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40"/>
  </bookViews>
  <sheets>
    <sheet name="final_cricket_players" sheetId="1" r:id="rId1"/>
  </sheets>
  <calcPr calcId="144525"/>
</workbook>
</file>

<file path=xl/sharedStrings.xml><?xml version="1.0" encoding="utf-8"?>
<sst xmlns="http://schemas.openxmlformats.org/spreadsheetml/2006/main" count="6712" uniqueCount="5825">
  <si>
    <t>Records</t>
  </si>
  <si>
    <t>records_telugu</t>
  </si>
  <si>
    <t>Test Records</t>
  </si>
  <si>
    <t>test_records_telugu</t>
  </si>
  <si>
    <t>ODI Records</t>
  </si>
  <si>
    <t>odi_records_telugu</t>
  </si>
  <si>
    <t>T20I Records</t>
  </si>
  <si>
    <t>t20i_records_telugu</t>
  </si>
  <si>
    <t>['17th Best figures in a match on debut (9)']</t>
  </si>
  <si>
    <t>[' Hundred and a duck in a match ']</t>
  </si>
  <si>
    <t>['9th Most runs in an innings (by batting position) (59)', '6th Most wickets taken caught by a wicketkeeper (8)', '2nd Outstanding bowling analyses in an innings (7/8)', '3rd Most consecutive four-wickets-in-an-innings (2)', '4th Most catches in an innings (3)']</t>
  </si>
  <si>
    <t>['9th Most runs in an innings (by batting position) (59)', '28th Most wickets in career (28)', '26th Best figures in a match (8)', '46th Best career bowling average (24.75)', '23rd Best career strike rate (65.7)', '27th Worst strike rate in an innings (210.0)', '11th Most five-wickets-in-an-innings in a career (2)', '14th Youngest player to take five-wickets-in-an-innings (22y 287d)', '40th Most balls bowled in career (1840)', '15th Most wickets taken bowled (12)', '6th Most wickets taken caught by a wicketkeeper (8)']</t>
  </si>
  <si>
    <t>['2nd Best figures in an innings (7/8)', '2nd Outstanding bowling analyses in an innings (7/8)', '33rd Most wickets on a single ground (12)', '11th Best figures in a innings when on the losing side (4)', '12th Best career bowling average (16.42)', '21st Best career economy rate (2.50)', '28th Best strike rate in an innings (7.7)', '7th Most five-wickets-in-an-innings in a career (2)', '25th Most four-wickets-in-an-innings in a career (4)', '3rd Most consecutive four-wickets-in-an-innings (2)', '15th Youngest player to take five-wickets-in-an-innings (20y 87d)', '21st Most wickets taken bowled (24)', '4th Most catches in an innings (3)', '22nd Highest partnership for the seventh wicket (65)']</t>
  </si>
  <si>
    <t>['1st Most consecutive matches for a team (159)', '4th Most consecutive matches as captain of a team (57)', '5th Most runs in career (12472)', ' Hundred on debut (104*)', '10th Most hundreds in a career (33)', ' Hundred and a ninety in a match ', '6th Most fifties in career (90)', ' Hundred and a duck in a match ', '7th Most fours in career (1442)', ' Carrying bat through a completed innings (244*)', '6th Fastest to 12000 runs (275)', '4th Most catches in a series (13)', ' 5000 runs and 50 fielding dismissals ', '10th Fifties in consecutive innings (6)']</t>
  </si>
  <si>
    <t>['5th Most runs in career (12472)', '34th Most runs in an innings (294)', '15th Most runs in a series (766)', '24th Most runs in a calendar year (1364)', '37th Most runs in a match on the losing side (217)', '6th Most runs on a single ground (1937)', '28th Most runs in an series by a captain (562)', '14th Most runs in an innings by a captain (263)', '31st Most runs in debut match (164)', '36th Hundred in last match (147)', '10th Most hundreds in a career (33)', '13th Most double hundreds in a career (5)', '19th Most hundreds in a calendar year (5)', '33rd Most hundreds against one team (7)', '21st Hundreds in consecutive matches (3)', '8th Most nineties in career (7)', '6th Most fifties in career (90)', '7th Fifties in consecutive innings (6)', '23rd Most innings before first duck (39)', '22nd Most consecutive innings without a duck (64)', '20th Fewest ducks in career (32.33)', '7th Most fours in career (1442)', '3rd Longest individual innings (by minutes) (836)', '24th Longest individual innings (by balls) (545)', '36th Fastest to 5000 runs (115)', '27th Fastest to 6000 runs (131)', '22nd Fastest to 7000 runs (151)', '22nd Fastest to 8000 runs (181)', '11th Fastest to 9000 runs (204)', '10th Fastest to 10000 runs (229)', '8th Fastest to 11000 runs (252)', '6th Fastest to 12000 runs (275)', '15th Best career bowling average (without qualification) (7.00)', '6th Most catches in career (175)', '8th Most catches in a match (6)', '4th Most catches in a series (13)', '47th Highest partnership for the first wicket (231)', '13th Highest partnership for the second wicket (329*)', '44th Highest partnership for the third wicket (259)', '50th Highest partnership for the ninth wicket (100)', '7th Most matches in career (161)', '1st Most consecutive matches for a team (159)', '32nd Most player-of-the-match awards (9)', '44th Most player-of-the-series awards (3)', '8th Most matches as captain (59)', '4th Most consecutive matches as captain of a team (57)', '29th Youngest captains (25y 77d)']</t>
  </si>
  <si>
    <t>['38th Most runs in an innings by a captain (137)', '44th Fifties in consecutive innings (4)', '45th Fastest to 1000 runs (29)', '14th Fastest to 2000 runs (51)', '31st Fastest to 3000 runs (84)', '37th Most matches as captain (69)', '23rd Most consecutive matches as captain of a team (41)', '45th Youngest captains (25y 65d)']</t>
  </si>
  <si>
    <t>['30th Youngest captains (24y 325d)', '23rd Most consecutive matches as captain of a team (41)']</t>
  </si>
  <si>
    <t>['1st Hundred in hundredth match (104)', ' Hundred and a ninety in a match ', ' Hundred and a duck in a match ', '8th Most catches in a match (6)', ' 5000 runs and 50 fielding dismissals ', '5th Highest partnership for the ninth wicket (163*)']</t>
  </si>
  <si>
    <t>['35th Most runs in career (7624)', '11th Most runs in an innings (by batting position) (128*)', '40th Most runs in an series by a captain (534)', '32nd Most hundreds in a career (22)', '1st Hundred in hundredth match (104)', '27th Most fifties in career (60)', '50th Fastest to 5000 runs (120)', '38th Fastest to 6000 runs (140)', '33rd Fastest to 7000 runs (165)', '24th Most catches in career (120)', '8th Most catches in a match (6)', '42nd Most catches in a series (10)', '33rd Highest partnership for the seventh wicket (174)', '5th Highest partnership for the ninth wicket (163*)', '39th Most matches in career (114)', '46th Oldest players (42y 51d)', '15th Longest careers (20y 79d)', '14th Winning all tosses in a series (5)']</t>
  </si>
  <si>
    <t>['36th Oldest players on debut (38y 12d)', '22nd Longest lived players (67y 346d)']</t>
  </si>
  <si>
    <t>['5th Worst career strike rate (159.5)']</t>
  </si>
  <si>
    <t>['16th Most innings before first duck (10)', '5th Worst career bowling average (50.62)', '5th Worst career strike rate (159.5)', '21st Worst economy rate in an innings (4.31)', '22nd Highest partnership for the tenth wicket (30)', '24th Youngest players (17y 307d)']</t>
  </si>
  <si>
    <t>['13th Youngest player to take five-wickets-in-an-innings (20y 58d)']</t>
  </si>
  <si>
    <t>['41st Worst career economy rate (3.48)']</t>
  </si>
  <si>
    <t>['4th Most runs in a career without a hundred (577)', '2nd Worst career bowling average (61.25)', '4th Most catches in an innings (3)']</t>
  </si>
  <si>
    <t>['30th Most runs in career (577)', '4th Most runs in a career without a hundred (577)', '18th Fewest ducks in career (15)', '2nd Worst career bowling average (61.25)', '3rd Worst career economy rate (2.91)', '9th Worst career strike rate (125.8)', '46th Worst career bowling average (without qualification) (61.25)', '19th Most catches in career (11)', '11th Most matches in career (17)', '18th Most consecutive matches for a team (13)']</t>
  </si>
  <si>
    <t>['4th Most catches in an innings (3)', '37th Longest careers (14y 32d)']</t>
  </si>
  <si>
    <t>['39th Highest partnership for the tenth wicket (89)']</t>
  </si>
  <si>
    <t>['5th Most runs in an innings (by batting position) (42)', '8th Oldest player to take a maiden five-wickets-in-an-innings (32y 6d)']</t>
  </si>
  <si>
    <t>['5th Most runs in an innings (by batting position) (42)', '49th Highest career batting average (30.50)', '21st Worst career bowling average (35.07)', '20th Worst career strike rate (106.1)', '13th Oldest player to take five-wickets-in-an-innings (32y 6d)', '8th Oldest player to take a maiden five-wickets-in-an-innings (32y 6d)']</t>
  </si>
  <si>
    <t>['15th Best figures in a innings on debut (3)', '13th Oldest players on debut (36y 155d)']</t>
  </si>
  <si>
    <t>['1st Best strike rate in an innings (4.2)', ' A fifty and five wickets in an innings ', ' 1000 runs, 50 wickets and 50 catches ', ' 5000 runs and 50 fielding dismissals ', '8th Best figures in a innings when on the losing side (4)', '2nd Highest partnership for the seventh wicket (91)']</t>
  </si>
  <si>
    <t>['23rd Most runs in a match on the losing side (228)', '11th Most innings before first duck (45)', '43rd Most catches in career (95)', '16th Highest partnership for the fourth wicket (310)', '48th Highest partnership for the fifth wicket (219)', '37th Highest partnership for the seventh wicket (169)']</t>
  </si>
  <si>
    <t>['34th Most nineties in career (4)', '26th Best figures in a innings by a captain (4)', '1st Best strike rate in an innings (4.2)', '22nd Most catches in career (108)', '24th Most catches in a series (8)', '22nd Highest partnership for the seventh wicket (110)']</t>
  </si>
  <si>
    <t>['13th Most runs in an innings (by batting position) (79)', '38th Most runs in a match on the losing side (79)', '41st Most runs in an innings by a captain (79)', '8th Best figures in a innings when on the losing side (4)', '26th Highest partnership for the fourth wicket (98)', '4th Highest partnership for the fifth wicket (102)', '2nd Highest partnership for the seventh wicket (91)', '27th Longest careers (12y 92d)', '14th Longest intervals between appearances (6y 242d)', '14th Most matches as captain (30)']</t>
  </si>
  <si>
    <t>['27th Most ducks in career (19)', '11th Most ducks in a series (4)', '15th Outstanding bowling analyses in an innings (5/14)', '46th Most five-wickets-in-an-innings in a career (13)', '34th Oldest player to take ten-wickets-in-a-match (34y 42d)', '41st Bowler/fielder combinations (41)', '47th Most wickets taken caught (155)', '48th Most wickets taken caught by a wicketkeeper (51)']</t>
  </si>
  <si>
    <t>['32nd Best economy rate in an innings (0.87)']</t>
  </si>
  <si>
    <t>['38th Oldest players on debut (37y 229d)', '20th Oldest captains on captaincy debut (37y 229d)']</t>
  </si>
  <si>
    <t>['2nd Longest careers (26y 356d)', '7th Oldest captains on captaincy debut (41y 182d)', '2nd Longest careers (26y 356d)']</t>
  </si>
  <si>
    <t>['16th Oldest players (45y 140d)', '2nd Longest careers (26y 356d)', '44th Longest intervals between appearances (8y 280d)', '18th Most consecutive matches missed for a team between appearances (75)']</t>
  </si>
  <si>
    <t>['14th Oldest players on debut (41y 182d)', '24th Oldest players (41y 186d)', '2nd Longest lived players (84y 202d)', '8th Oldest captains (41y 186d)', '7th Oldest captains on captaincy debut (41y 182d)']</t>
  </si>
  <si>
    <t>['4th Youngest players (15y 336d)', '5th Worst economy rate in an innings (4.84)', '5th Highest partnership for the tenth wicket (59)', '2nd Most wickets taken caught and bowled (13)', '7th Most runs in an innings (by batting position) (18*)', '1st Most wickets taken caught and bowled (9)']</t>
  </si>
  <si>
    <t>['5th Worst economy rate in an innings (4.84)', '5th Highest partnership for the tenth wicket (59)', '4th Youngest players (15y 336d)']</t>
  </si>
  <si>
    <t>['22nd Most wickets in career (98)', '27th Most wickets in a calendar year (23)', '11th Best figures in a innings when on the losing side (4)', '49th Best career strike rate (36.5)', '38th Most four-wickets-in-an-innings in a career (3)', '26th Most balls bowled in career (3577)', '30th Most runs conceded in career (2137)', '12th Bowler/Batters combinations (6)', '13th Bowler/fielder combinations (16)', '42nd Most wickets taken bowled (17)', '15th Most wickets taken caught (62)', '2nd Most wickets taken caught and bowled (13)', '9th Most wickets taken caught by a fielder (56)', '14th Most wickets taken stumped (12)', '50th Highest partnership for the ninth wicket (34)', '23rd Highest partnership for the tenth wicket (31)']</t>
  </si>
  <si>
    <t>['7th Most runs in an innings (by batting position) (18*)', '21st Most wickets in career (63)', '22nd Most wickets in a calendar year (20)', '30th Outstanding bowling analyses in an innings (4/9)', '19th Most wickets on a single ground (10)', '12th Best career bowling average (15.41)', '13th Best career economy rate (5.19)', '16th Best career strike rate (17.7)', '31st Most balls bowled in career (1121)', '41st Most runs conceded in career (971)', '5th Bowler/Batters combinations (6)', '21st Bowler/fielder combinations (9)', '35th Most wickets taken bowled (12)', '18th Most wickets taken caught (39)', '1st Most wickets taken caught and bowled (9)', '16th Most wickets taken caught by a fielder (36)', '24th Most wickets taken lbw (7)', '43rd Most wickets taken stumped (5)', '44th Most catches in career (19)', '25th Highest partnership for the ninth wicket (18*)']</t>
  </si>
  <si>
    <t>['15th Best figures in a match when on the losing side (11)', '33rd Best figures in a match on debut (8)']</t>
  </si>
  <si>
    <t>['18th Most balls bowled in an innings (462)']</t>
  </si>
  <si>
    <t>['37th Oldest player to take five-wickets-in-an-innings (37y 145d)', '17th Oldest player to take a maiden five-wickets-in-an-innings (37y 145d)', '15th Most runs conceded in a match (282)', '44th Oldest players on debut (37y 145d)']</t>
  </si>
  <si>
    <t>['11th Worst career bowling average (without qualification) (193.00)', '47th Most runs conceded in an innings (193)']</t>
  </si>
  <si>
    <t>['27th Youngest captains (25y 40d)', '24th Most matches as a match referee (9)']</t>
  </si>
  <si>
    <t>['29th Most matches as a match referee (19)']</t>
  </si>
  <si>
    <t>['41st Best career bowling average (without qualification) (12.16)', '50th Best economy rate in an innings (0.63)']</t>
  </si>
  <si>
    <t>['7th Highest maiden hundred (267)', '4th Highest partnership for the fifth wicket (359)']</t>
  </si>
  <si>
    <t>['7th Highest maiden hundred (267)', '13th Youngest player to score a double hundred (22y 200d)', '36th Highest partnerships for any wicket (359)', '4th Highest partnership for the fifth wicket (359)']</t>
  </si>
  <si>
    <t>['8th Most consecutive matches for a team (15)', '4th Most consecutive matches as captain of a team (11)', '7th Most runs in a career without a hundred (502)', '5th Best figures in a innings by a captain (5)', '7th Most consecutive matches as captain of a team (43)', '3rd Best figures in a innings when on the losing side (5)', '4th Best economy rate in an innings (0.14)', '5th Highest partnership for the fifth wicket (128)']</t>
  </si>
  <si>
    <t>['36th Most runs in career (502)', '7th Most runs in a career without a hundred (502)', '14th Most innings before first duck (11)', '20th Fewest ducks in career (13)', '37th Most wickets in career (24)', '5th Best figures in a innings by a captain (5)', '11th Best figures in a match by a captain (5)', '8th Best figures in a innings when on the losing side (5)', '17th Best figures in a match when on the losing side (5)', '27th Most balls bowled in career (2061)', '25th Highest partnership for the fourth wicket (84)', '13th Most matches in career (16)', '8th Most consecutive matches for a team (15)', '4th Most matches as captain (11)', '4th Most consecutive matches as captain of a team (11)', '15th Youngest captains (24y 296d)']</t>
  </si>
  <si>
    <t>['26th Most runs in a career without a hundred (1087)', '21st Most ducks in career (9)', '31st Most wickets in career (80)', '5th Outstanding bowling analyses in an innings (2/1)', '9th Best figures in a innings by a captain (4)', '3rd Best figures in a innings when on the losing side (5)', '4th Best economy rate in an innings (0.14)', '24th Youngest player to take five-wickets-in-an-innings (22y 311d)', '25th Most balls bowled in career (3580)', '33rd Most runs conceded in career (2081)', '29th Most wickets taken bowled (21)', '44th Most wickets taken caught (41)', '24th Most wickets taken caught and bowled (6)', '31st Most wickets taken caught by a fielder (38)', '43rd Most wickets taken lbw (11)', '5th Highest partnership for the fifth wicket (128)', '47th Most matches in career (93)', '32nd Most consecutive matches for a team (43)', '7th Most matches as captain (66)', '7th Most consecutive matches as captain of a team (43)', '32nd Youngest captains (23y 164d)']</t>
  </si>
  <si>
    <t>['9th Best figures in a match when on the losing side (6)']</t>
  </si>
  <si>
    <t>['9th Best figures in a match when on the losing side (6)', '46th Best career bowling average (without qualification) (14.92)', '15th Best figures in a match on debut (6)']</t>
  </si>
  <si>
    <t>['34th Best career strike rate (34.6)', '30th Worst career economy rate (4.26)', '38th Most four-wickets-in-an-innings in a career (3)', '32nd Youngest player to take five-wickets-in-an-innings (23y 146d)', '44th Most consecutive matches missed for a team between appearances (30)']</t>
  </si>
  <si>
    <t>['50th Youngest captains (25y 345d)']</t>
  </si>
  <si>
    <t>['1st Most runs in an innings (by batting position) (95*)']</t>
  </si>
  <si>
    <t>['36th Most sixes in an innings (6)']</t>
  </si>
  <si>
    <t>['9th Best figures in a innings on debut (7)']</t>
  </si>
  <si>
    <t>['9th Best figures in a innings on debut (7)', '33rd Best figures in a match on debut (8)', '41st Fastest to 50 wickets (11)']</t>
  </si>
  <si>
    <t>['4th Most runs in a day (273)', ' Hundred in each innings of a match ', ' Hundred and a duck in a match ', '10th Fastest to 3000 runs (57)', '6th Hundreds in consecutive innings (3)']</t>
  </si>
  <si>
    <t>['45th Most runs in an innings (278)', '19th Most runs in a series (753)', '8th Most runs in an innings (by batting position) (278)', '22nd Most runs in a match on the losing side (229)', '4th Most runs in a day (273)', '42nd Highest career batting average (50.06)', '2nd Most hundreds in a series (4)', '6th Most hundreds in a calendar year (6)', '33rd Most hundreds against one team (7)', '5th Hundreds in consecutive innings (3)', '21st Hundreds in consecutive matches (3)', '23rd Youngest player to score a hundred (20y 18d)', '11th Fastest to 2000 runs (37)', '10th Fastest to 3000 runs (57)', '33rd Fastest to 5000 runs (113)', '24th Best economy rate in an innings (0.51)', '25th Worst career bowling average (56.40)', '46th Worst career strike rate (108.4)', '35th Highest partnership for the fifth wicket (237)', '24th Longest careers (19y 203d)']</t>
  </si>
  <si>
    <t>['4th Worst career economy rate (6.12)']</t>
  </si>
  <si>
    <t>['4th Worst career economy rate (6.12)', '50th Youngest player to take five-wickets-in-an-innings (22y 322d)', '25th Highest partnership for the ninth wicket (76)']</t>
  </si>
  <si>
    <t>['12th Worst career bowling average (32.23)', '3rd Worst career economy rate (9.31)']</t>
  </si>
  <si>
    <t>['22nd Best figures in a innings on debut (6)', '17th Best figures in a match on debut (9)']</t>
  </si>
  <si>
    <t>['1st Outstanding bowling analyses in an innings (1/0)', ' Opening the batting and bowling in the same match ']</t>
  </si>
  <si>
    <t>['1st Outstanding bowling analyses in an innings (1/0)', '38th Highest partnership for the eighth wicket (130)']</t>
  </si>
  <si>
    <t>['27th Most runs in a match on the losing side (221)']</t>
  </si>
  <si>
    <t>['1st Dismissed for 99 (and 199, 299 etc) (99)', '7th Fifties in consecutive innings (6)']</t>
  </si>
  <si>
    <t>['1st Dismissed for 99 (and 199, 299 etc) (99)', '7th Fifties in consecutive innings (6)', '43rd Most consecutive innings without a duck (54)', '23rd Fastest to 3000 runs (64)', '27th Fastest to 4000 runs (89)', '13th Outstanding bowling analyses in an innings (4/10)', '50th Oldest living players (86y 17d)', '49th Most matches as captain (30)']</t>
  </si>
  <si>
    <t>['3rd Most consecutive matches missed for a team between appearances (9)', '7th Oldest captains on captaincy debut (39y 110d)']</t>
  </si>
  <si>
    <t>['38th Worst career bowling average (without qualification) (65.00)', '15th Longest intervals between appearances (8y 135d)', '3rd Most consecutive matches missed for a team between appearances (9)']</t>
  </si>
  <si>
    <t>['6th Oldest players on debut (39y 110d)', '24th Oldest players (39y 138d)', '8th Oldest captains (39y 138d)', '7th Oldest captains on captaincy debut (39y 110d)']</t>
  </si>
  <si>
    <t>['32nd Best career economy rate (3.79)']</t>
  </si>
  <si>
    <t>['33rd Highest partnership for the fourth wicket (266)', '21st Most matches as a match referee (14)']</t>
  </si>
  <si>
    <t>['14th Longest lived players (72y 139d)', '24th Most matches as a match referee (35)']</t>
  </si>
  <si>
    <t>['6th Most runs in an innings (by batting position) (160)', '7th Oldest player to score a maiden hundred (31y 190d)', '2nd Highest partnership for the sixth wicket (132)', '9th Most runs in an innings (by batting position) (142*)', '7th Highest maiden hundred (142*)', '10th Most innings before first duck (27)', '4th Most catches in an innings (3)']</t>
  </si>
  <si>
    <t>['17th Most runs in an innings (160)', '33rd Most runs in a match (160)', '6th Most runs in an innings (by batting position) (160)', '46th Highest career batting average (31.50)', '12th Highest maiden hundred (160)', '15th Oldest player to score a hundred (31y 190d)', '7th Oldest player to score a maiden hundred (31y 190d)', '2nd Highest partnership for the sixth wicket (132)']</t>
  </si>
  <si>
    <t>['26th Most runs in an innings (142*)', '9th Most runs in an innings (by batting position) (142*)', '19th Most runs in debut match (60*)', '7th Highest maiden hundred (142*)', '21st Oldest player to score a hundred (32y 360d)', '13th Oldest player to score a maiden hundred (32y 360d)', '10th Most innings before first duck (27)', '4th Most catches in an innings (3)']</t>
  </si>
  <si>
    <t>['47th Most dismissals in a series (20)']</t>
  </si>
  <si>
    <t>['31st Longest intervals between appearances (6y 348d)']</t>
  </si>
  <si>
    <t>['5th Most stumpings in a series (7)']</t>
  </si>
  <si>
    <t>['29th Most stumpings in career (15)', '12th Most stumpings in a match (3)', '5th Most stumpings in a series (7)']</t>
  </si>
  <si>
    <t>['5th Most consecutive matches missed for a team between appearances (204)']</t>
  </si>
  <si>
    <t>['12th No ducks in career (28)']</t>
  </si>
  <si>
    <t>['7th Longest intervals between appearances (9y 213d)', '5th Most consecutive matches missed for a team between appearances (204)']</t>
  </si>
  <si>
    <t>['2nd Most consecutive matches missed for a team between appearances (79)', '6th Longest intervals between appearances (8y 249d)']</t>
  </si>
  <si>
    <t>['31st Most runs in an innings (by batting position) (32)']</t>
  </si>
  <si>
    <t>['10th Oldest captains (41y 330d)']</t>
  </si>
  <si>
    <t>['37th Best strike rate in an innings (8.5)', '39th Oldest players (42y 127d)', '10th Oldest captains (41y 330d)']</t>
  </si>
  <si>
    <t>['2nd Worst career economy rate (6.35)', '8th Most runs in an innings (by batting position) (12)', '9th Worst career economy rate (8.71)']</t>
  </si>
  <si>
    <t>['2nd Worst career economy rate (6.35)']</t>
  </si>
  <si>
    <t>['8th Most runs in an innings (by batting position) (12)', '45th Best career strike rate (18.0)', '9th Worst career economy rate (8.71)', '49th Most runs conceded in career (1020)', '17th Bowler/batters combinations (3)', '48th Most wickets taken caught by a wicketkeeper (5)']</t>
  </si>
  <si>
    <t>['21st Oldest player to score a maiden hundred (35y 237d)']</t>
  </si>
  <si>
    <t>['4th Longest lived players (80y 46d)']</t>
  </si>
  <si>
    <t>['19th Oldest player to score a maiden hundred (35y 247d)', '24th Best career economy rate (1.95)', '25th Worst career strike rate (121.4)']</t>
  </si>
  <si>
    <t>['23rd Oldest players on debut (39y 93d)', '29th Oldest players (40y 329d)', '4th Longest lived players (80y 46d)']</t>
  </si>
  <si>
    <t>['15th Worst career bowling average (without qualification) (83.00)']</t>
  </si>
  <si>
    <t>['18th Most innings before first duck (22)']</t>
  </si>
  <si>
    <t>['18th Outstanding bowling analyses in an innings (5/15)', '43rd Most five-wickets-in-an-innings in a career (2)']</t>
  </si>
  <si>
    <t>['10th Most runs conceded in an innings (107)', '10th Most runs in an innings (by batting position) (27)', '3rd Most consecutive four-wickets-in-an-innings (2)', '4th Best career strike rate (15.4)', '5th Most wickets taken bowled (26)']</t>
  </si>
  <si>
    <t>['10th Most runs conceded in an innings (107)']</t>
  </si>
  <si>
    <t>['10th Most runs in an innings (by batting position) (27)', '25th Most wickets in a series (22)', '11th Best figures in a innings when on the losing side (4)', '50th Best career strike rate (36.6)', '3rd Most consecutive four-wickets-in-an-innings (2)', '25th Most wickets taken lbw (15)']</t>
  </si>
  <si>
    <t>['14th Most runs in an innings (by batting position) (17*)', '13th No ducks in career (13)', '24th Most wickets in career (61)', '37th Most wickets in a calendar year (19)', '10th Best career bowling average (15.03)', '4th Best career strike rate (15.4)', '41st Most balls bowled in career (945)', '45th Most runs conceded in career (917)', '5th Most wickets taken bowled (26)', '20th Most wickets taken caught and bowled (3)', '6th Most wickets taken lbw (12)', '25th Most wickets taken stumped (7)', '41st Most maidens in career (5)']</t>
  </si>
  <si>
    <t>['5th Most triple hundreds in a career (1)', '7th Fifties in consecutive matches (10)', '1st Most runs from fours and sixes in an innings (238)', '7th Highest partnership for the second wicket (369)', '3rd Longest lived players (83y 185d)', '1st Most runs in an innings (progressive record holder) (82)', '2nd Fifties in consecutive matches (11)']</t>
  </si>
  <si>
    <t>['24th Most runs in an innings (310*)', '41st Most runs in a match (310)', '13th Most runs in an innings (by batting position) (310*)', '5th Most triple hundreds in a career (1)', '33rd Most hundreds against one team (7)', '32nd Fifties in consecutive innings (5)', '7th Fifties in consecutive matches (10)', '1st Most fours in an innings (52)', '1st Most runs from fours and sixes in an innings (238)', '50th Fastest to 1000 runs (22)', '48th Fastest to 2000 runs (46)', '34th Fastest to 3000 runs (67)', '29th Highest partnerships for any wicket (369)', '7th Highest partnership for the second wicket (369)', '21st Oldest captains on captaincy debut (37y 197d)']</t>
  </si>
  <si>
    <t>['1st Most runs in an innings (progressive record holder) (82)', '27th Most runs in debut match (82)', '3rd Longest lived players (83y 185d)', '27th Oldest captains (37y 260d)', '13th Oldest captains on captaincy debut (37y 260d)']</t>
  </si>
  <si>
    <t>['24th Best figures in a innings when on the losing side (7)', '39th Oldest player to take five-wickets-in-an-innings (37y 121d)', '18th Oldest player to take a maiden five-wickets-in-an-innings (37y 121d)']</t>
  </si>
  <si>
    <t>['41st Oldest players (42y 103d)']</t>
  </si>
  <si>
    <t>['7th Most runs in a career without a hundred (1713)', ' 1000 runs and 100 wickets ']</t>
  </si>
  <si>
    <t>['7th Most runs in a career without a hundred (1713)', '11th Most ducks in a series (4)', '24th Best figures in a innings when on the losing side (7)', '43rd Worst strike rate in an innings (342.0)', '49th Most balls bowled in career (15391)', '28th Oldest players (42y 344d)', '43rd Oldest captains on captaincy debut (35y 301d)']</t>
  </si>
  <si>
    <t>['49th Most wickets in a calendar year (43)', '36th Oldest players (40y 212d)', '38th Oldest captains on captaincy debut (34y 225d)']</t>
  </si>
  <si>
    <t>['2nd Most stumpings in career (46)', '7th Highest innings total without conceding a bye (659/8d)', ' 2000 runs and 100 wicketkeeping dismissals ']</t>
  </si>
  <si>
    <t>['39th Most ducks in career (17)', '13th Most dismissals in career (219)', '47th Most dismissals in a series (20)', '19th Most catches in career (173)', '2nd Most stumpings in career (46)', '12th Most stumpings in a match (3)', '12th Most stumpings in a series (6)', '7th Highest innings total without conceding a bye (659/8d)', '9th Most byes conceded in an innings (30)']</t>
  </si>
  <si>
    <t>[' Opening the batting and bowling in the same match ', '7th Highest partnership for the third wicket (370)']</t>
  </si>
  <si>
    <t>['17th Highest maiden hundred (219)', '16th Youngest player to score a double hundred (22y 342d)', '48th Most consecutive innings without a duck (53)', '41st Fastest to 2000 runs (45)', '27th Highest partnerships for any wicket (370)', '7th Highest partnership for the third wicket (370)']</t>
  </si>
  <si>
    <t>['5th Most dismissals in a series (11)', '5th Most catches in a series (9)', '6th Most byes conceded in an innings (17)', '9th Most runs in a series by a wicketkeeper (180)']</t>
  </si>
  <si>
    <t>['9th Most runs in a series by a wicketkeeper (180)', '5th Most dismissals in a series (11)', '13th Most catches in career (11)', '5th Most catches in a series (9)', '17th Highest innings total without conceding a bye (225/6d)', '6th Most byes conceded in an innings (17)']</t>
  </si>
  <si>
    <t>['4th Outstanding bowling analyses in an innings (4/6)']</t>
  </si>
  <si>
    <t>['4th Outstanding bowling analyses in an innings (4/6)', '32nd Best economy rate in an innings (0.58)']</t>
  </si>
  <si>
    <t>['31st Best career economy rate (3.77)']</t>
  </si>
  <si>
    <t>['2nd Most matches in career (23)', '6th Most consecutive matches as captain of a team (10)', '1st Most runs in a match on the losing side (142)', '2nd Youngest player to score a hundred (19y 210d)', '2nd Most fifties in career (13)', '1st Fewest ducks in career ', '7th Highest percentage of runs in a completed innings (55.07)', '1st Worst career economy rate (3.09)', '5th Highest partnership for the first wicket (163)', '2nd Most matches in career (191)', '2nd Most consecutive matches as captain of a team (57)', '2nd Most runs in career (5992)', '2nd Most hundreds against one team (3)', '1st Dismissed for 99 (and 199, 299 etc) (99)', '2nd Fifties in consecutive innings (6)', '2nd Most ducks in career (16)', '9th Best figures in a innings by a captain (4)', '6th Best career strike rate (30.1)', '6th Most catches in career (52)', ' 1000 runs, 50 wickets and 50 catches ', ' 5000 runs and 50 fielding dismissals ', '8th Highest partnership for the fifth wicket (113)', '1st Most matches as captain (93)', '4th Most runs in career (2605)', '5th Highest career batting average (32.97)', '10th Most fifties in career (12)', '7th Most consecutive innings without a duck (54)', '6th Highest percentage of runs in a completed innings (65.51)', '1st Fastest to 1000 runs (35)']</t>
  </si>
  <si>
    <t>['2nd Most runs in career (1676)', '18th Most runs in a series (319)', '21st Most runs in a calendar year (319)', '12th Most runs in an innings (by batting position) (114*)', '1st Most runs in a match on the losing side (142)', '11th Most runs in an innings by a captain (114*)', '16th Highest career batting average (44.10)', '2nd Most hundreds in a career (4)', '3rd Most hundreds against one team (2)', '44th Highest maiden hundred (108)', '2nd Youngest player to score a hundred (19y 210d)', '16th Oldest player to score a hundred (31y 36d)', '2nd Most fifties in career (13)', '3rd Fifties in consecutive matches (4)', '1st No ducks in career (43)', '1st Most consecutive innings without a duck (43*)', '7th Highest percentage of runs in a completed innings (55.07)', '6th Worst career bowling average (48.08)', '1st Worst career economy rate (3.09)', '32nd Worst career strike rate (93.1)', '23rd Most catches in career (10)', '19th Highest partnerships for any wicket (163)', '5th Highest partnership for the first wicket (163)', '9th Highest partnership for the second wicket (134)', '16th Highest partnership for the ninth wicket (49)', '2nd Most matches in career (23)', '5th Most consecutive matches for a team (18)', '6th Youngest players (16y 208d)', '4th Longest careers (19y 33d)', '7th Most matches as captain (10)', '6th Most consecutive matches as captain of a team (10)', '18th Youngest captains (25y 339d)', '13th Oldest captains (35y 240d)']</t>
  </si>
  <si>
    <t>['2nd Most runs in career (5992)', '5th Most runs in an innings (173*)', '43rd Most runs in a series (476)', '31st Most runs in a calendar year (586)', '4th Most runs in an innings (by batting position) (173*)', '16th Most runs in a match on the losing side (102)', '6th Most runs on a single ground (667)', '10th Most runs in an series by a captain (476)', '6th Most runs in an innings by a captain (138)', '30th Highest career batting average (38.16)', '3rd Most hundreds in a career (9)', '6th Most hundreds in a series (2)', '5th Most hundreds in a calendar year (2)', '2nd Most hundreds against one team (3)', '3rd Youngest player to score a hundred (17y 243d)', '7th Oldest player to score a hundred (34y 249d)', '3rd Most nineties in career (4)', '1st Dismissed for 99 (and 199, 299 etc) (99)', '2nd Most fifties in career (55)', '2nd Fifties in consecutive innings (6)', '14th Most consecutive innings without a duck (44)', '2nd Most ducks in career (16)', '22nd Highest percentage of runs in a completed innings (54.29)', '10th Outstanding bowling analyses in an innings (2/2)', '9th Best figures in a innings by a captain (4)', '6th Best career strike rate (30.1)', '28th Worst career economy rate (4.32)', '12th Bowler/Batters combinations (6)', '6th Most catches in career (52)', '32nd Highest partnerships for any wicket (184)', '50th Highest partnership for the first wicket (142)', '8th Highest partnership for the second wicket (184)', '14th Highest partnership for the fourth wicket (131*)', '8th Highest partnership for the fifth wicket (113)', '21st Highest partnership for the sixth wicket (81)', '2nd Most matches in career (191)', '15th Most consecutive matches for a team (57)', '8th Longest careers (18y 183d)', '2nd Most matches as captain (117)', '2nd Most consecutive matches as captain of a team (57)', '18th Oldest captains (36y 59d)']</t>
  </si>
  <si>
    <t>['4th Most runs in career (2605)', '33rd Most runs in an innings (92*)', '16th Most runs in a calendar year (473)', '22nd Most runs in an innings (by batting position) (92*)', '8th Most runs on a single ground (246)', '11th Most runs in an innings by a captain (92*)', '5th Highest career batting average (32.97)', '10th Most fifties in career (12)', '7th Most consecutive innings without a duck (54)', '16th Fewest ducks in career (31)', '6th Highest percentage of runs in a completed innings (65.51)', '1st Fastest to 1000 runs (35)', '4th Fastest to 2000 runs (73)', '21st Best figures in a innings by a captain (3)', '40th Highest partnership for the first wicket (102)', '13th Highest partnership for the second wicket (114*)', '33rd Highest partnership for the fourth wicket (67)', '20th Most matches in career (95)', '42nd Most consecutive matches for a team (38)', '1st Most matches as captain (93)', '11th Oldest captains (36y 104d)']</t>
  </si>
  <si>
    <t>['13th Shortest lived players (33y 270d)']</t>
  </si>
  <si>
    <t>['4th Most runs in a match on the losing side (265)', ' Hundred in each innings of a match ', '2nd Fewest ducks in career (74)', '9th Fastest to 3000 runs (56)', '4th Hundreds in consecutive matches (4)', '5th Fifties in consecutive matches (8)', '2nd Fewest ducks in career (74)']</t>
  </si>
  <si>
    <t>['6th Most runs in a series (827)', '4th Most runs in a match on the losing side (265)', '8th Most runs in a series by a wicketkeeper (452)', '21st Most runs in an innings by a wicketkeeper (168*)', '15th Highest career batting average (56.68)', '1st Most hundreds in a series (5)', '19th Most hundreds in a calendar year (5)', '5th Hundreds in consecutive matches (4)', '32nd Fifties in consecutive innings (5)', '15th Fifties in consecutive matches (8)', '49th Most consecutive innings without a duck (53*)', '2nd Fewest ducks in career (74)', '39th Highest percentage of runs in a completed innings (57.44)', '29th Fastest to 2000 runs (43)', '9th Fastest to 3000 runs (56)', '31st Highest partnership for the fourth wicket (267)', '38th Highest partnership for the sixth wicket (211)', '43rd Most stumpings in career (11)', '12th Most stumpings in a match (3)', '18th Most stumpings in a series (5)']</t>
  </si>
  <si>
    <t>['4th Oldest players on debut (41y 159d)', '3rd Oldest captains on captaincy debut (41y 147d)']</t>
  </si>
  <si>
    <t>['4th Oldest players on debut (41y 159d)', '7th Oldest players (41y 162d)']</t>
  </si>
  <si>
    <t>['25th No ducks in career (16)', '45th Best career economy rate (2.91)', '24th Worst career strike rate (58.1)', '20th Oldest players on debut (35y 64d)', '6th Oldest players (42y 183d)', '4th Oldest captains (41y 147d)', '3rd Oldest captains on captaincy debut (41y 147d)']</t>
  </si>
  <si>
    <t>['4th Best career strike rate (13.4)']</t>
  </si>
  <si>
    <t>['50th Most wickets in a calendar year (18)', '30th Most wickets on a single ground (12)', '24th Best career bowling average (19.63)', '4th Best career strike rate (13.4)', '8th Worst career economy rate (8.76)', '22nd Most runs conceded in an innings (60)', '17th Bowler/batters combinations (3)', '42nd Most wickets taken caught (32)', '13th Most wickets taken caught by a wicketkeeper (8)']</t>
  </si>
  <si>
    <t>['4th Most innings before first duck (16)', '6th Outstanding bowling analyses in an innings (3/9)', '6th Best career strike rate (50.4)']</t>
  </si>
  <si>
    <t>['26th Most runs in a calendar year (307)', '11th Most runs in a career without a hundred (472)', '4th Most innings before first duck (16)', '32nd Most wickets in career (25)', '19th Most wickets in a calendar year (16)', '6th Outstanding bowling analyses in an innings (3/9)', '10th Best figures in a innings by a captain (4)', '23rd Best career bowling average (19.36)', '6th Best career strike rate (50.4)', '19th Best strike rate in an innings (16.0)']</t>
  </si>
  <si>
    <t>['28th Best career bowling average (without qualification) (12.00)', '15th Best figures in a innings on debut (3)']</t>
  </si>
  <si>
    <t>['46th Most dismissals in a series (14)', '37th Most stumpings in career (10)']</t>
  </si>
  <si>
    <t>['15th Fewest ducks in career (30)', '15th Best figures in a innings on debut (3)']</t>
  </si>
  <si>
    <t>[' Pair by a captain ', '1st Best figures in a match by a captain (13)', '10th Oldest player to take ten-wickets-in-a-match (37y 243d)', '5th Most balls bowled in career (30019)', '9th Most runs conceded in career (12688)', '3rd Bowler/Batter combinations (17)', '5th Fastest to 500 wickets (129)', '1st Outstanding bowling analyses in an innings (5/1)', '10th Best strike rate in an innings (5.4)', '1st Most wickets taken hit wicket (3)', '2nd Most ducks in career (54)', '8th Most balls bowled in career (40841)', '1st Most wickets taken hit wicket (5)']</t>
  </si>
  <si>
    <t>['1st Most ducks in career (43)', '11th Most ducks in a series (4)', '2nd Most pairs in career (4)', '6th Most wickets in career (519)', '25th Best figures in a match (13)', '22nd Most wickets in a series (34)', '26th Most wickets in a calendar year (66)', '8th Outstanding bowling analyses in an innings (2/2)', '26th Most wickets on a single ground (57)', '5th Best figures in a innings by a captain (7)', '1st Best figures in a match by a captain (13)', '40th Best figures in a match when on the losing side (10)', '27th Best strike rate in an innings (7.7)', '17th Most five-wickets-in-an-innings in a career (22)', '29th Most ten-wickets-in-a-match in a career (3)', '24th Oldest player to take five-wickets-in-an-innings (38y 138d)', '10th Oldest player to take ten-wickets-in-a-match (37y 243d)', '5th Most balls bowled in career (30019)', '9th Most runs conceded in career (12688)', '3rd Bowler/Batter combinations (17)', '12th Most wickets taken bowled (91)', '5th Most wickets taken caught (349)', '7th Most wickets taken caught by a fielder (238)', '4th Most wickets taken caught by a wicketkeeper (111)', '17th Most wickets taken lbw (77)', '37th Fastest to 250 wickets (70)', '26th Fastest to 300 wickets (80)', '22nd Fastest to 350 wickets (96)', '14th Fastest to 400 wickets (107)', '6th Fastest to 450 wickets (118)', '5th Fastest to 500 wickets (129)', '18th Most matches in career (132)']</t>
  </si>
  <si>
    <t>['32nd Most wickets in career (227)', '1st Outstanding bowling analyses in an innings (5/1)', '33rd Best career economy rate (3.83)', '48th Best economy rate in an innings (1.00)', '10th Best strike rate in an innings (5.4)', '19th Most balls bowled in career (10822)', '28th Most runs conceded in career (6918)', '37th Bowler/fielder combinations (27)', '34th Most wickets taken bowled (52)', '24th Most wickets taken caught (154)', '39th Most wickets taken caught by a fielder (95)', '12th Most wickets taken caught by a wicketkeeper (59)', '1st Most wickets taken hit wicket (3)', '30th Fastest to 200 wickets (180)']</t>
  </si>
  <si>
    <t>[' Hundred on debut (100)']</t>
  </si>
  <si>
    <t>['10th Longest lived players (95y 126d)', '10th Highest career batting average (58.61)', ' Hundred in each innings of a match ', '1st Fifties in consecutive innings (7)', '1st Fastest to 1000 runs (12)', '1st Hundreds in consecutive innings (5)', '2nd Fifties in consecutive innings (7)']</t>
  </si>
  <si>
    <t>['11th Most runs in a series (779)', '10th Highest career batting average (58.61)', '2nd Most hundreds in a series (4)', '33rd Most hundreds against one team (7)', '1st Hundreds in consecutive innings (5)', '5th Hundreds in consecutive matches (4)', '1st Fifties in consecutive innings (7)', '9th Fifties in consecutive matches (9)', '1st Fastest to 1000 runs (12)', '7th Fastest to 2000 runs (36)', '2nd Fastest to 3000 runs (51)', '3rd Fastest to 4000 runs (71)', '24th Most catches in a series (11)', '13th Highest partnership for the third wicket (338)', '48th Highest partnership for the fifth wicket (219)', '10th Longest lived players (95y 126d)']</t>
  </si>
  <si>
    <t>['2nd Most catches in a match (4)']</t>
  </si>
  <si>
    <t>['11th Most runs in an innings (by batting position) (56)', '2nd Most catches in a match (4)', '19th Most catches in a series (5)']</t>
  </si>
  <si>
    <t>['11th Best figures in a innings when on the losing side (4)']</t>
  </si>
  <si>
    <t>[' Representing two countries ']</t>
  </si>
  <si>
    <t>['38th Highest partnership for the seventh wicket (49)']</t>
  </si>
  <si>
    <t>['44th Highest partnership for the first wicket (200*)']</t>
  </si>
  <si>
    <t>['9th Most runs in a day (239)', '9th Ninety on debut (97)', ' Pair by a captain ', ' Carrying bat through a completed innings (191*)', '6th Fastest to 1000 runs (16)', ' Opening the batting and bowling in the same match ']</t>
  </si>
  <si>
    <t>['9th Most runs in a day (239)', '45th Highest career batting average (49.48)', '9th Ninety on debut (97)', '45th Most innings before first duck (31)', '36th Most fours in an innings (35)', '34th Most runs from fours and sixes in an innings (152)', '35th Longest individual innings (by minutes) (682)', '6th Fastest to 1000 runs (16)', '7th Fastest to 2000 runs (36)', '17th Fastest to 3000 runs (63)', '24th Best figures in a innings when on the losing side (7)', '36th Best economy rate in an innings (0.59)', '25th Highest partnership for the fourth wicket (283)', '28th Highest partnership for the tenth wicket (98*)', '33rd Oldest captains (39y 25d)', '36th Oldest captains on captaincy debut (36y 130d)']</t>
  </si>
  <si>
    <t>['32nd Most ducks in career (5)', '40th Most catches in career (10)', '13th Most catches in an innings (3)']</t>
  </si>
  <si>
    <t>['10th Youngest players (14y 322d)', '4th Most runs in an innings (by batting position) (31*)', '10th Most ducks in career (11)', '1st Outstanding bowling analyses in an innings (1/0)', '1st Most consecutive five-wickets-in-an-innings (2)', '8th Most balls bowled in career (5368)', '1st Most wickets taken caught by a fielder (87)', '4th Most catches in an innings (3)', '7th Most matches in career (111)', '7th Most runs in an innings (by batting position) (20*)', '1st Most wickets in career (120)', '1st Most consecutive four-wickets-in-an-innings (2)', '3rd Most balls bowled in career (2241)', '3rd Most runs conceded in career (2077)', '1st Most wickets taken caught by a fielder (78)']</t>
  </si>
  <si>
    <t>['4th Most runs in an innings (by batting position) (31*)', '10th Most ducks in career (11)', '5th Most wickets in career (151)', '3rd Best figures in an innings (7/14)', '8th Most wickets in a series (27)', '1st Most wickets in a calendar year (37)', '1st Outstanding bowling analyses in an innings (1/0)', '4th Most wickets on a single ground (21)', '11th Best figures in a innings when on the losing side (4)', '40th Best career strike rate (35.5)', '26th Best economy rate in an innings (0.40)', '18th Best strike rate in an innings (7.2)', '1st Most five-wickets-in-an-innings in a career (6)', '1st Most four-wickets-in-an-innings in a career (12)', '1st Most consecutive five-wickets-in-an-innings (2)', '3rd Most consecutive four-wickets-in-an-innings (2)', '27th Youngest player to take five-wickets-in-an-innings (22y 355d)', '8th Oldest player to take five-wickets-in-an-innings (31y 55d)', '8th Most balls bowled in career (5368)', '11th Most runs conceded in career (3098)', '31st Bowler/Batters combinations (5)', '10th Bowler/fielder combinations (17)', '25th Most wickets taken bowled (22)', '1st Most wickets taken caught (96)', '3rd Most wickets taken caught and bowled (12)', '1st Most wickets taken caught by a fielder (87)', '11th Most wickets taken lbw (20)', '10th Most wickets taken stumped (13)', '20th Most catches in career (37)', '4th Most catches in an innings (3)', '47th Most catches in a series (6)', '30th Highest partnership for the ninth wicket (37)', '33rd Highest partnership for the tenth wicket (28)', '19th Most matches in career (122)', '40th Most consecutive matches for a team (40)', '10th Youngest players (14y 322d)', '18th Longest careers (16y 103d)', '11th Youngest captains (21y 225d)']</t>
  </si>
  <si>
    <t>['7th Most runs in an innings (by batting position) (20*)', '16th Most ducks in career (6)', '1st Most wickets in career (120)', '18th Best figures in an innings (5/10)', '22nd Most wickets in a calendar year (20)', '12th Outstanding bowling analyses in an innings (5/10)', '19th Most wickets on a single ground (10)', '6th Best figures in a innings by a captain (4)', '21st Best career bowling average (17.30)', '34th Best career economy rate (5.56)', '24th Best career strike rate (18.6)', '1st Most four-wickets-in-an-innings in a career (7)', '1st Most consecutive four-wickets-in-an-innings (2)', '3rd Most balls bowled in career (2241)', '3rd Most runs conceded in career (2077)', '6th Bowler/Batters combinations (5)', '21st Bowler/fielder combinations (9)', '19th Most wickets taken bowled (17)', '1st Most wickets taken caught (79)', '4th Most wickets taken caught and bowled (6)', '1st Most wickets taken caught by a fielder (78)', '18th Most wickets taken lbw (8)', '3rd Most wickets taken stumped (16)', '23rd Most catches in career (26)', '25th Highest partnership for the ninth wicket (18*)', '20th Highest partnership for the tenth wicket (13*)', '7th Most matches in career (111)', '23rd Most consecutive matches for a team (45)', '29th Youngest captains (21y 229d)', '27th Most maidens in career (6)', '12th Most maidens in an innings (2)']</t>
  </si>
  <si>
    <t>['4th Most runs in a career without a hundred (1993)', ' 300 runs and 15 wicketkeeping dismissals in a series ', '10th Most byes conceded in an innings (12)']</t>
  </si>
  <si>
    <t>['33rd Most runs in a series by a wicketkeeper (342)', '4th Most runs in a career without a hundred (1993)', '27th Captains who have kept wicket (1)', '33rd Oldest captains on captaincy debut (36y 195d)', '20th Most dismissals in career (189)', '15th Most dismissals in a series (24)', '18th Most catches in career (181)', '29th Most catches in a series (22)', '13th Most byes conceded in an innings (29)']</t>
  </si>
  <si>
    <t>['12th Highest partnership for the tenth wicket (64*)', '40th Oldest living players (78y 12d)', '46th Oldest captains (36y 203d)', '29th Captains who have kept wicket (2)', '31st Oldest captains on captaincy debut (34y 278d)', '10th Most byes conceded in an innings (12)']</t>
  </si>
  <si>
    <t>[' Hundred on debut (210*)']</t>
  </si>
  <si>
    <t>['4th Most runs in debut match (250)', '25th Highest maiden hundred (210*)', '19th Most sixes in an innings (7)']</t>
  </si>
  <si>
    <t>['35th Worst career bowling average (without qualification) (76.00)']</t>
  </si>
  <si>
    <t>['45th Highest partnership for the second wicket (255)', '49th Oldest living players (86y 58d)']</t>
  </si>
  <si>
    <t>['9th Most player-of-the-series awards (6)', '5th Most runs in a career without a hundred (1810)', '5th Outstanding bowling analyses in an innings (7/22)', '5th Most consecutive five-wickets-in-an-innings (4)', '5th Bowler/Batter combinations (16)', '4th Fastest to 300 wickets (61)', ' 1000 runs and 100 wickets ', '5th Most runs in a career without a hundred (2765)', '5th Most consecutive five-wickets-in-an-innings (4)', '2nd Bowler/batsman combinations (20)']</t>
  </si>
  <si>
    <t>['5th Most runs in a career without a hundred (1810)', '20th Most wickets in career (376)', '19th Most wickets in a series (35)', '12th Most wickets in a calendar year (73)', '5th Outstanding bowling analyses in an innings (7/22)', '18th Best career bowling average (20.94)', '20th Best career strike rate (46.7)', '12th Best strike rate in an innings (6.5)', '17th Most five-wickets-in-an-innings in a career (22)', '19th Most ten-wickets-in-a-match in a career (4)', '5th Most consecutive five-wickets-in-an-innings (4)', '34th Most balls bowled in career (17584)', '38th Most runs conceded in career (7876)', '5th Bowler/Batter combinations (16)', '8th Bowler/fielder combinations (71)', '23rd Most wickets taken bowled (73)', '21st Most wickets taken caught (227)', '25th Most wickets taken caught by a fielder (144)', '17th Most wickets taken caught by a wicketkeeper (83)', '18th Most wickets taken lbw (76)', '18th Fastest to 150 wickets (34)', '9th Fastest to 200 wickets (42)', '7th Fastest to 250 wickets (53)', '4th Fastest to 300 wickets (61)', '7th Fastest to 350 wickets (75)', '25th Most player-of-the-match awards (10)', '9th Most player-of-the-series awards (6)']</t>
  </si>
  <si>
    <t>['14th Best career economy rate (3.53)', '22nd Best economy rate in an innings (0.83)', '33rd Bowler/fielder combinations (28)', '38th Most wickets taken bowled (49)', '49th Fastest to 150 wickets (125)', '19th Shortest lived players (41y 200d)']</t>
  </si>
  <si>
    <t>['43rd Most runs conceded in an innings (56)', '26th Highest partnership for the ninth wicket (31*)', '24th Highest partnership for the tenth wicket (20)']</t>
  </si>
  <si>
    <t>['6th Highest strike rate in an innings (258.33)', '6th Most ducks in a series (3)']</t>
  </si>
  <si>
    <t>['6th Highest strike rate in an innings (258.33)', '11th Most ducks in a series (4)']</t>
  </si>
  <si>
    <t>['6th Most ducks in a series (3)']</t>
  </si>
  <si>
    <t>['4th Most catches in an innings (3)', ' Opening the batting and bowling in the same match ', '4th Most wickets taken caught and bowled (6)', '2nd Highest partnership for the second wicket (162*)']</t>
  </si>
  <si>
    <t>['42nd Most runs in a series (478)', '45th Most runs in a match on the losing side (89)', '23rd Most runs in debut match (55)', '27th Highest maiden hundred (117)', '15th Youngest player to score a hundred (20y 187d)', '28th Fifties in consecutive innings (3)', '25th Most wickets in a series (22)', '11th Best figures in a innings when on the losing side (4)', '44th Best career strike rate (35.8)', '33rd Worst career economy rate (4.24)', '31st Most wickets taken caught and bowled (5)', '4th Most catches in an innings (3)', '8th Most catches in a series (11)', '47th Highest partnerships for any wicket (176)', '14th Highest partnership for the second wicket (176)', '49th Most consecutive matches for a team (39)', '43rd Youngest players (16y 237d)']</t>
  </si>
  <si>
    <t>['35th Most runs in career (986)', '21st Most runs in an innings (107*)', '14th Most runs in an innings (by batting position) (107*)', '17th Most runs in a match on the losing side (70)', '23rd Most fifties in career (5)', '16th Most ducks in career (6)', '34th Highest percentage of runs in a completed innings (56.91)', '36th Most wickets in career (51)', '27th Best career bowling average (18.00)', '18th Best career strike rate (17.9)', '33rd Best strike rate in an innings (4.0)', '13th Most four-wickets-in-an-innings in a career (2)', '45th Most balls bowled in career (917)', '44th Most runs conceded in career (918)', '23rd Most wickets taken caught (35)', '4th Most wickets taken caught and bowled (6)', '22nd Most wickets taken caught by a fielder (31)', '32nd Most wickets taken stumped (6)', '34th Most catches in career (23)', '11th Highest partnerships for any wicket (162*)', '22nd Highest partnership for the first wicket (120)', '2nd Highest partnership for the second wicket (162*)']</t>
  </si>
  <si>
    <t>[' 200 runs and 10 wicketkeeping dismissals in a series ']</t>
  </si>
  <si>
    <t>['47th Most dismissals in career (101)', '35th Most dismissals in a match (8)', '43rd Most catches in career (98)', '26th Most catches in a match (8)']</t>
  </si>
  <si>
    <t>['27th Most runs in a series by a wicketkeeper (342)', '46th Most dismissals in a series (14)', '50th Most catches in career (44)']</t>
  </si>
  <si>
    <t>['8th Most dismissals in a match (9)', '8th Most catches in a match (9)']</t>
  </si>
  <si>
    <t>['35th Longest lived players (63y 32d)']</t>
  </si>
  <si>
    <t>['9th Hundred in last match (123*)']</t>
  </si>
  <si>
    <t>['9th Hundred in last match (123*)', '12th Oldest player to score a maiden hundred (37y 138d)']</t>
  </si>
  <si>
    <t>['2nd Longest lived players (33y 226d)', '6th Highest partnership for the seventh wicket (73)']</t>
  </si>
  <si>
    <t>['36th Shortest lived players (33y 226d)']</t>
  </si>
  <si>
    <t>['12th Shortest lived players (33y 226d)']</t>
  </si>
  <si>
    <t>['6th Highest partnership for the seventh wicket (73)', '2nd Longest lived players (33y 226d)']</t>
  </si>
  <si>
    <t>['8th Most runs in an innings (by batting position) (23)']</t>
  </si>
  <si>
    <t>['4th Most runs in an innings (by batting position) (82)', '2nd Highest partnership for the tenth wicket (62)']</t>
  </si>
  <si>
    <t>['4th Most runs in an innings (by batting position) (82)', '18th Most innings before first duck (22)', '2nd Highest partnership for the tenth wicket (62)', '26th Most consecutive matches missed for a team between appearances (39)']</t>
  </si>
  <si>
    <t>['8th Most runs in an innings (by batting position) (23)', '2nd Best career economy rate (6.01)', '3rd Most wickets taken stumped (12)']</t>
  </si>
  <si>
    <t>['41st Best figures in an innings (6/27)', '43rd Most five-wickets-in-an-innings in a career (2)', '32nd Fastest to 50 wickets (29)']</t>
  </si>
  <si>
    <t>['8th Most runs in an innings (by batting position) (23)', '33rd Most wickets in career (52)', '39th Best career bowling average (21.25)', '2nd Best career economy rate (6.01)', '23rd Most balls bowled in career (1102)', '41st Most runs conceded in career (1105)', '17th Bowler/batters combinations (3)', '3rd Bowler/fielder combinations (10)', '32nd Most wickets taken lbw (5)', '3rd Most wickets taken stumped (12)', '28th Fastest to 50 wickets (48)', '49th Highest partnership for the ninth wicket (25)', '39th Highest partnership for the tenth wicket (17)']</t>
  </si>
  <si>
    <t>['13th Worst career bowling average (55.44)', '21st Worst career strike rate (66.0)']</t>
  </si>
  <si>
    <t>['1st Best figures in a innings when on the losing side (9)']</t>
  </si>
  <si>
    <t>['13th Best figures in an innings (9/95)', '1st Best figures in a innings when on the losing side (9)']</t>
  </si>
  <si>
    <t>['3rd Most consecutive matches missed for a team between appearances (76)']</t>
  </si>
  <si>
    <t>['23rd Highest percentage of runs in a completed innings (54.16)', '14th Longest intervals between appearances (7y 9d)', '3rd Most consecutive matches missed for a team between appearances (76)', '13th Youngest captains (21y 245d)']</t>
  </si>
  <si>
    <t>['48th Most runs in an innings (by batting position) (50*)', '25th Most innings before first duck (17)', '43rd Most runs conceded in an innings (44)']</t>
  </si>
  <si>
    <t>[' Hundred and a ninety in a match ', ' Hundred and a duck in a match ', '8th Highest percentage of runs in a completed innings (61.87)']</t>
  </si>
  <si>
    <t>['20th Hundred in last match (258)', '36th Highest maiden hundred (201)', '8th Highest percentage of runs in a completed innings (61.87)', '35th Highest partnership for the third wicket (273)', '24th Highest partnership for the fifth wicket (265)']</t>
  </si>
  <si>
    <t>['8th Highest strike rate in an innings (312.50)']</t>
  </si>
  <si>
    <t>['38th Highest career strike rate (97.85)', '8th Highest strike rate in an innings (312.50)']</t>
  </si>
  <si>
    <t>['37th Highest partnership for the ninth wicket (28)']</t>
  </si>
  <si>
    <t>['26th Oldest player to score a hundred (32y 123d)', '17th Oldest player to score a maiden hundred (32y 123d)', '21st Most ducks in career (9)', '24th Highest partnership for the third wicket (139*)']</t>
  </si>
  <si>
    <t>['34th Most innings before first duck (14)', '16th Most ducks in career (6)']</t>
  </si>
  <si>
    <t>['23rd Captains who have kept wicket (3)']</t>
  </si>
  <si>
    <t>['8th No ducks in career (33)']</t>
  </si>
  <si>
    <t>['6th Most runs in an innings (by batting position) (124)']</t>
  </si>
  <si>
    <t>['42nd Most consecutive matches missed for a team between appearances (55)']</t>
  </si>
  <si>
    <t>['6th Most runs in an innings (by batting position) (124)', '45th Highest career strike rate (96.66)', '23rd Youngest player to score a hundred (20y 266d)', '44th Most sixes in an innings (8)', '36th Highest percentage of runs in a completed innings (55.47)', '25th Highest partnership for the eighth wicket (84)']</t>
  </si>
  <si>
    <t>['10th Shortest lived players (26y 127d)', ' Hundred on debut (104)', '2nd Outstanding bowling analyses in an innings (2/1)', ' A hundred and five wickets in an innings ']</t>
  </si>
  <si>
    <t>['2nd Outstanding bowling analyses in an innings (2/1)', '28th Worst strike rate in an innings (366.0)', '10th Shortest lived players (26y 127d)']</t>
  </si>
  <si>
    <t>['30th Fewest ducks in career (28)', '50th Youngest players (18y 105d)']</t>
  </si>
  <si>
    <t>['37th Oldest players on debut (37y 311d)']</t>
  </si>
  <si>
    <t>[' Hundred on debut (105*)', '8th Outstanding bowling analyses in an innings (4/8)', '1st Highest strike rate in an innings (414.28)']</t>
  </si>
  <si>
    <t>['43rd Youngest player to score a hundred (20y 265d)']</t>
  </si>
  <si>
    <t>['37th Most runs in a career without a hundred (1560)', '8th Outstanding bowling analyses in an innings (4/8)']</t>
  </si>
  <si>
    <t>['1st Highest strike rate in an innings (414.28)', '25th Most innings before first duck (21)']</t>
  </si>
  <si>
    <t>[' Pair by a captain ', '9th Best figures in a innings on debut (7)', '1st Most catches in an innings (5)', ' 1000 runs, 50 wickets and 50 catches ', '2nd Most runs in an innings (by batting position) (84)', '6th Outstanding bowling analyses in an innings (2/2)', ' 1000 runs, 50 wickets and 50 catches ', '6th Most matches as captain (47)', '1st Best figures in a innings when on the losing side (5)', '3rd Most wickets taken caught and bowled (5)', '1st Most catches in an innings (4)']</t>
  </si>
  <si>
    <t>['11th Highest strike rate in an innings (227.27)', '24th Best figures in a innings when on the losing side (7)', '9th Best figures in a innings on debut (7)', '33rd Best figures in a match on debut (8)', '1st Most catches in an innings (5)', '49th Most matches as captain (30)', '21st Most consecutive matches as captain of a team (30)']</t>
  </si>
  <si>
    <t>['2nd Most runs in an innings (by batting position) (84)', '24th Most runs in a career without a hundred (1871)', '34th Highest career strike rate (100.05)', '6th Outstanding bowling analyses in an innings (2/2)', '40th Worst career bowling average (47.54)', '32nd Worst career strike rate (61.1)', '34th Highest partnership for the tenth wicket (51*)']</t>
  </si>
  <si>
    <t>['23rd Most runs in an innings (by batting position) (26*)', '17th Highest career strike rate (147.48)', '15th Highest strike rate in an innings (333.33)', '47th Most consecutive innings without a duck (31)', '35th Fewest ducks in career (17.33)', '44th Best figures in an innings (5/26)', '25th Outstanding bowling analyses in an innings (3/8)', '4th Best figures in a innings by a captain (4)', '1st Best figures in a innings when on the losing side (5)', '16th Most four-wickets-in-an-innings in a career (2)', '39th Most balls bowled in career (916)', '40th Most runs conceded in career (1116)', '29th Most wickets taken caught (35)', '3rd Most wickets taken caught and bowled (5)', '32nd Most wickets taken caught by a fielder (29)', '33rd Most wickets taken caught by a wicketkeeper (6)', '26th Most catches in career (31)', '1st Most catches in an innings (4)', '39th Most matches in career (68)', '26th Most consecutive matches for a team (36)', '28th Most player-of-the-match awards (5)', '6th Most matches as captain (47)', '10th Most consecutive matches as captain of a team (24)', '12th Winning all tosses in a series (6)']</t>
  </si>
  <si>
    <t>['26th Best career bowling average (without qualification) (10.00)']</t>
  </si>
  <si>
    <t>['8th Most consecutive matches as captain of a team (39)', '3rd Most runs in an innings (by batting position) (365*)', ' Hundred in each innings of a match ', ' Hundred and a ninety in a match ', '7th Fifties in consecutive innings (6)', ' Hundred and a duck in a match ', '2nd Fastest to 6000 runs (111)', '2nd Best economy rate in an innings (0.21)', '8th Most catches in a match (6)', ' A hundred and five wickets in an innings ', ' 1000 runs, 50 wickets and 50 catches ', ' 5000 runs and 50 fielding dismissals ', '4th Highest partnership for the fourth wicket (399)', '6th Oldest living players (84y 308d)', '6th Hundreds in consecutive innings (3)', '5th Fifties in consecutive matches (8)']</t>
  </si>
  <si>
    <t>['30th Most runs in career (8032)', '5th Most runs in an innings (365*)', '8th Most runs in an innings (progressive record holder) (365*)', '10th Most runs in a match (365)', '7th Most runs in a series (824)', '3rd Most runs in an innings (by batting position) (365*)', '24th Most runs on a single ground (1354)', '30th Most runs in a day (208)', '5th Most runs in an series by a captain (722)', '12th Highest career batting average (57.78)', '21st Most hundreds in a career (26)', '5th Most triple hundreds in a career (1)', '19th Most hundreds in a calendar year (5)', '6th Most hundreds against one team (10)', '5th Hundreds in consecutive innings (3)', '21st Hundreds in consecutive matches (3)', '1st Highest maiden hundred (365*)', '4th Youngest player to score a double hundred (21y 213d)', '1st Youngest player to score a triple hundred (21y 213d)', '20th Most nineties in career (5)', '37th Most fifties in career (56)', '7th Fifties in consecutive innings (6)', '15th Fifties in consecutive matches (8)', '16th Most innings before first duck (41)', '21st Most fours in an innings (38)', '34th Most runs from fours and sixes in an innings (152)', '14th Fastest to 2000 runs (39)', '7th Fastest to 3000 runs (55)', '8th Fastest to 4000 runs (77)', '3rd Fastest to 5000 runs (95)', '2nd Fastest to 6000 runs (111)', '5th Fastest to 7000 runs (138)', '3rd Fastest to 8000 runs (157)', '16th Best figures in a innings by a captain (6)', '35th Best figures in a match by a captain (8)', '2nd Best economy rate in an innings (0.21)', '43rd Worst strike rate in an innings (342.0)', '21st Most balls bowled in career (21599)', '36th Most runs conceded in career (7999)', '49th Most wickets taken bowled (53)', '31st Most catches in career (109)', '8th Most catches in a match (6)', '10th Most catches in a series (12)', '16th Highest partnerships for any wicket (399)', '34th Highest partnership for the second wicket (269)', '4th Highest partnership for the fourth wicket (399)', '13th Highest partnership for the sixth wicket (274*)', '12th Most consecutive matches for a team (85)', '28th Youngest players (17y 245d)', '16th Longest careers (20y 6d)', '29th Most matches as captain (39)', '8th Most consecutive matches as captain of a team (39)', '18th Winning all tosses in a series (5)']</t>
  </si>
  <si>
    <t>['44th Oldest players on debut (37y 39d)', '6th Oldest living players (84y 308d)']</t>
  </si>
  <si>
    <t>['22nd Worst career bowling average (without qualification) (167.00)']</t>
  </si>
  <si>
    <t>['6th Most consecutive ducks (3)', '1st Outstanding bowling analyses in an innings (4/3)', '1st Best economy rate in an innings (0.30)', '2nd Most catches in an innings (4)', ' Opening the batting and bowling in the same match ', ' 1000 runs, 50 wickets and 50 catches ', '4th Most consecutive ducks (4)']</t>
  </si>
  <si>
    <t>['6th Most ducks in a series (3)', '6th Most consecutive ducks (3)', '31st Longest individual innings (by balls) (161)', '1st Outstanding bowling analyses in an innings (1/0)', '1st Best economy rate in an innings (0.30)', '47th Best strike rate in an innings (7.2)', '2nd Most catches in an innings (4)']</t>
  </si>
  <si>
    <t>['15th Best career bowling average (without qualification) (4.00)', '12th Best figures in a innings on debut (3)']</t>
  </si>
  <si>
    <t>['21st Best career bowling average (without qualification) (9.75)']</t>
  </si>
  <si>
    <t>['7th Worst career bowling average (without qualification) (172.00)', '7th Most sixes in an innings (10)', '8th Best figures in a innings when on the losing side (4)']</t>
  </si>
  <si>
    <t>['37th Worst career bowling average (without qualification) (147.00)']</t>
  </si>
  <si>
    <t>['44th Fifties in consecutive innings (4)', '7th Worst career bowling average (without qualification) (172.00)', '14th Highest partnership for the sixth wicket (154)']</t>
  </si>
  <si>
    <t>['50th Most runs in career (1262)', '24th Most runs in an innings (by batting position) (82*)', '48th Most runs in a match on the losing side (77)', '32nd Most fifties in career (8)', '13th Most ducks in career (6)', '34th Most sixes in career (55)', '45th Most fours in career (116)', '7th Most sixes in an innings (10)', '12th Most fours in an innings (12)', '26th Most runs from fours and sixes in an innings (80)', '8th Best figures in a innings when on the losing side (4)', '31st Best strike rate in an innings (4.5)', '40th Most catches in career (25)', '15th Most catches in an innings (3)', '39th Highest partnerships for any wicket (133)', '20th Highest partnership for the first wicket (133)', '19th Highest partnership for the sixth wicket (73)', '12th Longest careers (13y 251d)']</t>
  </si>
  <si>
    <t>['25th Most runs in debut match (61)']</t>
  </si>
  <si>
    <t>['15th Oldest living players (90y 279d)']</t>
  </si>
  <si>
    <t>['46th Oldest living players (77y 44d)']</t>
  </si>
  <si>
    <t>['6th Most catches by a substitute in a match (3)', ' 250 runs and 10 wickets in a series ', ' 1000 runs, 50 wickets and 50 catches ', ' 5000 runs and 50 fielding dismissals ', '2nd No ducks in career (65)']</t>
  </si>
  <si>
    <t>['27th Highest percentage of runs in a completed innings (58.85)', '18th Worst career bowling average (59.63)', '49th Worst career strike rate (107.1)', '6th Most catches by a substitute in a match (3)', '17th Highest partnership for the seventh wicket (204)']</t>
  </si>
  <si>
    <t>['49th Youngest player to score a hundred (21y 292d)', '43rd Oldest player to score a hundred (35y 137d)', '16th Most innings before first duck (44)', '31st Most sixes in career (118)', '50th Worst career bowling average (46.37)', '25th Most wickets taken caught and bowled (11)', '19th Highest partnership for the fourth wicket (192)', '12th Longest careers (18y 71d)', '33rd Oldest captains on captaincy debut (34y 272d)']</t>
  </si>
  <si>
    <t>['29th Most runs in career (1611)', '21st Most runs in an innings (by batting position) (89*)', '48th Most runs in debut match (51)', '26th Most fifties in career (10)', '2nd No ducks in career (65)', '4th Most consecutive innings without a duck (65*)', '24th Most sixes in career (69)', '25th Most fours in career (144)', '17th Most sixes in an innings (9)', '12th Longest individual innings (by balls) (66)', '40th Highest percentage of runs in a completed innings (56.93)', '28th Fastest to 1000 runs (41)', '14th Most wickets taken caught and bowled (3)', '29th Highest partnership for the fifth wicket (76*)', '25th Highest partnership for the seventh wicket (54*)', '40th Most matches in career (67)', '19th Most player-of-the-match awards (6)']</t>
  </si>
  <si>
    <t>['30th Oldest living players (87y 307d)', '12th Most matches as a match referee (42)']</t>
  </si>
  <si>
    <t>['11th Most matches as a match referee (118)']</t>
  </si>
  <si>
    <t>['1st Most wickets taken hit wicket (1)']</t>
  </si>
  <si>
    <t>['17th Best career bowling average (without qualification) (10.25)', '1st Most wickets taken hit wicket (1)']</t>
  </si>
  <si>
    <t>['10th Number eleven top scoring in an innings (53*)', '2nd Most consecutive five-wickets-in-an-innings (5)']</t>
  </si>
  <si>
    <t>['13th Most runs in an innings (by batting position) (53*)', '34th Highest strike rate in an innings (182.75)', '10th Number eleven top scoring in an innings (53*)', '40th Best figures in a match when on the losing side (10)', '2nd Most consecutive five-wickets-in-an-innings (5)', '47th Most runs conceded in an innings (193)', '23rd Most runs conceded in a match (273)', '41st Fastest to 50 wickets (11)']</t>
  </si>
  <si>
    <t>['7th Ninety on debut (96)']</t>
  </si>
  <si>
    <t>['6th Most catches by a substitute in a match (3)']</t>
  </si>
  <si>
    <t>['6th Most catches by a substitute in a match (3)', '21st Youngest players (17y 122d)']</t>
  </si>
  <si>
    <t>['1st Most runs conceded in a match (374)']</t>
  </si>
  <si>
    <t>['35th Oldest player to take five-wickets-in-an-innings (37y 232d)', '16th Oldest player to take a maiden five-wickets-in-an-innings (37y 232d)', '11th Most balls bowled in an innings (482)', '32nd Most balls bowled in a match (632)', '3rd Most runs conceded in an innings (266)', '1st Most runs conceded in a match (374)']</t>
  </si>
  <si>
    <t>['5th Most innings before first duck (34)', '10th Most wickets taken caught by a wicketkeeper (8)', '3rd Most catches in an innings (3)']</t>
  </si>
  <si>
    <t>['5th Most innings before first duck (34)', '35th Most consecutive innings without a duck (34)', '7th Fewest ducks in career (35)', '34th Best figures in an innings (5/15)', '17th Outstanding bowling analyses in an innings (5/15)', '24th Most wickets on a single ground (13)', '33rd Bowler/fielder combinations (11)', '38th Most wickets taken caught (43)', '43rd Most wickets taken caught by a fielder (32)', '27th Most wickets taken caught by a wicketkeeper (11)']</t>
  </si>
  <si>
    <t>['42nd Most wickets in career (48)', '18th Worst career bowling average (25.31)', '17th Worst career strike rate (26.2)', '25th Most balls bowled in career (1259)', '22nd Most runs conceded in career (1215)', '18th Bowler/Batters combinations (4)', '26th Most wickets taken caught (33)', '33rd Most wickets taken caught by a fielder (25)', '10th Most wickets taken caught by a wicketkeeper (8)', '36th Most wickets taken lbw (6)', '30th Most catches in career (24)', '3rd Most catches in an innings (3)', '35th Most matches in career (82)', '20th Most maidens in career (7)']</t>
  </si>
  <si>
    <t>['3rd Highest partnership for the third wicket (124)']</t>
  </si>
  <si>
    <t>['20th Worst career bowling average (35.97)', '26th Worst career strike rate (57.3)', '43rd Worst economy rate in an innings (8.60)', '11th Oldest player to take a maiden five-wickets-in-an-innings (28y 360d)', '44th Bowler/fielder combinations (10)', '27th Most wickets taken caught by a wicketkeeper (11)']</t>
  </si>
  <si>
    <t>['34th Most ducks in career (5)', '48th Best career bowling average (20.26)', '30th Best career economy rate (5.51)', '35th Most wickets taken bowled (12)', '36th Most wickets taken lbw (6)', '34th Highest partnerships for any wicket (124)', '3rd Highest partnership for the third wicket (124)', '32nd Highest partnership for the ninth wicket (17*)']</t>
  </si>
  <si>
    <t>['6th Worst economy rate in an innings (7.36)']</t>
  </si>
  <si>
    <t>['10th Most runs in an innings (by batting position) (291)', ' Hundred and a ninety in a match ', '2nd Outstanding bowling analyses in an innings (2/1)', ' 5000 runs and 50 fielding dismissals ', '7th Hundred in hundredth match (115*)', ' 99 not out (and 199, 299 etc) (99*)']</t>
  </si>
  <si>
    <t>['36th Most runs in an innings (291)', '10th Most runs in an innings (by batting position) (291)', '26th Youngest player to score a double hundred (23y 347d)', '25th Longest individual innings (by minutes) (698)', '2nd Outstanding bowling analyses in an innings (2/1)', '42nd Worst career bowling average (50.56)', '46th Worst career economy rate (3.45)', '25th Highest partnership for the fifth wicket (262*)', '17th Highest partnership for the sixth wicket (261)', '44th Most player-of-the-series awards (3)']</t>
  </si>
  <si>
    <t>['42nd Highest career batting average (42.67)', '7th Hundred in hundredth match (115*)', '22nd Most nineties in career (5)', '20th Most innings before first duck (42)', '27th Fastest to 1000 runs (27)', '41st Fastest to 3000 runs (88)', '34th Fastest to 4000 runs (114)', '34th Fastest to 5000 runs (144)', '22nd Highest partnership for the ninth wicket (77)', '20th Youngest captains (23y 300d)']</t>
  </si>
  <si>
    <t>['12th Best career bowling average (without qualification) (5.00)', '26th Highest partnership for the fifth wicket (77)']</t>
  </si>
  <si>
    <t>['10th Highest partnership for the sixth wicket (89)']</t>
  </si>
  <si>
    <t>['14th Best career bowling average (without qualification) (3.50)']</t>
  </si>
  <si>
    <t>['29th Best strike rate in an innings (6.2)', '13th Most consecutive four-wickets-in-an-innings (2)', '34th Youngest player to take five-wickets-in-an-innings (22y 12d)']</t>
  </si>
  <si>
    <t>['48th Best figures in an innings (5/28)', '16th Best strike rate in an innings (3.6)', '43rd Most runs conceded in an innings (56)']</t>
  </si>
  <si>
    <t>['7th Most runs in an innings (by batting position) (38)']</t>
  </si>
  <si>
    <t>['7th Most runs in an innings (by batting position) (38)', '11th Best figures in a innings when on the losing side (4)', '41st Worst career bowling average (31.36)', '41st Worst career strike rate (53.0)', '41st Highest partnership for the ninth wicket (36)', '26th Oldest players on debut (34y 177d)']</t>
  </si>
  <si>
    <t>['10th Most consecutive matches as captain of a team (36*)', '3rd Most runs in an series by a captain (843)', '5th Most hundreds in a calendar year (2)', '1st Most nineties in career (5)', '3rd Most fifties in career (41)', '2nd Most innings before first duck (49)', '6th Most wickets in a calendar year (32)', '10th Most balls bowled in career (5309)', '1st Most wickets taken caught and bowled (17)', '3rd Most catches in career (58)', ' Opening the batting and bowling in the same match ', ' 1000 runs, 50 wickets and 50 catches ', '8th Highest partnership for the sixth wicket (96)', '9th Most matches in career (108)', '8th Most matches as captain (52)', '2nd Most runs in career (3062)', '3rd Highest career batting average (36.02)', '2nd Most runs in debut match (90)', '2nd Most fifties in career (21)', '3rd Most consecutive innings without a duck (63)', '1st Fastest to 3000 runs (103)', '3rd Most wickets on a single ground (13)', '8th Most balls bowled in career (1685)', '10th Most runs conceded in career (1587)', '4th Most wickets taken stumped (14)', '10th Most catches in career (34)', '9th Highest partnership for the seventh wicket (51)']</t>
  </si>
  <si>
    <t>['5th Most runs in career (4754)', '7th Most runs in an innings (171)', '7th Most runs in a series (857)', '12th Most runs in a calendar year (707)', '5th Most runs in an innings (by batting position) (171)', '27th Most runs in a match on the losing side (95)', '29th Most runs on a single ground (357)', '3rd Most runs in an series by a captain (843)', '12th Highest career batting average (44.01)', '10th Most hundreds in a career (5)', '5th Most hundreds in a calendar year (2)', '47th Highest maiden hundred (108*)', '7th Youngest player to score a hundred (18y 127d)', '1st Most nineties in career (5)', '3rd Most fifties in career (41)', '12th Fifties in consecutive innings (4)', '2nd Most innings before first duck (49)', '9th Most consecutive innings without a duck (49)', '28th Fewest ducks in career (24.6)', '12th Highest percentage of runs in a completed innings (56.72)', '9th Most wickets in career (142)', '17th Most wickets in a series (23)', '6th Most wickets in a calendar year (32)', '14th Most wickets on a single ground (15)', '11th Best figures in a innings when on the losing side (4)', '15th Most four-wickets-in-an-innings in a career (5)', '10th Most balls bowled in career (5309)', '12th Most runs conceded in career (3032)', '5th Bowler/Batters combinations (7)', '8th Bowler/fielder combinations (19)', '18th Most wickets taken bowled (27)', '6th Most wickets taken caught (76)', '1st Most wickets taken caught and bowled (17)', '4th Most wickets taken caught by a fielder (66)', '32nd Most wickets taken caught by a wicketkeeper (10)', '6th Most wickets taken lbw (26)', '10th Most wickets taken stumped (13)', '3rd Most catches in career (58)', '4th Most catches in an innings (3)', '8th Most catches in a series (11)', '22nd Highest partnerships for any wicket (204)', '9th Highest partnership for the first wicket (204)', '48th Highest partnership for the second wicket (137*)', '27th Highest partnership for the third wicket (135)', '8th Highest partnership for the fourth wicket (151*)', '8th Highest partnership for the fifth wicket (113)', '8th Highest partnership for the sixth wicket (96)', '11th Most matches in career (126)', '30th Most consecutive matches for a team (44)', '16th Most matches as captain (43)', '10th Most consecutive matches as captain of a team (36*)', '14th Youngest captains (21y 256d)']</t>
  </si>
  <si>
    <t>['2nd Most runs in career (3062)', '37th Most runs in an innings (90)', '10th Most runs in a calendar year (515)', '17th Most runs in an innings (by batting position) (75)', '7th Most runs in a match on the losing side (78)', '4th Most runs on a single ground (300)', '12th Most runs in an innings by a captain (90)', '3rd Highest career batting average (36.02)', '2nd Most runs in debut match (90)', '2nd Most fifties in career (21)', '3rd Fifties in consecutive innings (3)', '3rd Most consecutive innings without a duck (63)', '35th Fewest ducks in career (17.66)', '16th Most ducks in career (6)', '32nd Highest percentage of runs in a completed innings (57.14)', '3rd Fastest to 1000 runs (38)', '1st Fastest to 2000 runs (68)', '1st Fastest to 3000 runs (103)', '8th Most wickets in career (94)', '15th Most wickets in a calendar year (22)', '3rd Most wickets on a single ground (13)', '6th Best figures in a innings by a captain (4)', '18th Best career bowling average (16.88)', '38th Best career economy rate (5.65)', '18th Best career strike rate (17.9)', '8th Most balls bowled in career (1685)', '10th Most runs conceded in career (1587)', '18th Bowler/Batters combinations (4)', '5th Bowler/fielder combinations (12)', '9th Most wickets taken bowled (24)', '12th Most wickets taken caught (45)', '12th Most wickets taken caught and bowled (4)', '13th Most wickets taken caught by a fielder (39)', '19th Most wickets taken caught by a wicketkeeper (6)', '8th Most wickets taken lbw (11)', '4th Most wickets taken stumped (14)', '10th Most catches in career (34)', '26th Highest partnership for the second wicket (101)', '13th Highest partnership for the third wicket (108)', '22nd Highest partnership for the fourth wicket (77)', '36th Highest partnership for the fifth wicket (56)', '30th Highest partnership for the sixth wicket (44)', '9th Highest partnership for the seventh wicket (51)', '18th Highest partnership for the eighth wicket (28*)', '9th Most matches in career (108)', '42nd Most consecutive matches for a team (38)', '8th Most matches as captain (52)', '16th Youngest captains (20y 261d)', '12th Most maidens in an innings (2)']</t>
  </si>
  <si>
    <t>['9th Outstanding bowling analyses in an innings (5/11)']</t>
  </si>
  <si>
    <t>['9th Outstanding bowling analyses in an innings (5/11)', '43rd Worst career economy rate (3.46)', '48th Worst economy rate in an innings (6.35)']</t>
  </si>
  <si>
    <t>['13th Most consecutive four-wickets-in-an-innings (2)', '27th Most runs conceded in an innings (95)', '46th Most wickets taken bowled (45)', '39th Fastest to 100 wickets (68)', '23rd Highest partnership for the tenth wicket (57*)']</t>
  </si>
  <si>
    <t>['13th Most runs in an innings (by batting position) (21)', '13th Outstanding bowling analyses in an innings (3/6)', '50th Best career strike rate (18.1)', '12th Worst career economy rate (8.63)', '38th Most wickets taken bowled (11)', '48th Most wickets taken caught by a wicketkeeper (5)', '49th Highest partnership for the ninth wicket (25)', '33rd Most consecutive matches missed for a team between appearances (41)', '34th Longest careers (11y 321d)', '39th Longest intervals between appearances (5y 173d)']</t>
  </si>
  <si>
    <t>['37th Best economy rate in an innings (0.60)', '20th Oldest player to take a maiden five-wickets-in-an-innings (36y 340d)']</t>
  </si>
  <si>
    <t>['10th Best career bowling average (without qualification) (5.50)']</t>
  </si>
  <si>
    <t>[' Pair on debut ', '5th Best figures in a innings when on the losing side (8)', '1st Best figures in a innings on debut (8)', '8th Youngest player to take ten-wickets-in-a-match (20y 41d)', '3rd Most balls bowled in an innings (552)', '4th Fastest to 50 wickets (8)']</t>
  </si>
  <si>
    <t>['33rd Most wickets in a series (33)', '5th Best figures in a innings when on the losing side (8)', '15th Best figures in a match when on the losing side (11)', '24th Best career economy rate (1.95)', '1st Best figures in a innings on debut (8)', '5th Best figures in a match on debut (11)', '36th Youngest player to take five-wickets-in-an-innings (20y 41d)', '8th Youngest player to take ten-wickets-in-a-match (20y 41d)', '3rd Most balls bowled in an innings (552)', '8th Most balls bowled in a match (696)', '4th Fastest to 50 wickets (8)', '7th Fastest to 100 wickets (19)']</t>
  </si>
  <si>
    <t>['6th Most ducks in a series (3)', '2nd Most catches in an innings (4)', ' 1000 runs, 50 wickets and 50 catches ', '6th Most runs in an innings (by batting position) (75*)', '10th Most consecutive innings without a duck (52)', '4th Best figures in a innings by a captain (4)', '9th Highest partnership for the sixth wicket (84)']</t>
  </si>
  <si>
    <t>['11th Most runs in an innings (by batting position) (119)', '6th Most ducks in a series (3)', '23rd Most sixes in career (127)', '22nd Most sixes in an innings (10)', '37th Worst career economy rate (5.71)', '2nd Most catches in an innings (4)', '12th Most catches in a series (9)', '43rd Highest partnership for the seventh wicket (102)', '50th Highest partnership for the ninth wicket (64)']</t>
  </si>
  <si>
    <t>['47th Most runs in career (1277)', '6th Most runs in an innings (by batting position) (75*)', '49th Most runs in an innings by a captain (75*)', '49th Highest career strike rate (137.31)', '13th Highest strike rate in an innings (345.45)', '10th Most consecutive innings without a duck (52)', '16th Fewest ducks in career (32.5)', '11th Most sixes in career (85)', '30th Most sixes in an innings (8)', '4th Best figures in a innings by a captain (4)', '16th Worst career economy rate (8.48)', '34th Most wickets taken caught (34)', '14th Most wickets taken caught and bowled (3)', '33rd Most wickets taken caught by a fielder (28)', '33rd Most wickets taken caught by a wicketkeeper (6)', '15th Most catches in career (37)', '9th Highest partnership for the sixth wicket (84)', '46th Highest partnership for the eighth wicket (34*)', '23rd Most matches in career (79)', '22nd Longest careers (12y 260d)', '44th Most matches as captain (17)']</t>
  </si>
  <si>
    <t>['27th Ninety on debut (94)']</t>
  </si>
  <si>
    <t>['27th Worst career economy rate (3.57)']</t>
  </si>
  <si>
    <t>['49th Best figures in an innings (6/29)', '25th Bowler/Batters combinations (8)', '11th Fastest to 50 wickets (26)']</t>
  </si>
  <si>
    <t>['8th Most runs in an innings (by batting position) (48*)', '4th Most consecutive ducks (4)']</t>
  </si>
  <si>
    <t>['47th Worst career economy rate (3.44)']</t>
  </si>
  <si>
    <t>['8th Most runs in an innings (by batting position) (48*)']</t>
  </si>
  <si>
    <t>['13th Highest career batting average (49.10)', '17th Highest career strike rate (106.62)']</t>
  </si>
  <si>
    <t>['49th Most innings before first duck (15)', '34th Most catches in career (12)', '13th Most catches in an innings (3)', '32nd Most byes conceded in an innings (5)']</t>
  </si>
  <si>
    <t>[' Hundred in each innings of a match ']</t>
  </si>
  <si>
    <t>['15th Worst career bowling average (without qualification) (158.00)']</t>
  </si>
  <si>
    <t>['5th Most runs conceded in an innings (64)']</t>
  </si>
  <si>
    <t>['14th Most runs in an innings (by batting position) (29)', '20th Best figures in an innings (5/15)', '15th Outstanding bowling analyses in an innings (5/15)', '5th Most runs conceded in an innings (64)', '17th Bowler/batters combinations (3)', '17th Highest partnership for the tenth wicket (22*)']</t>
  </si>
  <si>
    <t>[' Hundred on debut (115)']</t>
  </si>
  <si>
    <t>['17th Oldest living players (90y 48d)']</t>
  </si>
  <si>
    <t>['42nd Worst career bowling average (without qualification) (135.00)']</t>
  </si>
  <si>
    <t>['16th Most runs in an innings (by batting position) (101)']</t>
  </si>
  <si>
    <t>['19th Outstanding bowling analyses in an innings (5/15)']</t>
  </si>
  <si>
    <t>['40th Worst career bowling average (without qualification) (71.00)']</t>
  </si>
  <si>
    <t>['46th Most wickets in a calendar year (21)', '16th Highest partnership for the ninth wicket (43)', '19th Youngest players (15y 241d)']</t>
  </si>
  <si>
    <t>['21st Most innings before first duck (18)', '32nd Best figures in an innings (5/16)', '34th Outstanding bowling analyses in an innings (3/5)', '44th Best career bowling average (19.97)', '44th Best career economy rate (5.74)', '44th Best career strike rate (20.8)', '20th Most wickets taken caught and bowled (3)', '24th Most wickets taken lbw (7)']</t>
  </si>
  <si>
    <t>['1st Most runs in an innings (by batting position) (92*)', '1st Highest career strike rate (130.22)', '6th Highest partnership for the eighth wicket (101)', '2nd Worst career bowling average (37.46)']</t>
  </si>
  <si>
    <t>['1st Most runs in an innings (by batting position) (92*)', '1st Highest career strike rate (130.22)', '6th Highest strike rate in an innings (323.07)', '22nd Worst career economy rate (5.84)', '19th Most runs conceded in an innings (96)', '6th Highest partnership for the eighth wicket (101)']</t>
  </si>
  <si>
    <t>['11th Highest career strike rate (151.26)', '36th Highest strike rate in an innings (285.71)', '13th Most ducks in career (6)', '2nd Worst career bowling average (37.46)', '4th Worst career economy rate (9.08)', '13th Worst career strike rate (24.7)', '50th Most consecutive matches for a team (28)']</t>
  </si>
  <si>
    <t>['6th Most catches by a substitute in a match (3)', '39th Oldest living players (86y 341d)']</t>
  </si>
  <si>
    <t>['1st Most runs in an innings (by batting position) (86*)', '3rd Highest partnership for the tenth wicket (99*)']</t>
  </si>
  <si>
    <t>['1st Most runs in an innings (by batting position) (86*)', '14th Best figures in a innings when on the losing side (5)', '43rd Most five-wickets-in-an-innings in a career (2)', '25th Most four-wickets-in-an-innings in a career (10)', '3rd Highest partnership for the tenth wicket (99*)']</t>
  </si>
  <si>
    <t>['17th Bowler/batters combinations (3)', '45th Bowler/fielder combinations (6)', '33rd Most wickets taken caught by a wicketkeeper (6)']</t>
  </si>
  <si>
    <t>['7th Oldest living players (92y 31d)', '1st Most balls bowled in a match (774)']</t>
  </si>
  <si>
    <t>['11th Most ducks in a series (4)', '30th Best career economy rate (1.97)', '20th Youngest player to take ten-wickets-in-a-match (21y 54d)', '1st Most balls bowled in an innings (588)', '1st Most balls bowled in a match (774)', '35th Most wickets taken bowled (62)', '41st Fastest to 50 wickets (11)', '7th Oldest living players (92y 31d)']</t>
  </si>
  <si>
    <t>[' Hundred on debut (100*)', ' Hundred in each innings of a match ', '6th Fastest to 1000 runs (16)']</t>
  </si>
  <si>
    <t>['30th Most runs in an innings (302)', '37th Most runs in a match (314)', '16th Most runs in an innings (by batting position) (302)', '1st Most runs in debut match (314)', '5th Most triple hundreds in a career (1)', '22nd Highest maiden hundred (214)', '20th Youngest player to score a double hundred (23y 39d)', '7th Youngest player to score a triple hundred (25y 57d)', '31st Most fours in an innings (36)', '43rd Most runs from fours and sixes in an innings (150)', '6th Fastest to 1000 runs (16)']</t>
  </si>
  <si>
    <t>['24th Best figures in a innings when on the losing side (7)', '22nd Best figures in a innings on debut (6)']</t>
  </si>
  <si>
    <t>['10th Most runs in an innings (by batting position) (57)', '5th Highest partnership for the eighth wicket (105)', '2nd Longest intervals between appearances (10y 213d)', ' Opening the batting and bowling in the same match ']</t>
  </si>
  <si>
    <t>['10th Most runs in an innings (by batting position) (57)', '5th Highest partnership for the eighth wicket (105)', '13th Oldest players on debut (38y 45d)', '33rd Oldest players (38y 48d)']</t>
  </si>
  <si>
    <t>['37th Oldest players (38y 63d)', '2nd Longest intervals between appearances (10y 213d)']</t>
  </si>
  <si>
    <t>['4th Most consecutive ducks (4)']</t>
  </si>
  <si>
    <t>['11th Most ducks in a series (4)', '4th Most consecutive ducks (4)']</t>
  </si>
  <si>
    <t>['5th Outstanding bowling analyses in an innings (5/8)', '6th Best strike rate in an innings (6.0)']</t>
  </si>
  <si>
    <t>['5th Outstanding bowling analyses in an innings (5/8)', '6th Best strike rate in an innings (6.0)', '45th Youngest player to take ten-wickets-in-a-match (23y 290d)', '31st Most wickets taken caught by a wicketkeeper (65)', '44th Most player-of-the-series awards (3)']</t>
  </si>
  <si>
    <t>['41st Best figures in an innings (6/27)', '14th Best figures in a innings when on the losing side (5)', '23rd Worst economy rate in an innings (11.40)', '25th Most five-wickets-in-an-innings in a career (3)', '23rd Youngest player to take five-wickets-in-an-innings (21y 26d)', '39th Fastest to 100 wickets (68)']</t>
  </si>
  <si>
    <t>['2nd Most runs in a calendar year (1710)', '2nd Most hundreds in a calendar year (7)', '3rd Fifties in consecutive matches (11)', ' Hundred and a duck in a match ', '8th Most sixes in career (84)', '3rd Fastest to 5000 runs (95)', '1st Outstanding bowling analyses in an innings (1/0)', '4th Worst career strike rate (161.5)', ' 5000 runs and 50 fielding dismissals ', '6th Most player-of-the-series awards (7)', '1st Most runs in an innings (by batting position) (189*)', '1st Highest percentage of runs in a completed innings (69.48)', '2nd Fastest to 5000 runs (114)', '2nd Best figures in a innings by a captain (6)', '5th Oldest player to take five-wickets-in-an-innings (37y 230d)', '8th Most catches in a series (10)', ' A fifty and five wickets in an innings ', ' 1000 runs, 50 wickets and 50 catches ', ' 5000 runs and 50 fielding dismissals ', '1st Highest partnership for the tenth wicket (106*)', '9th Most player-of-the-match awards (41)', '1st Fifties in consecutive matches (12)']</t>
  </si>
  <si>
    <t>['25th Most runs in career (8540)', '36th Most runs in an innings (291)', '5th Most runs in a series (829)', '2nd Most runs in a calendar year (1710)', '10th Most runs in an innings (by batting position) (291)', '46th Most runs in a day (200)', '41st Highest career batting average (50.23)', '28th Highest strike rate in an innings (189.65)', '23rd Most hundreds in a career (24)', '27th Most double hundreds in a career (3)', '2nd Most double hundreds in a series (2)', '2nd Most hundreds in a calendar year (7)', '15th Most hundreds against one team (8)', '21st Hundreds in consecutive matches (3)', '15th Most fifties in career (69)', '32nd Fifties in consecutive innings (5)', '3rd Fifties in consecutive matches (11)', '8th Most sixes in career (84)', '27th Most fours in career (952+)', '19th Most sixes in an innings (7)', '21st Most fours in an innings (38)', '34th Most runs from fours and sixes in an innings (152)', '7th Fastest to 2000 runs (36)', '5th Fastest to 3000 runs (54)', '3rd Fastest to 4000 runs (71)', '3rd Fastest to 5000 runs (95)', '10th Fastest to 6000 runs (120)', '9th Fastest to 7000 runs (140)', '13th Fastest to 8000 runs (167)', '1st Outstanding bowling analyses in an innings (1/0)', '14th Worst career bowling average (61.37)', '4th Worst career strike rate (161.5)', '20th Most catches in career (122)', '42nd Most catches in a series (10)', '27th Highest partnership for the third wicket (303)', '46th Highest partnership for the eighth wicket (124)', '27th Most matches in career (121)', '33rd Most consecutive matches for a team (61)', '25th Most player-of-the-match awards (10)', '15th Most matches as captain (50)', '29th Oldest captains (39y 158d)']</t>
  </si>
  <si>
    <t>['49th Most runs in career (6721)', '12th Most runs in an innings (189*)', '7th Most runs in an innings (progressive record holder) (189*)', '4th Most runs in a series (651)', '43rd Most runs in a calendar year (1231)', '1st Most runs in an innings (by batting position) (189*)', '26th Most runs in an series by a captain (391)', '5th Most runs in an innings by a captain (181)', '24th Highest career batting average (47.00)', '41st Most hundreds in a career (11)', '30th Oldest player to score a hundred (35y 304d)', '40th Most fifties in career (56)', '44th Fifties in consecutive innings (4)', '25th Most sixes in career (126+)', '46th Most fours in career (600+)', '14th Most fours in an innings (21)', '24th Most runs from fours and sixes in an innings (114)', '9th Longest individual innings (by balls) (170)', '1st Highest percentage of runs in a completed innings (69.48)', '3rd Fastest to 1000 runs (21)', '7th Fastest to 2000 runs (48)', '4th Fastest to 3000 runs (69)', '2nd Fastest to 4000 runs (88)', '2nd Fastest to 5000 runs (114)', '4th Fastest to 6000 runs (141)', '2nd Best figures in a innings by a captain (6)', '43rd Most five-wickets-in-an-innings in a career (2)', '5th Oldest player to take five-wickets-in-an-innings (37y 230d)', '8th Oldest player to take a maiden five-wickets-in-an-innings (35y 11d)', '14th Most wickets taken caught and bowled (13)', '28th Most wickets taken stumped (12)', '31st Most catches in career (100)', '8th Most catches in a series (10)', '10th Highest partnerships by wicket (10th)', '39th Highest partnership for the fifth wicket (152)', '1st Highest partnership for the tenth wicket (106*)', '45th Most consecutive matches for a team (74)', '7th Most player-of-the-match awards (31)', '6th Most player-of-the-series awards (7)', '40th Longest careers (15y 354d)', '19th Most matches as captain (105)', '12th Most consecutive matches as captain of a team (54)', '21st Oldest captains (39y 81d)']</t>
  </si>
  <si>
    <t>['12th Most consecutive matches as captain of a team (54)']</t>
  </si>
  <si>
    <t>['9th Most hundreds against one team (9)', ' Hundred and a duck in a match ', ' 5000 runs and 50 fielding dismissals ', '5th Most consecutive matches for a team (132)', ' 99 not out (and 199, 299 etc) (99*)', '5th Most consecutive innings without a duck (92*)', '2nd Most catches in an innings (4)', ' 5000 runs and 50 fielding dismissals ', '9th Most matches as a match referee (39)', '8th Most consecutive matches for a team (134)']</t>
  </si>
  <si>
    <t>['9th Most hundreds against one team (9)', '40th Dismissed for 99 (and 199, 299 etc) (99)', '2nd Most consecutive innings without a duck (96)', '48th Fastest to 4000 runs (93)', '39th Fastest to 5000 runs (116)', '49th Most catches in career (90)', '24th Highest partnership for the third wicket (308)', '42nd Winning all tosses in a series (4)', '14th Most matches as a match referee (31)']</t>
  </si>
  <si>
    <t>['8th Most nineties in career (6)', '5th Most consecutive innings without a duck (92*)', '2nd Most catches in an innings (4)', '44th Highest partnership for the third wicket (187)', '14th Highest partnership for the sixth wicket (154)', '5th Most consecutive matches for a team (132)', '25th Most matches as captain (87)', '15th Most consecutive matches as captain of a team (51)', '20th Winning all tosses in a series (5)', '19th Most matches as a match referee (57)']</t>
  </si>
  <si>
    <t>['15th Most consecutive matches as captain of a team (51)', '9th Most matches as a match referee (39)']</t>
  </si>
  <si>
    <t>['28th Most runs in a day (209)']</t>
  </si>
  <si>
    <t>['22nd Worst career bowling average (without qualification) (91.00)']</t>
  </si>
  <si>
    <t>['6th Captains who have kept wicket (13)', ' 2000 runs and 100 wicketkeeping dismissals ', '5th Highest partnership for the tenth wicket (143)', '5th Most runs in an innings (by batting position) (128)', ' 2000 runs and 100 wicketkeeping dismissals ', '2nd Most dismissals in career (63)', '10th Longest careers (13y 293d)', '2nd Most catches in career (43)', '1st Most stumpings in an innings (4)', '2nd Most byes conceded in an innings (12)', '7th Most runs in an innings (by batting position) (44)', '9th Most dismissals in career (468)', '9th Most catches in career (429)', '6th Most innings before first duck (62)']</t>
  </si>
  <si>
    <t>['11th Most runs in an innings (by batting position) (166)', '23rd Most runs in an innings by a wicketkeeper (166)', '35th Most innings before first duck (35)', '5th Highest partnership for the tenth wicket (143)', '47th Winning all tosses in a series (3)', '6th Captains who have kept wicket (13)', '16th Most dismissals in career (217)', '14th Most catches in career (205)', '37th Most stumpings in career (12)', '48th Highest innings total without conceding a bye (551/3d)']</t>
  </si>
  <si>
    <t>['5th Most runs in an innings (by batting position) (128)', '7th Most runs in an innings by a wicketkeeper (169)', '46th Most consecutive innings without a duck (62)', '49th Fewest ducks in career (27.5)', '13th Most sixes in an innings (11)', '20th Highest partnership for the sixth wicket (145)', '13th Highest partnership for the tenth wicket (64)', '31st Captains who have kept wicket (1)', '14th Most dismissals in career (188)', '16th Most dismissals in an innings (5)', '11th Most catches in career (181)', '11th Most catches in an innings (5)', '38th Most catches in a series (13)']</t>
  </si>
  <si>
    <t>['7th Most runs in an innings (by batting position) (44)', '25th Most innings before first duck (21)', '38th Fewest ducks in career (16.66)', '36th Most matches in career (71)', '10th Longest careers (13y 293d)', '22nd Youngest captains (24y 2d)', '24th Captains who have kept wicket (3)', '2nd Most dismissals in career (63)', '5th Most dismissals in an innings (4)', '2nd Most catches in career (43)', '3rd Most catches in an innings (4)', '5th Most stumpings in career (20)', '1st Most stumpings in an innings (4)', '2nd Most byes conceded in an innings (12)']</t>
  </si>
  <si>
    <t>['3rd Most consecutive matches missed for a team between appearances (109)']</t>
  </si>
  <si>
    <t>['21st Longest intervals between appearances (10y 172d)', '3rd Most consecutive matches missed for a team between appearances (109)', '28th Oldest captains on captaincy debut (36y 351d)']</t>
  </si>
  <si>
    <t>['4th Longest intervals between appearances (10y 169d)', '2nd Most consecutive matches missed for a team between appearances (254)', '36th Oldest captains (37y 69d)', '18th Oldest captains on captaincy debut (37y 3d)']</t>
  </si>
  <si>
    <t>['39th Oldest living players (48y 235d)', '39th Oldest captains (37y 10d)', '29th Oldest captains on captaincy debut (37y 10d)']</t>
  </si>
  <si>
    <t>['5th Best figures in a match when on the losing side (12)', '7th Fastest to 100 wickets (19)', '7th Best career bowling average (20.35)', '8th Highest partnership for the tenth wicket (71)']</t>
  </si>
  <si>
    <t>['44th Most wickets in a series (32)', '24th Best figures in a innings when on the losing side (7)', '5th Best figures in a match when on the losing side (12)', '47th Youngest player to take ten-wickets-in-a-match (23y 347d)', '8th Fastest to 50 wickets (9)', '7th Fastest to 100 wickets (19)', '16th Fastest to 150 wickets (33)', '21st Fastest to 200 wickets (46)']</t>
  </si>
  <si>
    <t>['33rd Most wickets in a series (19)', '7th Best career bowling average (20.35)', '8th Best career economy rate (3.40)', '13th Most consecutive four-wickets-in-an-innings (2)', '32nd Fastest to 50 wickets (29)', '8th Highest partnership for the tenth wicket (71)']</t>
  </si>
  <si>
    <t>['1st Dismissed for 99 (and 199, 299 etc) (99)']</t>
  </si>
  <si>
    <t>['1st Dismissed for 99 (and 199, 299 etc) (99)', '41st Highest partnership for the first wicket (239)']</t>
  </si>
  <si>
    <t>['11th Ninety on debut (94)']</t>
  </si>
  <si>
    <t>[' Opening the batting and bowling in the same match ']</t>
  </si>
  <si>
    <t>['12th Outstanding bowling analyses in an innings (3/8)']</t>
  </si>
  <si>
    <t>['3rd Most runs in an innings (by batting position) (202*)', '5th Best figures in a match by a captain (11)', ' 1000 runs and 100 wickets ', ' 99 not out (and 199, 299 etc) (99*)', '6th Best figures in a innings by a captain (5)', '3rd Worst economy rate in an innings (12.57)', '9th Most runs conceded in an innings (104)', ' 1000 runs and 100 wickets ', ' 1000 runs, 50 wickets and 50 catches ']</t>
  </si>
  <si>
    <t>['3rd Most runs in an innings (by batting position) (202*)', '32nd Fewest ducks in career (27.66)', '13th Most sixes in an innings (8)', '16th Best figures in a innings by a captain (6)', '5th Best figures in a match by a captain (11)', '18th Most consecutive five-wickets-in-an-innings (3)', '33rd Most matches as captain (37)', '49th Most consecutive matches as captain of a team (21)', '16th Youngest captains (23y 343d)']</t>
  </si>
  <si>
    <t>['26th Most runs in a career without a hundred (1837)', '34th Highest strike rate in an innings (276.92)', '6th Best figures in a innings by a captain (5)', '3rd Worst economy rate in an innings (12.57)', '43rd Most five-wickets-in-an-innings in a career (2)', '9th Most runs conceded in an innings (104)', '27th Most matches as captain (86)', '45th Most consecutive matches as captain of a team (33)', '11th Youngest captains (23y 72d)']</t>
  </si>
  <si>
    <t>['44th Most consecutive matches as captain of a team (33)']</t>
  </si>
  <si>
    <t>['5th Hundreds in consecutive innings (3)', ' Hundred and a duck in a match ', ' Carrying bat through a completed innings (143*)', '2nd Unusual dismissals (handled the bal)', ' 5000 runs and 50 fielding dismissals ', ' Hundred on debut (148)', '3rd Most hundreds in a series (3)', '7th Fastest to 7000 runs (187)', ' 5000 runs and 50 fielding dismissals ']</t>
  </si>
  <si>
    <t>['42nd Most runs in career (7487)', '34th Most runs in a match on the losing side (218)', '50th Most runs on a single ground (1210)', '5th Hundreds in consecutive innings (3)', '21st Hundreds in consecutive matches (3)', '34th Most fifties in career (57)', '47th Most fours in career (818+)', '2nd Unusual dismissals (handled the bal)', '50th Fastest to 1000 runs (22)', '18th Best career bowling average (without qualification) (8.00)', '20th Highest partnership for the second wicket (297)', '35th Most matches in career (116)', '19th Most consecutive matches for a team (72)']</t>
  </si>
  <si>
    <t>['24th Most runs in career (8648)', '25th Most runs in a series (514)', '42nd Most runs in a calendar year (1232)', '1st Most runs in debut match (148)', '3rd Hundred in last match (115)', '19th Most hundreds in a career (17)', '3rd Most hundreds in a series (3)', '29th Most hundreds in a calendar year (4)', '10th Most hundreds against one team (6)', '18th Highest maiden hundred (148)', '10th Oldest player to score a hundred (38y 18d)', '17th Most fifties in career (74)', '13th Most consecutive innings without a duck (83)', '28th Most fours in career (768+)', '21st Longest individual innings (by balls) (164)', '32nd Highest percentage of runs in a completed innings (55.98)', '44th Fastest to 3000 runs (89)', '21st Fastest to 4000 runs (110)', '30th Fastest to 5000 runs (141)', '13th Fastest to 6000 runs (162)', '7th Fastest to 7000 runs (187)', '11th Fastest to 8000 runs (219)', '33rd Highest partnership for the second wicket (205)', '44th Highest partnership for the sixth wicket (126)', '50th Most matches in career (238)', '48th Most consecutive matches for a team (73)', '16th Most player-of-the-match awards (25)', '38th Longest careers (16y 11d)', '26th Oldest captains (37y 267d)']</t>
  </si>
  <si>
    <t>['17th Most runs in an innings (by batting position) (50*)', '22nd Youngest player to take ten-wickets-in-a-match (21y 91d)', '31st Most wickets taken bowled (65)', '42nd Most wickets taken caught by a wicketkeeper (54)', '20th Fastest to 50 wickets (10)', '13th Fastest to 100 wickets (20)', '27th Fastest to 150 wickets (35)']</t>
  </si>
  <si>
    <t>['11th Oldest living players (81y 337d)']</t>
  </si>
  <si>
    <t>['37th Oldest player to take a maiden five-wickets-in-an-innings (30y 325d)']</t>
  </si>
  <si>
    <t>['10th Most runs in an innings (by batting position) (233)', ' Hundred and a duck in a match ', ' 1000 runs and 100 wickets ', ' 1000 runs, 50 wickets and 50 catches ', ' 5000 runs and 50 fielding dismissals ', '3rd Outstanding bowling analyses in an innings (2/1)', '5th Most wickets taken caught and bowled (18)', '2nd Most catches in an innings (4)', ' 1000 runs and 100 wickets ', ' 1000 runs, 50 wickets and 50 catches ', ' 5000 runs and 50 fielding dismissals ', '4th Most consecutive innings without a duck (122)']</t>
  </si>
  <si>
    <t>['10th Most runs in an innings (by batting position) (233)', '24th Most runs in an series by a captain (579)', '35th Most runs in an innings by a captain (233)', '44th Highest strike rate in an innings (175.00)', '26th Fifties in consecutive matches (7)', '32nd Most consecutive innings without a duck (60*)', '23rd Most sixes in career (63)', '45th Worst career bowling average (49.42)', '27th Worst career strike rate (121.0)', '26th Most catches in career (115)', '15th Highest partnership for the fifth wicket (293)', '22nd Highest partnership for the tenth wicket (106)', '44th Most consecutive matches as captain of a team (22)']</t>
  </si>
  <si>
    <t>['30th Youngest player to score a hundred (21y 38d)', '47th Oldest player to score a hundred (35y 64d)', '34th Most consecutive innings without a duck (69)', '38th Fewest ducks in career (29.42)', '43rd Most wickets in career (193)', '3rd Outstanding bowling analyses in an innings (2/1)', '25th Most balls bowled in career (9573)', '26th Most runs conceded in career (6958)', '21st Most wickets taken bowled (60)', '5th Most wickets taken caught and bowled (18)', '50th Most wickets taken caught by a fielder (85)', '6th Most wickets taken stumped (30)', '16th Most catches in career (120)', '2nd Most catches in an innings (4)', '4th Most catches in a series (11)', '36th Highest partnership for the fifth wicket (154)', '41st Longest careers (15y 351d)', '38th Most consecutive matches as captain of a team (35)']</t>
  </si>
  <si>
    <t>['37th Most consecutive matches as captain of a team (35)']</t>
  </si>
  <si>
    <t>['7th Most runs in an innings (by batting position) (64)', '6th Most wickets in a series (23)', '6th Best career economy rate (3.32)', '3rd Most wickets taken hit wicket (2)']</t>
  </si>
  <si>
    <t>['17th Highest strike rate in an innings (213.33)', '47th Most wickets in career (249)', '13th Best figures in a match (14)', '15th Best figures in a match when on the losing side (11)', '42nd Best career strike rate (50.9)', '45th Best strike rate in an innings (9.3)', '46th Most five-wickets-in-an-innings in a career (13)', '18th Most consecutive five-wickets-in-an-innings (3)', '27th Youngest player to take ten-wickets-in-a-match (22y 178d)', '32nd Bowler/Batter combinations (11)', '20th Most wickets taken bowled (81)', '27th Fastest to 150 wickets (35)', '27th Fastest to 200 wickets (47)']</t>
  </si>
  <si>
    <t>['7th Most runs in an innings (by batting position) (64)', '6th Most wickets in a series (23)', '47th Most wickets on a single ground (31)', '12th Best career bowling average (21.36)', '6th Best career economy rate (3.32)', '36th Best economy rate in an innings (0.90)', '35th Oldest player to take a maiden five-wickets-in-an-innings (30y 362d)', '3rd Most wickets taken hit wicket (2)', '45th Fastest to 100 wickets (69)']</t>
  </si>
  <si>
    <t>[' Hundred on debut (142)', ' Carrying bat through a completed innings (60*)', '3rd Highest partnership for the second wicket (446)']</t>
  </si>
  <si>
    <t>['48th Most runs in debut match (153)', '7th Highest partnerships for any wicket (446)', '3rd Highest partnership for the second wicket (446)']</t>
  </si>
  <si>
    <t>['29th Worst career bowling average (without qualification) (82.66)', '27th Highest partnership for the seventh wicket (64)', '18th Most consecutive matches missed for a team between appearances (43)']</t>
  </si>
  <si>
    <t>['17th Most innings before first duck (21)', '36th Highest partnership for the eighth wicket (23)']</t>
  </si>
  <si>
    <t>['24th Highest partnership for the fourth wicket (284)']</t>
  </si>
  <si>
    <t>['8th Most sixes in an innings (9)']</t>
  </si>
  <si>
    <t>['11th No ducks in career (30)', '8th Most sixes in an innings (9)']</t>
  </si>
  <si>
    <t>['16th Highest career strike rate (106.87)', '34th Youngest player to score a hundred (21y 70d)', '36th Fastest to 1000 runs (28)']</t>
  </si>
  <si>
    <t>['4th Longest careers (24y 10d)', '5th Highest career batting average (60.83)', ' Hundred on debut (176)', ' Hundred in each innings of a match ', '7th Fifties in consecutive innings (6)', '2nd Fastest to 2000 runs (32)', '4th Longest careers (24y 10d)', '6th Hundreds in consecutive innings (3)', '10th Fifties in consecutive innings (6)']</t>
  </si>
  <si>
    <t>['32nd Most runs in a series (703)', '45th Most runs in a match on the losing side (213)', '5th Highest career batting average (60.83)', '14th Most runs in debut match (197)', '2nd Most hundreds in a series (4)', '15th Most hundreds against one team (8)', '5th Hundreds in consecutive innings (3)', '39th Youngest player to score a hundred (20y 226d)', '2nd Youngest player to score a double hundred (20y 308d)', '7th Fifties in consecutive innings (6)', '9th Fastest to 1000 runs (17)', '2nd Fastest to 2000 runs (32)', '20th Oldest players (44y 236d)', '4th Longest careers (24y 10d)', '37th Oldest captains (38y 241d)', '14th Oldest captains on captaincy debut (38y 236d)']</t>
  </si>
  <si>
    <t>['24th Oldest player to take a maiden five-wickets-in-an-innings (35y 329d)', '25th Highest partnership for the ninth wicket (122)']</t>
  </si>
  <si>
    <t>['9th Most wickets taken caught and bowled (16)']</t>
  </si>
  <si>
    <t>['35th Best economy rate in an innings (0.88)', '9th Most wickets taken caught and bowled (16)', '24th Most catches in a series (8)']</t>
  </si>
  <si>
    <t>['35th Oldest living players (87y 162d)', '18th Most matches as a match referee (19)', '11th Highest innings total without conceding a bye (619)']</t>
  </si>
  <si>
    <t>['27th Most matches as a match referee (26)']</t>
  </si>
  <si>
    <t>[' Hundred in each innings of a match ', '4th Most runs in a series by a wicketkeeper (470)', '4th Highest career batting average (53.74)', '2nd Fifties in consecutive innings (6)', '9th Most fours in an innings (22)', '2nd Fastest to 3000 runs (67)', ' A hundred and four dismissals in an innings ', '8th Most byes conceded in an innings (8)']</t>
  </si>
  <si>
    <t>['21st Fewest ducks in career (32)']</t>
  </si>
  <si>
    <t>['48th Most runs in a series (470)', '23rd Most runs in a calendar year (1345)', '4th Most runs in a series by a wicketkeeper (470)', '6th Most runs in an innings by a wicketkeeper (170)', '4th Highest career batting average (53.74)', '29th Most hundreds in a calendar year (4)', '2nd Fifties in consecutive innings (6)', '9th Most fours in an innings (22)', '48th Highest percentage of runs in a completed innings (54.54)', '5th Fastest to 2000 runs (47)', '2nd Fastest to 3000 runs (67)', '24th Highest partnership for the second wicket (218)', '37th Most consecutive matches for a team (78)', '45th Most player-of-the-series awards (3)', '33rd Most dismissals in career (94)', '16th Most dismissals in an innings (5)', '25th Most dismissals in a series (16)', '31st Most catches in career (84)', '12th Most catches in a series (16)', '37th Most stumpings in career (10)', '17th Most byes conceded in an innings (11)']</t>
  </si>
  <si>
    <t>['8th Most byes conceded in an innings (8)']</t>
  </si>
  <si>
    <t>['1st Most dismissals in an innings (7)', '1st Most catches in an innings (7)', ' 300 runs and 15 wicketkeeping dismissals in a series ', '1st Most dismissals in an innings (6)', '1st Most stumpings in an innings (3)', ' Carrying bat through a completed innings (49*)', ' A fifty and five dismissals in an innings ']</t>
  </si>
  <si>
    <t>['47th Most runs in a series by a wicketkeeper (317)', '25th Captains who have kept wicket (2)', '13th Most dismissals in career (219)', '1st Most dismissals in an innings (7)', '8th Most dismissals in a match (9)', '37th Most dismissals in a series (21)', '13th Most catches in career (207)', '1st Most catches in an innings (7)', '26th Most catches in a match (8)', '35th Most catches in a series (21)', '37th Most stumpings in career (12)', '31st Highest innings total without conceding a bye (566/9d)']</t>
  </si>
  <si>
    <t>['25th Most runs in a career without a hundred (1865)', '26th Captains who have kept wicket (4)', '28th Oldest captains on captaincy debut (34y 351d)', '13th Most dismissals in career (189)', '1st Most dismissals in an innings (6)', '25th Most dismissals in a series (16)', '15th Most catches in career (160)', '11th Most catches in an innings (5)', '31st Most catches in a series (14)', '15th Most stumpings in career (29)', '1st Most stumpings in an innings (3)', '7th Most stumpings in a series (5)']</t>
  </si>
  <si>
    <t>['9th Oldest player to take ten-wickets-in-a-match (37y 258d)']</t>
  </si>
  <si>
    <t>['13th Best figures in a match on debut (10)', '34th Oldest player to take five-wickets-in-an-innings (37y 258d)', '9th Oldest player to take ten-wickets-in-a-match (37y 258d)', '15th Oldest player to take a maiden five-wickets-in-an-innings (37y 258d)', '37th Oldest players on debut (37y 258d)']</t>
  </si>
  <si>
    <t>['7th No ducks in career (34)']</t>
  </si>
  <si>
    <t>['20th Best economy rate in an innings (0.50)']</t>
  </si>
  <si>
    <t>['45th Most consecutive matches missed for a team between appearances (124)']</t>
  </si>
  <si>
    <t>['47th Worst career strike rate (108.2)']</t>
  </si>
  <si>
    <t>[' Pair on debut ']</t>
  </si>
  <si>
    <t>['14th Best figures in a innings when on the losing side (5)', '13th Most consecutive four-wickets-in-an-innings (2)', '21st Youngest player to take five-wickets-in-an-innings (20y 311d)', '45th Fastest to 50 wickets (31)']</t>
  </si>
  <si>
    <t>[' Hundred on debut (100*)', '2nd Hundreds in consecutive matches from debut (2)', '5th Most nineties in career (8)', ' Hundred and a duck in a match ', '1st Outstanding bowling analyses in an innings (1/0)', '10th No ducks in career (28)', '1st Hundreds in consecutive matches from debut (2)']</t>
  </si>
  <si>
    <t>['37th Most runs in an series by a captain (538)', '2nd Hundreds in consecutive matches from debut (2)', '5th Most nineties in career (8)', '26th Fifties in consecutive matches (7)', '35th Fastest to 1000 runs (21)', '17th Fastest to 2000 runs (40)', '45th Fastest to 3000 runs (69)', '36th Fastest to 4000 runs (91)', '1st Outstanding bowling analyses in an innings (1/0)']</t>
  </si>
  <si>
    <t>['10th No ducks in career (28)']</t>
  </si>
  <si>
    <t>[' Hundred in each innings of a match ', '1st Dismissed for 99 (and 199, 299 etc) (99)', '4th Oldest living players (85y 157d)']</t>
  </si>
  <si>
    <t>['49th Most runs on a single ground (1212)', '40th Most runs in a day (203)', '8th Highest maiden hundred (256)', '17th Youngest player to score a double hundred (23y 5d)', '10th Most nineties in career (6)', '1st Dismissed for 99 (and 199, 299 etc) (99)', '12th Most fours in an innings (42)', '22nd Most runs from fours and sixes in an innings (168)', '23rd Fastest to 3000 runs (64)', '22nd Fastest to 4000 runs (86)', '20th Fastest to 5000 runs (107)', '26th Fastest to 6000 runs (130)', '46th Highest partnership for the fourth wicket (250)', '33rd Most consecutive matches for a team (61)', '23rd Winning all tosses in a series (3)', '44th Oldest captains (38y 100d)', '24th Oldest captains on captaincy debut (37y 52d)']</t>
  </si>
  <si>
    <t>['39th Oldest players on debut (37y 253d)', '4th Oldest living players (85y 157d)', '28th Oldest captains (37y 255d)', '14th Oldest captains on captaincy debut (37y 253d)']</t>
  </si>
  <si>
    <t>['4th Most ducks in a series (4)', '1st Most dismissals in an innings (5)', '1st Most catches in an innings (4)', '1st Most stumpings in an innings (4)']</t>
  </si>
  <si>
    <t>['37th Most runs in a career without a hundred (994)', '40th Most ducks in career (8)', '4th Most ducks in a series (4)', '21st Most catches in an innings (3)']</t>
  </si>
  <si>
    <t>['19th Most runs in an innings (by batting position) (32)', '34th Most ducks in career (5)', '41st Highest percentage of runs in a completed innings (55.68)', '1st Most dismissals in an innings (5)', '16th Most catches in career (11)', '1st Most catches in an innings (4)', '28th Most stumpings in career (7)', '1st Most stumpings in an innings (4)']</t>
  </si>
  <si>
    <t>['10th Worst career economy rate (4.67)', ' Opening the batting and bowling in the same match ', '5th Highest partnership for the seventh wicket (87)', '4th Most runs in an innings (by batting position) (81)', '3rd Most catches in an innings (3)']</t>
  </si>
  <si>
    <t>['46th Most runs in a career without a hundred (885)', '21st Most ducks in career (9)', '13th Worst career bowling average (40.13)', '10th Worst career economy rate (4.67)', '26th Most catches in career (35)', '47th Most catches in a series (6)', '5th Highest partnership for the seventh wicket (87)']</t>
  </si>
  <si>
    <t>['34th Most runs in career (989)', '4th Most runs in an innings (by batting position) (81)', '13th Most runs in debut match (52)', '34th Most fifties in career (3)', '27th Most consecutive innings without a duck (35*)', '16th Most ducks in career (6)', '12th Highest percentage of runs in a completed innings (62.20)', '15th Most catches in career (32)', '3rd Most catches in an innings (3)', '42nd Highest partnership for the sixth wicket (40)', '28th Most matches in career (86)', '42nd Most consecutive matches for a team (38)']</t>
  </si>
  <si>
    <t>['40th Best career bowling average (23.77)']</t>
  </si>
  <si>
    <t>['19th Most matches as a match referee (12)']</t>
  </si>
  <si>
    <t>['23rd Most innings before first duck (18)', '43rd Highest partnership for the seventh wicket (58)', '39th Highest partnership for the eighth wicket (44*)']</t>
  </si>
  <si>
    <t>['43rd Oldest player to take five-wickets-in-an-innings (37y 55d)', '19th Oldest player to take a maiden five-wickets-in-an-innings (37y 55d)', '13th Longest lived players (94y 201d)']</t>
  </si>
  <si>
    <t>['1st Most consecutive matches missed for a team between appearances (396)']</t>
  </si>
  <si>
    <t>[' Hundred on debut (110)']</t>
  </si>
  <si>
    <t>['11th Highest partnership for the fourth wicket (211)']</t>
  </si>
  <si>
    <t>['1st Outstanding bowling analyses in an innings (1/0)', '4th Worst career economy rate (3.90)', '1st Best figures in a innings on debut (6)', '1st Most consecutive matches missed for a team between appearances (85)']</t>
  </si>
  <si>
    <t>['27th Most ducks in career (19)', '1st Outstanding bowling analyses in an innings (1/0)', '4th Worst career economy rate (3.90)']</t>
  </si>
  <si>
    <t>['28th Best figures in an innings (6/22)', '14th Best figures in a innings when on the losing side (5)', '41st Best strike rate in an innings (7.0)', '1st Best figures in a innings on debut (6)', '43rd Most five-wickets-in-an-innings in a career (2)', '32nd Youngest player to take five-wickets-in-an-innings (21y 296d)']</t>
  </si>
  <si>
    <t>['1st Most consecutive matches missed for a team between appearances (85)', '15th Longest careers (13y 175d)', '8th Longest intervals between appearances (8y 155d)']</t>
  </si>
  <si>
    <t>['2nd Outstanding bowling analyses in an innings (4/10)', '6th Best strike rate in an innings (12.7)']</t>
  </si>
  <si>
    <t>['2nd Outstanding bowling analyses in an innings (4/10)', '6th Best strike rate in an innings (12.7)', '19th Worst career bowling average (36.07)', '8th Worst career economy rate (2.50)']</t>
  </si>
  <si>
    <t>['38th Oldest living players (86y 347d)']</t>
  </si>
  <si>
    <t>['5th Most consecutive matches missed for a team between appearances (67)', '9th Most runs in an innings (by batting position) (36*)', '5th Most wickets in a series (29)', '6th Best figures in a innings on debut (4)', '1st Most wickets taken hit wicket (1)']</t>
  </si>
  <si>
    <t>['9th Most runs in an innings (by batting position) (36*)', '5th Most wickets in a series (29)', '42nd Best career strike rate (35.7)', '6th Best figures in a innings on debut (4)', '31st Bowler/Batters combinations (5)', '29th Most wickets taken lbw (14)', '1st Most wickets taken hit wicket (1)', '28th Highest partnership for the ninth wicket (37*)', '26th Longest intervals between appearances (6y 57d)', '5th Most consecutive matches missed for a team between appearances (67)']</t>
  </si>
  <si>
    <t>['27th Best figures in an innings (5/13)', '16th Outstanding bowling analyses in an innings (2/2)', '48th Best career strike rate (21.2)', '13th Most four-wickets-in-an-innings in a career (2)', '46th Most balls bowled in career (915)', '47th Most runs conceded in career (897)', '38th Most wickets taken caught (27)', '35th Most wickets taken caught by a fielder (24)', '24th Most wickets taken lbw (7)']</t>
  </si>
  <si>
    <t>['9th Oldest captains on captaincy debut (38y 121d)']</t>
  </si>
  <si>
    <t>['21st Most runs in debut match (102)', '11th Oldest players on debut (39y 124d)', '23rd Oldest players (39y 127d)']</t>
  </si>
  <si>
    <t>['43rd Best career economy rate (2.89)', '42nd Most wickets taken bowled (17)', '39th Oldest players on debut (33y 29d)', '16th Oldest players (40y 148d)', '10th Oldest captains (38y 131d)', '9th Oldest captains on captaincy debut (38y 121d)']</t>
  </si>
  <si>
    <t>['1st Dismissed for 99 (and 199, 299 etc) (99)', '18th No ducks in career (24)']</t>
  </si>
  <si>
    <t>['25th Best career bowling average (without qualification) (11.00)', '39th Oldest living players (78y 23d)']</t>
  </si>
  <si>
    <t>['1st Most consecutive ducks (3)']</t>
  </si>
  <si>
    <t>['48th Most fifties in career (6)', '13th Most ducks in career (6)', '1st Most consecutive ducks (3)', '21st Longest individual innings (by balls) (64)', '39th Highest partnership for the fifth wicket (70)', '26th Longest careers (12y 163d)', '40th Most catches in career (10)', '32nd Most byes conceded in an innings (5)']</t>
  </si>
  <si>
    <t>[' Hundred and a duck in a match ', '3rd Most runs in an innings (progressive record holder) (105)', '5th Best career bowling average (without qualification) (5.00)']</t>
  </si>
  <si>
    <t>['26th Fifties in consecutive matches (7)', '38th Most consecutive innings without a duck (56)', '42nd Most catches in a series (10)', '34th Highest partnership for the second wicket (269)']</t>
  </si>
  <si>
    <t>['3rd Most runs in an innings (progressive record holder) (105)', '5th Best career bowling average (without qualification) (5.00)']</t>
  </si>
  <si>
    <t>['44th Most wickets in a series (32)']</t>
  </si>
  <si>
    <t>['9th Best career economy rate (1.82)']</t>
  </si>
  <si>
    <t>['24th Best figures in a innings when on the losing side (7)', '40th Best figures in a match when on the losing side (10)', '9th Best career economy rate (1.82)']</t>
  </si>
  <si>
    <t>['1st Best figures in a innings when on the losing side (6)', '4th Best career bowling average (18.97)']</t>
  </si>
  <si>
    <t>['1st Best figures in a innings when on the losing side (6)', '4th Best career bowling average (18.97)', '46th Best career economy rate (3.94)', '15th Best career strike rate (28.8)']</t>
  </si>
  <si>
    <t>['9th Winning all tosses in a series (5)']</t>
  </si>
  <si>
    <t>['9th Winning all tosses in a series (5)', '42nd Oldest captains (38y 125d)']</t>
  </si>
  <si>
    <t>['6th Most wickets in a calendar year (77)', '4th Most runs in an innings (by batting position) (37)', '5th Most wickets in a series (24)', '1st Best career economy rate (3.09)']</t>
  </si>
  <si>
    <t>['39th Most ducks in career (17)', '11th Most ducks in a series (4)', '42nd Most wickets in career (259)', '6th Most wickets in a calendar year (77)', '19th Best career bowling average (20.97)', '39th Best career strike rate (50.8)', '27th Most wickets taken bowled (68)', '43rd Most wickets taken caught by a wicketkeeper (53)', '29th Most wickets taken lbw (57)', '20th Fastest to 50 wickets (10)', '21st Fastest to 100 wickets (21)', '27th Fastest to 150 wickets (35)', '13th Fastest to 200 wickets (44)', '15th Fastest to 250 wickets (57)']</t>
  </si>
  <si>
    <t>['4th Most runs in an innings (by batting position) (37)', '5th Most wickets in a series (24)', '15th Outstanding bowling analyses in an innings (4/10)', '14th Best figures in a innings when on the losing side (5)', '2nd Best career bowling average (18.84)', '1st Best career economy rate (3.09)', '48th Best economy rate in an innings (1.00)', '25th Most five-wickets-in-an-innings in a career (3)', '18th Oldest player to take five-wickets-in-an-innings (34y 18d)', '34th Fastest to 100 wickets (67)']</t>
  </si>
  <si>
    <t>[' Two unbeaten fifties in a match ']</t>
  </si>
  <si>
    <t>['13th Youngest captains (23y 217d)']</t>
  </si>
  <si>
    <t>['7th Most runs in an innings (by batting position) (333)', '1st Most triple hundreds in a career (2)', '3rd Most sixes in career (98)', ' Carrying bat through a completed innings (165*)', ' 1000 runs, 50 wickets and 50 catches ', ' 5000 runs and 50 fielding dismissals ', '4th Longest careers (19y 337d)', '4th Most runs in an innings (by batting position) (215)', '3rd Oldest player to score a hundred (39y 159d)', '1st Dismissed for 99 (and 199, 299 etc) (99)', '2nd Fifties in consecutive innings (6)', '6th Most ducks in career (25)', '2nd Most sixes in an innings (16)', '8th Fastest to 10000 runs (282)', '3rd Outstanding bowling analyses in an innings (3/3)', ' Opening the batting and bowling in the same match ', ' 1000 runs, 50 wickets and 50 catches ', ' 5000 runs and 50 fielding dismissals ', '1st Highest partnership for the second wicket (372)', '1st Longest careers (15y 19d)', '2nd Most runs in an innings (progressive record holder) (117)', '1st Fifties in consecutive innings (4)', '5th Most sixes in career (106)', ' Carrying bat through a completed innings (63*)', '9th Fastest to 1000 runs (34)', '5th Highest partnership for the second wicket (152)', '6th Most player-of-the-series awards (12)', '4th Most consecutive ducks (4)', '1st Most sixes in career (535)']</t>
  </si>
  <si>
    <t>['48th Most runs in career (7214)', '13th Most runs in an innings (333)', '25th Most runs in a match (333)', '7th Most runs in an innings (by batting position) (333)', '21st Most runs in a day (219)', '48th Highest strike rate in an innings (173.91)', '27th Most double hundreds in a career (3)', '1st Most triple hundreds in a career (2)', '14th Youngest player to score a double hundred (22y 280d)', '10th Youngest player to score a triple hundred (25y 220d)', '3rd Most sixes in career (98)', '21st Most fours in career (1046)', '8th Most sixes in an innings (9)', '28th Most fours in an innings (37)', '10th Most runs from fours and sixes in an innings (190)', '41st Most catches in career (96)', '33rd Highest partnership for the first wicket (254)', '11th Highest partnership for the second wicket (331)', '41st Most player-of-the-match awards (8)']</t>
  </si>
  <si>
    <t>['12th Most runs in career (10480)', '4th Most runs in an innings (215)', '45th Most runs in a series (474)', '44th Most runs in a calendar year (1217)', '4th Most runs in an innings (by batting position) (215)', '10th Most runs in a match on the losing side (162)', '42nd Most runs in an innings by a captain (135)', '26th Highest strike rate in an innings (285.18)', '7th Most hundreds in a career (25)', '3rd Most hundreds in a series (3)', '29th Most hundreds in a calendar year (4)', '39th Most hundreds against one team (4)', '15th Highest maiden hundred (152)', '5th Hundred in hundredth match (132*)', '3rd Oldest player to score a hundred (39y 159d)', '22nd Most nineties in career (5)', '1st Dismissed for 99 (and 199, 299 etc) (99)', '13th Most fifties in career (79)', '2nd Fifties in consecutive innings (6)', '6th Most ducks in career (25)', '2nd Most sixes in career (331)', '8th Most fours in career (1128)', '2nd Most sixes in an innings (16)', '39th Most fours in an innings (19)', '6th Most runs from fours and sixes in an innings (136)', '18th Longest individual innings (by balls) (165)', '25th Highest percentage of runs in a completed innings (57.79)', '34th Fastest to 2000 runs (56)', '20th Fastest to 3000 runs (80)', '28th Fastest to 4000 runs (112)', '22nd Fastest to 5000 runs (137)', '22nd Fastest to 6000 runs (168)', '10th Fastest to 7000 runs (189)', '13th Fastest to 8000 runs (221)', '12th Fastest to 9000 runs (261)', '8th Fastest to 10000 runs (282)', '3rd Outstanding bowling analyses in an innings (3/3)', '32nd Best strike rate in an innings (6.5)', '50th Most balls bowled in career (7424)', '44th Most runs conceded in career (5926)', '38th Most wickets taken bowled (49)', '32nd Most wickets taken stumped (11)', '13th Most catches in career (124)', '1st Highest partnerships for any wicket (372)', '2nd Highest partnerships by wicket (2nd)', '1st Highest partnership for the second wicket (372)', '21st Most matches in career (301)', '21st Most player-of-the-match awards (23)', '5th Most player-of-the-series awards (8)', '4th Longest careers (19y 337d)']</t>
  </si>
  <si>
    <t>['26th Most runs in career (1656)', '19th Most runs in an innings (117)', '2nd Most runs in an innings (progressive record holder) (117)', '14th Most runs in an innings (by batting position) (117)', '4th Most runs in a match on the losing side (117)', '12th Most runs in an innings by a captain (98)', '37th Highest career batting average (31.24)', '35th Highest career strike rate (140.81)', '8th Most fifties in career (15)', '1st Fifties in consecutive innings (4)', '50th Most consecutive innings without a duck (30)', '5th Most sixes in career (106)', '28th Most fours in career (141)', '6th Most sixes in an innings (11)', '14th Most runs from fours and sixes in an innings (88)', '12th Longest individual innings (by balls) (66)', '13th Highest percentage of runs in a completed innings (62.37)', '9th Fastest to 1000 runs (34)', '19th Highest partnerships for any wicket (152)', '12th Highest partnership for the first wicket (145)', '5th Highest partnership for the second wicket (152)', '29th Highest partnership for the third wicket (108*)', '38th Highest partnership for the fifth wicket (70*)', '50th Most matches in career (61)', '6th Most player-of-the-match awards (9)', '49th Oldest players (41y 167d)', '1st Longest careers (15y 19d)', '44th Most matches as captain (17)']</t>
  </si>
  <si>
    <t>['8th Oldest player to take five-wickets-in-an-innings (41y 60d)', '7th Most wickets taken caught and bowled (15)', '3rd Oldest living players (86y 245d)']</t>
  </si>
  <si>
    <t>['31st Most wickets in career (309)', '30th Best figures in an innings (8/38)', '11th Outstanding bowling analyses in an innings (8/38)', '42nd Most wickets on a single ground (52)', '35th Best career economy rate (1.98)', '13th Worst strike rate in an innings (396.0)', '24th Most five-wickets-in-an-innings in a career (18)', '8th Oldest player to take five-wickets-in-an-innings (41y 60d)', '11th Most balls bowled in career (27115)', '35th Most balls bowled in an innings (438)', '29th Most balls bowled in a match (636)', '26th Most runs conceded in career (8989)', '30th Most runs conceded in a match (266)', '47th Bowler/fielder combinations (39)', '16th Most wickets taken bowled (87)', '33rd Most wickets taken caught (192)', '7th Most wickets taken caught and bowled (15)', '18th Most wickets taken caught by a fielder (162)', '48th Fastest to 100 wickets (24)', '18th Fastest to 150 wickets (34)', '21st Fastest to 200 wickets (46)', '26th Fastest to 250 wickets (62)', '23rd Fastest to 300 wickets (75)', '45th Longest careers (18y 0d)', '43rd Oldest living players (86y 245d)']</t>
  </si>
  <si>
    <t>['27th Oldest players on debut (38y 341d)', '35th Oldest players (40y 251d)', '3rd Oldest living players (86y 245d)']</t>
  </si>
  <si>
    <t>['1st Highest innings total without conceding a bye (426/7d)', '4th Most runs in an innings by a wicketkeeper (118)', ' Hundred on debut (118)', '1st Oldest player to score a maiden hundred (35y 152d)', '4th Captains who have kept wicket and opened the batting (1)', '9th Most stumpings in an innings (3)']</t>
  </si>
  <si>
    <t>['15th Most runs in a series by a wicketkeeper (140)', '4th Most runs in an innings by a wicketkeeper (118)', '7th Most runs in debut match (140)', '10th Hundred in last match (118)', '32nd Highest maiden hundred (118)', '6th Oldest player to score a hundred (35y 152d)', '1st Oldest player to score a maiden hundred (35y 152d)', '19th Oldest players on debut (35y 152d)', '1st Highest innings total without conceding a bye (426/7d)']</t>
  </si>
  <si>
    <t>['27th Oldest players on debut (34y 149d)', '19th Oldest players (40y 28d)', '6th Oldest captains (40y 28d)', '7th Captains who have kept wicket (6)', '4th Captains who have kept wicket and opened the batting (1)', '5th Oldest captains on captaincy debut (39y 253d)']</t>
  </si>
  <si>
    <t>['25th Oldest players on debut (39y 256d)', '34th Oldest players (39y 265d)', '4th Oldest captains (39y 265d)', '12th Captains who have kept wicket (3)', '1st Captains who have kept wicket and opened the batting (3)', '3rd Oldest captains on captaincy debut (39y 256d)', '9th Most stumpings in an innings (3)']</t>
  </si>
  <si>
    <t>['37th Worst career bowling average (without qualification) (73.00)']</t>
  </si>
  <si>
    <t>['13th Worst career bowling average (without qualification) (189.00)']</t>
  </si>
  <si>
    <t>[' Hundred on debut (107)', ' Hundred in each innings of a match ', ' Hundred and a ninety in a match ', '5th Highest percentage of runs in a completed innings (63.50)', ' 5000 runs and 50 fielding dismissals ', '1st Hundred in hundredth match (102*)', '2nd Fifties in consecutive innings (6)', '2nd Most innings before first duck (70)', '5th Longest individual innings (by balls) (173)', '5th Fastest to 3000 runs (72)', '6th Hundreds in consecutive innings (3)']</t>
  </si>
  <si>
    <t>['36th Most runs in career (7558)', '23rd Most runs in a day (214)', '11th Most runs in debut match (200)', '47th Most hundreds in a career (19)', '17th Most double hundreds in a career (4)', '2nd Most double hundreds in a series (2)', '33rd Most hundreds against one team (7)', '5th Hundreds in consecutive innings (3)', '3rd Hundred in hundredth match (149)', '10th Most nineties in career (6)', '17th Ninety on debut (93)', '47th Most fifties in career (53)', '20th Most sixes in career (67)', '39th Most fours in career (872+)', '19th Most sixes in an innings (7)', '36th Longest individual innings (by minutes) (677)', '5th Highest percentage of runs in a completed innings (63.50)', '48th Fastest to 2000 runs (46)', '36th Fastest to 4000 runs (91)', '39th Fastest to 5000 runs (116)', '41st Fastest to 6000 runs (143)', '38th Fastest to 7000 runs (170)', '41st Most catches in career (96)', '15th Highest partnership for the first wicket (298)', '24th Highest partnership for the second wicket (287*)', '47th Most matches in career (108)', '29th Oldest captains on captaincy debut (36y 337d)']</t>
  </si>
  <si>
    <t>['30th Highest career batting average (45.03)', '41st Most hundreds in a career (11)', '1st Hundred in hundredth match (102*)', '11th Oldest player to score a hundred (37y 321d)', '2nd Fifties in consecutive innings (6)', '2nd Most innings before first duck (70)', '30th Most consecutive innings without a duck (70)', '19th Fewest ducks in career (42.33)', '44th Most sixes in an innings (8)', '5th Longest individual innings (by balls) (173)', '8th Fastest to 1000 runs (23)', '9th Fastest to 2000 runs (49)', '5th Fastest to 3000 runs (72)', '8th Fastest to 4000 runs (96)', '10th Fastest to 5000 runs (121)', '24th Most catches in a series (8)', '18th Highest partnership for the second wicket (221)', '37th Highest partnership for the third wicket (195*)', '34th Most player-of-the-match awards (20)', '47th Oldest players (40y 24d)', '42nd Longest careers (15y 348d)', '31st Oldest captains (37y 174d)', '19th Oldest captains on captaincy debut (36y 319d)']</t>
  </si>
  <si>
    <t>['41st Highest partnership for the seventh wicket (59)']</t>
  </si>
  <si>
    <t>['32nd Worst career bowling average (without qualification) (67.00)']</t>
  </si>
  <si>
    <t>['1st Outstanding bowling analyses in an innings (1/0)', '5th Worst career strike rate (160.0)']</t>
  </si>
  <si>
    <t>['20th Most consecutive innings without a duck (66)', '15th Highest percentage of runs in a completed innings (60.26)', '1st Outstanding bowling analyses in an innings (1/0)', '11th Worst career bowling average (62.00)', '5th Worst career strike rate (160.0)']</t>
  </si>
  <si>
    <t>['19th Most ducks in career (21)', '25th Best figures in a match (13)', '9th Outstanding bowling analyses in an innings (5/11)', '42nd Worst economy rate in an innings (6.41)']</t>
  </si>
  <si>
    <t>['17th Worst career economy rate (5.92)']</t>
  </si>
  <si>
    <t>[' Batting on each day of a five day match ']</t>
  </si>
  <si>
    <t>['24th Highest partnership for the first wicket (276)']</t>
  </si>
  <si>
    <t>['40th Most matches as a match referee (10)']</t>
  </si>
  <si>
    <t>['49th Most consecutive matches missed for a team between appearances (29)']</t>
  </si>
  <si>
    <t>['14th Best figures in a innings when on the losing side (5)', '43rd Most five-wickets-in-an-innings in a career (2)', '49th Highest partnership for the tenth wicket (46)']</t>
  </si>
  <si>
    <t>['16th Oldest players on debut (39y 306d)']</t>
  </si>
  <si>
    <t>['1st Most runs in an innings (by batting position) (105)', '7th Highest percentage of runs in a completed innings (58.33)', '6th Most dismissals in an innings (4)', '5th Most catches in an innings (3)', '6th Youngest captains (19y 338d)', '1st Most stumpings in an innings (4)', '10th Most innings before first duck (24)']</t>
  </si>
  <si>
    <t>['1st Most runs in an innings (by batting position) (105)', '12th Most runs in a match on the losing side (105)', '13th Youngest player to score a hundred (20y 133d)', '7th Highest percentage of runs in a completed innings (58.33)', '21st Worst career bowling average (35.85)', '18th Worst career strike rate (60.8)', '12th Highest partnership for the seventh wicket (76)', '21st Most catches in an innings (3)']</t>
  </si>
  <si>
    <t>['45th Most runs in career (852)', '10th Most innings before first duck (24)', '42nd Fewest ducks in career (15.8)', '34th Most ducks in career (5)', '42nd Best career bowling average (19.88)', '11th Best career economy rate (5.11)', '12th Best figures in a innings on debut (3)', '49th Highest partnership for the seventh wicket (30)', '32nd Highest partnership for the eighth wicket (24*)', '13th Most matches in career (107)', '6th Youngest captains (19y 338d)', '17th Most dismissals in career (27)', '6th Most dismissals in an innings (4)', '16th Most catches in career (11)', '5th Most catches in an innings (3)', '17th Most stumpings in career (16)', '1st Most stumpings in an innings (4)', '23rd Most byes conceded in an innings (5)']</t>
  </si>
  <si>
    <t>['30th Oldest player to take five-wickets-in-an-innings (37y 332d)']</t>
  </si>
  <si>
    <t>['29th Highest maiden hundred (208)', '38th Longest individual innings (by minutes) (675)', '26th Fastest to 1000 runs (20)']</t>
  </si>
  <si>
    <t>['9th Hundred in last match (179)', '2nd Highest maiden hundred (179)', '1st Highest partnership for the first wicket (365)']</t>
  </si>
  <si>
    <t>['27th Most runs in an innings (179)', '9th Hundred in last match (179)', '2nd Highest maiden hundred (179)', '2nd Highest partnerships for any wicket (365)', '1st Highest partnerships by wicket (1st)', '1st Highest partnership for the first wicket (365)']</t>
  </si>
  <si>
    <t>['20th Worst career economy rate (5.88)', '24th Most catches in a series (8)']</t>
  </si>
  <si>
    <t>['46th Best career bowling average (21.81)', '27th Best career strike rate (16.5)', '41st Worst career economy rate (7.89)', '13th Most wickets taken caught by a wicketkeeper (8)']</t>
  </si>
  <si>
    <t>['1st Dismissed for 99 (and 199, 299 etc) (99)', '4th No ducks in career (37)']</t>
  </si>
  <si>
    <t>['1st Dismissed for 99 (and 199, 299 etc) (99)', '8th Ninety on debut (99)', '4th No ducks in career (37)', '38th Highest partnership for the ninth wicket (106)']</t>
  </si>
  <si>
    <t>['25th Highest strike rate in an innings (194.44)']</t>
  </si>
  <si>
    <t>['27th Shortest lived players (44y 358d)']</t>
  </si>
  <si>
    <t>['3rd Most catches by a substitute in an innings (2)']</t>
  </si>
  <si>
    <t>['42nd Most sixes in an innings (7)', '3rd Most catches by a substitute in an innings (2)', '31st Highest partnership for the first wicket (126)', '40th Highest partnership for the third wicket (97)']</t>
  </si>
  <si>
    <t>['5th Most matches in career (164)', '8th Most runs in career (11867)', ' Hundred and a ninety in a match ', ' Two unbeaten fifties in a match ', ' Hundred and a duck in a match ', '9th Most fours in career (1285)', '9th Fastest to 11000 runs (256)', ' 5000 runs and 50 fielding dismissals ', '7th Highest partnership for the fourth wicket (226)', '7th Most player-of-the-series awards (11)', '10th Most runs in career (20988)', '8th Most nineties in career (11)', '8th Most fifties in career (166)']</t>
  </si>
  <si>
    <t>['8th Most runs in career (11867)', '25th Most runs in a match on the losing side (225)', '16th Most runs on a single ground (1477)', '35th Highest career batting average (51.37)', '12th Most hundreds in a career (30)', '33rd Most hundreds against one team (7)', '21st Hundreds in consecutive matches (3)', '17th Oldest player to score a hundred (40y 28d)', '10th Most nineties in career (6)', '5th Most fifties in career (96)', '1st Fifties in consecutive innings (7)', '38th Most innings before first duck (33)', '9th Most fours in career (1285)', '38th Longest individual innings (by minutes) (675)', '40th Longest individual innings (by balls) (510)', '47th Fastest to 6000 runs (147)', '26th Fastest to 8000 runs (193)', '14th Fastest to 9000 runs (216)', '12th Fastest to 10000 runs (239)', '9th Fastest to 11000 runs (256)', '14th Highest partnership for the fifth wicket (296*)', '5th Most matches in career (164)', '15th Most player-of-the-match awards (11)', '7th Most player-of-the-series awards (7)', '12th Longest careers (21y 47d)', '47th Winning all tosses in a series (3)']</t>
  </si>
  <si>
    <t>['22nd Most runs in career (8778)', '19th Most runs in a match on the losing side (149*)', '41st Most hundreds in a career (11)', '29th Most hundreds in a calendar year (4)', '36th Oldest player to score a hundred (35y 240d)', '22nd Most nineties in career (5)', '21st Most fifties in career (70)', '44th Fifties in consecutive innings (4)', '16th Most consecutive innings without a duck (80)', '20th Fewest ducks in career (41.83)', '32nd Most fours in career (722)', '25th Most fours in an innings (20)', '46th Fastest to 5000 runs (157)', '36th Fastest to 6000 runs (190)', '24th Fastest to 7000 runs (209)', '17th Fastest to 8000 runs (228)', '7th Highest partnership for the fourth wicket (226)', '33rd Most matches in career (268)', '24th Most player-of-the-series awards (4)', '32nd Longest careers (16y 157d)']</t>
  </si>
  <si>
    <t>['21st No ducks in career (22)']</t>
  </si>
  <si>
    <t>['24th Best figures in a innings when on the losing side (7)', '15th Best figures in a match when on the losing side (11)']</t>
  </si>
  <si>
    <t>['7th Longest intervals between appearances (13y 32d)']</t>
  </si>
  <si>
    <t>['11th Oldest player to score a maiden hundred (37y 252d)', '7th Longest intervals between appearances (13y 32d)']</t>
  </si>
  <si>
    <t>['14th Best figures in a innings when on the losing side (5)']</t>
  </si>
  <si>
    <t>[' Hundred and a duck in a match ', ' A hundred and five wickets in an innings ']</t>
  </si>
  <si>
    <t>['39th Worst career economy rate (3.49)', '11th Worst economy rate in an innings (6.92)']</t>
  </si>
  <si>
    <t>['6th Most ducks in career (8)']</t>
  </si>
  <si>
    <t>['26th Most catches in a series (7)', '43rd Most consecutive matches missed for a team between appearances (31)']</t>
  </si>
  <si>
    <t>['13th Most innings before first duck (23)', '6th Most ducks in career (8)', '36th Most catches in career (22)']</t>
  </si>
  <si>
    <t>['1st Worst career bowling average (51.40)', '9th Most wickets taken caught by a wicketkeeper (9)']</t>
  </si>
  <si>
    <t>['15th Most runs in an innings (by batting position) (15*)', '1st Worst career bowling average (51.40)', '6th Worst career economy rate (4.83)', '14th Worst career strike rate (63.7)', '26th Most catches in a series (7)']</t>
  </si>
  <si>
    <t>['33rd Best strike rate in an innings (4.0)', '11th Worst career bowling average (28.93)', '11th Worst career economy rate (6.54)', '14th Worst career strike rate (26.5)', '43rd Most runs conceded in an innings (44)', '38th Most wickets taken caught (27)', '9th Most wickets taken caught by a wicketkeeper (9)', '32nd Highest partnership for the tenth wicket (11)']</t>
  </si>
  <si>
    <t>['5th Outstanding bowling analyses in an innings (8/29)', '8th Fastest to 50 wickets (9)', '7th Outstanding bowling analyses in an innings (6/15)', '8th Best career bowling average (20.66)']</t>
  </si>
  <si>
    <t>['24th Best figures in an innings (8/29)', '33rd Most wickets in a series (33)', '5th Outstanding bowling analyses in an innings (8/29)', '32nd Best career strike rate (49.3)', '8th Fastest to 50 wickets (9)', '21st Fastest to 100 wickets (21)']</t>
  </si>
  <si>
    <t>['19th Best figures in an innings (6/15)', '7th Outstanding bowling analyses in an innings (6/15)', '8th Best career bowling average (20.66)', '12th Best career economy rate (3.47)']</t>
  </si>
  <si>
    <t>['47th Best career bowling average (without qualification) (15.00)', '14th Best figures in a innings on debut (4)', '16th Oldest players on debut (36y 24d)']</t>
  </si>
  <si>
    <t>['19th Oldest players on debut (35y 151d)']</t>
  </si>
  <si>
    <t>['5th Most dismissals in career (102)', '1st Captains who have kept wicket (71)', '3rd Most catches in an innings (4)', '5th Most matches as captain (74)', '9th Most stumpings in career (26)', '6th Most byes conceded in an innings (11)', '6th Most runs in a career without a hundred (1752)', ' 200 runs and 10 wicketkeeping dismissals in a series ', '4th Most dismissals in career (70)', '1st Captains who have kept wicket (65)', '4th Most catches in career (36)', '5th Most stumpings in career (34)', '10th Most runs in an innings (by batting position) (26)', '6th Most consecutive innings without a duck (55)']</t>
  </si>
  <si>
    <t>['49th Most runs in career (1752)', '7th Most runs in an innings (by batting position) (47*)', '14th Most runs in a series by a wicketkeeper (232)', '6th Most runs in a career without a hundred (1752)', '48th Most consecutive innings without a duck (31)', '15th Most ducks in career (10)', '30th Most matches in career (112)', '5th Most matches as captain (74)', '9th Most consecutive matches as captain of a team (36)', '26th Youngest captains (23y 84d)', '1st Captains who have kept wicket (71)', '6th Captains who have kept wicket and opened the batting (4)', '5th Most dismissals in career (102)', '17th Most dismissals in an innings (4)', '17th Most dismissals in a series (14)', '4th Most catches in career (76)', '3rd Most catches in an innings (4)', '16th Most catches in a series (9)', '9th Most stumpings in career (26)', '17th Most stumpings in a series (6)', '6th Most byes conceded in an innings (11)']</t>
  </si>
  <si>
    <t>['10th Most runs in an innings (by batting position) (26)', '6th Most consecutive innings without a duck (55)', '15th Fewest ducks in career (36)', '33rd Highest partnership for the fifth wicket (57)', '20th Most matches in career (95)', '3rd Most matches as captain (73)', '1st Captains who have kept wicket (65)', '2nd Captains who have kept wicket and opened the batting (1)', '4th Most dismissals in career (70)', '4th Most catches in career (36)', '5th Most stumpings in career (34)', '9th Most stumpings in an innings (3)', '23rd Most byes conceded in an innings (5)']</t>
  </si>
  <si>
    <t>['7th Most player-of-the-match awards (14)', '7th Most pairs in career (3)', '10th Outstanding bowling analyses in an innings (7/25)', '3rd Bowler/Batter combinations (17)', ' 1000 runs and 100 wickets ', '3rd Best economy rate in an innings (0.50)', '6th Most consecutive four-wickets-in-an-innings (5)', '1st Bowler/batsman combinations (21)']</t>
  </si>
  <si>
    <t>['16th Most runs in a career without a hundred (1439)', '10th Most ducks in career (26)', '7th Most pairs in career (3)', '16th Most wickets in career (405)', '37th Best figures in an innings (8/45)', '33rd Most wickets in a series (33)', '10th Outstanding bowling analyses in an innings (7/25)', '15th Most wickets on a single ground (66)', '20th Best career bowling average (20.99)', '17th Most five-wickets-in-an-innings in a career (22)', '29th Most ten-wickets-in-a-match in a career (3)', '17th Most balls bowled in career (22103)', '31st Most runs conceded in career (8501)', '3rd Bowler/Batter combinations (17)', '18th Most wickets taken bowled (83)', '13th Most wickets taken caught (269)', '16th Most wickets taken caught by a fielder (173)', '9th Most wickets taken caught by a wicketkeeper (96)', '30th Most wickets taken lbw (52)', '27th Fastest to 150 wickets (35)', '18th Fastest to 200 wickets (45)', '19th Fastest to 250 wickets (58)', '17th Fastest to 300 wickets (71)', '16th Fastest to 350 wickets (84)', '11th Fastest to 400 wickets (97)', '7th Most player-of-the-match awards (14)', '9th Most player-of-the-series awards (6)']</t>
  </si>
  <si>
    <t>['33rd Most wickets in career (225)', '16th Most wickets in a series (21)', '14th Best figures in a innings when on the losing side (5)', '47th Best career bowling average (24.12)', '13th Best career economy rate (3.48)', '3rd Best economy rate in an innings (0.50)', '15th Best figures in a innings on debut (4)', '15th Most five-wickets-in-an-innings in a career (4)', '25th Most four-wickets-in-an-innings in a career (10)', '13th Most consecutive four-wickets-in-an-innings (2)', '28th Most balls bowled in career (9353)', '25th Bowler/Batters combinations (8)', '19th Most wickets taken bowled (66)', '31st Most wickets taken caught (144)', '35th Most wickets taken caught by a fielder (98)', '24th Most wickets taken caught by a wicketkeeper (46)', '11th Fastest to 50 wickets (26)', '19th Fastest to 100 wickets (61)', '23rd Fastest to 150 wickets (103)', '19th Fastest to 200 wickets (146)']</t>
  </si>
  <si>
    <t>['12th Best figures in a innings on debut (3)']</t>
  </si>
  <si>
    <t>['40th Longest lived players (60y 155d)']</t>
  </si>
  <si>
    <t>[' Two unbeaten fifties in a match ', ' Pair by a captain ', '1st Outstanding bowling analyses in an innings (1/0)', '8th Most catches in a match (6)']</t>
  </si>
  <si>
    <t>['26th Most innings before first duck (37)', '13th Fastest to 1000 runs (18)', '1st Outstanding bowling analyses in an innings (1/0)', '44th Worst career bowling average (49.48)', '8th Most catches in a match (6)', '23rd Highest partnership for the eighth wicket (148)']</t>
  </si>
  <si>
    <t>['13th Most runs in a career without a hundred (2204)', '24th Most catches in a series (8)', '16th Most dismissals in an innings (5)', '23rd Most byes conceded in an innings (10)']</t>
  </si>
  <si>
    <t>['18th Highest maiden hundred (148)', '39th Most fours in an innings (19)']</t>
  </si>
  <si>
    <t>['49th Worst career bowling average (without qualification) (104.20)']</t>
  </si>
  <si>
    <t>['15th Worst career bowling average (without qualification) (183.00)']</t>
  </si>
  <si>
    <t>['22nd Most runs in a career without a hundred (1904)', '6th Most ducks in a series (3)']</t>
  </si>
  <si>
    <t>['44th Worst career strike rate (109.3)']</t>
  </si>
  <si>
    <t>['2nd Captains who have kept wicket and opened the batting (2)', '5th Most runs in a series by a wicketkeeper (484)', ' Two unbeaten fifties in a match ', ' Hundred and a duck in a match ', ' 300 runs and 15 wicketkeeping dismissals in a series ']</t>
  </si>
  <si>
    <t>['5th Most runs in a series by a wicketkeeper (484)', '4th Captains who have kept wicket (18)', '2nd Captains who have kept wicket and opened the batting (2)', '19th Most dismissals in a series (23)', '49th Most catches in career (85)', '29th Most catches in a series (22)']</t>
  </si>
  <si>
    <t>['2nd Most runs in an innings (by batting position) (219)', '5th Best figures in a innings by a captain (7)', ' A hundred and five wickets in an innings ', '1st Highest partnership for the seventh wicket (347)']</t>
  </si>
  <si>
    <t>['2nd Most runs in an innings (by batting position) (219)', '43rd Most runs in an innings by a captain (219)', '17th Highest maiden hundred (219)', '5th Best figures in a innings by a captain (7)', '24th Best figures in a innings when on the losing side (7)', '17th Best career economy rate (1.90)', '41st Worst career strike rate (110.6)', '23rd Worst strike rate in an innings (372.0)', '40th Most balls bowled in an innings (432)', '47th Highest partnerships for any wicket (347)', '7th Highest partnerships by wicket (7th)', '1st Highest partnership for the seventh wicket (347)']</t>
  </si>
  <si>
    <t>['7th Most consecutive matches missed for a team between appearances (317)']</t>
  </si>
  <si>
    <t>['8th Most dismissals in a match (9)', '8th Most catches in a match (9)', '9th Most dismissals in a series (19)']</t>
  </si>
  <si>
    <t>['33rd Highest partnership for the ninth wicket (71*)', '41st Most dismissals in career (68)', '16th Most dismissals in an innings (5)', '9th Most dismissals in a series (19)', '41st Most catches in career (59)', '11th Most catches in an innings (5)', '12th Most catches in a series (16)']</t>
  </si>
  <si>
    <t>['8th Most innings before first duck (46)']</t>
  </si>
  <si>
    <t>['8th Most innings before first duck (46)', '42nd Fewest ducks in career (26)', '34th Highest percentage of runs in a completed innings (58.07)']</t>
  </si>
  <si>
    <t>['9th Best career bowling average (without qualification) (5.00)']</t>
  </si>
  <si>
    <t>['9th Best career bowling average (without qualification) (5.00)', '41st Youngest players (18y 31d)']</t>
  </si>
  <si>
    <t>['36th Oldest players on debut (37y 259d)']</t>
  </si>
  <si>
    <t>['6th Worst career bowling average (without qualification) (242.00)']</t>
  </si>
  <si>
    <t>['30th Worst career economy rate (5.80)']</t>
  </si>
  <si>
    <t>['21st Most runs in an innings (by batting position) (34*)', '14th Highest strike rate in an innings (340.00)', '20th Best figures in a innings by a captain (3)', '10th Worst career bowling average (32.67)', '13th Worst career economy rate (8.57)', '50th Most runs conceded in career (1013)', '43rd Most runs conceded in an innings (56)', '17th Bowler/batters combinations (3)', '31st Highest partnership for the eighth wicket (38)', '14th Most matches as captain (30)']</t>
  </si>
  <si>
    <t>['2nd Most runs in an innings (by batting position) (95)']</t>
  </si>
  <si>
    <t>['2nd Most runs in an innings (by batting position) (95)', '20th Worst career economy rate (3.69)']</t>
  </si>
  <si>
    <t>['15th Best figures in a innings on debut (4)']</t>
  </si>
  <si>
    <t>['28th Highest partnership for the tenth wicket (19*)']</t>
  </si>
  <si>
    <t>['11th Highest maiden hundred (250)']</t>
  </si>
  <si>
    <t>['8th Outstanding bowling analyses in an innings (2/2)', '6th Most ducks in a series (3)']</t>
  </si>
  <si>
    <t>['8th Outstanding bowling analyses in an innings (2/2)']</t>
  </si>
  <si>
    <t>['1st Most catches in an innings (5)']</t>
  </si>
  <si>
    <t>['9th Youngest captains (24y 52d)', '8th Most innings before first duck (13)', '8th Youngest captains (21y 99d)']</t>
  </si>
  <si>
    <t>['18th Most runs in a calendar year (328)', '8th Most innings before first duck (13)', '9th Youngest captains (24y 52d)']</t>
  </si>
  <si>
    <t>['8th Youngest captains (21y 99d)']</t>
  </si>
  <si>
    <t>[' Hundred on debut (105*)']</t>
  </si>
  <si>
    <t>['47th Worst career bowling average (48.82)', '26th Most runs conceded in an innings (204)']</t>
  </si>
  <si>
    <t>['3rd Outstanding bowling analyses in an innings (4/6)', '5th Worst career strike rate (28.0)', '1st Most maidens in an innings (2)']</t>
  </si>
  <si>
    <t>['48th Highest partnership for the tenth wicket (82)']</t>
  </si>
  <si>
    <t>['32nd Worst career bowling average (49.05)', '31st Worst career strike rate (61.2)', '13th Most consecutive four-wickets-in-an-innings (2)']</t>
  </si>
  <si>
    <t>['3rd Outstanding bowling analyses in an innings (4/6)', '8th Best figures in a innings when on the losing side (4)', '5th Worst career bowling average (33.66)', '5th Worst career strike rate (28.0)', '15th Most catches in an innings (3)', '38th Most consecutive matches missed for a team between appearances (39)', '19th Most maidens in career (3)', '1st Most maidens in an innings (2)']</t>
  </si>
  <si>
    <t>['1st Most catches in an innings (5)', '1st Highest partnership for the third wicket (258)']</t>
  </si>
  <si>
    <t>['19th Most innings before first duck (40)', '49th Most sixes in career (41)', '1st Most catches in an innings (5)', '8th Most catches in a match (6)', '16th Highest partnership for the third wicket (326)']</t>
  </si>
  <si>
    <t>['16th Hundred in last match (102)', '44th Most sixes in an innings (8)', '17th Highest partnerships for any wicket (258)', '3rd Highest partnerships by wicket (3rd)', '1st Highest partnership for the third wicket (258)', '33rd Highest partnership for the fifth wicket (156)']</t>
  </si>
  <si>
    <t>['41st Highest partnership for the fourth wicket (87*)']</t>
  </si>
  <si>
    <t>['10th Highest partnership for the ninth wicket (150)']</t>
  </si>
  <si>
    <t>['30th Worst career strike rate (61.5)']</t>
  </si>
  <si>
    <t>['12th Most runs in an innings (by batting position) (72)', '26th Most runs in a match on the losing side (84)', '16th Most innings before first duck (10)']</t>
  </si>
  <si>
    <t>['31st Youngest players (16y 88d)']</t>
  </si>
  <si>
    <t>['3rd Most wickets taken hit wicket (2)']</t>
  </si>
  <si>
    <t>['11th Most ducks in a series (4)', '41st Fastest to 50 wickets (11)', '21st Fastest to 100 wickets (21)', '36th Fastest to 150 wickets (36)']</t>
  </si>
  <si>
    <t>['43rd Most five-wickets-in-an-innings in a career (2)', '36th Most four-wickets-in-an-innings in a career (9)', '13th Most consecutive four-wickets-in-an-innings (2)', '25th Youngest player to take five-wickets-in-an-innings (21y 69d)', '3rd Most wickets taken hit wicket (2)', '24th Fastest to 50 wickets (28)', '19th Fastest to 100 wickets (61)']</t>
  </si>
  <si>
    <t>['2nd Best figures in a innings by a captain (6)', ' 1000 runs and 100 wickets ', ' 1000 runs, 50 wickets and 50 catches ', '1st Longest careers (15y 19d)', '10th Most balls bowled in career (1223)', '8th Most runs conceded in career (1682)', '3rd Most wickets taken caught and bowled (5)', '1st Highest partnership for the ninth wicket (66)']</t>
  </si>
  <si>
    <t>['29th Worst economy rate in an innings (6.60)', '29th Highest partnership for the seventh wicket (182)', '20th Youngest captains (24y 95d)']</t>
  </si>
  <si>
    <t>['38th Most wickets in career (199)', '2nd Best figures in a innings by a captain (6)', '46th Most runs conceded in career (5874)', '34th Most wickets taken bowled (52)', '39th Most wickets taken caught (132)', '25th Most wickets taken caught and bowled (11)', '33rd Most wickets taken caught by a fielder (100)', '26th Youngest captains (24y 58d)']</t>
  </si>
  <si>
    <t>['42nd Most runs in an innings (by batting position) (51)', '17th Highest strike rate in an innings (318.18)', '32nd Most ducks in career (5)', '40th Most sixes in career (50)', '17th Most wickets in career (62)', '23rd Worst career economy rate (8.25)', '16th Most four-wickets-in-an-innings in a career (2)', '10th Most balls bowled in career (1223)', '8th Most runs conceded in career (1682)', '17th Bowler/batters combinations (3)', '26th Bowler/fielder combinations (7)', '48th Most wickets taken bowled (10)', '7th Most wickets taken caught (49)', '3rd Most wickets taken caught and bowled (5)', '6th Most wickets taken caught by a fielder (44)', '48th Most wickets taken caught by a wicketkeeper (5)', '15th Most catches in career (37)', '15th Most catches in an innings (3)', '9th Highest partnerships by wicket (9th)', '23rd Highest partnership for the sixth wicket (71)', '1st Highest partnership for the ninth wicket (66)', '32nd Most matches in career (74)', '47th Most consecutive matches missed for a team between appearances (37)', '1st Longest careers (15y 19d)', '24th Youngest captains (24y 70d)']</t>
  </si>
  <si>
    <t>['31st Longest lived players (92y 277d)']</t>
  </si>
  <si>
    <t>['5th Best figures in a innings when on the losing side (8)', '6th Most consecutive ducks (3)', '4th Best figures in a innings on debut (4)', '1st Most wickets taken hit wicket (1)']</t>
  </si>
  <si>
    <t>['39th Best figures in an innings (8/49)', '5th Best figures in a innings when on the losing side (8)', '40th Best figures in a match when on the losing side (10)', '19th Worst economy rate in an innings (6.81)', '18th Most runs conceded in an innings (217)', '25th Most wickets taken stumped (10)']</t>
  </si>
  <si>
    <t>['6th Most consecutive ducks (3)', '20th Highest partnership for the tenth wicket (59*)']</t>
  </si>
  <si>
    <t>['4th Best figures in a innings on debut (4)', '1st Most wickets taken hit wicket (1)', '42nd Most consecutive matches missed for a team between appearances (38)']</t>
  </si>
  <si>
    <t>['1st Most consecutive ducks (4)']</t>
  </si>
  <si>
    <t>['34th Most innings before first duck (33)', '1st Most consecutive ducks (4)']</t>
  </si>
  <si>
    <t>['2nd Most pairs in career (1)', '7th Most wickets in a calendar year (21)', '7th Best figures in a innings on debut (5)', '4th Most wickets taken caught and bowled (5)', '4th Most catches in a series (8)']</t>
  </si>
  <si>
    <t>['2nd Most pairs in career (1)', '32nd Most wickets in career (25)', '7th Most wickets in a calendar year (21)', '26th Best career bowling average (20.12)', '20th Best career economy rate (1.58)', '7th Best figures in a innings on debut (5)', '21st Best figures in a match on debut (5)', '36th Most balls bowled in career (1909)', '4th Most wickets taken caught and bowled (5)', '12th Most wickets taken lbw (8)', '4th Most catches in a series (8)']</t>
  </si>
  <si>
    <t>['17th Most runs in debut match (61)']</t>
  </si>
  <si>
    <t>['9th Best career bowling average (without qualification) (5.00)', ' Representing two countries ', '7th Oldest player to score a maiden hundred (36y 57d)', ' Representing two countries ']</t>
  </si>
  <si>
    <t>['16th Oldest player to score a maiden hundred (36y 38d)', '9th Best career bowling average (without qualification) (5.00)', '48th Most consecutive matches missed for a team between appearances (51)']</t>
  </si>
  <si>
    <t>['22nd Oldest player to score a hundred (36y 57d)', '7th Oldest player to score a maiden hundred (36y 57d)', '50th Highest partnership for the third wicket (185)', '14th Oldest players (42y 213d)', '50th Longest intervals between appearances (6y 158d)', '36th Most consecutive matches missed for a team between appearances (131)']</t>
  </si>
  <si>
    <t>['1st Most runs in an innings by a captain (400*)', ' Hundred in each innings of a match ', ' Hundred and a ninety in a match ', '10th Most fifties in career (82)', ' Hundred and a duck in a match ', '3rd Most fours in career (1559)', '7th Longest individual innings (by minutes) (778)', '1st Fastest to 10000 runs (195)', '4th Most catches in a series (13)', ' 5000 runs and 50 fielding dismissals ', '10th Highest partnership for the sixth wicket (282*)', '10th Most player-of-the-match awards (30)', '6th Most runs in an innings (by batting position) (169)', '6th Most ducks in a series (3)', '6th Fastest to 9000 runs (239)', ' 5000 runs and 50 fielding dismissals ', '8th Most player-of-the-match awards (42)', '8th Most runs in career (22358)', '8th Most hundreds in a career (53)', '9th Most fifties in career (164)', '6th Most fours in career (2601)', '9th Most catches in career (284)']</t>
  </si>
  <si>
    <t>['7th Most runs in career (11953)', '1st Most runs in an innings (400*)', '9th Most runs in an innings (progressive record holder) (375)', '4th Most runs in a match (400)', '10th Most runs in a series (798)', '27th Most runs in a calendar year (1344)', '1st Most runs in an innings (by batting position) (400*)', '1st Most runs in a match on the losing side (351)', '10th Most runs on a single ground (1650)', '13th Most runs in a day (227)', '31st Most runs in an series by a captain (546)', '1st Most runs in an innings by a captain (400*)', '25th Highest career batting average (52.88)', '30th Highest strike rate in an innings (187.50)', '6th Most hundreds in a career (34)', '3rd Most double hundreds in a career (9)', '1st Most triple hundreds in a career (2)', '19th Most hundreds in a calendar year (5)', '9th Most hundreds against one team (9)', '21st Hundreds in consecutive matches (3)', '5th Highest maiden hundred (277)', '24th Youngest player to score a double hundred (23y 245d)', '5th Youngest player to score a triple hundred (24y 349d)', '10th Most nineties in career (6)', '10th Most fifties in career (82)', '39th Most ducks in career (17)', '6th Most sixes in career (88)', '3rd Most fours in career (1559)', '19th Most sixes in an innings (7)', '4th Most fours in an innings (45)', '6th Most runs from fours and sixes in an innings (196)', '7th Longest individual innings (by minutes) (778)', '11th Longest individual innings (by balls) (582)', '23rd Highest percentage of runs in a completed innings (59.45)', '35th Fastest to 1000 runs (21)', '5th Fastest to 2000 runs (35)', '3rd Fastest to 3000 runs (52)', '6th Fastest to 4000 runs (76)', '13th Fastest to 5000 runs (104)', '16th Fastest to 6000 runs (126)', '16th Fastest to 7000 runs (146)', '7th Fastest to 8000 runs (164)', '3rd Fastest to 9000 runs (177)', '1st Fastest to 10000 runs (195)', '2nd Fastest to 11000 runs (213)', '9th Most catches in career (164)', '4th Most catches in a series (13)', '10th Highest partnership for the fifth wicket (322)', '10th Highest partnership for the sixth wicket (282*)', '20th Most matches in career (131)', '29th Most consecutive matches for a team (64)', '11th Most player-of-the-match awards (12)', '24th Most player-of-the-series awards (4)', '22nd Most matches as captain (47)', '44th Most consecutive matches as captain of a team (22)']</t>
  </si>
  <si>
    <t>['13th Most runs in career (10405)', '22nd Most runs in a calendar year (1349)', '6th Most runs in an innings (by batting position) (169)', '27th Most runs on a single ground (1276)', '14th Most runs in an innings by a captain (156)', '15th Most hundreds in a career (19)', '29th Most hundreds in a calendar year (4)', '19th Most hundreds against one team (5)', '34th Oldest player to score a hundred (35y 271d)', '34th Most nineties in career (4)', '12th Most fifties in career (82)', '44th Fifties in consecutive innings (4)', '29th Most consecutive innings without a duck (71)', '37th Most ducks in career (16)', '6th Most ducks in a series (3)', '20th Most sixes in career (133)', '12th Most fours in career (1042)', '14th Most fours in an innings (21)', '24th Fastest to 2000 runs (54)', '16th Fastest to 3000 runs (79)', '10th Fastest to 4000 runs (100)', '7th Fastest to 5000 runs (118)', '8th Fastest to 6000 runs (155)', '6th Fastest to 7000 runs (183)', '8th Fastest to 8000 runs (211)', '6th Fastest to 9000 runs (239)', '7th Fastest to 10000 runs (278)', '16th Most catches in career (120)', '24th Most catches in a series (8)', '47th Highest partnership for the second wicket (197)', '44th Highest partnership for the third wicket (187)', '22nd Most matches in career (299)', '10th Most player-of-the-match awards (30)', '24th Most player-of-the-series awards (4)', '31st Longest careers (16y 163d)', '12th Most matches as captain (125)', '48th Winning all tosses in a series (3)', '23rd Oldest captains (37y 354d)']</t>
  </si>
  <si>
    <t>['4th Most runs in a match on the losing side (176*)', ' 99 not out (and 199, 299 etc) (99*)', '7th Most runs in an innings (by batting position) (125*)', '5th Highest career strike rate (155.74)', '3rd Fifties in consecutive innings (3)', '5th Most sixes in an innings (12)']</t>
  </si>
  <si>
    <t>['33rd Most runs in an innings (176*)', '4th Most runs in a match on the losing side (176*)', '18th Highest maiden hundred (148)', '28th Most runs from fours and sixes in an innings (110)', '18th Highest partnership for the fifth wicket (168*)']</t>
  </si>
  <si>
    <t>['7th Most runs in an innings (125*)', '7th Most runs in an innings (by batting position) (125*)', '43rd Highest career batting average (30.90)', '5th Highest career strike rate (155.74)', '42nd Highest strike rate in an innings (280.00)', '32nd Most fifties in career (8)', '3rd Fifties in consecutive innings (3)', '14th Most sixes in career (77)', '5th Most sixes in an innings (12)', '9th Most runs from fours and sixes in an innings (96)', '36th Longest individual innings (by balls) (62)', '32nd Highest partnership for the second wicket (112*)', '28th Most player-of-the-match awards (5)']</t>
  </si>
  <si>
    <t>['13th Most consecutive matches missed for a team between appearances (81)']</t>
  </si>
  <si>
    <t>['45th Highest partnership for the tenth wicket (47)', '28th Longest intervals between appearances (7y 11d)', '17th Most consecutive matches missed for a team between appearances (163)']</t>
  </si>
  <si>
    <t>['33rd Oldest players on debut (33y 218d)', '22nd Oldest players (39y 224d)']</t>
  </si>
  <si>
    <t>['12th Worst economy rate in an innings (16.50)', '33rd Oldest players on debut (38y 325d)', '29th Oldest players (39y 311d)']</t>
  </si>
  <si>
    <t>['4th Best career bowling average (without qualification) (1.00)']</t>
  </si>
  <si>
    <t>['5th Most matches as captain (74)', '8th Most matches as a match referee (53)', '3rd Most innings before first duck (58)', ' 5000 runs and 50 fielding dismissals ', '6th Highest partnership for the ninth wicket (161)', '9th Most matches as a match referee (133)', '7th Fewest ducks in career (69)', '1st Outstanding bowling analyses in an innings (1/0)', '9th Most matches as a match referee (188)', '7th Most innings before first duck (59)']</t>
  </si>
  <si>
    <t>['40th Most runs in career (7515)', '14th Most runs in an series by a captain (636)', '24th Most runs in an innings by a captain (242*)', '38th Most runs in debut match (160)', '47th Most hundreds in a career (19)', '33rd Most hundreds against one team (7)', '16th Oldest player to score a hundred (40y 84d)', '31st Most fifties in career (58)', '32nd Fifties in consecutive innings (5)', '3rd Most innings before first duck (58)', '11th Most consecutive innings without a duck (74)', '10th Fewest ducks in career (43.75)', '17th Most sixes in career (70)', '44th Fastest to 6000 runs (146)', '32nd Fastest to 7000 runs (163)', '49th Most catches in career (90)', '22nd Highest partnership for the sixth wicket (250)', '6th Highest partnership for the ninth wicket (161)', '45th Most matches in career (110)', '40th Longest careers (18y 20d)', '5th Most matches as captain (74)', '24th Most consecutive matches as captain of a team (29)', '32nd Winning all tosses in a series (5)', '20th Oldest captains (40y 124d)', '8th Most matches as a match referee (53)']</t>
  </si>
  <si>
    <t>['19th Most runs in an series by a captain (432)', '7th Fewest ducks in career (69)', '1st Outstanding bowling analyses in an innings (1/0)', '12th Most catches in a series (9)', '37th Oldest players (40y 187d)', '29th Most matches as captain (84)', '12th Oldest captains (40y 187d)', '9th Most matches as a match referee (133)']</t>
  </si>
  <si>
    <t>['20th Most innings before first duck (21)', '11th Best figures in a innings when on the losing side (4)', '16th Oldest players on debut (36y 10d)', '13th Oldest players (41y 39d)']</t>
  </si>
  <si>
    <t>['34th Most runs in a match on the losing side (61)', '33rd Highest partnership for the fifth wicket (57)', '22nd Oldest players on debut (40y 91d)', '18th Oldest players (41y 63d)']</t>
  </si>
  <si>
    <t>['1st Outstanding bowling analyses in an innings (6/3)', '6th Worst career economy rate (3.83)']</t>
  </si>
  <si>
    <t>['1st Outstanding bowling analyses in an innings (6/3)', '18th Best career strike rate (46.3)', '18th Best strike rate in an innings (6.8)', '6th Worst career economy rate (3.83)']</t>
  </si>
  <si>
    <t>['4th Most runs in an innings (by batting position) (104*)', '10th Most nineties in career (2)', '1st Outstanding bowling analyses in an innings (2/0)', '8th Worst career economy rate (4.78)', ' 250 runs and 10 wickets in a series ', '3rd Most matches in career (118)', '1st Most runs in an innings (by batting position) (112*)', '7th Most fifties in career (14)', '2nd Most ducks in career (11)', '1st Highest percentage of runs in a completed innings (70.44)', '10th Fastest to 2000 runs (96)', '5th Outstanding bowling analyses in an innings (5/5)', '10th Most wickets taken bowled (23)', '3rd Most catches in an innings (3)', '8th Highest partnership for the fifth wicket (76)']</t>
  </si>
  <si>
    <t>['20th Most runs in career (2833)', '24th Most runs in a series (592)', '4th Most runs in an innings (by batting position) (104*)', '24th Most runs on a single ground (386)', '10th Most nineties in career (2)', '20th Most fifties in career (20)', '28th Fifties in consecutive innings (3)', '21st Most ducks in career (9)', '49th Most wickets in career (69)', '38th Most wickets in a series (18)', '1st Outstanding bowling analyses in an innings (2/0)', '11th Best figures in a innings when on the losing side (4)', '15th Best career strike rate (32.1)', '8th Worst career economy rate (4.78)', '25th Most four-wickets-in-an-innings in a career (4)', '43rd Most runs conceded in career (1769)', '31st Most wickets taken bowled (20)', '29th Most wickets taken lbw (14)', '44th Most catches in career (28)', '47th Most catches in a series (6)', '40th Highest partnership for the second wicket (143)', '50th Highest partnership for the fourth wicket (97)', '30th Highest partnership for the fifth wicket (94)', '41st Highest partnership for the sixth wicket (66)', '45th Highest partnership for the eighth wicket (43)', '24th Most matches in career (117)', '27th Most consecutive matches for a team (46)']</t>
  </si>
  <si>
    <t>['5th Most runs in career (2565)', '15th Most runs in an innings (112*)', '3rd Most runs in an innings (progressive record holder) (112*)', '1st Most runs in an innings (by batting position) (112*)', '20th Most runs in a match on the losing side (69)', '25th Most runs on a single ground (209)', '20th Highest career batting average (26.44)', '7th Most fifties in career (14)', '2nd Most ducks in career (11)', '1st Highest percentage of runs in a completed innings (70.44)', '10th Fastest to 2000 runs (96)', '24th Most wickets in career (61)', '11th Best figures in an innings (5/5)', '5th Outstanding bowling analyses in an innings (5/5)', '33rd Best career bowling average (18.44)', '15th Best career strike rate (17.6)', '20th Worst career economy rate (6.27)', '13th Most four-wickets-in-an-innings in a career (2)', '35th Most balls bowled in career (1075)', '29th Most runs conceded in career (1125)', '18th Bowler/Batters combinations (4)', '10th Most wickets taken bowled (23)', '30th Most wickets taken caught (31)', '20th Most wickets taken caught and bowled (3)', '35th Most wickets taken caught by a fielder (24)', '12th Most wickets taken caught by a wicketkeeper (7)', '24th Most wickets taken lbw (7)', '17th Most catches in career (31)', '3rd Most catches in an innings (3)', '11th Highest partnership for the third wicket (109*)', '8th Highest partnership for the fifth wicket (76)', '3rd Most matches in career (118)', '6th Most consecutive matches for a team (61)']</t>
  </si>
  <si>
    <t>['2nd Most pairs in career (4)']</t>
  </si>
  <si>
    <t>['10th Most ducks in career (26)', '4th Most consecutive ducks (4)', '2nd Most pairs in career (4)']</t>
  </si>
  <si>
    <t>['6th Most ducks in a series (3)', '6th Most consecutive ducks (3)', '14th Best figures in a innings when on the losing side (5)', '48th Best economy rate in an innings (1.00)', '25th Most five-wickets-in-an-innings in a career (3)']</t>
  </si>
  <si>
    <t>['8th No ducks in career (29)']</t>
  </si>
  <si>
    <t>['23rd Highest partnership for the eighth wicket (40*)']</t>
  </si>
  <si>
    <t>['35th Oldest player to score a maiden hundred (32y 154d)']</t>
  </si>
  <si>
    <t>['12th Most stumpings in a match (3)']</t>
  </si>
  <si>
    <t>['6th Most dismissals in career (270)', '5th Most catches in career (265)', ' 300 runs and 15 wicketkeeping dismissals in a series ', '2nd Most dismissals in a series (23)', '5th Most catches in a series (20)', '10th Most byes conceded in an innings (12)', ' 200 runs and 10 wicketkeeping dismissals in a series ', '7th Most dismissals in career (474)', '8th Most catches in career (448)']</t>
  </si>
  <si>
    <t>['18th Most runs in a series by a wicketkeeper (367)', '35th Fastest to 1000 runs (21)', '41st Highest partnership for the sixth wicket (207)', '6th Most dismissals in career (270)', '19th Most dismissals in a series (23)', '5th Most catches in career (265)', '20th Most catches in a series (23)']</t>
  </si>
  <si>
    <t>['21st Most runs in a career without a hundred (1945)', '14th Highest partnership for the seventh wicket (115)', '31st Captains who have kept wicket (1)', '50th Oldest captains on captaincy debut (33y 291d)', '12th Most dismissals in career (204)', '2nd Most dismissals in a series (23)', '9th Most catches in career (183)', '5th Most catches in a series (20)', '23rd Most stumpings in career (21)', '10th Most byes conceded in an innings (12)']</t>
  </si>
  <si>
    <t>['28th Highest partnership for the ninth wicket (37*)']</t>
  </si>
  <si>
    <t>['16th Shortest lived players (29y 20d)']</t>
  </si>
  <si>
    <t>['32nd Oldest living players (87y 221d)']</t>
  </si>
  <si>
    <t>[' Hundred and a duck in a match ', '3rd Highest partnership for the seventh wicket (295*)']</t>
  </si>
  <si>
    <t>['3rd Highest partnership for the seventh wicket (295*)', '9th Highest partnership for the eighth wicket (212)', '49th Most catches in career (85)']</t>
  </si>
  <si>
    <t>['1st Most consecutive four-wickets-in-an-innings (3)']</t>
  </si>
  <si>
    <t>['43rd Most five-wickets-in-an-innings in a career (2)', '1st Most consecutive four-wickets-in-an-innings (3)', '28th Oldest player to take five-wickets-in-an-innings (33y 211d)', '17th Oldest player to take a maiden five-wickets-in-an-innings (33y 202d)', '22nd Longest intervals between appearances (7y 179d)', '24th Most consecutive matches missed for a team between appearances (153)']</t>
  </si>
  <si>
    <t>['12th Best figures in an innings (7/51)', '11th Outstanding bowling analyses in an innings (7/51)']</t>
  </si>
  <si>
    <t>['6th Most runs in an innings (by batting position) (38*)', '10th Most wickets taken caught and bowled (8)', '4th Most catches in an innings (3)', '6th Most wickets on a single ground (12)', '8th Best career economy rate (4.89)', '4th Most four-wickets-in-an-innings in a career (3)', '6th Most wickets taken lbw (12)', '2nd Highest partnership for the fifth wicket (118)']</t>
  </si>
  <si>
    <t>['6th Most runs in an innings (by batting position) (38*)', '35th Most runs in a career without a hundred (1001)', '40th Most wickets in career (73)', '46th Most wickets in a calendar year (21)', '33rd Most wickets on a single ground (12)', '43rd Most balls bowled in career (2977)', '48th Most runs conceded in career (1701)', '44th Bowler/fielder combinations (10)', '34th Most wickets taken caught (46)', '10th Most wickets taken caught and bowled (8)', '35th Most wickets taken caught by a fielder (37)', '36th Most wickets taken lbw (12)', '4th Most catches in an innings (3)', '11th Highest partnership for the ninth wicket (46)']</t>
  </si>
  <si>
    <t>['28th Most innings before first duck (16)', '34th Most ducks in career (5)', '16th Most wickets in career (72)', '31st Best figures in an innings (5/15)', '22nd Most wickets in a calendar year (20)', '6th Most wickets on a single ground (12)', '13th Best career bowling average (15.45)', '8th Best career economy rate (4.89)', '31st Best career strike rate (18.9)', '43rd Worst economy rate in an innings (14.00)', '4th Most four-wickets-in-an-innings in a career (3)', '21st Most balls bowled in career (1363)', '30th Most runs conceded in career (1113)', '18th Bowler/Batters combinations (4)', '21st Bowler/fielder combinations (9)', '11th Most wickets taken bowled (21)', '38th Most wickets taken caught (27)', '20th Most wickets taken caught and bowled (3)', '41st Most wickets taken caught by a fielder (22)', '23rd Most wickets taken caught by a wicketkeeper (5)', '6th Most wickets taken lbw (12)', '8th Most wickets taken stumped (12)', '47th Highest partnerships for any wicket (118)', '2nd Highest partnership for the fifth wicket (118)', '42nd Most consecutive matches for a team (38)', '15th Most maidens in career (8)']</t>
  </si>
  <si>
    <t>[' Two unbeaten fifties in a match ', ' Hundred and a duck in a match ']</t>
  </si>
  <si>
    <t>['20th Highest career batting average (54.20)', '50th Fastest to 1000 runs (22)', '25th Worst career bowling average (without qualification) (165.00)', '20th Highest partnership for the sixth wicket (254)']</t>
  </si>
  <si>
    <t>['1st Captains who have kept wicket and opened the batting (7)', '1st Most stumpings in a series (9)']</t>
  </si>
  <si>
    <t>['34th Highest partnership for the tenth wicket (94)', '34th Youngest captains (25y 138d)', '6th Captains who have kept wicket (13)', '1st Captains who have kept wicket and opened the batting (7)', '25th Most stumpings in career (16)', '4th Most stumpings in an innings (3)', '12th Most stumpings in a match (3)', '1st Most stumpings in a series (9)']</t>
  </si>
  <si>
    <t>['1st Most matches as captain (109)', '3rd Most runs in a calendar year (1656)', '2nd Most double hundreds in a series (2)', ' Hundred and a duck in a match ', '9th Fastest to 1000 runs (17)', '1st Most catches in an innings (5)', ' 5000 runs and 50 fielding dismissals ', '6th Highest partnership for the fifth wicket (338)', '7th Most matches as captain (150)', '1st Dismissed for 99 (and 199, 299 etc) (99)', '5th Most innings before first duck (67)', '2nd Most catches in an innings (4)', ' 5000 runs and 50 fielding dismissals ', '6th Highest partnership for the first wicket (170)', '4th Most matches as captain (286)', '4th Hundreds in consecutive matches (4)', '7th Most catches in career (292)']</t>
  </si>
  <si>
    <t>['15th Most runs in career (9265)', '46th Most runs in an innings (277)', '12th Most runs in a match (362)', '28th Most runs in a series (714)', '3rd Most runs in a calendar year (1656)', '22nd Most runs on a single ground (1363)', '15th Most runs in a day (223)', '7th Most runs in an series by a captain (714)', '11th Most runs in an innings by a captain (277)', '17th Most hundreds in a career (27)', '13th Most double hundreds in a career (5)', '2nd Most double hundreds in a series (2)', '6th Most hundreds in a calendar year (6)', '33rd Most hundreds against one team (7)', '21st Hundreds in consecutive matches (3)', '40th Highest maiden hundred (200)', '8th Hundred in hundredth match (131)', '5th Youngest player to score a double hundred (21y 259d)', '24th Most fifties in career (65)', '13th Most fours in career (1165)', '36th Most fours in an innings (35)', '9th Fastest to 1000 runs (17)', '14th Fastest to 2000 runs (39)', '17th Fastest to 3000 runs (63)', '27th Fastest to 4000 runs (89)', '32nd Fastest to 5000 runs (111)', '21st Fastest to 6000 runs (128)', '18th Fastest to 7000 runs (148)', '17th Fastest to 8000 runs (173)', '10th Fastest to 9000 runs (195)', '8th Most catches in career (169)', '1st Most catches in an innings (5)', '8th Most catches in a match (6)', '42nd Most catches in a series (10)', '31st Highest partnerships for any wicket (368)', '6th Highest partnership for the first wicket (368)', '32nd Highest partnership for the second wicket (272)', '6th Highest partnership for the fifth wicket (338)', '33rd Most matches in career (117)', '11th Most player-of-the-match awards (12)', '24th Most player-of-the-series awards (4)', '1st Most matches as captain (109)', '7th Most consecutive matches as captain of a team (40)', '47th Winning all tosses in a series (3)', '5th Youngest captains (22y 82d)']</t>
  </si>
  <si>
    <t>['43rd Most runs in career (6989)', '34th Most runs in a match on the losing side (141)', '17th Most runs in an series by a captain (443)', '27th Most runs in an innings by a captain (141)', '11th Most hundreds in a calendar year (5)', '22nd Most nineties in career (5)', '1st Dismissed for 99 (and 199, 299 etc) (99)', '36th Most fifties in career (57)', '44th Fifties in consecutive innings (4)', '5th Most innings before first duck (67)', '28th Most consecutive innings without a duck (72*)', '26th Most fours in career (788)', '25th Most fours in an innings (20)', '36th Fastest to 1000 runs (28)', '41st Fastest to 2000 runs (57)', '20th Fastest to 3000 runs (80)', '18th Fastest to 4000 runs (107)', '16th Fastest to 5000 runs (131)', '11th Fastest to 6000 runs (160)', '17th Worst career bowling average (52.83)', '30th Worst economy rate in an innings (11.20)', '27th Most catches in career (105)', '2nd Most catches in an innings (4)', '24th Most catches in a series (8)', '47th Highest partnership for the third wicket (186)', '45th Most player-of-the-series awards (3)', '7th Most matches as captain (150)', '8th Youngest captains (22y 71d)']</t>
  </si>
  <si>
    <t>['16th Most runs on a single ground (341)', '20th Most runs in an innings by a captain (89*)', '31st Highest career batting average (31.67)', '25th Most runs in debut match (61)', '13th Most innings before first duck (31)', '47th Most consecutive innings without a duck (31)', '37th Most fours in career (123)', '31st Most fours in an innings (11)', '8th Highest partnerships for any wicket (170)', '6th Highest partnership for the first wicket (170)', '33rd Highest partnership for the second wicket (111)', '22nd Most matches as captain (27)', '29th Youngest captains (24y 262d)']</t>
  </si>
  <si>
    <t>[' Hundred and a duck in a match ', ' Opening the batting and bowling in the same match ']</t>
  </si>
  <si>
    <t>['36th Most sixes in an innings (6)', '19th Highest percentage of runs in a completed innings (59.88)', '40th Worst economy rate in an innings (6.45)']</t>
  </si>
  <si>
    <t>['8th Highest partnership for the first wicket (209)']</t>
  </si>
  <si>
    <t>['27th Highest maiden hundred (117)', '14th Youngest player to score a hundred (20y 177d)', '20th Highest partnerships for any wicket (209)', '8th Highest partnership for the first wicket (209)', '33rd Highest partnership for the second wicket (151)']</t>
  </si>
  <si>
    <t>['3rd Outstanding bowling analyses in an innings (6/8)', '7th Best career strike rate (42.3)', '4th Most consecutive ten-wickets-in-a-match (2)', '5th Most wickets taken caught by a wicketkeeper (109)', '3rd Fastest to 400 wickets (80)', ' 1000 runs and 100 wickets ', '1st Best figures in a innings when on the losing side (6)', '7th Most wickets taken caught by a wicketkeeper (10)', '6th Fastest to 50 wickets (35)', '10th Most wickets taken caught (473)']</t>
  </si>
  <si>
    <t>['11th Most runs in an innings (by batting position) (76)', '29th Most runs in a career without a hundred (1251)', '19th Highest strike rate in an innings (207.14)', '8th Most wickets in career (439)', '9th Most wickets in a calendar year (74)', '3rd Outstanding bowling analyses in an innings (6/8)', '12th Most wickets on a single ground (74)', '7th Best career strike rate (42.3)', '31st Best strike rate in an innings (8.1)', '10th Most five-wickets-in-an-innings in a career (26)', '12th Most ten-wickets-in-a-match in a career (5)', '4th Most consecutive ten-wickets-in-a-match (2)', '29th Most balls bowled in career (18608)', '18th Most runs conceded in career (10077)', '14th Bowler/fielder combinations (58)', '13th Most wickets taken bowled (90)', '10th Most wickets taken caught (285)', '13th Most wickets taken caught and bowled (11)', '13th Most wickets taken caught by a fielder (176)', '5th Most wickets taken caught by a wicketkeeper (109)', '23rd Most wickets taken lbw (64)', '13th Fastest to 100 wickets (20)', '5th Fastest to 150 wickets (29)', '6th Fastest to 200 wickets (39)', '3rd Fastest to 250 wickets (49)', '4th Fastest to 300 wickets (61)', '3rd Fastest to 350 wickets (69)', '3rd Fastest to 400 wickets (80)', '32nd Most player-of-the-match awards (9)', '12th Most player-of-the-series awards (5)']</t>
  </si>
  <si>
    <t>['11th Most runs in an innings (by batting position) (60)', '40th Most wickets in career (196)', '1st Best figures in a innings when on the losing side (6)', '49th Best career strike rate (31.9)', '19th Worst economy rate in an innings (11.60)', '25th Most five-wickets-in-an-innings in a career (3)', '19th Most runs conceded in an innings (96)', '31st Most wickets taken caught (144)', '29th Most wickets taken caught by a fielder (103)', '30th Most wickets taken caught by a wicketkeeper (41)', '15th Fastest to 150 wickets (96)']</t>
  </si>
  <si>
    <t>['15th Most wickets in career (64)', '13th Outstanding bowling analyses in an innings (4/9)', '8th Best figures in a innings when on the losing side (4)', '15th Best career bowling average (18.35)', '38th Best career economy rate (6.94)', '18th Best career strike rate (15.8)', '31st Best strike rate in an innings (4.5)', '16th Most four-wickets-in-an-innings in a career (2)', '33rd Most balls bowled in career (1015)', '37th Most runs conceded in career (1175)', '17th Bowler/batters combinations (3)', '45th Bowler/fielder combinations (6)', '8th Most wickets taken bowled (18)', '12th Most wickets taken caught (44)', '17th Most wickets taken caught by a fielder (34)', '7th Most wickets taken caught by a wicketkeeper (10)', '6th Fastest to 50 wickets (35)', '28th Longest careers (12y 90d)', '19th Most maidens in career (3)']</t>
  </si>
  <si>
    <t>['5th Outstanding bowling analyses in an innings (2/4)', '8th Worst economy rate in an innings (4.76)', '4th Outstanding bowling analyses in an innings (5/7)', ' Opening the batting and bowling in the same match ']</t>
  </si>
  <si>
    <t>['5th Outstanding bowling analyses in an innings (2/4)', '8th Worst economy rate in an innings (4.76)']</t>
  </si>
  <si>
    <t>['33rd Most innings before first duck (16)', '21st Best figures in an innings (5/7)', '4th Outstanding bowling analyses in an innings (5/7)', '24th Most wickets on a single ground (13)', '11th Best figures in a innings when on the losing side (4)', '27th Best career strike rate (33.9)', '37th Youngest player to take five-wickets-in-an-innings (23y 348d)', '15th Most wickets taken caught by a wicketkeeper (13)', '47th Youngest captains (24y 364d)']</t>
  </si>
  <si>
    <t>['49th Oldest players (42y 21d)', '22nd Longest intervals between appearances (10y 158d)']</t>
  </si>
  <si>
    <t>['26th Best career strike rate (47.9)', '27th Oldest player to take a maiden five-wickets-in-an-innings (35y 219d)']</t>
  </si>
  <si>
    <t>['33rd Best figures in a match on debut (8)']</t>
  </si>
  <si>
    <t>['35th Highest partnership for the tenth wicket (51)']</t>
  </si>
  <si>
    <t>['15th Best career bowling average (without qualification) (8.00)']</t>
  </si>
  <si>
    <t>['3rd Most consecutive matches missed for a team between appearances (218)']</t>
  </si>
  <si>
    <t>['11th Longest intervals between appearances (8y 251d)', '3rd Most consecutive matches missed for a team between appearances (218)']</t>
  </si>
  <si>
    <t>['12th Best career bowling average (without qualification) (6.00)']</t>
  </si>
  <si>
    <t>['1st Worst career bowling average (without qualification) (178.00)']</t>
  </si>
  <si>
    <t>['8th Best figures in a innings when on the losing side (4)', '1st Bowler/batters combinations (4)']</t>
  </si>
  <si>
    <t>['8th Best figures in a innings when on the losing side (4)', '37th Most runs conceded in an innings (57)', '1st Bowler/batters combinations (4)']</t>
  </si>
  <si>
    <t>['15th Best career bowling average (without qualification) (7.00)']</t>
  </si>
  <si>
    <t>['3rd Most runs in an innings (by batting position) (108)', '10th Oldest player to score a maiden hundred (37y 306d)', '1st Outstanding bowling analyses in an innings (1/0)']</t>
  </si>
  <si>
    <t>['45th Oldest living players (47y 353d)']</t>
  </si>
  <si>
    <t>['1st Most maidens in an innings (2)']</t>
  </si>
  <si>
    <t>['46th Best career strike rate (31.5)', '15th Best figures in a innings on debut (4)', '13th Most consecutive four-wickets-in-an-innings (2)', '17th Fastest to 50 wickets (27)']</t>
  </si>
  <si>
    <t>[' Carrying bat through a completed innings (26*)']</t>
  </si>
  <si>
    <t>['2nd Ninety on debut (97)', ' Pair by a captain ']</t>
  </si>
  <si>
    <t>['2nd Ninety on debut (97)', '46th Oldest captains on captaincy debut (35y 275d)']</t>
  </si>
  <si>
    <t>['11th Best career bowling average (without qualification) (7.00)']</t>
  </si>
  <si>
    <t>['40th Most innings before first duck (15)']</t>
  </si>
  <si>
    <t>['2nd Most runs in an innings (by batting position) (92)', '4th Most catches in an innings (3)', '10th Highest partnership for the sixth wicket (89)', '5th Most runs in an innings (by batting position) (40)', '2nd Worst career economy rate (7.09)', '7th Highest partnership for the seventh wicket (54)']</t>
  </si>
  <si>
    <t>['2nd Most runs in an innings (by batting position) (92)', '18th Most runs in a career without a hundred (1233)', '16th Most consecutive innings without a duck (43*)', '27th Worst career bowling average (34.88)', '47th Worst career economy rate (4.07)', '4th Most catches in an innings (3)', '12th Most catches in a series (10)', '10th Highest partnership for the sixth wicket (89)', '41st Highest partnership for the ninth wicket (36)', '27th Youngest captains (23y 112d)']</t>
  </si>
  <si>
    <t>['5th Most runs in an innings (by batting position) (40)', '37th Most innings before first duck (13)', '35th Most consecutive innings without a duck (31)', '5th Worst career bowling average (34.36)', '2nd Worst career economy rate (7.09)', '8th Worst career strike rate (29.0)', '9th Worst economy rate in an innings (17.00)', '23rd Highest partnership for the fifth wicket (63)', '7th Highest partnership for the seventh wicket (54)']</t>
  </si>
  <si>
    <t>['16th Highest partnership for the eighth wicket (55*)']</t>
  </si>
  <si>
    <t>['15th Worst economy rate in an innings (16.00)', '43rd Most runs conceded in an innings (44)', '12th Most maidens in an innings (2)']</t>
  </si>
  <si>
    <t>['22nd Most runs in an series by a captain (582)', '33rd Most hundreds against one team (7)', '11th Oldest player to score a hundred (41y 241d)', '12th Most consecutive innings without a duck (72)', '14th Fewest ducks in career (38)', '18th Highest percentage of runs in a completed innings (59.89)', '29th Oldest players (42y 301d)', '18th Longest careers (19y 279d)', '24th Youngest captains (24y 222d)']</t>
  </si>
  <si>
    <t>['2nd Oldest player to score a maiden hundred (37y 289d)']</t>
  </si>
  <si>
    <t>['24th Most runs in a series by a wicketkeeper (200)', '41st Most runs in an innings by a wicketkeeper (79)', '32nd Highest maiden hundred (114*)', '3rd Oldest player to score a hundred (37y 289d)', '2nd Oldest player to score a maiden hundred (37y 289d)', '28th Most consecutive innings without a duck (36)', '40th Highest percentage of runs in a completed innings (52.04)', '31st Highest partnership for the third wicket (131)', '30th Oldest players (38y 300d)', '24th Most dismissals in career (33)', '24th Most catches in career (22)', '24th Most stumpings in career (11)']</t>
  </si>
  <si>
    <t>['34th Oldest players on debut (38y 287d)', '44th Oldest players (38y 309d)']</t>
  </si>
  <si>
    <t>['6th Outstanding bowling analyses in an innings (7/23)', '5th Fastest to 150 wickets (29)']</t>
  </si>
  <si>
    <t>['16th Best figures in an innings (9/113)', '25th Best figures in a match (13)', '13th Most wickets in a series (37)', '6th Outstanding bowling analyses in an innings (7/23)', '24th Best figures in a innings when on the losing side (7)', '21st Best career economy rate (1.94)', '14th Worst strike rate in an innings (392.0)', '41st Most five-wickets-in-an-innings in a career (14)', '46th Youngest player to take ten-wickets-in-a-match (23y 329d)', '15th Most balls bowled in an innings (472)', '28th Most balls bowled in a match (640)', '13th Most wickets taken caught and bowled (11)', '41st Fastest to 50 wickets (11)', '27th Fastest to 100 wickets (22)', '5th Fastest to 150 wickets (29)']</t>
  </si>
  <si>
    <t>['40th Best career bowling average (without qualification) (8.33)']</t>
  </si>
  <si>
    <t>['4th Longest lived players (97y 212d)']</t>
  </si>
  <si>
    <t>['36th Worst career bowling average (51.57)', '40th Worst career strike rate (110.7)', '4th Longest lived players (97y 212d)']</t>
  </si>
  <si>
    <t>['10th Worst career bowling average (without qualification) (90.00)', '5th Most runs in an series by a captain (596)', '2nd Fewest ducks in career (40)', '1st Outstanding bowling analyses in an innings (4/0)', '4th Best strike rate in an innings (5.0)', '3rd Most consecutive four-wickets-in-an-innings (2)', '1st Most wickets taken hit wicket (1)', '4th Most catches in an innings (3)', ' 250 runs and 10 wickets in a series ', ' 1000 runs, 50 wickets and 50 catches ', '3rd Most runs in an innings (by batting position) (34*)', '3rd Fifties in consecutive innings (3)', '4th Most consecutive innings without a duck (63*)', '8th Fastest to 1000 runs (45)', '5th Bowler/fielder combinations (12)', '3rd Most catches in an innings (3)', '5th Highest partnership for the fifth wicket (79)']</t>
  </si>
  <si>
    <t>['10th Worst career bowling average (without qualification) (90.00)', '17th Worst strike rate in an innings (222.0)']</t>
  </si>
  <si>
    <t>['37th Most runs in career (2115)', '23rd Most runs in a series (596)', '6th Most runs in an innings (by batting position) (81)', '27th Most runs in a match on the losing side (95)', '5th Most runs in an series by a captain (596)', '42nd Most runs in an innings by a captain (102)', '33rd Highest career batting average (36.46)', '49th Most fifties in career (10)', '28th Fifties in consecutive innings (3)', '21st Most consecutive innings without a duck (39*)', '2nd Fewest ducks in career (40)', '12th Most wickets in career (130)', '41st Best figures in an innings (5/17)', '41st Most wickets in a series (17)', '7th Most wickets in a calendar year (31)', '1st Outstanding bowling analyses in an innings (4/0)', '33rd Most wickets on a single ground (12)', '9th Best figures in a innings by a captain (4)', '39th Best career bowling average (19.60)', '22nd Best career strike rate (33.4)', '4th Best strike rate in an innings (5.0)', '7th Most five-wickets-in-an-innings in a career (2)', '4th Most four-wickets-in-an-innings in a career (8)', '3rd Most consecutive four-wickets-in-an-innings (2)', '10th Youngest player to take five-wickets-in-an-innings (19y 238d)', '20th Most balls bowled in career (4344)', '18th Most runs conceded in career (2549)', '31st Bowler/Batters combinations (5)', '3rd Bowler/fielder combinations (24)', '20th Most wickets taken bowled (25)', '13th Most wickets taken caught (67)', '16th Most wickets taken caught and bowled (7)', '11th Most wickets taken caught by a fielder (54)', '15th Most wickets taken caught by a wicketkeeper (13)', '11th Most wickets taken lbw (20)', '4th Most wickets taken stumped (17)', '1st Most wickets taken hit wicket (1)', '6th Most catches in career (52)', '4th Most catches in an innings (3)', '12th Most catches in a series (10)', '19th Highest partnership for the seventh wicket (66)', '26th Highest partnership for the tenth wicket (30)', '43rd Most matches in career (102)', '40th Most consecutive matches for a team (40)', '22nd Youngest players (15y 298d)', '12th Most matches as captain (45)', '30th Youngest captains (23y 147d)']</t>
  </si>
  <si>
    <t>['13th Most runs in career (1839)', '34th Most runs in an innings (90*)', '14th Most runs in a calendar year (490)', '3rd Most runs in an innings (by batting position) (34*)', '14th Most runs in a match on the losing side (72)', '31st Most runs in an innings by a captain (72)', '12th Highest career batting average (28.73)', '15th Most fifties in career (10)', '3rd Fifties in consecutive innings (3)', '4th Most consecutive innings without a duck (63*)', '13th Fewest ducks in career (37)', '40th Highest percentage of runs in a completed innings (55.81)', '8th Fastest to 1000 runs (45)', '21st Most wickets in career (63)', '21st Best figures in a innings by a captain (3)', '25th Best career economy rate (5.45)', '33rd Best strike rate in an innings (4.0)', '16th Most balls bowled in career (1459)', '16th Most runs conceded in career (1327)', '5th Bowler/fielder combinations (12)', '18th Most wickets taken caught (39)', '16th Most wickets taken caught by a fielder (36)', '12th Most wickets taken stumped (10)', '26th Most catches in career (25)', '3rd Most catches in an innings (3)', '45th Highest partnership for the first wicket (96)', '49th Highest partnership for the second wicket (84)', '25th Highest partnership for the fourth wicket (75)', '5th Highest partnership for the fifth wicket (79)', '12th Highest partnership for the seventh wicket (46)', '14th Highest partnership for the tenth wicket (16*)', '33rd Most matches in career (83)', '19th Most matches as captain (27)', '26th Youngest captains (21y 118d)']</t>
  </si>
  <si>
    <t>['3rd Most runs in an innings by a wicketkeeper (114*)', '4th Longest individual innings (by balls) (70)']</t>
  </si>
  <si>
    <t>['22nd Most runs in an innings (114*)', '17th Most runs in an innings (by batting position) (114*)', '3rd Most runs in an innings by a wicketkeeper (114*)', '42nd Most sixes in an innings (7)', '29th Most runs from fours and sixes in an innings (78)', '4th Longest individual innings (by balls) (70)', '26th Highest percentage of runs in a completed innings (58.46)', '48th Highest partnership for the first wicket (111)']</t>
  </si>
  <si>
    <t>['1st Outstanding bowling analyses in an innings (1/0)']</t>
  </si>
  <si>
    <t>['1st Outstanding bowling analyses in an innings (1/0)', '18th Best career bowling average (without qualification) (9.00)']</t>
  </si>
  <si>
    <t>['5th Ninety on debut (93)']</t>
  </si>
  <si>
    <t>['20th Most runs in debut match (93)', '39th Oldest player to score a maiden hundred (32y 54d)', '5th Ninety on debut (93)', '39th Highest partnership for the sixth wicket (127*)']</t>
  </si>
  <si>
    <t>['19th Most runs in an innings (by batting position) (74*)', '45th Highest career strike rate (138.63)', '32nd Most runs in debut match (56)', '42nd Highest partnership for the fourth wicket (87)']</t>
  </si>
  <si>
    <t>['1st Most runs in an innings (by batting position) (42*)']</t>
  </si>
  <si>
    <t>['21st Worst career bowling average (without qualification) (76.66)']</t>
  </si>
  <si>
    <t>['6th Most runs in an innings (by batting position) (62*)', '3rd Number eleven top scoring in an innings (62*)', '8th Best career strike rate (43.1)', '8th Most catches in a match (6)']</t>
  </si>
  <si>
    <t>['6th Most runs in an innings (by batting position) (62*)', '3rd Number eleven top scoring in an innings (62*)', '16th Most wickets in a series (36)', '47th Best career bowling average (22.73)', '8th Best career strike rate (43.1)', '18th Most consecutive five-wickets-in-an-innings (3)', '44th Oldest player to take ten-wickets-in-a-match (33y 34d)', '41st Fastest to 50 wickets (11)', '8th Most catches in a match (6)', '10th Most catches in a series (12)']</t>
  </si>
  <si>
    <t>['15th Most matches as a match referee (29)']</t>
  </si>
  <si>
    <t>['16th Most matches as a match referee (71)']</t>
  </si>
  <si>
    <t>['36th Longest careers (18y 75d)']</t>
  </si>
  <si>
    <t>['13th Most runs in an innings (by batting position) (71)', '20th Most runs in a match on the losing side (88)']</t>
  </si>
  <si>
    <t>['22nd Highest partnership for the ninth wicket (39)', '47th Youngest players (16y 258d)']</t>
  </si>
  <si>
    <t>[' Hundred on debut (101*)']</t>
  </si>
  <si>
    <t>['6th Most consecutive ducks (3)', '6th Fastest to 150 wickets (89)', '3rd Most wickets taken caught by a wicketkeeper (11)']</t>
  </si>
  <si>
    <t>['16th Most ducks in career (22)', '31st Most wickets in career (309)', '40th Most balls bowled in career (16498)', '30th Most runs conceded in career (8550)', '18th Bowler/Batter combinations (12)', '35th Bowler/fielder combinations (44)', '17th Most wickets taken caught (233)', '22nd Most wickets taken caught by a fielder (152)', '19th Most wickets taken caught by a wicketkeeper (81)', '42nd Fastest to 250 wickets (74)', '31st Fastest to 300 wickets (85)']</t>
  </si>
  <si>
    <t>['6th Most ducks in a series (3)', '6th Most consecutive ducks (3)', '46th Most wickets in career (188)', '15th Outstanding bowling analyses in an innings (4/10)', '29th Best career strike rate (30.6)', '43rd Most five-wickets-in-an-innings in a career (2)', '36th Most four-wickets-in-an-innings in a career (9)', '29th Bowler/fielder combinations (30)', '26th Most wickets taken caught (152)', '31st Most wickets taken caught by a fielder (102)', '19th Most wickets taken caught by a wicketkeeper (50)', '45th Fastest to 50 wickets (31)', '12th Fastest to 100 wickets (59)', '6th Fastest to 150 wickets (89)', '35th Highest partnership for the tenth wicket (51)']</t>
  </si>
  <si>
    <t>['41st Most wickets in career (47)', '31st Best strike rate in an innings (4.5)', '16th Most four-wickets-in-an-innings in a career (2)', '36th Most balls bowled in career (952)', '33rd Most runs conceded in career (1191)', '26th Bowler/fielder combinations (7)', '30th Most wickets taken bowled (12)', '29th Most wickets taken caught (35)', '3rd Most wickets taken caught by a wicketkeeper (11)', '19th Most maidens in career (3)']</t>
  </si>
  <si>
    <t>['12th Outstanding bowling analyses in an innings (4/9)', '23rd Youngest player to take five-wickets-in-an-innings (19y 252d)']</t>
  </si>
  <si>
    <t>['28th Highest partnership for the seventh wicket (54)', '32nd Most byes conceded in an innings (5)']</t>
  </si>
  <si>
    <t>['35th Best career economy rate (1.98)', '20th Best economy rate in an innings (0.50)', '30th Worst strike rate in an innings (360.0)', '30th Shortest lived players (31y 216d)']</t>
  </si>
  <si>
    <t>['9th Highest partnership for the tenth wicket (67*)', '1st Outstanding bowling analyses in an innings (1/0)', '8th Worst career bowling average (33.23)']</t>
  </si>
  <si>
    <t>['47th Worst career bowling average (without qualification) (132.00)']</t>
  </si>
  <si>
    <t>['33rd Highest career strike rate (100.25)', '27th Highest strike rate in an innings (284.61)', '47th Highest partnership for the third wicket (186)', '9th Highest partnership for the tenth wicket (67*)']</t>
  </si>
  <si>
    <t>['36th Most runs in an innings (by batting position) (43)', '27th Highest career strike rate (142.28)', '21st Most innings before first duck (23)', '1st Outstanding bowling analyses in an innings (1/0)', '8th Worst career bowling average (33.23)', '36th Worst career economy rate (8.01)', '11th Worst career strike rate (24.8)', '50th Most consecutive matches for a team (28)']</t>
  </si>
  <si>
    <t>['9th Highest maiden hundred (255*)', ' Carrying bat through a completed innings (127*)', '8th Highest partnership for the seventh wicket (246)']</t>
  </si>
  <si>
    <t>['9th Highest maiden hundred (255*)', '27th Youngest player to score a double hundred (23y 360d)', '8th Highest partnership for the seventh wicket (246)']</t>
  </si>
  <si>
    <t>['1st Best figures in a innings when on the losing side (9)', '3rd Most runs conceded in a match (318)']</t>
  </si>
  <si>
    <t>['19th Best figures in an innings (9/129)', '1st Best figures in a innings when on the losing side (9)', '5th Best figures in a match when on the losing side (12)', '39th Most runs conceded in an innings (196)', '3rd Most runs conceded in a match (318)', '27th Highest partnership for the tenth wicket (99)']</t>
  </si>
  <si>
    <t>['36th Most wickets in a calendar year (45)', '39th Best career strike rate (31.2)', '44th Highest partnership for the tenth wicket (48)']</t>
  </si>
  <si>
    <t>['29th Best figures in an innings (5/19)']</t>
  </si>
  <si>
    <t>['10th Ninety on debut (90)']</t>
  </si>
  <si>
    <t>[' Hundred in each innings of a match ', '7th Fifties in consecutive innings (6)', '3rd Hundreds in consecutive innings (4)', '10th Fifties in consecutive innings (6)']</t>
  </si>
  <si>
    <t>['27th Most runs in an series by a captain (569)', '2nd Hundreds in consecutive innings (4)', '21st Hundreds in consecutive matches (3)', '7th Fifties in consecutive innings (6)', '19th Highest partnership for the third wicket (319)']</t>
  </si>
  <si>
    <t>['8th Most runs in an innings (by batting position) (139)', '1st Highest partnership for the fifth wicket (256*)', '3rd Most runs in an innings (by batting position) (85*)', '1st No ducks in career (71)', '1st Most catches in an innings (4)', '3rd Highest partnership for the ninth wicket (58*)']</t>
  </si>
  <si>
    <t>['8th Most runs in an innings (by batting position) (139)', '30th Highest career strike rate (101.12)', '39th Highest strike rate in an innings (272.22)', '44th Most sixes in career (91)', '31st Most sixes in an innings (9)', '20th Highest partnerships for any wicket (256*)', '5th Highest partnerships by wicket (5th)', '1st Highest partnership for the fifth wicket (256*)', '28th Highest partnership for the seventh wicket (107*)', '11th Highest partnership for the ninth wicket (95)']</t>
  </si>
  <si>
    <t>['34th Most runs in career (1525)', '47th Most runs in an innings (101*)', '3rd Most runs in an innings (by batting position) (85*)', '29th Most runs in a match on the losing side (85*)', '40th Highest career batting average (31.12)', '40th Highest career strike rate (139.65)', '41st Highest strike rate in an innings (280.55)', '1st No ducks in career (71)', '2nd Most consecutive innings without a duck (71*)', '24th Most sixes in career (69)', '17th Most sixes in an innings (9)', '22nd Most runs from fours and sixes in an innings (82)', '1st Most catches in career (61)', '1st Most catches in an innings (4)', '48th Highest partnership for the fifth wicket (67*)', '21st Highest partnership for the eighth wicket (41)', '3rd Highest partnership for the ninth wicket (58*)', '17th Most matches in career (81)', '19th Most player-of-the-match awards (6)']</t>
  </si>
  <si>
    <t>[' Opening the batting and bowling in the same match ', '3rd Fifties in consecutive innings (3)']</t>
  </si>
  <si>
    <t>['42nd Hundred in last match (108)', '30th Ninety on debut (97)', '13th Fastest to 1000 runs (18)']</t>
  </si>
  <si>
    <t>['12th Youngest captains (23y 123d)']</t>
  </si>
  <si>
    <t>['3rd Fifties in consecutive innings (3)']</t>
  </si>
  <si>
    <t>[' Hundred in each innings of a match ', '1st Dismissed for 99 (and 199, 299 etc) (99)', '8th Most catches in a match (6)']</t>
  </si>
  <si>
    <t>['43rd Most runs in a match (309)', '33rd Most hundreds against one team (7)', '1st Dismissed for 99 (and 199, 299 etc) (99)', '35th Fewest ducks in career (26.66)', '38th Worst career bowling average (51.11)', '8th Most catches in a match (6)', '10th Most catches in a series (12)', '29th Highest partnership for the first wicket (260)', '19th Longest careers (19y 267d)']</t>
  </si>
  <si>
    <t>['8th Best career economy rate (1.79)']</t>
  </si>
  <si>
    <t>['8th Best career economy rate (1.79)', '18th Worst career strike rate (131.8)']</t>
  </si>
  <si>
    <t>['22nd Best figures in a innings on debut (6)', '26th Youngest player to take five-wickets-in-an-innings (19y 267d)']</t>
  </si>
  <si>
    <t>['10th Most runs in an innings (by batting position) (55*)']</t>
  </si>
  <si>
    <t>['47th Worst economy rate in an innings (6.36)']</t>
  </si>
  <si>
    <t>['12th No ducks in career (27)', '13th Most consecutive four-wickets-in-an-innings (2)']</t>
  </si>
  <si>
    <t>['10th Most runs in an innings (by batting position) (55*)', '48th Most wickets taken bowled (10)', '19th Most maidens in career (3)']</t>
  </si>
  <si>
    <t>['11th Most ducks in a series (4)', '20th Worst career economy rate (3.69)']</t>
  </si>
  <si>
    <t>[' Two unbeaten fifties in a match ', '2nd Most catches by a substitute in an innings (3)']</t>
  </si>
  <si>
    <t>['25th Highest partnership for the eighth wicket (147*)']</t>
  </si>
  <si>
    <t>['2nd Most catches by a substitute in an innings (3)']</t>
  </si>
  <si>
    <t>['6th Most consecutive ducks (3)']</t>
  </si>
  <si>
    <t>['6th Most consecutive ducks (3)', '15th Outstanding bowling analyses in an innings (4/10)', '46th Best career economy rate (3.94)']</t>
  </si>
  <si>
    <t>[' Hundred and a ninety in a match ', '1st Highest partnership for the first wicket (415)']</t>
  </si>
  <si>
    <t>['11th Highest partnerships for any wicket (415)', '1st Highest partnerships by wicket (1st)', '1st Highest partnership for the first wicket (415)', '20th Highest partnership for the eighth wicket (150)']</t>
  </si>
  <si>
    <t>['49th Fewest ducks in career (27.5)']</t>
  </si>
  <si>
    <t>['12th Shortest lived players (27y ?d)']</t>
  </si>
  <si>
    <t>['5th Best figures in a match by a captain (11)']</t>
  </si>
  <si>
    <t>['16th Best figures in a innings by a captain (6)', '5th Best figures in a match by a captain (11)']</t>
  </si>
  <si>
    <t>['4th Most consecutive ten-wickets-in-a-match (2)', '3rd Bowler/fielder combinations (84)', '3rd Most runs in an innings (by batting position) (42*)', '1st Bowler/fielder combinations (75)', '6th Fastest to 200 wickets (126)', '6th Most consecutive four-wickets-in-an-innings (5)', '2nd Bowler/fielder combinations (161)']</t>
  </si>
  <si>
    <t>['19th Most ducks in career (21)', '18th Most wickets in career (390)', '25th Best figures in a match (13)', '49th Most wickets in a calendar year (59)', '34th Most wickets on a single ground (54)', '40th Best figures in a match when on the losing side (10)', '24th Most five-wickets-in-an-innings in a career (18)', '19th Most ten-wickets-in-a-match in a career (4)', '4th Most consecutive ten-wickets-in-a-match (2)', '24th Most balls bowled in career (20834)', '13th Most runs conceded in career (11242)', '3rd Bowler/fielder combinations (84)', '24th Most wickets taken bowled (72)', '8th Most wickets taken caught (294)', '10th Most wickets taken caught by a fielder (205)', '15th Most wickets taken caught by a wicketkeeper (89)', '30th Fastest to 250 wickets (65)', '21st Fastest to 300 wickets (74)', '19th Fastest to 350 wickets (90)', '24th Most player-of-the-series awards (4)']</t>
  </si>
  <si>
    <t>['3rd Most runs in an innings (by batting position) (42*)', '25th Most wickets in career (266)', '28th Best figures in an innings (6/22)', '18th Most wickets in a calendar year (50)', '47th Best strike rate in an innings (7.2)', '15th Most five-wickets-in-an-innings in a career (4)', '16th Most four-wickets-in-an-innings in a career (12)', '31st Most balls bowled in career (8687)', '33rd Most runs conceded in career (6559)', '1st Bowler/fielder combinations (75)', '45th Most wickets taken bowled (46)', '7th Most wickets taken caught (211)', '17th Most wickets taken caught by a fielder (135)', '5th Most wickets taken caught by a wicketkeeper (76)', '45th Fastest to 100 wickets (69)', '17th Fastest to 150 wickets (97)', '6th Fastest to 200 wickets (126)', '7th Fastest to 250 wickets (162)']</t>
  </si>
  <si>
    <t>['3rd Best career strike rate (24.8)', '8th Best figures in a innings when on the losing side (4)']</t>
  </si>
  <si>
    <t>['22nd Best figures in a innings on debut (6)']</t>
  </si>
  <si>
    <t>['36th Best career bowling average (23.53)', '3rd Best career strike rate (24.8)', '40th Worst career economy rate (5.67)', '11th Fastest to 50 wickets (26)']</t>
  </si>
  <si>
    <t>['8th Best figures in a innings when on the losing side (4)', '33rd Most wickets taken caught by a wicketkeeper (6)']</t>
  </si>
  <si>
    <t>['1st Oldest player to score a maiden hundred (42y 291d)', '1st Outstanding bowling analyses in an innings (1/0)']</t>
  </si>
  <si>
    <t>['4th Oldest player to score a hundred (42y 291d)', '1st Oldest player to score a maiden hundred (42y 291d)', '32nd Fewest ducks in career (27.66)', '1st Outstanding bowling analyses in an innings (1/0)', '24th Most catches in a series (11)', '46th Highest partnership for the eighth wicket (124)', '15th Oldest players (45y 207d)', '11th Longest careers (21y 313d)']</t>
  </si>
  <si>
    <t>['23rd Worst career bowling average (without qualification) (75.66)']</t>
  </si>
  <si>
    <t>['37th Best career bowling average (without qualification) (11.75)']</t>
  </si>
  <si>
    <t>['12th Most runs in an innings (by batting position) (231)', '38th Most runs in an series by a captain (536)', '23rd Highest career batting average (53.81)', '33rd Most hundreds against one team (7)', '13th Highest maiden hundred (231)', '15th Oldest player to score a hundred (40y 207d)', '31st Most fours in an innings (36)', '22nd Fastest to 2000 runs (41)', '16th Oldest captains (40y 279d)', '17th Oldest captains on captaincy debut (38y 34d)']</t>
  </si>
  <si>
    <t>['45th Worst career bowling average (without qualification) (133.00)']</t>
  </si>
  <si>
    <t>['19th Worst career bowling average (without qualification) (83.00)', '15th Most catches in an innings (3)', '46th Oldest captains on captaincy debut (35y 10d)']</t>
  </si>
  <si>
    <t>['35th Youngest player to score a hundred (20y 145d)', '25th Highest partnership for the tenth wicket (103)']</t>
  </si>
  <si>
    <t>['5th Most dismissals in a series (26)', '5th Most stumpings in a series (7)', ' 2000 runs and 100 wicketkeeping dismissals ']</t>
  </si>
  <si>
    <t>['22nd Most runs in a series by a wicketkeeper (362)', '34th Most dismissals in career (141)', '5th Most dismissals in a series (26)', '34th Most catches in career (124)', '20th Most catches in a series (23)', '24th Most stumpings in career (17)', '12th Most stumpings in a match (3)', '5th Most stumpings in a series (7)']</t>
  </si>
  <si>
    <t>['36th Best figures in an innings (5/23)', '29th Most runs conceded in an innings (58)']</t>
  </si>
  <si>
    <t>['10th Most runs in an innings (by batting position) (149)', '2nd Youngest player to score a hundred (17y 105d)', '4th Most catches in an innings (3)']</t>
  </si>
  <si>
    <t>['35th Most runs in career (2150)', '18th Most runs in an innings (149)', '21st Most runs in a series (614)', '20th Most runs in a calendar year (643)', '10th Most runs in an innings (by batting position) (149)', '22nd Most runs on a single ground (419)', '13th Highest career batting average (43.87)', '25th Most hundreds in a career (2)', '11th Most hundreds against one team (2)', '2nd Youngest player to score a hundred (17y 105d)', '18th Most fifties in career (21)', '4th Most catches in an innings (3)', '47th Most catches in a series (6)', '28th Highest partnerships for any wicket (192)', '11th Highest partnership for the first wicket (192)', '12th Highest partnership for the second wicket (179)', '16th Youngest captains (21y 320d)']</t>
  </si>
  <si>
    <t>['18th Most runs in an innings (by batting position) (53*)', '34th Most fifties in career (3)']</t>
  </si>
  <si>
    <t>['4th Most stumpings in an innings (3)', ' Pair on debut ']</t>
  </si>
  <si>
    <t>['33rd Most stumpings in career (13)', '4th Most stumpings in an innings (3)', '12th Most stumpings in a match (3)', '18th Most stumpings in a series (5)', '23rd Most byes conceded in an innings (25)']</t>
  </si>
  <si>
    <t>['1st Oldest living players (98y 52d)', '6th Best career economy rate (1.74)']</t>
  </si>
  <si>
    <t>['6th Best career economy rate (1.74)', '1st Oldest living players (98y 52d)']</t>
  </si>
  <si>
    <t>['9th No ducks in career (32)', ' Carrying bat through a completed innings (43*)', '10th No ducks in career (32)']</t>
  </si>
  <si>
    <t>['9th No ducks in career (32)']</t>
  </si>
  <si>
    <t>['24th Best figures in a innings when on the losing side (7)', '14th Longest intervals between appearances (11y 306d)']</t>
  </si>
  <si>
    <t>['4th Highest career batting average (60.97)', '6th Most fours in an innings (43)', '1st Outstanding bowling analyses in an innings (1/0)']</t>
  </si>
  <si>
    <t>['12th Most runs in an innings (by batting position) (274)', '45th Most runs in a match on the losing side (213)', '4th Highest career batting average (60.97)', '18th Youngest player to score a hundred (19y 317d)', '15th Youngest player to score a double hundred (22y 307d)', '6th Most fours in an innings (43)', '20th Most runs from fours and sixes in an innings (172)', '24th Highest percentage of runs in a completed innings (59.20)', '50th Fastest to 1000 runs (22)', '11th Fastest to 2000 runs (37)', '1st Outstanding bowling analyses in an innings (1/0)']</t>
  </si>
  <si>
    <t>[' Hundred and a duck in a match ', '2nd Most catches in an innings (4)']</t>
  </si>
  <si>
    <t>['15th Highest partnership for the sixth wicket (271)']</t>
  </si>
  <si>
    <t>['2nd Most catches in an innings (4)']</t>
  </si>
  <si>
    <t>['8th Fastest to 50 wickets (9)']</t>
  </si>
  <si>
    <t>['22nd Best figures in a innings on debut (6)', '17th Best figures in a match on debut (9)', '18th Most consecutive five-wickets-in-an-innings (3)', '46th Youngest player to take five-wickets-in-an-innings (20y 161d)', '8th Fastest to 50 wickets (9)', '48th Fastest to 100 wickets (24)']</t>
  </si>
  <si>
    <t>[' Hundred on debut (100)', ' Batting on each day of a five day match ']</t>
  </si>
  <si>
    <t>['2nd Highest partnership for the eighth wicket (64*)']</t>
  </si>
  <si>
    <t>['33rd Best career strike rate (30.9)', '48th Worst career economy rate (5.64)', '43rd Most five-wickets-in-an-innings in a career (2)', '16th Youngest player to take five-wickets-in-an-innings (20y 56d)', '27th Most runs conceded in an innings (95)', '49th Highest partnership for the ninth wicket (65)']</t>
  </si>
  <si>
    <t>['21st Worst career economy rate (8.31)', '47th Most runs conceded in career (1038)', '43rd Most wickets taken caught by a fielder (26)', '2nd Highest partnership for the eighth wicket (64*)', '19th Most maidens in career (3)']</t>
  </si>
  <si>
    <t>['48th Worst economy rate in an innings (6.35)']</t>
  </si>
  <si>
    <t>['17th Bowler/batters combinations (3)']</t>
  </si>
  <si>
    <t>['40th Worst career economy rate (5.67)']</t>
  </si>
  <si>
    <t>['13th Most ducks in career (6)', '40th Best career bowling average (21.30)', '11th Best career strike rate (15.1)', '31st Best strike rate in an innings (4.5)', '17th Worst career economy rate (8.42)', '17th Bowler/batters combinations (3)', '33rd Most wickets taken caught by a wicketkeeper (6)', '24th Most wickets taken lbw (6)']</t>
  </si>
  <si>
    <t>['9th Most runs in an innings (by batting position) (111)', ' 99 not out (and 199, 299 etc) (99*)', '5th Bowler/fielder combinations (79)', ' 250 runs and 20 wickets in a series ', ' 1000 runs, 50 wickets and 50 catches ', '3rd Most player-of-the-series awards (9)', '3rd Most consecutive matches as captain of a team (89)', '5th Most runs in an innings (by batting position) (130)', '1st Best figures in a innings when on the losing side (6)', '7th Most four-wickets-in-an-innings in a career (17)', '5th Most balls bowled in career (15712)', '10th Most runs conceded in career (9631)', '2nd Most wickets taken caught by a fielder (192)', '6th Fastest to 350 wickets (262)', ' 1000 runs and 100 wickets ', ' 1000 runs, 50 wickets and 50 catches ', '5th Highest partnership for the ninth wicket (103)', '3rd Most consecutive matches as captain of a team (89)', '7th Most player-of-the-series awards (11)', '10th Most consecutive matches as captain of a team (76)', '7th Most wickets in career (829)', '10th Most balls bowled in career (40308)', '4th Bowler/fielder combinations (141)']</t>
  </si>
  <si>
    <t>['9th Most runs in an innings (by batting position) (111)', '29th Highest strike rate in an innings (189.47)', '12th Most wickets in career (421)', '18th Most wickets in a calendar year (69)', '35th Most wickets on a single ground (53)', '16th Best figures in a innings by a captain (6)', '14th Best figures in a match by a captain (10)', '32nd Most five-wickets-in-an-innings in a career (16)', '14th Most balls bowled in career (24353)', '21st Most runs conceded in career (9733)', '5th Bowler/fielder combinations (79)', '38th Most wickets taken bowled (59)', '12th Most wickets taken caught (272)', '15th Most wickets taken caught by a fielder (175)', '7th Most wickets taken caught by a wicketkeeper (97)', '10th Most wickets taken lbw (90)', '36th Fastest to 150 wickets (36)', '34th Fastest to 200 wickets (49)', '22nd Fastest to 250 wickets (60)', '21st Fastest to 300 wickets (74)', '17th Fastest to 350 wickets (86)', '12th Fastest to 400 wickets (103)', '19th Highest partnership for the ninth wicket (132)', '47th Most matches in career (108)', '15th Most player-of-the-match awards (11)', '49th Most consecutive matches as captain of a team (21)', '47th Winning all tosses in a series (3)']</t>
  </si>
  <si>
    <t>['5th Most runs in an innings (by batting position) (130)', '22nd Oldest player to score a maiden hundred (33y 325d)', '13th Most ducks in career (20)', '39th Most fours in an innings (19)', '6th Most wickets in career (393)', '5th Most wickets in a calendar year (61)', '43rd Most wickets on a single ground (32)', '6th Best figures in a innings by a captain (5)', '1st Best figures in a innings when on the losing side (6)', '23rd Best career economy rate (3.67)', '13th Best economy rate in an innings (0.66)', '15th Best figures in a innings on debut (4)', '11th Most five-wickets-in-an-innings in a career (5)', '7th Most four-wickets-in-an-innings in a career (17)', '13th Most consecutive four-wickets-in-an-innings (2)', '27th Oldest player to take five-wickets-in-an-innings (33y 213d)', '5th Most balls bowled in career (15712)', '10th Most runs conceded in career (9631)', '2nd Bowler/Batters combinations (12)', '3rd Bowler/fielder combinations (62)', '16th Most wickets taken bowled (75)', '2nd Most wickets taken caught (262)', '19th Most wickets taken caught and bowled (12)', '2nd Most wickets taken caught by a fielder (192)', '7th Most wickets taken caught by a wicketkeeper (70)', '8th Most wickets taken lbw (55)', '39th Fastest to 100 wickets (68)', '26th Fastest to 150 wickets (104)', '15th Fastest to 200 wickets (138)', '12th Fastest to 250 wickets (175)', '7th Fastest to 300 wickets (217)', '6th Fastest to 350 wickets (262)', '22nd Most catches in career (108)', '5th Highest partnership for the ninth wicket (103)', '20th Most matches in career (303)', '4th Most consecutive matches for a team (133)', '23rd Most player-of-the-match awards (22)', '3rd Most player-of-the-series awards (9)', '21st Most matches as captain (97)', '3rd Most consecutive matches as captain of a team (89)', '38th Winning all tosses in a series (3)']</t>
  </si>
  <si>
    <t>['19th Highest partnership for the seventh wicket (57*)', '50th Oldest living players (47y 242d)', '3rd Most consecutive matches as captain of a team (89)']</t>
  </si>
  <si>
    <t>['10th Most matches as a match referee (47)']</t>
  </si>
  <si>
    <t>['7th Most matches as a match referee (162)']</t>
  </si>
  <si>
    <t>['18th Most matches as a match referee (15)']</t>
  </si>
  <si>
    <t>['6th Most runs in a career without a hundred (1779)', '3rd Outstanding bowling analyses in an innings (5/7)', '2nd Fastest to 50 wickets (7)', ' Opening the batting and bowling in the same match ']</t>
  </si>
  <si>
    <t>['6th Most runs in a career without a hundred (1779)', '3rd Outstanding bowling analyses in an innings (5/7)', '35th Most wickets on a single ground (53)', '39th Best career bowling average (22.32)', '39th Best career strike rate (50.8)', '20th Best strike rate in an innings (7.2)', '33rd Best figures in a match on debut (8)', '46th Most five-wickets-in-an-innings in a career (13)', '18th Most consecutive five-wickets-in-an-innings (3)', '50th Most wickets taken caught (152)', '26th Most wickets taken caught by a wicketkeeper (68)', '2nd Fastest to 50 wickets (7)', '7th Fastest to 100 wickets (19)', '34th Highest partnership for the ninth wicket (109)', '41st Most player-of-the-match awards (8)', '44th Most player-of-the-series awards (3)']</t>
  </si>
  <si>
    <t>['46th Best career bowling average (24.04)', '35th Best career strike rate (31.1)', '15th Best figures in a innings on debut (4)']</t>
  </si>
  <si>
    <t>['32nd Worst economy rate in an innings (6.54)']</t>
  </si>
  <si>
    <t>['9th Outstanding bowling analyses in an innings (3/5)']</t>
  </si>
  <si>
    <t>['9th Outstanding bowling analyses in an innings (3/5)', '45th Best economy rate in an innings (0.93)']</t>
  </si>
  <si>
    <t>['24th Best figures in an innings (5/17)']</t>
  </si>
  <si>
    <t>['8th Best figures in a innings when on the losing side (4)']</t>
  </si>
  <si>
    <t>['7th Best career bowling average (without qualification) (4.00)']</t>
  </si>
  <si>
    <t>['11th Shortest lived players (26y 165d)']</t>
  </si>
  <si>
    <t>['16th Worst strike rate in an innings (390.0)', '12th Most balls bowled in an innings (480)', '32nd Bowler/Batter combinations (11)']</t>
  </si>
  <si>
    <t>['10th Oldest players on debut (42y 110d)', '5th Oldest captains on captaincy debut (42y 110d)']</t>
  </si>
  <si>
    <t>['10th Oldest players on debut (42y 110d)', '17th Oldest players (42y 114d)', '27th Longest lived players (66y 5d)', '6th Oldest captains (42y 114d)', '5th Oldest captains on captaincy debut (42y 110d)']</t>
  </si>
  <si>
    <t>['1st Most catches in an innings (5)', ' 5000 runs and 50 fielding dismissals ']</t>
  </si>
  <si>
    <t>['11th Fifties in consecutive innings (5)', '27th Most catches in career (105)', '1st Most catches in an innings (5)', '12th Most catches in a series (9)', '46th Most matches in career (245)']</t>
  </si>
  <si>
    <t>['8th Hundred in last match (122)', '2nd Most catches in an innings (4)', '9th Most runs in debut match (78)']</t>
  </si>
  <si>
    <t>['8th Hundred in last match (122)', '44th Most sixes in an innings (8)', '2nd Most catches in an innings (4)', '12th Most catches in a series (9)', '29th Highest partnership for the fourth wicket (178)']</t>
  </si>
  <si>
    <t>['9th Most runs in debut match (78)', '15th Most catches in an innings (3)']</t>
  </si>
  <si>
    <t>['5th Best career strike rate (41.7)', '10th Fastest to 150 wickets (31)', '8th Outstanding bowling analyses in an innings (6/16)', '1st Best figures in a innings on debut (6)']</t>
  </si>
  <si>
    <t>['25th Best figures in a match (13)', '5th Best career strike rate (41.7)', '19th Most ten-wickets-in-a-match in a career (4)', '13th Youngest player to take ten-wickets-in-a-match (20y 242d)', '26th Bowler/fielder combinations (50)', '43rd Most wickets taken caught by a wicketkeeper (53)', '27th Fastest to 100 wickets (22)', '10th Fastest to 150 wickets (31)', '13th Fastest to 200 wickets (44)']</t>
  </si>
  <si>
    <t>['20th Best figures in an innings (6/16)', '8th Outstanding bowling analyses in an innings (6/16)', '1st Best figures in a innings on debut (6)', '15th Youngest player to take five-wickets-in-an-innings (20y 46d)', '45th Fastest to 50 wickets (31)', '26th Fastest to 100 wickets (64)']</t>
  </si>
  <si>
    <t>['15th Worst career economy rate (8.51)', '38th Most wickets taken bowled (11)']</t>
  </si>
  <si>
    <t>['5th Oldest player to score a maiden hundred (39y 160d)', ' Opening the batting and bowling in the same match ']</t>
  </si>
  <si>
    <t>['7th Oldest player to score a hundred (42y 6d)', '5th Oldest player to score a maiden hundred (39y 160d)', '48th Oldest players (42y 29d)', '33rd Longest intervals between appearances (9y 277d)']</t>
  </si>
  <si>
    <t>['21st Oldest players on debut (34y 277d)']</t>
  </si>
  <si>
    <t>['15th Best figures in a innings on debut (3)']</t>
  </si>
  <si>
    <t>[' Hundred on debut (222*)', '10th Youngest player to score a double hundred (21y 355d)', ' Hundred and a duck in a match ', '4th Highest partnership for the third wicket (429*)', '5th No ducks in career (39)']</t>
  </si>
  <si>
    <t>['5th Most runs in debut match (222)', '15th Highest maiden hundred (222*)', '10th Youngest player to score a double hundred (21y 355d)', '10th Highest partnerships for any wicket (429*)', '4th Highest partnership for the third wicket (429*)']</t>
  </si>
  <si>
    <t>['5th No ducks in career (39)']</t>
  </si>
  <si>
    <t>['24th Oldest player to score a maiden hundred (35y 108d)', '48th Most innings before first duck (30)', '30th Most dismissals in career (152)', '8th Most dismissals in a match (9)', '27th Most catches in career (150)', '8th Most catches in a match (9)']</t>
  </si>
  <si>
    <t>['21st Highest partnership for the eighth wicket (88)', '18th Most dismissals in career (165)', '16th Most dismissals in an innings (5)', '25th Most dismissals in a series (16)', '17th Most catches in career (148)', '11th Most catches in an innings (5)', '31st Most catches in a series (14)', '24th Most stumpings in career (17)']</t>
  </si>
  <si>
    <t>['21st Hundred in last match (126)']</t>
  </si>
  <si>
    <t>['9th Oldest players on debut (40y 295d)']</t>
  </si>
  <si>
    <t>['17th Oldest players on debut (40y 39d)', '43rd Oldest players (40y 79d)']</t>
  </si>
  <si>
    <t>[' Hundred on debut (163)', ' Hundred and a duck in a match ']</t>
  </si>
  <si>
    <t>['33rd Most runs in debut match (163)', '43rd Highest partnership for the first wicket (236)']</t>
  </si>
  <si>
    <t>['50th Worst career economy rate (3.42)']</t>
  </si>
  <si>
    <t>['39th Worst career bowling average (without qualification) (141.00)']</t>
  </si>
  <si>
    <t>['45th Oldest captains (38y 65d)', '23rd Captains who have kept wicket (3)']</t>
  </si>
  <si>
    <t>[' 99 not out (and 199, 299 etc) (99*)', '2nd Outstanding bowling analyses in an innings (3/1)']</t>
  </si>
  <si>
    <t>['2nd Outstanding bowling analyses in an innings (3/1)']</t>
  </si>
  <si>
    <t>['27th Oldest player to take a maiden five-wickets-in-an-innings (31y 260d)']</t>
  </si>
  <si>
    <t>['8th Best figures in a innings when on the losing side (4)', '43rd Most runs conceded in an innings (56)', '17th Bowler/batters combinations (3)']</t>
  </si>
  <si>
    <t>['29th Most runs conceded in an innings (203)']</t>
  </si>
  <si>
    <t>['5th Best figures in a match on debut (11)']</t>
  </si>
  <si>
    <t>['24th Best figures in a innings when on the losing side (7)', '15th Best figures in a match when on the losing side (11)', '36th Best career bowling average (22.15)', '9th Best figures in a innings on debut (7)', '5th Best figures in a match on debut (11)']</t>
  </si>
  <si>
    <t>['1st Most catches in an innings (3)']</t>
  </si>
  <si>
    <t>['22nd Most runs in a match on the losing side (85)', '23rd Most runs in an innings by a captain (95)', '1st Most catches in an innings (3)', '20th Highest partnership for the sixth wicket (77)']</t>
  </si>
  <si>
    <t>['23rd Longest intervals between appearances (6y 195d)', '49th Most consecutive matches missed for a team between appearances (29)', '38th Most matches as captain (19)', '32nd Most consecutive matches as captain of a team (19)']</t>
  </si>
  <si>
    <t>['14th Most runs in debut match (51)']</t>
  </si>
  <si>
    <t>[' Hundred on debut (102)']</t>
  </si>
  <si>
    <t>['14th Most runs in debut match (102)']</t>
  </si>
  <si>
    <t>['47th Highest partnerships for any wicket (131)', '14th Highest partnership for the second wicket (131)']</t>
  </si>
  <si>
    <t>['10th Most matches as an umpire (33)']</t>
  </si>
  <si>
    <t>['7th Outstanding bowling analyses in an innings (2/5)', '10th Best career bowling average (without qualification) (6.66)', '1st Most wickets on a single ground (24)', '7th Most runs conceded in an innings (89)', '1st Bowler/fielder combinations (26)', '3rd Most wickets in career (110)', '5th Worst economy rate in an innings (18.50)', '4th Most balls bowled in career (2063)', '3rd Most maidens in career (14)', '4th Most runs conceded in career (1990)', '1st Most wickets taken bowled (37)']</t>
  </si>
  <si>
    <t>['7th Outstanding bowling analyses in an innings (2/5)', '10th Best career bowling average (without qualification) (6.66)']</t>
  </si>
  <si>
    <t>['7th Most wickets in career (150)', '6th Best figures in an innings (6/10)', '25th Most wickets in a series (22)', '27th Most wickets in a calendar year (23)', '1st Outstanding bowling analyses in an innings (6/10)', '1st Most wickets on a single ground (24)', '11th Best figures in a innings when on the losing side (4)', '31st Best career strike rate (34.4)', '45th Best economy rate in an innings (0.50)', '28th Best strike rate in an innings (7.7)', '32nd Worst economy rate in an innings (8.90)', '15th Most four-wickets-in-an-innings in a career (5)', '30th Youngest player to take five-wickets-in-an-innings (23y 44d)', '11th Most balls bowled in career (5162)', '9th Most runs conceded in career (3162)', '7th Most runs conceded in an innings (89)', '1st Bowler/fielder combinations (26)', '3rd Most wickets taken bowled (46)', '3rd Most wickets taken caught (93)', '5th Most wickets taken caught by a fielder (65)', '2nd Most wickets taken caught by a wicketkeeper (28)', '43rd Most wickets taken lbw (11)', '32nd Most catches in career (33)', '47th Most catches in a series (6)', '18th Highest partnership for the tenth wicket (34)', '35th Most matches in career (106)', '32nd Longest careers (14y 56d)']</t>
  </si>
  <si>
    <t>['34th Most ducks in career (5)', '3rd Most wickets in career (110)', '23rd Best figures in an innings (5/12)', '22nd Most wickets in a calendar year (20)', '17th Outstanding bowling analyses in an innings (5/12)', '11th Most wickets on a single ground (11)', '28th Best career bowling average (18.09)', '49th Best career economy rate (5.78)', '26th Best career strike rate (18.7)', '5th Worst economy rate in an innings (18.50)', '13th Most four-wickets-in-an-innings in a career (2)', '4th Most balls bowled in career (2063)', '4th Most runs conceded in career (1990)', '43rd Most runs conceded in an innings (44)', '18th Bowler/Batters combinations (4)', '34th Bowler/fielder combinations (8)', '1st Most wickets taken bowled (37)', '3rd Most wickets taken caught (70)', '8th Most wickets taken caught and bowled (5)', '3rd Most wickets taken caught by a fielder (53)', '2nd Most wickets taken caught by a wicketkeeper (17)', '12th Most catches in career (33)', '32nd Highest partnership for the tenth wicket (11)', '18th Most matches in career (98)', '3rd Most maidens in career (14)', '12th Most maidens in an innings (2)']</t>
  </si>
  <si>
    <t>['22nd Hundred in last match (102)']</t>
  </si>
  <si>
    <t>['5th Worst economy rate in an innings (7.82)', '10th Outstanding bowling analyses in an innings (7/45)', '2nd Oldest player to take five-wickets-in-an-innings (39y 190d)', '6th Fastest to 150 wickets (89)', '4th Best career strike rate (13.4)', '4th Most four-wickets-in-an-innings in a career (4)', '3rd Bowler/fielder combinations (10)', '2nd Fastest to 50 wickets (31)']</t>
  </si>
  <si>
    <t>['37th Worst career economy rate (3.50)', '5th Worst economy rate in an innings (7.82)', '40th Most runs conceded in a match (260)']</t>
  </si>
  <si>
    <t>['11th Best figures in an innings (7/45)', '10th Outstanding bowling analyses in an innings (7/45)', '12th Best strike rate in an innings (6.0)', '15th Best figures in a innings on debut (4)', '25th Most five-wickets-in-an-innings in a career (3)', '25th Most four-wickets-in-an-innings in a career (10)', '2nd Oldest player to take five-wickets-in-an-innings (39y 190d)', '5th Oldest player to take a maiden five-wickets-in-an-innings (35y 337d)', '35th Most wickets taken caught and bowled (10)', '48th Most wickets taken caught by a fielder (86)', '23rd Most wickets taken lbw (37)', '24th Fastest to 50 wickets (28)', '10th Fastest to 100 wickets (58)', '6th Fastest to 150 wickets (89)', '42nd Oldest players (40y 101d)']</t>
  </si>
  <si>
    <t>['16th Most wickets in career (63)', '36th Best figures in an innings (5/23)', '25th Most wickets on a single ground (13)', '4th Best career bowling average (15.04)', '22nd Best career economy rate (6.73)', '4th Best career strike rate (13.4)', '4th Most four-wickets-in-an-innings in a career (4)', '46th Most balls bowled in career (845)', '17th Bowler/batters combinations (3)', '3rd Bowler/fielder combinations (10)', '20th Most wickets taken bowled (14)', '46th Most wickets taken caught (31)', '39th Most wickets taken caught by a fielder (27)', '9th Most wickets taken lbw (8)', '5th Most wickets taken stumped (10)', '2nd Fastest to 50 wickets (31)']</t>
  </si>
  <si>
    <t>[' Hundred on debut (124)', '6th Most consecutive ducks (3)']</t>
  </si>
  <si>
    <t>['3rd Most runs in debut match (124)', '6th Most consecutive ducks (3)']</t>
  </si>
  <si>
    <t>['9th Most runs in an innings (by batting position) (69*)', '8th Most wickets on a single ground (17)', '10th Most runs conceded in career (3124)', '3rd Most wickets taken caught by a wicketkeeper (25)', ' 250 runs and 10 wickets in a series ', '3rd Highest partnership for the sixth wicket (128*)', '5th Most maidens in career (11)', '4th Most wickets taken caught by a wicketkeeper (13)', '3rd Most catches in an innings (3)']</t>
  </si>
  <si>
    <t>['41st Most runs in career (2017)', '9th Most runs in an innings (by batting position) (69*)', '38th Most runs on a single ground (300)', '22nd Youngest player to score a hundred (23y 32d)', '49th Most fifties in career (10)', '44th Most consecutive innings without a duck (32)', '13th Most wickets in career (129)', '9th Most wickets in a series (26)', '10th Most wickets in a calendar year (28)', '8th Most wickets on a single ground (17)', '11th Best figures in a innings when on the losing side (4)', '25th Most four-wickets-in-an-innings in a career (4)', '14th Most balls bowled in career (5079)', '10th Most runs conceded in career (3124)', '23rd Most runs conceded in an innings (77)', '3rd Bowler/fielder combinations (24)', '10th Most wickets taken bowled (34)', '10th Most wickets taken caught (69)', '20th Most wickets taken caught by a fielder (44)', '3rd Most wickets taken caught by a wicketkeeper (25)', '7th Most wickets taken lbw (25)', '44th Most catches in career (28)', '26th Most catches in a series (7)', '26th Highest partnership for the fourth wicket (112)', '4th Highest partnership for the fifth wicket (144)', '3rd Highest partnership for the sixth wicket (128*)', '7th Highest partnership for the seventh wicket (85)', '8th Highest partnership for the eighth wicket (70)', '28th Most matches in career (115)']</t>
  </si>
  <si>
    <t>['35th Most runs in career (986)', '25th Most runs in an innings (by batting position) (30)', '34th Most consecutive innings without a duck (32*)', '23rd Fewest ducks in career (22.66)', '24th Highest percentage of runs in a completed innings (58.82)', '23rd Most wickets in career (62)', '13th Outstanding bowling analyses in an innings (4/6)', '11th Most wickets on a single ground (11)', '47th Best career bowling average (20.24)', '19th Best career economy rate (5.39)', '15th Worst economy rate in an innings (16.00)', '18th Most balls bowled in career (1397)', '20th Most runs conceded in career (1255)', '18th Most runs conceded in an innings (51)', '34th Bowler/fielder combinations (8)', '17th Most wickets taken bowled (18)', '23rd Most wickets taken caught (35)', '20th Most wickets taken caught and bowled (3)', '41st Most wickets taken caught by a fielder (22)', '4th Most wickets taken caught by a wicketkeeper (13)', '18th Most wickets taken lbw (8)', '46th Most catches in career (18)', '3rd Most catches in an innings (3)', '36th Highest partnership for the fourth wicket (65)', '23rd Highest partnership for the eighth wicket (26*)', '36th Most matches in career (81)', '5th Most maidens in career (11)', '12th Most maidens in an innings (2)']</t>
  </si>
  <si>
    <t>['6th Shortest lived players (24y 288d)']</t>
  </si>
  <si>
    <t>['9th Worst career economy rate (4.76)', '1st Most consecutive ducks (3)', '1st Worst career economy rate (7.72)', '5th Most runs conceded in an innings (59)']</t>
  </si>
  <si>
    <t>['40th Most ducks in career (8)', '41st Most wickets in a series (17)', '45th Most wickets on a single ground (11)', '28th Worst career bowling average (34.17)', '9th Worst career economy rate (4.76)', '32nd Most wickets taken caught by a wicketkeeper (10)', '31st Most consecutive matches missed for a team between appearances (35)']</t>
  </si>
  <si>
    <t>['34th Most ducks in career (5)', '1st Most consecutive ducks (3)', '2nd Worst career bowling average (39.66)', '1st Worst career economy rate (7.72)', '6th Worst career strike rate (30.8)', '27th Worst economy rate in an innings (14.75)', '5th Most runs conceded in an innings (59)']</t>
  </si>
  <si>
    <t>['1st Most player-of-the-match awards (23)', '3rd Most runs in career (13289)', ' Hundred in each innings of a match ', ' Hundred and a ninety in a match ', '2nd Most fifties in career (103)', ' Hundred and a duck in a match ', '4th Most sixes in career (97)', '2nd Fastest to 13000 runs (269)', '2nd Best strike rate in an innings (5.4)', '10th Bowler/fielder combinations (69)', '3rd Most catches in career (200)', ' A hundred and five wickets in an innings ', ' 1000 runs, 50 wickets and 50 catches ', ' 5000 runs and 50 fielding dismissals ', '4th Most player-of-the-match awards (32)', '8th Most runs in career (11579)', '5th Most nineties in career (8)', '5th Most fifties in career (103)', '5th Fastest to 11000 runs (293)', '3rd Outstanding bowling analyses in an innings (3/3)', '7th Bowler/fielder combinations (47)', '8th Most catches in career (131)', ' 250 runs and 10 wickets in a series ', ' 1000 runs, 50 wickets and 50 catches ', ' 5000 runs and 50 fielding dismissals ', '3rd Most player-of-the-series awards (15)', '5th Most runs in career (25534)', '2nd Hundreds in consecutive matches (5)', '4th Most nineties in career (13)', '4th Most fifties in career (211)', '8th Most fours in career (2455)', '5th Bowler/fielder combinations (117)', '4th Most catches in career (338)']</t>
  </si>
  <si>
    <t>['3rd Most runs in career (13289)', '29th Most runs in a series (712)', '38th Most runs in a calendar year (1288)', '4th Most runs on a single ground (2181)', '17th Highest career batting average (55.37)', '15th Highest strike rate in an innings (216.00)', '34th Hundred in last match (115)', '2nd Most hundreds in a career (45)', '2nd Most hundreds in a series (4)', '6th Most hundreds in a calendar year (6)', '15th Most hundreds against one team (8)', '2nd Hundreds in consecutive matches (5)', '20th Most nineties in career (5)', '2nd Most fifties in career (103)', '7th Fifties in consecutive innings (6)', '9th Fifties in consecutive matches (9)', '38th Most consecutive innings without a duck (56)', '4th Most sixes in career (97)', '6th Most fours in career (1488)', '50th Fastest to 5000 runs (120)', '30th Fastest to 6000 runs (134)', '22nd Fastest to 7000 runs (151)', '14th Fastest to 8000 runs (170)', '8th Fastest to 9000 runs (188)', '9th Fastest to 10000 runs (217)', '5th Fastest to 11000 runs (234)', '4th Fastest to 12000 runs (249)', '2nd Fastest to 13000 runs (269)', '37th Most wickets in career (292)', '2nd Best strike rate in an innings (5.4)', '25th Most balls bowled in career (20232)', '24th Most runs conceded in career (9535)', '10th Bowler/fielder combinations (69)', '25th Most wickets taken caught (225)', '24th Most wickets taken caught by a fielder (145)', '20th Most wickets taken caught by a wicketkeeper (80)', '3rd Most catches in career (200)', '8th Most catches in a match (6)', '24th Most catches in a series (11)', '48th Highest partnership for the fourth wicket (249)', '22nd Highest partnership for the fifth wicket (267)', '26th Highest partnership for the eighth wicket (146)', '4th Most matches in career (166)', '35th Most consecutive matches for a team (60)', '1st Most player-of-the-match awards (23)', '2nd Most player-of-the-series awards (9)', '41st Longest careers (18y 16d)']</t>
  </si>
  <si>
    <t>['8th Most runs in career (11579)', '39th Most runs in a series (485)', '31st Most runs in a calendar year (1300)', '35th Highest career batting average (44.36)', '19th Most hundreds in a career (17)', '39th Most hundreds against one team (4)', '5th Most nineties in career (8)', '5th Most fifties in career (103)', '30th Most ducks in career (17)', '18th Most sixes in career (137)', '17th Most fours in career (911)', '35th Longest individual innings (by balls) (160)', '36th Fastest to 3000 runs (87)', '37th Fastest to 4000 runs (115)', '22nd Fastest to 5000 runs (137)', '19th Fastest to 6000 runs (167)', '8th Fastest to 7000 runs (188)', '14th Fastest to 8000 runs (223)', '7th Fastest to 9000 runs (242)', '5th Fastest to 10000 runs (272)', '5th Fastest to 11000 runs (293)', '18th Most wickets in career (273)', '27th Most wickets in a calendar year (46)', '3rd Outstanding bowling analyses in an innings (3/3)', '17th Worst economy rate in an innings (11.66)', '43rd Most five-wickets-in-an-innings in a career (2)', '20th Most balls bowled in career (10750)', '15th Most runs conceded in career (8680)', '7th Bowler/fielder combinations (47)', '28th Most wickets taken bowled (55)', '8th Most wickets taken caught (197)', '35th Most wickets taken caught and bowled (10)', '16th Most wickets taken caught by a fielder (136)', '10th Most wickets taken caught by a wicketkeeper (61)', '8th Most catches in career (131)', '12th Most catches in a series (9)', '11th Highest partnership for the fifth wicket (183*)', '14th Most matches in career (328)', '4th Most player-of-the-match awards (32)', '12th Most player-of-the-series awards (6)', '7th Longest careers (18y 184d)']</t>
  </si>
  <si>
    <t>['19th Highest career batting average (35.05)', '17th No ducks in career (23)', '48th Most wickets taken caught by a wicketkeeper (5)', '25th Highest partnership for the second wicket (119)', '37th Highest partnership for the fourth wicket (90*)']</t>
  </si>
  <si>
    <t>['14th Most consecutive matches missed for a team between appearances (51)', '41st Longest intervals between appearances (5y 96d)', '13th Most catches in an innings (3)']</t>
  </si>
  <si>
    <t>['2nd Most runs in an innings (by batting position) (57*)']</t>
  </si>
  <si>
    <t>['2nd Most runs in an innings (by batting position) (57*)', '19th Highest partnership for the seventh wicket (66)', '28th Highest partnership for the tenth wicket (29)']</t>
  </si>
  <si>
    <t>['3rd Best economy rate in an innings (0.18)', '5th Most runs in an innings (by batting position) (22)']</t>
  </si>
  <si>
    <t>['3rd Best economy rate in an innings (0.18)', '20th Highest partnership for the tenth wicket (32)']</t>
  </si>
  <si>
    <t>['5th Most runs in an innings (by batting position) (22)']</t>
  </si>
  <si>
    <t>[' Hundred in each innings of a match ', ' Hundred and a duck in a match ', ' Carrying bat through a completed innings (100*)', '1st Outstanding bowling analyses in an innings (1/0)', ' 5000 runs and 50 fielding dismissals ', '5th Most hundreds in a calendar year (6)', '5th Fastest to 3000 runs (72)', ' 5000 runs and 50 fielding dismissals ']</t>
  </si>
  <si>
    <t>['46th Most runs in career (7289)', '49th Most runs in an innings (275)', '43rd Most runs in a day (202)', '38th Most hundreds in a career (21)', '27th Most double hundreds in a career (3)', '39th Most fifties in career (55)', '29th Most fours in career (922)', '2nd Longest individual innings (by minutes) (878)', '5th Longest individual innings (by balls) (642)', '36th Fastest to 7000 runs (167)', '1st Outstanding bowling analyses in an innings (1/0)', '20th Highest partnership for the eighth wicket (150)', '41st Most player-of-the-match awards (8)']</t>
  </si>
  <si>
    <t>['47th Most runs in career (6798)', '15th Most runs in an innings (188*)', '11th Most runs in a calendar year (1467)', '13th Most runs in an innings (by batting position) (188*)', '33rd Most hundreds in a career (13)', '5th Most hundreds in a calendar year (6)', '39th Most hundreds against one team (4)', '34th Most nineties in career (4)', '33rd Most fifties in career (58)', '44th Fifties in consecutive innings (4)', '36th Most innings before first duck (32)', '39th Most fours in career (659)', '21st Highest percentage of runs in a completed innings (58.56)', '13th Fastest to 2000 runs (50)', '5th Fastest to 3000 runs (72)', '21st Fastest to 4000 runs (110)', '22nd Fastest to 5000 runs (137)', '11th Fastest to 6000 runs (160)', '43rd Highest partnerships for any wicket (235)', '18th Highest partnership for the first wicket (235)', '30th Highest partnership for the second wicket (209)', '24th Most player-of-the-series awards (4)']</t>
  </si>
  <si>
    <t>['1st Highest partnership for the eighth wicket (138*)']</t>
  </si>
  <si>
    <t>['17th Most runs in an innings (by batting position) (100*)', '8th Highest partnerships by wicket (8th)', '1st Highest partnership for the eighth wicket (138*)']</t>
  </si>
  <si>
    <t>['14th Most runs in an innings (by batting position) (89*)']</t>
  </si>
  <si>
    <t>['10th Highest career strike rate (151.29)']</t>
  </si>
  <si>
    <t>['41st Highest partnership for the fifth wicket (149)']</t>
  </si>
  <si>
    <t>['44th Most runs in an innings by a wicketkeeper (69)', '10th Highest career strike rate (151.29)', '49th Most innings before first duck (15)', '42nd Most sixes in an innings (7)', '12th Captains who have kept wicket (7)', '40th Most catches in career (10)']</t>
  </si>
  <si>
    <t>['6th Oldest player to score a maiden hundred (39y 82d)', '3rd No ducks in career (40)']</t>
  </si>
  <si>
    <t>['6th Oldest player to score a maiden hundred (39y 82d)', '50th Oldest players on debut (36y 340d)']</t>
  </si>
  <si>
    <t>['3rd No ducks in career (40)', '36th Fastest to 1000 runs (28)']</t>
  </si>
  <si>
    <t>['40th Most ducks in career (8)', '31st Most wickets in career (80)', '40th Most wickets in a calendar year (22)', '45th Most wickets on a single ground (11)', '41st Worst career economy rate (4.11)', '37th Most balls bowled in career (3089)', '31st Most runs conceded in career (2118)', '34th Most runs conceded in an innings (72)', '17th Most wickets taken bowled (28)', '30th Most wickets taken caught (47)', '16th Most wickets taken caught and bowled (7)', '31st Most wickets taken caught by a fielder (38)', '20th Most catches in a series (8)']</t>
  </si>
  <si>
    <t>['29th No ducks in career (10)', '33rd Best strike rate in an innings (4.0)', '12th Worst career economy rate (6.51)', '50th Most wickets taken caught (24)', '12th Most wickets taken caught by a wicketkeeper (7)']</t>
  </si>
  <si>
    <t>['18th No ducks in career (23)']</t>
  </si>
  <si>
    <t>['8th Most runs in an innings (by batting position) (174)', '7th Worst economy rate in an innings (7.33)', '1st Best figures in a innings on debut (8)', '5th Most runs in an innings (by batting position) (83)', '1st Dismissed for 99 (and 199, 299 etc) (99)', '6th Most consecutive ducks (3)', '8th Most five-wickets-in-an-innings in a career (6)', ' Opening the batting and bowling in the same match ']</t>
  </si>
  <si>
    <t>['8th Most runs in an innings (by batting position) (174)', '12th Outstanding bowling analyses in an innings (3/8)', '7th Worst economy rate in an innings (7.33)', '1st Best figures in a innings on debut (8)', '33rd Best figures in a match on debut (8)']</t>
  </si>
  <si>
    <t>['5th Most runs in an innings (by batting position) (83)', '1st Dismissed for 99 (and 199, 299 etc) (99)', '6th Most ducks in a series (3)', '6th Most consecutive ducks (3)', '44th Most wickets in career (192)', '8th Most five-wickets-in-an-innings in a career (6)', '47th Most runs conceded in career (5751)', '41st Most wickets taken caught (131)', '28th Most wickets taken caught by a fielder (104)', '49th Fastest to 150 wickets (125)', '41st Highest partnership for the eighth wicket (77)', '36th Most player-of-the-match awards (19)', '24th Most player-of-the-series awards (4)']</t>
  </si>
  <si>
    <t>['5th Most dismissals in an innings (6)', '5th Most catches in an innings (6)', '1st Most runs in a series by a wicketkeeper (606)', ' A hundred and five dismissals in an innings ']</t>
  </si>
  <si>
    <t>['6th Most runs in an innings (by batting position) (182)', '1st Most runs in a series by a wicketkeeper (606)', '16th Most runs in an innings by a wicketkeeper (182)', '13th Highest partnership for the seventh wicket (221)', '28th Most matches as a match referee (7)', '5th Most dismissals in an innings (6)', '35th Most dismissals in a match (8)', '15th Most dismissals in a series (24)', '5th Most catches in an innings (6)', '26th Most catches in a match (8)', '16th Most catches in a series (24)']</t>
  </si>
  <si>
    <t>['18th Most matches as a match referee (59)']</t>
  </si>
  <si>
    <t>['2nd Youngest players (14y 166d)', '1st Highest partnership for the fifth wicket (138)', '9th Youngest players (14y 172d)', '5th Most runs in an innings (by batting position) (153*)', '1st Hundred in last match (153*)', '5th Most hundreds in a calendar year (2)', '5th Outstanding bowling analyses in an innings (2/1)', '1st Highest partnership for the fourth wicket (224*)']</t>
  </si>
  <si>
    <t>['28th Worst career bowling average (without qualification) (71.00)', '5th Highest partnerships by wicket (5th)', '1st Highest partnership for the fifth wicket (138)', '2nd Youngest players (14y 166d)']</t>
  </si>
  <si>
    <t>['14th Most runs in an innings (153*)', '5th Most runs in an innings (by batting position) (153*)', '28th Highest career batting average (38.54)', '1st Hundred in last match (153*)', '25th Most hundreds in a career (2)', '5th Most hundreds in a calendar year (2)', '6th Youngest player to score a hundred (17y 338d)', '20th Highest percentage of runs in a completed innings (54.64)', '5th Outstanding bowling analyses in an innings (2/1)', '11th Highest partnerships for any wicket (224*)', '4th Highest partnerships by wicket (4th)', '50th Highest partnership for the second wicket (136)', '1st Highest partnership for the fourth wicket (224*)', '9th Youngest players (14y 172d)']</t>
  </si>
  <si>
    <t>['4th Worst strike rate in an innings (448.0)', '5th Most balls bowled in a match (728)']</t>
  </si>
  <si>
    <t>['4th Worst strike rate in an innings (448.0)', '27th Most balls bowled in an innings (448)', '5th Most balls bowled in a match (728)', '29th Shortest lived players (30y 270d)']</t>
  </si>
  <si>
    <t>['40th Best figures in a match when on the losing side (10)', '24th Best career strike rate (47.7)', '14th Worst career economy rate (3.71)', '13th Worst economy rate in an innings (6.90)', '18th Most consecutive five-wickets-in-an-innings (3)']</t>
  </si>
  <si>
    <t>['2nd Best figures in a match on debut (8)', '1st Outstanding bowling analyses in an innings (1/0)', '10th Oldest player to take a maiden five-wickets-in-an-innings (29y 49d)', '5th Most wickets taken caught and bowled (10)', '8th Most runs in an innings (by batting position) (37*)']</t>
  </si>
  <si>
    <t>['26th Best figures in a match (8)', '37th Best career bowling average (without qualification) (13.54)', '7th Best figures in a innings on debut (5)', '2nd Best figures in a match on debut (8)']</t>
  </si>
  <si>
    <t>['31st Most wickets in career (80)', '27th Most wickets in a calendar year (23)', '1st Outstanding bowling analyses in an innings (1/0)', '19th Best career bowling average (17.40)', '28th Best career strike rate (34.0)', '15th Best strike rate in an innings (6.7)', '20th Worst economy rate in an innings (9.00)', '38th Most four-wickets-in-an-innings in a career (3)', '10th Oldest player to take a maiden five-wickets-in-an-innings (29y 49d)', '50th Most balls bowled in career (2724)', '5th Bowler/fielder combinations (21)', '26th Most wickets taken caught (49)', '5th Most wickets taken caught and bowled (10)', '25th Most wickets taken caught by a fielder (41)', '14th Most wickets taken stumped (12)']</t>
  </si>
  <si>
    <t>['8th Most runs in an innings (by batting position) (37*)', '17th Most innings before first duck (21)', '15th Worst career bowling average (26.80)', '29th Worst career economy rate (6.12)', '17th Worst career strike rate (26.2)', '33rd Worst economy rate in an innings (14.50)', '21st Bowler/fielder combinations (9)', '18th Most wickets taken stumped (9)']</t>
  </si>
  <si>
    <t>['4th Most catches in an innings (3)', ' Opening the batting and bowling in the same match ']</t>
  </si>
  <si>
    <t>['26th Worst career bowling average (without qualification) (72.00)', '36th Oldest players on debut (33y 153d)']</t>
  </si>
  <si>
    <t>['22nd Most runs in debut match (56*)', '4th Most catches in an innings (3)']</t>
  </si>
  <si>
    <t>['3rd Most runs in an innings (progressive record holder) (117*)', '4th Most sixes in an innings (13)', '7th Highest partnership for the third wicket (133*)']</t>
  </si>
  <si>
    <t>['17th Most runs in an innings (117*)', '3rd Most runs in an innings (progressive record holder) (117*)', '13th Most runs in an innings (by batting position) (117*)', '4th Most sixes in an innings (13)', '7th Most runs from fours and sixes in an innings (98)', '38th Highest partnerships for any wicket (133*)', '7th Highest partnership for the third wicket (133*)']</t>
  </si>
  <si>
    <t>['7th Captains who have kept wicket and opened the batting (1)', '3rd Most runs in a match on the losing side (117)', '8th Most runs in debut match (77)', '1st Dismissed for 99 (and 199, 299 etc) (99)', '4th Most ducks in a series (4)', '5th Highest percentage of runs in a completed innings (58.87)', '4th Most catches in an innings (3)', '9th Highest partnership for the seventh wicket (80)', '6th Most dismissals in an innings (4)', '1st Most catches in an innings (4)', '6th Most byes conceded in an innings (8)', '4th Most runs in an innings (by batting position) (69*)', '8th Most fifties in career (13)', '6th Most ducks in career (8)', '10th Fastest to 1000 runs (49)', '7th Highest partnership for the first wicket (163*)']</t>
  </si>
  <si>
    <t>['15th Most runs in career (2986)', '48th Most runs in an innings (132*)', '20th Most runs in a series (616)', '11th Most runs in a calendar year (717)', '3rd Most runs in a match on the losing side (117)', '45th Most runs on a single ground (288)', '9th Most runs in a series by a wicketkeeper (245)', '8th Most runs in an innings by a wicketkeeper (117)', '34th Highest career batting average (36.41)', '8th Most runs in debut match (77)', '19th Most hundreds in a career (3)', '6th Most nineties in career (3)', '1st Dismissed for 99 (and 199, 299 etc) (99)', '15th Most fifties in career (23)', '7th Most ducks in career (12)', '4th Most ducks in a series (4)', '5th Highest percentage of runs in a completed innings (58.87)', '32nd Most catches in career (33)', '4th Most catches in an innings (3)', '26th Most catches in a series (7)', '24th Highest partnership for the first wicket (169)', '9th Highest partnership for the seventh wicket (80)', '50th Most matches in career (89)', '40th Youngest captains (24y 200d)', '17th Captains who have kept wicket (1)', '7th Captains who have kept wicket and opened the batting (1)', '30th Most catches in career (14)', '21st Most catches in an innings (3)']</t>
  </si>
  <si>
    <t>['14th Most runs in career (1782)', '27th Most runs in an innings (101)', '22nd Most runs in a calendar year (436)', '4th Most runs in an innings (by batting position) (69*)', '19th Most runs in a match on the losing side (69*)', '11th Most runs in an innings by a wicketkeeper (68)', '25th Highest career batting average (25.09)', '8th Most fifties in career (13)', '6th Most ducks in career (8)', '10th Fastest to 1000 runs (49)', '10th Highest partnerships for any wicket (163*)', '7th Highest partnership for the first wicket (163*)', '9th Highest partnership for the second wicket (131)', '40th Most matches in career (79)', '6th Most dismissals in an innings (4)', '12th Most catches in career (15)', '1st Most catches in an innings (4)', '6th Most byes conceded in an innings (8)']</t>
  </si>
  <si>
    <t>['43rd Best figures in an innings (8/53)', '21st Oldest living players (89y 62d)']</t>
  </si>
  <si>
    <t>['43rd Most five-wickets-in-an-innings in a career (2)', '40th Oldest player to take five-wickets-in-an-innings (32y 101d)', '48th Oldest player to take a maiden five-wickets-in-an-innings (30y 145d)']</t>
  </si>
  <si>
    <t>['4th Most catches in an innings (3)', '3rd Most runs in an innings (by batting position) (10)', '3rd Worst career strike rate (32.9)']</t>
  </si>
  <si>
    <t>['30th Worst career bowling average (34.13)', '21st Worst career strike rate (59.4)', '4th Most catches in an innings (3)']</t>
  </si>
  <si>
    <t>['3rd Most runs in an innings (by batting position) (10)', '4th Worst career bowling average (34.84)', '16th Worst career economy rate (6.34)', '3rd Worst career strike rate (32.9)']</t>
  </si>
  <si>
    <t>['15th Most catches in an innings (3)']</t>
  </si>
  <si>
    <t>['9th Youngest captains (21y 124d)', '1st Most wickets in a calendar year (37)', '1st Best career strike rate (26.8)', '2nd Most five-wickets-in-an-innings in a career (5)', '6th Most wickets taken caught by a fielder (64)', '8th Most catches in a series (11)', ' A fifty and five wickets in an innings ', '1st Highest partnership for the sixth wicket (142)', '6th Most runs in an innings (by batting position) (19*)', '9th Outstanding bowling analyses in an innings (5/8)', '9th Worst career economy rate (6.57)', '4th Most four-wickets-in-an-innings in a career (3)', '4th Most wickets taken caught and bowled (6)', '3rd Most catches in an innings (3)', '9th Highest partnership for the tenth wicket (18*)']</t>
  </si>
  <si>
    <t>['17th Most runs in a career without a hundred (1259)', '40th Most innings before first duck (15)', '18th Most wickets in career (101)', '14th Best figures in an innings (6/36)', '17th Most wickets in a series (23)', '1st Most wickets in a calendar year (37)', '9th Outstanding bowling analyses in an innings (6/36)', '9th Best figures in a innings by a captain (4)', '3rd Best figures in a innings when on the losing side (5)', '1st Best career strike rate (26.8)', '13th Worst career economy rate (4.51)', '2nd Most five-wickets-in-an-innings in a career (5)', '4th Most four-wickets-in-an-innings in a career (8)', '3rd Most consecutive four-wickets-in-an-innings (2)', '7th Youngest player to take five-wickets-in-an-innings (19y 69d)', '35th Most runs conceded in career (2041)', '20th Bowler/fielder combinations (13)', '9th Most wickets taken caught (70)', '16th Most wickets taken caught and bowled (7)', '6th Most wickets taken caught by a fielder (64)', '10th Most wickets taken stumped (13)', '25th Most catches in career (36)', '8th Most catches in a series (11)', '6th Highest partnerships by wicket (6th)', '1st Highest partnership for the sixth wicket (142)', '45th Youngest players (16y 245d)', '48th Most matches as captain (16)', '9th Youngest captains (21y 124d)']</t>
  </si>
  <si>
    <t>['46th Most runs in career (843)', '6th Most runs in an innings (by batting position) (19*)', '26th Most fifties in career (4)', '28th Most innings before first duck (16)', '11th Most ducks in career (7)', '45th Most wickets in career (47)', '15th Best figures in an innings (5/8)', '9th Outstanding bowling analyses in an innings (5/8)', '33rd Best career strike rate (19.5)', '9th Worst career economy rate (6.57)', '33rd Worst economy rate in an innings (14.50)', '4th Most four-wickets-in-an-innings in a career (3)', '44th Most balls bowled in career (918)', '38th Most runs conceded in career (1006)', '34th Bowler/fielder combinations (8)', '30th Most wickets taken caught (31)', '4th Most wickets taken caught and bowled (6)', '30th Most wickets taken caught by a fielder (27)', '32nd Most wickets taken stumped (6)', '20th Most catches in career (28)', '3rd Most catches in an innings (3)', '19th Highest partnership for the third wicket (96)', '9th Highest partnership for the tenth wicket (18*)', '39th Most matches in career (80)', '31st Most matches as captain (15)', '49th Youngest captains (23y 130d)']</t>
  </si>
  <si>
    <t>['19th Shortest lived players (29y 181d)']</t>
  </si>
  <si>
    <t>['8th Most runs in an innings (by batting position) (311*)', ' Hundred in each innings of a match ', ' Hundred and a ninety in a match ', ' Hundred and a duck in a match ', '6th Longest individual innings (by minutes) (790)', ' 5000 runs and 50 fielding dismissals ', '6th Highest partnership for the third wicket (377*)', '6th Most player-of-the-series awards (7)', '6th Most hundreds in a career (27)', '10th Most innings before first duck (49)', '1st Fastest to 7000 runs (150)', '2nd Most catches in an innings (4)', ' 5000 runs and 50 fielding dismissals ', '2nd Highest partnership for the third wicket (247)', '10th Most runs in a match on the losing side (97*)', '3rd Fifties in consecutive innings (3)', '3rd Most catches by a substitute in an innings (2)', '5th Most hundreds in a calendar year (10)']</t>
  </si>
  <si>
    <t>['14th Most runs in career (9282)', '22nd Most runs in an innings (311*)', '39th Most runs in a match (311)', '43rd Most runs in a calendar year (1249)', '8th Most runs in an innings (by batting position) (311*)', '18th Most runs in a match on the losing side (237)', '23rd Most runs on a single ground (1356)', '15th Most hundreds in a career (28)', '17th Most double hundreds in a career (4)', '5th Most triple hundreds in a career (1)', '19th Most hundreds in a calendar year (5)', '5th Hundreds in consecutive innings (3)', '9th Hundred in hundredth match (134)', '15th Most fifties in career (69)', '32nd Fifties in consecutive innings (5)', '26th Fifties in consecutive matches (7)', '21st Most consecutive innings without a duck (65)', '12th Most fours in career (1170)', '36th Most fours in an innings (35)', '6th Longest individual innings (by minutes) (790)', '28th Longest individual innings (by balls) (529)', '42nd Fastest to 4000 runs (92)', '28th Fastest to 5000 runs (109)', '21st Fastest to 6000 runs (128)', '27th Fastest to 7000 runs (152)', '20th Fastest to 8000 runs (178)', '11th Fastest to 9000 runs (204)', '32nd Most catches in career (108)', '25th Highest partnerships for any wicket (377*)', '6th Highest partnership for the third wicket (377*)', '17th Highest partnership for the fourth wicket (308)', '24th Most matches in career (124)', '24th Most consecutive matches for a team (68)', '44th Most player-of-the-series awards (3)']</t>
  </si>
  <si>
    <t>['29th Most runs in career (8113)', '46th Most runs in an innings by a captain (133)', '11th Highest career batting average (49.46)', '6th Most hundreds in a career (27)', '11th Most hundreds in a calendar year (5)', '19th Most hundreds against one team (5)', '35th Highest maiden hundred (140)', '33rd Oldest player to score a hundred (35y 294d)', '22nd Most nineties in career (5)', '25th Most fifties in career (66)', '44th Fifties in consecutive innings (4)', '10th Most innings before first duck (49)', '17th Fewest ducks in career (44.5)', '23rd Most fours in career (822)', '31st Highest percentage of runs in a completed innings (56.11)', '11th Fastest to 1000 runs (24)', '1st Fastest to 2000 runs (40)', '1st Fastest to 3000 runs (57)', '1st Fastest to 4000 runs (81)', '1st Fastest to 5000 runs (101)', '1st Fastest to 6000 runs (123)', '1st Fastest to 7000 runs (150)', '2nd Fastest to 8000 runs (176)', '42nd Most catches in career (87)', '2nd Most catches in an innings (4)', '28th Highest partnerships for any wicket (247)', '13th Highest partnership for the first wicket (247)', '10th Highest partnership for the second wicket (247)', '2nd Highest partnership for the third wicket (247)', '33rd Highest partnership for the fourth wicket (172*)', '40th Most player-of-the-match awards (18)', '6th Most player-of-the-series awards (7)']</t>
  </si>
  <si>
    <t>['47th Most runs in career (1277)', '45th Most runs in an innings (by batting position) (97*)', '10th Most runs in a match on the losing side (97*)', '20th Highest career batting average (33.60)', '32nd Most fifties in career (8)', '3rd Fifties in consecutive innings (3)', '25th Fewest ducks in career (22)', '23rd Most fours in career (146)', '31st Most fours in an innings (11)', '36th Longest individual innings (by balls) (62)', '16th Fastest to 1000 runs (37)', '3rd Most catches by a substitute in an innings (2)']</t>
  </si>
  <si>
    <t>['2nd Most ducks in a series (5)']</t>
  </si>
  <si>
    <t>['2nd Most ducks in a series (5)', '22nd Best career bowling average (21.10)']</t>
  </si>
  <si>
    <t>['9th Best figures in a innings on debut (7)', '4th Most runs conceded in an innings (68)']</t>
  </si>
  <si>
    <t>['45th Best career bowling average (22.71)', '9th Best figures in a innings on debut (7)', '17th Best figures in a match on debut (9)']</t>
  </si>
  <si>
    <t>['4th Most runs conceded in an innings (68)', '17th Bowler/batters combinations (3)', '48th Most wickets taken caught by a wicketkeeper (5)']</t>
  </si>
  <si>
    <t>['24th Best figures in a innings when on the losing side (7)', '28th Youngest player to take five-wickets-in-an-innings (19y 323d)', '17th Most wickets taken caught and bowled (10)']</t>
  </si>
  <si>
    <t>['24th Best figures in a innings when on the losing side (7)', '9th Best figures in a innings on debut (7)']</t>
  </si>
  <si>
    <t>['49th Worst career bowling average (without qualification) (130.00)', '16th Longest lived players (94y 88d)']</t>
  </si>
  <si>
    <t>['17th Most sixes in an innings (9)', '42nd Most runs from fours and sixes in an innings (74)']</t>
  </si>
  <si>
    <t>['30th Longest intervals between appearances (7y 3d)', '12th Most consecutive matches missed for a team between appearances (183)']</t>
  </si>
  <si>
    <t>['40th Shortest lived players (33y 337d)']</t>
  </si>
  <si>
    <t>['14th Shortest lived players (33y 337d)']</t>
  </si>
  <si>
    <t>['9th Outstanding bowling analyses in an innings (3/5)', '25th Best career bowling average (without qualification) (11.00)', '17th Highest partnership for the eighth wicket (91)']</t>
  </si>
  <si>
    <t>['15th Best figures in a match when on the losing side (11)', '22nd Best figures in a innings on debut (6)', '5th Best figures in a match on debut (11)', '37th Oldest living players (87y 82d)']</t>
  </si>
  <si>
    <t>['25th Oldest living players (88y 340d)']</t>
  </si>
  <si>
    <t>[' Hundred on debut (113)']</t>
  </si>
  <si>
    <t>['40th Highest partnership for the seventh wicket (167)']</t>
  </si>
  <si>
    <t>['7th Most runs in debut match (113)']</t>
  </si>
  <si>
    <t>['1st Most dismissals in career (555)', '1st Most catches in career (532)', ' Hundred and a duck in a match ', ' 300 runs and 15 wicketkeeping dismissals in a series ', '1st Highest partnership for the ninth wicket (195)', '1st Most dismissals in an innings (6)', '10th Most consecutive matches for a team (120)', '1st Most catches in an innings (6)', '6th Most ducks in a series (3)', ' 200 runs and 10 wicketkeeping dismissals in a series ', '1st Most byes conceded in an innings (15)', '1st Most dismissals in career (998)', '1st Most catches in career (952)']</t>
  </si>
  <si>
    <t>['35th Most runs in a series by a wicketkeeper (341)', '39th Most ducks in career (17)', '12th Best career bowling average (without qualification) (6.00)', '9th Highest partnerships by wicket (9th)', '23rd Highest partnership for the eighth wicket (148)', '1st Highest partnership for the ninth wicket (195)', '11th Most matches in career (147)', '17th Most consecutive matches for a team (75)', '30th Youngest captains (25y 81d)', '19th Captains who have kept wicket (4)', '1st Most dismissals in career (555)', '5th Most dismissals in an innings (6)', '8th Most dismissals in a match (9)', '5th Most dismissals in a series (26)', '1st Most catches in career (532)', '5th Most catches in an innings (6)', '8th Most catches in a match (9)', '11th Most catches in a series (25)', '12th Most stumpings in career (23)', '19th Highest innings total without conceding a bye (595)']</t>
  </si>
  <si>
    <t>['13th Most runs in an innings (by batting position) (147*)', '15th Most runs in an innings by a wicketkeeper (147*)', '23rd Highest maiden hundred (147*)', '37th Most ducks in career (16)', '6th Most ducks in a series (3)', '22nd Most sixes in an innings (10)', '34th Highest partnership for the sixth wicket (131)', '16th Highest partnership for the seventh wicket (114)', '23rd Most matches in career (295)', '10th Most consecutive matches for a team (120)', '31st Captains who have kept wicket (1)', '4th Most dismissals in career (424)', '1st Most dismissals in an innings (6)', '25th Most dismissals in a series (16)', '2nd Most catches in career (402)', '1st Most catches in an innings (6)', '12th Most catches in a series (16)', '21st Most stumpings in career (22)']</t>
  </si>
  <si>
    <t>['24th No ducks in career (21)', '29th Highest partnership for the sixth wicket (69)', '19th Most catches in career (18)', '13th Most catches in an innings (3)', '1st Most byes conceded in an innings (15)']</t>
  </si>
  <si>
    <t>['20th Winning all tosses in a series (4)']</t>
  </si>
  <si>
    <t>['32nd Youngest player to take five-wickets-in-an-innings (19y 360d)']</t>
  </si>
  <si>
    <t>['7th Youngest captains (23y 250d)', '8th Most runs in an innings (by batting position) (61)', ' Opening the batting and bowling in the same match ']</t>
  </si>
  <si>
    <t>['8th Most runs in an innings (by batting position) (61)', '16th Highest partnership for the eighth wicket (59)', '7th Youngest captains (23y 250d)']</t>
  </si>
  <si>
    <t>['30th Most runs in an innings by a captain (107*)', '49th Highest maiden hundred (107*)', '43rd Most fifties in career (12)', '20th Worst economy rate in an innings (9.00)', '47th Most runs conceded in an innings (70)', '40th Highest partnership for the third wicket (126*)', '36th Most consecutive matches for a team (42)', '34th Most matches as captain (23)', '41st Most consecutive matches as captain of a team (16)', '25th Youngest captains (23y 61d)']</t>
  </si>
  <si>
    <t>['25th Most innings before first duck (17)', '14th Highest partnership for the fourth wicket (91)', '37th Most matches as captain (12)']</t>
  </si>
  <si>
    <t>['17th Worst career bowling average (without qualification) (113.00)', '14th Most consecutive matches missed for a team between appearances (51)']</t>
  </si>
  <si>
    <t>['42nd Highest partnership for the second wicket (90)']</t>
  </si>
  <si>
    <t>['26th Best figures in a innings by a captain (4)']</t>
  </si>
  <si>
    <t>['16th Most runs in an innings (by batting position) (28*)', '20th Best figures in a innings by a captain (3)', '50th Best career bowling average (22.24)', '12th Best career economy rate (6.37)']</t>
  </si>
  <si>
    <t>['9th Youngest captains (22y 306d)', '9th Most byes conceded in an innings (30)']</t>
  </si>
  <si>
    <t>['19th Longest intervals between appearances (10y 341d)', '9th Youngest captains (22y 306d)', '27th Captains who have kept wicket (1)', '9th Most byes conceded in an innings (30)']</t>
  </si>
  <si>
    <t>['1st Outstanding bowling analyses in an innings (2/1)', '1st Best career bowling average (without qualification) (0.50)', '6th Highest partnership for the eighth wicket (71)']</t>
  </si>
  <si>
    <t>['1st Outstanding bowling analyses in an innings (2/1)', '1st Best career bowling average (without qualification) (0.50)']</t>
  </si>
  <si>
    <t>['41st Most runs conceded in an innings (71)', '6th Highest partnership for the eighth wicket (71)']</t>
  </si>
  <si>
    <t>['36th Most runs in an innings (by batting position) (53*)', '35th Highest partnership for the fifth wicket (56*)', '12th Most maidens in an innings (2)']</t>
  </si>
  <si>
    <t>['37th Highest career strike rate (97.90)']</t>
  </si>
  <si>
    <t>['36th Most runs in an innings (by batting position) (64*)', '26th Highest career batting average (32.37)', '49th Best career bowling average (without qualification) (9.00)', '49th Highest partnership for the sixth wicket (60*)']</t>
  </si>
  <si>
    <t>[' 1000 runs and 100 wickets ']</t>
  </si>
  <si>
    <t>['23rd Most runs in a career without a hundred (1312)', '15th Most runs conceded in an innings (221)']</t>
  </si>
  <si>
    <t>['25th Fewest ducks in career (35.5)']</t>
  </si>
  <si>
    <t>['44th Oldest living players (47y 360d)']</t>
  </si>
  <si>
    <t>['11th Most ducks in a series (4)']</t>
  </si>
  <si>
    <t>[' Hundred and a duck in a match ', '10th Outstanding bowling analyses in an innings (3/6)']</t>
  </si>
  <si>
    <t>['23rd Youngest player to score a double hundred (23y 165d)', '35th Fastest to 1000 runs (21)', '29th Fastest to 2000 runs (43)', '10th Outstanding bowling analyses in an innings (3/6)', '11th Highest partnership for the third wicket (341)']</t>
  </si>
  <si>
    <t>['50th Highest career batting average (49.08)']</t>
  </si>
  <si>
    <t>['10th Most runs in an innings (by batting position) (275*)', ' Hundred and a duck in a match ', '4th Unusual dismissals (handled the bal)', '5th Highest partnership for the fourth wicket (232)']</t>
  </si>
  <si>
    <t>['48th Most runs in an innings (275*)', '10th Most runs in an innings (by batting position) (275*)', '48th Longest individual innings (by minutes) (658)', '42nd Most catches in a series (10)', '43rd Highest partnership for the eighth wicket (127)']</t>
  </si>
  <si>
    <t>['44th Fifties in consecutive innings (4)', '4th Unusual dismissals (handled the bal)', '24th Most catches in a series (8)', '45th Highest partnerships for any wicket (232)', '5th Highest partnership for the fourth wicket (232)']</t>
  </si>
  <si>
    <t>['1st Outstanding bowling analyses in an innings (1/0)', '3rd Most consecutive matches for a team (162)', '1st Most consecutive matches as captain of a team (130)', ' 250 runs and 10 wickets in a series ', ' 1000 runs, 50 wickets and 50 catches ', ' 5000 runs and 50 fielding dismissals ', '1st Most consecutive matches as captain of a team (130)', '6th Most consecutive matches for a team (142)', '3rd Most consecutive matches as captain of a team (99)']</t>
  </si>
  <si>
    <t>['32nd Fifties in consecutive innings (5)', '36th Most sixes in an innings (6)', '1st Outstanding bowling analyses in an innings (1/0)', '42nd Most catches in a series (10)', '33rd Shortest lived players (32y 249d)', '13th Most matches as captain (53)', '31st Most consecutive matches as captain of a team (26)', '21st Youngest captains (24y 125d)']</t>
  </si>
  <si>
    <t>['22nd Most nineties in career (5)', '42nd Most sixes in career (94)', '26th Best figures in a innings by a captain (4)', '23rd Highest partnership for the sixth wicket (137)', '3rd Most consecutive matches for a team (162)', '40th Most player-of-the-match awards (18)', '10th Shortest lived players (32y 249d)', '10th Most matches as captain (138)', '1st Most consecutive matches as captain of a team (130)', '21st Winning all tosses in a series (3)', '28th Youngest captains (24y 105d)']</t>
  </si>
  <si>
    <t>['1st Most consecutive matches as captain of a team (130)']</t>
  </si>
  <si>
    <t>['30th Most runs in a career without a hundred (1239)', '28th Shortest lived players (30y 120d)', '39th Youngest captains (25y 223d)', '14th Captains who have kept wicket (9)', '37th Most stumpings in career (12)', '12th Most stumpings in a match (3)']</t>
  </si>
  <si>
    <t>['9th Highest maiden hundred (169*)']</t>
  </si>
  <si>
    <t>['9th Highest maiden hundred (169*)', '39th Most fours in an innings (19)', '48th Most consecutive matches missed for a team between appearances (121)']</t>
  </si>
  <si>
    <t>['21st Oldest players on debut (39y 105d)']</t>
  </si>
  <si>
    <t>['33rd Oldest players on debut (38y 102d)', '44th Oldest players (40y 33d)']</t>
  </si>
  <si>
    <t>['1st Most dismissals in a series (23)', '1st Most catches in career (113)', '3rd Most stumpings in career (48)', '9th Most byes conceded in an innings (10)', '2nd Most runs in a career without a hundred (2599)', '10th Most nineties in career (2)', ' A fifty and five dismissals in an innings ', '6th Most dismissals in an innings (4)', '3rd Most catches in career (37)', '7th Most stumpings in career (27)', '6th Most byes conceded in an innings (8)']</t>
  </si>
  <si>
    <t>['17th Most runs in a match on the losing side (91)']</t>
  </si>
  <si>
    <t>['28th Most runs in career (2599)', '40th Most runs in a series (482)', '40th Most runs in a match on the losing side (90)', '23rd Most runs on a single ground (410)', '3rd Most runs in a series by a wicketkeeper (482)', '20th Most runs in an innings by a wicketkeeper (95)', '2nd Most runs in a career without a hundred (2599)', '10th Most nineties in career (2)', '31st Most fifties in career (16)', '40th Highest partnership for the second wicket (143)', '46th Highest partnership for the third wicket (122)', '26th Most matches in career (116)', '30th Most consecutive matches for a team (44)', '35th Longest careers (14y 48d)', '1st Most dismissals in career (161)', '5th Most dismissals in an innings (5)', '1st Most dismissals in a series (23)', '1st Most catches in career (113)', '3rd Most catches in an innings (4)', '2nd Most catches in a series (16)', '3rd Most stumpings in career (48)', '6th Most stumpings in an innings (3)', '10th Most stumpings in a series (7)', '9th Most byes conceded in an innings (10)']</t>
  </si>
  <si>
    <t>['30th Most runs in career (1109)', '36th Most runs on a single ground (191)', '38th Most runs in an innings by a wicketkeeper (55)', '34th Most fifties in career (3)', '16th Most ducks in career (6)', '16th Highest partnership for the third wicket (103)', '43rd Most matches in career (76)', '6th Most dismissals in career (64)', '6th Most dismissals in an innings (4)', '3rd Most catches in career (37)', '5th Most catches in an innings (3)', '7th Most stumpings in career (27)', '6th Most byes conceded in an innings (8)']</t>
  </si>
  <si>
    <t>['5th Oldest player to take a maiden five-wickets-in-an-innings (40y 70d)']</t>
  </si>
  <si>
    <t>['14th Oldest player to take five-wickets-in-an-innings (40y 84d)', '5th Oldest player to take a maiden five-wickets-in-an-innings (40y 70d)', '12th Oldest players on debut (40y 56d)']</t>
  </si>
  <si>
    <t>['11th Oldest player to take five-wickets-in-an-innings (40y 203d)', '26th Oldest players (43y 118d)']</t>
  </si>
  <si>
    <t>['4th Longest intervals between appearances (14y 92d)']</t>
  </si>
  <si>
    <t>['18th Oldest players (44y 317d)', '44th Longest careers (18y 3d)', '4th Longest intervals between appearances (14y 92d)']</t>
  </si>
  <si>
    <t>['32nd Oldest players on debut (38y 108d)']</t>
  </si>
  <si>
    <t>['1st Dismissed for 99 (and 199, 299 etc) (99)', ' Carrying bat through a completed innings (56*)', '3rd Best career economy rate (1.64)', '10th Most catches in a series (12)', ' Opening the batting and bowling in the same match ']</t>
  </si>
  <si>
    <t>['1st Dismissed for 99 (and 199, 299 etc) (99)', '48th Highest percentage of runs in a completed innings (56.56)', '3rd Best career economy rate (1.64)', '28th Best economy rate in an innings (0.56)', '40th Worst strike rate in an innings (344.0)', '10th Most catches in a series (12)']</t>
  </si>
  <si>
    <t>['6th Most runs in a match on the losing side (259)', ' Hundred and a ninety in a match ', ' Hundred and a duck in a match ', ' 5000 runs and 50 fielding dismissals ', '5th Most runs in an innings (by batting position) (175)', '2nd Hundreds in consecutive innings (3)', ' Carrying bat through a completed innings (59*)', ' 5000 runs and 50 fielding dismissals ', '4th Most fours in an innings (14)', '6th Hundreds in consecutive innings (3)', '8th Most nineties in career (11)']</t>
  </si>
  <si>
    <t>['6th Most runs in a match on the losing side (259)', '11th Most runs in a day (228)', '21st Hundreds in consecutive matches (3)', '24th Highest maiden hundred (211*)', '10th Most nineties in career (6)', '26th Fifties in consecutive matches (7)', '44th Most sixes in career (47)', '38th Most fours in career (887)', '36th Most sixes in an innings (6)', '36th Most fours in an innings (35)', '34th Most runs from fours and sixes in an innings (152)', '47th Longest individual innings (by minutes) (659)', '36th Fastest to 4000 runs (91)', '24th Fastest to 5000 runs (108)', '44th Fastest to 6000 runs (146)', '46th Most catches in career (94)', '31st Highest partnership for the first wicket (256)', '14th Highest partnership for the second wicket (315*)', '46th Highest partnership for the third wicket (251)']</t>
  </si>
  <si>
    <t>['30th Most runs in career (8094)', '37th Most runs in an innings (175)', '29th Most runs in a calendar year (1310)', '5th Most runs in an innings (by batting position) (175)', '25th Most runs in a match on the losing side (143)', '12th Most hundreds in a career (21)', '11th Most hundreds in a calendar year (5)', '19th Most hundreds against one team (5)', '2nd Hundreds in consecutive innings (3)', '48th Oldest player to score a hundred (35y 49d)', '34th Most nineties in career (4)', '33rd Most fifties in career (58)', '44th Fifties in consecutive innings (4)', '11th Most ducks in career (22)', '22nd Most sixes in career (128)', '16th Most fours in career (930)', '14th Most fours in an innings (21)', '11th Most runs from fours and sixes in an innings (126)', '23rd Highest percentage of runs in a completed innings (58.41)', '47th Fastest to 4000 runs (120)', '46th Fastest to 5000 runs (157)', '33rd Fastest to 6000 runs (184)', '24th Fastest to 7000 runs (209)', '22nd Fastest to 8000 runs (237)', '22nd Most catches in career (108)', '44th Most matches in career (248)', '23rd Most player-of-the-match awards (22)']</t>
  </si>
  <si>
    <t>['4th Most fours in an innings (14)', '15th Most catches in an innings (3)', '15th Highest partnership for the third wicket (120*)']</t>
  </si>
  <si>
    <t>['1st Longest lived players (103y 27d)', '5th Worst strike rate in an innings (442.0)', '4th Most balls bowled in a match (738)']</t>
  </si>
  <si>
    <t>['5th Worst strike rate in an innings (442.0)', '33rd Most balls bowled in an innings (442)', '4th Most balls bowled in a match (738)', '48th Most runs conceded in a match (256)', '1st Longest lived players (103y 27d)']</t>
  </si>
  <si>
    <t>['31st Most consecutive matches missed for a team between appearances (35)']</t>
  </si>
  <si>
    <t>['2nd Most pairs in career (1)', '18th Worst career bowling average (without qualification) (79.00)', '17th Worst economy rate in an innings (4.38)']</t>
  </si>
  <si>
    <t>['1st Dismissed for 99 (and 199, 299 etc) (99)', ' Hundred and a duck in a match ', ' Opening the batting and bowling in the same match ']</t>
  </si>
  <si>
    <t>['22nd Most runs in a series (732)', '48th Most runs in a match on the losing side (212)', '1st Dismissed for 99 (and 199, 299 etc) (99)', '26th Fifties in consecutive matches (7)', '35th Most innings before first duck (35)', '24th Best figures in a innings when on the losing side (7)', '48th Best career strike rate (51.5)', '35th Oldest players (42y 197d)', '32nd Longest careers (18y 181d)', '13th Longest intervals between appearances (11y 320d)']</t>
  </si>
  <si>
    <t>['6th Best figures in a innings on debut (4)', '9th Highest partnership for the sixth wicket (90)', '4th Most runs in an innings (progressive record holder) (116*)', '6th Highest partnership for the first wicket (170)']</t>
  </si>
  <si>
    <t>['40th Most runs in a career without a hundred (959)', '28th Highest percentage of runs in a completed innings (53.50)', '11th Best figures in a innings when on the losing side (4)', '6th Best figures in a innings on debut (4)', '9th Highest partnership for the sixth wicket (90)']</t>
  </si>
  <si>
    <t>['8th Most runs in an innings (116*)', '4th Most runs in an innings (progressive record holder) (116*)', '6th Most runs in an innings (by batting position) (116*)', '46th Most runs in a match on the losing side (58)', '35th Highest percentage of runs in a completed innings (56.58)', '46th Worst career bowling average (without qualification) (60.00)', '8th Highest partnerships for any wicket (170)', '6th Highest partnership for the first wicket (170)', '49th Highest partnership for the second wicket (84)']</t>
  </si>
  <si>
    <t>['17th Best career economy rate (3.57)', '48th Best economy rate in an innings (1.00)']</t>
  </si>
  <si>
    <t>['5th Most dismissals in an innings (6)', '3rd Most catches in a series (42)', ' Hundred and a duck in a match ', ' 300 runs and 15 wicketkeeping dismissals in a series ', '1st Most dismissals in an innings (6)', '7th Captains who have kept wicket and opened the batting (8)', '2nd Most runs in an innings by a wicketkeeper (178)', '2nd Hundreds in consecutive innings (3)', '9th Most runs from fours and sixes in an innings (130)', '3rd Fastest to 1000 runs (21)', ' A hundred and four dismissals in an innings ', '6th Highest partnership for the first wicket (282*)', '5th Most dismissals in an innings (4)', '3rd Most catches in career (41)', '8th Captains who have kept wicket and opened the batting (11)', '7th Most stumpings in career (11)', '6th Hundreds in consecutive innings (3)']</t>
  </si>
  <si>
    <t>['15th Most runs in a series by a wicketkeeper (380)', '32nd Fifties in consecutive innings (5)', '19th Captains who have kept wicket (4)', '13th Most dismissals in career (219)', '5th Most dismissals in an innings (6)', '8th Most dismissals in a match (9)', '19th Most dismissals in a series (23)', '12th Most catches in career (208)', '5th Most catches in an innings (6)', '26th Most catches in a match (8)', '3rd Most catches in a series (42)', '43rd Most stumpings in career (11)', '16th Highest innings total without conceding a bye (601/5d)']</t>
  </si>
  <si>
    <t>['30th Most runs in an innings (178)', '45th Most runs in a match on the losing side (138*)', '22nd Most runs in a series by a wicketkeeper (353)', '2nd Most runs in an innings by a wicketkeeper (178)', '32nd Highest career batting average (44.74)', '27th Most hundreds in a career (15)', '3rd Most hundreds in a series (3)', '29th Most hundreds in a calendar year (4)', '19th Most hundreds against one team (5)', '2nd Hundreds in consecutive innings (3)', '25th Youngest player to score a hundred (20y 326d)', '11th Fifties in consecutive innings (5)', '21st Most innings before first duck (40)', '31st Fewest ducks in career (30.75)', '44th Most fours in career (603)', '13th Most sixes in an innings (11)', '14th Most fours in an innings (21)', '9th Most runs from fours and sixes in an innings (130)', '3rd Fastest to 1000 runs (21)', '21st Fastest to 2000 runs (53)', '11th Fastest to 3000 runs (74)', '6th Fastest to 4000 runs (94)', '5th Fastest to 5000 runs (116)', '9th Highest partnerships for any wicket (282*)', '6th Highest partnership for the first wicket (282*)', '36th Highest partnership for the fourth wicket (171)', '17th Most player-of-the-series awards (5)', '20th Captains who have kept wicket (8)', '7th Captains who have kept wicket and opened the batting (8)', '17th Most dismissals in career (177)', '1st Most dismissals in an innings (6)', '36th Most dismissals in a series (15)', '14th Most catches in career (168)', '11th Most catches in an innings (5)', '31st Most catches in a series (14)', '23rd Most byes conceded in an innings (10)']</t>
  </si>
  <si>
    <t>['44th Most runs in career (1303)', '38th Most runs in an innings by a captain (79*)', '18th Most runs in an innings by a wicketkeeper (79*)', '41st Highest career batting average (31.02)', '27th Highest strike rate in an innings (295.45)', '48th Most fifties in career (6)', '39th Fewest ducks in career (15.66)', '37th Most sixes in career (53)', '35th Most fours in career (135)', '30th Most sixes in an innings (8)', '19th Fastest to 1000 runs (38)', '19th Highest partnership for the second wicket (129)', '8th Captains who have kept wicket (11)', '8th Captains who have kept wicket and opened the batting (11)', '26th Winning all tosses in a series (3)', '6th Most dismissals in career (52)', '5th Most dismissals in an innings (4)', '3rd Most catches in career (41)', '13th Most catches in an innings (3)', '7th Most stumpings in career (11)']</t>
  </si>
  <si>
    <t>['9th Worst career strike rate (28.6)']</t>
  </si>
  <si>
    <t>['32nd Worst career bowling average (33.25)']</t>
  </si>
  <si>
    <t>['9th Best career economy rate (4.95)', '9th Worst career strike rate (28.6)', '27th Most wickets taken bowled (14)', '15th Most maidens in career (8)', '12th Most maidens in an innings (2)']</t>
  </si>
  <si>
    <t>[' Hundred on debut (110*)', ' Hundred and a duck in a match ', '2nd Most runs in an innings (by batting position) (185)', '10th Hundred in last match (100)', '3rd Most hundreds in a series (3)', '7th Most innings before first duck (60)', '8th Most catches in a series (10)', ' 5000 runs and 50 fielding dismissals ', '3rd Highest partnership for the fourth wicket (252)', '3rd Winning all tosses in a series (3)', '3rd Most runs in a match on the losing side (119)', '3rd No ducks in career (50)', '6th Fastest to 1000 runs (32)', '2nd Highest partnership for the fourth wicket (127*)', '1st Most innings before first duck (108)']</t>
  </si>
  <si>
    <t>['17th Most runs in debut match (188)', '34th Most matches as captain (36)']</t>
  </si>
  <si>
    <t>['18th Most runs in an innings (185)', '2nd Most runs in an innings (by batting position) (185)', '27th Most runs in an series by a captain (387)', '22nd Highest career batting average (47.47)', '10th Hundred in last match (100)', '37th Most hundreds in a career (12)', '3rd Most hundreds in a series (3)', '19th Most hundreds against one team (5)', '44th Fifties in consecutive innings (4)', '7th Most innings before first duck (60)', '16th Fewest ducks in career (45.33)', '27th Highest percentage of runs in a completed innings (57.27)', '33rd Fastest to 3000 runs (85)', '12th Fastest to 4000 runs (104)', '12th Fastest to 5000 runs (125)', '8th Most catches in a series (10)', '24th Highest partnerships for any wicket (252)', '27th Highest partnership for the third wicket (206)', '3rd Highest partnership for the fourth wicket (252)']</t>
  </si>
  <si>
    <t>['33rd Most runs in career (1528)', '14th Most runs in an innings (119)', '3rd Most runs in an innings (by batting position) (119)', '3rd Most runs in a match on the losing side (119)', '39th Most runs on a single ground (287)', '5th Most runs in an innings by a captain (119)', '18th Highest career batting average (35.53)', '20th Most fifties in career (11)', '3rd No ducks in career (50)', '11th Most consecutive innings without a duck (50*)', '40th Most sixes in career (50)', '29th Most fours in career (140)', '31st Most fours in an innings (11)', '42nd Most runs from fours and sixes in an innings (74)', '17th Longest individual innings (by balls) (65)', '6th Fastest to 1000 runs (32)', '44th Most catches in career (24)', '20th Highest partnership for the third wicket (112)', '2nd Highest partnership for the fourth wicket (127*)', '10th Most matches as captain (40)', '3rd Winning all tosses in a series (3)']</t>
  </si>
  <si>
    <t>['5th Worst career bowling average (without qualification) (130.00)']</t>
  </si>
  <si>
    <t>['44th Most consecutive matches missed for a team between appearances (30)']</t>
  </si>
  <si>
    <t>['43rd Highest career batting average (42.23)', '34th Fastest to 2000 runs (56)', '16th Fastest to 3000 runs (79)', '49th Highest partnership for the second wicket (194)', '46th Highest partnership for the seventh wicket (101)']</t>
  </si>
  <si>
    <t>['24th Best figures in a innings when on the losing side (7)', '9th Best figures in a innings on debut (7)', '33rd Best figures in a match on debut (8)']</t>
  </si>
  <si>
    <t>['31st Worst career bowling average (without qualification) (121.00)']</t>
  </si>
  <si>
    <t>[' Pair on debut ', '4th Most wickets in a calendar year (80)', '4th Worst economy rate in an innings (8.00)', '6th Most wickets taken caught by a wicketkeeper (100)', '4th Fastest to 250 wickets (50)', '3rd Best figures in a innings on debut (5)', '10th Most four-wickets-in-an-innings in a career (13)', '8th Most wickets taken caught by a wicketkeeper (63)', '3rd Fastest to 250 wickets (148)', '9th Most wickets in a calendar year (107)', '8th Most wickets taken caught by a wicketkeeper (163)']</t>
  </si>
  <si>
    <t>['39th Most ducks in career (17)', '26th Most wickets in career (330)', '33rd Most wickets in a series (33)', '4th Most wickets in a calendar year (80)', '37th Best career bowling average (22.25)', '21st Best career strike rate (47.0)', '37th Best economy rate in an innings (0.60)', '4th Worst economy rate in an innings (8.00)', '22nd Most five-wickets-in-an-innings in a career (20)', '29th Most ten-wickets-in-a-match in a career (3)', '43rd Oldest player to take ten-wickets-in-a-match (33y 36d)', '48th Most balls bowled in career (15519)', '46th Most runs conceded in career (7344)', '32nd Bowler/Batter combinations (11)', '20th Bowler/fielder combinations (53)', '35th Most wickets taken bowled (62)', '24th Most wickets taken caught (226)', '33rd Most wickets taken caught by a fielder (126)', '6th Most wickets taken caught by a wicketkeeper (100)', '41st Fastest to 50 wickets (11)', '27th Fastest to 100 wickets (22)', '16th Fastest to 150 wickets (33)', '9th Fastest to 200 wickets (42)', '4th Fastest to 250 wickets (50)', '7th Fastest to 300 wickets (63)', '41st Most player-of-the-match awards (8)', '24th Most player-of-the-series awards (4)']</t>
  </si>
  <si>
    <t>['19th Most wickets in career (272)', '30th Best figures in an innings (6/23)', '42nd Most wickets in a series (18)', '16th Most wickets in a calendar year (51)', '14th Best figures in a innings when on the losing side (5)', '14th Best career bowling average (21.78)', '42nd Best career strike rate (31.4)', '3rd Best figures in a innings on debut (5)', '43rd Most five-wickets-in-an-innings in a career (2)', '10th Most four-wickets-in-an-innings in a career (13)', '33rd Most balls bowled in career (8561)', '44th Most runs conceded in career (5926)', '19th Bowler/fielder combinations (35)', '21st Most wickets taken bowled (60)', '14th Most wickets taken caught (186)', '22nd Most wickets taken caught by a fielder (123)', '8th Most wickets taken caught by a wicketkeeper (63)', '34th Most wickets taken lbw (26)', '26th Fastest to 100 wickets (64)', '6th Fastest to 150 wickets (89)', '3rd Fastest to 200 wickets (117)', '3rd Fastest to 250 wickets (148)']</t>
  </si>
  <si>
    <t>['6th Winning all tosses in a series (5)']</t>
  </si>
  <si>
    <t>['4th Highest partnership for the ninth wicket (180)', '10th Most runs in an innings (by batting position) (150*)', '1st Dismissed for 99 (and 199, 299 etc) (99)', ' 1000 runs, 50 wickets and 50 catches ', ' 5000 runs and 50 fielding dismissals ', '6th Most runs in an innings (by batting position) (86*)', '8th Highest career batting average (38.68)']</t>
  </si>
  <si>
    <t>['29th Worst career economy rate (3.55)', '4th Highest partnership for the ninth wicket (180)']</t>
  </si>
  <si>
    <t>['10th Most runs in an innings (by batting position) (150*)', '45th Highest strike rate in an innings (266.66)', '34th Most nineties in career (4)', '1st Dismissed for 99 (and 199, 299 etc) (99)', '24th Most consecutive innings without a duck (73*)', '44th Most sixes in an innings (8)', '47th Best strike rate in an innings (7.2)', '49th Most catches in career (82)', '16th Highest partnership for the third wicket (219)', '40th Oldest captains on captaincy debut (34y 169d)']</t>
  </si>
  <si>
    <t>['13th Most runs in career (1934)', '6th Most runs in an innings (by batting position) (86*)', '45th Most runs in a match on the losing side (78)', '8th Highest career batting average (38.68)', '20th Most fifties in career (11)', '19th Most consecutive innings without a duck (44*)', '13th Most ducks in career (6)', '20th Most sixes in career (71)', '32nd Most fours in career (138)', '42nd Most sixes in an innings (7)', '21st Highest percentage of runs in a completed innings (60.00)', '24th Fastest to 1000 runs (40)', '14th Most wickets taken caught and bowled (3)', '17th Most catches in career (35)', '49th Highest partnership for the third wicket (93)', '15th Highest partnership for the fourth wicket (105*)', '17th Most matches in career (81)', '31st Most consecutive matches for a team (33)', '28th Most player-of-the-match awards (5)', '47th Longest careers (11y 190d)', '13th Winning all tosses in a series (3)']</t>
  </si>
  <si>
    <t>['5th Most runs in a match on the losing side (119)', ' Hundred on debut (102)', '10th Highest partnership for the fifth wicket (102)', '2nd Most consecutive matches for a team (101)', '5th Most consecutive matches as captain of a team (46)', '6th Most innings before first duck (33)', '10th Highest partnership for the sixth wicket (89)', '3rd Most consecutive matches for a team (71)', '9th Most matches as captain (50)', '9th Most runs in an innings (by batting position) (59)', '4th Highest partnership for the sixth wicket (65*)']</t>
  </si>
  <si>
    <t>['16th Most runs in an innings (by batting position) (102)', '5th Most runs in a match on the losing side (119)', '18th Most runs in an innings by a captain (102)', '12th Most runs in debut match (119)', '13th Hundred in last match (102)', '10th Highest partnership for the fifth wicket (102)', '17th Youngest captains (25y 156d)']</t>
  </si>
  <si>
    <t>['13th Most runs in career (3443)', '35th Most runs in a series (529)', '21st Most runs in a calendar year (641)', '18th Most runs on a single ground (443)', '19th Most runs in an series by a captain (366)', '48th Most runs in an innings by a captain (100*)', '43rd Highest career batting average (32.79)', '25th Most hundreds in a career (2)', '25th Most fifties in career (18)', '6th Most innings before first duck (33)', '42nd Most consecutive innings without a duck (33)', '50th Fewest ducks in career (18.14)', '18th Highest percentage of runs in a completed innings (54.86)', '26th Most catches in career (35)', '45th Highest partnership for the third wicket (123)', '35th Highest partnership for the fifth wicket (92*)', '10th Highest partnership for the sixth wicket (89)', '7th Most matches in career (137)', '2nd Most consecutive matches for a team (101)', '33rd Longest careers (14y 54d)', '11th Most matches as captain (46)', '5th Most consecutive matches as captain of a team (46)', '20th Youngest captains (22y 134d)', '13th Captains who have kept wicket (3)']</t>
  </si>
  <si>
    <t>['16th Most runs in career (1750)', '44th Most runs in a calendar year (369)', '9th Most runs in an innings (by batting position) (59)', '44th Most runs in a match on the losing side (59)', '22nd Most runs on a single ground (211)', '20th Most fifties in career (7)', '11th Most ducks in career (7)', '24th Highest percentage of runs in a completed innings (58.82)', '26th Most catches in career (25)', '15th Highest partnership for the fourth wicket (89)', '4th Highest partnership for the sixth wicket (65*)', '11th Highest partnership for the eighth wicket (32)', '9th Most matches in career (108)', '3rd Most consecutive matches for a team (71)', '9th Most matches as captain (50)', '39th Youngest captains (22y 136d)']</t>
  </si>
  <si>
    <t>['16th Highest partnership for the ninth wicket (137)']</t>
  </si>
  <si>
    <t>['1st Most dismissals in a match (11)', '6th Most consecutive matches for a team (98)', '1st Most catches in a match (11)', '5th Most runs in an innings (by batting position) (217*)', ' Hundred and a ninety in a match ', '1st Fifties in consecutive matches (12)', ' Pair by a captain ', ' A hundred and five dismissals in an innings ', ' 5000 runs and 50 fielding dismissals ', '8th Captains who have kept wicket (30)', '1st Most runs in an innings (by batting position) (162*)', '5th Highest strike rate in an innings (338.63)', '2nd Hundreds in consecutive innings (3)', '1st Dismissed for 99 (and 199, 299 etc) (99)', '1st Most ducks in a series (4)', '2nd Most sixes in an innings (16)', '2nd Fastest to 9000 runs (205)', ' A fifty and five dismissals in an innings ', ' 5000 runs and 50 fielding dismissals ', '5th Most dismissals in an innings (4)', '3rd Most catches in an innings (4)', '8th Captains who have kept wicket (11)', '6th Most catches in career (44)', '8th Highest partnership for the fourth wicket (110*)', '10th Most hundreds in a career (47)', '2nd Most nineties in career (14)', '3rd Most innings before first duck (84)', '9th Most sixes in career (328)']</t>
  </si>
  <si>
    <t>['20th Most runs in career (8765)', '44th Most runs in an innings (278*)', '5th Most runs in an innings (by batting position) (217*)', '25th Most runs on a single ground (1344)', '26th Most runs in a series by a wicketkeeper (352)', '19th Most runs in an innings by a wicketkeeper (169)', '39th Highest career batting average (50.66)', '32nd Most hundreds in a career (22)', '49th Youngest player to score a hundred (20y 339d)', '5th Most nineties in career (8)', '18th Most fifties in career (68)', '1st Fifties in consecutive matches (12)', '1st Most innings before first duck (78)', '8th Most consecutive innings without a duck (78)', '22nd Most sixes in career (64)', '22nd Most fours in career (1024)', '19th Most sixes in an innings (7)', '26th Fastest to 1000 runs (20)', '46th Fastest to 5000 runs (118)', '36th Fastest to 6000 runs (137)', '22nd Fastest to 7000 runs (151)', '15th Fastest to 8000 runs (172)', '22nd Most catches in career (121)', '24th Most catches in a series (11)', '37th Highest partnership for the first wicket (245)', '19th Highest partnership for the tenth wicket (107*)', '39th Most matches in career (114)', '6th Most consecutive matches for a team (98)', '24th Most player-of-the-series awards (4)', '44th Most dismissals in career (106)', '5th Most dismissals in an innings (6)', '1st Most dismissals in a match (11)', '39th Most catches in career (101)', '5th Most catches in an innings (6)', '1st Most catches in a match (11)', '32nd Highest innings total without conceding a bye (565/5d)']</t>
  </si>
  <si>
    <t>['17th Most runs in career (9577)', '34th Most runs in an innings (176)', '42nd Most runs in a series (482)', '46th Most runs in a calendar year (1209)', '1st Most runs in an innings (by batting position) (162*)', '8th Most runs in an series by a captain (482)', '10th Most runs in an innings by a captain (162*)', '18th Most runs in a series by a wicketkeeper (367)', '12th Most runs in an innings by a wicketkeeper (149)', '6th Highest career batting average (53.50)', '31st Highest career strike rate (101.09)', '5th Highest strike rate in an innings (338.63)', '7th Most hundreds in a career (25)', '3rd Most hundreds in a series (3)', '11th Most hundreds in a calendar year (5)', '10th Most hundreds against one team (6)', '2nd Hundreds in consecutive innings (3)', '25th Highest maiden hundred (146)', '8th Most nineties in career (6)', '1st Dismissed for 99 (and 199, 299 etc) (99)', '15th Most fifties in career (78)', '44th Fifties in consecutive innings (4)', '40th Most innings before first duck (30)', '7th Most consecutive innings without a duck (90)', '30th Fewest ducks in career (31.14)', '1st Most ducks in a series (4)', '7th Most sixes in career (204)', '19th Most fours in career (840)', '2nd Most sixes in an innings (16)', '7th Most runs from fours and sixes in an innings (132)', '41st Fastest to 3000 runs (88)', '13th Fastest to 4000 runs (105)', '11th Fastest to 5000 runs (124)', '5th Fastest to 6000 runs (147)', '3rd Fastest to 7000 runs (166)', '3rd Fastest to 8000 runs (182)', '2nd Fastest to 9000 runs (205)', '47th Most catches in career (83)', '41st Highest partnership for the eighth wicket (77)', '14th Most player-of-the-match awards (27)', '12th Most player-of-the-series awards (6)', '20th Most matches as captain (103)', '8th Captains who have kept wicket (30)', '31st Most dismissals in career (98)', '16th Most dismissals in an innings (5)', '29th Most catches in career (93)', '11th Most catches in an innings (5)']</t>
  </si>
  <si>
    <t>['23rd Most runs in career (1672)', '28th Most runs in an innings (by batting position) (79*)', '40th Most runs in an innings by a wicketkeeper (71)', '26th Most fifties in career (10)', '42nd Most consecutive innings without a duck (32)', '43rd Fewest ducks in career (15)', '32nd Most ducks in career (5)', '31st Most sixes in career (60)', '29th Most fours in career (140)', '6th Most catches in career (44)', '15th Most catches in an innings (3)', '34th Highest partnership for the first wicket (125)', '8th Highest partnership for the fourth wicket (110*)', '25th Most matches in career (78)', '12th Most player-of-the-match awards (7)', '43rd Longest careers (11y 247d)', '38th Most matches as captain (18)', '8th Captains who have kept wicket (11)', '15th Most dismissals in career (28)', '5th Most dismissals in an innings (4)', '16th Most catches in career (21)', '3rd Most catches in an innings (4)', '14th Most stumpings in career (7)', '32nd Most byes conceded in an innings (5)']</t>
  </si>
  <si>
    <t>['27th Oldest living players (88y 87d)']</t>
  </si>
  <si>
    <t>['10th Youngest captains (24y 118d)', '7th Outstanding bowling analyses in an innings (4/4)', '6th Best figures in a innings on debut (4)', ' Opening the batting and bowling in the same match ', '3rd Highest partnership for the seventh wicket (94)']</t>
  </si>
  <si>
    <t>['10th Youngest captains (24y 118d)']</t>
  </si>
  <si>
    <t>['7th Outstanding bowling analyses in an innings (4/4)', '17th Best strike rate in an innings (7.0)', '48th Worst career bowling average (30.82)', '41st Worst career strike rate (53.0)', '6th Best figures in a innings on debut (4)', '3rd Highest partnership for the seventh wicket (94)', '6th Youngest captains (21y 86d)']</t>
  </si>
  <si>
    <t>[' Pair on debut ', ' Carrying bat through a completed innings (141*)']</t>
  </si>
  <si>
    <t>['19th Most hundreds in a calendar year (5)', '39th Highest partnership for the first wicket (243)', '48th Highest partnership for the third wicket (250)', '44th Most player-of-the-series awards (3)']</t>
  </si>
  <si>
    <t>['2nd Unusual dismissals (handled the bal)']</t>
  </si>
  <si>
    <t>['2nd Unusual dismissals (handled the bal)', '42nd Most catches in a series (10)']</t>
  </si>
  <si>
    <t>['3rd Most consecutive matches for a team (107)', ' Hundred on debut (138)', ' Hundred and a duck in a match ', '5th Most catches in career (181)', ' 1000 runs, 50 wickets and 50 catches ', ' 5000 runs and 50 fielding dismissals ', '10th Most runs in a calendar year (1468)', '3rd Most hundreds in a series (3)', '2nd Fifties in consecutive innings (6)', ' Opening the batting and bowling in the same match ', ' 1000 runs, 50 wickets and 50 catches ', ' 5000 runs and 50 fielding dismissals ', '10th Fifties in consecutive innings (6)', '8th Most catches in career (289)']</t>
  </si>
  <si>
    <t>['31st Most runs in career (8029)', '36th Most runs in debut match (161)', '42nd Most hundreds in a career (20)', '46th Dismissed for 99 (and 199, 299 etc) (99)', '20th Most fifties in career (67)', '26th Fifties in consecutive matches (7)', '23rd Most consecutive innings without a duck (63)', '27th Most ducks in career (19)', '11th Most ducks in a series (4)', '4th Most consecutive ducks (4)', '49th Most sixes in career (41)', '42nd Most fours in career (844)', '5th Most catches in career (181)', '8th Most catches in a match (6)', '24th Most catches in a series (11)', '22nd Most matches in career (128)', '3rd Most consecutive matches for a team (107)']</t>
  </si>
  <si>
    <t>['27th Most runs in career (8500)', '42nd Most runs in an innings (173)', '16th Most runs in a series (542)', '10th Most runs in a calendar year (1468)', '23rd Most runs on a single ground (1309)', '17th Most hundreds in a career (18)', '3rd Most hundreds in a series (3)', '29th Most hundreds in a calendar year (4)', '31st Oldest player to score a hundred (35y 299d)', '24th Most fifties in career (68)', '2nd Fifties in consecutive innings (6)', '37th Most ducks in career (16)', '40th Most fours in career (651)', '45th Fastest to 4000 runs (119)', '30th Fastest to 5000 runs (141)', '19th Fastest to 6000 runs (167)', '16th Fastest to 7000 runs (198)', '14th Fastest to 8000 runs (223)', '47th Best strike rate in an innings (7.2)', '22nd Most catches in career (108)', '20th Highest partnership for the second wicket (219)', '26th Highest partnership for the third wicket (207)', '40th Highest partnership for the fourth wicket (168)', '48th Most matches in career (244)', '28th Most player-of-the-match awards (21)']</t>
  </si>
  <si>
    <t>['9th Worst career bowling average (without qualification) (171.00)']</t>
  </si>
  <si>
    <t>['45th Best career bowling average (without qualification) (14.00)', '11th Longest lived players (75y 47d)']</t>
  </si>
  <si>
    <t>['2nd Most matches in career (168)', '9th Most matches as captain (57)', ' Hundred in each innings of a match ', ' 99 not out (and 199, 299 etc) (99*)', '10th Most fifties in career (82)', '2nd Unusual dismissals (handled the bal)', ' 1000 runs, 50 wickets and 50 catches ', ' 5000 runs and 50 fielding dismissals ', '2nd Highest partnership for the fifth wicket (385)', '6th Most ducks in a series (3)', ' 1000 runs and 100 wickets ', ' 1000 runs, 50 wickets and 50 catches ', ' 5000 runs and 50 fielding dismissals ', '8th Most nineties in career (11)']</t>
  </si>
  <si>
    <t>['11th Most runs in career (10927)', '31st Most runs on a single ground (1284)', '37th Highest career batting average (51.06)', '11th Most hundreds in a career (32)', '6th Most hundreds against one team (10)', '1st Most nineties in career (10)', '10th Most fifties in career (82)', '16th Most ducks in career (22)', '11th Most fours in career (1175)', '2nd Unusual dismissals (handled the bal)', '41st Fastest to 7000 runs (174)', '27th Fastest to 8000 runs (194)', '14th Fastest to 9000 runs (216)', '13th Fastest to 10000 runs (244)', '28th Most catches in career (112)', '22nd Highest partnerships for any wicket (385)', '2nd Highest partnership for the fifth wicket (385)', '18th Highest partnership for the ninth wicket (133)', '2nd Most matches in career (168)', '7th Most player-of-the-match awards (14)', '9th Most player-of-the-series awards (6)', '42nd Longest careers (18y 11d)', '9th Most matches as captain (57)', '21st Most consecutive matches as captain of a team (30)', '46th Winning all tosses in a series (4)', '39th Oldest captains (38y 218d)']</t>
  </si>
  <si>
    <t>['35th Most runs in career (7569)', '37th Most runs on a single ground (1155)', '25th Most runs in an series by a captain (398)', '45th Oldest player to score a hundred (35y 75d)', '16th Most innings before first duck (44)', '14th Most consecutive innings without a duck (82)', '45th Most ducks in career (15)', '6th Most ducks in a series (3)', '41st Fastest to 7000 runs (271)', '42nd Most wickets in career (195)', '26th Best figures in a innings by a captain (4)', '29th Most balls bowled in career (8883)', '30th Most runs conceded in career (6761)', '48th Most wickets taken bowled (44)', '45th Most wickets taken caught (129)', '34th Most wickets taken caught by a fielder (99)', '20th Most catches in career (111)', '12th Most catches in a series (9)', '23rd Highest partnership for the fourth wicket (189)', '41st Highest partnership for the seventh wicket (102*)', '15th Most matches in career (325)', '30th Most consecutive matches for a team (87)', '28th Most player-of-the-match awards (21)', '45th Most player-of-the-series awards (3)', '36th Longest careers (16y 25d)', '17th Most matches as captain (106)', '16th Most consecutive matches as captain of a team (49)', '44th Oldest captains (36y 246d)']</t>
  </si>
  <si>
    <t>['16th Most consecutive matches as captain of a team (49)']</t>
  </si>
  <si>
    <t>['10th Bowler/fielder combinations (11)']</t>
  </si>
  <si>
    <t>['41st Most wickets in a series (17)']</t>
  </si>
  <si>
    <t>['33rd Best strike rate in an innings (4.0)', '18th Bowler/Batters combinations (4)', '10th Bowler/fielder combinations (11)', '20th Most wickets taken caught and bowled (3)', '22nd Most wickets taken stumped (8)']</t>
  </si>
  <si>
    <t>['5th Best figures in a innings when on the losing side (8)', '2nd Best career economy rate (3.25)']</t>
  </si>
  <si>
    <t>['10th Outstanding bowling analyses in an innings (6/15)', '5th Best figures in a innings when on the losing side (8)', '41st Fastest to 50 wickets (11)', '48th Fastest to 100 wickets (24)', '50th Highest partnership for the ninth wicket (100)']</t>
  </si>
  <si>
    <t>['2nd Best career economy rate (3.25)', '21st Longest lived players (68y 16d)']</t>
  </si>
  <si>
    <t>['3rd Most player-of-the-series awards (8)', '1st Most runs in a career without a hundred (3154)', '5th Most ducks in career (34)', '1st Most wickets in a calendar year (96)', '2nd Most ten-wickets-in-a-match in a career (10)', '3rd Most balls bowled in career (40705)', '3rd Most runs conceded in career (17995)', '2nd Most wickets taken stumped (36)', '2nd Fastest to 700 wickets (144)', ' 1000 runs and 100 wickets ', ' 1000 runs, 50 wickets and 50 catches ', '3rd Most wickets in a calendar year (62)', '1st Most consecutive four-wickets-in-an-innings (3)', '2nd Most wickets taken stumped (50)', '5th Fastest to 250 wickets (161)', ' 1000 runs and 100 wickets ', ' 1000 runs, 50 wickets and 50 catches ', '1st Most runs in a career without a hundred (4172)', '9th Most ducks in career (44)', '2nd Most wickets in career (1001)', '3rd Most five-wickets-in-an-innings in a career (38)', '3rd Most balls bowled in career (51347)', '3rd Most runs conceded in career (25536)', '2nd Most wickets taken stumped (86)']</t>
  </si>
  <si>
    <t>['1st Most runs in a career without a hundred (3154)', '5th Most ducks in career (34)', '2nd Most wickets in career (708)', '7th Most wickets in a series (40)', '1st Most wickets in a calendar year (96)', '6th Outstanding bowling analyses in an innings (7/23)', '14th Most wickets on a single ground (68)', '24th Best figures in a innings when on the losing side (7)', '5th Best figures in a match when on the losing side (12)', '26th Best economy rate in an innings (0.53)', '2nd Most five-wickets-in-an-innings in a career (37)', '2nd Most ten-wickets-in-a-match in a career (10)', '5th Most consecutive five-wickets-in-an-innings (4)', '4th Most consecutive ten-wickets-in-a-match (2)', '40th Oldest player to take five-wickets-in-an-innings (37y 104d)', '15th Oldest player to take ten-wickets-in-a-match (35y 360d)', '3rd Most balls bowled in career (40705)', '3rd Most runs conceded in career (17995)', '10th Bowler/Batter combinations (14)', '13th Bowler/fielder combinations (59)', '3rd Most wickets taken bowled (116)', '2nd Most wickets taken caught (418)', '3rd Most wickets taken caught and bowled (21)', '2nd Most wickets taken caught by a fielder (345)', '23rd Most wickets taken caught by a wicketkeeper (73)', '3rd Most wickets taken lbw (138)', '2nd Most wickets taken stumped (36)', '37th Fastest to 100 wickets (23)', '10th Fastest to 150 wickets (31)', '9th Fastest to 200 wickets (42)', '9th Fastest to 250 wickets (55)', '7th Fastest to 300 wickets (63)', '12th Fastest to 350 wickets (80)', '8th Fastest to 400 wickets (92)', '4th Fastest to 450 wickets (101)', '3rd Fastest to 500 wickets (108)', '3rd Fastest to 600 wickets (126)', '2nd Fastest to 700 wickets (144)', '18th Most catches in career (125)', '45th Highest partnership for the tenth wicket (86)', '13th Most matches in career (145)', '3rd Most player-of-the-match awards (17)', '3rd Most player-of-the-series awards (8)']</t>
  </si>
  <si>
    <t>['14th Most wickets in career (293)', '10th Most wickets in a series (22)', '3rd Most wickets in a calendar year (62)', '18th Most wickets on a single ground (46)', '10th Most four-wickets-in-an-innings in a career (13)', '1st Most consecutive four-wickets-in-an-innings (3)', '22nd Most balls bowled in career (10642)', '23rd Most runs conceded in career (7541)', '25th Bowler/Batters combinations (8)', '22nd Bowler/fielder combinations (34)', '38th Most wickets taken bowled (49)', '30th Most wickets taken caught (145)', '14th Most wickets taken caught and bowled (13)', '21st Most wickets taken caught by a fielder (124)', '11th Most wickets taken lbw (48)', '2nd Most wickets taken stumped (50)', '7th Fastest to 50 wickets (25)', '15th Fastest to 100 wickets (60)', '12th Fastest to 150 wickets (94)', '5th Fastest to 200 wickets (125)', '5th Fastest to 250 wickets (161)', '24th Most catches in a series (8)']</t>
  </si>
  <si>
    <t>['5th Best figures in a innings when on the losing side (4)']</t>
  </si>
  <si>
    <t>['38th Worst career bowling average (without qualification) (65.00)', '18th Worst strike rate in an innings (216.0)', '26th Most runs conceded in a match (130)']</t>
  </si>
  <si>
    <t>['27th Outstanding bowling analyses in an innings (1/2)', '5th Best figures in a innings when on the losing side (4)', '12th Best figures in a innings on debut (3)']</t>
  </si>
  <si>
    <t>[' Representing two countries ', ' Hundred on debut (162)', ' Representing two countries ', '1st Fewest ducks in career ', '2nd Most catches in an innings (4)', ' Representing two countries ']</t>
  </si>
  <si>
    <t>['8th Most runs in debut match (208)', '41st Fastest to 2000 runs (45)', '33rd Winning all tosses in a series (3)']</t>
  </si>
  <si>
    <t>['37th Most runs in a series (495)', '43rd Most runs in an series by a captain (342)', '35th Most runs in debut match (79)', '11th Fifties in consecutive innings (5)', '1st No ducks in career (105)', '3rd Most consecutive innings without a duck (105*)', '45th Fastest to 1000 runs (29)', '32nd Fastest to 2000 runs (55)', '41st Fastest to 3000 runs (88)', '2nd Most catches in an innings (4)', '24th Most catches in a series (8)', '24th Most player-of-the-series awards (4)', '47th Longest intervals between appearances (6y 162d)', '32nd Most consecutive matches as captain of a team (36)', '39th Oldest captains (37y 44d)', '41st Oldest captains on captaincy debut (34y 165d)']</t>
  </si>
  <si>
    <t>['31st Most consecutive matches as captain of a team (36)']</t>
  </si>
  <si>
    <t>['5th Most runs in an innings (by batting position) (335*)', ' Hundred in each innings of a match ', '7th Fifties in consecutive innings (6)', ' Carrying bat through a completed innings (123*)', '8th Most catches in a match (6)', ' 5000 runs and 50 fielding dismissals ', '8th Highest partnership for the second wicket (361)', '6th Most runs in a match on the losing side (173)', '2nd Most hundreds in a calendar year (7)', '9th Fewest ducks in career (63)', '4th Most fours in an innings (24)', '4th Fastest to 5000 runs (115)', ' 5000 runs and 50 fielding dismissals ', '5th Highest partnership for the second wicket (260)', '6th Most player-of-the-match awards (9)', '8th Most runs in career (2265)', '6th Most runs in debut match (89)', '3rd Fifties in consecutive innings (3)', '8th Most fours in career (218)', '7th Highest percentage of runs in a completed innings (65.69)', '7th Fastest to 2000 runs (73)', '6th Most catches in career (44)', '1st Highest partnership for the fourth wicket (161)', '6th Hundreds in consecutive innings (3)', '10th Most consecutive innings without a duck (98)']</t>
  </si>
  <si>
    <t>['45th Most runs in career (7311)', '10th Most runs in an innings (335*)', '23rd Most runs in a match (335)', '33rd Most runs in a calendar year (1317)', '5th Most runs in an innings (by batting position) (335*)', '7th Most runs in a day (244)', '16th Highest strike rate in an innings (214.28)', '23rd Most hundreds in a career (24)', '5th Most triple hundreds in a career (1)', '6th Most hundreds in a calendar year (6)', '5th Hundreds in consecutive innings (3)', '46th Most fifties in career (54)', '7th Fifties in consecutive innings (6)', '15th Fifties in consecutive matches (8)', '31st Most sixes in career (56)', '41st Most fours in career (859)', '18th Most fours in an innings (39)', '26th Most runs from fours and sixes in an innings (162)', '30th Fastest to 3000 runs (66)', '17th Fastest to 4000 runs (84)', '28th Fastest to 5000 runs (109)', '24th Fastest to 6000 runs (129)', '22nd Fastest to 7000 runs (151)', '8th Most catches in a match (6)', '35th Highest partnerships for any wicket (361)', '8th Highest partnership for the second wicket (361)', '48th Most consecutive matches for a team (55)', '24th Most player-of-the-series awards (4)']</t>
  </si>
  <si>
    <t>['27th Most runs in an innings (179)', '6th Most runs in a series (647)', '16th Most runs in a calendar year (1388)', '6th Most runs in a match on the losing side (173)', '28th Highest career batting average (45.45)', '50th Highest career strike rate (95.53)', '17th Most hundreds in a career (18)', '3rd Most hundreds in a series (3)', '2nd Most hundreds in a calendar year (7)', '39th Most hundreds against one team (4)', '11th Highest maiden hundred (163)', '8th Hundred in hundredth match (124)', '19th Most consecutive innings without a duck (80*)', '9th Fewest ducks in career (63)', '4th Most fours in an innings (24)', '38th Most runs from fours and sixes in an innings (106)', '19th Highest percentage of runs in a completed innings (59.09)', '24th Fastest to 3000 runs (81)', '4th Fastest to 4000 runs (93)', '4th Fastest to 5000 runs (115)', '8th Highest partnerships for any wicket (284)', '5th Highest partnership for the first wicket (284)', '5th Highest partnership for the second wicket (260)', '46th Most player-of-the-match awards (17)']</t>
  </si>
  <si>
    <t>['8th Most runs in career (2265)', '34th Most runs in an innings (by batting position) (77)', '14th Most runs in a match on the losing side (90*)', '34th Highest career batting average (31.45)', '39th Highest career strike rate (139.72)', '6th Most runs in debut match (89)', '3rd Most fifties in career (19)', '3rd Fifties in consecutive innings (3)', '13th Most consecutive innings without a duck (48)', '13th Most ducks in career (6)', '10th Most sixes in career (89)', '8th Most fours in career (218)', '42nd Most sixes in an innings (7)', '36th Longest individual innings (by balls) (62)', '7th Highest percentage of runs in a completed innings (65.69)', '16th Fastest to 1000 runs (37)', '7th Fastest to 2000 runs (73)', '6th Most catches in career (44)', '15th Most catches in an innings (3)', '12th Highest partnerships for any wicket (161)', '4th Highest partnerships by wicket (4th)', '41st Highest partnership for the first wicket (121)', '28th Highest partnership for the second wicket (117*)', '1st Highest partnership for the fourth wicket (161)', '17th Most matches in career (81)', '20th Most consecutive matches for a team (39)', '6th Most player-of-the-match awards (9)', '44th Longest careers (11y 239d)']</t>
  </si>
  <si>
    <t>[' Hundred on debut (103)']</t>
  </si>
  <si>
    <t>['1st Outstanding bowling analyses in an innings (1/0)', '3rd Most runs in an innings (by batting position) (85*)', '1st Highest partnership for the sixth wicket (101*)']</t>
  </si>
  <si>
    <t>['3rd Most runs in an innings (by batting position) (85*)', '24th Highest career batting average (32.80)', '21st Most innings before first duck (23)', '49th Most sixes in career (44)', '49th Most catches in career (23)', '6th Highest partnerships by wicket (6th)', '1st Highest partnership for the sixth wicket (101*)']</t>
  </si>
  <si>
    <t>['8th Most catches in a match (6)']</t>
  </si>
  <si>
    <t>['8th Most catches in a match (6)', '10th Most catches in a series (12)']</t>
  </si>
  <si>
    <t>['15th Outstanding bowling analyses in an innings (5/14)', '33rd Best figures in a match on debut (8)']</t>
  </si>
  <si>
    <t>['1st Most runs in an innings (by batting position) (92*)', '8th Most wickets in a series (19)', '2nd Most wickets taken caught by a wicketkeeper (11)']</t>
  </si>
  <si>
    <t>['1st Most runs in an innings (by batting position) (92*)', '10th Most wickets in career (48)', '11th Best figures in a match (9)', '8th Most wickets in a series (19)', '26th Most wickets in a calendar year (15)', '17th Best career bowling average (18.33)', '15th Best career strike rate (58.5)', '21st Best figures in a match on debut (5)', '11th Most five-wickets-in-an-innings in a career (2)', '12th Most balls bowled in career (2812)', '15th Most runs conceded in career (880)', '12th Bowler/Batters combinations (4)', '3rd Bowler/fielder combinations (11)', '7th Most wickets taken bowled (14)', '4th Most wickets taken caught (28)', '12th Most wickets taken caught by a fielder (17)', '2nd Most wickets taken caught by a wicketkeeper (11)']</t>
  </si>
  <si>
    <t>['31st Best career bowling average (23.25)', '43rd Most five-wickets-in-an-innings in a career (2)']</t>
  </si>
  <si>
    <t>['23rd Best career bowling average (without qualification) (11.00)']</t>
  </si>
  <si>
    <t>['48th Oldest player to take ten-wickets-in-a-match (32y 342d)', '38th Most consecutive matches missed for a team between appearances (58)']</t>
  </si>
  <si>
    <t>['16th Best career economy rate (3.55)']</t>
  </si>
  <si>
    <t>['46th Most matches as an umpire (17)']</t>
  </si>
  <si>
    <t>['22nd Best figures in a innings on debut (6)', '33rd Best figures in a match on debut (8)', '20th Most balls bowled in a match (656)']</t>
  </si>
  <si>
    <t>[' Carrying bat through a completed innings (73*)']</t>
  </si>
  <si>
    <t>['35th Fastest to 1000 runs (21)', '41st Fastest to 2000 runs (45)', '31st Highest partnership for the second wicket (274)', '33rd Most consecutive matches as captain of a team (25)']</t>
  </si>
  <si>
    <t>['45th Highest partnership for the fourth wicket (251)']</t>
  </si>
  <si>
    <t>['9th Most innings before first duck (51)', '6th Most ducks in a series (3)', '18th Longest individual innings (by balls) (165)']</t>
  </si>
  <si>
    <t>['13th Most wickets in a series (37)', '23rd Best career bowling average (21.12)', '50th Best career strike rate (51.6)', '41st Fastest to 50 wickets (11)']</t>
  </si>
  <si>
    <t>[' Hundred and a ninety in a match ', '1st Outstanding bowling analyses in an innings (1/0)', '6th Best strike rate in an innings (6.0)', ' Opening the batting and bowling in the same match ', '6th Most consecutive ducks (3)', '3rd Most runs from fours and sixes in an innings (150)', ' 250 runs and 10 wickets in a series ', ' 1000 runs, 50 wickets and 50 catches ', ' 5000 runs and 50 fielding dismissals ', '7th Highest partnership for the second wicket (252*)', '6th Most player-of-the-match awards (9)', '1st Most runs in a match on the losing side (124*)', '3rd Fifties in consecutive innings (3)', '3rd Longest individual innings (by balls) (71)', '8th Best figures in a innings when on the losing side (4)']</t>
  </si>
  <si>
    <t>['1st Outstanding bowling analyses in an innings (1/0)', '6th Best strike rate in an innings (6.0)']</t>
  </si>
  <si>
    <t>['17th Most runs in an innings (185*)', '15th Most runs in an innings (by batting position) (185*)', '40th Most innings before first duck (30)', '37th Most consecutive innings without a duck (67)', '6th Most consecutive ducks (3)', '21st Most sixes in career (131)', '5th Most sixes in an innings (15)', '3rd Most runs from fours and sixes in an innings (150)', '37th Fastest to 4000 runs (115)', '34th Fastest to 5000 runs (144)', '48th Most wickets taken caught (119)', '46th Most wickets taken caught by a fielder (87)', '23rd Highest partnerships for any wicket (252*)', '7th Highest partnership for the second wicket (252*)', '36th Highest partnership for the third wicket (197*)', '16th Highest partnership for the tenth wicket (63)', '46th Most player-of-the-match awards (17)', '24th Most player-of-the-series awards (4)']</t>
  </si>
  <si>
    <t>['38th Most runs in career (1462)', '9th Most runs in an innings (124*)', '40th Most runs in a calendar year (406)', '8th Most runs in an innings (by batting position) (124*)', '1st Most runs in a match on the losing side (124*)', '3rd Most runs in an innings by a captain (124*)', '21st Highest career strike rate (145.32)', '20th Most fifties in career (11)', '3rd Fifties in consecutive innings (3)', '49th Most consecutive innings without a duck (30*)', '32nd Fewest ducks in career (18.66)', '12th Most sixes in career (83)', '48th Most fours in career (115)', '42nd Most sixes in an innings (7)', '40th Most runs from fours and sixes in an innings (76)', '3rd Longest individual innings (by balls) (71)', '11th Highest percentage of runs in a completed innings (62.94)', '13th Fastest to 1000 runs (36)', '39th Most wickets in career (48)', '43rd Most wickets on a single ground (11)', '8th Best figures in a innings when on the losing side (4)', '46th Worst career economy rate (7.65)', '37th Most balls bowled in career (930)', '34th Most runs conceded in career (1187)', '18th Most wickets taken caught (39)', '24th Most wickets taken caught by a fielder (31)', '13th Most wickets taken caught by a wicketkeeper (8)', '39th Highest partnerships for any wicket (133)', '20th Highest partnership for the first wicket (133)', '42nd Highest partnership for the second wicket (108)', '38th Highest partnership for the third wicket (98)', '34th Highest partnership for the fourth wicket (93)', '6th Most player-of-the-match awards (9)', '50th Oldest captains on captaincy debut (34y 228d)']</t>
  </si>
  <si>
    <t>['9th Most dismissals in a series (19)', ' 200 runs and 10 wicketkeeping dismissals in a series ', '9th Captains who have kept wicket and opened the batting (1)', '10th No ducks in career (29)']</t>
  </si>
  <si>
    <t>['48th Most innings before first duck (30)', '47th Highest partnership for the ninth wicket (102)', '43rd Most stumpings in career (11)', '12th Most stumpings in a match (3)']</t>
  </si>
  <si>
    <t>['17th Most runs in an innings (by batting position) (100*)', '29th Most runs in a series by a wicketkeeper (341)', '19th Highest partnership for the seventh wicket (112*)', '24th Highest partnership for the eighth wicket (84*)', '28th Most dismissals in career (117)', '16th Most dismissals in an innings (5)', '9th Most dismissals in a series (19)', '26th Most catches in career (108)', '11th Most catches in an innings (5)', '11th Most catches in a series (17)']</t>
  </si>
  <si>
    <t>['16th Most runs in an innings by a wicketkeeper (80)', '10th No ducks in career (29)', '33rd Captains who have kept wicket (1)', '9th Captains who have kept wicket and opened the batting (1)', '22nd Most dismissals in career (21)', '18th Most catches in career (19)', '20th Most byes conceded in an innings (6)']</t>
  </si>
  <si>
    <t>['2nd Most runs in an innings (by batting position) (250)', ' Hundred on debut (155)', ' Hundred in each innings of a match ', '7th Fifties in consecutive innings (6)', '5th Fastest to 2000 runs (35)', '1st Hundreds in consecutive matches from debut (2)', '10th Fifties in consecutive innings (6)']</t>
  </si>
  <si>
    <t>['16th Most runs in a match (345)', '34th Most runs in a series (699)', '2nd Most runs in an innings (by batting position) (250)', '46th Most runs in debut match (155)', '2nd Most hundreds in a series (4)', '19th Most hundreds in a calendar year (5)', '21st Hundreds in consecutive matches (3)', '2nd Hundreds in consecutive matches from debut (2)', '20th Youngest player to score a hundred (19y 354d)', '21st Youngest player to score a double hundred (23y 55d)', '7th Fifties in consecutive innings (6)', '15th Most consecutive innings without a duck (68)', '23rd Fewest ducks in career (31.25)', '13th Fastest to 1000 runs (18)', '5th Fastest to 2000 runs (35)', '41st Fastest to 3000 runs (68)', '27th Fastest to 4000 runs (89)', '46th Fastest to 5000 runs (118)', '14th Highest partnership for the seventh wicket (217)']</t>
  </si>
  <si>
    <t>['6th Worst strike rate in an innings (432.0)']</t>
  </si>
  <si>
    <t>['12th Worst career bowling average (without qualification) (190.00)', '6th Worst strike rate in an innings (432.0)', '40th Most balls bowled in an innings (432)']</t>
  </si>
  <si>
    <t>[' Hundred and a duck in a match ', '10th Highest percentage of runs in a completed innings (61.11)']</t>
  </si>
  <si>
    <t>['20th Longest individual innings (by minutes) (716)', '38th Longest individual innings (by balls) (517)', '10th Highest percentage of runs in a completed innings (61.11)', '25th Highest partnership for the seventh wicket (185)']</t>
  </si>
  <si>
    <t>['1st Worst career bowling average (without qualification) (251.00)']</t>
  </si>
  <si>
    <t>['24th Best figures in a innings when on the losing side (7)', '31st Oldest player to take ten-wickets-in-a-match (34y 119d)']</t>
  </si>
  <si>
    <t>['16th Longest lived players (71y 203d)']</t>
  </si>
  <si>
    <t>['4th Most runs in an innings (by batting position) (13*)']</t>
  </si>
  <si>
    <t>['4th Most runs in an innings (by batting position) (13*)', '36th Best career economy rate (6.92)', '46th Most balls bowled in career (845)', '45th Bowler/fielder combinations (6)', '32nd Most wickets taken lbw (5)', '13th Most wickets taken stumped (6)']</t>
  </si>
  <si>
    <t>['36th Longest intervals between appearances (6y 282d)', '50th Most consecutive matches missed for a team between appearances (118)']</t>
  </si>
  <si>
    <t>['2nd Most runs in an innings (by batting position) (143*)', '6th Most consecutive ducks (3)', '9th Best strike rate in an innings (5.2)', '2nd Most catches in an innings (4)', ' 250 runs and 10 wickets in a series ', ' 1000 runs, 50 wickets and 50 catches ', ' 5000 runs and 50 fielding dismissals ', '5th Highest partnership for the fifth wicket (220)']</t>
  </si>
  <si>
    <t>['36th Most sixes in an innings (6)', '34th Highest partnership for the seventh wicket (173)']</t>
  </si>
  <si>
    <t>['2nd Most runs in an innings (by batting position) (143*)', '50th Highest strike rate in an innings (261.53)', '28th Highest maiden hundred (143*)', '44th Fifties in consecutive innings (4)', '45th Most ducks in career (15)', '6th Most consecutive ducks (3)', '38th Most sixes in career (103)', '44th Most sixes in an innings (8)', '46th Fastest to 5000 runs (157)', '9th Best strike rate in an innings (5.2)', '14th Most wickets taken caught and bowled (13)', '49th Most catches in career (82)', '2nd Most catches in an innings (4)', '8th Most catches in a series (10)', '5th Highest partnership for the fifth wicket (220)', '28th Most player-of-the-match awards (21)', '24th Most player-of-the-series awards (4)']</t>
  </si>
  <si>
    <t>['22nd Most runs in an innings (by batting position) (85*)', '35th Highest partnership for the sixth wicket (66*)']</t>
  </si>
  <si>
    <t>['9th Outstanding bowling analyses in an innings (4/8)', '1st Most wickets taken hit wicket (1)']</t>
  </si>
  <si>
    <t>['11th Most wickets in a calendar year (25)', '9th Outstanding bowling analyses in an innings (4/8)', '1st Most wickets taken hit wicket (1)']</t>
  </si>
  <si>
    <t>['10th Most runs in a career without a hundred (1596)', ' 1000 runs and 100 wickets ', '1st Best figures in a innings when on the losing side (6)', '8th Best career strike rate (26.8)', '2nd Most consecutive five-wickets-in-an-innings (2)', '1st Fastest to 150 wickets (77)', '1st Most wickets taken hit wicket (1)']</t>
  </si>
  <si>
    <t>['10th Most runs in a career without a hundred (1596)', '44th Highest strike rate in an innings (175.00)', '45th Most sixes in career (43)', '19th Most sixes in an innings (7)', '44th Most wickets in career (255)', '15th Best figures in a match when on the losing side (11)', '32nd Best career strike rate (49.3)', '46th Most five-wickets-in-an-innings in a career (13)', '18th Most consecutive five-wickets-in-an-innings (3)', '32nd Most wickets taken bowled (64)', '50th Most wickets taken caught (152)', '31st Most wickets taken caught by a wicketkeeper (65)', '39th Fastest to 200 wickets (50)', '21st Fastest to 250 wickets (59)', '42nd Highest partnership for the tenth wicket (87)']</t>
  </si>
  <si>
    <t>['49th Most wickets in career (184)', '46th Best figures in an innings (6/28)', '1st Most wickets in a series (27)', '1st Best figures in a innings when on the losing side (6)', '28th Best career bowling average (23.16)', '8th Best career strike rate (26.8)', '41st Best strike rate in an innings (7.0)', '6th Most five-wickets-in-an-innings in a career (7)', '6th Most four-wickets-in-an-innings in a career (18)', '2nd Most consecutive five-wickets-in-an-innings (2)', '13th Most consecutive four-wickets-in-an-innings (2)', '45th Youngest player to take five-wickets-in-an-innings (22y 211d)', '17th Most wickets taken bowled (72)', '32nd Fastest to 50 wickets (29)', '2nd Fastest to 100 wickets (52)', '1st Fastest to 150 wickets (77)', '24th Most player-of-the-series awards (4)']</t>
  </si>
  <si>
    <t>['41st Most wickets in career (47)', '43rd Most wickets on a single ground (11)', '21st Best career bowling average (19.38)', '40th Best career economy rate (6.95)', '31st Best career strike rate (16.7)', '8th Most wickets taken bowled (18)', '24th Most wickets taken lbw (6)', '1st Most wickets taken hit wicket (1)']</t>
  </si>
  <si>
    <t>['29th Highest partnership for the eighth wicket (25)', '32nd Highest partnership for the ninth wicket (17*)']</t>
  </si>
  <si>
    <t>['36th Most runs in a career without a hundred (1164)', '39th Most ducks in career (17)', '32nd Bowler/Batter combinations (11)', '38th Bowler/fielder combinations (42)', '36th Most wickets taken caught by a wicketkeeper (59)']</t>
  </si>
  <si>
    <t>['17th Longest intervals between appearances (8y 68d)', '15th Most consecutive matches missed for a team between appearances (169)']</t>
  </si>
  <si>
    <t>['8th Oldest captains (42y 89d)', '7th Most runs in an innings by a captain (311)', ' Hundred in each innings of a match ', '3rd Longest individual innings (by balls) (743)', '4th Most catches in a series (13)', ' 1000 runs, 50 wickets and 50 catches ', '5th Oldest living players (85y 118d)', '6th Oldest captains on captaincy debut (42y 19d)']</t>
  </si>
  <si>
    <t>['23rd Most runs in an innings (311)', '35th Most runs in a match (315)', '21st Most runs in a calendar year (1381)', '12th Most runs in an innings (by batting position) (311)', '36th Most runs in an series by a captain (539)', '7th Most runs in an innings by a captain (311)', '27th Most double hundreds in a career (3)', '5th Most triple hundreds in a career (1)', '2nd Highest maiden hundred (311)', '8th Oldest player to score a hundred (41y 359d)', '43rd Most consecutive innings without a duck (54)', '12th Longest individual innings (by minutes) (762)', '3rd Longest individual innings (by balls) (743)', '34th Fastest to 4000 runs (90)', '29th Most catches in career (110)', '4th Most catches in a series (13)', '38th Highest partnership for the first wicket (244)', '48th Highest partnership for the fifth wicket (219)', '42nd Oldest players (42y 89d)', '14th Longest careers (20y 131d)', '32nd Longest intervals between appearances (9y 305d)', '19th Most consecutive matches missed for a team between appearances (71)', '29th Most matches as captain (39)', '8th Oldest captains (42y 89d)']</t>
  </si>
  <si>
    <t>['12th Oldest players on debut (42y 19d)', '19th Oldest players (42y 68d)', '5th Oldest living players (85y 118d)', '7th Oldest captains (42y 68d)', '6th Oldest captains on captaincy debut (42y 19d)']</t>
  </si>
  <si>
    <t>['9th Most runs in an series by a captain (687)', '3rd Highest career batting average (61.80)', ' Hundred in each innings of a match ', ' Two unbeaten fifties in a match ', '1st Fastest to 7000 runs (126)', '1st Most catches in an innings (5)', ' 5000 runs and 50 fielding dismissals ', '8th Most runs in an innings by a captain (164)', '3rd Highest partnership for the third wicket (242)', '4th Hundreds in consecutive matches (4)', '2nd Fifties in consecutive innings (7)']</t>
  </si>
  <si>
    <t>['37th Most runs in career (7540)', '12th Most runs in a series (774)', '13th Most runs in a calendar year (1474)', '9th Most runs in an series by a captain (687)', '27th Most runs in an innings by a captain (239)', '3rd Highest career batting average (61.80)', '36th Highest strike rate in an innings (180.00)', '17th Most hundreds in a career (27)', '27th Most double hundreds in a career (3)', '2nd Most hundreds in a series (4)', '6th Most hundreds in a calendar year (6)', '4th Most hundreds against one team (11)', '5th Hundreds in consecutive matches (4)', '31st Most fifties in career (58)', '7th Fifties in consecutive innings (6)', '26th Fifties in consecutive matches (7)', '31st Fewest ducks in career (27.8)', '45th Most sixes in career (43)', '44th Most fours in career (835)', '17th Fastest to 3000 runs (63)', '12th Fastest to 4000 runs (80)', '7th Fastest to 5000 runs (97)', '2nd Fastest to 6000 runs (111)', '1st Fastest to 7000 runs (126)', '19th Most catches in career (123)', '1st Most catches in an innings (5)', '8th Most catches in a match (6)', '10th Most catches in a series (12)', '12th Highest partnership for the fifth wicket (301)', '39th Most consecutive matches for a team (59)', '11th Most player-of-the-match awards (12)', '24th Most player-of-the-series awards (4)', '36th Most matches as captain (34)', '18th Most consecutive matches as captain of a team (31)', '37th Youngest captains (25y 198d)']</t>
  </si>
  <si>
    <t>['9th Most runs in an innings (by batting position) (164)', '8th Most runs in an innings by a captain (164)', '38th Highest career batting average (43.34)', '41st Most hundreds in a career (11)', '19th Most hundreds against one team (5)', '11th Fifties in consecutive innings (5)', '32nd Fastest to 2000 runs (55)', '16th Fastest to 3000 runs (79)', '16th Fastest to 4000 runs (106)', '34th Highest partnerships for any wicket (242)', '3rd Highest partnership for the third wicket (242)', '43rd Highest partnership for the seventh wicket (102)', '40th Highest partnership for the eighth wicket (77*)', '45th Most player-of-the-series awards (3)']</t>
  </si>
  <si>
    <t>['20th Most runs in an innings (by batting position) (90)', '16th Most runs in a match on the losing side (90)', '19th Most runs in an innings by a captain (90)', '36th Most consecutive innings without a duck (34*)', '31st Most fours in an innings (11)', '32nd Most catches in career (29)', '15th Most catches in an innings (3)', '20th Highest partnership for the third wicket (112)', '32nd Highest partnership for the fifth wicket (74*)']</t>
  </si>
  <si>
    <t>['4th Most nineties in career (9)', '2nd Highest percentage of runs in a completed innings (66.84)']</t>
  </si>
  <si>
    <t>['33rd Most hundreds against one team (7)', '4th Most nineties in career (9)', '46th Dismissed for 99 (and 199, 299 etc) (99)', '13th Most innings before first duck (44)', '2nd Highest percentage of runs in a completed innings (66.84)', '17th Fastest to 2000 runs (40)', '45th Fastest to 3000 runs (69)', '50th Fastest to 5000 runs (120)', '26th Best career bowling average (without qualification) (10.00)', '27th Highest partnership for the first wicket (269)']</t>
  </si>
  <si>
    <t>['45th Most runs in debut match (73)']</t>
  </si>
  <si>
    <t>['3rd Most wickets in a series (30)', '5th Best strike rate in an innings (6.0)', '3rd Most consecutive four-wickets-in-an-innings (2)', '7th Most consecutive matches for a team (59*)', '6th Most wickets in career (96)', '3rd Best career strike rate (15.2)', '1st Most consecutive four-wickets-in-an-innings (2)', '3rd Most wickets taken bowled (30)']</t>
  </si>
  <si>
    <t>['21st Most wickets in career (99)', '3rd Most wickets in a series (30)', '46th Most wickets in a calendar year (21)', '45th Most wickets on a single ground (11)', '11th Best figures in a innings when on the losing side (4)', '11th Best career strike rate (31.0)', '5th Best strike rate in an innings (6.0)', '35th Worst career economy rate (4.22)', '15th Most four-wickets-in-an-innings in a career (5)', '3rd Most consecutive four-wickets-in-an-innings (2)', '38th Most balls bowled in career (3071)', '29th Most runs conceded in career (2163)', '17th Bowler/fielder combinations (15)', '13th Most wickets taken bowled (29)', '22nd Most wickets taken caught (54)', '24th Most wickets taken caught by a fielder (42)', '19th Most wickets taken caught by a wicketkeeper (12)', '43rd Most wickets taken lbw (11)', '47th Most catches in a series (6)']</t>
  </si>
  <si>
    <t>['6th Most wickets in career (96)', '7th Most wickets in a calendar year (28)', '11th Best career bowling average (15.35)', '3rd Best career strike rate (15.2)', '32nd Worst career economy rate (6.05)', '50th Worst economy rate in an innings (13.66)', '4th Most four-wickets-in-an-innings in a career (3)', '1st Most consecutive four-wickets-in-an-innings (2)', '15th Most balls bowled in career (1461)', '14th Most runs conceded in career (1474)', '18th Bowler/Batters combinations (4)', '5th Bowler/fielder combinations (12)', '3rd Most wickets taken bowled (30)', '7th Most wickets taken caught (55)', '8th Most wickets taken caught by a fielder (48)', '12th Most wickets taken caught by a wicketkeeper (7)', '36th Most wickets taken lbw (6)', '43rd Most wickets taken stumped (5)', '48th Most matches in career (73)', '7th Most consecutive matches for a team (59*)', '27th Most maidens in career (6)']</t>
  </si>
  <si>
    <t>['19th Most runs in a match on the losing side (89)', '22nd Most runs in an innings by a captain (89)', '3rd Fifties in consecutive innings (3)', '47th Highest partnerships for any wicket (131)', '14th Highest partnership for the second wicket (131)']</t>
  </si>
  <si>
    <t>['2nd Most runs in an innings (by batting position) (146*)', '4th Worst career economy rate (6.12)', '1st Highest partnership for the seventh wicket (92)']</t>
  </si>
  <si>
    <t>['2nd Most runs in an innings (by batting position) (146*)', '22nd Most runs in a match on the losing side (146*)', '24th Highest maiden hundred (146*)', '13th Most sixes in an innings (11)', '50th Most runs from fours and sixes in an innings (102)', '4th Worst career economy rate (6.12)', '28th Highest partnership for the tenth wicket (54)']</t>
  </si>
  <si>
    <t>['15th Most runs in an innings (by batting position) (78)', '45th Most runs in a match on the losing side (78)', '7th Highest partnerships by wicket (7th)', '1st Highest partnership for the seventh wicket (92)']</t>
  </si>
  <si>
    <t>['11th Most ducks in a series (4)', '47th Best career bowling average (22.73)', '13th Best career strike rate (45.1)', '47th Best strike rate in an innings (9.4)', '17th Best figures in a match on debut (9)', '20th Fastest to 50 wickets (10)']</t>
  </si>
  <si>
    <t>['26th Most innings before first duck (37)']</t>
  </si>
  <si>
    <t>['38th Youngest player to score a hundred (21y 118d)']</t>
  </si>
  <si>
    <t>['17th Most runs in a calendar year (515)', '44th Highest career batting average (30.57)']</t>
  </si>
  <si>
    <t>['44th Best career bowling average (without qualification) (13.62)']</t>
  </si>
  <si>
    <t>['1st Number eleven top scoring in an innings (50)', '10th Best career strike rate (44.5)', '4th Fastest to 50 wickets (8)']</t>
  </si>
  <si>
    <t>['18th Most runs in an innings (by batting position) (50)', '1st Number eleven top scoring in an innings (50)', '13th Best figures in a match (14)', '24th Best figures in a innings when on the losing side (7)', '15th Best figures in a match when on the losing side (11)', '10th Best career bowling average (18.41)', '10th Best career strike rate (44.5)', '19th Most ten-wickets-in-a-match in a career (4)', '4th Fastest to 50 wickets (8)']</t>
  </si>
  <si>
    <t>['1st Most runs in an innings (by batting position) (42)']</t>
  </si>
  <si>
    <t>['9th Most runs in an innings (by batting position) (27*)', '18th Most consecutive matches missed for a team between appearances (43)']</t>
  </si>
  <si>
    <t>['10th Most runs in an innings (by batting position) (41)']</t>
  </si>
  <si>
    <t>['5th Most runs in an innings by a wicketkeeper (117)', ' Hundred on debut (117)', '4th Youngest player to score a hundred (19y 268d)']</t>
  </si>
  <si>
    <t>['12th Most runs in a series by a wicketkeeper (162)', '5th Most runs in an innings by a wicketkeeper (117)', '14th Most runs in debut match (117)', '34th Highest maiden hundred (117)', '4th Youngest player to score a hundred (19y 268d)', '17th Highest partnership for the sixth wicket (81)']</t>
  </si>
  <si>
    <t>['1st Outstanding bowling analyses in an innings (1/0)', '7th Worst career strike rate (154.7)']</t>
  </si>
  <si>
    <t>['26th Fifties in consecutive matches (7)', '1st Outstanding bowling analyses in an innings (1/0)', '7th Worst career bowling average (66.73)', '7th Worst career strike rate (154.7)']</t>
  </si>
  <si>
    <t>['17th Oldest living players (80y 326d)']</t>
  </si>
  <si>
    <t>['6th Most runs in an innings (by batting position) (120*)', '2nd Highest partnership for the fifth wicket (136)', '8th Most wickets in career (146)', '5th Oldest player to take a maiden five-wickets-in-an-innings (30y 206d)', '4th Most balls bowled in career (5964)', '5th Most runs conceded in career (3646)', '2nd Most wickets taken caught by a fielder (80)', '10th Most catches in career (49)', ' 1000 runs and 100 wickets ', '8th Most runs in an innings (by batting position) (46)', '2nd Bowler/Batters combinations (8)']</t>
  </si>
  <si>
    <t>['46th Most runs in an innings (120*)', '6th Most runs in an innings (by batting position) (120*)', '13th Most runs in a match on the losing side (100)', '40th Highest career batting average (32.00)', '29th Highest maiden hundred (120*)', '14th Youngest player to score a hundred (23y 193d)', '39th Most wickets in career (23)', '31st Best career bowling average (20.95)', '28th Best career economy rate (1.65)', '12th Bowler/Batters combinations (4)', '10th Highest partnership for the fourth wicket (107)', '2nd Highest partnership for the fifth wicket (136)']</t>
  </si>
  <si>
    <t>['22nd Most runs in career (2728)', '17th Most runs in an innings (by batting position) (100*)', '28th Most runs on a single ground (376)', '25th Most hundreds in a career (2)', '25th Most fifties in career (18)', '12th Fifties in consecutive innings (4)', '30th Most consecutive innings without a duck (35)', '21st Most ducks in career (9)', '8th Most wickets in career (146)', '21st Most wickets in a calendar year (24)', '24th Most wickets on a single ground (13)', '9th Oldest player to take five-wickets-in-an-innings (30y 206d)', '5th Oldest player to take a maiden five-wickets-in-an-innings (30y 206d)', '4th Most balls bowled in career (5964)', '5th Most runs conceded in career (3646)', '5th Bowler/Batters combinations (7)', '13th Bowler/fielder combinations (16)', '34th Most wickets taken bowled (19)', '2nd Most wickets taken caught (94)', '31st Most wickets taken caught and bowled (5)', '2nd Most wickets taken caught by a fielder (80)', '13th Most wickets taken caught by a wicketkeeper (14)', '17th Most wickets taken lbw (18)', '8th Most wickets taken stumped (15)', '10th Most catches in career (49)', '47th Most catches in a series (6)', '33rd Highest partnership for the fifth wicket (93)', '18th Highest partnership for the sixth wicket (82)', '37th Highest partnership for the eighth wicket (45)', '15th Most matches in career (125)']</t>
  </si>
  <si>
    <t>['8th Most runs in an innings (by batting position) (46)', '49th Most consecutive innings without a duck (26*)', '26th Most wickets in career (60)', '46th Most wickets in a calendar year (18)', '38th Best career bowling average (19.35)', '35th Best career strike rate (19.9)', '27th Most balls bowled in career (1196)', '24th Most runs conceded in career (1161)', '2nd Bowler/Batters combinations (8)', '21st Bowler/fielder combinations (9)', '21st Most wickets taken caught (38)', '20th Most wickets taken caught and bowled (3)', '20th Most wickets taken caught by a fielder (33)', '23rd Most wickets taken caught by a wicketkeeper (5)', '24th Most wickets taken lbw (7)', '25th Most wickets taken stumped (7)', '11th Highest partnership for the seventh wicket (48)', '36th Highest partnership for the eighth wicket (23)']</t>
  </si>
  <si>
    <t>['23rd Youngest player to take five-wickets-in-an-innings (22y 230d)', '12th Bowler/Batters combinations (6)']</t>
  </si>
  <si>
    <t>['1st Most wickets in a calendar year (31)', '5th Worst career economy rate (8.94)', '5th Most runs conceded in an innings (64)']</t>
  </si>
  <si>
    <t>['14th Best figures in a innings when on the losing side (5)', '37th Worst economy rate in an innings (11.11)', '33rd Oldest player to take a maiden five-wickets-in-an-innings (31y 47d)', '12th Most runs conceded in an innings (100)']</t>
  </si>
  <si>
    <t>['1st Most wickets in a calendar year (31)', '30th Most wickets on a single ground (12)', '13th Best career strike rate (15.3)', '5th Worst career economy rate (8.94)', '5th Most runs conceded in an innings (64)', '37th Most wickets taken caught (33)', '39th Most wickets taken caught by a fielder (27)', '33rd Most wickets taken caught by a wicketkeeper (6)']</t>
  </si>
  <si>
    <t>['5th Best figures in a match when on the losing side (12)', '5th Best strike rate in an innings (5.8)', '4th Most consecutive ten-wickets-in-a-match (2)', '6th Bowler/Batter combinations (15)', ' Opening the batting and bowling in the same match ', '6th Most consecutive four-wickets-in-an-innings (5)']</t>
  </si>
  <si>
    <t>['11th Most ducks in a series (4)', '35th Best figures in a match by a captain (8)', '5th Best figures in a innings when on the losing side (8)', '5th Best figures in a match when on the losing side (12)', '30th Best career bowling average (21.78)', '5th Best strike rate in an innings (5.8)', '29th Most ten-wickets-in-a-match in a career (3)', '4th Most consecutive ten-wickets-in-a-match (2)', '21st Oldest player to take ten-wickets-in-a-match (35y 91d)', '22nd Most balls bowled in a match (654)', '6th Bowler/Batter combinations (15)', '7th Most wickets taken caught and bowled (15)', '42nd Most catches in a series (10)']</t>
  </si>
  <si>
    <t>['1st Outstanding bowling analyses in an innings (5/2)', '1st Best strike rate in an innings (3.8)']</t>
  </si>
  <si>
    <t>['1st Outstanding bowling analyses in an innings (5/2)', '21st Best career bowling average (21.04)', '13th Best career economy rate (1.88)', '37th Best economy rate in an innings (0.60)', '1st Best strike rate in an innings (3.8)', '46th Oldest player to take ten-wickets-in-a-match (32y 355d)']</t>
  </si>
  <si>
    <t>['5th Best figures in a match by a captain (7)', '10th Worst strike rate in an innings (252.0)', '6th Best figures in a match on debut (7)', '3rd Most runs conceded in a match (171)', '2nd Bowler/Batters combinations (5)', '2nd Best career economy rate (1.86)']</t>
  </si>
  <si>
    <t>['12th Most runs in an innings (by batting position) (63)', '47th Highest career batting average (31.45)', '23rd Most wickets in career (30)', '18th Most wickets in a series (16)', '19th Most wickets in a calendar year (16)', '10th Best figures in a innings by a captain (4)', '5th Best figures in a match by a captain (7)', '30th Best strike rate in an innings (19.2)', '20th Worst economy rate in an innings (4.33)', '10th Worst strike rate in an innings (252.0)', '14th Best figures in a innings on debut (4)', '6th Best figures in a match on debut (7)', '17th Most balls bowled in career (2455)', '15th Most balls bowled in a match (426)', '19th Most runs conceded in career (784)', '19th Most runs conceded in an innings (100)', '3rd Most runs conceded in a match (171)', '2nd Bowler/Batters combinations (5)', '12th Most wickets taken bowled (13)', '14th Most wickets taken caught by a wicketkeeper (5)', '13th Youngest captains (24y 196d)']</t>
  </si>
  <si>
    <t>['41st Most runs in an series by a captain (239)', '9th Best career bowling average (16.28)', '2nd Best career economy rate (1.86)', '19th Best economy rate in an innings (0.33)', '43rd Worst career strike rate (52.5)', '34th Most wickets taken bowled (19)', '23rd Longest careers (15y 178d)', '21st Longest intervals between appearances (6y 296d)']</t>
  </si>
  <si>
    <t>['6th Most wickets in a series (23)', '9th Best career strike rate (27.2)', '1st Most maidens in an innings (2)', '1st Most wickets taken hit wicket (1)']</t>
  </si>
  <si>
    <t>['6th Most wickets in a series (23)', '37th Best career bowling average (23.56)', '9th Best career strike rate (27.2)', '24th Fastest to 50 wickets (28)']</t>
  </si>
  <si>
    <t>['23rd Most wickets in a calendar year (22)', '48th Most wickets taken bowled (10)', '1st Most wickets taken hit wicket (1)', '47th Most consecutive matches missed for a team between appearances (37)', '50th Longest intervals between appearances (5y 12d)', '1st Most maidens in an innings (2)']</t>
  </si>
  <si>
    <t>['33rd Most wickets in a series (33)', '41st Fastest to 50 wickets (11)', '27th Fastest to 100 wickets (22)', '18th Fastest to 150 wickets (34)', '43rd Fastest to 200 wickets (51)']</t>
  </si>
  <si>
    <t>['33rd Most wickets in a series (19)']</t>
  </si>
  <si>
    <t>[' Hundred and a ninety in a match ']</t>
  </si>
  <si>
    <t>['4th Oldest captains on captaincy debut (39y 140d)', '4th Most innings before first duck (16)', '4th Outstanding bowling analyses in an innings (4/14)', '10th Best economy rate in an innings (0.43)', '1st Oldest player to take a maiden five-wickets-in-an-innings (39y 175d)', '2nd Most balls bowled in career (4304)', '6th Most runs conceded in career (1040)', '2nd Most wickets taken bowled (22)', '1st Most catches in an innings (3)', '6th Oldest captains on captaincy debut (39y 181d)', '3rd Best career economy rate (1.96)']</t>
  </si>
  <si>
    <t>['4th Most innings before first duck (16)', '24th Fewest ducks in career (11)', '7th Most wickets in career (57)', '26th Best figures in a match (8)', '12th Most wickets in a series (18)', '4th Outstanding bowling analyses in an innings (4/14)', '5th Best figures in a innings by a captain (5)', '11th Best figures in a match by a captain (5)', '16th Best career bowling average (18.24)', '10th Best career economy rate (1.44)', '10th Best economy rate in an innings (0.43)', '27th Worst strike rate in an innings (210.0)', '2nd Oldest player to take five-wickets-in-an-innings (39y 175d)', '1st Oldest player to take a maiden five-wickets-in-an-innings (39y 175d)', '2nd Most balls bowled in career (4304)', '7th Most balls bowled in a match (466)', '6th Most runs conceded in career (1040)', '2nd Bowler/Batters combinations (5)', '2nd Most wickets taken bowled (22)', '4th Most wickets taken caught (28)', '10th Most wickets taken caught by a fielder (20)', '6th Most wickets taken caught by a wicketkeeper (8)', '10th Most catches in career (12)', '1st Most catches in an innings (3)', '2nd Most catches in a match (4)', '13th Most matches in career (16)', '22nd Oldest players (39y 178d)', '30th Longest careers (12y 358d)', '5th Oldest captains (39y 178d)', '4th Oldest captains on captaincy debut (39y 140d)']</t>
  </si>
  <si>
    <t>['30th Best career bowling average (18.66)', '3rd Best career economy rate (1.96)', '24th Best economy rate in an innings (0.36)', '28th Worst career strike rate (57.0)', '23rd Oldest players (39y 184d)', '7th Oldest captains (39y 184d)', '6th Oldest captains on captaincy debut (39y 181d)']</t>
  </si>
  <si>
    <t>['34th Oldest players on debut (37y 290d)']</t>
  </si>
  <si>
    <t>['25th Worst career bowling average (without qualification) (165.00)']</t>
  </si>
  <si>
    <t>['10th Highest partnership for the tenth wicket (127)']</t>
  </si>
  <si>
    <t>['6th Most consecutive matches as captain of a team (50)', '2nd Most runs in a match (426)', '5th Most triple hundreds in a career (1)', ' Hundred and a ninety in a match ', '7th Fifties in consecutive innings (6)', ' Pair by a captain ', ' Carrying bat through a completed innings (169*)', '10th Most catches in career (157)', ' 5000 runs and 50 fielding dismissals ', '2nd Most catches in an innings (4)', '10th Fifties in consecutive innings (6)']</t>
  </si>
  <si>
    <t>['39th Most runs in career (7525)', '11th Most runs in an innings (334*)', '2nd Most runs in a match (426)', '3rd Most runs in a series (839)', '6th Most runs in an innings (by batting position) (334*)', '18th Most runs in a day (222)', '44th Most runs in an series by a captain (513)', '3rd Most runs in an innings by a captain (334*)', '47th Most hundreds in a career (19)', '5th Most triple hundreds in a career (1)', '21st Hundreds in consecutive matches (3)', '29th Most fifties in career (59)', '7th Fifties in consecutive innings (6)', '26th Fifties in consecutive matches (7)', '24th Most innings before first duck (38)', '34th Most consecutive innings without a duck (58)', '15th Fewest ducks in career (37.2)', '18th Longest individual innings (by minutes) (720)', '16th Longest individual innings (by balls) (564)', '13th Fastest to 1000 runs (18)', '35th Fastest to 2000 runs (44)', '41st Fastest to 3000 runs (68)', '27th Fastest to 4000 runs (89)', '49th Fastest to 5000 runs (119)', '40th Fastest to 7000 runs (173)', '10th Most catches in career (157)', '24th Most catches in a series (11)', '29th Highest partnership for the first wicket (260)', '28th Highest partnership for the second wicket (279)', '15th Most matches as captain (50)', '6th Most consecutive matches as captain of a team (50)', '44th Winning all tosses in a series (5)']</t>
  </si>
  <si>
    <t>['20th Most runs in an series by a captain (423)', '49th Fewest ducks in career (27.5)', '2nd Most catches in an innings (4)', '24th Most catches in a series (8)', '41st Most matches as captain (67)', '22nd Most consecutive matches as captain of a team (42)', '27th Winning all tosses in a series (5)']</t>
  </si>
  <si>
    <t>['22nd Most consecutive matches as captain of a team (42)']</t>
  </si>
  <si>
    <t>['49th Most runs in a series (661)', '14th Most runs in a match on the losing side (242)', '30th Most runs in a day (208)', '14th Highest percentage of runs in a completed innings (60.65)']</t>
  </si>
  <si>
    <t>['5th Best figures in a match when on the losing side (12)', '6th Best career bowling average (16.53)', '1st Most consecutive five-wickets-in-an-innings (6)', '1st Fastest to 50 wickets (6)', ' Opening the batting and bowling in the same match ', '1st Most consecutive four-wickets-in-an-innings (8)']</t>
  </si>
  <si>
    <t>['10th Outstanding bowling analyses in an innings (6/15)', '24th Best figures in a innings when on the losing side (7)', '5th Best figures in a match when on the losing side (12)', '6th Best career bowling average (16.53)', '20th Best career economy rate (1.93)', '45th Best career strike rate (51.2)', '22nd Best figures in a innings on debut (6)', '33rd Best figures in a match on debut (8)', '1st Most consecutive five-wickets-in-an-innings (6)', '4th Most consecutive ten-wickets-in-a-match (2)', '1st Fastest to 50 wickets (6)', '2nd Fastest to 100 wickets (17)']</t>
  </si>
  <si>
    <t>['22nd Best figures in a innings on debut (6)', '33rd Best figures in a match on debut (8)']</t>
  </si>
  <si>
    <t>['35th Most wickets taken caught and bowled (10)']</t>
  </si>
  <si>
    <t>['35th Most dismissals in a match (8)', '47th Most dismissals in a series (20)']</t>
  </si>
  <si>
    <t>['4th Most stumpings in an innings (3)']</t>
  </si>
  <si>
    <t>['17th Highest partnership for the eighth wicket (154)', '47th Most dismissals in a series (20)', '4th Most stumpings in an innings (3)', '12th Most stumpings in a match (3)']</t>
  </si>
  <si>
    <t>['27th Worst economy rate in an innings (6.66)']</t>
  </si>
  <si>
    <t>['40th Worst strike rate in an innings (344.0)']</t>
  </si>
  <si>
    <t>['9th Most runs in an innings (by batting position) (239)', '2nd Highest career batting average (61.87)', ' Hundred on debut (130*)', '5th Hundreds in consecutive innings (3)', '1st Highest partnership for the fourth wicket (449)', '10th No ducks in career (28)', '4th Best career bowling average (without qualification) (2.50)', '6th Hundreds in consecutive innings (3)']</t>
  </si>
  <si>
    <t>['9th Most runs in an innings (by batting position) (239)', '2nd Highest career batting average (61.87)', '5th Hundreds in consecutive innings (3)', '20th Oldest player to score a maiden hundred (35y 242d)', '13th Fastest to 1000 runs (18)', '6th Highest partnerships for any wicket (449)', '4th Highest partnerships by wicket (4th)', '1st Highest partnership for the fourth wicket (449)', '32nd Highest partnership for the tenth wicket (97)']</t>
  </si>
  <si>
    <t>['27th Highest career batting average (45.78)', '27th Oldest player to score a maiden hundred (33y 129d)', '10th No ducks in career (28)']</t>
  </si>
  <si>
    <t>['4th Best career bowling average (without qualification) (2.50)']</t>
  </si>
  <si>
    <t>['2nd Most balls bowled in an innings (571)']</t>
  </si>
  <si>
    <t>['28th Best career economy rate (1.96)', '20th Worst career strike rate (127.0)', '2nd Most balls bowled in an innings (571)']</t>
  </si>
  <si>
    <t>['7th Most runs in an innings (by batting position) (73*)', '10th Most fifties in career (12)', '6th Fastest to 1000 runs (40)']</t>
  </si>
  <si>
    <t>['23rd Most runs in career (1369)', '34th Most runs in an innings (90*)', '8th Most runs in a calendar year (531)', '7th Most runs in an innings (by batting position) (73*)', '42nd Most runs on a single ground (181)', '13th Highest career batting average (28.52)', '10th Most fifties in career (12)', '6th Fastest to 1000 runs (40)', '38th Highest partnerships for any wicket (121)', '20th Highest partnership for the first wicket (121)', '20th Highest partnership for the second wicket (104)']</t>
  </si>
  <si>
    <t>['3rd Most runs in an innings (by batting position) (40*)']</t>
  </si>
  <si>
    <t>['24th Best career bowling average (without qualification) (10.62)', '42nd Youngest player to take five-wickets-in-an-innings (22y 185d)']</t>
  </si>
  <si>
    <t>['3rd Most runs in an innings (by batting position) (40*)', '38th Best career bowling average (21.17)', '50th Best career economy rate (7.12)', '42nd Best career strike rate (17.8)', '17th Bowler/batters combinations (3)', '12th Bowler/fielder combinations (8)', '46th Most wickets taken caught (31)', '22nd Most wickets taken caught by a wicketkeeper (7)']</t>
  </si>
  <si>
    <t>['4th Most runs in a calendar year (443)', '1st Fifties in consecutive matches (5)', '6th No ducks in career (20)', '9th Best career economy rate (1.43)', '1st Most catches in an innings (3)']</t>
  </si>
  <si>
    <t>['17th Most runs in career (765)', '6th Most runs in a series (367)', '4th Most runs in a calendar year (443)', '24th Highest career batting average (40.26)', '19th Most fifties in career (5)', '5th Fifties in consecutive innings (3)', '1st Fifties in consecutive matches (5)', '6th No ducks in career (20)', '10th Most consecutive innings without a duck (20*)', '44th Most wickets in career (21)', '42nd Best career bowling average (23.42)', '9th Best career economy rate (1.43)', '24th Worst career strike rate (98.0)', '28th Most balls bowled in career (2058)', '10th Most catches in career (12)', '1st Most catches in an innings (3)', '2nd Most catches in a match (4)', '12th Most catches in a series (6)', '18th Most consecutive matches for a team (13)']</t>
  </si>
  <si>
    <t>['8th Outstanding bowling analyses in an innings (5/9)']</t>
  </si>
  <si>
    <t>['8th Outstanding bowling analyses in an innings (5/9)', '32nd Best strike rate in an innings (8.2)']</t>
  </si>
  <si>
    <t>['26th Worst career strike rate (64.2)']</t>
  </si>
  <si>
    <t>['12th Oldest player to take ten-wickets-in-a-match (36y 313d)', '23rd Oldest player to take a maiden five-wickets-in-an-innings (36y 34d)']</t>
  </si>
  <si>
    <t>['2nd Most dismissals in a series (28)', '4th Most catches in career (343)', ' 300 runs and 15 wicketkeeping dismissals in a series ', '3rd Most dismissals in a series (22)', '2nd Most catches in a series (22)', '2nd Most byes conceded in an innings (18)', ' 200 runs and 10 wicketkeeping dismissals in a series ', '6th Most dismissals in career (479)', '6th Most catches in career (463)']</t>
  </si>
  <si>
    <t>['50th Most runs in a series by a wicketkeeper (313)', '43rd Most consecutive innings without a duck (54)', '39th Highest partnership for the seventh wicket (168)', '44th Highest partnership for the ninth wicket (104)', '4th Most dismissals in career (355)', '5th Most dismissals in an innings (6)', '8th Most dismissals in a match (9)', '2nd Most dismissals in a series (28)', '4th Most catches in career (343)', '5th Most catches in an innings (6)', '8th Most catches in a match (9)', '8th Most catches in a series (28)', '37th Most stumpings in career (12)']</t>
  </si>
  <si>
    <t>['27th Most dismissals in career (124)', '16th Most dismissals in an innings (5)', '3rd Most dismissals in a series (22)', '21st Most catches in career (120)', '11th Most catches in an innings (5)', '2nd Most catches in a series (22)', '2nd Most byes conceded in an innings (18)']</t>
  </si>
  <si>
    <t>['6th Most consecutive ducks (3)', '6th Bowler/Batters combinations (10)']</t>
  </si>
  <si>
    <t>['38th Most wickets in career (291)', '44th Most wickets in a series (32)', '41st Most five-wickets-in-an-innings in a career (14)', '39th Youngest player to take five-wickets-in-an-innings (20y 74d)', '38th Most balls bowled in career (16586)', '33rd Most runs conceded in career (8332)', '17th Bowler/fielder combinations (55)', '29th Most wickets taken caught (201)', '31st Most wickets taken caught by a fielder (130)', '24th Most wickets taken caught by a wicketkeeper (71)', '27th Fastest to 150 wickets (35)', '39th Fastest to 200 wickets (50)', '26th Fastest to 250 wickets (62)']</t>
  </si>
  <si>
    <t>['45th Most ducks in career (15)', '6th Most consecutive ducks (3)', '35th Most wickets in career (203)', '16th Most wickets in a series (21)', '21st Most wickets on a single ground (43)', '43rd Youngest player to take five-wickets-in-an-innings (22y 204d)', '48th Most balls bowled in career (7461)', '6th Bowler/Batters combinations (10)', '28th Most wickets taken bowled (55)', '43rd Most wickets taken caught (130)', '39th Most wickets taken caught by a fielder (95)', '45th Fastest to 100 wickets (69)', '21st Fastest to 150 wickets (102)', '14th Fastest to 200 wickets (136)']</t>
  </si>
  <si>
    <t>[' Representing two countries ', '2nd Most runs in an innings (progressive record holder) (211)', ' Hundred and a duck in a match ', ' Representing two countries ']</t>
  </si>
  <si>
    <t>['2nd Most runs in an innings (progressive record holder) (211)', '30th Longest individual innings (by balls) (525)', '41st Highest partnership for the tenth wicket (88)', '49th Youngest captains (25y 324d)', '27th Captains who have kept wicket (1)']</t>
  </si>
  <si>
    <t>['1st Best career economy rate (1.11)']</t>
  </si>
  <si>
    <t>['2nd Best career bowling average (12.73)', '1st Best career economy rate (1.11)', '26th Best career strike rate (68.3)', '33rd Best career bowling average (without qualification) (12.73)']</t>
  </si>
  <si>
    <t>['6th Most hundreds in a calendar year (6)', ' Hundred and a ninety in a match ', '1st Outstanding bowling analyses in an innings (1/0)', '7th Highest partnership for the sixth wicket (317)', ' Carrying bat through a completed innings (116*)', ' 5000 runs and 50 fielding dismissals ']</t>
  </si>
  <si>
    <t>['26th Most runs in a calendar year (1353)', '6th Most hundreds in a calendar year (6)', '36th Fastest to 4000 runs (91)', '1st Outstanding bowling analyses in an innings (1/0)', '7th Highest partnership for the sixth wicket (317)', '23rd Most consecutive matches missed for a team between appearances (68)']</t>
  </si>
  <si>
    <t>['22nd Most consecutive innings without a duck (75)', '9th Highest percentage of runs in a completed innings (60.73)']</t>
  </si>
  <si>
    <t>['50th Most runs in an innings (by batting position) (96)', '28th Oldest living players (49y 145d)']</t>
  </si>
  <si>
    <t>['2nd Number eleven top scoring in an innings (16)']</t>
  </si>
  <si>
    <t>['17th Best career bowling average (without qualification) (7.66)']</t>
  </si>
  <si>
    <t>['45th Best career bowling average (without qualification) (12.83)']</t>
  </si>
  <si>
    <t>['36th Best economy rate in an innings (0.90)']</t>
  </si>
  <si>
    <t>['7th Worst strike rate in an innings (264.0)']</t>
  </si>
  <si>
    <t>['1st Dismissed for 99 (and 199, 299 etc) (99)', '42nd Most innings before first duck (32)', '12th Fewest ducks in career (41.5)', '35th Fastest to 1000 runs (21)', '30th Highest partnership for the second wicket (275)', '29th Highest partnership for the third wicket (295)', '38th Longest lived players (92y 55d)']</t>
  </si>
  <si>
    <t>['3rd Ninety on debut (90)']</t>
  </si>
  <si>
    <t>['1st Most dismissals in a series (19)', '3rd Most consecutive matches for a team (20)', '8th Most dismissals in a match (6)', '1st Most catches in a series (17)', '2nd Most stumpings in career (12)', '3rd Most catches in an innings (4)']</t>
  </si>
  <si>
    <t>['13th Most runs in an innings (by batting position) (34*)', '24th Fewest ducks in career (11)', '6th Most matches in career (20)', '3rd Most consecutive matches for a team (20)', '1st Most dismissals in career (58)', '3rd Most dismissals in an innings (5)', '1st Most dismissals in a match (9)', '1st Most dismissals in a series (19)', '1st Most catches in career (46)', '2nd Most catches in an innings (5)', '1st Most catches in a match (8)', '1st Most catches in a series (17)', '2nd Most stumpings in career (12)', '12th Most stumpings in a series (4)']</t>
  </si>
  <si>
    <t>['17th Captains who have kept wicket (1)', '19th Oldest captains on captaincy debut (33y 214d)', '16th Most dismissals in career (49)', '17th Most dismissals in an innings (4)', '13th Most catches in career (35)', '3rd Most catches in an innings (4)', '22nd Most stumpings in career (14)']</t>
  </si>
  <si>
    <t>['5th Hundreds in consecutive innings (3)', '1st Dismissed for 99 (and 199, 299 etc) (99)', '8th Fewest ducks in career (55)', ' Opening the batting and bowling in the same match ', '6th Hundreds in consecutive innings (3)', '9th Fewest ducks in career (55)']</t>
  </si>
  <si>
    <t>['5th Hundreds in consecutive innings (3)', '21st Hundreds in consecutive matches (3)', '18th Oldest player to score a hundred (40y 27d)', '1st Dismissed for 99 (and 199, 299 etc) (99)', '8th Fewest ducks in career (55)', '36th Youngest player to take ten-wickets-in-a-match (23y 4d)', '30th Longest careers (18y 248d)']</t>
  </si>
  <si>
    <t>['7th Fastest to 200 wickets (41)']</t>
  </si>
  <si>
    <t>['35th Most wickets on a single ground (53)', '18th Most consecutive five-wickets-in-an-innings (3)', '40th Most runs conceded in a match (260)', '46th Most wickets taken caught by a fielder (107)', '13th Most wickets taken stumped (15)', '8th Fastest to 50 wickets (9)', '21st Fastest to 100 wickets (21)', '10th Fastest to 150 wickets (31)', '7th Fastest to 200 wickets (41)']</t>
  </si>
  <si>
    <t>['29th Highest partnership for the second wicket (277)']</t>
  </si>
  <si>
    <t>['7th Most runs in an innings (by batting position) (61)', '2nd Most ducks in a series (5)', '4th Outstanding bowling analyses in an innings (8/24)', '8th Most five-wickets-in-an-innings in a career (29)', '7th Most balls bowled in career (29248)', '1st Bowler/Batter combinations (19)', '3rd Fastest to 450 wickets (100)', '1st Most wickets in a series (27)', '6th Most five-wickets-in-an-innings in a career (7)', '9th Most balls bowled in career (12970)', '2nd Bowler/fielder combinations (73)', '3rd Fastest to 300 wickets (200)', '4th Most consecutive ducks (4)', '4th Most wickets in a calendar year (119)', '5th Most five-wickets-in-an-innings in a career (36)', '6th Most balls bowled in career (42266)', '10th Most runs conceded in career (20656)', '1st Most wickets taken caught by a wicketkeeper (241)']</t>
  </si>
  <si>
    <t>['7th Most runs in an innings (by batting position) (61)', '4th Most ducks in career (35)', '2nd Most ducks in a series (5)', '4th Most consecutive ducks (4)', '7th Most pairs in career (3)', '5th Most wickets in career (563)', '23rd Best figures in an innings (8/24)', '16th Most wickets in a series (36)', '19th Most wickets in a calendar year (68)', '4th Outstanding bowling analyses in an innings (8/24)', '16th Most wickets on a single ground (65)', '24th Best figures in a innings when on the losing side (7)', '29th Best career bowling average (21.64)', '8th Most five-wickets-in-an-innings in a career (29)', '29th Most ten-wickets-in-a-match in a career (3)', '18th Most consecutive five-wickets-in-an-innings (3)', '7th Most balls bowled in career (29248)', '11th Most runs conceded in career (12186)', '1st Bowler/Batter combinations (19)', '2nd Bowler/fielder combinations (90)', '22nd Most wickets taken bowled (76)', '4th Most wickets taken caught (373)', '8th Most wickets taken caught by a fielder (221)', '2nd Most wickets taken caught by a wicketkeeper (152)', '5th Most wickets taken lbw (113)', '37th Fastest to 100 wickets (23)', '18th Fastest to 150 wickets (34)', '18th Fastest to 200 wickets (45)', '9th Fastest to 250 wickets (55)', '9th Fastest to 300 wickets (64)', '6th Fastest to 350 wickets (74)', '7th Fastest to 400 wickets (87)', '3rd Fastest to 450 wickets (100)', '4th Fastest to 500 wickets (110)', '24th Most matches in career (124)', '50th Most consecutive matches for a team (54)', '15th Most player-of-the-match awards (11)', '12th Most player-of-the-series awards (5)']</t>
  </si>
  <si>
    <t>['7th Most wickets in career (381)', '3rd Best figures in an innings (7/15)', '1st Most wickets in a series (27)', '12th Most wickets in a calendar year (52)', '2nd Outstanding bowling analyses in an innings (7/15)', '16th Most wickets on a single ground (50)', '17th Best career bowling average (22.02)', '37th Best career economy rate (3.88)', '16th Best economy rate in an innings (0.80)', '12th Best strike rate in an innings (6.0)', '6th Most five-wickets-in-an-innings in a career (7)', '9th Most four-wickets-in-an-innings in a career (16)', '13th Most consecutive four-wickets-in-an-innings (2)', '16th Oldest player to take five-wickets-in-an-innings (34y 363d)', '9th Most balls bowled in career (12970)', '17th Most runs conceded in career (8391)', '2nd Bowler/fielder combinations (73)', '10th Most wickets taken bowled (87)', '4th Most wickets taken caught (245)', '5th Most wickets taken caught by a fielder (156)', '3rd Most wickets taken caught by a wicketkeeper (89)', '11th Most wickets taken lbw (48)', '26th Fastest to 150 wickets (104)', '10th Fastest to 200 wickets (133)', '5th Fastest to 250 wickets (161)', '3rd Fastest to 300 wickets (200)', '4th Fastest to 350 wickets (233)', '41st Most matches in career (250)']</t>
  </si>
  <si>
    <t>['12th Oldest living players (51y 34d)']</t>
  </si>
  <si>
    <t>['4th Most consecutive ten-wickets-in-a-match (2)', '4th Most runs conceded in a match (308)', '8th Most wickets taken stumped (18)', '8th Fastest to 50 wickets (9)']</t>
  </si>
  <si>
    <t>['17th Best figures in an innings (9/121)', '25th Best figures in a match (13)', '16th Most wickets in a series (36)', '4th Most consecutive ten-wickets-in-a-match (2)', '10th Oldest player to take five-wickets-in-an-innings (40y 223d)', '23rd Oldest player to take ten-wickets-in-a-match (35y 39d)', '32nd Oldest player to take a maiden five-wickets-in-an-innings (35y 11d)', '4th Most runs conceded in a match (308)', '8th Most wickets taken stumped (18)', '8th Fastest to 50 wickets (9)']</t>
  </si>
  <si>
    <t>['3rd Best figures in a match (16)', '1st Best figures in a match on debut (16)']</t>
  </si>
  <si>
    <t>['43rd Best figures in an innings (8/53)', '3rd Best figures in a match (16)', '1st Best figures in a innings on debut (8)', '1st Best figures in a match on debut (16)']</t>
  </si>
  <si>
    <t>['33rd Best figures in a match on debut (8)', '48th Oldest living players (86y 146d)']</t>
  </si>
  <si>
    <t>['1st Outstanding bowling analyses in an innings (1/0)', '6th Most ducks in a series (3)']</t>
  </si>
  <si>
    <t>['32nd Fifties in consecutive innings (5)', '38th Most innings before first duck (33)', '37th Fewest ducks in career (26.5)', '1st Outstanding bowling analyses in an innings (1/0)', '50th Worst career bowling average (48.22)', '36th Worst strike rate in an innings (348.0)']</t>
  </si>
  <si>
    <t>['6th Most ducks in a series (3)', '47th Worst economy rate in an innings (10.80)']</t>
  </si>
  <si>
    <t>['1st Most wickets taken hit wicket (4)']</t>
  </si>
  <si>
    <t>['50th Most wickets in career (246)', '15th Most wickets in a calendar year (71)', '32nd Most five-wickets-in-an-innings in a career (16)', '29th Most ten-wickets-in-a-match in a career (3)', '33rd Youngest player to take five-wickets-in-an-innings (19y 363d)', '40th Youngest player to take ten-wickets-in-a-match (23y 100d)', '33rd Most balls bowled in career (17681)', '47th Most runs conceded in career (7328)', '26th Most wickets taken bowled (69)', '39th Most wickets taken caught by a wicketkeeper (57)', '1st Most wickets taken hit wicket (4)', '37th Fastest to 100 wickets (23)', '18th Fastest to 150 wickets (34)', '21st Fastest to 200 wickets (46)']</t>
  </si>
  <si>
    <t>['25th Best career bowling average (without qualification) (11.00)', '23rd Oldest living players (79y 342d)']</t>
  </si>
  <si>
    <t>['5th Most runs in an innings (by batting position) (30*)', '1st Outstanding bowling analyses in an innings (3/0)', '4th Most catches in an innings (3)']</t>
  </si>
  <si>
    <t>['5th Most runs in an innings (by batting position) (30*)', '46th Most wickets in a calendar year (21)', '1st Outstanding bowling analyses in an innings (3/0)', '27th Best career bowling average (18.47)', '36th Best career economy rate (2.81)', '21st Best strike rate in an innings (7.5)', '38th Most four-wickets-in-an-innings in a career (3)', '24th Most wickets taken caught and bowled (6)', '42nd Most catches in career (29)', '4th Most catches in an innings (3)']</t>
  </si>
  <si>
    <t>['1st Outstanding bowling analyses in an innings (1/0)', '25th Most wickets taken stumped (10)']</t>
  </si>
  <si>
    <t>['43rd Shortest lived players (34y 330d)']</t>
  </si>
  <si>
    <t>['50th Best career bowling average (24.37)', '27th Best career strike rate (30.5)', '41st Best strike rate in an innings (7.0)', '43rd Most five-wickets-in-an-innings in a career (2)', '13th Most consecutive four-wickets-in-an-innings (2)', '17th Fastest to 50 wickets (27)']</t>
  </si>
  <si>
    <t>['35th Longest intervals between appearances (9y 104d)']</t>
  </si>
  <si>
    <t>['1st Most runs in a match on the losing side (117*)', '2nd Highest career batting average (36.13)', '10th Most fifties in career (12)', '5th Highest percentage of runs in a completed innings (65.73)', '5th Fastest to 1000 runs (39)', '3rd Most catches in an innings (3)', '8th Highest partnership for the third wicket (115)']</t>
  </si>
  <si>
    <t>['21st Most runs in a match on the losing side (100)', '25th Highest career batting average (39.00)', '26th Most runs in debut match (53)', '23rd Youngest player to score a hundred (23y 43d)', '12th Fifties in consecutive innings (4)', '46th Fewest ducks in career (18.5)', '21st Highest partnership for the first wicket (171)', '37th Highest partnership for the seventh wicket (60*)']</t>
  </si>
  <si>
    <t>['21st Most runs in career (1554)', '7th Most runs in an innings (117*)', '11th Most runs in a calendar year (504)', '5th Most runs in an innings (by batting position) (117*)', '1st Most runs in a match on the losing side (117*)', '3rd Most runs on a single ground (315)', '2nd Highest career batting average (36.13)', '10th Most fifties in career (12)', '28th Most innings before first duck (16)', '29th Most consecutive innings without a duck (33)', '34th Fewest ducks in career (18.33)', '5th Highest percentage of runs in a completed innings (65.73)', '5th Fastest to 1000 runs (39)', '30th Most catches in career (24)', '3rd Most catches in an innings (3)', '26th Highest partnerships for any wicket (134)', '8th Highest partnership for the second wicket (134)', '8th Highest partnership for the third wicket (115)', '36th Most consecutive matches for a team (39*)']</t>
  </si>
  <si>
    <t>['3rd Worst economy rate in an innings (8.27)']</t>
  </si>
  <si>
    <t>['3rd Worst economy rate in an innings (8.27)', '49th Oldest players on debut (36y 359d)']</t>
  </si>
  <si>
    <t>['10th Highest partnership for the tenth wicket (41*)']</t>
  </si>
  <si>
    <t>['26th Best career bowling average (without qualification) (11.20)']</t>
  </si>
  <si>
    <t>['19th Most wickets on a single ground (14)', '20th Best career bowling average (17.52)', '36th Best career economy rate (2.81)', '43rd Best strike rate in an innings (9.0)', '38th Most four-wickets-in-an-innings in a career (3)', '10th Highest partnership for the tenth wicket (41*)']</t>
  </si>
  <si>
    <t>[' Hundred on debut (141)', '6th Most catches by a substitute in a match (3)']</t>
  </si>
  <si>
    <t>['6th Most catches by a substitute in a match (3)', '40th Highest partnership for the fourth wicket (258)', '41st Highest partnership for the fifth wicket (233)']</t>
  </si>
  <si>
    <t>['31st Most runs in debut match (81)', '40th Oldest player to score a hundred (35y 190d)', '27th Fastest to 1000 runs (27)', '24th Fastest to 2000 runs (54)', '16th Highest partnership for the ninth wicket (88)']</t>
  </si>
  <si>
    <t>['10th Outstanding bowling analyses in an innings (2/2)', '3rd Most catches in an innings (3)']</t>
  </si>
  <si>
    <t>['14th Best figures in a innings on debut (4)']</t>
  </si>
  <si>
    <t>['10th Outstanding bowling analyses in an innings (2/2)', '13th Best career bowling average (without qualification) (9.83)']</t>
  </si>
  <si>
    <t>['39th Most runs conceded in an innings (45)', '20th Most wickets taken caught and bowled (3)', '3rd Most catches in an innings (3)']</t>
  </si>
  <si>
    <t>['14th Most runs in an innings (by batting position) (181)']</t>
  </si>
  <si>
    <t>['2nd Most catches in an innings (4)', '44th Highest partnership for the sixth wicket (126)']</t>
  </si>
  <si>
    <t>['44th Most innings before first duck (16)', '42nd Highest partnership for the eighth wicket (35)']</t>
  </si>
  <si>
    <t>['5th Best career economy rate (1.37)']</t>
  </si>
  <si>
    <t>['13th Best career bowling average (17.94)', '5th Best career economy rate (1.37)', '13th Best economy rate in an innings (0.46)', '18th Most wickets taken bowled (10)']</t>
  </si>
  <si>
    <t>['4th Best career bowling average (13.92)', '6th Best career economy rate (2.07)']</t>
  </si>
  <si>
    <t>['7th Best career economy rate (1.78)']</t>
  </si>
  <si>
    <t>['12th Most runs in a career without a hundred (1507)', '7th Best career economy rate (1.78)', '32nd Best economy rate in an innings (0.58)', '33rd Worst career strike rate (115.8)', '27th Most balls bowled in a match (642)']</t>
  </si>
  <si>
    <t>['44th Highest partnership for the seventh wicket (163)']</t>
  </si>
  <si>
    <t>['1st Dismissed for 99 (and 199, 299 etc) (99)', ' A hundred and five wickets in an innings ']</t>
  </si>
  <si>
    <t>['1st Dismissed for 99 (and 199, 299 etc) (99)', '14th Oldest player to take ten-wickets-in-a-match (36y 206d)', '46th Highest partnership for the fifth wicket (220)', '46th Highest partnership for the sixth wicket (206)']</t>
  </si>
  <si>
    <t>['15th Most runs in an innings (by batting position) (15*)', '39th Worst career bowling average (without qualification) (72.50)']</t>
  </si>
  <si>
    <t>['42nd Worst career bowling average (without qualification) (62.00)']</t>
  </si>
  <si>
    <t>[' Hundred in each innings of a match ', '1st Dismissed for 99 (and 199, 299 etc) (99)', '7th Fastest to 2000 runs (36)', '6th Hundreds in consecutive innings (3)']</t>
  </si>
  <si>
    <t>['36th Most runs in a series (696)', '15th Most hundreds against one team (8)', '5th Hundreds in consecutive innings (3)', '1st Dismissed for 99 (and 199, 299 etc) (99)', '22nd Fastest to 1000 runs (19)', '7th Fastest to 2000 runs (36)', '23rd Fastest to 3000 runs (64)', '18th Highest partnership for the second wicket (301)', '44th Highest partnership for the fifth wicket (223*)', '24th Longest lived players (93y 215d)']</t>
  </si>
  <si>
    <t>['6th Best figures in a match on debut (7)', '3rd Most wickets in a calendar year (36)', '2nd Best career strike rate (28.5)', '1st Most consecutive four-wickets-in-an-innings (3)', '3rd Bowler/Batters combinations (8)']</t>
  </si>
  <si>
    <t>['14th Best figures in a innings on debut (4)', '6th Best figures in a match on debut (7)']</t>
  </si>
  <si>
    <t>['30th Most wickets in career (83)', '25th Best figures in an innings (5/9)', '41st Most wickets in a series (17)', '3rd Most wickets in a calendar year (36)', '8th Outstanding bowling analyses in an innings (5/9)', '33rd Most wickets on a single ground (12)', '3rd Best career bowling average (13.85)', '45th Best career economy rate (2.91)', '2nd Best career strike rate (28.5)', '18th Best strike rate in an innings (7.2)', '7th Most five-wickets-in-an-innings in a career (2)', '9th Most four-wickets-in-an-innings in a career (6)', '1st Most consecutive four-wickets-in-an-innings (3)', '9th Oldest player to take a maiden five-wickets-in-an-innings (29y 132d)', '3rd Bowler/Batters combinations (8)', '44th Bowler/fielder combinations (10)', '6th Most wickets taken bowled (40)', '32nd Most wickets taken caught by a wicketkeeper (10)', '43rd Most wickets taken lbw (11)']</t>
  </si>
  <si>
    <t>['47th Shortest lived players (35y 316d)']</t>
  </si>
  <si>
    <t>['20th Worst career bowling average (without qualification) (96.00)']</t>
  </si>
  <si>
    <t>[' Opening the batting and bowling in the same match ', '2nd Highest career strike rate (125.43)', '2nd Most catches in an innings (4)', ' 1000 runs, 50 wickets and 50 catches ', '4th Most player-of-the-series awards (3)', '1st Most runs in an innings (by batting position) (113*)', '2nd Highest career strike rate (158.92)', '3rd Fifties in consecutive innings (3)', '5th Fewest ducks in career (65)', '4th Most runs from fours and sixes in an innings (110)']</t>
  </si>
  <si>
    <t>['12th Most runs in an innings (by batting position) (108)', '2nd Highest career strike rate (125.43)', '7th Highest strike rate in an innings (320.00)', '22nd Most nineties in career (5)', '32nd Most sixes in career (116)', '18th Worst career bowling average (52.60)', '45th Worst career economy rate (5.66)', '2nd Most catches in an innings (4)', '24th Most catches in a series (8)', '24th Highest partnership for the fifth wicket (160)', '26th Highest partnership for the sixth wicket (134)']</t>
  </si>
  <si>
    <t>['17th Most runs in career (1780)', '4th Most runs in an innings (145*)', '18th Most runs in a calendar year (506)', '1st Most runs in an innings (by batting position) (113*)', '29th Highest career batting average (31.78)', '2nd Highest career strike rate (158.92)', '17th Most fifties in career (12)', '3rd Fifties in consecutive innings (3)', '38th Most innings before first duck (18)', '16th Most consecutive innings without a duck (46*)', '5th Fewest ducks in career (65)', '7th Most sixes in career (93)', '22nd Most fours in career (147)', '17th Most sixes in an innings (9)', '4th Most fours in an innings (14)', '4th Most runs from fours and sixes in an innings (110)', '17th Longest individual innings (by balls) (65)', '48th Highest percentage of runs in a completed innings (55.13)', '13th Fastest to 1000 runs (36)', '17th Bowler/batters combinations (3)', '17th Most catches in career (35)', '27th Highest partnership for the third wicket (109)', '24th Highest partnership for the fourth wicket (99*)', '18th Highest partnership for the seventh wicket (59)', '34th Most matches in career (72)', '28th Most player-of-the-match awards (5)', '4th Most player-of-the-series awards (3)']</t>
  </si>
  <si>
    <t>['50th Best figures in an innings (8/59)', '18th Most consecutive five-wickets-in-an-innings (3)', '41st Fastest to 50 wickets (11)', '37th Fastest to 100 wickets (23)']</t>
  </si>
  <si>
    <t>[' Hundred and a duck in a match ', '10th Highest partnership for the first wicket (329)']</t>
  </si>
  <si>
    <t>['26th Most consecutive innings without a duck (62)', '24th Fewest ducks in career (31)', '10th Highest partnership for the first wicket (329)']</t>
  </si>
  <si>
    <t>['40th Fewest ducks in career (28.75)', '28th Longest individual innings (by balls) (162)', '36th Fastest to 1000 runs (28)', '48th Fastest to 2000 runs (58)', '25th Fastest to 3000 runs (82)', '16th Fastest to 4000 runs (106)', '30th Highest partnership for the first wicket (212)', '35th Most consecutive matches for a team (80)']</t>
  </si>
  <si>
    <t>['9th Best figures in a match when on the losing side (6)', '2nd Best figures in a innings on debut (5)']</t>
  </si>
  <si>
    <t>['9th Best figures in a match when on the losing side (6)', '44th Best career bowling average (without qualification) (14.66)', '15th Best figures in a match on debut (6)']</t>
  </si>
  <si>
    <t>['30th Best figures in an innings (5/14)', '13th Outstanding bowling analyses in an innings (5/14)', '23rd Best career bowling average (without qualification) (11.00)', '2nd Best figures in a innings on debut (5)', '35th Youngest player to take five-wickets-in-an-innings (23y 307d)']</t>
  </si>
  <si>
    <t>['6th Most ducks in a series (3)', '6th Most consecutive ducks (3)']</t>
  </si>
  <si>
    <t>['31st Most runs in a match on the losing side (219)', '25th Most runs in a day (213)', '42nd Most catches in a series (10)']</t>
  </si>
  <si>
    <t>[' Representing two countries ', '7th Most wickets in a calendar year (27)', '1st Most wickets taken hit wicket (1)', ' Representing two countries ']</t>
  </si>
  <si>
    <t>['7th Most wickets in a calendar year (27)', '1st Most wickets taken hit wicket (1)']</t>
  </si>
  <si>
    <t>['1st Most runs in an innings (by batting position) (81*)', '1st Highest partnership for the tenth wicket (119)', '5th Outstanding bowling analyses in an innings (7/24)', '5th Bowler/Batters combinations (7)', '4th Most catches in an innings (3)', ' Opening the batting and bowling in the same match ', '6th Bowler/Batters combinations (5)']</t>
  </si>
  <si>
    <t>['1st Most runs in an innings (by batting position) (81*)', '19th Most runs in a match on the losing side (89)', '36th Highest career batting average (32.77)', '33rd Best career economy rate (1.70)', '23rd Worst career strike rate (98.3)', '10th Highest partnerships by wicket (10th)', '1st Highest partnership for the tenth wicket (119)']</t>
  </si>
  <si>
    <t>['39th Most runs in career (2047)', '38th Most runs in a calendar year (558)', '40th Highest career batting average (34.11)', '38th Highest maiden hundred (113*)', '20th Oldest player to score a hundred (33y 93d)', '12th Oldest player to score a maiden hundred (33y 93d)', '35th Most fifties in career (15)', '22nd Most wickets in career (98)', '5th Best figures in an innings (7/24)', '21st Most wickets in a calendar year (24)', '5th Outstanding bowling analyses in an innings (7/24)', '33rd Most wickets on a single ground (12)', '45th Best economy rate in an innings (0.50)', '13th Best strike rate in an innings (6.5)', '38th Most four-wickets-in-an-innings in a career (3)', '12th Oldest player to take a maiden five-wickets-in-an-innings (28y 259d)', '24th Most balls bowled in career (3632)', '28th Most runs conceded in career (2170)', '30th Most runs conceded in an innings (74)', '5th Bowler/Batters combinations (7)', '44th Bowler/fielder combinations (10)', '25th Most wickets taken bowled (22)', '22nd Most wickets taken caught (54)', '16th Most wickets taken caught and bowled (7)', '20th Most wickets taken caught by a fielder (44)', '32nd Most wickets taken caught by a wicketkeeper (10)', '36th Most wickets taken lbw (12)', '22nd Most wickets taken stumped (10)', '39th Most catches in career (31)', '4th Most catches in an innings (3)', '28th Highest partnership for the first wicket (163*)']</t>
  </si>
  <si>
    <t>['34th Most fifties in career (3)', '35th Most consecutive innings without a duck (31)', '36th Fewest ducks in career (17.5)', '16th Best career bowling average (16.39)', '28th Best career economy rate (5.50)', '17th Best career strike rate (17.8)', '14th Most runs conceded in an innings (52)', '6th Bowler/Batters combinations (5)', '38th Most wickets taken bowled (11)', '25th Most wickets taken stumped (7)']</t>
  </si>
  <si>
    <t>[' Hundred on debut (117)']</t>
  </si>
  <si>
    <t>['43rd Best career bowling average (without qualification) (12.60)']</t>
  </si>
  <si>
    <t>['4th Winning all tosses in a series (5)', '2nd Outstanding bowling analyses in an innings (7/17)', '10th Bowler/Batter combinations (14)', ' Opening the batting and bowling in the same match ']</t>
  </si>
  <si>
    <t>['25th Best figures in a match (13)', '44th Most wickets in a series (32)', '2nd Outstanding bowling analyses in an innings (7/17)', '5th Best figures in a innings by a captain (7)', '35th Best figures in a match by a captain (8)', '24th Best figures in a innings when on the losing side (7)', '12th Best strike rate in an innings (6.5)', '22nd Best figures in a innings on debut (6)', '10th Bowler/Batter combinations (14)', '4th Winning all tosses in a series (5)']</t>
  </si>
  <si>
    <t>['6th Most balls bowled in an innings (510)']</t>
  </si>
  <si>
    <t>['15th Outstanding bowling analyses in an innings (5/14)', '44th Best career bowling average (22.59)', '21st Best career economy rate (1.94)', '29th Most ten-wickets-in-a-match in a career (3)', '13th Oldest player to take five-wickets-in-an-innings (40y 99d)', '6th Most balls bowled in an innings (510)', '42nd Most balls bowled in a match (606)', '20th Fastest to 50 wickets (10)', '13th Fastest to 100 wickets (20)']</t>
  </si>
  <si>
    <t>['2nd Most wickets taken caught and bowled (7)']</t>
  </si>
  <si>
    <t>['29th Most innings before first duck (17)', '50th Most wickets in career (68)', '50th Worst career economy rate (4.02)', '45th Most runs conceded in career (1739)', '27th Most wickets taken caught (48)', '25th Most wickets taken caught by a fielder (41)', '46th Highest partnership for the ninth wicket (35)']</t>
  </si>
  <si>
    <t>['34th Most ducks in career (5)', '42nd Most wickets in career (48)', '46th Best career economy rate (5.76)', '30th Most balls bowled in career (1124)', '33rd Most runs conceded in career (1080)', '35th Most wickets taken caught (29)', '2nd Most wickets taken caught and bowled (7)', '25th Most wickets taken caught by a fielder (29)', '22nd Most wickets taken stumped (8)', '26th Most catches in career (25)']</t>
  </si>
  <si>
    <t>['26th Fastest to 1000 runs (20)', '41st Fastest to 2000 runs (45)']</t>
  </si>
  <si>
    <t>['50th Most balls bowled in an innings (424)']</t>
  </si>
  <si>
    <t>['1st Most stumpings in career (52)']</t>
  </si>
  <si>
    <t>['17th Most runs in a career without a hundred (1427)', '37th Oldest players (42y 175d)', '37th Most dismissals in career (130)', '1st Most stumpings in career (52)', '2nd Most stumpings in an innings (4)', '3rd Most stumpings in a match (4)', '3rd Most stumpings in a series (8)']</t>
  </si>
  <si>
    <t>['18th Most balls bowled in an innings (462)', '36th Most runs conceded in an innings (199)']</t>
  </si>
  <si>
    <t>['42nd Oldest players on debut (37y 154d)']</t>
  </si>
  <si>
    <t>['3rd Most consecutive four-wickets-in-an-innings (2)']</t>
  </si>
  <si>
    <t>['39th Best career bowling average (without qualification) (13.78)', '14th Best figures in a innings on debut (4)', '15th Best figures in a match on debut (6)']</t>
  </si>
  <si>
    <t>['11th Best figures in a innings when on the losing side (4)', '3rd Most consecutive four-wickets-in-an-innings (2)']</t>
  </si>
  <si>
    <t>['26th Most wickets in a series (20)', '11th Outstanding bowling analyses in an innings (5/13)', '47th Best strike rate in an innings (7.2)']</t>
  </si>
  <si>
    <t>['2nd Most runs in an innings (by batting position) (104*)', '1st Most ducks in a series (3)', '2nd Outstanding bowling analyses in an innings (3/6)', '9th Best economy rate in an innings (0.41)', '2nd Most ten-wickets-in-a-match in a career (1)', ' Opening the batting and bowling in the same match ']</t>
  </si>
  <si>
    <t>['2nd Most runs in an innings (by batting position) (104*)', '18th Most runs in a match on the losing side (90)', '1st Most ducks in a series (3)', '2nd Most pairs in career (1)', '30th Most wickets in career (26)', '29th Best figures in an innings (6/72)', '5th Best figures in a match (10)', '18th Most wickets in a series (16)', '7th Most wickets in a calendar year (21)', '2nd Outstanding bowling analyses in an innings (3/6)', '14th Most wickets on a single ground (10)', '15th Best figures in a innings when on the losing side (4)', '17th Best figures in a match when on the losing side (5)', '28th Best career bowling average (20.30)', '24th Best career strike rate (66.3)', '9th Best economy rate in an innings (0.41)', '11th Worst strike rate in an innings (246.0)', '2nd Most ten-wickets-in-a-match in a career (1)', '4th Youngest player to take ten-wickets-in-a-match (28y 266d)', '12th Most wickets taken lbw (8)']</t>
  </si>
  <si>
    <t>['44th Best economy rate in an innings (0.47)', '15th Best figures in a innings on debut (3)', '11th Longest intervals between appearances (7y 164d)']</t>
  </si>
  <si>
    <t>['11th Highest partnership for the eighth wicket (173)']</t>
  </si>
  <si>
    <t>['7th Most dismissals in career (22)', '3rd Most catches in a match (6)', '6th Most runs in an innings (by batting position) (80*)', '1st Most ducks in a series (3)', '9th Highest partnership for the seventh wicket (89*)', '6th Most dismissals in career (99)', '6th Most consecutive matches for a team (67)', '3rd Most catches in an innings (4)', '8th Most stumpings in career (30)']</t>
  </si>
  <si>
    <t>['6th Most runs in an innings (by batting position) (80*)', '14th Most runs in an innings by a wicketkeeper (80*)', '6th Most ducks in career (4)', '1st Most ducks in a series (3)', '2nd Most pairs in career (1)', '9th Highest partnership for the seventh wicket (89*)', '7th Most dismissals in career (22)', '10th Most dismissals in an innings (4)', '8th Most dismissals in a match (6)', '16th Most dismissals in a series (8)', '3rd Most catches in career (20)', '3rd Most catches in an innings (4)', '3rd Most catches in a match (6)', '8th Most catches in a series (8)', '11th Highest innings total without conceding a bye (273)']</t>
  </si>
  <si>
    <t>['18th Highest partnership for the ninth wicket (41*)', '6th Most consecutive matches for a team (67)', '6th Most dismissals in career (99)', '17th Most dismissals in an innings (4)', '14th Most dismissals in a series (15)', '6th Most catches in career (69)', '3rd Most catches in an innings (4)', '11th Most catches in a series (10)', '8th Most stumpings in career (30)', '22nd Most stumpings in a series (5)']</t>
  </si>
  <si>
    <t>[' Hundred on debut (159)', ' 200 runs and 10 wicketkeeping dismissals in a series ']</t>
  </si>
  <si>
    <t>['28th Most runs in a series by a wicketkeeper (350)', '41st Most runs in debut match (159)', '40th Highest partnership for the second wicket (259)']</t>
  </si>
  <si>
    <t>['30th Most runs in a series by a wicketkeeper (336)', '46th Most dismissals in a series (14)']</t>
  </si>
  <si>
    <t>['29th Best career strike rate (48.9)']</t>
  </si>
  <si>
    <t>['44th Most runs on a single ground (289)', '25th Most hundreds in a career (2)', '11th Most hundreds against one team (2)', '21st Youngest player to score a hundred (22y 239d)', '21st Most ducks in career (9)']</t>
  </si>
  <si>
    <t>['42nd Most consecutive innings without a duck (28*)', '25th Fewest ducks in career (20)']</t>
  </si>
  <si>
    <t>['25th Best career bowling average (21.51)', '35th Youngest player to take ten-wickets-in-a-match (22y 360d)', '20th Fastest to 50 wickets (10)']</t>
  </si>
  <si>
    <t>['2nd Most matches in career (168)', '2nd Most consecutive matches as captain of a team (73)', '2nd Most runs in career (13378)', ' Hundred in each innings of a match ', ' Hundred and a ninety in a match ', '2nd Most fifties in career (103)', ' Hundred and a duck in a match ', '4th Most fours in career (1509)', '2nd Fastest to 12000 runs (247)', '1st Outstanding bowling analyses in an innings (1/0)', '4th Most catches in career (196)', ' 5000 runs and 50 fielding dismissals ', '6th Highest partnership for the fourth wicket (386)', '4th Most player-of-the-match awards (32)', '1st Most matches as captain (230)', '3rd Most runs in career (13704)', '3rd Most hundreds in a career (30)', '8th Most nineties in career (6)', '3rd Most fifties in career (112)', '6th Most consecutive ducks (3)', '4th Most fours in career (1231)', '2nd Fastest to 13000 runs (341)', '2nd Most catches in career (160)', ' 5000 runs and 50 fielding dismissals ', '4th Highest partnership for the fourth wicket (237)', '1st Most runs in an innings (progressive record holder) (98*)', '4th Most runs in debut match (98*)', '7th Most fours in an innings (13)', '5th Most matches in career (560)', '2nd Most matches as captain (324)', '2nd Most runs in a calendar year (2833)', '2nd Most hundreds in a calendar year (11)', '4th Most nineties in career (13)', '2nd Most fifties in career (217)', '3rd Most fours in career (2781)', '2nd Most catches in career (364)']</t>
  </si>
  <si>
    <t>['2nd Most runs in career (13378)', '31st Most runs in a series (706)', '7th Most runs in a calendar year (1544)', '12th Most runs in an innings (by batting position) (197)', '14th Most runs in a match on the losing side (242)', '8th Most runs on a single ground (1743)', '25th Most runs in an series by a captain (576)', '31st Highest career batting average (51.85)', '3rd Most hundreds in a career (41)', '7th Most double hundreds in a career (6)', '2nd Most double hundreds in a series (2)', '2nd Most hundreds in a calendar year (7)', '15th Most hundreds against one team (8)', '21st Hundreds in consecutive matches (3)', '6th Hundred in hundredth match (120)', '10th Most nineties in career (6)', '24th Ninety on debut (96)', '2nd Most fifties in career (103)', '32nd Fifties in consecutive innings (5)', '13th Most innings before first duck (44)', '26th Most consecutive innings without a duck (62)', '39th Most ducks in career (17)', '15th Most sixes in career (73)', '4th Most fours in career (1509)', '30th Fastest to 5000 runs (110)', '14th Fastest to 6000 runs (125)', '14th Fastest to 7000 runs (145)', '9th Fastest to 8000 runs (165)', '3rd Fastest to 9000 runs (177)', '4th Fastest to 10000 runs (196)', '3rd Fastest to 11000 runs (222)', '2nd Fastest to 12000 runs (247)', '3rd Fastest to 13000 runs (275)', '1st Outstanding bowling analyses in an innings (1/0)', '4th Most catches in career (196)', '24th Most catches in a series (11)', '21st Highest partnerships for any wicket (386)', '22nd Highest partnership for the third wicket (315)', '6th Highest partnership for the fourth wicket (386)', '2nd Most matches in career (168)', '18th Most consecutive matches for a team (73)', '5th Most player-of-the-match awards (16)', '24th Most player-of-the-series awards (4)', '4th Most matches as captain (77)', '2nd Most consecutive matches as captain of a team (73)', '47th Winning all tosses in a series (3)']</t>
  </si>
  <si>
    <t>['3rd Most runs in career (13704)', '19th Most runs in a series (539)', '15th Most runs in a calendar year (1424)', '9th Most runs in an innings (by batting position) (164)', '9th Most runs in a match on the losing side (164)', '8th Most runs on a single ground (2108)', '6th Most runs in an series by a captain (539)', '8th Most runs in an innings by a captain (164)', '47th Highest career batting average (42.03)', '3rd Most hundreds in a career (30)', '11th Most hundreds in a calendar year (5)', '10th Most hundreds against one team (6)', '29th Youngest player to score a hundred (21y 21d)', '20th Oldest player to score a hundred (36y 95d)', '8th Most nineties in career (6)', '3rd Most fifties in career (112)', '11th Fifties in consecutive innings (5)', '34th Most consecutive innings without a duck (69)', '13th Most ducks in career (20)', '6th Most ducks in a series (3)', '6th Most consecutive ducks (3)', '12th Most sixes in career (162)', '4th Most fours in career (1231)', '31st Most sixes in an innings (9)', '38th Most runs from fours and sixes in an innings (106)', '26th Highest percentage of runs in a completed innings (57.74)', '48th Fastest to 2000 runs (58)', '36th Fastest to 3000 runs (87)', '28th Fastest to 4000 runs (112)', '22nd Fastest to 5000 runs (137)', '16th Fastest to 6000 runs (166)', '13th Fastest to 7000 runs (192)', '12th Fastest to 8000 runs (220)', '7th Fastest to 9000 runs (242)', '4th Fastest to 10000 runs (266)', '3rd Fastest to 11000 runs (286)', '3rd Fastest to 12000 runs (314)', '2nd Fastest to 13000 runs (341)', '2nd Most catches in career (160)', '4th Most catches in a series (11)', '39th Highest partnerships for any wicket (237)', '7th Highest partnership for the third wicket (234*)', '4th Highest partnership for the fourth wicket (237)', '25th Highest partnership for the fifth wicket (159)', '7th Most matches in career (375)', '4th Most player-of-the-match awards (32)', '6th Most player-of-the-series awards (7)', '26th Longest careers (17y 4d)', '1st Most matches as captain (230)', '27th Most consecutive matches as captain of a team (38)', '37th Oldest captains (37y 62d)']</t>
  </si>
  <si>
    <t>['1st Most runs in an innings (progressive record holder) (98*)', '9th Most runs in an innings (by batting position) (98*)', '11th Most runs in an innings by a captain (98*)', '4th Most runs in debut match (98*)', '7th Most fours in an innings (13)', '16th Highest partnership for the fifth wicket (83)', '13th Highest partnership for the sixth wicket (77*)', '44th Most matches as captain (17)', '26th Most consecutive matches as captain of a team (38)']</t>
  </si>
  <si>
    <t>['5th Most dismissals in a series (26)', '1st Most catches in a series (63)', '3rd Captains who have kept wicket (23)', ' 200 runs and 10 wicketkeeping dismissals in a series ']</t>
  </si>
  <si>
    <t>['11th Most runs in a career without a hundred (1534)', '15th Most consecutive matches missed for a team between appearances (78)', '43rd Most consecutive matches as captain of a team (23*)', '3rd Captains who have kept wicket (23)', '28th Most dismissals in career (157)', '35th Most dismissals in a match (8)', '5th Most dismissals in a series (26)', '27th Most catches in career (150)', '1st Most catches in a series (63)']</t>
  </si>
  <si>
    <t>['37th Longest intervals between appearances (6y 276d)', '30th Most consecutive matches missed for a team between appearances (138)', '23rd Captains who have kept wicket (5)', '48th Most dismissals in career (55)', '16th Most dismissals in an innings (5)', '46th Most catches in career (51)', '11th Most catches in an innings (5)']</t>
  </si>
  <si>
    <t>['20th Most consecutive matches missed for a team between appearances (49)', '18th Longest intervals between appearances (6y 34d)', '36th Most catches in career (11)', '13th Most catches in an innings (3)']</t>
  </si>
  <si>
    <t>[' Hundred on debut (110)', '2nd Hundreds in consecutive matches from debut (2)', '2nd Highest partnership for the second wicket (451)', '1st Hundreds in consecutive matches from debut (2)']</t>
  </si>
  <si>
    <t>['36th Most runs in a day (205)', '10th Hundred in last match (266)', '2nd Hundreds in consecutive matches from debut (2)', '19th Most innings before first duck (40)', '4th Highest partnerships for any wicket (451)', '2nd Highest partnership for the second wicket (451)', '5th Highest partnership for the fourth wicket (388)']</t>
  </si>
  <si>
    <t>['2nd Most runs in an innings (by batting position) (213*)', '2nd Highest career batting average (78.00)', '1st Hundreds in consecutive matches (2)', '5th Fifties in consecutive innings (3)', '3rd Best figures in a match when on the losing side (8)', '5th Best career strike rate (49.4)', '2nd Bowler/Batters combinations (5)', '5th Highest partnership for the seventh wicket (103)', '3rd Most runs in a series (985)', '5th Highest career batting average (51.78)', '5th Most hundreds in a calendar year (2)', '3rd Most nineties in career (4)', '2nd Fifties in consecutive innings (6)', '6th Most consecutive innings without a duck (53*)', '4th Outstanding bowling analyses in an innings (7/22)', '5th Most five-wickets-in-an-innings in a career (3)', '3rd Most runs conceded in career (3724)', '3rd Most wickets taken lbw (39)', '8th Most catches in a series (11)', ' 250 runs and 10 wickets in a series ', '9th Highest partnership for the seventh wicket (80)', '1st Most matches in career (123)', '2nd Most wickets in career (115)', '4th Best figures in a innings on debut (4)', '2nd Most four-wickets-in-an-innings in a career (4)', '2nd Most balls bowled in career (2267)', '1st Most runs conceded in career (2217)', '1st Most wickets taken caught by a wicketkeeper (20)', '8th Most catches in career (37)']</t>
  </si>
  <si>
    <t>['25th Most runs in career (624)', '3rd Most runs in an innings (213*)', '7th Most runs in a match (213)', '2nd Most runs in an innings (by batting position) (213*)', '11th Most runs in a match on the losing side (102)', '2nd Highest career batting average (78.00)', '14th Hundred in last match (116)', '10th Most hundreds in a career (2)', '1st Most double hundreds in a career (1)', '3rd Most hundreds against one team (2)', '1st Hundreds in consecutive innings (2)', '1st Hundreds in consecutive matches (2)', '3rd Highest maiden hundred (213*)', '5th Fifties in consecutive innings (3)', '21st Most wickets in career (31)', '17th Best figures in an innings (6/32)', '11th Best figures in a match (9)', '6th Outstanding bowling analyses in an innings (6/32)', '8th Best figures in a innings when on the losing side (5)', '3rd Best figures in a match when on the losing side (8)', '15th Best career bowling average (18.19)', '5th Best career strike rate (49.4)', '8th Best strike rate in an innings (13.0)', '30th Worst economy rate in an innings (4.08)', '11th Most five-wickets-in-an-innings in a career (2)', '16th Youngest player to take five-wickets-in-an-innings (23y 68d)', '2nd Bowler/Batters combinations (5)', '10th Most wickets taken caught by a wicketkeeper (6)', '5th Most wickets taken lbw (11)', '21st Highest partnerships for any wicket (162)', '7th Highest partnership for the fourth wicket (162)', '5th Highest partnership for the sixth wicket (102)', '5th Highest partnership for the seventh wicket (103)', '13th Youngest players (17y 104d)']</t>
  </si>
  <si>
    <t>['14th Most runs in career (3107)', '3rd Most runs in a series (985)', '9th Most runs in a calendar year (732)', '8th Most runs in an innings (by batting position) (90*)', '43rd Most runs on a single ground (292)', '5th Highest career batting average (51.78)', '25th Most hundreds in a career (2)', '6th Most hundreds in a series (2)', '5th Most hundreds in a calendar year (2)', '49th Highest maiden hundred (107*)', '3rd Most nineties in career (4)', '9th Most fifties in career (30)', '2nd Fifties in consecutive innings (6)', '6th Most consecutive innings without a duck (53*)', '30th Fewest ducks in career (23)', '4th Most wickets in career (152)', '4th Best figures in an innings (7/22)', '17th Most wickets in a series (23)', '46th Most wickets in a calendar year (21)', '4th Outstanding bowling analyses in an innings (7/22)', '26th Best career strike rate (33.8)', '40th Best strike rate in an innings (8.5)', '26th Worst career economy rate (4.34)', '5th Most five-wickets-in-an-innings in a career (3)', '25th Most four-wickets-in-an-innings in a career (4)', '9th Youngest player to take five-wickets-in-an-innings (19y 106d)', '12th Most balls bowled in career (5146)', '3rd Most runs conceded in career (3724)', '12th Bowler/Batters combinations (6)', '27th Bowler/fielder combinations (12)', '4th Most wickets taken bowled (44)', '10th Most wickets taken caught (69)', '12th Most wickets taken caught by a fielder (50)', '7th Most wickets taken caught by a wicketkeeper (19)', '3rd Most wickets taken lbw (39)', '19th Most catches in career (38)', '8th Most catches in a series (11)', '39th Highest partnerships for any wicket (180)', '9th Highest partnership for the third wicket (180)', '19th Highest partnership for the fourth wicket (121)', '27th Highest partnership for the fifth wicket (96)', '26th Highest partnership for the sixth wicket (74*)', '9th Highest partnership for the seventh wicket (80)', '30th Highest partnership for the ninth wicket (37)', '44th Highest partnership for the tenth wicket (25*)', '28th Most matches in career (115)', '48th Youngest players (16y 261d)', '43rd Longest careers (13y 262d)']</t>
  </si>
  <si>
    <t>['26th Most runs in career (1243)', '24th Most runs in an innings (by batting position) (60*)', '42nd Most runs in a match on the losing side (60*)', '11th Highest career batting average (28.90)', '26th Most fifties in career (4)', '45th Most consecutive innings without a duck (27)', '32nd Fewest ducks in career (18.5)', '2nd Most wickets in career (115)', '22nd Most wickets in a calendar year (20)', '16th Outstanding bowling analyses in an innings (2/2)', '11th Most wickets on a single ground (11)', '37th Best career bowling average (19.27)', '34th Best career strike rate (19.7)', '4th Best figures in a innings on debut (4)', '2nd Most four-wickets-in-an-innings in a career (4)', '2nd Most balls bowled in career (2267)', '1st Most runs conceded in career (2217)', '1st Bowler/Batters combinations (9)', '10th Bowler/fielder combinations (11)', '2nd Most wickets taken bowled (32)', '2nd Most wickets taken caught (75)', '2nd Most wickets taken caught by a fielder (55)', '1st Most wickets taken caught by a wicketkeeper (20)', '18th Most wickets taken lbw (8)', '8th Most catches in career (37)', '30th Highest partnership for the third wicket (85*)', '24th Highest partnership for the fifth wicket (62)', '11th Highest partnership for the sixth wicket (55*)', '47th Highest partnership for the eighth wicket (21*)', '1st Most matches in career (123)', '42nd Most consecutive matches for a team (38)', '27th Most maidens in career (6)']</t>
  </si>
  <si>
    <t>['37th Hundred in last match (114*)']</t>
  </si>
  <si>
    <t>['25th Best career bowling average (without qualification) (11.00)']</t>
  </si>
  <si>
    <t>['46th Oldest living players (86y 192d)']</t>
  </si>
  <si>
    <t>['6th Best career bowling average (20.11)']</t>
  </si>
  <si>
    <t>['41st Fastest to 50 wickets (11)']</t>
  </si>
  <si>
    <t>['33rd Most wickets in a series (19)', '43rd Most wickets on a single ground (32)', '6th Best career bowling average (20.11)', '22nd Best career strike rate (29.5)', '40th Oldest player to take a maiden five-wickets-in-an-innings (30y 286d)', '11th Fastest to 50 wickets (26)']</t>
  </si>
  <si>
    <t>['40th Worst career economy rate (7.92)', '26th Most runs conceded in an innings (59)', '45th Bowler/fielder combinations (6)']</t>
  </si>
  <si>
    <t>['24th Most consecutive matches missed for a team between appearances (66)', '32nd Most dismissals in a series (22)', '29th Most catches in a series (22)']</t>
  </si>
  <si>
    <t>['37th Longest intervals between appearances (6y 276d)']</t>
  </si>
  <si>
    <t>['45th Youngest player to score a hundred (20y 281d)', '25th No ducks in career (20)']</t>
  </si>
  <si>
    <t>['1st Most runs in an innings (by batting position) (209*)', '7th Highest career batting average (55.66)', '1st Most double hundreds in a career (1)', '5th Fifties in consecutive innings (3)', '9th Most wickets taken lbw (9)', '1st Highest partnership for the fourth wicket (253)', '6th Most matches in career (141)', '4th Most runs in an innings (by batting position) (154*)', '7th Highest career batting average (48.14)', '2nd Hundreds in consecutive innings (2)', '6th Most nineties in career (3)', '3rd Most fifties in career (41)', '1st Most consecutive innings without a duck (104*)', '1st Outstanding bowling analyses in an innings (1/0)', '7th Most wickets taken caught by a wicketkeeper (19)', '1st Highest partnership for the third wicket (244)', '2nd Most runs in an innings (progressive record holder) (96*)', '1st Most runs in debut match (96*)', '3rd Most catches in an innings (3)', '1st Highest partnership for the fourth wicket (147*)']</t>
  </si>
  <si>
    <t>['10th Most runs in career (1002)', '4th Most runs in an innings (209*)', '8th Most runs in an innings (progressive record holder) (209*)', '3rd Most runs in a match (218)', '16th Most runs in a series (327)', '19th Most runs in a calendar year (327)', '1st Most runs in an innings (by batting position) (209*)', '7th Highest career batting average (55.66)', '10th Most hundreds in a career (2)', '1st Most double hundreds in a career (1)', '3rd Most hundreds against one team (2)', '10th Highest maiden hundred (176*)', '18th Youngest player to score a hundred (23y 273d)', '11th Most fifties in career (7)', '5th Fifties in consecutive innings (3)', '41st Best career bowling average (23.35)', '39th Best career economy rate (1.77)', '9th Most wickets taken lbw (9)', '3rd Highest partnerships for any wicket (253)', '4th Highest partnerships by wicket (4th)', '16th Highest partnership for the third wicket (115)', '1st Highest partnership for the fourth wicket (253)', '13th Most consecutive matches for a team (14)', '20th Longest careers (14y 135d)', '20th Oldest captains on captaincy debut (31y 89d)']</t>
  </si>
  <si>
    <t>['4th Most runs in career (4814)', '13th Most runs in an innings (154*)', '14th Most runs in a calendar year (682)', '4th Most runs in an innings (by batting position) (154*)', '5th Most runs on a single ground (709)', '46th Most runs in an innings by a captain (101)', '7th Highest career batting average (48.14)', '4th Most hundreds in a career (8)', '6th Most hundreds in a series (2)', '5th Most hundreds in a calendar year (2)', '2nd Most hundreds against one team (3)', '2nd Hundreds in consecutive innings (2)', '38th Highest maiden hundred (113*)', '18th Youngest player to score a hundred (22y 94d)', '12th Oldest player to score a hundred (33y 353d)', '6th Most nineties in career (3)', '3rd Most fifties in career (41)', '5th Fifties in consecutive innings (5)', '1st Most consecutive innings without a duck (104*)', '10th Fewest ducks in career (33)', '21st Highest percentage of runs in a completed innings (54.60)', '29th Most wickets in career (85)', '1st Outstanding bowling analyses in an innings (1/0)', '9th Best figures in a innings by a captain (4)', '15th Best figures in a innings on debut (3)', '31st Most balls bowled in career (3267)', '43rd Most runs conceded in career (1769)', '12th Bowler/Batters combinations (6)', '9th Bowler/fielder combinations (18)', '21st Most wickets taken bowled (24)', '30th Most wickets taken caught (47)', '7th Most wickets taken caught by a wicketkeeper (19)', '43rd Most wickets taken lbw (11)', '8th Highest partnerships for any wicket (244)', '3rd Highest partnerships by wicket (3rd)', '1st Highest partnership for the third wicket (244)', '9th Highest partnership for the fourth wicket (144)', '30th Highest partnership for the seventh wicket (63)', '6th Most matches in career (141)', '29th Longest careers (14y 141d)', '16th Most matches as captain (43)', '12th Most consecutive matches as captain of a team (34)']</t>
  </si>
  <si>
    <t>['30th Most runs in an innings (96*)', '2nd Most runs in an innings (progressive record holder) (96*)', '6th Most runs in an innings (by batting position) (96*)', '32nd Most runs in an innings by a captain (71*)', '1st Most runs in debut match (96*)', '17th No ducks in career (12)', '3rd Most catches in an innings (3)', '14th Highest partnerships for any wicket (147*)', '4th Highest partnerships by wicket (4th)', '1st Highest partnership for the fourth wicket (147*)', '2nd Highest partnership for the sixth wicket (68)', '35th Most matches as captain (13)', '15th Oldest captains (34y 210d)', '28th Oldest captains on captaincy debut (31y 331d)']</t>
  </si>
  <si>
    <t>['9th Fewest ducks in career (53)']</t>
  </si>
  <si>
    <t>['4th Most runs in an innings (by batting position) (201*)', '7th Fifties in consecutive innings (6)']</t>
  </si>
  <si>
    <t>['4th Most runs in an innings (by batting position) (201*)', '32nd Highest career batting average (51.62)', '7th Fifties in consecutive innings (6)', '36th Highest partnership for the ninth wicket (108)', '26th Oldest captains (39y 220d)', '13th Oldest captains on captaincy debut (39y 114d)']</t>
  </si>
  <si>
    <t>['5th Fifties in consecutive innings (3)', '10th Most catches in career (12)', '1st Highest partnership for the third wicket (309)', '3rd Most runs in an innings (progressive record holder) (143*)', '2nd Highest career batting average (57.44)', '5th Most hundreds in a calendar year (2)', '2nd Fifties in consecutive innings (6)']</t>
  </si>
  <si>
    <t>['34th Most runs in career (510)', '26th Highest career batting average (39.23)', '40th Highest maiden hundred (110*)', '5th Fifties in consecutive innings (3)', '15th No ducks in career (15)', '10th Most catches in career (12)', '12th Most catches in a series (6)', '1st Highest partnerships for any wicket (309)', '3rd Highest partnerships by wicket (3rd)', '1st Highest partnership for the third wicket (309)']</t>
  </si>
  <si>
    <t>['25th Most runs in an innings (143*)', '3rd Most runs in an innings (progressive record holder) (143*)', '46th Most runs in a series (448)', '15th Most runs in an innings (by batting position) (143*)', '2nd Highest career batting average (57.44)', '18th Most runs in debut match (60)', '25th Most hundreds in a career (2)', '6th Most hundreds in a series (2)', '5th Most hundreds in a calendar year (2)', '6th Highest maiden hundred (143*)', '49th Most fifties in career (10)', '2nd Fifties in consecutive innings (6)', '33rd Most innings before first duck (16)', '47th Highest percentage of runs in a completed innings (51.18)']</t>
  </si>
  <si>
    <t>['5th Oldest captains on captaincy debut (41y 98d)', '1st Most catches in an innings (5)']</t>
  </si>
  <si>
    <t>['1st Most catches in an innings (5)', '8th Most catches in a match (6)', '12th Oldest captains (41y 178d)', '5th Oldest captains on captaincy debut (41y 98d)']</t>
  </si>
  <si>
    <t>['42nd Most runs conceded in an innings (92)']</t>
  </si>
  <si>
    <t>['15th Highest partnership for the tenth wicket (23)']</t>
  </si>
  <si>
    <t>['11th Most consecutive matches missed for a team between appearances (6)']</t>
  </si>
  <si>
    <t>['20th No ducks in career (18)']</t>
  </si>
  <si>
    <t>['9th Oldest living players (91y 249d)']</t>
  </si>
  <si>
    <t>['43rd Youngest player to take ten-wickets-in-a-match (23y 161d)']</t>
  </si>
  <si>
    <t>['33rd Most wickets in a series (19)', '12th Outstanding bowling analyses in an innings (2/3)', '21st Best career bowling average (22.35)', '46th Best career economy rate (3.94)', '32nd Best economy rate in an innings (0.87)', '15th Best figures in a innings on debut (4)', '32nd Fastest to 50 wickets (29)']</t>
  </si>
  <si>
    <t>['1st Fifties in consecutive innings (7)']</t>
  </si>
  <si>
    <t>['17th Oldest player to score a maiden hundred (35y 343d)', '1st Fifties in consecutive innings (7)', '26th Fifties in consecutive matches (7)', '11th Most innings before first duck (45)', '26th Highest partnership for the second wicket (284)', '29th Most consecutive matches missed for a team between appearances (62)']</t>
  </si>
  <si>
    <t>[' Hundred and a duck in a match ', ' Carrying bat through a completed innings (159*)']</t>
  </si>
  <si>
    <t>['24th Hundred in last match (101)', '13th Ninety on debut (97)', '24th Most catches in a series (11)', '31st Highest partnership for the sixth wicket (219)']</t>
  </si>
  <si>
    <t>['20th Oldest living players (80y 21d)']</t>
  </si>
  <si>
    <t>['2nd Highest partnership for the eighth wicket (119)']</t>
  </si>
  <si>
    <t>['20th Most matches as an umpire (51)']</t>
  </si>
  <si>
    <t>['43rd Best career economy rate (3.92)', '44th Bowler/fielder combinations (25)', '2nd Highest partnership for the eighth wicket (119)', '30th Most matches as an umpire (71)']</t>
  </si>
  <si>
    <t>['49th Most matches as an umpire (16)']</t>
  </si>
  <si>
    <t>['25th Best figures in a match (13)']</t>
  </si>
  <si>
    <t>['49th Youngest player to take five-wickets-in-an-innings (22y 318d)']</t>
  </si>
  <si>
    <t>['9th Oldest player to score a maiden hundred (37y 351d)', '4th Ninety on debut (98)']</t>
  </si>
  <si>
    <t>['3rd Best career bowling average (without qualification) (3.50)']</t>
  </si>
  <si>
    <t>['13th Best economy rate in an innings (0.25)']</t>
  </si>
  <si>
    <t>['3rd Worst career bowling average (without qualification) (134.00)']</t>
  </si>
  <si>
    <t>['22nd Best economy rate in an innings (0.83)', '47th Best strike rate in an innings (7.2)']</t>
  </si>
  <si>
    <t>['9th Most runs in an innings (by batting position) (118*)', '3rd Highest career batting average (62.37)', ' Hundred on debut (118*)', '6th Best figures in a innings on debut (4)']</t>
  </si>
  <si>
    <t>['9th Most runs in an innings (by batting position) (118*)', '3rd Highest career batting average (62.37)', '13th Most runs in debut match (118)', '31st Highest maiden hundred (118*)']</t>
  </si>
  <si>
    <t>['6th Best figures in a innings on debut (4)']</t>
  </si>
  <si>
    <t>['5th Most wickets in a series (41)', '4th Most consecutive ten-wickets-in-a-match (2)', '4th Fastest to 50 wickets (8)', '10th Most wickets in a series (22)', '5th Most consecutive five-wickets-in-an-innings (4)']</t>
  </si>
  <si>
    <t>['15th Most runs in an innings (by batting position) (52)', '11th Most ducks in a series (4)', '5th Most wickets in a series (41)', '40th Best figures in a match when on the losing side (10)', '22nd Best figures in a innings on debut (6)', '5th Most consecutive five-wickets-in-an-innings (4)', '4th Most consecutive ten-wickets-in-a-match (2)', '4th Fastest to 50 wickets (8)']</t>
  </si>
  <si>
    <t>['10th Most wickets in a series (22)', '46th Best career economy rate (3.94)']</t>
  </si>
  <si>
    <t>['24th Best figures in a innings when on the losing side (7)', '40th Best figures in a match when on the losing side (10)']</t>
  </si>
  <si>
    <t>['2nd Most runs in an innings (by batting position) (98)', '6th Ninety on debut (98)', '1st Outstanding bowling analyses in an innings (1/0)', '9th Most runs in an innings (by batting position) (89*)', '3rd Most innings before first duck (37)', '1st Outstanding bowling analyses in an innings (1/0)']</t>
  </si>
  <si>
    <t>['2nd Most runs in an innings (by batting position) (98)', '16th Most runs in debut match (114)', '6th Ninety on debut (98)', '1st Outstanding bowling analyses in an innings (1/0)', '21st Oldest captains on captaincy debut (30y 318d)']</t>
  </si>
  <si>
    <t>['44th Most runs in career (1937)', '13th Most runs in a series (702)', '9th Most runs in an innings (by batting position) (89*)', '14th Most runs on a single ground (489)', '32nd Highest career batting average (36.54)', '25th Highest maiden hundred (118)', '22nd Oldest player to score a hundred (32y 285d)', '14th Oldest player to score a maiden hundred (32y 285d)', '31st Most fifties in career (16)', '28th Fifties in consecutive innings (3)', '12th Most innings before first duck (26)', '26th Most catches in a series (7)', '31st Highest partnership for the first wicket (159)', '46th Highest partnership for the seventh wicket (57)', '22nd Highest partnership for the eighth wicket (49*)', '44th Most consecutive matches missed for a team between appearances (30)', '27th Oldest captains on captaincy debut (30y 191d)']</t>
  </si>
  <si>
    <t>['50th Most runs in career (793)', '2nd Most runs in an innings (by batting position) (69*)', '29th Most runs in a match on the losing side (65)', '21st Highest career batting average (26.43)', '34th Most fifties in career (3)', '3rd Most innings before first duck (37)', '22nd Most consecutive innings without a duck (37)', '5th Fewest ducks in career (52)', '1st Outstanding bowling analyses in an innings (1/0)', '33rd Best strike rate in an innings (4.0)', '21st Most catches in career (27)', '48th Most matches in career (73)', '22nd Most consecutive matches for a team (46*)', '37th Oldest captains on captaincy debut (30y 326d)']</t>
  </si>
  <si>
    <t>['9th Winning all tosses in a series (5)', '4th Fewest ducks in career (69)']</t>
  </si>
  <si>
    <t>['4th Fewest ducks in career (69)', '35th Fastest to 1000 runs (21)', '41st Fastest to 2000 runs (45)', '30th Fastest to 3000 runs (66)', '9th Winning all tosses in a series (5)', '24th Oldest captains (39y 356d)', '37th Oldest captains on captaincy debut (36y 118d)']</t>
  </si>
  <si>
    <t>[' 99 not out (and 199, 299 etc) (99*)']</t>
  </si>
  <si>
    <t>['32nd Highest maiden hundred (203*)']</t>
  </si>
  <si>
    <t>['38th Oldest player to score a maiden hundred (32y 79d)']</t>
  </si>
  <si>
    <t>['14th Most consecutive matches missed for a team between appearances (51)', '20th Longest intervals between appearances (5y 364d)']</t>
  </si>
  <si>
    <t>['2nd Unusual dismissals (handled the bal)', '47th Most consecutive matches missed for a team between appearances (53)']</t>
  </si>
  <si>
    <t>['3rd Highest strike rate in an innings (277.77)', '1st Best career strike rate (23.4)', '2nd Most consecutive five-wickets-in-an-innings (2)']</t>
  </si>
  <si>
    <t>['3rd Highest strike rate in an innings (277.77)', '24th Best figures in a innings when on the losing side (7)', '38th Best career strike rate (50.7)', '48th Fastest to 100 wickets (24)']</t>
  </si>
  <si>
    <t>['3rd Best career bowling average (18.90)', '1st Best career strike rate (23.4)', '25th Most five-wickets-in-an-innings in a career (3)', '2nd Most consecutive five-wickets-in-an-innings (2)', '13th Most consecutive four-wickets-in-an-innings (2)', '50th Oldest player to take a maiden five-wickets-in-an-innings (30y 107d)']</t>
  </si>
  <si>
    <t>['32nd Highest partnership for the tenth wicket (97)']</t>
  </si>
  <si>
    <t>['1st Most dismissals in a series (29)', '5th Most catches in an innings (6)', '4th Most runs in a series by a wicketkeeper (493)', ' 300 runs and 15 wicketkeeping dismissals in a series ', '4th Captains who have kept wicket and opened the batting (2)', '4th Most byes conceded in an innings (10)', '7th Most dismissals in career (474)', '7th Most catches in career (449)', '5th Most innings before first duck (69)']</t>
  </si>
  <si>
    <t>['10th Most runs in an innings (by batting position) (169)', '4th Most runs in a series by a wicketkeeper (493)', '19th Most runs in an innings by a wicketkeeper (169)', '26th Most innings before first duck (37)', '33rd Most sixes in career (54)', '6th Most dismissals in career (270)', '5th Most dismissals in an innings (6)', '8th Most dismissals in a match (9)', '1st Most dismissals in a series (29)', '6th Most catches in career (262)', '5th Most catches in an innings (6)', '8th Most catches in a match (9)', '7th Most catches in a series (29)']</t>
  </si>
  <si>
    <t>['31st Most runs in a series by a wicketkeeper (332)', '31st Highest strike rate in an innings (277.77)', '12th Most innings before first duck (47)', '11th Fewest ducks in career (57.5)', '16th Most dismissals in career (181)', '16th Most dismissals in an innings (5)', '17th Most dismissals in a series (17)', '13th Most catches in career (170)', '11th Most catches in an innings (5)', '12th Most catches in a series (16)', '35th Most stumpings in career (11)', '17th Most byes conceded in an innings (11)']</t>
  </si>
  <si>
    <t>['36th Highest partnership for the sixth wicket (66)', '29th Captains who have kept wicket (2)', '4th Captains who have kept wicket and opened the batting (2)', '19th Most dismissals in career (23)', '20th Most catches in career (17)', '13th Most catches in an innings (3)', '17th Most stumpings in career (6)', '4th Most byes conceded in an innings (10)']</t>
  </si>
  <si>
    <t>['44th Most wickets in a series (32)', '40th Best figures in a match when on the losing side (10)', '19th Best career strike rate (46.6)', '33rd Best figures in a match on debut (8)']</t>
  </si>
  <si>
    <t>['15th Most consecutive matches missed for a team between appearances (78)']</t>
  </si>
  <si>
    <t>['45th Highest strike rate in an innings (266.66)', '16th Most wickets in a series (21)', '47th Best strike rate in an innings (7.2)', '43rd Most five-wickets-in-an-innings in a career (2)', '20th Oldest player to take five-wickets-in-an-innings (33y 343d)', '19th Oldest player to take a maiden five-wickets-in-an-innings (33y 14d)', '25th Most wickets taken caught and bowled (11)', '31st Most wickets taken lbw (27)', '28th Most wickets taken stumped (12)', '41st Fastest to 150 wickets (118)', '21st Most consecutive matches missed for a team between appearances (156)']</t>
  </si>
  <si>
    <t>['45th Most runs in an innings (by batting position) (41)', '20th Highest partnership for the seventh wicket (57)', '28th Oldest players (43y 45d)', '36th Most consecutive matches missed for a team between appearances (40)', '48th Longest intervals between appearances (5y 23d)', '22nd Oldest living players (50y 37d)']</t>
  </si>
  <si>
    <t>['44th Oldest living players (86y 225d)']</t>
  </si>
  <si>
    <t>['25th Longest lived players (93y 206d)']</t>
  </si>
  <si>
    <t>['9th Most wickets in a calendar year (24)']</t>
  </si>
  <si>
    <t>['40th Best figures in an innings (5/22)', '9th Most wickets in a calendar year (24)', '44th Outstanding bowling analyses in an innings (2/4)', '30th Best career bowling average (18.33)', '26th Best career strike rate (18.7)', '33rd Best strike rate in an innings (4.0)', '13th Most four-wickets-in-an-innings in a career (2)', '50th Most wickets taken caught (24)', '45th Most wickets taken caught by a fielder (21)']</t>
  </si>
  <si>
    <t>['3rd Most runs in an innings (by batting position) (160)', '1st Dismissed for 99 (and 199, 299 etc) (99)', ' Hundred and a duck in a match ']</t>
  </si>
  <si>
    <t>['3rd Most runs in an innings (by batting position) (160)', '46th Youngest player to score a hundred (20y 317d)', '10th Most nineties in career (6)', '1st Dismissed for 99 (and 199, 299 etc) (99)', '31st Highest percentage of runs in a completed innings (58.20)', '42nd Highest partnership for the seventh wicket (165)']</t>
  </si>
  <si>
    <t>['10th Fewest ducks in career (61)']</t>
  </si>
  <si>
    <t>['49th Most runs in a career without a hundred (1326)', '10th Fewest ducks in career (61)', '13th Outstanding bowling analyses in an innings (5/14)', '45th Worst economy rate in an innings (10.83)', '28th Oldest player to take a maiden five-wickets-in-an-innings (31y 236d)', '49th Highest partnership for the tenth wicket (46)']</t>
  </si>
  <si>
    <t>['1st Most consecutive ducks (5)', '6th Oldest player to take ten-wickets-in-a-match (39y 34d)', '1st Most consecutive ducks (5)']</t>
  </si>
  <si>
    <t>['1st Most consecutive ducks (5)', '20th Oldest player to take five-wickets-in-an-innings (39y 34d)', '6th Oldest player to take ten-wickets-in-a-match (39y 34d)', '10th Oldest player to take a maiden five-wickets-in-an-innings (38y 72d)', '30th Oldest players on debut (38y 35d)']</t>
  </si>
  <si>
    <t>['34th Oldest players on debut (38y 88d)', '19th Longest lived players (70y 333d)']</t>
  </si>
  <si>
    <t>['10th Highest strike rate in an innings (233.33)']</t>
  </si>
  <si>
    <t>['36th Best career bowling average (without qualification) (13.50)', '26th Highest partnership for the ninth wicket (44)']</t>
  </si>
  <si>
    <t>['13th Worst economy rate in an innings (6.90)']</t>
  </si>
  <si>
    <t>['1st Outstanding bowling analyses in an innings (1/0)', '6th Best strike rate in an innings (6.0)', '34th Most wickets taken caught by a wicketkeeper (63)', '47th Fastest to 200 wickets (52)']</t>
  </si>
  <si>
    <t>['14th Best figures in a innings when on the losing side (5)', '25th Most five-wickets-in-an-innings in a career (3)']</t>
  </si>
  <si>
    <t>['38th Most consecutive matches missed for a team between appearances (39)']</t>
  </si>
  <si>
    <t>['40th No ducks in career (15)', '33rd Highest partnership for the third wicket (103)']</t>
  </si>
  <si>
    <t>['13th Most balls bowled in an innings (478)', '41st Most balls bowled in a match (622)']</t>
  </si>
  <si>
    <t>[' Hundred and a ninety in a match ', '7th Fifties in consecutive innings (6)', ' Hundred and a duck in a match ', '3rd Fastest to 2000 runs (33)', '1st Outstanding bowling analyses in an innings (1/0)', ' 5000 runs and 50 fielding dismissals ', '8th Highest partnership for the sixth wicket (307)', '8th Most consecutive innings without a duck (88)', ' 5000 runs and 50 fielding dismissals ', '6th Highest partnership for the sixth wicket (165)', '5th Most runs in an innings (by batting position) (60*)', '10th Highest career batting average (37.94)', '5th Highest partnership for the seventh wicket (74)']</t>
  </si>
  <si>
    <t>['34th Highest career batting average (51.52)', '47th Most hundreds in a career (19)', '20th Most nineties in career (5)', '7th Fifties in consecutive innings (6)', '38th Most innings before first duck (33)', '22nd Fastest to 1000 runs (19)', '3rd Fastest to 2000 runs (33)', '17th Fastest to 3000 runs (63)', '42nd Fastest to 4000 runs (92)', '20th Fastest to 5000 runs (107)', '28th Fastest to 6000 runs (132)', '1st Outstanding bowling analyses in an innings (1/0)', '8th Highest partnership for the sixth wicket (307)', '24th Highest partnership for the ninth wicket (123)', '20th Highest partnership for the tenth wicket (107)', '14th Most consecutive matches for a team (79)']</t>
  </si>
  <si>
    <t>['19th Highest career batting average (48.15)', '27th Oldest player to score a hundred (35y 321d)', '8th Most consecutive innings without a duck (88)', '12th Fewest ducks in career (52.33)', '27th Fastest to 1000 runs (27)', '35th Fastest to 3000 runs (86)', '28th Fastest to 4000 runs (112)', '32nd Fastest to 5000 runs (142)', '36th Worst career bowling average (without qualification) (117.50)', '27th Most catches in career (105)', '6th Highest partnership for the sixth wicket (165)', '9th Highest partnership for the seventh wicket (123)', '45th Most player-of-the-series awards (3)']</t>
  </si>
  <si>
    <t>['5th Most runs in an innings (by batting position) (60*)', '10th Highest career batting average (37.94)', '15th Most catches in an innings (3)', '42nd Highest partnership for the fifth wicket (69*)', '5th Highest partnership for the seventh wicket (74)', '10th Highest partnership for the eighth wicket (53*)']</t>
  </si>
  <si>
    <t>['3rd Most dismissals in a series (27)', '3rd Most catches in career (366)', '7th Most stumpings in career (29)', ' 300 runs and 15 wicketkeeping dismissals in a series ', '7th Most dismissals in career (233)', '7th Most catches in career (194)', '1st Most stumpings in an innings (3)', '6th Most ducks in a series (3)', '5th Most dismissals in career (628)', '4th Most catches in career (560)', '8th Most stumpings in career (68)']</t>
  </si>
  <si>
    <t>['15th Most runs in an innings (by batting position) (161*)', '25th Most runs in a series by a wicketkeeper (356)', '28th Most runs in an innings by a wicketkeeper (161*)', '37th Most ducks in career (18)', '29th Most matches in career (119)', '29th Most consecutive matches for a team (64)', '3rd Most dismissals in career (395)', '5th Most dismissals in an innings (6)', '8th Most dismissals in a match (9)', '3rd Most dismissals in a series (27)', '3rd Most catches in career (366)', '5th Most catches in an innings (6)', '8th Most catches in a match (9)', '11th Most catches in a series (25)', '7th Most stumpings in career (29)', '18th Most stumpings in a series (5)']</t>
  </si>
  <si>
    <t>['30th Most runs in a career without a hundred (1764)', '21st Most innings before first duck (40)', '6th Most ducks in a series (3)', '26th Winning all tosses in a series (4)', '20th Captains who have kept wicket (8)', '7th Most dismissals in career (233)', '9th Most dismissals in a series (19)', '7th Most catches in career (194)', '12th Most catches in a series (16)', '8th Most stumpings in career (39)', '1st Most stumpings in an innings (3)', '7th Most stumpings in a series (5)']</t>
  </si>
  <si>
    <t>['15th Longest lived players (94y 119d)']</t>
  </si>
  <si>
    <t>['1st Dismissed for 99 (and 199, 299 etc) (99)', ' Batting on each day of a five day match ', '3rd Winning all tosses in a series (3)']</t>
  </si>
  <si>
    <t>['20th Most runs in an series by a captain (594)', '1st Dismissed for 99 (and 199, 299 etc) (99)', '28th Youngest captains (25y 57d)']</t>
  </si>
  <si>
    <t>['19th Most runs in a career without a hundred (1968)', '3rd Winning all tosses in a series (3)', '50th Youngest captains (25y 134d)']</t>
  </si>
  <si>
    <t>['4th Oldest living players (92y 236d)', '4th Most runs in a series (834)', '2nd Most hundreds in a series (4)', ' Hundred and a duck in a match ', '4th Fastest to 1000 runs (14)', '8th Most catches in a match (6)', ' 5000 runs and 50 fielding dismissals ', '4th Hundreds in consecutive matches (4)']</t>
  </si>
  <si>
    <t>['4th Most runs in a series (834)', '48th Most runs in a match on the losing side (212)', '38th Most hundreds in a career (21)', '2nd Most hundreds in a series (4)', '15th Most hundreds against one team (8)', '5th Hundreds in consecutive matches (4)', '12th Youngest player to score a hundred (19y 121d)', '32nd Fifties in consecutive innings (5)', '16th Most innings before first duck (41)', '4th Fastest to 1000 runs (14)', '11th Fastest to 2000 runs (37)', '5th Fastest to 3000 runs (54)', '12th Fastest to 4000 runs (80)', '14th Fastest to 5000 runs (105)', '30th Fastest to 6000 runs (134)', '46th Best economy rate in an innings (0.61)', '8th Most catches in a match (6)', '42nd Most catches in a series (10)', '4th Oldest living players (92y 236d)']</t>
  </si>
  <si>
    <t>['5th Most catches in a match (5)', '3rd Most dismissals in a series (20)', '1st Most catches in a series (17)', '1st Most runs in a series by a wicketkeeper (1000)', '2nd Most hundreds in a series (3)', ' 200 runs and 10 wicketkeeping dismissals in a series ', '4th Highest partnership for the second wicket (225)', '1st Most dismissals in career (95)', '1st Most consecutive matches for a team (89*)', '6th Most dismissals in an innings (4)', '1st Most catches in career (44)', '1st Most stumpings in career (51)', '1st Most byes conceded in an innings (9)', '1st Most runs in an innings by a wicketkeeper (148*)', '3rd Fifties in consecutive innings (3)', '3rd Most ducks in career (10)', '7th Highest percentage of runs in a completed innings (65.48)', '8th Highest partnership for the first wicket (151)']</t>
  </si>
  <si>
    <t>['13th Most dismissals in a match (5)', '8th Most catches in an innings (3)', '5th Most catches in a match (5)']</t>
  </si>
  <si>
    <t>['46th Most runs in career (1927)', '47th Most runs in an innings (133)', '2nd Most runs in a series (1000)', '15th Most runs in a calendar year (669)', '14th Most runs in an innings (by batting position) (63*)', '31st Most runs on a single ground (341)', '1st Most runs in a series by a wicketkeeper (1000)', '3rd Most runs in an innings by a wicketkeeper (133)', '41st Highest career batting average (33.80)', '19th Most hundreds in a career (3)', '2nd Most hundreds in a series (3)', '5th Most hundreds in a calendar year (2)', '16th Highest maiden hundred (133)', '35th Most fifties in career (15)', '12th Fifties in consecutive innings (4)', '21st Most consecutive innings without a duck (39*)', '10th Highest partnerships for any wicket (225)', '4th Highest partnership for the second wicket (225)', '8th Highest partnership for the ninth wicket (51*)', '24th Most consecutive matches for a team (49*)', '10th Most dismissals in career (75)', '17th Most dismissals in an innings (4)', '3rd Most dismissals in a series (20)', '9th Most catches in career (51)', '21st Most catches in an innings (3)', '1st Most catches in a series (17)', '11th Most stumpings in career (24)']</t>
  </si>
  <si>
    <t>['11th Most runs in career (2121)', '1st Most runs in an innings (148*)', '8th Most runs in an innings (progressive record holder) (148*)', '6th Most runs in a calendar year (578)', '1st Most runs in an innings (by batting position) (148*)', '9th Most runs on a single ground (243)', '1st Most runs in an innings by a wicketkeeper (148*)', '8th Most fifties in career (13)', '3rd Fifties in consecutive innings (3)', '37th Most innings before first duck (13)', '14th Most consecutive innings without a duck (40)', '3rd Most ducks in career (10)', '7th Highest percentage of runs in a completed innings (65.48)', '11th Fastest to 2000 runs (97)', '13th Highest partnerships for any wicket (151)', '8th Highest partnership for the first wicket (151)', '17th Highest partnership for the second wicket (109)', '16th Highest partnership for the seventh wicket (44*)', '3rd Most matches in career (118)', '1st Most consecutive matches for a team (89*)', '1st Most dismissals in career (95)', '6th Most dismissals in an innings (4)', '1st Most catches in career (44)', '5th Most catches in an innings (3)', '1st Most stumpings in career (51)', '9th Most stumpings in an innings (3)', '1st Most byes conceded in an innings (9)']</t>
  </si>
  <si>
    <t>['9th Most runs in an innings (by batting position) (69*)']</t>
  </si>
  <si>
    <t>['9th Most runs in an innings (by batting position) (69*)', '43rd Highest career batting average (31.90)', '19th Worst career bowling average (without qualification) (78.00)']</t>
  </si>
  <si>
    <t>['1st Most ducks in a series (6)', '10th Most matches as a match referee (173)']</t>
  </si>
  <si>
    <t>['1st Most ducks in a series (6)', '7th Most pairs in career (3)', '11th Most matches as a match referee (45)']</t>
  </si>
  <si>
    <t>['12th Most matches as a match referee (102)']</t>
  </si>
  <si>
    <t>['13th Most matches as a match referee (26)']</t>
  </si>
  <si>
    <t>['32nd Worst career bowling average (without qualification) (153.00)']</t>
  </si>
  <si>
    <t>['39th Oldest player to take a maiden five-wickets-in-an-innings (30y 301d)']</t>
  </si>
  <si>
    <t>['43rd Worst career bowling average (without qualification) (134.00)', '50th Highest partnership for the ninth wicket (100)']</t>
  </si>
  <si>
    <t>['6th No ducks in career (32)']</t>
  </si>
  <si>
    <t>['6th No ducks in career (32)', '25th Most consecutive matches missed for a team between appearances (149)']</t>
  </si>
  <si>
    <t>['10th Most runs in an innings (by batting position) (144)', '5th Highest career batting average (58.61)', ' Hundred on debut (126)', '10th Most hundreds in a career (2)', '9th Fewest ducks in career (34)']</t>
  </si>
  <si>
    <t>['18th Most runs in career (762)', '24th Most runs in an innings (144)', '13th Most runs in a series (339)', '15th Most runs in a calendar year (339)', '10th Most runs in an innings (by batting position) (144)', '5th Highest career batting average (58.61)', '11th Most runs in debut match (126)', '10th Most hundreds in a career (2)', '25th Highest maiden hundred (126)', '14th Most fifties in career (6)', '15th No ducks in career (15)']</t>
  </si>
  <si>
    <t>['43rd Most runs in a career without a hundred (913)', '32nd Most runs in debut match (50)', '28th Fifties in consecutive innings (3)', '9th Fewest ducks in career (34)']</t>
  </si>
  <si>
    <t>['6th Most runs in an innings (by batting position) (57)', '6th Outstanding bowling analyses in an innings (3/9)']</t>
  </si>
  <si>
    <t>['6th Most runs in an innings (by batting position) (57)', '6th Outstanding bowling analyses in an innings (3/9)', '23rd Highest partnership for the ninth wicket (45)']</t>
  </si>
  <si>
    <t>['50th Best career economy rate (2.98)', '34th Most balls bowled in career (3161)', '33rd Bowler/fielder combinations (11)', '48th Most wickets taken bowled (16)', '36th Most wickets taken lbw (12)', '40th Most consecutive matches for a team (40)']</t>
  </si>
  <si>
    <t>['10th Outstanding bowling analyses in an innings (7/25)']</t>
  </si>
  <si>
    <t>['10th Outstanding bowling analyses in an innings (7/25)', '24th Best figures in a innings when on the losing side (7)', '13th Shortest lived players (27y 56d)']</t>
  </si>
  <si>
    <t>['26th Highest partnership for the third wicket (109*)', '25th Most consecutive matches missed for a team between appearances (45)', '37th Longest careers (11y 297d)']</t>
  </si>
  <si>
    <t>['1st Best figures in a match when on the losing side (13)', ' 1000 runs and 100 wickets ']</t>
  </si>
  <si>
    <t>['46th Most runs in a career without a hundred (1032)', '25th Best figures in a match (13)', '5th Best figures in a innings when on the losing side (8)', '1st Best figures in a match when on the losing side (13)', '18th Most consecutive five-wickets-in-an-innings (3)', '33rd Bowler/fielder combinations (46)', '46th Most wickets taken caught (157)', '49th Most wickets taken caught by a fielder (105)', '45th Most wickets taken caught by a wicketkeeper (52)', '34th Fastest to 200 wickets (49)']</t>
  </si>
  <si>
    <t>['7th Shortest lived players (25y 362d)', ' Hundred in each innings of a match ', ' Hundred and a duck in a match ', '2nd Highest partnership for the tenth wicket (163)', '6th Shortest lived players (25y 362d)', ' Hundred on debut (112)', '1st Shortest lived players (25y 362d)']</t>
  </si>
  <si>
    <t>['29th Youngest player to score a hundred (20y 96d)', '2nd Highest partnership for the tenth wicket (163)', '7th Shortest lived players (25y 362d)']</t>
  </si>
  <si>
    <t>['8th Most runs in debut match (112)', '34th Highest percentage of runs in a completed innings (55.87)', '6th Shortest lived players (25y 362d)']</t>
  </si>
  <si>
    <t>['1st Shortest lived players (25y 362d)']</t>
  </si>
  <si>
    <t>['41st Highest career strike rate (97.38)', '30th Most runs in debut match (82)']</t>
  </si>
  <si>
    <t>['1st Most runs in an innings (by batting position) (380)', ' Hundred in each innings of a match ', '8th Most nineties in career (7)', '9th Fifties in consecutive matches (9)', ' Hundred and a duck in a match ', '2nd Most runs from fours and sixes in an innings (218)', '3rd Fastest to 5000 runs (95)', '2nd Most catches in a match (7)', ' 5000 runs and 50 fielding dismissals ', '3rd Most runs in a match on the losing side (181*)', '3rd Most hundreds in a series (3)', '1st Dismissed for 99 (and 199, 299 etc) (99)', '7th Fastest to 6000 runs (154)', ' 5000 runs and 50 fielding dismissals ', '4th Hundreds in consecutive matches (4)', '8th Most nineties in career (11)']</t>
  </si>
  <si>
    <t>['22nd Most runs in career (8625)', '2nd Most runs in an innings (380)', '10th Most runs in an innings (progressive record holder) (380)', '5th Most runs in a match (380)', '18th Most runs in a calendar year (1391)', '1st Most runs in an innings (by batting position) (380)', '17th Most runs in a match on the losing side (238)', '38th Highest career batting average (50.73)', '12th Most hundreds in a career (30)', '5th Most triple hundreds in a career (1)', '6th Most hundreds in a calendar year (6)', '5th Hundreds in consecutive matches (4)', '8th Most nineties in career (7)', '29th Most fifties in career (59)', '9th Fifties in consecutive matches (9)', '16th Most consecutive innings without a duck (67)', '9th Most sixes in career (82)', '20th Most fours in career (1049)', '2nd Most sixes in an innings (11)', '21st Most fours in an innings (38)', '2nd Most runs from fours and sixes in an innings (218)', '48th Fastest to 2000 runs (46)', '12th Fastest to 3000 runs (61)', '8th Fastest to 4000 runs (77)', '3rd Fastest to 5000 runs (95)', '16th Fastest to 6000 runs (126)', '12th Fastest to 7000 runs (142)', '7th Fastest to 8000 runs (164)', '17th Most catches in career (128)', '2nd Most catches in a match (7)', '42nd Most catches in a series (10)', '47th Highest partnership for the first wicket (231)', '32nd Highest partnership for the second wicket (272)', '12th Highest partnership for the sixth wicket (279)', '11th Most consecutive matches for a team (86)', '25th Most player-of-the-match awards (10)', '24th Most player-of-the-series awards (4)']</t>
  </si>
  <si>
    <t>['22nd Most runs in an innings (181*)', '3rd Most runs in a series (659)', '5th Most runs in a calendar year (1601)', '17th Most runs in an innings (by batting position) (181*)', '3rd Most runs in a match on the losing side (181*)', '36th Highest career batting average (43.80)', '3rd Most hundreds in a series (3)', '11th Most hundreds in a calendar year (5)', '39th Most hundreds against one team (4)', '42nd Oldest player to score a hundred (35y 173d)', '34th Most nineties in career (4)', '1st Dismissed for 99 (and 199, 299 etc) (99)', '49th Most sixes in career (87)', '42nd Most fours in career (636)', '22nd Most sixes in an innings (10)', '44th Most runs from fours and sixes in an innings (104)', '17th Longest individual innings (by balls) (166)', '21st Fastest to 2000 runs (53)', '31st Fastest to 3000 runs (84)', '21st Fastest to 4000 runs (110)', '18th Fastest to 5000 runs (133)', '7th Fastest to 6000 runs (154)', '24th Most catches in a series (8)', '20th Highest partnership for the second wicket (219)', '28th Most consecutive matches missed for a team between appearances (142)']</t>
  </si>
  <si>
    <t>['31st Most fours in an innings (11)', '29th Oldest living players (49y 137d)']</t>
  </si>
  <si>
    <t>['7th Outstanding bowling analyses in an innings (2/3)']</t>
  </si>
  <si>
    <t>['41st Oldest player to score a maiden hundred (32y 44d)', '40th Most innings before first duck (30)', '12th Best strike rate in an innings (6.0)']</t>
  </si>
  <si>
    <t>['17th Most runs in an innings (by batting position) (88*)', '23rd Most runs in a match on the losing side (88*)', '7th Outstanding bowling analyses in an innings (2/3)', '44th Most catches in career (24)', '22nd Most consecutive matches for a team (38)']</t>
  </si>
  <si>
    <t>['46th Best career bowling average (without qualification) (13.00)']</t>
  </si>
  <si>
    <t>[' Hundred on debut (116)', '6th Highest partnership for the eighth wicket (243)']</t>
  </si>
  <si>
    <t>['31st Most runs in debut match (164)', '6th Highest partnership for the eighth wicket (243)']</t>
  </si>
  <si>
    <t>['2nd Oldest players (50y 327d)', '2nd Outstanding bowling analyses in an innings (5/6)', '5th Best career economy rate (1.69)', '1st Oldest player to take a maiden five-wickets-in-an-innings (48y 312d)']</t>
  </si>
  <si>
    <t>['2nd Outstanding bowling analyses in an innings (5/6)', '9th Best career bowling average (17.97)', '5th Best career economy rate (1.69)', '39th Best strike rate in an innings (8.8)', '1st Oldest player to take five-wickets-in-an-innings (49y 311d)', '1st Oldest player to take ten-wickets-in-a-match (49y 311d)', '1st Oldest player to take a maiden five-wickets-in-an-innings (48y 312d)', '20th Fastest to 50 wickets (10)', '4th Oldest players on debut (46y 237d)', '2nd Oldest players (50y 327d)']</t>
  </si>
  <si>
    <t>['29th Oldest player to take a maiden five-wickets-in-an-innings (35y 162d)']</t>
  </si>
  <si>
    <t>['2nd Most runs in an innings (by batting position) (99)', '3rd Most runs in debut match (153)', '1st Dismissed for 99 (and 199, 299 etc) (99)', '4th Highest partnership for the ninth wicket (68)', '2nd Most wickets in a series (31)', '8th Best career strike rate (30.2)', '3rd Most consecutive four-wickets-in-an-innings (2)', '10th Most wickets taken caught by a fielder (55)', ' Opening the batting and bowling in the same match ', '10th Most balls bowled in career (1645)']</t>
  </si>
  <si>
    <t>['39th Most runs in a match (153)', '2nd Most runs in an innings (by batting position) (99)', '3rd Most runs in debut match (153)', '1st Dismissed for 99 (and 199, 299 etc) (99)', '7th Ninety on debut (99)', '20th Highest partnership for the sixth wicket (77)', '4th Highest partnership for the ninth wicket (68)']</t>
  </si>
  <si>
    <t>['40th Most innings before first duck (15)', '32nd Fewest ducks in career (21.5)', '16th Most wickets in career (113)', '2nd Most wickets in a series (31)', '27th Most wickets in a calendar year (23)', '3rd Outstanding bowling analyses in an innings (3/1)', '10th Most wickets on a single ground (16)', '41st Best career bowling average (19.97)', '8th Best career strike rate (30.2)', '21st Best strike rate in an innings (7.5)', '20th Worst economy rate in an innings (9.00)', '7th Most five-wickets-in-an-innings in a career (2)', '4th Most four-wickets-in-an-innings in a career (8)', '3rd Most consecutive four-wickets-in-an-innings (2)', '31st Youngest player to take five-wickets-in-an-innings (23y 109d)', '27th Most balls bowled in career (3420)', '27th Most runs conceded in career (2257)', '12th Bowler/Batters combinations (6)', '13th Most wickets taken bowled (29)', '16th Most wickets taken caught (61)', '10th Most wickets taken caught by a fielder (55)', '18th Most wickets taken lbw (17)', '26th Most catches in a series (7)', '36th Highest partnership for the eighth wicket (45*)']</t>
  </si>
  <si>
    <t>['28th Fewest ducks in career (19.5)', '15th Most wickets in career (74)', '23rd Best figures in an innings (5/12)', '37th Most wickets in a calendar year (19)', '17th Outstanding bowling analyses in an innings (5/12)', '46th Best career bowling average (20.12)', '24th Best career economy rate (5.43)', '13th Most four-wickets-in-an-innings in a career (2)', '10th Most balls bowled in career (1645)', '12th Most runs conceded in career (1489)', '18th Bowler/Batters combinations (4)', '21st Bowler/fielder combinations (9)', '19th Most wickets taken bowled (17)', '14th Most wickets taken caught (43)', '12th Most wickets taken caught and bowled (4)', '15th Most wickets taken caught by a fielder (37)', '19th Most wickets taken caught by a wicketkeeper (6)', '11th Most wickets taken lbw (10)', '30th Most catches in career (24)', '29th Most matches in career (85)', '27th Most maidens in career (6)', '12th Most maidens in an innings (2)']</t>
  </si>
  <si>
    <t>['5th Best figures in a innings by a captain (7)', ' 1000 runs and 100 wickets ']</t>
  </si>
  <si>
    <t>['5th Best figures in a innings by a captain (7)', '35th Best figures in a match by a captain (8)', '38th Oldest player to take five-wickets-in-an-innings (37y 139d)', '20th Most wickets taken stumped (12)', '34th Oldest captains (38y 334d)', '27th Oldest captains on captaincy debut (36y 353d)']</t>
  </si>
  <si>
    <t>['5th Most dismissals in career (24)', '1st Captains who have kept wicket and opened the batting (1)', '8th Most catches in career (14)', '1st Most stumpings in an innings (4)', '10th Most byes conceded in an innings (16)', '4th Most runs in a series by a wicketkeeper (202)', '1st Captains who have kept wicket and opened the batting (3)']</t>
  </si>
  <si>
    <t>['4th Most runs in a series by a wicketkeeper (202)', '7th Most runs in an innings by a wicketkeeper (104)', '29th Highest partnership for the first wicket (102)', '3rd Captains who have kept wicket (1)', '1st Captains who have kept wicket and opened the batting (1)', '5th Most dismissals in career (24)', '10th Most dismissals in an innings (4)', '16th Most dismissals in a series (8)', '8th Most catches in career (14)', '5th Most stumpings in career (10)', '1st Most stumpings in an innings (4)', '3rd Most stumpings in a match (4)', '3rd Most stumpings in a series (6)', '16th Highest innings total without conceding a bye (228/2d)', '10th Most byes conceded in an innings (16)']</t>
  </si>
  <si>
    <t>['13th Captains who have kept wicket (3)', '1st Captains who have kept wicket and opened the batting (3)', '21st Most catches in an innings (3)']</t>
  </si>
  <si>
    <t>[' Hundred in each innings of a match ', ' 99 not out (and 199, 299 etc) (99*)', '8th Most consecutive innings without a duck (88)', '9th Fastest to 6000 runs (157)', ' 5000 runs and 50 fielding dismissals ', '10th Highest partnership for the third wicket (224*)']</t>
  </si>
  <si>
    <t>['27th Highest maiden hundred (210)', '40th Dismissed for 99 (and 199, 299 etc) (99)', '18th Highest partnership for the sixth wicket (260*)', '33rd Highest partnership for the ninth wicket (114)']</t>
  </si>
  <si>
    <t>['26th Most runs in a series (513)', '25th Most runs on a single ground (1287)', '33rd Highest career batting average (44.61)', '29th Most hundreds in a calendar year (4)', '8th Most nineties in career (6)', '42nd Most fifties in career (53)', '44th Fifties in consecutive innings (4)', '8th Most consecutive innings without a duck (88)', '34th Fastest to 2000 runs (56)', '25th Fastest to 3000 runs (82)', '11th Fastest to 4000 runs (102)', '15th Fastest to 5000 runs (128)', '9th Fastest to 6000 runs (157)', '10th Highest partnership for the third wicket (224*)', '32nd Highest partnership for the fourth wicket (173)']</t>
  </si>
  <si>
    <t>['2nd Shortest lived players (23y 164d)', ' Hundred on debut (164)']</t>
  </si>
  <si>
    <t>['11th Most runs in debut match (200)', '14th Youngest player to score a hundred (19y 149d)', '2nd Shortest lived players (23y 164d)']</t>
  </si>
  <si>
    <t>['7th Fifties in consecutive innings (6)', '2nd Ninety on debut (94)']</t>
  </si>
  <si>
    <t>['33rd Hundred in last match (108)', '7th Fifties in consecutive innings (6)']</t>
  </si>
  <si>
    <t>['19th Most runs in debut match (94)', '2nd Ninety on debut (94)']</t>
  </si>
  <si>
    <t>['4th Most runs in an innings (by batting position) (131)', ' Hundred on debut (131)']</t>
  </si>
  <si>
    <t>['32nd Most runs in an innings (131)', '4th Most runs in an innings (by batting position) (131)', '10th Most runs in debut match (131)', '22nd Highest maiden hundred (131)']</t>
  </si>
  <si>
    <t>['30th Most runs in a career without a hundred (1028)', '19th Most consecutive innings without a duck (40*)', '21st Fewest ducks in career (27)', '50th Highest partnership for the sixth wicket (64)']</t>
  </si>
  <si>
    <t>['27th Captains who have kept wicket (1)', '16th Most matches as a match referee (25)']</t>
  </si>
  <si>
    <t>['26th Most matches as a match referee (28)']</t>
  </si>
  <si>
    <t>['3rd Most stumpings in a match (4)']</t>
  </si>
  <si>
    <t>['4th Most stumpings in an innings (3)', '3rd Most stumpings in a match (4)', '5th Most stumpings in a series (7)']</t>
  </si>
  <si>
    <t>['16th Most balls bowled in a match (672)', '30th Most runs conceded in a match (266)', '20th Fastest to 50 wickets (10)', '27th Fastest to 100 wickets (22)', '27th Fastest to 150 wickets (35)']</t>
  </si>
  <si>
    <t>['24th Longest lived players (66y 259d)']</t>
  </si>
  <si>
    <t>['12th Outstanding bowling analyses in an innings (3/8)', '42nd Best career bowling average (without qualification) (12.33)']</t>
  </si>
  <si>
    <t>['5th Best figures in a innings when on the losing side (8)', '8th Bowler/fielder combinations (71)', ' 1000 runs and 100 wickets ', '8th Most wickets taken caught by a wicketkeeper (63)', '8th Fastest to 200 wickets (129)', '8th Outstanding bowling analyses in an innings (1/1)', '1st Most wickets taken hit wicket (1)', '5th Most wickets in a calendar year (113)', '7th Bowler/fielder combinations (106)']</t>
  </si>
  <si>
    <t>['27th Most ducks in career (19)', '28th Most wickets in career (313)', '13th Most wickets in a series (37)', '30th Most wickets in a calendar year (63)', '5th Best figures in a innings when on the losing side (8)', '15th Best figures in a match when on the losing side (11)', '43rd Best career strike rate (51.1)', '29th Most ten-wickets-in-a-match in a career (3)', '43rd Most balls bowled in career (16001)', '27th Most runs conceded in career (8891)', '8th Bowler/fielder combinations (71)', '21st Most wickets taken caught (227)', '29th Most wickets taken caught by a fielder (134)', '12th Most wickets taken caught by a wicketkeeper (93)', '37th Fastest to 100 wickets (23)', '18th Fastest to 150 wickets (34)', '34th Fastest to 200 wickets (49)', '15th Fastest to 250 wickets (57)', '14th Fastest to 300 wickets (69)', '32nd Most player-of-the-match awards (9)']</t>
  </si>
  <si>
    <t>['48th Highest career strike rate (96.35)', '13th Highest strike rate in an innings (300.00)', '29th Most wickets in career (239)', '27th Most wickets in a calendar year (46)', '40th Best career strike rate (31.3)', '12th Best strike rate in an innings (6.0)', '27th Worst economy rate in an innings (11.33)', '25th Most five-wickets-in-an-innings in a career (3)', '16th Most four-wickets-in-an-innings in a career (12)', '13th Most consecutive four-wickets-in-an-innings (2)', '47th Most balls bowled in career (7489)', '43rd Most runs conceded in career (6038)', '22nd Bowler/fielder combinations (34)', '17th Most wickets taken caught (177)', '26th Most wickets taken caught by a fielder (114)', '8th Most wickets taken caught by a wicketkeeper (63)', '38th Most wickets taken lbw (25)', '42nd Fastest to 50 wickets (30)', '29th Fastest to 100 wickets (65)', '20th Fastest to 150 wickets (99)', '8th Fastest to 200 wickets (129)']</t>
  </si>
  <si>
    <t>['8th Outstanding bowling analyses in an innings (1/1)', '36th Best career bowling average (20.97)', '36th Best career strike rate (17.2)', '48th Most wickets taken caught by a wicketkeeper (5)', '1st Most wickets taken hit wicket (1)', '29th Highest partnership for the eighth wicket (39)']</t>
  </si>
  <si>
    <t>['11th Best figures in a innings when on the losing side (4)', '6th Best figures in a innings on debut (4)']</t>
  </si>
  <si>
    <t>['34th Oldest players (42y 224d)', '46th Longest careers (17y 362d)']</t>
  </si>
  <si>
    <t>['4th Best figures in a innings on debut (4)']</t>
  </si>
  <si>
    <t>['24th Best figures in a innings when on the losing side (7)']</t>
  </si>
  <si>
    <t>['43rd Most five-wickets-in-an-innings in a career (2)', '13th Most consecutive four-wickets-in-an-innings (2)', '33rd Oldest player to take five-wickets-in-an-innings (32y 207d)', '24th Oldest player to take a maiden five-wickets-in-an-innings (32y 17d)', '42nd Fastest to 50 wickets (30)', '35th Most consecutive matches missed for a team between appearances (132)']</t>
  </si>
  <si>
    <t>['4th Best figures in a innings on debut (4)', '33rd Oldest living players (49y 33d)']</t>
  </si>
  <si>
    <t>['5th Most runs in an innings by a captain (131)', '5th Hundred in last match (104)', '1st Most hundreds in a calendar year (2)', '1st Dismissed for 99 (and 199, 299 etc) (99)', '1st Most ducks in a series (3)', '1st Outstanding bowling analyses in an innings (1/0)', '6th Most runs in debut match (98)', '2nd Hundreds in consecutive innings (2)', '1st Ninety on debut (98)']</t>
  </si>
  <si>
    <t>['20th Most runs in career (702)', '32nd Most runs in an innings (131)', '35th Most runs in a match (159)', '11th Most runs in a series (347)', '5th Most runs in a calendar year (437)', '7th Most runs in an innings (by batting position) (131)', '8th Most runs in an series by a captain (278)', '5th Most runs in an innings by a captain (131)', '27th Highest career batting average (36.94)', '5th Hundred in last match (104)', '7th Most hundreds in a career (3)', '1st Most hundreds in a series (2)', '1st Most hundreds in a calendar year (2)', '3rd Most hundreds against one team (2)', '22nd Highest maiden hundred (131)', '1st Dismissed for 99 (and 199, 299 etc) (99)', '19th Most fifties in career (5)', '6th Most ducks in career (4)', '1st Most ducks in a series (3)', '2nd Most pairs in career (1)', '1st Outstanding bowling analyses in an innings (1/0)', '23rd Most consecutive matches for a team (12)']</t>
  </si>
  <si>
    <t>['6th Most runs in debut match (98)', '25th Most hundreds in a career (2)', '6th Most hundreds in a series (2)', '5th Most hundreds in a calendar year (2)', '11th Most hundreds against one team (2)', '2nd Hundreds in consecutive innings (2)', '21st Highest maiden hundred (122)', '1st Ninety on debut (98)', '15th No ducks in career (19)']</t>
  </si>
  <si>
    <t>['9th Best figures in a innings on debut (7)', '33rd Best figures in a match on debut (8)']</t>
  </si>
  <si>
    <t>['2nd Most ducks in career (5)', '4th Most runs in an innings (progressive record holder) (156*)', '3rd Highest maiden hundred (156*)', '5th Fifties in consecutive innings (5)', '4th Most catches in an innings (3)']</t>
  </si>
  <si>
    <t>['2nd Most ducks in career (5)', '14th Highest partnership for the first wicket (127)', '20th Highest partnership for the second wicket (108)', '19th Highest partnership for the third wicket (107)']</t>
  </si>
  <si>
    <t>['24th Most runs in career (2630)', '11th Most runs in an innings (156*)', '4th Most runs in an innings (progressive record holder) (156*)', '26th Most runs in a calendar year (619)', '8th Most runs in an innings (by batting position) (156*)', '22nd Highest career batting average (39.84)', '15th Most hundreds in a career (4)', '11th Most hundreds against one team (2)', '3rd Highest maiden hundred (156*)', '15th Oldest player to score a hundred (33y 214d)', '14th Most fifties in career (25)', '5th Fifties in consecutive innings (5)', '35th Highest percentage of runs in a completed innings (52.69)', '22nd Best career bowling average (without qualification) (10.87)', '43rd Best strike rate in an innings (9.0)', '4th Most catches in an innings (3)', '23rd Highest partnership for the second wicket (165)']</t>
  </si>
  <si>
    <t>['7th Oldest player to take a maiden five-wickets-in-an-innings (30y 51d)', '4th Most catches in an innings (3)', '10th Most runs in an innings (by batting position) (15*)', '6th Worst career economy rate (6.73)']</t>
  </si>
  <si>
    <t>['10th Oldest player to take five-wickets-in-an-innings (30y 51d)', '7th Oldest player to take a maiden five-wickets-in-an-innings (30y 51d)', '4th Most catches in an innings (3)', '15th Most consecutive matches missed for a team between appearances (50)']</t>
  </si>
  <si>
    <t>['10th Most runs in an innings (by batting position) (15*)', '49th Most wickets in career (45)', '22nd Most wickets in a calendar year (20)', '29th Best career strike rate (18.8)', '6th Worst career economy rate (6.73)', '43rd Most runs conceded in career (949)', '29th Most wickets taken caught (32)', '27th Most wickets taken caught by a fielder (28)', '47th Highest partnership for the second wicket (86)']</t>
  </si>
  <si>
    <t>['5th Best figures in a match when on the losing side (12)', '1st Best figures in a innings on debut (8)', '2nd Most runs conceded in a match (358)']</t>
  </si>
  <si>
    <t>['5th Best figures in a innings when on the losing side (8)', '5th Best figures in a match when on the losing side (12)', '1st Best figures in a innings on debut (8)', '3rd Best figures in a match on debut (12)', '20th Most runs conceded in an innings (215)', '2nd Most runs conceded in a match (358)']</t>
  </si>
  <si>
    <t>['9th Fifties in consecutive matches (9)', ' Carrying bat through a completed innings (131*)', '3rd Fifties in consecutive matches (9)']</t>
  </si>
  <si>
    <t>['9th Fifties in consecutive matches (9)', '35th Most innings before first duck (35)', '48th Fastest to 4000 runs (93)', '16th Highest partnership for the seventh wicket (212)']</t>
  </si>
  <si>
    <t>['35th Most dismissals in a match (8)', '26th Most catches in a match (8)', '19th Most stumpings in career (20)', '4th Most stumpings in an innings (3)', '12th Most stumpings in a match (3)', '43rd Highest innings total without conceding a bye (551)']</t>
  </si>
  <si>
    <t>['28th Best career economy rate (1.96)']</t>
  </si>
  <si>
    <t>['5th Most runs in an innings (by batting position) (82)', '8th Best career bowling average (16.28)', '10th Most wickets taken caught by a wicketkeeper (6)', '9th Best figures in a innings by a captain (4)']</t>
  </si>
  <si>
    <t>['5th Most runs in an innings (by batting position) (82)', '18th Most wickets in career (35)', '26th Best figures in a match (8)', '18th Most wickets in a series (16)', '19th Most wickets in a calendar year (16)', '8th Best career bowling average (16.28)', '13th Best career economy rate (1.50)', '21st Best career strike rate (64.9)', '11th Most five-wickets-in-an-innings in a career (2)', '19th Most balls bowled in career (2274)', '44th Most balls bowled in a match (368)', '12th Bowler/Batters combinations (4)', '15th Most wickets taken caught (18)', '10th Most wickets taken caught by a wicketkeeper (6)', '12th Oldest captains on captaincy debut (34y 17d)']</t>
  </si>
  <si>
    <t>['9th Best figures in a innings by a captain (4)', '18th Oldest players on debut (35y 155d)', '19th Oldest captains (35y 190d)', '12th Oldest captains on captaincy debut (35y 155d)']</t>
  </si>
  <si>
    <t>['21st Hundreds in consecutive matches (3)']</t>
  </si>
  <si>
    <t>['48th Highest career batting average (42.00)', '37th Oldest player to score a maiden hundred (32y 80d)', '27th Fastest to 1000 runs (27)', '32nd Highest partnership for the first wicket (209)', '38th Highest partnership for the third wicket (192)']</t>
  </si>
  <si>
    <t>['8th Most runs in an innings (by batting position) (123)', '8th Oldest player to score a maiden hundred (30y 296d)']</t>
  </si>
  <si>
    <t>['43rd Most runs in an innings (123)', '42nd Most runs in a series (260)', '17th Most runs in a calendar year (329)', '8th Most runs in an innings (by batting position) (123)', '27th Highest maiden hundred (123)', '18th Oldest player to score a hundred (30y 296d)', '8th Oldest player to score a maiden hundred (30y 296d)']</t>
  </si>
  <si>
    <t>['39th Oldest players on debut (37y 184d)']</t>
  </si>
  <si>
    <t>['6th Outstanding bowling analyses in an innings (4/7)', '6th Hundreds in consecutive innings (3)']</t>
  </si>
  <si>
    <t>['46th Highest partnership for the fourth wicket (250)']</t>
  </si>
  <si>
    <t>['19th Most innings before first duck (43)', '6th Outstanding bowling analyses in an innings (4/7)', '35th Best strike rate in an innings (6.7)', '16th Highest partnership for the fifth wicket (172*)', '19th Highest partnership for the eighth wicket (88*)']</t>
  </si>
  <si>
    <t>[' Carrying bat through a completed innings (60*)', '5th Highest partnership for the first wicket (382)', '7th Oldest living players (84y 110d)']</t>
  </si>
  <si>
    <t>['45th Most runs in a series (667)', '12th Most runs in an series by a captain (667)', '33rd Most hundreds against one team (7)', '21st Hundreds in consecutive matches (3)', '35th Fastest to 1000 runs (21)', '27th Fastest to 3000 runs (65)', '34th Fastest to 4000 runs (90)', '43rd Fastest to 5000 runs (117)', '23rd Highest partnerships for any wicket (382)', '5th Highest partnership for the first wicket (382)', '19th Highest partnership for the second wicket (298)', '13th Highest partnership for the fourth wicket (336)']</t>
  </si>
  <si>
    <t>['7th Oldest living players (84y 110d)', '48th Oldest captains on captaincy debut (33y 328d)']</t>
  </si>
  <si>
    <t>['7th Outstanding bowling analyses in an innings (8/31)', ' Opening the batting and bowling in the same match ']</t>
  </si>
  <si>
    <t>['26th Best figures in an innings (8/31)', '7th Outstanding bowling analyses in an innings (8/31)', '24th Best figures in a innings when on the losing side (7)', '17th Oldest player to take five-wickets-in-an-innings (39y 231d)', '28th Oldest player to take a maiden five-wickets-in-an-innings (35y 173d)']</t>
  </si>
  <si>
    <t>['6th Most consecutive matches as captain of a team (10)', '5th Best career economy rate (1.37)', '2nd Most wickets taken hit wicket (1)', '2nd Worst career strike rate (77.9)']</t>
  </si>
  <si>
    <t>['27th Most runs in an innings by a captain (86)', '20th Most runs in a career without a hundred (410)', '21st Highest career batting average (41.00)', '30th Most wickets in career (26)', '18th Best career bowling average (18.73)', '5th Best career economy rate (1.37)', '24th Most balls bowled in career (2124)', '12th Most wickets taken bowled (13)', '2nd Most wickets taken hit wicket (1)', '19th Most catches in career (11)', '17th Most matches in career (15)', '18th Most consecutive matches for a team (13)', '7th Most matches as captain (10)', '6th Most consecutive matches as captain of a team (10)', '12th Youngest captains (24y 179d)']</t>
  </si>
  <si>
    <t>['19th Best career economy rate (2.44)', '40th Worst career bowling average (31.79)', '2nd Worst career strike rate (77.9)', '19th Most matches as captain (40)', '29th Most consecutive matches as captain of a team (21)', '23rd Youngest captains (22y 351d)']</t>
  </si>
  <si>
    <t>['4th Youngest captains (23y 139d)', '1st Most runs in an series by a captain (1232)', '3rd Highest career batting average (53.76)', '1st Most hundreds against one team (6)', '10th Most fifties in career (29)', '2nd Highest partnership for the third wicket (224)', '8th Most matches in career (110)', '2nd Most matches as captain (78)', '1st Most runs in an innings by a captain (133*)', '4th Highest career batting average (35.97)', '3rd Fifties in consecutive innings (3)', '1st Fewest ducks in career (104)', '4th Highest percentage of runs in a completed innings (65.96)', '3rd Fastest to 2000 runs (72)', '6th Most catches in career (39)', '1st Highest partnership for the fifth wicket (119*)']</t>
  </si>
  <si>
    <t>['4th Youngest captains (23y 139d)']</t>
  </si>
  <si>
    <t>['11th Most runs in career (3925)', '15th Most runs in an innings (152*)', '1st Most runs in a series (1232)', '8th Most runs in a calendar year (761)', '6th Most runs in an innings (by batting position) (152*)', '17th Most runs on a single ground (463)', '1st Most runs in an series by a captain (1232)', '2nd Most runs in an innings by a captain (152*)', '3rd Highest career batting average (53.76)', '1st Most hundreds in a career (14)', '1st Most hundreds in a series (5)', '1st Most hundreds in a calendar year (3)', '1st Most hundreds against one team (6)', '2nd Hundreds in consecutive innings (2)', '8th Youngest player to score a hundred (18y 288d)', '10th Most fifties in career (29)', '12th Fifties in consecutive innings (4)', '44th Most consecutive innings without a duck (32)', '16th Worst career bowling average (without qualification) (114.00)', '13th Most catches in career (42)', '12th Most catches in a series (10)', '12th Highest partnerships for any wicket (224)', '43rd Highest partnership for the first wicket (146)', '9th Highest partnership for the second wicket (182)', '2nd Highest partnership for the third wicket (224)', '3rd Highest partnership for the fourth wicket (181)', '21st Most consecutive matches for a team (52)', '8th Most matches as captain (60)', '11th Most consecutive matches as captain of a team (35)', '15th Youngest captains (21y 300d)', '17th Captains who have kept wicket (1)']</t>
  </si>
  <si>
    <t>['3rd Most runs in career (2914)', '2nd Most runs in an innings (133*)', '5th Most runs in an innings (progressive record holder) (126)', '3rd Most runs in a calendar year (625)', '1st Most runs in an innings (by batting position) (133*)', '6th Most runs in a match on the losing side (78*)', '11th Most runs on a single ground (236)', '1st Most runs in an innings by a captain (133*)', '4th Highest career batting average (35.97)', '5th Most fifties in career (15)', '3rd Fifties in consecutive innings (3)', '1st Most innings before first duck (61)', '5th Most consecutive innings without a duck (61)', '1st Fewest ducks in career (104)', '4th Highest percentage of runs in a completed innings (65.96)', '3rd Fastest to 1000 runs (38)', '3rd Fastest to 2000 runs (72)', '6th Most catches in career (39)', '24th Highest partnerships for any wicket (139)', '5th Highest partnerships by wicket (5th)', '30th Highest partnership for the first wicket (112)', '25th Highest partnership for the second wicket (102)', '10th Highest partnership for the third wicket (110)', '2nd Highest partnership for the fourth wicket (139)', '1st Highest partnership for the fifth wicket (119*)', '8th Most matches in career (110)', '42nd Most consecutive matches for a team (38)', '2nd Most matches as captain (78)', '33rd Youngest captains (21y 310d)']</t>
  </si>
  <si>
    <t>['30th Hundred in last match (100*)']</t>
  </si>
  <si>
    <t>['6th Highest career batting average (60.80)', '5th Hundreds in consecutive innings (3)']</t>
  </si>
  <si>
    <t>['6th Highest career batting average (60.80)', '42nd Hundred in last match (108)', '5th Hundreds in consecutive innings (3)', '21st Hundreds in consecutive matches (3)', '32nd Fifties in consecutive innings (5)', '13th Fastest to 1000 runs (18)']</t>
  </si>
  <si>
    <t>['2nd Most wickets taken hit wicket (3)', ' 1000 runs and 100 wickets ']</t>
  </si>
  <si>
    <t>['16th Most runs in an innings (by batting position) (100)', '8th Most wickets taken bowled (97)', '2nd Most wickets taken hit wicket (3)', '47th Fastest to 200 wickets (52)']</t>
  </si>
  <si>
    <t>['42nd Most consecutive matches missed for a team between appearances (38)']</t>
  </si>
  <si>
    <t>['1st Most runs conceded in an innings (113)']</t>
  </si>
  <si>
    <t>['29th Worst economy rate in an innings (11.30)', '1st Most runs conceded in an innings (113)']</t>
  </si>
  <si>
    <t>['21st Most runs in a career without a hundred (1341)', '30th Most runs in debut match (167)', '18th Ninety on debut (92)']</t>
  </si>
  <si>
    <t>['8th Number eleven top scoring in an innings (14)', '5th Best figures in a innings when on the losing side (8)', '6th Most runs conceded in a match (298)', '5th Most wickets taken caught by a fielder (243)', ' 1000 runs and 100 wickets ', ' 1000 runs, 50 wickets and 50 catches ']</t>
  </si>
  <si>
    <t>['41st Most runs in a career without a hundred (1101)', '8th Number eleven top scoring in an innings (14)', '17th Most wickets in career (399)', '40th Best figures in an innings (8/50)', '25th Best figures in a match (13)', '30th Most wickets in a calendar year (63)', '48th Most wickets on a single ground (51)', '5th Best figures in a innings when on the losing side (8)', '16th Best economy rate in an innings (0.45)', '24th Most five-wickets-in-an-innings in a career (18)', '29th Most ten-wickets-in-a-match in a career (3)', '18th Most consecutive five-wickets-in-an-innings (3)', '13th Most balls bowled in career (25690)', '8th Most runs conceded in career (12816)', '20th Most runs conceded in an innings (215)', '6th Most runs conceded in a match (298)', '44th Bowler/fielder combinations (40)', '11th Most wickets taken caught (283)', '7th Most wickets taken caught and bowled (15)', '5th Most wickets taken caught by a fielder (243)', '30th Most wickets taken lbw (52)', '11th Most wickets taken stumped (17)', '34th Fastest to 250 wickets (68)', '25th Fastest to 300 wickets (77)', '18th Fastest to 350 wickets (87)', '15th Most consecutive matches for a team (78*)']</t>
  </si>
  <si>
    <t>['3rd Most wickets in a calendar year (85)', '4th Most consecutive ten-wickets-in-a-match (2)', '1st Bowler/fielder combinations (95)', '2nd Fastest to 300 wickets (56)', '6th Most consecutive ducks (3)', '4th Most wickets in a series (25)', '7th Best economy rate in an innings (0.60)', '4th Fastest to 50 wickets (24)', '10th Most wickets in a calendar year (105)', '5th Most consecutive five-wickets-in-an-innings (4)', '5th Bowler/fielder combinations (117)']</t>
  </si>
  <si>
    <t>['24th Most wickets in career (355)', '9th Most wickets in a series (39)', '3rd Most wickets in a calendar year (85)', '19th Outstanding bowling analyses in an innings (5/15)', '9th Most wickets on a single ground (82)', '14th Most five-wickets-in-an-innings in a career (23)', '6th Most ten-wickets-in-a-match in a career (7)', '5th Most consecutive five-wickets-in-an-innings (4)', '4th Most consecutive ten-wickets-in-a-match (2)', '38th Youngest player to take ten-wickets-in-a-match (23y 23d)', '31st Most balls bowled in career (18467)', '32nd Most runs conceded in career (8493)', '27th Most runs conceded in a match (267)', '18th Bowler/Batter combinations (12)', '1st Bowler/fielder combinations (95)', '47th Most wickets taken bowled (54)', '16th Most wickets taken caught (239)', '26th Most wickets taken caught by a fielder (142)', '7th Most wickets taken caught by a wicketkeeper (97)', '25th Most wickets taken lbw (62)', '20th Fastest to 50 wickets (10)', '27th Fastest to 100 wickets (22)', '10th Fastest to 150 wickets (31)', '4th Fastest to 200 wickets (38)', '2nd Fastest to 250 wickets (48)', '2nd Fastest to 300 wickets (56)', '5th Fastest to 350 wickets (70)']</t>
  </si>
  <si>
    <t>['6th Most consecutive ducks (3)', '4th Most wickets in a series (25)', '24th Most wickets on a single ground (42)', '9th Best career bowling average (20.82)', '19th Best career economy rate (3.58)', '7th Best economy rate in an innings (0.60)', '13th Most consecutive four-wickets-in-an-innings (2)', '4th Fastest to 50 wickets (24)', '15th Fastest to 100 wickets (60)']</t>
  </si>
  <si>
    <t>['8th Most dismissals in a match (9)', '3rd Most stumpings in a match (4)']</t>
  </si>
  <si>
    <t>['49th Most dismissals in career (98)', '8th Most dismissals in a match (9)', '37th Most dismissals in a series (21)', '26th Most catches in a match (8)', '29th Most stumpings in career (15)', '4th Most stumpings in an innings (3)', '3rd Most stumpings in a match (4)', '18th Most stumpings in a series (5)']</t>
  </si>
  <si>
    <t>['10th Most runs in a calendar year (1481)', ' Hundred and a ninety in a match ', ' Hundred and a duck in a match ', ' 5000 runs and 50 fielding dismissals ', '9th Highest partnership for the fifth wicket (327)', '10th Most byes conceded in an innings (12)']</t>
  </si>
  <si>
    <t>['34th Most runs in career (7696)', '10th Most runs in a calendar year (1481)', '28th Most hundreds in a career (23)', '27th Most double hundreds in a career (3)', '19th Most hundreds in a calendar year (5)', '21st Hundreds in consecutive matches (3)', '47th Most fifties in career (53)', '26th Fifties in consecutive matches (7)', '30th Most consecutive innings without a duck (60)', '32nd Most fours in career (912)', '46th Fastest to 5000 runs (118)', '37th Fastest to 6000 runs (139)', '30th Fastest to 7000 runs (159)', '32nd Highest partnership for the first wicket (255)', '9th Highest partnership for the fifth wicket (327)', '25th Highest partnership for the sixth wicket (238)', '41st Most player-of-the-match awards (8)']</t>
  </si>
  <si>
    <t>['10th Most byes conceded in an innings (12)']</t>
  </si>
  <si>
    <t>['4th Bowler/fielder combinations (81)', ' 1000 runs and 100 wickets ', '6th Most consecutive ducks (3)', '8th Most wickets in career (380)', '3rd Most four-wickets-in-an-innings in a career (23)', '2nd Most wickets taken caught by a wicketkeeper (92)', '1st Fastest to 350 wickets (202)', ' 1000 runs and 100 wickets ', ' 1000 runs, 50 wickets and 50 catches ', '9th Most runs in an innings (by batting position) (43*)', '3rd Most wickets taken caught by a wicketkeeper (190)']</t>
  </si>
  <si>
    <t>['13th Most runs in a career without a hundred (1451)', '30th Most wickets in career (310)', '43rd Worst career economy rate (3.46)', '34th Worst economy rate in an innings (6.52)', '39th Most balls bowled in career (16531)', '23rd Most runs conceded in career (9554)', '34th Most runs conceded in an innings (201)', '17th Most runs conceded in a match (276)', '4th Bowler/fielder combinations (81)', '30th Most wickets taken bowled (66)', '30th Most wickets taken caught (200)', '44th Most wickets taken caught by a fielder (109)', '14th Most wickets taken caught by a wicketkeeper (91)', '41st Fastest to 50 wickets (11)', '43rd Fastest to 200 wickets (51)', '26th Fastest to 250 wickets (62)', '20th Fastest to 300 wickets (73)']</t>
  </si>
  <si>
    <t>['37th Most ducks in career (16)', '6th Most ducks in a series (3)', '6th Most consecutive ducks (3)', '8th Most wickets in career (380)', '10th Most wickets in a series (22)', '16th Most wickets in a calendar year (51)', '9th Outstanding bowling analyses in an innings (3/5)', '28th Most wickets on a single ground (40)', '32nd Best career bowling average (23.36)', '21st Best career strike rate (29.4)', '22nd Best economy rate in an innings (0.83)', '3rd Most five-wickets-in-an-innings in a career (9)', '3rd Most four-wickets-in-an-innings in a career (23)', '13th Most consecutive four-wickets-in-an-innings (2)', '31st Oldest player to take five-wickets-in-an-innings (32y 308d)', '14th Most balls bowled in career (11185)', '13th Most runs conceded in career (8877)', '11th Bowler/Batters combinations (9)', '4th Bowler/fielder combinations (58)', '8th Most wickets taken bowled (89)', '3rd Most wickets taken caught (250)', '11th Most wickets taken caught and bowled (15)', '4th Most wickets taken caught by a fielder (158)', '2nd Most wickets taken caught by a wicketkeeper (92)', '20th Most wickets taken lbw (39)', '3rd Most wickets taken hit wicket (2)', '32nd Fastest to 50 wickets (29)', '6th Fastest to 100 wickets (55)', '4th Fastest to 150 wickets (82)', '2nd Fastest to 200 wickets (112)', '2nd Fastest to 250 wickets (139)', '1st Fastest to 300 wickets (171)', '1st Fastest to 350 wickets (202)', '24th Most catches in a series (8)', '29th Highest partnership for the ninth wicket (73*)', '45th Most player-of-the-series awards (3)']</t>
  </si>
  <si>
    <t>['9th Most runs in an innings (by batting position) (43*)', '42nd Worst career economy rate (7.86)', '43rd Most runs conceded in an innings (56)', '17th Bowler/batters combinations (3)', '22nd Most wickets taken caught by a wicketkeeper (7)', '32nd Most wickets taken lbw (5)', '15th Most catches in an innings (3)', '39th Highest partnership for the eighth wicket (36)']</t>
  </si>
  <si>
    <t>['5th Best figures in a innings when on the losing side (8)', '10th Bowler/Batter combinations (14)', '6th Most consecutive four-wickets-in-an-innings (5)']</t>
  </si>
  <si>
    <t>['22nd Most wickets in a series (34)', '5th Best figures in a innings when on the losing side (8)', '15th Best figures in a match when on the losing side (11)', '18th Most consecutive five-wickets-in-an-innings (3)', '10th Bowler/Batter combinations (14)', '41st Fastest to 50 wickets (11)', '44th Most player-of-the-series awards (3)']</t>
  </si>
  <si>
    <t>['21st Best career economy rate (3.65)', '15th Best economy rate in an innings (0.71)']</t>
  </si>
  <si>
    <t>['8th Most runs in an innings (by batting position) (24)', '9th Best figures in a match when on the losing side (6)']</t>
  </si>
  <si>
    <t>['8th Most runs in an innings (by batting position) (24)', '15th Best figures in a innings when on the losing side (4)', '9th Best figures in a match when on the losing side (6)', '34th Best career bowling average (without qualification) (13.00)', '12th Most wickets taken lbw (8)']</t>
  </si>
  <si>
    <t>['48th Most wickets taken bowled (16)']</t>
  </si>
  <si>
    <t>['4th Most wickets in a series (42)', '4th Fastest to 50 wickets (8)', '6th Most ducks in a series (3)']</t>
  </si>
  <si>
    <t>['4th Most wickets in a series (42)', '17th Best figures in a match on debut (9)', '41st Most five-wickets-in-an-innings in a career (14)', '45th Oldest player to take ten-wickets-in-a-match (32y 361d)', '28th Most wickets taken lbw (58)', '4th Fastest to 50 wickets (8)', '36th Fastest to 150 wickets (36)']</t>
  </si>
  <si>
    <t>['6th Most ducks in a series (3)', '32nd Best career bowling average (23.36)', '21st Best career economy rate (3.65)', '43rd Most five-wickets-in-an-innings in a career (2)', '26th Oldest player to take five-wickets-in-an-innings (33y 264d)']</t>
  </si>
  <si>
    <t>['50th Most consecutive matches missed for a team between appearances (118)']</t>
  </si>
  <si>
    <t>['26th Most consecutive matches missed for a team between appearances (44)']</t>
  </si>
  <si>
    <t>['20th No ducks in career (23)']</t>
  </si>
  <si>
    <t>['4th Oldest captains on captaincy debut (41y 209d)', '9th Oldest player to score a hundred (41y 265d)', ' Carrying bat through a completed innings (159*)', '1st Outstanding bowling analyses in an innings (1/0)', ' Opening the batting and bowling in the same match ']</t>
  </si>
  <si>
    <t>['9th Oldest player to score a hundred (41y 265d)', '1st Outstanding bowling analyses in an innings (1/0)', '20th Best economy rate in an innings (0.50)', '21st Worst economy rate in an innings (6.76)', '43rd Oldest players (42y 86d)', '21st Longest careers (19y 227d)', '43rd Longest intervals between appearances (8y 291d)', '9th Oldest captains (42y 86d)', '4th Oldest captains on captaincy debut (41y 209d)']</t>
  </si>
  <si>
    <t>['31st Worst career bowling average (without qualification) (154.00)']</t>
  </si>
  <si>
    <t>['1st Most runs in an innings (by batting position) (98)', '9th Number eleven top scoring in an innings (98)', '5th Outstanding bowling analyses in an innings (6/30)']</t>
  </si>
  <si>
    <t>['1st Most runs in an innings (by batting position) (98)', '28th Ninety on debut (98)', '9th Number eleven top scoring in an innings (98)']</t>
  </si>
  <si>
    <t>['5th Best figures in an innings (6/30)', '5th Outstanding bowling analyses in an innings (6/30)', '22nd Best career bowling average (19.55)', '30th Best career economy rate (6.87)', '34th Best career strike rate (17.0)', '20th Best strike rate in an innings (4.0)', '16th Most four-wickets-in-an-innings in a career (2)', '14th Most wickets taken caught and bowled (3)', '32nd Most wickets taken lbw (5)']</t>
  </si>
  <si>
    <t>['4th Most runs in an innings (by batting position) (193)', '1st Highest career batting average (81.90)', '6th Hundred in last match (148*)', '3rd Most hundreds against one team (2)', '3rd Fifties in consecutive matches (4)', '6th Most catches in a series (7)', '2nd Highest partnership for the fourth wicket (222)', '1st No ducks in career (39)', '4th Most catches in an innings (3)']</t>
  </si>
  <si>
    <t>['15th Most runs in career (819)', '8th Most runs in an innings (193)', '5th Most runs in an innings (progressive record holder) (193)', '12th Most runs in a match (193)', '9th Most runs in a series (352)', '11th Most runs in a calendar year (352)', '4th Most runs in an innings (by batting position) (193)', '1st Highest career batting average (81.90)', '6th Hundred in last match (148*)', '10th Most hundreds in a career (2)', '3rd Most hundreds against one team (2)', '7th Highest maiden hundred (193)', '15th Youngest player to score a hundred (23y 203d)', '6th Most fifties in career (8)', '5th Fifties in consecutive innings (3)', '3rd Fifties in consecutive matches (4)', '10th Most catches in career (12)', '6th Most catches in a series (7)', '7th Highest partnerships for any wicket (222)', '2nd Highest partnership for the fourth wicket (222)']</t>
  </si>
  <si>
    <t>['18th Highest career batting average (41.70)', '28th Fifties in consecutive innings (3)', '1st No ducks in career (39)', '21st Most consecutive innings without a duck (39*)', '4th Most catches in an innings (3)', '26th Most catches in a series (7)']</t>
  </si>
  <si>
    <t>['21st Longest lived players (93y 305d)']</t>
  </si>
  <si>
    <t>['3rd Oldest living players (93y 135d)']</t>
  </si>
  <si>
    <t>['10th Best career strike rate (30.8)']</t>
  </si>
  <si>
    <t>['14th Most runs in an innings (by batting position) (16)', '11th Best figures in a innings when on the losing side (4)', '10th Best career strike rate (30.8)', '41st Worst career economy rate (4.11)', '15th Best figures in a innings on debut (3)', '31st Bowler/Batters combinations (5)', '48th Most wickets taken bowled (16)']</t>
  </si>
  <si>
    <t>['31st Highest partnership for the tenth wicket (11*)']</t>
  </si>
  <si>
    <t>['26th Fastest to 1000 runs (20)', '31st Oldest living players (87y 225d)']</t>
  </si>
  <si>
    <t>['1st Worst career strike rate (217.1)', '5th Most balls bowled in a match (534)']</t>
  </si>
  <si>
    <t>['11th Best career economy rate (1.48)', '3rd Worst career bowling average (53.85)', '1st Worst career strike rate (217.1)', '3rd Worst strike rate in an innings (306.0)', '5th Most balls bowled in an innings (354)', '5th Most balls bowled in a match (534)', '20th Most runs conceded in a match (133)', '16th Oldest captains on captaincy debut (32y 200d)']</t>
  </si>
  <si>
    <t>['12th Worst career bowling average (without qualification) (129.00)']</t>
  </si>
  <si>
    <t>['19th Oldest captains (40y 223d)', '15th Captains who have kept wicket (8)', '10th Most stumpings in career (24)', '3rd Most stumpings in a match (4)']</t>
  </si>
  <si>
    <t>['1st Most catches by a substitute in a match (4)']</t>
  </si>
  <si>
    <t>['16th Most matches as a match referee (25)']</t>
  </si>
  <si>
    <t>['17th Most matches as a match referee (63)']</t>
  </si>
  <si>
    <t>[' Hundred on debut (101*)', '1st No ducks in career (44)', '8th Best economy rate in an innings (0.40)', '2nd No ducks in career (44)']</t>
  </si>
  <si>
    <t>['40th Youngest player to score a hundred (20y 235d)', '1st No ducks in career (44)', '8th Best economy rate in an innings (0.40)']</t>
  </si>
  <si>
    <t>['7th Most runs in an innings (by batting position) (64)', '1st Outstanding bowling analyses in an innings (2/0)']</t>
  </si>
  <si>
    <t>['7th Most runs in an innings (by batting position) (64)', '5th Best figures in an innings (7/20)', '1st Outstanding bowling analyses in an innings (2/0)', '43rd Most five-wickets-in-an-innings in a career (2)', '34th Oldest player to take five-wickets-in-an-innings (32y 187d)', '30th Oldest player to take a maiden five-wickets-in-an-innings (31y 148d)', '44th Bowler/fielder combinations (25)']</t>
  </si>
  <si>
    <t>['1st Most runs in an series by a captain (810)', '1st Highest career batting average (99.94)', ' Hundred in each innings of a match ', ' 99 not out (and 199, 299 etc) (299*)', ' Hundred and a duck in a match ', '3rd Most fours in an innings (46)', '1st Fastest to 6000 runs (68)', '1st Hundreds in consecutive matches (6)']</t>
  </si>
  <si>
    <t>['12th Most runs in an innings (334)', '5th Most runs in an innings (progressive record holder) (334)', '24th Most runs in a match (334)', '1st Most runs in a series (974)', '1st Most runs in an innings (by batting position) (270)', '9th Most runs on a single ground (1671)', '1st Most runs in a day (309)', '1st Most runs in an series by a captain (810)', '13th Most runs in an innings by a captain (270)', '1st Highest career batting average (99.94)', '14th Most hundreds in a career (29)', '1st Most double hundreds in a career (12)', '1st Most triple hundreds in a career (2)', '1st Most double hundreds in a series (3)', '2nd Most hundreds in a series (4)', '19th Most hundreds in a calendar year (5)', '1st Most hundreds against one team (19)', '5th Hundreds in consecutive innings (3)', '1st Hundreds in consecutive matches (6)', '32nd Youngest player to score a hundred (20y 124d)', '9th Youngest player to score a double hundred (21y 304d)', '2nd Youngest player to score a triple hundred (21y 318d)', '32nd Fifties in consecutive innings (5)', '26th Fifties in consecutive matches (7)', '3rd Most fours in an innings (46)', '13th Most runs from fours and sixes in an innings (184)', '26th Highest percentage of runs in a completed innings (59.01)', '3rd Fastest to 1000 runs (13)', '1st Fastest to 2000 runs (22)', '1st Fastest to 3000 runs (33)', '1st Fastest to 4000 runs (48)', '1st Fastest to 5000 runs (56)', '1st Fastest to 6000 runs (68)', '34th Highest partnership for the third wicket (276)', '20th Longest careers (19y 262d)', '34th Longest lived players (92y 182d)', '23rd Oldest captains (39y 357d)']</t>
  </si>
  <si>
    <t>['27th Best career strike rate (48.0)']</t>
  </si>
  <si>
    <t>['43rd Best career bowling average (23.90)', '40th Best career strike rate (31.3)', '43rd Most five-wickets-in-an-innings in a career (2)']</t>
  </si>
  <si>
    <t>['2nd Most consecutive matches for a team (153)', '1st Most consecutive matches as captain of a team (93)', '10th Most runs in career (11174)', ' Hundred in each innings of a match ', ' Hundred and a ninety in a match ', ' Two unbeaten fifties in a match ', ' Pair by a captain ', '10th Fastest to 11000 runs (259)', '5th Best figures in a match by a captain (11)', '10th Most catches in a series (12)', ' 5000 runs and 50 fielding dismissals ', '8th Highest partnership for the fifth wicket (332*)', '5th Most matches as captain (178)', '2nd Most runs in an series by a captain (590)', '6th Outstanding bowling analyses in an innings (2/2)', '2nd Most catches in a series (12)', ' 1000 runs, 50 wickets and 50 catches ', ' 5000 runs and 50 fielding dismissals ', '9th Most consecutive matches for a team (129)', '5th Most matches as captain (271)', '10th Most catches in career (283)']</t>
  </si>
  <si>
    <t>['10th Most runs in career (11174)', '19th Most runs on a single ground (1415)', '18th Most runs in an series by a captain (597)', '40th Highest career batting average (50.56)', '17th Most hundreds in a career (27)', '19th Most hundreds in a calendar year (5)', '15th Most hundreds against one team (8)', '6th Most fifties in career (90)', '7th Fifties in consecutive innings (6)', '26th Fifties in consecutive matches (7)', '4th Most consecutive innings without a duck (89)', '14th Most fours in career (1161)', '50th Fastest to 5000 runs (120)', '38th Fastest to 6000 runs (140)', '30th Fastest to 7000 runs (159)', '23rd Fastest to 8000 runs (184)', '13th Fastest to 9000 runs (207)', '11th Fastest to 10000 runs (235)', '10th Fastest to 11000 runs (259)', '5th Best figures in a innings by a captain (7)', '5th Best figures in a match by a captain (11)', '42nd Oldest player to take ten-wickets-in-a-match (33y 183d)', '11th Most catches in career (156)', '10th Most catches in a series (12)', '8th Highest partnership for the fifth wicket (332*)', '9th Most matches in career (156)', '2nd Most consecutive matches for a team (153)', '15th Most player-of-the-match awards (11)', '2nd Most matches as captain (93)', '1st Most consecutive matches as captain of a team (93)', '33rd Winning all tosses in a series (3)', '36th Oldest captains (38y 245d)']</t>
  </si>
  <si>
    <t>['9th Most runs in a series (590)', '18th Most runs on a single ground (1561)', '2nd Most runs in an series by a captain (590)', '34th Most nineties in career (4)', '6th Outstanding bowling analyses in an innings (2/2)', '11th Most wickets taken caught and bowled (15)', '40th Most wickets taken stumped (10)', '11th Most catches in career (127)', '2nd Most catches in a series (12)', '49th Highest partnership for the fourth wicket (164)', '30th Most matches in career (273)', '34th Most consecutive matches for a team (83)', '46th Most player-of-the-match awards (17)', '5th Most matches as captain (178)', '14th Most consecutive matches as captain of a team (53)', '13th Winning all tosses in a series (5)', '22nd Oldest captains (38y 255d)']</t>
  </si>
  <si>
    <t>['14th Most consecutive matches as captain of a team (53)']</t>
  </si>
  <si>
    <t>[' Pair by a captain ', '1st Outstanding bowling analyses in an innings (3/0)', '4th Best strike rate in an innings (5.7)', '6th Most wickets taken caught and bowled (17)', ' A hundred and five wickets in an innings ', ' 1000 runs, 50 wickets and 50 catches ', '6th Most consecutive four-wickets-in-an-innings (5)']</t>
  </si>
  <si>
    <t>['48th Most wickets in career (248)', '1st Outstanding bowling analyses in an innings (3/0)', '16th Best figures in a innings by a captain (6)', '21st Best figures in a match by a captain (9)', '4th Best strike rate in an innings (5.7)', '32nd Most five-wickets-in-an-innings in a career (16)', '27th Most balls bowled in career (19108)', '41st Most wickets taken caught (164)', '6th Most wickets taken caught and bowled (17)', '27th Most wickets taken caught by a fielder (136)', '15th Most wickets taken stumped (14)', '34th Fastest to 200 wickets (49)', '50th Highest partnership for the seventh wicket (160)', '33rd Highest partnership for the eighth wicket (137)']</t>
  </si>
  <si>
    <t>['6th Most runs in an innings (by batting position) (214)', ' Hundred on debut (102*)', '2nd Hundreds in consecutive matches from debut (2)']</t>
  </si>
  <si>
    <t>['6th Most runs in an innings (by batting position) (214)', '2nd Hundreds in consecutive matches from debut (2)', '46th Dismissed for 99 (and 199, 299 etc) (99)']</t>
  </si>
  <si>
    <t>['7th Most runs in an innings (by batting position) (86)']</t>
  </si>
  <si>
    <t>['7th Most runs in an innings (by batting position) (86)', '11th Most consecutive matches missed for a team between appearances (6)']</t>
  </si>
  <si>
    <t>['36th Oldest players on debut (33y 93d)']</t>
  </si>
  <si>
    <t>['7th Most runs in an innings (by batting position) (156)', '7th Most consecutive matches as captain of a team (28)', '9th Highest partnership for the seventh wicket (68)']</t>
  </si>
  <si>
    <t>['42nd Most catches in a series (10)']</t>
  </si>
  <si>
    <t>['44th Most runs in a series (478)', '7th Most runs in an innings (by batting position) (156)', '13th Most runs in a match on the losing side (156)', '9th Most runs in an series by a captain (478)', '14th Most runs in an innings by a captain (156)', '41st Fewest ducks in career (28.33)', '20th Fastest to 1000 runs (26)', '24th Fastest to 2000 runs (54)', '20th Fastest to 3000 runs (80)', '38th Highest partnership for the fifth wicket (153)', '48th Highest partnership for the seventh wicket (100)']</t>
  </si>
  <si>
    <t>['39th Most runs in an innings (by batting position) (63)', '49th Most innings before first duck (15)', '9th Highest partnership for the seventh wicket (68)', '50th Most consecutive matches for a team (28)', '18th Most matches as captain (28)', '7th Most consecutive matches as captain of a team (28)']</t>
  </si>
  <si>
    <t>['4th Most runs in an innings (by batting position) (65)', '2nd Best career economy rate (1.30)', '10th Most wickets taken caught by a wicketkeeper (6)', '1st Most catches in an innings (3)', '7th Outstanding bowling analyses in an innings (4/4)', '7th Best career economy rate (2.09)', '5th Bowler/Batters combinations (7)']</t>
  </si>
  <si>
    <t>['4th Most runs in an innings (by batting position) (65)', '41st Most wickets in career (22)', '6th Best career bowling average (15.72)', '2nd Best career economy rate (1.30)', '19th Best economy rate in an innings (0.50)', '10th Most wickets taken caught by a wicketkeeper (6)', '23rd Most catches in career (10)', '1st Most catches in an innings (3)', '2nd Most catches in a match (4)']</t>
  </si>
  <si>
    <t>['33rd Most innings before first duck (16)', '7th Outstanding bowling analyses in an innings (4/4)', '15th Best career bowling average (16.71)', '7th Best career economy rate (2.09)', '33rd Best economy rate in an innings (0.41)', '5th Bowler/Batters combinations (7)', '48th Most wickets taken bowled (16)', '32nd Most wickets taken caught by a wicketkeeper (10)']</t>
  </si>
  <si>
    <t>['6th Most runs in an innings (by batting position) (39)']</t>
  </si>
  <si>
    <t>['47th Most catches in a series (6)', '26th Most consecutive matches missed for a team between appearances (39)']</t>
  </si>
  <si>
    <t>['6th Most runs in an innings (by batting position) (39)', '18th Highest partnership for the seventh wicket (44)']</t>
  </si>
  <si>
    <t>['3rd Most runs in an innings (by batting position) (200)', '1st Most double hundreds in a career (1)', '5th Fifties in consecutive innings (3)', '3rd Outstanding bowling analyses in an innings (2/3)', '3rd Highest partnership for the fourth wicket (220)', '9th Outstanding bowling analyses in an innings (5/10)', '2nd Highest partnership for the fifth wicket (151*)']</t>
  </si>
  <si>
    <t>['7th Most runs in an innings (200)', '11th Most runs in a match (200)', '18th Most runs in a series (319)', '21st Most runs in a calendar year (319)', '3rd Most runs in an innings (by batting position) (200)', '1st Most double hundreds in a career (1)', '6th Highest maiden hundred (200)', '12th Oldest player to score a hundred (32y 250d)', '3rd Oldest player to score a maiden hundred (32y 250d)', '5th Fifties in consecutive innings (3)', '3rd Outstanding bowling analyses in an innings (2/3)', '39th Best career bowling average (23.15)', '16th Best career economy rate (1.53)', '34th Worst career strike rate (90.5)', '8th Highest partnerships for any wicket (220)', '4th Highest partnership for the third wicket (142)', '3rd Highest partnership for the fourth wicket (220)', '11th Highest partnership for the sixth wicket (87)']</t>
  </si>
  <si>
    <t>['38th Most runs in a career without a hundred (993)', '40th Most innings before first duck (15)', '32nd Fewest ducks in career (21.5)', '26th Best figures in an innings (5/10)', '9th Outstanding bowling analyses in an innings (5/10)', '13th Best career bowling average (16.47)', '31st Best career economy rate (2.76)', '42nd Best career strike rate (35.7)', '27th Best strike rate in an innings (7.6)', '49th Highest partnership for the third wicket (119)', '2nd Highest partnership for the fifth wicket (151*)']</t>
  </si>
  <si>
    <t>[' Hundred and a duck in a match ', '4th Longest individual innings (by balls) (667)', '9th Fastest to 1000 runs (17)', '1st Highest partnership for the fifth wicket (405)']</t>
  </si>
  <si>
    <t>['12th Highest maiden hundred (234)', '4th Longest individual innings (by balls) (667)', '9th Fastest to 1000 runs (17)', '15th Highest partnerships for any wicket (405)', '5th Highest partnerships by wicket (5th)', '1st Highest partnership for the fifth wicket (405)']</t>
  </si>
  <si>
    <t>['1st Oldest captains on captaincy debut (43y 216d)', ' Hundred in each innings of a match ', ' Carrying bat through a completed innings (193*)', '6th Hundreds in consecutive innings (3)']</t>
  </si>
  <si>
    <t>['5th Hundreds in consecutive innings (3)', '3rd Oldest player to score a hundred (43y 202d)', '35th Fastest to 1000 runs (21)', '48th Fastest to 2000 runs (46)', '25th Oldest players (43y 255d)', '4th Oldest captains (43y 233d)', '1st Oldest captains on captaincy debut (43y 216d)']</t>
  </si>
  <si>
    <t>['17th Bowler/batters combinations (3)', '15th Most catches in an innings (3)']</t>
  </si>
  <si>
    <t>['28th Fifties in consecutive innings (3)', '36th Most consecutive matches missed for a team between appearances (33)']</t>
  </si>
  <si>
    <t>['11th Most wickets in a series (24)', '39th Best career strike rate (35.4)', '47th Most catches in a series (6)']</t>
  </si>
  <si>
    <t>['16th Most wickets in a series (21)', '27th Most wickets in a calendar year (46)', '14th Best figures in a innings when on the losing side (5)', '49th Best career bowling average (24.36)', '43rd Most five-wickets-in-an-innings in a career (2)', '44th Bowler/fielder combinations (25)', '43rd Most wickets taken caught (130)', '41st Most wickets taken caught by a fielder (94)', '45th Fastest to 50 wickets (31)', '15th Fastest to 100 wickets (60)', '13th Fastest to 150 wickets (95)']</t>
  </si>
  <si>
    <t>['37th Worst career bowling average (without qualification) (116.66)']</t>
  </si>
  <si>
    <t>['9th Most runs in a series (817)', ' Hundred on debut (124)']</t>
  </si>
  <si>
    <t>['47th Most runs in career (1896)', '9th Most runs in a series (817)', '30th Most runs in a calendar year (589)', '19th Highest career batting average (41.21)', '2nd Most runs in debut match (124)', '15th Most hundreds in a career (4)', '19th Highest maiden hundred (124)', '31st Most fifties in career (16)', '12th Fifties in consecutive innings (4)', '29th Most innings before first duck (17)', '47th Most catches in a series (6)', '24th Highest partnership for the second wicket (161*)', '23rd Highest partnership for the third wicket (140)']</t>
  </si>
  <si>
    <t>['42nd Highest partnership for the first wicket (237)', '43rd Highest partnership for the second wicket (258)', '32nd Highest partnership for the third wicket (289)', '17th Highest partnership for the fourth wicket (308)']</t>
  </si>
  <si>
    <t>['5th Highest career batting average (53.58)', ' 5000 runs and 50 fielding dismissals ', '9th Highest partnership for the fourth wicket (222)']</t>
  </si>
  <si>
    <t>['46th Most runs in career (6912)', '5th Highest career batting average (53.58)', '47th Most fifties in career (52)', '13th Most innings before first duck (46)', '21st Fewest ducks in career (39.2)', '41st Fastest to 2000 runs (57)', '20th Fastest to 3000 runs (80)', '27th Fastest to 4000 runs (111)', '19th Fastest to 5000 runs (135)', '19th Fastest to 6000 runs (167)', '12th Most catches in a series (9)', '9th Highest partnership for the fourth wicket (222)', '12th Highest partnership for the eighth wicket (97)', '22nd Highest partnership for the ninth wicket (77)', '37th Most consecutive matches for a team (78)']</t>
  </si>
  <si>
    <t>['47th Most catches in a series (6)']</t>
  </si>
  <si>
    <t>['4th Highest partnership for the sixth wicket (105)']</t>
  </si>
  <si>
    <t>['14th Most runs in an innings (by batting position) (70)', '4th Highest partnership for the sixth wicket (105)']</t>
  </si>
  <si>
    <t>['40th Most runs in a career without a hundred (1108)', '38th Most innings before first duck (33)']</t>
  </si>
  <si>
    <t>['22nd Oldest player to take a maiden five-wickets-in-an-innings (36y 213d)']</t>
  </si>
  <si>
    <t>['5th Most matches as a match referee (61)', ' Hundred and a duck in a match ', ' Carrying bat through a completed innings (58*)', ' 5000 runs and 50 fielding dismissals ', '8th Most matches as a match referee (146)', '10th Longest individual innings (by balls) (168)', '6th Most matches as a match referee (66)']</t>
  </si>
  <si>
    <t>['43rd Most runs in career (7422)', '46th Most runs in a calendar year (1241)', '38th Most hundreds in a career (21)', '33rd Most hundreds against one team (7)', '21st Hundreds in consecutive matches (3)', '20th Most nineties in career (5)', '47th Most fifties in career (53)', '46th Most fours in career (822)', '49th Fastest to 6000 runs (148)', '39th Most catches in career (99)', '42nd Most catches in a series (10)', '50th Most matches in career (107)', '35th Most consecutive matches for a team (60)', '5th Most matches as a match referee (61)']</t>
  </si>
  <si>
    <t>['50th Most runs on a single ground (995)', '44th Fifties in consecutive innings (4)', '36th Fewest ducks in career (29.5)', '10th Longest individual innings (by balls) (168)', '15th Fastest to 2000 runs (52)', '50th Fastest to 3000 runs (91)', '43rd Fastest to 4000 runs (118)', '43rd Fastest to 5000 runs (152)', '45th Most player-of-the-series awards (3)', '8th Most matches as a match referee (146)']</t>
  </si>
  <si>
    <t>['6th Most matches as a match referee (66)']</t>
  </si>
  <si>
    <t>['2nd Most catches in a match (4)', '3rd Highest partnership for the eighth wicket (112)']</t>
  </si>
  <si>
    <t>['18th Most runs in debut match (43*)', '10th Highest partnership for the sixth wicket (56*)']</t>
  </si>
  <si>
    <t>['3rd Oldest players on debut (46y 253d)', '2nd Oldest player to take a maiden five-wickets-in-an-innings (46y 268d)']</t>
  </si>
  <si>
    <t>['2nd Oldest player to take five-wickets-in-an-innings (46y 268d)', '2nd Oldest player to take a maiden five-wickets-in-an-innings (46y 268d)', '3rd Oldest players on debut (46y 253d)', '9th Oldest players (46y 309d)']</t>
  </si>
  <si>
    <t>['13th Most runs in an innings (by batting position) (128)', '17th Highest partnership for the eighth wicket (154)']</t>
  </si>
  <si>
    <t>['2nd Most pairs in career (1)', '4th Most matches in career (144)', '1st Most runs in an innings (by batting position) (90)', '5th Most hundreds in a calendar year (2)', '6th Most nineties in career (3)', '4th Most catches in a series (13)', '1st Highest partnership for the tenth wicket (76)', '4th Most runs in an innings (by batting position) (40*)', '8th Highest partnership for the sixth wicket (59*)']</t>
  </si>
  <si>
    <t>['15th Most runs in a career without a hundred (444)', '6th Most ducks in career (4)', '2nd Most pairs in career (1)', '14th Highest partnership for the fifth wicket (92)', '23rd Most consecutive matches for a team (12)', '14th Longest careers (14y 270d)']</t>
  </si>
  <si>
    <t>['12th Most runs in career (3492)', '38th Most runs in a series (513)', '19th Most runs in a calendar year (644)', '1st Most runs in an innings (by batting position) (90)', '40th Most runs in a match on the losing side (90)', '37th Most runs on a single ground (310)', '35th Highest career batting average (36.00)', '19th Most hundreds in a career (3)', '5th Most hundreds in a calendar year (2)', '11th Most hundreds against one team (2)', '25th Oldest player to score a hundred (32y 155d)', '6th Most nineties in career (3)', '12th Most fifties in career (28)', '28th Fifties in consecutive innings (3)', '48th Most consecutive innings without a duck (31)', '40th Most ducks in career (8)', '19th Best career bowling average (without qualification) (10.50)', '5th Most catches in career (55)', '4th Most catches in an innings (3)', '4th Most catches in a series (13)', '11th Highest partnerships by wicket (10th)', '40th Highest partnership for the first wicket (148)', '20th Highest partnership for the second wicket (167)', '14th Highest partnership for the third wicket (154)', '11th Highest partnership for the fourth wicket (141*)', '14th Highest partnership for the sixth wicket (85)', '46th Highest partnership for the seventh wicket (57)', '1st Highest partnership for the tenth wicket (76)', '4th Most matches in career (144)', '17th Most consecutive matches for a team (56)', '25th Longest careers (14y 273d)']</t>
  </si>
  <si>
    <t>['24th Most runs in career (1314)', '4th Most runs in an innings (by batting position) (40*)', '21st Most innings before first duck (18)', '41st Fewest ducks in career (16.2)', '34th Most ducks in career (5)', '12th Most catches in career (33)', '30th Highest partnership for the fourth wicket (69)', '10th Highest partnership for the fifth wicket (73)', '8th Highest partnership for the sixth wicket (59*)', '23rd Highest partnership for the ninth wicket (20)', '20th Most matches in career (95)', '12th Most consecutive matches for a team (55)', '22nd Most matches as captain (20)']</t>
  </si>
  <si>
    <t>['8th Longest lived players (95y 229d)', '1st Dismissed for 99 (and 199, 299 etc) (99)', ' Carrying bat through a completed innings (206*)']</t>
  </si>
  <si>
    <t>['1st Dismissed for 99 (and 199, 299 etc) (99)', '45th Highest partnership for the first wicket (233)', '8th Longest lived players (95y 229d)']</t>
  </si>
  <si>
    <t>['5th Most runs in a match (380)', ' Hundred on debut (108)', ' Hundred in each innings of a match ', '7th Fifties in consecutive innings (6)', '2nd Most catches in a series (14)', ' 5000 runs and 50 fielding dismissals ', '1st Winning all tosses in a series (3)', '1st Most runs in an series by a captain (686)', '1st Most ducks in a series (4)', '1st Outstanding bowling analyses in an innings (1/0)', ' 250 runs and 10 wickets in a series ', '10th Fifties in consecutive innings (6)', '4th Most consecutive ducks (4)']</t>
  </si>
  <si>
    <t>['5th Most runs in a match (380)', '33rd Most runs in a series (702)', '38th Most runs on a single ground (1257)', '8th Most runs in an series by a captain (702)', '31st Most runs in an innings by a captain (235)', '22nd Highest career batting average (53.86)', '25th Hundred in last match (182)', '23rd Most hundreds in a career (24)', '17th Most double hundreds in a career (4)', '9th Most hundreds against one team (9)', '39th Most fifties in career (55)', '7th Fifties in consecutive innings (6)', '35th Fastest to 2000 runs (44)', '27th Fastest to 3000 runs (65)', '24th Fastest to 4000 runs (87)', '17th Fastest to 5000 runs (106)', '24th Fastest to 6000 runs (129)', '22nd Fastest to 7000 runs (151)', '16th Best economy rate in an innings (0.45)', '38th Worst career strike rate (113.3)', '20th Most catches in career (122)', '2nd Most catches in a match (7)', '2nd Most catches in a series (14)', '20th Most matches as captain (48)', '23rd Winning all tosses in a series (3)']</t>
  </si>
  <si>
    <t>['1st Most runs in a series (686)', '1st Most runs in an series by a captain (686)', '35th Most runs in an innings by a captain (138*)', '1st Most ducks in a series (4)', '35th Highest percentage of runs in a completed innings (55.67)', '20th Fastest to 1000 runs (26)', '24th Fastest to 2000 runs (54)', '10th Most wickets in a series (22)', '1st Outstanding bowling analyses in an innings (1/0)', '43rd Most wickets on a single ground (32)', '6th Best figures in a innings by a captain (5)', '14th Best figures in a innings when on the losing side (5)', '43rd Most five-wickets-in-an-innings in a career (2)', '37th Oldest player to take five-wickets-in-an-innings (32y 154d)', '1st Winning all tosses in a series (3)']</t>
  </si>
  <si>
    <t>['1st Most runs in an innings (by batting position) (329*)', ' Hundred on debut (151)', '2nd Most double hundreds in a series (2)', ' Hundred and a duck in a match ', '4th Outstanding bowling analyses in an innings (6/9)', ' 5000 runs and 50 fielding dismissals ', '7th Highest partnership for the fifth wicket (334*)', ' 99 not out (and 199, 299 etc) (99*)', '2nd Most catches in an innings (4)', ' 1000 runs, 50 wickets and 50 catches ', ' 5000 runs and 50 fielding dismissals ', '8th Most nineties in career (11)']</t>
  </si>
  <si>
    <t>['21st Most runs in career (8643)', '15th Most runs in an innings (329*)', '27th Most runs in a match (329)', '4th Most runs in a calendar year (1595)', '1st Most runs in an innings (by batting position) (329*)', '20th Most runs on a single ground (1414)', '14th Most runs in a day (224)', '15th Most runs in an series by a captain (626)', '5th Most runs in an innings by a captain (329*)', '49th Highest career batting average (49.10)', '29th Most runs in debut match (168)', '15th Most hundreds in a career (28)', '17th Most double hundreds in a career (4)', '5th Most triple hundreds in a career (1)', '2nd Most double hundreds in a series (2)', '19th Most hundreds in a calendar year (5)', '33rd Most hundreds against one team (7)', '20th Most nineties in career (5)', '39th Most fifties in career (55)', '8th Most innings before first duck (46)', '25th Most fours in career (978)', '14th Most fours in an innings (40)', '23rd Most runs from fours and sixes in an innings (166)', '45th Fastest to 3000 runs (69)', '50th Fastest to 5000 runs (120)', '34th Fastest to 6000 runs (135)', '19th Fastest to 7000 runs (149)', '15th Fastest to 8000 runs (172)', '4th Outstanding bowling analyses in an innings (6/9)', '11th Best strike rate in an innings (6.3)', '15th Most catches in career (134)', '7th Highest partnership for the fifth wicket (334*)', '34th Highest partnership for the sixth wicket (216)', '44th Highest partnership for the seventh wicket (163)', '37th Most matches in career (115)', '39th Most consecutive matches for a team (59)', '12th Most player-of-the-series awards (5)', '22nd Most matches as captain (47)', '38th Most consecutive matches as captain of a team (24)', '47th Winning all tosses in a series (3)']</t>
  </si>
  <si>
    <t>['33rd Most runs in career (7981)', '47th Most runs on a single ground (1014)', '50th Most runs in an series by a captain (331)', '34th Highest career batting average (44.58)', '8th Most nineties in career (6)', '25th Most fifties in career (66)', '40th Most consecutive innings without a duck (65*)', '37th Most fours in career (665)', '50th Fastest to 3000 runs (91)', '47th Fastest to 4000 runs (120)', '39th Fastest to 5000 runs (148)', '26th Fastest to 6000 runs (174)', '15th Fastest to 7000 runs (195)', '14th Best figures in a innings when on the losing side (5)', '26th Most catches in career (106)', '2nd Most catches in an innings (4)', '14th Highest partnership for the fourth wicket (204)', '24th Highest partnership for the sixth wicket (136*)', '46th Most matches in career (245)', '45th Most player-of-the-series awards (3)', '33rd Most matches as captain (74)']</t>
  </si>
  <si>
    <t>['38th Most matches as captain (18)']</t>
  </si>
  <si>
    <t>['18th Best career bowling average (without qualification) (8.00)']</t>
  </si>
  <si>
    <t>['8th Most catches in an innings (3)']</t>
  </si>
  <si>
    <t>['26th Most consecutive matches missed for a team between appearances (39)', '30th Most dismissals in career (23)', '28th Most catches in career (15)', '21st Most catches in an innings (3)', '35th Most stumpings in career (8)']</t>
  </si>
  <si>
    <t>['10th Outstanding bowling analyses in an innings (4/5)']</t>
  </si>
  <si>
    <t>['20th No ducks in career (18)', '11th Best figures in a innings when on the losing side (4)', '16th Best career strike rate (32.2)', '40th Worst career economy rate (4.14)']</t>
  </si>
  <si>
    <t>['45th Most wickets in career (47)', '10th Outstanding bowling analyses in an innings (4/5)', '41st Best career strike rate (20.4)', '30th Worst career economy rate (6.10)', '40th Most balls bowled in career (962)', '40th Most runs conceded in career (979)', '18th Bowler/Batters combinations (4)', '34th Bowler/fielder combinations (8)', '35th Most wickets taken bowled (12)', '38th Most wickets taken caught (27)', '38th Most wickets taken caught by a fielder (23)']</t>
  </si>
  <si>
    <t>['6th Youngest player to take five-wickets-in-an-innings (18y 193d)', '10th Fastest to 150 wickets (31)']</t>
  </si>
  <si>
    <t>['49th Most wickets in a calendar year (59)', '28th Best career bowling average (21.59)', '22nd Best career strike rate (47.1)', '22nd Best figures in a innings on debut (6)', '6th Youngest player to take five-wickets-in-an-innings (18y 193d)', '30th Bowler/fielder combinations (47)', '37th Most wickets taken caught by a wicketkeeper (58)', '21st Fastest to 100 wickets (21)', '10th Fastest to 150 wickets (31)', '27th Most consecutive matches missed for a team between appearances (64)']</t>
  </si>
  <si>
    <t>['17th Fastest to 50 wickets (27)', '21st Fastest to 100 wickets (62)']</t>
  </si>
  <si>
    <t>['34th Best career bowling average (20.62)', '37th Best career economy rate (6.93)', '42nd Best career strike rate (17.8)', '33rd Most wickets taken caught by a fielder (28)', '19th Most maidens in career (3)']</t>
  </si>
  <si>
    <t>['7th Youngest player to take five-wickets-in-an-innings (19y 226d)', '8th Most balls bowled in an innings (324)', '5th Most wickets taken stumped (6)', '10th Most runs in an innings (by batting position) (27)']</t>
  </si>
  <si>
    <t>['11th Most runs in an innings (by batting position) (46*)', '32nd Most wickets in career (25)', '26th Most wickets in a calendar year (15)', '26th Best career bowling average (20.12)', '25th Best career economy rate (1.63)', '14th Best figures in a innings on debut (4)', '7th Youngest player to take five-wickets-in-an-innings (19y 226d)', '39th Most balls bowled in career (1842)', '8th Most balls bowled in an innings (324)', '27th Most balls bowled in a match (396)', '21st Most wickets taken caught (15)', '5th Most wickets taken stumped (6)']</t>
  </si>
  <si>
    <t>['10th Most runs in an innings (by batting position) (27)']</t>
  </si>
  <si>
    <t>['7th Youngest captains (22y 194d)']</t>
  </si>
  <si>
    <t>['27th Youngest players (17y 239d)', '7th Youngest captains (22y 194d)']</t>
  </si>
  <si>
    <t>['7th Most runs in an innings (by batting position) (73)', '1st Most catches in an innings (3)']</t>
  </si>
  <si>
    <t>['7th Most runs in an innings (by batting position) (73)', '1st Most catches in an innings (3)', '2nd Most catches in a match (4)', '12th Highest partnership for the seventh wicket (81)', '20th Oldest players (40y 13d)', '40th Longest careers (12y 64d)']</t>
  </si>
  <si>
    <t>[' Hundred on debut (109)']</t>
  </si>
  <si>
    <t>['1st Dismissed for 99 (and 199, 299 etc) (99)', '5th Ninety on debut (99)']</t>
  </si>
  <si>
    <t>['24th Oldest players (43y 259d)', '38th Longest intervals between appearances (8y 347d)', '17th Most stumpings in career (21)', '4th Most stumpings in an innings (3)', '12th Most stumpings in a match (3)', '18th Most stumpings in a series (5)']</t>
  </si>
  <si>
    <t>['5th Most runs in an innings (by batting position) (81*)', '4th Highest career batting average (53.40)', '7th Outstanding bowling analyses in an innings (4/4)']</t>
  </si>
  <si>
    <t>['5th Most runs in an innings (by batting position) (81*)', '4th Highest career batting average (53.40)', '7th Outstanding bowling analyses in an innings (4/4)', '13th Best career economy rate (2.34)', '19th Best economy rate in an innings (0.33)', '27th Worst career strike rate (57.2)', '48th Most wickets taken bowled (16)']</t>
  </si>
  <si>
    <t>['35th Worst career bowling average (without qualification) (71.66)', '15th Most catches in an innings (3)']</t>
  </si>
  <si>
    <t>['5th Worst economy rate in an innings (12.42)']</t>
  </si>
  <si>
    <t>['24th Worst economy rate in an innings (6.72)', '17th Best figures in a match on debut (9)', '20th Fastest to 50 wickets (10)']</t>
  </si>
  <si>
    <t>['48th Most wickets taken caught by a wicketkeeper (5)']</t>
  </si>
  <si>
    <t>[' Hundred in each innings of a match ', '1st Dismissed for 99 (and 199, 299 etc) (99)', ' Hundred and a duck in a match ', '8th Worst career bowling average (65.80)', '8th Most catches in a match (6)', ' 5000 runs and 50 fielding dismissals ', '5th Fifties in consecutive matches (8)']</t>
  </si>
  <si>
    <t>['34th Most runs in an series by a captain (542)', '1st Dismissed for 99 (and 199, 299 etc) (99)', '26th Fifties in consecutive matches (7)', '8th Worst career bowling average (65.80)', '10th Worst career strike rate (143.6)', '34th Most catches in career (105)', '8th Most catches in a match (6)', '24th Most catches in a series (11)', '39th Highest partnership for the third wicket (264)', '22nd Most consecutive matches for a team (71)', '49th Most matches as captain (30)', '21st Most consecutive matches as captain of a team (30)', '23rd Winning all tosses in a series (3)']</t>
  </si>
  <si>
    <t>['44th Fifties in consecutive innings (4)', '31st Best career bowling average (without qualification) (11.50)', '43rd Oldest living players (77y 248d)']</t>
  </si>
  <si>
    <t>['9th Most byes conceded in an innings (30)']</t>
  </si>
  <si>
    <t>['3rd Most runs in an innings (by batting position) (307)', '5th Most triple hundreds in a career (1)', ' Hundred and a ninety in a match ', '10th Longest individual innings (by balls) (589)']</t>
  </si>
  <si>
    <t>['26th Most runs in an innings (307)', '45th Most runs in a match (307)', '3rd Most runs in an innings (by batting position) (307)', '5th Most triple hundreds in a career (1)', '8th Youngest player to score a triple hundred (25y 129d)', '1st Dismissed for 99 (and 199, 299 etc) (99)', '17th Longest individual innings (by minutes) (727)', '10th Longest individual innings (by balls) (589)', '49th Highest percentage of runs in a completed innings (56.50)', '35th Fastest to 1000 runs (21)', '29th Fastest to 2000 runs (43)']</t>
  </si>
  <si>
    <t>['38th Most matches as a match referee (12)']</t>
  </si>
  <si>
    <t>['38th Highest partnership for the fourth wicket (259)']</t>
  </si>
  <si>
    <t>['3rd Most catches in an innings (3)']</t>
  </si>
  <si>
    <t>['29th No ducks in career (10)', '3rd Most catches in an innings (3)']</t>
  </si>
  <si>
    <t>['2nd Most ducks in a series (5)', '4th Most consecutive ducks (4)', '33rd Best figures in a match on debut (8)']</t>
  </si>
  <si>
    <t>[' Hundred on debut (104)', '10th No ducks in career (31)']</t>
  </si>
  <si>
    <t>['40th Most runs in a day (203)', '24th Most runs in debut match (174)', '10th No ducks in career (31)', '13th Fastest to 1000 runs (18)', '18th Best economy rate in an innings (0.46)', '40th Oldest captains (38y 209d)']</t>
  </si>
  <si>
    <t>['7th Most dismissals in a series (20)', '8th Most catches in a series (18)', ' 200 runs and 10 wicketkeeping dismissals in a series ', '3rd Highest partnership for the sixth wicket (212)']</t>
  </si>
  <si>
    <t>['15th Most runs in a series by a wicketkeeper (375)', '3rd Highest partnership for the sixth wicket (212)', '49th Most dismissals in career (54)', '16th Most dismissals in an innings (5)', '7th Most dismissals in a series (20)', '47th Most catches in career (49)', '8th Most catches in a series (18)']</t>
  </si>
  <si>
    <t>['32nd No ducks in career (18)', '19th Most dismissals in career (23)', '29th Most catches in career (14)', '11th Most stumpings in career (9)']</t>
  </si>
  <si>
    <t>['8th Most consecutive matches for a team (15)', '4th Most consecutive matches as captain of a team (11)', '4th Most runs in an innings by a captain (136)', ' Hundred on debut (104)', '5th Youngest player to score a hundred (20y 138d)', '5th Fifties in consecutive innings (3)', ' Pair by a captain ', '5th Highest partnership for the second wicket (174)', '9th Most consecutive matches for a team (61)', '1st Most consecutive matches as captain of a team (58)', '1st Most runs in an innings by a captain (229*)', '9th Highest career batting average (47.49)', '1st Most hundreds in a calendar year (3)', '3rd Most nineties in career (4)', '5th Fifties in consecutive innings (5)', '1st Most innings before first duck (68)', '8th Highest percentage of runs in a completed innings (57.48)', '4th Most catches in an innings (3)', '7th Highest partnership for the second wicket (194)', '10th Oldest captains on captaincy debut (34y 357d)']</t>
  </si>
  <si>
    <t>['11th Most runs in career (919)', '28th Most runs in an innings (136)', '26th Most runs in a match (169)', '17th Most runs in a series (322)', '20th Most runs in a calendar year (322)', '11th Most runs in an innings (by batting position) (136)', '10th Most runs in an series by a captain (277)', '4th Most runs in an innings by a captain (136)', '13th Highest career batting average (45.95)', '14th Most runs in debut match (117)', '10th Most hundreds in a career (2)', '5th Youngest player to score a hundred (20y 138d)', '6th Most fifties in career (8)', '5th Fifties in consecutive innings (3)', '1st Most innings before first duck (21)', '9th Most consecutive innings without a duck (21)', '22nd Fewest ducks in career (12.5)', '2nd Most pairs in career (1)', '16th Highest partnerships for any wicket (174)', '5th Highest partnership for the second wicket (174)', '17th Most matches in career (15)', '8th Most consecutive matches for a team (15)', '16th Longest careers (14y 213d)', '4th Most matches as captain (11)', '4th Most consecutive matches as captain of a team (11)', '11th Youngest captains (24y 171d)']</t>
  </si>
  <si>
    <t>['3rd Most runs in career (4844)', '2nd Most runs in an innings (229*)', '5th Most runs in an innings (progressive record holder) (229*)', '49th Most runs in a series (445)', '1st Most runs in a calendar year (970)', '2nd Most runs in an innings (by batting position) (229*)', '25th Most runs in a match on the losing side (95)', '8th Most runs on a single ground (609)', '12th Most runs in an series by a captain (445)', '1st Most runs in an innings by a captain (229*)', '9th Highest career batting average (47.49)', '10th Most hundreds in a career (5)', '1st Most hundreds in a calendar year (3)', '11th Most hundreds against one team (2)', '17th Highest maiden hundred (131)', '17th Oldest player to score a hundred (33y 160d)', '3rd Most nineties in career (4)', '7th Most fifties in career (35)', '5th Fifties in consecutive innings (5)', '1st Most innings before first duck (68)', '4th Most consecutive innings without a duck (68)', '5th Fewest ducks in career (38)', '8th Highest percentage of runs in a completed innings (57.48)', '12th Most catches in career (45)', '4th Most catches in an innings (3)', '16th Highest partnerships for any wicket (219)', '7th Highest partnership for the first wicket (219)', '7th Highest partnership for the second wicket (194)', '21st Most matches in career (118)', '9th Most consecutive matches for a team (61)', '26th Longest careers (14y 227d)', '3rd Most matches as captain (101)', '1st Most consecutive matches as captain of a team (58)', '28th Youngest captains (23y 130d)']</t>
  </si>
  <si>
    <t>['12th Oldest captains (34y 357d)', '10th Oldest captains on captaincy debut (34y 357d)']</t>
  </si>
  <si>
    <t>['40th Youngest player to take five-wickets-in-an-innings (20y 93d)', '39th Shortest lived players (33y 332d)']</t>
  </si>
  <si>
    <t>['42nd Most runs in debut match (74)', '41st Best career bowling average (without qualification) (13.00)']</t>
  </si>
  <si>
    <t>['3rd Most runs in an innings (by batting position) (92)']</t>
  </si>
  <si>
    <t>['3rd Most runs in an innings (by batting position) (92)', '45th Fastest to 50 wickets (31)']</t>
  </si>
  <si>
    <t>['24th Most runs in an innings (by batting position) (34)', '35th Best career strike rate (17.1)', '22nd Worst career economy rate (8.26)']</t>
  </si>
  <si>
    <t>['8th Best career economy rate (3.40)', '3rd Best figures in a innings on debut (5)']</t>
  </si>
  <si>
    <t>['42nd Most wickets in a series (18)', '11th Best career bowling average (20.91)', '8th Best career economy rate (3.40)', '3rd Best figures in a innings on debut (5)']</t>
  </si>
  <si>
    <t>['7th Best career economy rate (3.37)']</t>
  </si>
  <si>
    <t>['42nd Most wickets in a series (18)', '7th Best career economy rate (3.37)']</t>
  </si>
  <si>
    <t>['42nd Longest lived players (91y 275d)']</t>
  </si>
  <si>
    <t>['8th Oldest living players (91y 352d)', '6th Fewest ducks in career (61)', '5th Best figures in a match when on the losing side (12)', ' 100 runs and 10 wickets in a match ', '5th Fewest ducks in career (61)']</t>
  </si>
  <si>
    <t>['22nd Most runs in a career without a hundred (1328)', '6th Most innings before first duck (51)', '6th Fewest ducks in career (61)', '33rd Most wickets in a series (33)', '24th Best figures in a innings when on the losing side (7)', '5th Best figures in a match when on the losing side (12)', '15th Best career bowling average (20.53)', '30th Best career economy rate (1.97)', '41st Most five-wickets-in-an-innings in a career (14)', '18th Most consecutive five-wickets-in-an-innings (3)', '34th Bowler/fielder combinations (45)', '29th Highest partnership for the tenth wicket (98)', '8th Oldest living players (91y 352d)']</t>
  </si>
  <si>
    <t>['4th Most runs in an innings (by batting position) (104)', ' Hundred on debut (104)', '2nd No ducks in career (40)']</t>
  </si>
  <si>
    <t>['4th Most runs in an innings (by batting position) (104)', '3rd Hundred in last match (146)', '2nd No ducks in career (40)', '13th Highest partnership for the tenth wicket (120)', '34th Shortest lived players (33y 118d)']</t>
  </si>
  <si>
    <t>[' Pair by a captain ']</t>
  </si>
  <si>
    <t>['17th Most byes conceded in an innings (11)']</t>
  </si>
  <si>
    <t>['24th Best career economy rate (3.68)']</t>
  </si>
  <si>
    <t>['2nd Most catches in a match (4)', '10th Most runs in an innings (by batting position) (68)', '4th Most catches in an innings (3)', '5th Most innings before first duck (34)', '3rd Most catches in an innings (3)']</t>
  </si>
  <si>
    <t>['10th Most runs in an innings (by batting position) (68)', '16th Most runs in a career without a hundred (1265)', '31st Highest career batting average (37.20)', '44th Most catches in career (28)', '4th Most catches in an innings (3)', '47th Most catches in a series (6)', '30th Highest partnership for the seventh wicket (63)']</t>
  </si>
  <si>
    <t>['41st Most runs in career (941)', '38th Most runs in a calendar year (375)', '26th Most runs in an innings (by batting position) (59)', '34th Most fifties in career (3)', '5th Most innings before first duck (34)', '28th Most consecutive innings without a duck (34)', '12th Most catches in career (33)', '3rd Most catches in an innings (3)', '22nd Highest partnership for the fourth wicket (77)', '24th Most consecutive matches for a team (44)']</t>
  </si>
  <si>
    <t>['20th Most runs in debut match (58*)']</t>
  </si>
  <si>
    <t>['5th Best figures in a match when on the losing side (12)', ' Dismissing all eleven batters in a match ']</t>
  </si>
  <si>
    <t>['24th Best figures in a innings when on the losing side (7)', '5th Best figures in a match when on the losing side (12)', '32nd Oldest player to take ten-wickets-in-a-match (34y 73d)']</t>
  </si>
  <si>
    <t>['21st Highest partnership for the fifth wicket (268)', '36th Most consecutive matches missed for a team between appearances (59)']</t>
  </si>
  <si>
    <t>['35th Oldest living players (78y 182d)']</t>
  </si>
  <si>
    <t>['6th Oldest player to score a maiden hundred (31y 219d)', '7th Highest partnership for the fifth wicket (114)']</t>
  </si>
  <si>
    <t>['14th Oldest player to score a hundred (31y 219d)', '6th Oldest player to score a maiden hundred (31y 219d)', '12th Highest partnership for the third wicket (125)', '14th Highest partnership for the fourth wicket (99)']</t>
  </si>
  <si>
    <t>['7th Highest partnership for the fifth wicket (114)', '15th Highest partnership for the seventh wicket (71*)']</t>
  </si>
  <si>
    <t>['29th No ducks in career (10)', '27th Outstanding bowling analyses in an innings (1/2)']</t>
  </si>
  <si>
    <t>['26th Highest partnership for the eighth wicket (48*)', '28th Highest partnership for the tenth wicket (29)']</t>
  </si>
  <si>
    <t>['1st Most runs in a series (453)', '3rd Fifties in consecutive matches (4)', '8th Most runs in debut match (77)']</t>
  </si>
  <si>
    <t>['45th Most runs in an innings (121)', '1st Most runs in a series (453)', '4th Most runs in a match on the losing side (122)', '19th Highest career batting average (41.27)', '20th Most runs in debut match (104)', '28th Highest maiden hundred (121)', '3rd Fifties in consecutive matches (4)']</t>
  </si>
  <si>
    <t>['41st Most runs on a single ground (294)', '20th Highest career batting average (41.00)', '8th Most runs in debut match (77)', '28th Fifties in consecutive innings (3)', '47th Highest partnerships for any wicket (176)', '14th Highest partnership for the second wicket (176)', '43rd Youngest captains (24y 270d)']</t>
  </si>
  <si>
    <t>[' Representing two countries ', '2nd Best career strike rate (37.7)', '8th Fastest to 50 wickets (9)', ' Representing two countries ', '6th Most consecutive four-wickets-in-an-innings (5)']</t>
  </si>
  <si>
    <t>['25th Best figures in a match (13)', '2nd Best career bowling average (12.70)', '2nd Best career strike rate (37.7)', '44th Best career bowling average (without qualification) (12.70)', '17th Best figures in a match on debut (9)', '18th Most consecutive five-wickets-in-an-innings (3)', '23rd Youngest player to take five-wickets-in-an-innings (19y 252d)', '8th Fastest to 50 wickets (9)', '35th Shortest lived players (33y 180d)']</t>
  </si>
  <si>
    <t>['4th Most catches in an innings (3)']</t>
  </si>
  <si>
    <t>['41st Worst career bowling average (without qualification) (64.33)', '23rd Youngest players (17y 232d)']</t>
  </si>
  <si>
    <t>['4th Most catches in an innings (3)', '26th Most catches in a series (7)']</t>
  </si>
  <si>
    <t>['7th Best figures in a match when on the losing side (7)', '5th Most runs in an innings (by batting position) (39*)', '6th Bowler/Batters combinations (5)']</t>
  </si>
  <si>
    <t>['7th Outstanding bowling analyses in an innings (5/23)', '15th Best figures in a innings when on the losing side (4)', '7th Best figures in a match when on the losing side (7)', '22nd Best career bowling average (without qualification) (9.88)', '12th Bowler/Batters combinations (4)']</t>
  </si>
  <si>
    <t>['5th Most runs in an innings (by batting position) (39*)', '49th Worst career bowling average (30.78)', '38th Worst career economy rate (4.15)', '15th Best figures in a innings on debut (3)', '15th Highest partnership for the tenth wicket (36)']</t>
  </si>
  <si>
    <t>['37th Most innings before first duck (13)', '30th Most wickets in career (55)', '22nd Most wickets in a calendar year (20)', '37th Best career strike rate (20.2)', '24th Worst career economy rate (6.19)', '12th Best figures in a innings on debut (3)', '32nd Most balls bowled in career (1113)', '25th Most runs conceded in career (1150)', '6th Bowler/Batters combinations (5)', '44th Most wickets taken bowled (10)', '18th Most wickets taken caught (39)', '19th Most wickets taken caught by a fielder (35)', '41st Most maidens in career (5)', '12th Most maidens in an innings (2)']</t>
  </si>
  <si>
    <t>['7th Best economy rate in an innings (0.20)']</t>
  </si>
  <si>
    <t>['46th Most wickets in a calendar year (21)', '7th Best economy rate in an innings (0.20)']</t>
  </si>
  <si>
    <t>['1st Worst strike rate in an innings (522.0)', '4th Most balls bowled in an innings (522)', '1st Most runs conceded in an innings (298)']</t>
  </si>
  <si>
    <t>['1st Worst strike rate in an innings (522.0)', '4th Most balls bowled in an innings (522)', '1st Most runs conceded in an innings (298)', '6th Most runs conceded in a match (298)']</t>
  </si>
  <si>
    <t>['40th Bowler/fielder combinations (26)', '34th Most wickets taken lbw (26)', '29th Fastest to 100 wickets (65)']</t>
  </si>
  <si>
    <t>['14th No ducks in career (25)']</t>
  </si>
  <si>
    <t>['4th Most wickets in career (60)', '6th Oldest player to take a maiden five-wickets-in-an-innings (33y 112d)', '7th Most balls bowled in career (3603)', '3rd Most runs conceded in career (1147)', '1st Most wickets taken caught by a wicketkeeper (13)', '10th Highest partnership for the eighth wicket (76)', '9th Most runs in an innings (by batting position) (17*)', '2nd Most wickets in career (180)', '1st Oldest player to take five-wickets-in-an-innings (37y 358d)', '3rd Most balls bowled in career (6017)', '1st Bowler/Batters combinations (9)']</t>
  </si>
  <si>
    <t>['4th Most wickets in career (60)', '11th Best figures in a match (9)', '15th Most wickets in a series (17)', '16th Most wickets in a calendar year (17)', '6th Outstanding bowling analyses in an innings (4/15)', '9th Most wickets on a single ground (12)', '17th Best figures in a match when on the losing side (5)', '22nd Best career bowling average (19.11)', '18th Best career strike rate (60.0)', '11th Most five-wickets-in-an-innings in a career (2)', '9th Oldest player to take five-wickets-in-an-innings (33y 124d)', '6th Oldest player to take a maiden five-wickets-in-an-innings (33y 112d)', '7th Most balls bowled in career (3603)', '24th Most balls bowled in a match (402)', '3rd Most runs conceded in career (1147)', '15th Most runs conceded in an innings (103)', '8th Most runs conceded in a match (158)', '1st Bowler/Batters combinations (8)', '5th Bowler/fielder combinations (10)', '4th Most wickets taken bowled (21)', '3rd Most wickets taken caught (30)', '12th Most wickets taken caught by a fielder (17)', '1st Most wickets taken caught by a wicketkeeper (13)', '9th Most wickets taken lbw (9)', '10th Highest partnership for the eighth wicket (76)', '12th Longest careers (15y 18d)']</t>
  </si>
  <si>
    <t>['9th Most runs in an innings (by batting position) (17*)', '2nd Most wickets in career (180)', '30th Best figures in an innings (5/14)', '14th Most wickets in a calendar year (26)', '13th Outstanding bowling analyses in an innings (5/14)', '3rd Most wickets on a single ground (22)', '11th Best figures in a innings when on the losing side (4)', '16th Best career bowling average (16.79)', '22nd Best career strike rate (33.4)', '4th Most five-wickets-in-an-innings in a career (4)', '2nd Most four-wickets-in-an-innings in a career (11)', '3rd Most consecutive four-wickets-in-an-innings (2)', '1st Oldest player to take five-wickets-in-an-innings (37y 358d)', '6th Oldest player to take a maiden five-wickets-in-an-innings (30y 139d)', '3rd Most balls bowled in career (6017)', '13th Most runs conceded in career (3023)', '1st Bowler/Batters combinations (9)', '5th Bowler/fielder combinations (21)', '2nd Most wickets taken bowled (85)', '8th Most wickets taken caught (71)', '31st Most wickets taken caught and bowled (5)', '18th Most wickets taken caught by a fielder (47)', '4th Most wickets taken caught by a wicketkeeper (24)', '9th Most wickets taken lbw (22)', '32nd Most matches in career (109)', '29th Oldest players (39y 1d)', '46th Longest careers (13y 224d)']</t>
  </si>
  <si>
    <t>['45th Oldest players on debut (37y 182d)', '46th Oldest players (38y 228d)']</t>
  </si>
  <si>
    <t>['2nd Hundreds in consecutive innings (4)', ' Hundred and a duck in a match ', '5th Highest partnership for the sixth wicket (346)', '3rd Hundreds in consecutive innings (4)']</t>
  </si>
  <si>
    <t>['2nd Hundreds in consecutive innings (4)', '5th Hundreds in consecutive matches (4)', '26th Fifties in consecutive matches (7)', '26th Fastest to 1000 runs (20)', '48th Highest partnerships for any wicket (346)', '5th Highest partnership for the sixth wicket (346)']</t>
  </si>
  <si>
    <t>['7th Most runs in an series by a captain (507)', '7th Most hundreds against one team (7)', ' 5000 runs and 50 fielding dismissals ', '5th Most consecutive matches as captain of a team (29)', '1st Most runs in an innings by a captain (172)', '8th Highest career strike rate (152.14)', '3rd Fifties in consecutive innings (3)', '4th Most innings before first duck (43)', '1st Most fours in an innings (16)', '1st Highest percentage of runs in a completed innings (75.10)', '3rd Fastest to 2000 runs (62)', '2nd Highest partnership for the first wicket (223)']</t>
  </si>
  <si>
    <t>['31st Most runs in a series (507)', '7th Most runs in an series by a captain (507)', '17th Most runs in an innings by a captain (153*)', '50th Highest career batting average (41.85)', '24th Highest strike rate in an innings (289.47)', '19th Most hundreds in a career (17)', '29th Most hundreds in a calendar year (4)', '7th Most hundreds against one team (7)', '18th Highest maiden hundred (148)', '34th Most nineties in career (4)', '44th Fifties in consecutive innings (4)', '24th Most sixes in career (126)', '38th Most runs from fours and sixes in an innings (106)', '27th Fastest to 1000 runs (27)', '24th Fastest to 2000 runs (54)', '25th Fastest to 3000 runs (82)', '13th Fastest to 4000 runs (105)', '13th Fastest to 5000 runs (126)', '31st Highest partnerships for any wicket (246)', '14th Highest partnership for the first wicket (246)', '26th Most consecutive matches as captain of a team (39*)']</t>
  </si>
  <si>
    <t>['5th Most runs in career (2346)', '1st Most runs in an innings (172)', '5th Most runs in an innings (progressive record holder) (156)', '13th Most runs in a calendar year (531)', '1st Most runs in an innings (by batting position) (172)', '19th Most runs in a match on the losing side (89)', '21st Most runs on a single ground (324)', '1st Most runs in an innings by a captain (172)', '9th Highest career batting average (38.45)', '8th Highest career strike rate (152.14)', '7th Most fifties in career (16)', '3rd Fifties in consecutive innings (3)', '4th Most innings before first duck (43)', '20th Most consecutive innings without a duck (43)', '32nd Most ducks in career (5)', '6th Most sixes in career (104)', '6th Most fours in career (235)', '2nd Most sixes in an innings (14)', '1st Most fours in an innings (16)', '2nd Most runs from fours and sixes in an innings (128)', '1st Longest individual innings (by balls) (76)', '1st Highest percentage of runs in a completed innings (75.10)', '4th Fastest to 1000 runs (29)', '3rd Fastest to 2000 runs (62)', '21st Most catches in career (32)', '15th Most catches in an innings (3)', '2nd Highest partnerships for any wicket (223)', '2nd Highest partnership for the first wicket (223)', '30th Highest partnership for the second wicket (114)', '17th Highest partnership for the third wicket (118)', '6th Highest partnership for the sixth wicket (86)', '36th Most matches in career (71)', '34th Most consecutive matches for a team (32)', '28th Most player-of-the-match awards (5)', '8th Most matches as captain (44)', '47th Most consecutive matches as captain of a team (33*)', '5th Most consecutive matches as captain of a team (29)', '29th Winning all tosses in a series (3)']</t>
  </si>
  <si>
    <t>['6th Most runs in an innings (by batting position) (41*)', '1st Most wickets in a calendar year (29)', '6th Best figures in a match on debut (7)', '1st Most balls bowled in a match (677)', '5th Most runs conceded in career (1047)', '1st Most wickets taken caught and bowled (9)', '1st Most catches in an innings (3)', '5th Highest partnership for the ninth wicket (67*)', '2nd Best career bowling average (13.26)', '3rd Most consecutive four-wickets-in-an-innings (2)', '3rd Most wickets taken caught and bowled (12)']</t>
  </si>
  <si>
    <t>['6th Most runs in an innings (by batting position) (41*)', '45th Highest career batting average (31.66)', '11th Most wickets in career (41)', '5th Most wickets in a series (20)', '1st Most wickets in a calendar year (29)', '15th Best figures in a innings when on the losing side (4)', '17th Best figures in a match when on the losing side (5)', '35th Best career economy rate (1.74)', '14th Best figures in a innings on debut (4)', '6th Best figures in a match on debut (7)', '6th Most balls bowled in career (3610)', '1st Most balls bowled in an innings (407)', '1st Most balls bowled in a match (677)', '5th Most runs conceded in career (1047)', '7th Most runs conceded in a match (161)', '12th Bowler/Batters combinations (4)', '6th Bowler/fielder combinations (9)', '9th Most wickets taken caught (26)', '1st Most wickets taken caught and bowled (9)', '4th Most wickets taken caught by a fielder (23)', '6th Most wickets taken stumped (5)', '3rd Most catches in career (20)', '1st Most catches in an innings (3)', '2nd Most catches in a series (9)', '5th Highest partnership for the ninth wicket (67*)', '23rd Most consecutive matches for a team (12)']</t>
  </si>
  <si>
    <t>['15th No ducks in career (19)', '40th Most wickets in career (73)', '17th Most wickets in a series (23)', '27th Most wickets in a calendar year (23)', '14th Most wickets on a single ground (15)', '2nd Best career bowling average (13.26)', '20th Best career economy rate (2.45)', '17th Best career strike rate (32.4)', '43rd Best strike rate in an innings (9.0)', '7th Most five-wickets-in-an-innings in a career (2)', '9th Most four-wickets-in-an-innings in a career (6)', '3rd Most consecutive four-wickets-in-an-innings (2)', '5th Oldest player to take five-wickets-in-an-innings (32y 286d)', '27th Bowler/fielder combinations (12)', '36th Most wickets taken caught (44)', '3rd Most wickets taken caught and bowled (12)', '27th Most wickets taken caught by a fielder (40)', '4th Most wickets taken stumped (17)']</t>
  </si>
  <si>
    <t>['2nd Captains who have kept wicket (3)', '5th Most catches in a match (5)', '2nd Most runs in an innings by a wicketkeeper (139)', '1st Highest partnership for the sixth wicket (229)', '2nd Captains who have kept wicket (29)', '8th Most catches in career (55)', '3rd Highest partnership for the eighth wicket (80)', '6th Most dismissals in an innings (4)', '2nd Captains who have kept wicket (26)', '5th Most catches in an innings (3)', '6th No ducks in career (20)']</t>
  </si>
  <si>
    <t>['26th Most runs in an innings (139)', '2nd Most runs in an innings (by batting position) (139)', '3rd Most runs in an innings by a captain (139)', '13th Most runs in a series by a wicketkeeper (148)', '2nd Most runs in an innings by a wicketkeeper (139)', '18th Highest maiden hundred (139)', '6th Highest partnerships for any wicket (229)', '6th Highest partnerships by wicket (6th)', '1st Highest partnership for the sixth wicket (229)', '16th Youngest captains (25y 21d)', '2nd Captains who have kept wicket (3)', '13th Most dismissals in a match (5)', '13th Most catches in career (11)', '8th Most catches in an innings (3)', '5th Most catches in a match (5)', '23rd Highest innings total without conceding a bye (201)']</t>
  </si>
  <si>
    <t>['24th Most runs in a career without a hundred (1162)', '18th Highest partnership for the sixth wicket (82)', '27th Highest partnership for the seventh wicket (64)', '3rd Highest partnership for the eighth wicket (80)', '50th Highest partnership for the ninth wicket (34)', '22nd Most matches as captain (29)', '48th Youngest captains (25y 10d)', '2nd Captains who have kept wicket (29)', '11th Most dismissals in career (74)', '17th Most dismissals in an innings (4)', '31st Most dismissals in a series (11)', '8th Most catches in career (55)', '21st Most catches in an innings (3)', '16th Most catches in a series (9)', '16th Most stumpings in career (19)']</t>
  </si>
  <si>
    <t>['6th No ducks in career (20)', '31st Highest partnership for the fifth wicket (58)', '35th Highest partnership for the sixth wicket (43)', '20th Most matches as captain (26)', '2nd Captains who have kept wicket (26)', '11th Most dismissals in career (40)', '6th Most dismissals in an innings (4)', '5th Most catches in career (25)', '5th Most catches in an innings (3)', '18th Most stumpings in career (15)']</t>
  </si>
  <si>
    <t>['6th Best economy rate in an innings (0.35)']</t>
  </si>
  <si>
    <t>['5th Most runs in an innings (by batting position) (69*)', '4th Highest partnership for the ninth wicket (115)', '9th Best career strike rate (14.3)']</t>
  </si>
  <si>
    <t>['5th Most runs in an innings (by batting position) (69*)', '23rd Highest career strike rate (104.24)', '4th Highest partnership for the ninth wicket (115)', '23rd Highest partnership for the tenth wicket (57*)']</t>
  </si>
  <si>
    <t>['32nd No ducks in career (18)', '45th Best figures in an innings (5/27)', '18th Best career bowling average (19.00)', '9th Best career strike rate (14.3)', '37th Worst career economy rate (7.96)', '17th Bowler/batters combinations (3)', '14th Most wickets taken caught and bowled (3)', '43rd Most wickets taken caught by a fielder (26)']</t>
  </si>
  <si>
    <t>['4th Most catches in an innings (3)', '5th Highest partnership for the seventh wicket (87)', '3rd Most runs in a match on the losing side (93)']</t>
  </si>
  <si>
    <t>['15th Most runs in an innings (by batting position) (62*)', '11th Most wickets in a series (24)', '43rd Worst career economy rate (4.10)', '4th Most catches in an innings (3)', '5th Highest partnership for the seventh wicket (87)']</t>
  </si>
  <si>
    <t>['47th Most runs in career (813)', '32nd Most runs in an innings (93)', '3rd Most runs in an innings (by batting position) (73*)', '3rd Most runs in a match on the losing side (93)', '26th Most fifties in career (4)', '22nd Most wickets in a calendar year (20)', '33rd Worst economy rate in an innings (14.50)', '40th Highest partnership for the third wicket (79)', '13th Highest partnership for the fifth wicket (71*)', '30th Highest partnership for the sixth wicket (44)']</t>
  </si>
  <si>
    <t>['1st Best economy rate in an innings (0.09)', '10th Most wickets taken caught by a wicketkeeper (6)', '10th Most nineties in career (2)', '4th Best economy rate in an innings (0.14)', '1st Most catches in an innings (4)', ' Opening the batting and bowling in the same match ']</t>
  </si>
  <si>
    <t>['49th Most wickets in career (20)', '17th Best career economy rate (1.56)', '1st Best economy rate in an innings (0.09)', '25th Worst career strike rate (97.8)', '33rd Most balls bowled in career (1956)', '10th Most wickets taken caught by a wicketkeeper (6)', '23rd Most consecutive matches for a team (12)']</t>
  </si>
  <si>
    <t>['25th Most runs in a career without a hundred (1099)', '10th Most nineties in career (2)', '14th Most innings before first duck (24)', '34th Best career bowling average (19.15)', '24th Best career economy rate (2.65)', '4th Best economy rate in an innings (0.14)', '48th Most balls bowled in career (2773)', '13th Most wickets taken bowled (29)', '1st Most catches in an innings (4)', '47th Highest partnership for the sixth wicket (65)', '39th Longest careers (13y 340d)']</t>
  </si>
  <si>
    <t>['9th Oldest captains on captaincy debut (34y 135d)', '5th Best figures in a match (10)', '2nd Most consecutive five-wickets-in-an-innings (2)', '9th Most balls bowled in a match (448)', '4th Most catches in an innings (3)']</t>
  </si>
  <si>
    <t>['41st Most wickets in career (22)', '5th Best figures in a match (10)', '18th Most wickets in a series (16)', '14th Most wickets on a single ground (10)', '38th Best career bowling average (23.09)', '32nd Best career economy rate (1.68)', '11th Most five-wickets-in-an-innings in a career (2)', '2nd Most ten-wickets-in-a-match in a career (1)', '2nd Most consecutive five-wickets-in-an-innings (2)', '3rd Youngest player to take ten-wickets-in-a-match (27y 17d)', '41st Most balls bowled in career (1808)', '9th Most balls bowled in a match (448)', '12th Bowler/Batters combinations (4)', '9th Oldest captains on captaincy debut (34y 135d)']</t>
  </si>
  <si>
    <t>['4th Most catches in an innings (3)', '15th Oldest captains on captaincy debut (34y 221d)']</t>
  </si>
  <si>
    <t>['3rd Most runs in an innings (by batting position) (133)', '1st Highest partnership for the eighth wicket (181)']</t>
  </si>
  <si>
    <t>['30th Most runs in an innings (133)', '3rd Most runs in an innings (by batting position) (133)', '21st Highest maiden hundred (133)', '12th Highest partnerships for any wicket (181)', '8th Highest partnerships by wicket (8th)', '1st Highest partnership for the eighth wicket (181)']</t>
  </si>
  <si>
    <t>['1st Most catches in a series (15)', ' Opening the batting and bowling in the same match ']</t>
  </si>
  <si>
    <t>['16th Most runs in an innings (by batting position) (100)', '41st Fastest to 50 wickets (11)', '8th Most catches in a match (6)', '1st Most catches in a series (15)']</t>
  </si>
  <si>
    <t>['2nd Most dismissals in career (416)', '7th Most consecutive matches for a team (96)', '8th Most dismissals in a match (9)', '2nd Most catches in career (379)', '5th Most stumpings in career (37)', '3rd Most runs in an innings (by batting position) (204*)', '5th Hundreds in consecutive innings (3)', ' Hundred and a duck in a match ', '2nd Most sixes in career (100)', ' A hundred and five dismissals in an innings ', '1st Most dismissals in a series (27)', '1st Most catches in a series (26)', '3rd Captains who have kept wicket and opened the batting (16)', '8th Most catches in a series (18)', '5th Most stumpings in career (55)', '2nd Most runs in a series by a wicketkeeper (525)', '10th Most hundreds against one team (6)', '1st Dismissed for 99 (and 199, 299 etc) (99)', '5th Most fours in career (1162)', ' A fifty and five dismissals in an innings ', '5th Most dismissals in an innings (4)', '1st Captains who have kept wicket and opened the batting (2)', '3rd Most catches in an innings (4)', '2nd Most dismissals in career (905)', '2nd Most catches in career (813)', '5th Most stumpings in career (92)', '10th Fifties in consecutive innings (6)']</t>
  </si>
  <si>
    <t>['3rd Most runs in an innings (by batting position) (204*)', '6th Most runs in a series by a wicketkeeper (473)', '8th Most runs in an innings by a wicketkeeper (204*)', '50th Highest strike rate in an innings (172.88)', '5th Hundreds in consecutive innings (3)', '21st Hundreds in consecutive matches (3)', '2nd Most sixes in career (100)', '13th Most sixes in an innings (8)', '22nd Fastest to 2000 runs (41)', '17th Fastest to 3000 runs (63)', '37th Highest partnership for the eighth wicket (135)', '7th Most consecutive matches for a team (96)', '44th Most player-of-the-series awards (3)', '16th Captains who have kept wicket (6)', '2nd Most dismissals in career (416)', '4th Most dismissals in a match (10)', '5th Most dismissals in a series (26)', '2nd Most catches in career (379)', '4th Most catches in a match (10)', '11th Most catches in a series (25)', '5th Most stumpings in career (37)', '45th Highest innings total without conceding a bye (551/6d)', '23rd Most byes conceded in an innings (25)']</t>
  </si>
  <si>
    <t>['16th Most runs in career (9619)', '45th Most runs in an innings (172)', '22nd Most runs in a series (525)', '40th Most runs in a calendar year (1241)', '36th Most runs on a single ground (1160)', '2nd Most runs in a series by a wicketkeeper (525)', '4th Most runs in an innings by a wicketkeeper (172)', '44th Highest career strike rate (96.94)', '23rd Most hundreds in a career (16)', '10th Most hundreds against one team (6)', '21st Oldest player to score a hundred (36y 93d)', '8th Most nineties in career (6)', '1st Dismissed for 99 (and 199, 299 etc) (99)', '20th Most fifties in career (71)', '18th Most ducks in career (19)', '15th Most sixes in career (149)', '5th Most fours in career (1162)', '44th Most sixes in an innings (8)', '45th Fastest to 5000 runs (153)', '26th Fastest to 6000 runs (174)', '21st Fastest to 7000 runs (206)', '19th Fastest to 8000 runs (230)', '12th Fastest to 9000 runs (261)', '34th Highest partnership for the first wicket (206)', '17th Highest partnership for the second wicket (225)', '26th Most matches in career (287)', '16th Most consecutive matches for a team (97)', '12th Most player-of-the-match awards (28)', '45th Most player-of-the-series awards (3)', '14th Captains who have kept wicket (17)', '3rd Captains who have kept wicket and opened the batting (16)', '2nd Most dismissals in career (472)', '1st Most dismissals in an innings (6)', '1st Most dismissals in a series (27)', '1st Most catches in career (417)', '1st Most catches in an innings (6)', '1st Most catches in a series (26)', '5th Most stumpings in career (55)', '7th Most stumpings in a series (5)']</t>
  </si>
  <si>
    <t>['30th Oldest living players (49y 121d)', '29th Captains who have kept wicket (2)', '1st Captains who have kept wicket and opened the batting (2)', '42nd Oldest captains on captaincy debut (35y 310d)', '5th Most dismissals in an innings (4)', '20th Most catches in career (17)', '3rd Most catches in an innings (4)']</t>
  </si>
  <si>
    <t>['7th Most balls bowled in a match (708)', ' Opening the batting and bowling in the same match ']</t>
  </si>
  <si>
    <t>['18th Oldest player to score a maiden hundred (35y 262d)', '22nd Most wickets in a series (34)', '16th Best figures in a innings by a captain (6)', '35th Best figures in a match by a captain (8)', '24th Best figures in a innings when on the losing side (7)', '49th Oldest player to take ten-wickets-in-a-match (32y 308d)', '16th Most balls bowled in an innings (470)', '7th Most balls bowled in a match (708)', '17th Most wickets taken caught and bowled (10)', '45th Oldest captains on captaincy debut (35y 277d)']</t>
  </si>
  <si>
    <t>['4th Outstanding bowling analyses in an innings (6/14)', '2nd Most consecutive five-wickets-in-an-innings (2)']</t>
  </si>
  <si>
    <t>['31st Best career strike rate (49.2)']</t>
  </si>
  <si>
    <t>['16th Best figures in an innings (6/14)', '4th Outstanding bowling analyses in an innings (6/14)', '14th Best figures in a innings when on the losing side (5)', '22nd Best career bowling average (without qualification) (10.31)', '43rd Most five-wickets-in-an-innings in a career (2)', '2nd Most consecutive five-wickets-in-an-innings (2)', '13th Most consecutive four-wickets-in-an-innings (2)', '36th Longest lived players (62y 349d)']</t>
  </si>
  <si>
    <t>['27th Most runs conceded in a match (267)']</t>
  </si>
  <si>
    <t>['5th Most dismissals in an innings (6)', '5th Most catches in an innings (6)', '10th Most stumpings in career (24)', '7th Most byes conceded in an innings (31)']</t>
  </si>
  <si>
    <t>['21st Most dismissals in career (187)', '5th Most dismissals in an innings (6)', '35th Most dismissals in a match (8)', '19th Most dismissals in a series (23)', '24th Most catches in career (163)', '5th Most catches in an innings (6)', '26th Most catches in a match (8)', '43rd Most catches in a series (20)', '10th Most stumpings in career (24)', '7th Most byes conceded in an innings (31)']</t>
  </si>
  <si>
    <t>['32nd Hundred in last match (201*)', '33rd Highest maiden hundred (201*)', '42nd Most wickets in career (259)', '14th Bowler/fielder combinations (58)', '49th Most wickets taken caught (154)', '30th Most wickets taken caught by a wicketkeeper (66)', '26th Most wickets taken lbw (59)', '48th Fastest to 100 wickets (24)', '34th Fastest to 250 wickets (68)', '15th Highest partnership for the fourth wicket (320)', '16th Highest partnership for the tenth wicket (114)']</t>
  </si>
  <si>
    <t>['25th Most five-wickets-in-an-innings in a career (3)', '26th Bowler/fielder combinations (32)', '33rd Fastest to 100 wickets (66)']</t>
  </si>
  <si>
    <t>['3rd Most runs in an innings (by batting position) (204)', ' Hundred on debut (204)', '1st Most double hundreds in a career (1)', '3rd Highest percentage of runs in a completed innings (59.30)']</t>
  </si>
  <si>
    <t>['5th Most runs in an innings (204)', '6th Most runs in an innings (progressive record holder) (204)', '9th Most runs in a match (204)', '3rd Most runs in an innings (by batting position) (204)', '1st Most runs in debut match (204)', '1st Most double hundreds in a career (1)', '4th Highest maiden hundred (204)', '17th Youngest player to score a hundred (23y 260d)', '2nd Youngest player to score a double hundred (23y 260d)', '3rd Highest percentage of runs in a completed innings (59.30)', '24th Highest partnership for the seventh wicket (66)']</t>
  </si>
  <si>
    <t>['8th Shortest lived players (26y 102d)']</t>
  </si>
  <si>
    <t>['3rd Most wickets in a series (44)', '5th Best figures in a match on debut (11)', '2nd Oldest player to take ten-wickets-in-a-match (44y 65d)', '6th Most runs conceded in a match (298)', '4th Most wickets taken stumped (28)', '2nd Fastest to 200 wickets (36)']</t>
  </si>
  <si>
    <t>['13th Best figures in a match (14)', '3rd Most wickets in a series (44)', '40th Best figures in a match when on the losing side (10)', '19th Worst strike rate in an innings (384.0)', '22nd Best figures in a innings on debut (6)', '5th Best figures in a match on debut (11)', '21st Most five-wickets-in-an-innings in a career (21)', '6th Most ten-wickets-in-a-match in a career (7)', '18th Most consecutive five-wickets-in-an-innings (3)', '3rd Most consecutive ten-wickets-in-a-match (3)', '4th Oldest player to take five-wickets-in-an-innings (44y 65d)', '2nd Oldest player to take ten-wickets-in-a-match (44y 65d)', '20th Most balls bowled in a match (656)', '6th Most runs conceded in a match (298)', '32nd Bowler/Batter combinations (11)', '45th Most wickets taken bowled (56)', '13th Most wickets taken caught and bowled (11)', '4th Most wickets taken stumped (28)', '20th Fastest to 50 wickets (10)', '2nd Fastest to 100 wickets (17)', '4th Fastest to 150 wickets (28)', '2nd Fastest to 200 wickets (36)', '22nd Oldest players (44y 69d)']</t>
  </si>
  <si>
    <t>[' Hundred on debut (107)']</t>
  </si>
  <si>
    <t>['9th Longest careers (22y 32d)', '3rd Oldest captains on captaincy debut (42y 43d)', '10th Most runs in an innings (by batting position) (201)', '8th Highest partnership for the ninth wicket (154)', '9th Longest careers (22y 32d)']</t>
  </si>
  <si>
    <t>['10th Most runs in an innings (by batting position) (201)', '37th Most runs in a match on the losing side (217)', '36th Highest maiden hundred (201)', '8th Highest partnership for the ninth wicket (154)', '38th Oldest players (42y 130d)', '9th Longest careers (22y 32d)', '7th Oldest captains (42y 130d)', '3rd Oldest captains on captaincy debut (42y 43d)']</t>
  </si>
  <si>
    <t>['6th Outstanding bowling analyses in an innings (3/4)', '4th Best economy rate in an innings (0.30)', ' Opening the batting and bowling in the same match ']</t>
  </si>
  <si>
    <t>['6th Outstanding bowling analyses in an innings (3/4)', '4th Best economy rate in an innings (0.30)', '19th Longest lived players (93y 353d)']</t>
  </si>
  <si>
    <t>['5th Highest partnership for the first wicket (235)']</t>
  </si>
  <si>
    <t>['41st Most runs in a series (480)', '20th Highest maiden hundred (123)', '32nd Fewest ducks in career (21.5)', '47th Most catches in a series (6)', '9th Highest partnerships for any wicket (235)', '5th Highest partnership for the first wicket (235)']</t>
  </si>
  <si>
    <t>['34th Most fifties in career (3)', '43rd Fewest ducks in career (15.5)', '26th Highest percentage of runs in a completed innings (58.73)', '15th Highest partnerships for any wicket (147)', '9th Highest partnership for the first wicket (147)', '11th Highest partnership for the sixth wicket (55*)']</t>
  </si>
  <si>
    <t>['16th Ninety on debut (90)']</t>
  </si>
  <si>
    <t>['16th Best economy rate in an innings (0.80)', '36th Oldest living players (78y 157d)']</t>
  </si>
  <si>
    <t>['35th Highest strike rate in an innings (182.60)', '48th Highest partnership for the tenth wicket (82)']</t>
  </si>
  <si>
    <t>['42nd Most wickets in a series (18)']</t>
  </si>
  <si>
    <t>['6th Worst career strike rate (79.3)']</t>
  </si>
  <si>
    <t>['46th Fewest ducks in career (25)', '15th Highest partnership for the tenth wicket (117*)']</t>
  </si>
  <si>
    <t>['33rd Best career economy rate (3.83)', '27th Worst career bowling average (50.69)', '6th Worst career strike rate (79.3)']</t>
  </si>
  <si>
    <t>['47th Oldest players on debut (37y 77d)', '30th Oldest players (42y 295d)']</t>
  </si>
  <si>
    <t>[' 1000 runs and 100 wickets ', '1st Most runs in an innings (by batting position) (95*)', '1st Best figures in a innings when on the losing side (6)', '2nd Most catches in an innings (4)', ' 1000 runs and 100 wickets ']</t>
  </si>
  <si>
    <t>['15th Best figures in a match when on the losing side (11)', '25th Best strike rate in an innings (7.6)']</t>
  </si>
  <si>
    <t>['1st Most runs in an innings (by batting position) (95*)', '1st Best figures in a innings when on the losing side (6)', '25th Most five-wickets-in-an-innings in a career (3)', '16th Most four-wickets-in-an-innings in a career (12)', '13th Most consecutive four-wickets-in-an-innings (2)', '33rd Youngest player to take five-wickets-in-an-innings (21y 334d)', '48th Most runs conceded in an innings (91)', '40th Bowler/fielder combinations (26)', '49th Most wickets taken caught (118)', '42nd Most wickets taken caught by a fielder (90)', '2nd Most catches in an innings (4)', '24th Most catches in a series (8)']</t>
  </si>
  <si>
    <t>['14th Most runs in an innings (by batting position) (37)']</t>
  </si>
  <si>
    <t>['15th Oldest players on debut (39y 360d)']</t>
  </si>
  <si>
    <t>['18th Worst strike rate in an innings (216.0)', '21st Most balls bowled in a match (408)']</t>
  </si>
  <si>
    <t>['17th Most runs in a career without a hundred (436)']</t>
  </si>
  <si>
    <t>['46th Highest partnership for the ninth wicket (103)']</t>
  </si>
  <si>
    <t>[' Hundred on debut (132*)', ' Carrying bat through a completed innings (132*)']</t>
  </si>
  <si>
    <t>['48th Most runs in debut match (153)']</t>
  </si>
  <si>
    <t>['17th Oldest players (44y 341d)', '34th Longest intervals between appearances (9y 143d)']</t>
  </si>
  <si>
    <t>['6th Oldest players on debut (41y 337d)']</t>
  </si>
  <si>
    <t>['38th Best career bowling average (without qualification) (12.00)', '6th Oldest players on debut (41y 337d)']</t>
  </si>
  <si>
    <t>['9th Most runs in an innings (by batting position) (134*)', '1st Hundred in last match (134*)', '8th Oldest player to score a maiden hundred (38y 96d)']</t>
  </si>
  <si>
    <t>['5th Most consecutive matches for a team (63)', '4th Most runs in an innings (by batting position) (124)', '1st Most ducks in career (13)', '10th Bowler/fielder combinations (11)', '2nd Highest partnership for the fourth wicket (139)']</t>
  </si>
  <si>
    <t>['44th Highest maiden hundred (110)', '48th Most consecutive innings without a duck (31)', '40th Highest partnership for the tenth wicket (26)']</t>
  </si>
  <si>
    <t>['18th Most runs in career (1675)', '6th Most runs in an innings (124)', '26th Most runs in a calendar year (422)', '4th Most runs in an innings (by batting position) (124)', '21st Most runs on a single ground (213)', '16th Most fifties in career (9)', '1st Most ducks in career (13)', '48th Most wickets in career (46)', '22nd Most wickets in a calendar year (20)', '14th Best career bowling average (15.54)', '38th Best career economy rate (5.65)', '11th Best career strike rate (16.5)', '30th Best strike rate in an innings (3.6)', '10th Bowler/fielder combinations (11)', '26th Most wickets taken caught (33)', '27th Most wickets taken caught by a fielder (28)', '23rd Most wickets taken caught by a wicketkeeper (5)', '32nd Most wickets taken stumped (6)', '21st Most catches in career (27)', '15th Highest partnerships for any wicket (147)', '9th Highest partnership for the first wicket (147)', '35th Highest partnership for the second wicket (96)', '2nd Highest partnership for the fourth wicket (139)', '5th Most matches in career (116)', '5th Most consecutive matches for a team (63)']</t>
  </si>
  <si>
    <t>['16th Worst economy rate in an innings (6.86)']</t>
  </si>
  <si>
    <t>['5th Outstanding bowling analyses in an innings (4/7)', '7th Oldest player to take ten-wickets-in-a-match (37y 348d)', '3rd Most balls bowled in a match (749)']</t>
  </si>
  <si>
    <t>['25th Best figures in a match (13)', '5th Outstanding bowling analyses in an innings (4/7)', '30th Best career economy rate (1.97)', '43rd Worst strike rate in an innings (342.0)', '18th Most consecutive five-wickets-in-an-innings (3)', '28th Oldest player to take five-wickets-in-an-innings (37y 348d)', '7th Oldest player to take ten-wickets-in-a-match (37y 348d)', '14th Oldest player to take a maiden five-wickets-in-an-innings (37y 314d)', '22nd Most balls bowled in an innings (453)', '3rd Most balls bowled in a match (749)', '48th Most runs conceded in a match (256)', '41st Oldest captains (38y 147d)', '18th Oldest captains on captaincy debut (38y 17d)']</t>
  </si>
  <si>
    <t>['3rd Longest careers (25y 13d)', '5th Oldest player to score a hundred (42y 61d)', ' Hundred and a duck in a match ', '1st Outstanding bowling analyses in an innings (1/0)', '5th Oldest player to take five-wickets-in-an-innings (42y 242d)', '8th Most catches in a match (6)', ' Opening the batting and bowling in the same match ', ' 1000 runs, 50 wickets and 50 catches ', '3rd Longest careers (25y 13d)']</t>
  </si>
  <si>
    <t>['5th Oldest player to score a hundred (42y 61d)', '1st Outstanding bowling analyses in an innings (1/0)', '44th Best strike rate in an innings (9.2)', '40th Worst strike rate in an innings (344.0)', '5th Oldest player to take five-wickets-in-an-innings (42y 242d)', '8th Most catches in a match (6)', '42nd Most catches in a series (10)', '21st Highest partnership for the ninth wicket (128)', '8th Oldest players (47y 87d)', '3rd Longest careers (25y 13d)', '44th Longest lived players (91y 144d)']</t>
  </si>
  <si>
    <t>['8th Highest career batting average (48.00)', '10th Most nineties in career (2)']</t>
  </si>
  <si>
    <t>['8th Highest career batting average (48.00)', '49th Highest maiden hundred (107*)', '33rd Oldest player to score a hundred (30y 14d)', '21st Oldest player to score a maiden hundred (30y 14d)', '10th Most nineties in career (2)', '33rd Most innings before first duck (16)']</t>
  </si>
  <si>
    <t>['5th Worst career bowling average (58.93)', '4th Most ducks in career (9)']</t>
  </si>
  <si>
    <t>['5th Worst career bowling average (58.93)', '14th Worst career strike rate (69.2)', '29th Highest partnership for the seventh wicket (107)']</t>
  </si>
  <si>
    <t>['11th Most runs in an innings (by batting position) (99*)', '4th Most ducks in career (9)', '48th Most wickets taken caught by a wicketkeeper (5)']</t>
  </si>
  <si>
    <t>['10th Most consecutive matches missed for a team between appearances (57)', '2nd Most runs in an innings (by batting position) (85*)', '4th Most catches in an innings (3)']</t>
  </si>
  <si>
    <t>['2nd Most runs in an innings (by batting position) (85*)', '4th Most catches in an innings (3)', '39th Highest partnership for the sixth wicket (68)', '10th Most consecutive matches missed for a team between appearances (57)']</t>
  </si>
  <si>
    <t>['34th Highest partnership for the sixth wicket (43*)']</t>
  </si>
  <si>
    <t>['4th Worst career bowling average (without qualification) (281.00)']</t>
  </si>
  <si>
    <t>['1st Outstanding bowling analyses in an innings (1/0)', '24th Best figures in a innings when on the losing side (7)', '13th Best career bowling average (20.39)', '16th Best career economy rate (1.89)', '24th Best strike rate in an innings (7.5)', '18th Most consecutive five-wickets-in-an-innings (3)', '36th Oldest player to take ten-wickets-in-a-match (33y 359d)']</t>
  </si>
  <si>
    <t>['33rd Most consecutive matches missed for a team between appearances (60)']</t>
  </si>
  <si>
    <t>['5th Outstanding bowling analyses in an innings (4/7)']</t>
  </si>
  <si>
    <t>['38th Worst career economy rate (5.70)', '46th Oldest player to take a maiden five-wickets-in-an-innings (30y 153d)']</t>
  </si>
  <si>
    <t>['5th Outstanding bowling analyses in an innings (4/7)', '24th Best career strike rate (16.3)', '31st Best strike rate in an innings (4.5)', '28th Worst career economy rate (8.19)', '17th Bowler/batters combinations (3)']</t>
  </si>
  <si>
    <t>['10th Longest careers (16y 19d)', '6th Most ducks in career (4)']</t>
  </si>
  <si>
    <t>['14th Most runs in an innings (by batting position) (70)', '6th Most ducks in career (4)', '14th Highest partnership for the sixth wicket (83)', '10th Longest careers (16y 19d)']</t>
  </si>
  <si>
    <t>['3rd No ducks in career (25)']</t>
  </si>
  <si>
    <t>['32nd Best career strike rate (30.7)', '23rd Worst economy rate in an innings (11.40)']</t>
  </si>
  <si>
    <t>['19th Fewest ducks in career (33)', '27th Longest careers (19y 14d)', '42nd Longest intervals between appearances (8y 309d)']</t>
  </si>
  <si>
    <t>['24th Best figures in a innings when on the losing side (7)', '24th Worst strike rate in an innings (368.0)', '50th Oldest player to take ten-wickets-in-a-match (32y 304d)', '11th Most runs conceded in a match (288)', '18th Bowler/Batter combinations (12)']</t>
  </si>
  <si>
    <t>['9th Worst economy rate in an innings (7.07)']</t>
  </si>
  <si>
    <t>['27th Most wickets in career (325)', '34th Best figures in an innings (8/43)', '16th Best figures in a innings by a captain (6)', '21st Best figures in a match by a captain (9)', '9th Worst economy rate in an innings (7.07)', '32nd Most five-wickets-in-an-innings in a career (16)', '36th Most balls bowled in career (17357)', '35th Most runs conceded in career (8190)', '32nd Bowler/Batter combinations (11)', '27th Most wickets taken bowled (68)', '26th Most wickets taken caught (222)', '21st Most wickets taken caught by a fielder (155)', '27th Most wickets taken caught by a wicketkeeper (67)', '37th Fastest to 250 wickets (70)', '27th Fastest to 300 wickets (81)', '23rd Winning all tosses in a series (3)']</t>
  </si>
  <si>
    <t>['26th Best figures in a innings by a captain (4)', '4th Best career economy rate (3.28)', '48th Best economy rate in an innings (1.00)', '25th Bowler/Batters combinations (8)', '20th Longest lived players (70y 188d)']</t>
  </si>
  <si>
    <t>['30th Most matches as an umpire (22)']</t>
  </si>
  <si>
    <t>['18th Best career economy rate (1.91)', '13th Worst career strike rate (139.2)', '30th Worst strike rate in an innings (360.0)']</t>
  </si>
  <si>
    <t>['24th Worst career bowling average (51.19)', '27th Worst career strike rate (63.4)']</t>
  </si>
  <si>
    <t>['21st Best career bowling average (without qualification) (8.71)', '41st Youngest captains (25y 234d)']</t>
  </si>
  <si>
    <t>['5th Most dismissals in an innings (6)', '5th Most catches in an innings (6)', '10th Captains who have kept wicket (12)', '10th Highest innings total without conceding a bye (632/4d)', '7th Most runs in a series by a wicketkeeper (465)', ' Hundred in each innings of a match ', '9th Fifties in consecutive matches (9)', '5th Most consecutive innings without a duck (86)', ' Carrying bat through a completed innings (69*)', ' 300 runs and 15 wicketkeeping dismissals in a series ', '1st Most dismissals in an innings (6)', '1st Most catches in an innings (6)', '1st Captains who have kept wicket and opened the batting (28)', '6th Most consecutive ducks (3)', ' Carrying bat through a completed innings (100*)', ' A hundred and four dismissals in an innings ', '3rd Most consecutive innings without a duck (135)']</t>
  </si>
  <si>
    <t>['26th Most runs in career (8463)', '48th Most runs in a calendar year (1222)', '17th Most runs on a single ground (1476)', '7th Most runs in a series by a wicketkeeper (465)', '17th Most runs in an innings by a wicketkeeper (173)', '4th Hundred in hundredth match (105)', '27th Most fifties in career (60)', '32nd Fifties in consecutive innings (5)', '9th Fifties in consecutive matches (9)', '19th Most innings before first duck (40)', '5th Most consecutive innings without a duck (86)', '16th Most fours in career (1121)', '25th Highest partnership for the tenth wicket (103)', '16th Most matches in career (133)', '32nd Most consecutive matches for a team (62)', '46th Oldest captains (38y 57d)', '10th Captains who have kept wicket (12)', '11th Most dismissals in career (241)', '5th Most dismissals in an innings (6)', '35th Most dismissals in a match (8)', '19th Most dismissals in a series (23)', '11th Most catches in career (227)', '5th Most catches in an innings (6)', '26th Most catches in a match (8)', '20th Most catches in a series (23)', '32nd Most stumpings in career (14)', '10th Highest innings total without conceding a bye (632/4d)', '23rd Most byes conceded in an innings (25)']</t>
  </si>
  <si>
    <t>['12th Most runs in a series by a wicketkeeper (408)', '16th Oldest player to score a hundred (37y 103d)', '11th Fifties in consecutive innings (5)', '6th Most consecutive ducks (3)', '34th Winning all tosses in a series (5)', '16th Oldest captains (39y 317d)', '5th Captains who have kept wicket (39)', '1st Captains who have kept wicket and opened the batting (28)', '20th Most dismissals in career (163)', '1st Most dismissals in an innings (6)', '17th Most catches in career (148)', '1st Most catches in an innings (6)', '25th Most stumpings in career (15)']</t>
  </si>
  <si>
    <t>['1st Most runs in an innings (by batting position) (258)', ' Hundred and a ninety in a match ', '2nd Most sixes in an innings (11)', '1st Most catches in an innings (5)', ' 1000 runs and 100 wickets ', ' 1000 runs, 50 wickets and 50 catches ', '1st Highest partnership for the sixth wicket (399)', '1st Dismissed for 99 (and 199, 299 etc) (99)', '5th Unusual dismissals (obstructing the)', '9th Worst career economy rate (6.01)', '4th Most consecutive ducks (4)']</t>
  </si>
  <si>
    <t>['1st Most runs in an innings (by batting position) (258)', '23rd Highest strike rate in an innings (200.00)', '13th Most sixes in career (79)', '2nd Most sixes in an innings (11)', '12th Most runs from fours and sixes in an innings (186)', '1st Most catches in an innings (5)', '8th Most catches in a match (6)', '10th Most catches in a series (12)', '16th Highest partnerships for any wicket (399)', '6th Highest partnerships by wicket (6th)', '1st Highest partnership for the sixth wicket (399)', '32nd Most player-of-the-match awards (9)', '44th Most player-of-the-series awards (3)']</t>
  </si>
  <si>
    <t>['1st Dismissed for 99 (and 199, 299 etc) (99)', '22nd Most sixes in an innings (10)', '5th Unusual dismissals (obstructing the)', '14th Best figures in a innings when on the losing side (5)', '9th Worst career economy rate (6.01)', '40th Youngest player to take five-wickets-in-an-innings (22y 104d)']</t>
  </si>
  <si>
    <t>['24th Most runs in an innings (by batting position) (55*)', '40th No ducks in career (15)', '26th Highest partnership for the sixth wicket (69*)']</t>
  </si>
  <si>
    <t>['10th Outstanding bowling analyses in an innings (2/2)']</t>
  </si>
  <si>
    <t>['24th Best strike rate in an innings (18.0)', '13th Worst strike rate in an innings (234.0)', '17th Most runs conceded in an innings (102)']</t>
  </si>
  <si>
    <t>['45th Best career bowling average (without qualification) (14.00)']</t>
  </si>
  <si>
    <t>['10th Oldest players (46y 202d)', '3rd Most catches by a substitute in an innings (3)']</t>
  </si>
  <si>
    <t>['3rd Most catches by a substitute in an innings (3)', '6th Most catches by a substitute in a match (3)', '10th Oldest players (46y 202d)', '37th Most dismissals in a series (21)', '37th Most stumpings in career (12)', '12th Most stumpings in a match (3)', '12th Most stumpings in a series (6)']</t>
  </si>
  <si>
    <t>['1st Most runs in an innings (by batting position) (129)', '5th Most hundreds in a calendar year (2)', '1st Outstanding bowling analyses in an innings (1/0)', ' 250 runs and 10 wickets in a series ', '2nd Highest partnership for the seventh wicket (104)', '10th Most runs in an innings (by batting position) (82)', '3rd Most catches in an innings (3)', '2nd Highest partnership for the third wicket (169*)']</t>
  </si>
  <si>
    <t>['12th Worst career bowling average (without qualification) (87.00)']</t>
  </si>
  <si>
    <t>['43rd Most runs in career (1981)', '38th Most runs in an innings (137)', '28th Most runs in a series (575)', '1st Most runs in an innings (by batting position) (129)', '47th Most runs on a single ground (286)', '23rd Highest career batting average (39.62)', '19th Most hundreds in a career (3)', '6th Most hundreds in a series (2)', '5th Most hundreds in a calendar year (2)', '11th Most hundreds against one team (2)', '12th Highest maiden hundred (137)', '29th Most fifties in career (17)', '38th Fewest ducks in career (20.33)', '33rd Highest percentage of runs in a completed innings (52.79)', '1st Outstanding bowling analyses in an innings (1/0)', '23rd Worst career economy rate (4.36)', '42nd Most catches in career (29)', '20th Most catches in a series (8)', '7th Highest partnerships by wicket (7th)', '3rd Highest partnership for the fifth wicket (146*)', '46th Highest partnership for the sixth wicket (65*)', '2nd Highest partnership for the seventh wicket (104)', '9th Highest partnership for the tenth wicket (42)', '38th Most consecutive matches for a team (41)']</t>
  </si>
  <si>
    <t>['20th Most runs in career (1570)', '30th Most runs in a calendar year (406)', '10th Most runs in an innings (by batting position) (82)', '24th Highest career batting average (25.32)', '16th Most fifties in career (9)', '13th Most innings before first duck (23)', '25th Fewest ducks in career (20)', '18th Most wickets in career (67)', '26th Outstanding bowling analyses in an innings (3/4)', '36th Best career bowling average (19.02)', '18th Best career strike rate (17.9)', '15th Worst career economy rate (6.37)', '13th Most four-wickets-in-an-innings in a career (2)', '26th Most balls bowled in career (1200)', '19th Most runs conceded in career (1275)', '27th Most wickets taken bowled (14)', '16th Most wickets taken caught (42)', '20th Most wickets taken caught and bowled (3)', '13th Most wickets taken caught by a fielder (39)', '25th Most wickets taken stumped (7)', '5th Most catches in career (40)', '3rd Most catches in an innings (3)', '9th Highest partnerships for any wicket (169*)', '2nd Highest partnership for the third wicket (169*)', '18th Highest partnership for the fifth wicket (66)', '33rd Most matches in career (83)', '30th Most consecutive matches for a team (39)']</t>
  </si>
  <si>
    <t>['48th Oldest living players (47y 322d)']</t>
  </si>
  <si>
    <t>['41st Shortest lived players (34y 34d)']</t>
  </si>
  <si>
    <t>['15th Shortest lived players (34y 34d)']</t>
  </si>
  <si>
    <t>['9th Highest partnership for the ninth wicket (151)']</t>
  </si>
  <si>
    <t>['3rd Most runs in a match on the losing side (303)', '7th Highest career batting average (60.73)', ' Hundred in each innings of a match ', '1st Dismissed for 99 (and 199, 299 etc) (99)', '1st Fastest to 1000 runs (12)', '6th Hundreds in consecutive innings (3)']</t>
  </si>
  <si>
    <t>['21st Most runs in a series (734)', '3rd Most runs in a match on the losing side (303)', '7th Highest career batting average (60.73)', '2nd Most hundreds in a series (4)', '19th Most hundreds in a calendar year (5)', '15th Most hundreds against one team (8)', '5th Hundreds in consecutive innings (3)', '21st Hundreds in consecutive matches (3)', '1st Dismissed for 99 (and 199, 299 etc) (99)', '32nd Fifties in consecutive innings (5)', '38th Most consecutive innings without a duck (56)', '11th Fewest ducks in career (42)', '1st Fastest to 1000 runs (12)', '3rd Fastest to 2000 runs (33)', '3rd Fastest to 3000 runs (52)', '2nd Fastest to 4000 runs (68)']</t>
  </si>
  <si>
    <t>['2nd Most dismissals in career (43)', '4th Most matches in career (21)', '5th Most dismissals in a series (11)', '2nd Most catches in a series (10)', '4th Highest innings total without conceding a bye (303/5d)', '5th Most runs in a career without a hundred (554)', '4th Most dismissals in career (114)', '6th Most catches in career (69)', '3rd Most stumpings in a series (9)']</t>
  </si>
  <si>
    <t>['31st Most runs in career (554)', '10th Most runs in an innings (by batting position) (69)', '17th Most runs in a series by a wicketkeeper (118)', '5th Most runs in a career without a hundred (554)', '11th Most innings before first duck (12)', '18th Fewest ducks in career (15)', '18th Highest partnership for the eighth wicket (56)', '13th Highest partnership for the tenth wicket (41)', '4th Most matches in career (21)', '23rd Most consecutive matches for a team (12)', '17th Longest careers (14y 194d)', '2nd Most dismissals in career (43)', '13th Most dismissals in a match (5)', '5th Most dismissals in a series (11)', '2nd Most catches in career (39)', '8th Most catches in an innings (3)', '11th Most catches in a match (4)', '2nd Most catches in a series (10)', '4th Highest innings total without conceding a bye (303/5d)', '10th Most byes conceded in an innings (16)']</t>
  </si>
  <si>
    <t>['24th Most runs in an innings by a wicketkeeper (91)', '34th Most runs in a career without a hundred (1003)', '33rd Highest partnership for the fifth wicket (93)', '30th Highest partnership for the ninth wicket (37)', '32nd Most matches in career (109)', '49th Most consecutive matches for a team (39)', '36th Longest careers (14y 34d)', '4th Most dismissals in career (114)', '17th Most dismissals in an innings (4)', '22nd Most dismissals in a series (13)', '6th Most catches in career (69)', '21st Most catches in an innings (3)', '23rd Most catches in a series (8)', '5th Most stumpings in career (45)', '6th Most stumpings in an innings (3)', '3rd Most stumpings in a series (9)']</t>
  </si>
  <si>
    <t>['1st Outstanding bowling analyses in an innings (2/0)', '1st Best economy rate in an innings (0.00)', '7th Most five-wickets-in-an-innings in a career (2)', '4th Most catches in an innings (3)']</t>
  </si>
  <si>
    <t>['34th Best figures in an innings (5/15)', '1st Outstanding bowling analyses in an innings (2/0)', '1st Best career bowling average (12.53)', '5th Best career economy rate (2.02)', '1st Best economy rate in an innings (0.00)', '14th Best strike rate in an innings (6.6)', '7th Most five-wickets-in-an-innings in a career (2)', '4th Most catches in an innings (3)']</t>
  </si>
  <si>
    <t>['5th Most consecutive matches missed for a team between appearances (103)']</t>
  </si>
  <si>
    <t>['35th Worst career strike rate (115.4)', '16th Longest intervals between appearances (11y 225d)', '5th Most consecutive matches missed for a team between appearances (103)']</t>
  </si>
  <si>
    <t>['24th Most matches as a match referee (9)']</t>
  </si>
  <si>
    <t>['35th Most matches as a match referee (13)']</t>
  </si>
  <si>
    <t>['1st Winning all tosses in a series (4)', ' Opening the batting and bowling in the same match ']</t>
  </si>
  <si>
    <t>['33rd Best figures in a match on debut (8)', '1st Winning all tosses in a series (4)', '27th Oldest captains (39y 197d)', '12th Oldest captains on captaincy debut (39y 124d)']</t>
  </si>
  <si>
    <t>['33rd Oldest living players (87y 219d)']</t>
  </si>
  <si>
    <t>['40th Oldest players on debut (37y 168d)']</t>
  </si>
  <si>
    <t>['4th Most runs in an innings (progressive record holder) (325)', '8th Hundred in last match (325)', '3rd Oldest player to score a maiden hundred (39y 189d)', '6th Longest individual innings (by balls) (640)']</t>
  </si>
  <si>
    <t>['17th Most runs in an innings (325)', '4th Most runs in an innings (progressive record holder) (325)', '7th Most runs in a match (375)', '9th Most runs in an innings (by batting position) (325)', '8th Hundred in last match (325)', '5th Most triple hundreds in a career (1)', '3rd Oldest player to score a maiden hundred (39y 189d)', '6th Longest individual innings (by balls) (640)', '48th Highest partnership for the fourth wicket (249)', '40th Longest lived players (91y 288d)']</t>
  </si>
  <si>
    <t>['5th Most wickets taken bowled (102)']</t>
  </si>
  <si>
    <t>['46th Most wickets in career (252)', '24th Best figures in a innings when on the losing side (7)', '42nd Most balls bowled in career (16056)', '32nd Bowler/Batter combinations (11)', '5th Most wickets taken bowled (102)', '48th Most wickets taken caught by a wicketkeeper (51)', '37th Fastest to 250 wickets (70)']</t>
  </si>
  <si>
    <t>['46th Worst career bowling average (without qualification) (105.00)']</t>
  </si>
  <si>
    <t>['3rd Worst career bowling average (76.95)']</t>
  </si>
  <si>
    <t>['3rd Worst career bowling average (76.95)', '18th Worst career economy rate (3.70)', '22nd Worst career strike rate (124.6)']</t>
  </si>
  <si>
    <t>['10th Most matches as a match referee (119)']</t>
  </si>
  <si>
    <t>['17th Hundred in last match (137)', '21st No ducks in career (22)', '19th Oldest living players (89y 123d)', '13th Most matches as a match referee (41)']</t>
  </si>
  <si>
    <t>[' Opening the batting and bowling in the same match ', '9th Highest partnership for the eighth wicket (76*)']</t>
  </si>
  <si>
    <t>['15th Most runs in an innings (by batting position) (50*)', '34th Best career economy rate (1.72)', '27th Worst career bowling average (30.72)', '19th Worst career strike rate (107.1)', '14th Best figures in a innings on debut (4)', '35th Most balls bowled in career (1928)', '9th Highest partnership for the eighth wicket (76*)', '23rd Most consecutive matches for a team (12)']</t>
  </si>
  <si>
    <t>['45th Best economy rate in an innings (0.50)']</t>
  </si>
  <si>
    <t>['1st Most consecutive matches missed for a team between appearances (10)', '1st Most ducks in a series (3)', '3rd Worst economy rate in an innings (5.45)']</t>
  </si>
  <si>
    <t>['6th Most ducks in career (4)', '1st Most ducks in a series (3)', '2nd Most pairs in career (1)', '3rd Worst economy rate in an innings (5.45)', '1st Most consecutive matches missed for a team between appearances (10)']</t>
  </si>
  <si>
    <t>['26th Best economy rate in an innings (0.40)', '48th Worst career strike rate (52.0)', '32nd Most wickets taken caught by a wicketkeeper (10)']</t>
  </si>
  <si>
    <t>[' Two unbeaten fifties in a match ', '8th Most runs in a match on the losing side (167*)', '10th Longest individual innings (by balls) (168)']</t>
  </si>
  <si>
    <t>['15th Fifties in consecutive matches (8)']</t>
  </si>
  <si>
    <t>['8th Most runs in an innings (by batting position) (167*)', '8th Most runs in a match on the losing side (167*)', '10th Longest individual innings (by balls) (168)', '12th Highest percentage of runs in a completed innings (60.28)', '34th Fastest to 2000 runs (56)']</t>
  </si>
  <si>
    <t>['28th Oldest living players (79y 245d)']</t>
  </si>
  <si>
    <t>['25th Longest lived players (93y 206d)', '20th Most byes conceded in an innings (26)']</t>
  </si>
  <si>
    <t>['9th Most runs in an innings (by batting position) (59*)']</t>
  </si>
  <si>
    <t>['9th Most runs in an innings (by batting position) (59*)', '39th Most ducks in career (17)', '43rd Most wickets taken bowled (57)', '36th Fastest to 150 wickets (36)', '34th Fastest to 200 wickets (49)']</t>
  </si>
  <si>
    <t>['43rd Best economy rate in an innings (0.91)', '29th Oldest living players (79y 231d)']</t>
  </si>
  <si>
    <t>[' Hundred on debut (112)', ' Hundred in each innings of a match ', ' Hundred and a ninety in a match ', ' Hundred and a duck in a match ', ' 5000 runs and 50 fielding dismissals ', '7th Highest partnership for the fourth wicket (226)']</t>
  </si>
  <si>
    <t>['21st Most runs in a match on the losing side (231)', '11th Most runs on a single ground (1562)', '35th Most runs in an series by a captain (541)', '15th Most runs in debut match (195)', '38th Most hundreds in a career (21)', '21st Hundreds in consecutive matches (3)', '40th Most fours in career (867)', '22nd Fastest to 1000 runs (19)', '43rd Fastest to 5000 runs (117)', '44th Fastest to 6000 runs (146)', '22nd Most catches in career (121)', '50th Highest partnership for the first wicket (229)', '22nd Highest partnership for the second wicket (291)', '12th Most player-of-the-series awards (5)', '15th Most matches as captain (50)', '24th Most consecutive matches as captain of a team (29)']</t>
  </si>
  <si>
    <t>['46th Most runs in an series by a captain (334)', '12th Most runs in an innings by a captain (158)', '25th Most innings before first duck (39)', '39th Most fours in an innings (19)', '26th Highest partnerships for any wicket (250)', '8th Highest partnership for the second wicket (250)', '7th Highest partnership for the fourth wicket (226)', '45th Most consecutive matches for a team (74)', '45th Most player-of-the-series awards (3)', '43rd Most matches as captain (62)']</t>
  </si>
  <si>
    <t>['6th Most runs in an innings (by batting position) (29)', '7th Most five-wickets-in-an-innings in a career (2)', '8th Most wickets taken lbw (23)', '4th Most catches in an innings (3)', '10th Highest partnership for the tenth wicket (41*)', '7th Most runs in an innings (by batting position) (29)', '4th Most wickets in career (102)', '6th Best career strike rate (15.6)', '4th Most four-wickets-in-an-innings in a career (3)', '8th Most maidens in career (10)', '10th Most runs conceded in career (1587)', '3rd Most wickets taken bowled (30)']</t>
  </si>
  <si>
    <t>['15th Best figures in a innings when on the losing side (4)', '17th Best figures in a match when on the losing side (5)']</t>
  </si>
  <si>
    <t>['6th Most runs in an innings (by batting position) (29)', '26th Most wickets in career (90)', '16th Best figures in an innings (6/46)', '11th Most wickets in a series (24)', '40th Most wickets in a calendar year (22)', '11th Outstanding bowling analyses in an innings (6/46)', '37th Worst career economy rate (4.16)', '7th Most five-wickets-in-an-innings in a career (2)', '9th Most four-wickets-in-an-innings in a career (6)', '17th Youngest player to take five-wickets-in-an-innings (21y 65d)', '28th Most balls bowled in career (3318)', '25th Most runs conceded in career (2306)', '27th Bowler/fielder combinations (12)', '25th Most wickets taken bowled (22)', '38th Most wickets taken caught (43)', '15th Most wickets taken caught by a wicketkeeper (13)', '8th Most wickets taken lbw (23)', '4th Most catches in an innings (3)', '10th Highest partnership for the tenth wicket (41*)', '46th Youngest players (16y 251d)']</t>
  </si>
  <si>
    <t>['7th Most runs in an innings (by batting position) (29)', '4th Most wickets in career (102)', '21st Best figures in an innings (5/11)', '37th Most wickets in a calendar year (19)', '15th Outstanding bowling analyses in an innings (5/11)', '19th Most wickets on a single ground (10)', '15th Best career bowling average (15.55)', '6th Best career strike rate (15.6)', '11th Worst economy rate in an innings (16.66)', '12th Best figures in a innings on debut (3)', '4th Most four-wickets-in-an-innings in a career (3)', '11th Most balls bowled in career (1598)', '10th Most runs conceded in career (1587)', '20th Most runs conceded in an innings (50)', '6th Bowler/Batters combinations (5)', '34th Bowler/fielder combinations (8)', '3rd Most wickets taken bowled (30)', '8th Most wickets taken caught (54)', '12th Most wickets taken caught and bowled (4)', '6th Most wickets taken caught by a fielder (50)', '8th Most wickets taken lbw (11)', '25th Most wickets taken stumped (7)', '41st Most catches in career (20)', '29th Highest partnership for the eighth wicket (25)', '40th Most matches in career (79)', '8th Most maidens in career (10)', '12th Most maidens in an innings (2)']</t>
  </si>
  <si>
    <t>['33rd Oldest players on debut (37y 291d)']</t>
  </si>
  <si>
    <t>['3rd Most wickets in a series (21)', '9th Oldest player to take a maiden five-wickets-in-an-innings (31y 246d)', '7th Most wickets taken caught by a fielder (21)', '10th Best career economy rate (2.19)']</t>
  </si>
  <si>
    <t>['16th Most wickets in career (37)', '3rd Most wickets in a series (21)', '16th Most wickets in a calendar year (17)', '15th Best figures in a innings when on the losing side (4)', '17th Best figures in a match when on the losing side (5)', '44th Best career bowling average (24.64)', '9th Oldest player to take a maiden five-wickets-in-an-innings (31y 246d)', '13th Most balls bowled in career (2738)', '13th Most runs conceded in career (912)', '10th Most wickets taken caught (25)', '7th Most wickets taken caught by a fielder (21)']</t>
  </si>
  <si>
    <t>['25th Best career bowling average (18.16)', '10th Best career economy rate (2.19)', '15th Best figures in a innings on debut (3)']</t>
  </si>
  <si>
    <t>['34th Most balls bowled in a match (630)']</t>
  </si>
  <si>
    <t>['1st Outstanding bowling analyses in an innings (1/0)', ' 1000 runs and 100 wickets ', ' 1000 runs, 50 wickets and 50 catches ', '6th Most runs in an innings (by batting position) (34)', '7th Best career bowling average (16.84)', '1st Most maidens in an innings (2)', '1st Bowler/batters combinations (4)', '10th Fastest to 50 wickets (39)', '6th Most wickets in a calendar year (111)']</t>
  </si>
  <si>
    <t>['19th Most runs in a career without a hundred (1370)', '44th Most wickets in career (255)', '27th Most wickets in a calendar year (64)', '1st Outstanding bowling analyses in an innings (1/0)', '46th Best economy rate in an innings (0.61)', '21st Worst economy rate in an innings (6.76)', '29th Most five-wickets-in-an-innings in a career (17)', '29th Most ten-wickets-in-a-match in a career (3)', '33rd Oldest player to take ten-wickets-in-a-match (34y 61d)', '50th Most balls bowled in career (15349)', '42nd Most runs conceded in career (7642)', '43rd Most wickets taken bowled (57)', '49th Most wickets taken caught by a fielder (105)', '20th Most wickets taken lbw (70)', '21st Most wickets taken stumped (11)', '37th Fastest to 100 wickets (23)', '36th Fastest to 150 wickets (36)', '32nd Fastest to 200 wickets (48)', '19th Fastest to 250 wickets (58)', '38th Highest partnership for the ninth wicket (106)']</t>
  </si>
  <si>
    <t>['44th Oldest player to take a maiden five-wickets-in-an-innings (30y 180d)', '32nd Most wickets taken stumped (11)', '19th Longest intervals between appearances (7y 251d)', '14th Most consecutive matches missed for a team between appearances (175)']</t>
  </si>
  <si>
    <t>['6th Most runs in an innings (by batting position) (34)', '35th Most wickets in career (51)', '42nd Most wickets in a calendar year (19)', '7th Best career bowling average (16.84)', '10th Best career economy rate (6.36)', '18th Best career strike rate (15.8)', '50th Most balls bowled in career (810)', '1st Bowler/batters combinations (4)', '12th Bowler/fielder combinations (8)', '23rd Most wickets taken caught (37)', '17th Most wickets taken caught by a fielder (34)', '11th Most wickets taken stumped (7)', '10th Fastest to 50 wickets (39)', '40th Most consecutive matches for a team (30)', '10th Most maidens in career (4)', '1st Most maidens in an innings (2)']</t>
  </si>
  <si>
    <t>['31st Youngest captains (25y 117d)']</t>
  </si>
  <si>
    <t>['40th Best figures in a match when on the losing side (10)', '15th Most consecutive matches missed for a team between appearances (78)']</t>
  </si>
  <si>
    <t>['34th Most consecutive matches missed for a team between appearances (133)']</t>
  </si>
  <si>
    <t>['1st Most ducks in a series (3)']</t>
  </si>
  <si>
    <t>['1st Most ducks in a series (3)', '28th Worst career bowling average (30.66)']</t>
  </si>
  <si>
    <t>['38th Worst career bowling average (without qualification) (72.80)']</t>
  </si>
  <si>
    <t>['6th Most consecutive matches as captain of a team (10)', '7th Worst career strike rate (137.2)', '8th Most consecutive matches as captain of a team (39)']</t>
  </si>
  <si>
    <t>['11th Most runs in an innings (by batting position) (64)', '16th Most runs in a career without a hundred (443)', '10th Worst career bowling average (45.56)', '7th Worst career strike rate (137.2)', '35th Worst economy rate in an innings (4.00)', '21st Most balls bowled in career (2196)', '22nd Most runs conceded in career (729)', '19th Most catches in career (11)', '17th Most matches in career (15)', '7th Most matches as captain (10)', '6th Most consecutive matches as captain of a team (10)']</t>
  </si>
  <si>
    <t>['22nd Most runs in an innings by a captain (110*)', '43rd Highest maiden hundred (110*)', '32nd Oldest player to score a hundred (30y 113d)', '20th Oldest player to score a maiden hundred (30y 113d)', '29th Best career bowling average (18.65)', '25th Best career economy rate (2.67)', '27th Bowler/fielder combinations (12)', '49th Most wickets taken caught (39)', '16th Most wickets taken caught and bowled (7)', '38th Most wickets taken caught by a fielder (34)', '39th Highest partnership for the eighth wicket (44*)', '19th Most consecutive matches for a team (53)', '45th Longest careers (13y 232d)', '12th Most matches as captain (45)', '8th Most consecutive matches as captain of a team (39)', '10th Youngest captains (21y 149d)']</t>
  </si>
  <si>
    <t>['46th Most runs in a series by a wicketkeeper (319)']</t>
  </si>
  <si>
    <t>['1st Dismissed for 99 (and 199, 299 etc) (99)', '42nd Most catches in a series (10)', '20th Highest partnership for the seventh wicket (197)', '28th Oldest living players (87y 336d)']</t>
  </si>
  <si>
    <t>['31st Most matches as a match referee (17)']</t>
  </si>
  <si>
    <t>['32nd Best career bowling average (without qualification) (11.00)', '22nd Longest lived players (93y 270d)']</t>
  </si>
  <si>
    <t>['26th Oldest living players (88y 258d)']</t>
  </si>
  <si>
    <t>['5th Most runs in an series by a captain (306)', '2nd Most catches in a match (4)']</t>
  </si>
  <si>
    <t>['25th Most runs in a series (306)', '22nd Most runs in a match on the losing side (85)', '5th Most runs in an series by a captain (306)', '8th Most runs in a career without a hundred (490)', '11th Fewest ducks in career (22)', '2nd Most catches in a match (4)']</t>
  </si>
  <si>
    <t>['37th Highest partnership for the fourth wicket (260)']</t>
  </si>
  <si>
    <t>['5th Longest lived players (97y 209d)']</t>
  </si>
  <si>
    <t>['1st Oldest players on debut (49y 119d)']</t>
  </si>
  <si>
    <t>['1st Oldest players on debut (49y 119d)', '5th Oldest players (49y 139d)']</t>
  </si>
  <si>
    <t>['4th Hundred in last match (105)']</t>
  </si>
  <si>
    <t>[' Pair on debut ', ' Opening the batting and bowling in the same match ']</t>
  </si>
  <si>
    <t>['37th Longest lived players (62y 313d)']</t>
  </si>
  <si>
    <t>[' Representing two countries ', '1st Best figures in a innings on debut (8)', ' Representing two countries ']</t>
  </si>
  <si>
    <t>['34th Best figures in an innings (8/43)', '1st Best figures in a innings on debut (8)', '33rd Best figures in a match on debut (8)']</t>
  </si>
  <si>
    <t>['6th Most balls bowled in a match (712)', '8th Fastest to 50 wickets (9)', ' Opening the batting and bowling in the same match ']</t>
  </si>
  <si>
    <t>['12th Most wickets in a series (38)', '15th Best figures in a match when on the losing side (11)', '21st Best career economy rate (1.94)', '40th Best strike rate in an innings (9.0)', '15th Worst strike rate in an innings (391.0)', '33rd Best figures in a match on debut (8)', '34th Most balls bowled in an innings (441)', '6th Most balls bowled in a match (712)', '38th Most wickets taken bowled (59)', '8th Fastest to 50 wickets (9)', '13th Fastest to 100 wickets (20)']</t>
  </si>
  <si>
    <t>['6th Outstanding bowling analyses in an innings (2/2)']</t>
  </si>
  <si>
    <t>['6th Outstanding bowling analyses in an innings (2/2)', '12th Best strike rate in an innings (6.0)']</t>
  </si>
  <si>
    <t>['7th Oldest player to score a maiden hundred (38y 322d)']</t>
  </si>
  <si>
    <t>['18th Highest career batting average (55.00)', '7th Oldest player to score a maiden hundred (38y 322d)']</t>
  </si>
  <si>
    <t>['2nd Most runs in an innings (by batting position) (55*)', '2nd Most pairs in career (1)']</t>
  </si>
  <si>
    <t>['2nd Most runs in an innings (by batting position) (55*)', '16th Most innings before first duck (10)', '2nd Most pairs in career (1)', '12th Worst career bowling average (40.75)', '12th Worst career strike rate (118.7)', '21st Best figures in a match on debut (5)', '19th Highest partnership for the ninth wicket (47*)']</t>
  </si>
  <si>
    <t>['32nd Best career economy rate (2.77)', '45th Best economy rate in an innings (0.50)', '26th Most runs conceded in an innings (76)', '34th Most wickets taken bowled (19)']</t>
  </si>
  <si>
    <t>['30th Worst strike rate in an innings (360.0)']</t>
  </si>
  <si>
    <t>['7th Outstanding bowling analyses in an innings (8/31)', '4th Most consecutive ten-wickets-in-a-match (2)', '2nd Most wickets taken hit wicket (3)', '10th Fastest to 300 wickets (65)', '5th Most consecutive five-wickets-in-an-innings (4)']</t>
  </si>
  <si>
    <t>['33rd Most wickets in career (307)', '26th Best figures in an innings (8/31)', '22nd Most wickets in a series (34)', '37th Most wickets in a calendar year (62)', '7th Outstanding bowling analyses in an innings (8/31)', '19th Most wickets on a single ground (63)', '27th Best career bowling average (21.57)', '34th Best career strike rate (49.4)', '12th Best strike rate in an innings (6.5)', '29th Most five-wickets-in-an-innings in a career (17)', '29th Most ten-wickets-in-a-match in a career (3)', '5th Most consecutive five-wickets-in-an-innings (4)', '4th Most consecutive ten-wickets-in-a-match (2)', '4th Most wickets taken bowled (103)', '42nd Most wickets taken caught (161)', '44th Most wickets taken caught by a fielder (109)', '45th Most wickets taken caught by a wicketkeeper (52)', '2nd Most wickets taken hit wicket (3)', '20th Fastest to 50 wickets (10)', '27th Fastest to 200 wickets (47)', '14th Fastest to 250 wickets (56)', '10th Fastest to 300 wickets (65)']</t>
  </si>
  <si>
    <t>['23rd Worst economy rate in an innings (6.73)']</t>
  </si>
  <si>
    <t>['3rd Longest intervals between appearances (10y 207d)']</t>
  </si>
  <si>
    <t>['3rd Longest intervals between appearances (10y 207d)', '7th Most consecutive matches missed for a team between appearances (193)']</t>
  </si>
  <si>
    <t>['7th Most pairs in career (3)', '7th Outstanding bowling analyses in an innings (6/12)', '10th Most ten-wickets-in-a-match in a career (6)', '5th Most wickets taken caught and bowled (20)']</t>
  </si>
  <si>
    <t>['27th Most ducks in career (19)', '11th Most ducks in a series (4)', '7th Most pairs in career (3)', '36th Most wickets in career (297)', '41st Best figures in an innings (8/51)', '25th Best figures in a match (13)', '7th Outstanding bowling analyses in an innings (6/12)', '24th Best figures in a innings when on the losing side (7)', '15th Best figures in a match when on the losing side (11)', '14th Best economy rate in an innings (0.44)', '29th Most five-wickets-in-an-innings in a career (17)', '10th Most ten-wickets-in-a-match in a career (6)', '18th Most consecutive five-wickets-in-an-innings (3)', '19th Most balls bowled in career (21862)', '41st Most runs conceded in career (7674)', '13th Bowler/Batter combinations (13)', '21st Most wickets taken bowled (79)', '35th Most wickets taken caught (186)', '5th Most wickets taken caught and bowled (20)', '19th Most wickets taken caught by a fielder (160)', '37th Fastest to 100 wickets (23)', '36th Fastest to 250 wickets (69)']</t>
  </si>
  <si>
    <t>['26th Best career bowling average (22.93)', '11th Best career economy rate (3.44)']</t>
  </si>
  <si>
    <t>['1st Outstanding bowling analyses in an innings (1/0)', '14th Best career bowling average (20.40)']</t>
  </si>
  <si>
    <t>[' Hundred on debut (136)']</t>
  </si>
  <si>
    <t>['13th Outstanding bowling analyses in an innings (4/10)', '48th Youngest player to take five-wickets-in-an-innings (20y 177d)', '11th Youngest player to take ten-wickets-in-a-match (20y 177d)', '36th Longest intervals between appearances (9y 21d)']</t>
  </si>
  <si>
    <t>['33rd Best strike rate in an innings (4.0)']</t>
  </si>
  <si>
    <t>['10th Most runs in a calendar year (1481)', ' Hundred in each innings of a match ', ' Hundred and a duck in a match ', '10th Unusual dismissals (handled the bal)']</t>
  </si>
  <si>
    <t>['10th Most runs in a calendar year (1481)', '34th Most runs in a match on the losing side (218)', '6th Most hundreds in a calendar year (6)', '10th Unusual dismissals (handled the bal)', '41st Fastest to 2000 runs (45)', '45th Fastest to 3000 runs (69)', '37th Highest partnership for the third wicket (267)', '14th Most matches as captain (51)', '47th Winning all tosses in a series (3)']</t>
  </si>
  <si>
    <t>['18th Most runs in a career without a hundred (1982)', '17th Highest partnership for the sixth wicket (150)', '49th Most matches as captain (60)', '48th Most consecutive matches as captain of a team (32)']</t>
  </si>
  <si>
    <t>['48th Most consecutive matches as captain of a team (32)']</t>
  </si>
  <si>
    <t>['16th Highest partnership for the seventh wicket (60)']</t>
  </si>
  <si>
    <t>['6th Best figures in a match (15)', '4th Best economy rate in an innings (0.30)', '2nd Most balls bowled in a match (766)', '2nd Most wickets taken hit wicket (3)']</t>
  </si>
  <si>
    <t>['34th Best figures in an innings (8/43)', '6th Best figures in a match (15)', '13th Best career economy rate (1.88)', '4th Best economy rate in an innings (0.30)', '29th Most balls bowled in an innings (446)', '2nd Most balls bowled in a match (766)', '2nd Most wickets taken hit wicket (3)']</t>
  </si>
  <si>
    <t>['34th Most runs in a career without a hundred (1213)']</t>
  </si>
  <si>
    <t>['35th Best career economy rate (3.84)']</t>
  </si>
  <si>
    <t>['3rd Worst career strike rate (166.3)']</t>
  </si>
  <si>
    <t>['26th Worst career bowling average (56.38)', '3rd Worst career strike rate (166.3)']</t>
  </si>
  <si>
    <t>[' Representing two countries ', '1st Dismissed for 99 (and 199, 299 etc) (99)', '1st Most sixes in an innings (17)', ' 5000 runs and 50 fielding dismissals ', '2nd Highest partnership for the fifth wicket (226*)', '4th Most matches in career (102)', '2nd Most matches as captain (59)', '7th Most runs in an innings (by batting position) (85*)', '10th Most fifties in career (14)', '9th Most innings before first duck (35)', '3rd Most sixes in career (113)', '9th Fastest to 2000 runs (84)', '3rd Most catches by a substitute in an innings (2)', '7th Highest partnership for the fifth wicket (95)', ' Representing two countries ', '8th Most sixes in career (338)']</t>
  </si>
  <si>
    <t>['34th Most runs in career (7620)', '12th Most runs in an innings (by batting position) (148)', '29th Most runs in an series by a captain (371)', '22nd Most runs in an innings by a captain (148)', '17th Most runs in debut match (99)', '31st Most hundreds in a career (14)', '18th Youngest player to score a hundred (20y 147d)', '34th Most nineties in career (4)', '1st Dismissed for 99 (and 199, 299 etc) (99)', '3rd Ninety on debut (99)', '31st Most fifties in career (60)', '44th Fifties in consecutive innings (4)', '37th Most ducks in career (16)', '6th Most sixes in career (219)', '41st Most fours in career (645)', '1st Most sixes in an innings (17)', '17th Most runs from fours and sixes in an innings (118)', '50th Fastest to 5000 runs (158)', '35th Fastest to 6000 runs (185)', '22nd Fastest to 7000 runs (208)', '46th Most catches in career (84)', '14th Highest partnership for the fourth wicket (204)', '2nd Highest partnership for the fifth wicket (226*)', '49th Most matches in career (243)', '24th Most player-of-the-series awards (4)', '13th Most matches as captain (121)', '42nd Youngest captains (24y 349d)']</t>
  </si>
  <si>
    <t>['7th Most runs in career (2311)', '7th Most runs in an innings (by batting position) (85*)', '17th Most runs in an innings by a captain (91)', '46th Highest career strike rate (138.46)', '10th Most fifties in career (14)', '9th Most innings before first duck (35)', '29th Most consecutive innings without a duck (37*)', '17th Fewest ducks in career (32.33)', '3rd Most sixes in career (113)', '16th Most fours in career (176)', '42nd Most sixes in an innings (7)', '38th Fastest to 1000 runs (45)', '9th Fastest to 2000 runs (84)', '11th Most catches in career (41)', '15th Most catches in an innings (3)', '3rd Most catches by a substitute in an innings (2)', '29th Highest partnership for the fourth wicket (96)', '7th Highest partnership for the fifth wicket (95)', '33rd Highest partnership for the sixth wicket (67*)', '4th Most matches in career (102)', '11th Most player-of-the-match awards (8)', '38th Longest careers (11y 288d)', '2nd Most matches as captain (59)', '14th Most consecutive matches as captain of a team (23)', '13th Winning all tosses in a series (3)']</t>
  </si>
  <si>
    <t>['25th Shortest lived players (30y 12d)']</t>
  </si>
  <si>
    <t>['46th Highest career batting average (49.37)', '35th Fastest to 1000 runs (21)']</t>
  </si>
  <si>
    <t>['11th Most runs in an innings (by batting position) (76)']</t>
  </si>
  <si>
    <t>['27th Worst strike rate in an innings (210.0)']</t>
  </si>
  <si>
    <t>['7th Most consecutive matches missed for a team between appearances (7)', '2nd No ducks in career (28)', '4th Most catches in an innings (3)']</t>
  </si>
  <si>
    <t>['28th Worst career bowling average (without qualification) (71.00)', '44th Longest careers (12y 9d)', '7th Most consecutive matches missed for a team between appearances (7)']</t>
  </si>
  <si>
    <t>['2nd No ducks in career (28)', '4th Most catches in an innings (3)', '48th Longest careers (13y 168d)']</t>
  </si>
  <si>
    <t>['33rd Best figures in a match on debut (8)', '38th Shortest lived players (33y 287d)']</t>
  </si>
  <si>
    <t>['6th Most runs in an innings (by batting position) (103*)', '2nd Highest career batting average (50.15)', '9th Most runs in debut match (78)', '1st Fastest to 1000 runs (24)', '2nd Highest partnership for the third wicket (182)', '10th Fewest ducks in career (53)']</t>
  </si>
  <si>
    <t>['35th Highest partnership for the fifth wicket (237)']</t>
  </si>
  <si>
    <t>['41st Most runs in an innings (103*)', '44th Most runs in a calendar year (397)', '6th Most runs in an innings (by batting position) (103*)', '2nd Highest career batting average (50.15)', '23rd Highest career strike rate (144.31)', '9th Most runs in debut match (78)', '20th Most fifties in career (11)', '15th No ducks in career (24)', '12th Most fours in an innings (12)', '42nd Most runs from fours and sixes in an innings (74)', '1st Fastest to 1000 runs (24)', '6th Highest partnerships for any wicket (182)', '2nd Highest partnership for the third wicket (182)', '28th Most player-of-the-match awards (5)']</t>
  </si>
  <si>
    <t>['40th Dismissed for 99 (and 199, 299 etc) (99)']</t>
  </si>
  <si>
    <t>['48th Most runs in debut match (70)']</t>
  </si>
  <si>
    <t>['5th Most dismissals in an innings (6)', '5th Most catches in an innings (6)', '4th Most byes conceded in an innings (33)', '8th Most runs in an innings (by batting position) (112)']</t>
  </si>
  <si>
    <t>['8th Most runs in an innings (by batting position) (112)', '5th Most dismissals in an innings (6)', '5th Most catches in an innings (6)', '4th Most byes conceded in an innings (33)']</t>
  </si>
  <si>
    <t>['2nd Most runs in an innings (by batting position) (38)', '1st Most pairs in career (2)', '9th Most runs conceded in an innings (109)', '5th Most wickets taken lbw (11)', '9th Most runs in an innings (by batting position) (36*)', '1st Outstanding bowling analyses in an innings (1/0)', '3rd Most consecutive four-wickets-in-an-innings (2)', '9th Most balls bowled in career (5328)', '8th Most runs conceded in career (3463)', '8th Most wickets taken caught by a fielder (57)', '3rd Most runs in an innings (by batting position) (25)']</t>
  </si>
  <si>
    <t>['2nd Most runs in an innings (by batting position) (38)', '6th Most ducks in career (4)', '1st Most pairs in career (2)', '37th Most wickets in career (24)', '23rd Worst career bowling average (33.79)', '29th Most balls bowled in career (2045)', '17th Most runs conceded in career (811)', '9th Most runs conceded in an innings (109)', '23rd Most runs conceded in a match (132)', '12th Bowler/Batters combinations (4)', '5th Most wickets taken lbw (11)', '31st Longest careers (12y 347d)']</t>
  </si>
  <si>
    <t>['9th Most runs in an innings (by batting position) (36*)', '13th Most wickets in career (129)', '34th Best figures in an innings (5/15)', '14th Most wickets in a calendar year (26)', '1st Outstanding bowling analyses in an innings (1/0)', '19th Most wickets on a single ground (14)', '25th Most four-wickets-in-an-innings in a career (4)', '3rd Most consecutive four-wickets-in-an-innings (2)', '22nd Youngest player to take five-wickets-in-an-innings (22y 97d)', '9th Most balls bowled in career (5328)', '8th Most runs conceded in career (3463)', '17th Bowler/fielder combinations (15)', '11th Most wickets taken bowled (32)', '10th Most wickets taken caught (69)', '10th Most wickets taken caught and bowled (8)', '8th Most wickets taken caught by a fielder (57)', '19th Most wickets taken caught by a wicketkeeper (12)', '11th Most wickets taken lbw (20)', '39th Highest partnership for the seventh wicket (60)', '26th Highest partnership for the ninth wicket (38)', '41st Most matches in career (103)', '32nd Most consecutive matches for a team (43)']</t>
  </si>
  <si>
    <t>['3rd Most runs in an innings (by batting position) (25)', '34th Most ducks in career (5)', '20th Most wickets in career (64)', '15th Best career economy rate (5.29)', '13th Most balls bowled in career (1497)', '17th Most runs conceded in career (1321)', '34th Bowler/fielder combinations (8)', '24th Most wickets taken bowled (15)', '30th Most wickets taken caught (31)', '22nd Most wickets taken caught by a fielder (31)', '18th Most wickets taken lbw (8)', '12th Most wickets taken stumped (10)', '20th Highest partnership for the second wicket (104)']</t>
  </si>
  <si>
    <t>['3rd Most wickets on a single ground (15)', '3rd Oldest player to take a maiden five-wickets-in-an-innings (36y 65d)', '3rd Most balls bowled in career (3826)', '4th Most runs conceded in a match (165)', '2nd Most wickets taken hit wicket (1)', '5th Worst career strike rate (73.2)']</t>
  </si>
  <si>
    <t>['14th Most wickets in career (40)', '7th Best figures in an innings (7/34)', '18th Most wickets in a series (16)', '6th Outstanding bowling analyses in an innings (7/34)', '3rd Most wickets on a single ground (15)', '4th Best figures in a innings when on the losing side (6)', '9th Best figures in a match when on the losing side (6)', '22nd Best career economy rate (1.59)', '28th Worst career strike rate (95.6)', '27th Worst strike rate in an innings (210.0)', '11th Most five-wickets-in-an-innings in a career (2)', '5th Oldest player to take five-wickets-in-an-innings (37y 85d)', '3rd Oldest player to take a maiden five-wickets-in-an-innings (36y 65d)', '3rd Most balls bowled in career (3826)', '6th Most balls bowled in a match (525)', '8th Most runs conceded in career (1019)', '19th Most runs conceded in an innings (100)', '4th Most runs conceded in a match (165)', '10th Most wickets taken caught (25)', '7th Most wickets taken caught by a fielder (21)', '2nd Most wickets taken hit wicket (1)', '12th Most catches in a series (6)', '13th Most consecutive matches for a team (14)', '31st Oldest players on debut (34y 59d)']</t>
  </si>
  <si>
    <t>['14th Worst career bowling average (39.33)', '5th Worst career strike rate (73.2)']</t>
  </si>
  <si>
    <t>['7th Most pairs in career (3)', '6th Outstanding bowling analyses in an innings (9/57)']</t>
  </si>
  <si>
    <t>['7th Most pairs in career (3)', '8th Best figures in an innings (9/57)', '6th Outstanding bowling analyses in an innings (9/57)', '35th Worst economy rate in an innings (6.50)']</t>
  </si>
  <si>
    <t>['6th Most runs in an innings (by batting position) (285*)', ' Hundred on debut (138)', ' Hundred and a duck in a match ', '3rd Highest partnership for the fourth wicket (411)', '5th Fifties in consecutive matches (8)']</t>
  </si>
  <si>
    <t>['41st Most runs in an innings (285*)', '35th Most runs in a match (315)', '6th Most runs in an innings (by batting position) (285*)', '22nd Most runs in an series by a captain (582)', '10th Most runs in an innings by a captain (285*)', '32nd Fifties in consecutive innings (5)', '15th Fifties in consecutive matches (8)', '45th Fastest to 3000 runs (69)', '27th Fastest to 4000 runs (89)', '13th Highest partnerships for any wicket (411)', '3rd Highest partnership for the fourth wicket (411)', '27th Most matches as captain (41)', '13th Most consecutive matches as captain of a team (35)', '11th Winning all tosses in a series (3)', '35th Youngest captains (25y 160d)']</t>
  </si>
  <si>
    <t>['2nd Most ducks in a series (5)', '4th Most consecutive ducks (4)']</t>
  </si>
  <si>
    <t>['6th Most consecutive ducks (3)', '35th Best career economy rate (3.84)']</t>
  </si>
  <si>
    <t>['21st Worst career economy rate (5.85)', '22nd Worst economy rate in an innings (11.42)']</t>
  </si>
  <si>
    <t>['18th Most runs conceded in an innings (61)']</t>
  </si>
  <si>
    <t>['6th Best figures in a match on debut (7)']</t>
  </si>
  <si>
    <t>['8th No ducks in career (34)']</t>
  </si>
  <si>
    <t>['16th No ducks in career (24)', '25th Best career economy rate (3.70)', '43rd Most five-wickets-in-an-innings in a career (2)']</t>
  </si>
  <si>
    <t>[' Hundred on debut (104*)']</t>
  </si>
  <si>
    <t>['5th Best figures in a match on debut (11)', '8th Oldest player to take ten-wickets-in-a-match (37y 332d)']</t>
  </si>
  <si>
    <t>['22nd Best career bowling average (without qualification) (8.72)', '22nd Best figures in a innings on debut (6)', '5th Best figures in a match on debut (11)', '30th Oldest player to take five-wickets-in-an-innings (37y 332d)', '8th Oldest player to take ten-wickets-in-a-match (37y 332d)', '13th Oldest player to take a maiden five-wickets-in-an-innings (37y 332d)', '31st Oldest players on debut (37y 332d)']</t>
  </si>
  <si>
    <t>['27th Longest lived players (93y 145d)']</t>
  </si>
  <si>
    <t>['43rd Longest lived players (91y 226d)']</t>
  </si>
  <si>
    <t>['3rd Best figures in a match on debut (12)']</t>
  </si>
  <si>
    <t>['29th Best career bowling average (without qualification) (10.07)', '22nd Best figures in a innings on debut (6)', '3rd Best figures in a match on debut (12)']</t>
  </si>
  <si>
    <t>[' Representing two countries ', '10th Oldest captains on captaincy debut (39y 288d)', ' Representing two countries ']</t>
  </si>
  <si>
    <t>['6th Longest intervals between appearances (13y 53d)', '25th Oldest captains (39y 339d)', '10th Oldest captains on captaincy debut (39y 288d)']</t>
  </si>
  <si>
    <t>['4th Oldest player to score a maiden hundred (39y 173d)']</t>
  </si>
  <si>
    <t>['4th Oldest player to score a maiden hundred (39y 173d)', '20th Oldest players on debut (39y 131d)']</t>
  </si>
  <si>
    <t>['25th Highest partnership for the third wicket (111)', '35th Highest partnership for the fifth wicket (72*)']</t>
  </si>
  <si>
    <t>['19th Hundred in last match (139)', '15th Ninety on debut (94)']</t>
  </si>
  <si>
    <t>['1st Worst career bowling average (62.33)', '4th Most catches in an innings (3)', '4th No ducks in career (22)']</t>
  </si>
  <si>
    <t>['1st Worst career bowling average (62.33)', '4th Worst career strike rate (170.8)', '43rd Worst career bowling average (without qualification) (62.33)', '20th Highest partnership for the sixth wicket (77)', '15th Highest partnership for the ninth wicket (50)']</t>
  </si>
  <si>
    <t>['26th Best economy rate in an innings (0.40)', '23rd Worst career bowling average (35.55)', '34th Worst career economy rate (4.23)', '4th Most catches in an innings (3)', '38th Highest partnership for the fifth wicket (91)', '17th Most consecutive matches missed for a team between appearances (46)']</t>
  </si>
  <si>
    <t>['13th Most runs in an innings (by batting position) (40*)', '4th No ducks in career (22)']</t>
  </si>
  <si>
    <t>['5th Longest intervals between appearances (11y 186d)', '3rd Oldest captains on captaincy debut (40y 75d)', '1st Most runs in an innings (progressive record holder) (72)', '3rd Most hundreds against one team (2)', '6th Most fifties in career (8)', '3rd No ducks in career (25)', '3rd Outstanding bowling analyses in an innings (7/10)', '5th Best career bowling average (15.58)', '1st Best figures in a innings on debut (7)', '1st Oldest player to take five-wickets-in-an-innings (40y 75d)', '8th Most balls bowled in career (3432)', '1st Most wickets taken hit wicket (2)', '10th Most catches in career (12)', ' Opening the batting and bowling in the same match ']</t>
  </si>
  <si>
    <t>['9th Most runs in career (1007)', '1st Most runs in an innings (progressive record holder) (72)', '31st Most runs in a match (164)', '21st Most runs in a series (315)', '24th Most runs in a calendar year (315)', '7th Most runs in a match on the losing side (117)', '18th Highest career batting average (41.95)', '10th Most hundreds in a career (2)', '3rd Most hundreds against one team (2)', '30th Highest maiden hundred (119)', '19th Youngest player to score a hundred (23y 277d)', '6th Most fifties in career (8)', '3rd No ducks in career (25)', '4th Most consecutive innings without a duck (25*)', '16th Highest percentage of runs in a completed innings (51.80)', '4th Most wickets in career (60)', '4th Best figures in an innings (7/10)', '5th Most wickets in a series (20)', '11th Most wickets in a calendar year (19)', '3rd Outstanding bowling analyses in an innings (7/10)', '14th Most wickets on a single ground (10)', '5th Best figures in a innings by a captain (5)', '11th Best figures in a match by a captain (5)', '5th Best career bowling average (15.58)', '25th Best career economy rate (1.63)', '12th Best career strike rate (57.2)', '13th Best strike rate in an innings (14.5)', '33rd Worst economy rate in an innings (4.05)', '1st Best figures in a innings on debut (7)', '6th Best figures in a match on debut (7)', '5th Most five-wickets-in-an-innings in a career (3)', '18th Youngest player to take five-wickets-in-an-innings (23y 270d)', '1st Oldest player to take five-wickets-in-an-innings (40y 75d)', '8th Most balls bowled in career (3432)', '40th Most balls bowled in a match (374)', '11th Most runs conceded in career (935)', '2nd Bowler/Batters combinations (5)', '6th Bowler/fielder combinations (9)', '6th Most wickets taken bowled (19)', '2nd Most wickets taken caught (33)', '1st Most wickets taken caught and bowled (9)', '1st Most wickets taken caught by a fielder (29)', '1st Most wickets taken hit wicket (2)', '10th Most catches in career (12)', '13th Most consecutive matches for a team (14)', '17th Oldest players (40y 120d)', '8th Longest careers (16y 215d)', '5th Longest intervals between appearances (11y 186d)', '4th Oldest captains (40y 92d)', '3rd Oldest captains on captaincy debut (40y 75d)']</t>
  </si>
  <si>
    <t>['44th Best career bowling average (without qualification) (8.66)']</t>
  </si>
  <si>
    <t>['15th Most matches as a match referee (20)']</t>
  </si>
  <si>
    <t>['3rd Most runs in an innings (by batting position) (98)', '1st Most consecutive ducks (3)', '10th Outstanding bowling analyses in an innings (3/10)', '7th Most catches in career (13)', '4th Highest partnership for the seventh wicket (106)', '2nd Worst career bowling average (51.21)']</t>
  </si>
  <si>
    <t>['3rd Most runs in an innings (by batting position) (98)', '2nd Most ducks in career (5)', '1st Most ducks in a series (3)', '1st Most consecutive ducks (3)', '2nd Most pairs in career (1)', '10th Outstanding bowling analyses in an innings (3/10)', '24th Worst economy rate in an innings (4.27)', '7th Most catches in career (13)', '25th Highest partnerships for any wicket (155)', '6th Highest partnership for the second wicket (155)', '4th Highest partnership for the seventh wicket (106)', '23rd Most consecutive matches for a team (12)']</t>
  </si>
  <si>
    <t>['13th Most runs in a career without a hundred (1324)', '28th Fifties in consecutive innings (3)', '21st Most ducks in career (9)', '2nd Worst career bowling average (51.21)', '30th Worst career economy rate (4.26)', '6th Worst career strike rate (72.0)', '49th Most catches in career (27)']</t>
  </si>
  <si>
    <t>['44th Highest partnership for the eighth wicket (76)', '46th Most dismissals in a series (14)', '38th Most catches in a series (13)']</t>
  </si>
  <si>
    <t>['38th Highest partnership for the seventh wicket (49)', '19th Oldest living players (50y 145d)']</t>
  </si>
  <si>
    <t>['45th Highest percentage of runs in a completed innings (56.89)']</t>
  </si>
  <si>
    <t>['8th Outstanding bowling analyses in an innings (4/8)', '10th Best career economy rate (3.41)']</t>
  </si>
  <si>
    <t>['43rd Worst economy rate in an innings (6.40)']</t>
  </si>
  <si>
    <t>['8th Outstanding bowling analyses in an innings (4/8)', '20th Best career bowling average (22.20)', '10th Best career economy rate (3.41)', '16th Best economy rate in an innings (0.80)']</t>
  </si>
  <si>
    <t>['31st Best career bowling average (22.03)', '24th Best career economy rate (1.95)']</t>
  </si>
  <si>
    <t>['10th Most consecutive matches missed for a team between appearances (85)', '7th Highest partnership for the ninth wicket (100)', '3rd Most consecutive matches missed for a team between appearances (74)']</t>
  </si>
  <si>
    <t>['43rd Worst career economy rate (3.46)', '10th Most consecutive matches missed for a team between appearances (85)']</t>
  </si>
  <si>
    <t>['27th Highest career strike rate (102.70)', '13th Highest strike rate in an innings (300.00)', '29th Best career strike rate (30.6)', '27th Worst career economy rate (5.81)', '13th Most consecutive four-wickets-in-an-innings (2)', '35th Oldest player to take five-wickets-in-an-innings (32y 171d)', '20th Oldest player to take a maiden five-wickets-in-an-innings (32y 171d)', '48th Most runs conceded in an innings (91)', '26th Fastest to 100 wickets (64)', '7th Highest partnership for the ninth wicket (100)']</t>
  </si>
  <si>
    <t>['48th Most wickets taken caught by a wicketkeeper (5)', '3rd Most consecutive matches missed for a team between appearances (74)', '20th Longest careers (12y 266d)', '5th Longest intervals between appearances (9y 164d)']</t>
  </si>
  <si>
    <t>['44th Most runs in a series (256)', '16th Most runs in an innings (by batting position) (102)', '37th Highest career batting average (32.72)', '17th Most consecutive matches missed for a team between appearances (5)']</t>
  </si>
  <si>
    <t>['45th Most balls bowled in an innings (426)', '26th Most runs conceded in an innings (204)']</t>
  </si>
  <si>
    <t>['5th Most dismissals in an innings (6)', '5th Most catches in an innings (6)', '2nd Most byes conceded in an innings (35)', ' Hundred on debut (126*)', ' A hundred and five dismissals in an innings ', '1st Most dismissals in an innings (6)', '1st Most catches in an innings (6)', '5th Most dismissals in an innings (4)', '3rd Most catches in an innings (4)']</t>
  </si>
  <si>
    <t>['44th Most runs in a series by a wicketkeeper (324)', '48th Highest partnership for the seventh wicket (162*)', '35th Most consecutive matches for a team (60)', '10th Most dismissals in career (256)', '5th Most dismissals in an innings (6)', '35th Most dismissals in a match (8)', '19th Most dismissals in a series (23)', '10th Most catches in career (243)', '5th Most catches in an innings (6)', '20th Most catches in a series (23)', '33rd Most stumpings in career (13)', '2nd Most byes conceded in an innings (35)']</t>
  </si>
  <si>
    <t>['39th Most dismissals in career (77)', '1st Most dismissals in an innings (6)', '36th Most dismissals in a series (15)', '37th Most catches in career (69)', '1st Most catches in an innings (6)', '31st Most catches in a series (14)']</t>
  </si>
  <si>
    <t>['5th Most dismissals in an innings (4)', '3rd Most catches in an innings (4)']</t>
  </si>
  <si>
    <t>['13th Highest partnership for the eighth wicket (51)']</t>
  </si>
  <si>
    <t>['23rd Most ducks in career (20)']</t>
  </si>
  <si>
    <t>['20th Best career bowling average (without qualification) (8.66)']</t>
  </si>
  <si>
    <t>['38th Best career bowling average (without qualification) (12.00)']</t>
  </si>
  <si>
    <t>['4th Most consecutive ducks (4)', '7th Best career bowling average (16.98)', '8th Fastest to 50 wickets (9)', '4th Most consecutive ducks (4)']</t>
  </si>
  <si>
    <t>['11th Most ducks in a series (4)', '4th Most consecutive ducks (4)', '7th Most pairs in career (3)', '7th Best career bowling average (16.98)', '30th Best career economy rate (1.97)', '50th Best career strike rate (51.6)', '33rd Best figures in a match on debut (8)', '18th Oldest player to take five-wickets-in-an-innings (39y 180d)', '8th Fastest to 50 wickets (9)', '13th Fastest to 100 wickets (20)']</t>
  </si>
  <si>
    <t>['6th Most runs in an innings (by batting position) (118)', '7th Fewest ducks in career (35)']</t>
  </si>
  <si>
    <t>['19th Most catches in a series (5)']</t>
  </si>
  <si>
    <t>['6th Most runs in an innings (by batting position) (118)', '25th Highest maiden hundred (118)', '7th Fewest ducks in career (35)']</t>
  </si>
  <si>
    <t>['37th Best economy rate in an innings (0.60)']</t>
  </si>
  <si>
    <t>['8th Oldest captains on captaincy debut (39y 18d)']</t>
  </si>
  <si>
    <t>['17th Worst career bowling average (38.33)', '18th Worst career strike rate (108.1)', '34th Most balls bowled in career (1947)', '28th Longest careers (13y 6d)']</t>
  </si>
  <si>
    <t>['25th Oldest players on debut (34y 191d)', '27th Oldest players (39y 30d)', '9th Oldest captains (39y 30d)', '8th Oldest captains on captaincy debut (39y 18d)']</t>
  </si>
  <si>
    <t>['12th No ducks in career (28)', '8th Most catches in a match (6)']</t>
  </si>
  <si>
    <t>['8th Highest career batting average (59.23)', ' Hundred in each innings of a match ', '1st Dismissed for 99 (and 199, 299 etc) (99)']</t>
  </si>
  <si>
    <t>['8th Highest career batting average (59.23)', '19th Highest maiden hundred (216*)', '15th Oldest player to score a maiden hundred (36y 217d)', '1st Dismissed for 99 (and 199, 299 etc) (99)', '35th Fastest to 1000 runs (21)']</t>
  </si>
  <si>
    <t>['21st Most consecutive matches missed for a team between appearances (69)']</t>
  </si>
  <si>
    <t>['44th Most consecutive matches missed for a team between appearances (54)']</t>
  </si>
  <si>
    <t>['50th Fastest to 1000 runs (22)', '24th Highest partnership for the sixth wicket (240)']</t>
  </si>
  <si>
    <t>['1st Outstanding bowling analyses in an innings (1/0)', ' 5000 runs and 50 fielding dismissals ', '3rd Most hundreds in a series (3)', '2nd Fastest to 2000 runs (45)', '6th Highest partnership for the fourth wicket (112*)']</t>
  </si>
  <si>
    <t>['28th Most runs in career (8181)', '28th Most runs in a calendar year (1343)', '45th Most runs on a single ground (1235)', '28th Most hundreds in a career (23)', '27th Most double hundreds in a career (3)', '19th Most hundreds in a calendar year (5)', '20th Most nineties in career (5)', '31st Most fifties in career (58)', '11th Most sixes in career (81)', '23rd Most fours in career (985)', '19th Most sixes in an innings (7)', '22nd Fastest to 2000 runs (41)', '17th Fastest to 3000 runs (63)', '16th Fastest to 4000 runs (83)', '20th Fastest to 5000 runs (107)', '21st Fastest to 6000 runs (128)', '20th Fastest to 7000 runs (150)', '19th Fastest to 8000 runs (176)', '1st Outstanding bowling analyses in an innings (1/0)', '23rd Highest partnership for the fourth wicket (286)', '50th Most consecutive matches for a team (54)', '25th Most player-of-the-match awards (10)']</t>
  </si>
  <si>
    <t>['3rd Most hundreds in a series (3)', '44th Fifties in consecutive innings (4)', '3rd Fastest to 1000 runs (21)', '2nd Fastest to 2000 runs (45)', '15th Fastest to 3000 runs (78)', '37th Fastest to 4000 runs (115)', '36th Highest partnership for the seventh wicket (104)']</t>
  </si>
  <si>
    <t>['30th Most runs in an innings (by batting position) (79)', '11th Highest career batting average (37.93)', '31st Highest career strike rate (141.51)', '41st Most fifties in career (7)', '39th Most consecutive innings without a duck (33*)', '43rd Most fours in career (119)', '6th Fastest to 1000 runs (32)', '15th Most catches in an innings (3)', '6th Highest partnership for the fourth wicket (112*)', '19th Most player-of-the-match awards (6)']</t>
  </si>
  <si>
    <t>['46th Shortest lived players (35y 229d)']</t>
  </si>
  <si>
    <t>['25th Oldest players on debut (38y 282d)']</t>
  </si>
  <si>
    <t>['16th Worst career bowling average (without qualification) (180.00)']</t>
  </si>
  <si>
    <t>['40th Oldest living players (86y 316d)']</t>
  </si>
  <si>
    <t>['9th Most consecutive matches missed for a team between appearances (86)', '4th Most consecutive ducks (4)']</t>
  </si>
  <si>
    <t>['11th Most ducks in a series (4)', '4th Most consecutive ducks (4)', '9th Most consecutive matches missed for a team between appearances (86)']</t>
  </si>
  <si>
    <t>['29th Oldest players on debut (38y 183d)']</t>
  </si>
  <si>
    <t>['1st Most ducks in career (6)', '2nd Best figures in a match (11)', '2nd Most ten-wickets-in-a-match in a career (1)', '2nd Most runs in an innings (by batting position) (22*)', '3rd Most ducks in career (14)']</t>
  </si>
  <si>
    <t>['1st Most ducks in career (6)', '23rd Most wickets in career (30)', '9th Best figures in an innings (7/51)', '2nd Best figures in a match (11)', '27th Most wickets in a series (15)', '3rd Most wickets in a calendar year (24)', '10th Most wickets on a single ground (11)', '15th Best figures in a innings when on the losing side (4)', '18th Worst economy rate in an innings (4.37)', '2nd Most ten-wickets-in-a-match in a career (1)', '4th Oldest player to take ten-wickets-in-a-match (31y 3d)', '11th Oldest player to take a maiden five-wickets-in-an-innings (31y 3d)', '22nd Most balls bowled in career (2194)', '14th Most runs conceded in career (881)', '18th Most runs conceded in an innings (101)', '12th Bowler/Batters combinations (4)', '18th Most wickets taken caught (16)', '14th Most wickets taken caught by a wicketkeeper (5)', '12th Most wickets taken lbw (8)']</t>
  </si>
  <si>
    <t>['2nd Most runs in an innings (by batting position) (22*)', '3rd Most ducks in career (14)', '50th Most wickets in career (68)', '14th Most wickets in a calendar year (26)', '45th Best economy rate in an innings (0.50)', '40th Most balls bowled in career (3026)', '27th Bowler/fielder combinations (12)', '19th Most wickets taken caught by a wicketkeeper (12)', '18th Most wickets taken lbw (17)']</t>
  </si>
  <si>
    <t>['4th Most byes conceded in an innings (33)']</t>
  </si>
  <si>
    <t>['30th Most innings before first duck (36)', '18th Oldest living players (89y 223d)', '42nd Most dismissals in career (112)', '35th Most dismissals in a match (8)', '39th Most catches in career (101)', '26th Most catches in a match (8)', '43rd Most stumpings in career (11)', '4th Most byes conceded in an innings (33)']</t>
  </si>
  <si>
    <t>['46th Best economy rate in an innings (0.96)']</t>
  </si>
  <si>
    <t>['48th Most innings before first duck (30)', '18th Highest partnership for the first wicket (290)']</t>
  </si>
  <si>
    <t>['6th No ducks in career (21)']</t>
  </si>
  <si>
    <t>['31st Highest career batting average (35.12)', '36th Highest maiden hundred (115*)']</t>
  </si>
  <si>
    <t>['42nd Highest career batting average (33.07)', '6th No ducks in career (21)', '29th Highest partnership for the fifth wicket (95)', '48th Most matches as captain (16)', '41st Most consecutive matches as captain of a team (16)', '22nd Oldest captains on captaincy debut (31y 316d)']</t>
  </si>
  <si>
    <t>['4th Most runs in an innings (by batting position) (60*)', '2nd Most pairs in career (1)', '9th Most runs in an innings (by batting position) (46*)', '8th Best strike rate in an innings (6.2)']</t>
  </si>
  <si>
    <t>['4th Most runs in an innings (by batting position) (60*)', '2nd Most pairs in career (1)', '37th Worst career bowling average (without qualification) (65.60)']</t>
  </si>
  <si>
    <t>['9th Most runs in an innings (by batting position) (46*)', '8th Best strike rate in an innings (6.2)', '36th Worst career economy rate (4.17)', '17th Most runs conceded in an innings (78)', '33rd Bowler/fielder combinations (11)']</t>
  </si>
  <si>
    <t>['1st Most runs in an innings (by batting position) (117)']</t>
  </si>
  <si>
    <t>['1st Most runs in an innings (by batting position) (117)', '14th No ducks in career (27)']</t>
  </si>
  <si>
    <t>['32nd Highest partnership for the eighth wicket (138)']</t>
  </si>
  <si>
    <t>['1st Most dismissals in a match (11)', '1st Most catches in a match (11)', ' 300 runs and 15 wicketkeeping dismissals in a series ', '10th Most byes conceded in an innings (12)', '7th No ducks in career (31)']</t>
  </si>
  <si>
    <t>['49th Most runs in a series by a wicketkeeper (314)', '21st Ninety on debut (94)', '27th Most dismissals in career (165)', '5th Most dismissals in an innings (6)', '1st Most dismissals in a match (11)', '3rd Most dismissals in a series (27)', '26th Most catches in career (153)', '5th Most catches in an innings (6)', '1st Most catches in a match (11)', '11th Most catches in a series (25)', '37th Most stumpings in career (12)', '15th Highest innings total without conceding a bye (601/7d)']</t>
  </si>
  <si>
    <t>['7th No ducks in career (31)', '10th Most byes conceded in an innings (12)']</t>
  </si>
  <si>
    <t>['45th Oldest living players (86y 210d)']</t>
  </si>
  <si>
    <t>['11th Most consecutive matches missed for a team between appearances (56)']</t>
  </si>
  <si>
    <t>['2nd Hundred in last match (117*)']</t>
  </si>
  <si>
    <t>['33rd Longest individual innings (by balls) (524)']</t>
  </si>
  <si>
    <t>['35th Most runs in debut match (79)', '2nd Hundred in last match (117*)', '18th Oldest player to score a maiden hundred (34y 65d)', '48th Oldest living players (77y 19d)']</t>
  </si>
  <si>
    <t>['2nd Best economy rate in an innings (0.40)']</t>
  </si>
  <si>
    <t>['24th No ducks in career (21)', '2nd Best economy rate in an innings (0.40)']</t>
  </si>
  <si>
    <t>['41st Longest lived players (60y 137d)']</t>
  </si>
  <si>
    <t>['1st Longest careers (30y 315d)', '2nd Outstanding bowling analyses in an innings (7/17)', ' 1000 runs and 100 wickets ', ' 1000 runs, 50 wickets and 50 catches ', '1st Longest careers (30y 315d)']</t>
  </si>
  <si>
    <t>['45th Most innings before first duck (31)', '6th Best figures in a match (15)', '2nd Outstanding bowling analyses in an innings (7/17)', '47th Best strike rate in an innings (9.4)', '18th Most consecutive five-wickets-in-an-innings (3)', '32nd Bowler/Batter combinations (11)', '20th Fastest to 50 wickets (10)', '42nd Most catches in a series (10)', '1st Oldest players (52y 165d)', '1st Longest careers (30y 315d)', '7th Longest lived players (95y 252d)']</t>
  </si>
  <si>
    <t>[' Hundred and a duck in a match ', '2nd Best career bowling average (without qualification) (2.00)']</t>
  </si>
  <si>
    <t>['12th Most runs in an innings (by batting position) (164)']</t>
  </si>
  <si>
    <t>['22nd Most runs in debut match (88)', '2nd Best career bowling average (without qualification) (2.00)']</t>
  </si>
  <si>
    <t>['39th Longest lived players (92y 47d)']</t>
  </si>
  <si>
    <t>['7th Most runs in an innings (by batting position) (175)', ' Hundred on debut (154*)']</t>
  </si>
  <si>
    <t>['7th Most runs in an innings (by batting position) (175)', '40th Most runs in a match on the losing side (216)', '6th Most runs in debut match (216)']</t>
  </si>
  <si>
    <t>['11th Highest partnership for the second wicket (331)']</t>
  </si>
  <si>
    <t>['37th Most dismissals in a series (21)', '43rd Most catches in a series (20)']</t>
  </si>
  <si>
    <t>['5th Most dismissals in an innings (6)', '5th Most catches in an innings (6)']</t>
  </si>
  <si>
    <t>['48th Most consecutive matches missed for a team between appearances (51)', '5th Most dismissals in an innings (6)', '35th Most dismissals in a match (8)', '5th Most catches in an innings (6)']</t>
  </si>
  <si>
    <t>['16th Most dismissals in an innings (5)', '11th Most catches in an innings (5)']</t>
  </si>
  <si>
    <t>['5th Hundred in last match (140)', ' Hundred in each innings of a match ']</t>
  </si>
  <si>
    <t>['5th Hundred in last match (140)', '36th Highest partnership for the tenth wicket (92)']</t>
  </si>
  <si>
    <t>['8th Most consecutive matches as captain of a team (39)', '10th Hundred in hundredth match (218)', '1st Fifties in consecutive matches (12)', ' Hundred and a duck in a match ', '1st Outstanding bowling analyses in an innings (2/0)', ' 5000 runs and 50 fielding dismissals ', '1st Highest partnership for the tenth wicket (198)', '10th Highest career batting average (50.10)', '3rd Fastest to 4000 runs (91)', '7th Worst career bowling average (57.34)', '1st Most catches in a series (13)', ' 5000 runs and 50 fielding dismissals ', '5th Most runs in an innings (by batting position) (90*)', '7th Most fours in an innings (13)', '7th Highest partnership for the fifth wicket (95)', '5th Fifties in consecutive matches (8)']</t>
  </si>
  <si>
    <t>['23rd Most runs in career (8617)', '31st Most runs in a match (325)', '12th Most runs in a calendar year (1477)', '38th Most runs in an innings by a captain (228)', '48th Highest career batting average (49.24)', '42nd Most hundreds in a career (20)', '13th Most double hundreds in a career (5)', '21st Hundreds in consecutive matches (3)', '10th Hundred in hundredth match (218)', '22nd Youngest player to score a double hundred (23y 164d)', '15th Most fifties in career (69)', '7th Fifties in consecutive innings (6)', '1st Fifties in consecutive matches (12)', '28th Most fours in career (950)', '29th Fastest to 2000 runs (43)', '16th Fastest to 3000 runs (62)', '17th Fastest to 4000 runs (84)', '14th Fastest to 5000 runs (105)', '20th Fastest to 6000 runs (127)', '28th Fastest to 7000 runs (158)', '20th Fastest to 8000 runs (178)', '1st Outstanding bowling analyses in an innings (1/0)', '25th Best strike rate in an innings (7.6)', '15th Most catches in career (134)', '10th Highest partnerships by wicket (10th)', '1st Highest partnership for the tenth wicket (198)', '16th Most consecutive matches for a team (77)', '15th Most player-of-the-match awards (11)', '44th Most player-of-the-series awards (3)', '15th Most matches as captain (50)', '8th Most consecutive matches as captain of a team (39)']</t>
  </si>
  <si>
    <t>['13th Most runs in a series (556)', '10th Highest career batting average (50.10)', '23rd Most hundreds in a career (16)', '39th Most hundreds against one team (4)', '11th Fifties in consecutive innings (5)', '42nd Fewest ducks in career (28)', '24th Fastest to 2000 runs (54)', '5th Fastest to 3000 runs (72)', '3rd Fastest to 4000 runs (91)', '5th Fastest to 5000 runs (116)', '7th Worst career bowling average (57.34)', '32nd Worst career economy rate (5.76)', '1st Most catches in a series (13)', '35th Highest partnership for the third wicket (198)', '14th Highest partnership for the fifth wicket (175)', '41st Highest partnership for the seventh wicket (102*)', '24th Most player-of-the-series awards (4)']</t>
  </si>
  <si>
    <t>['5th Most runs in an innings (by batting position) (90*)', '14th Most runs in a match on the losing side (90*)', '16th Highest career batting average (35.72)', '18th Most innings before first duck (24)', '7th Most fours in an innings (13)', '7th Highest partnership for the fifth wicket (95)', '36th Highest partnership for the sixth wicket (66)']</t>
  </si>
  <si>
    <t>['3rd Fifties in consecutive innings (3)', '1st Unusual dismissals (obstructing the)']</t>
  </si>
  <si>
    <t>['26th Most runs in an innings (180)', '19th Most runs in an innings (by batting position) (180)', '15th Highest career strike rate (107.14)', '44th Fifties in consecutive innings (4)', '45th Fastest to 1000 runs (29)', '34th Fastest to 2000 runs (56)', '13th Fastest to 3000 runs (76)', '20th Highest partnerships for any wicket (256*)', '11th Highest partnership for the first wicket (256*)', '13th Highest partnership for the third wicket (221)']</t>
  </si>
  <si>
    <t>['29th Highest career strike rate (142.22)', '3rd Fifties in consecutive innings (3)', '13th Most ducks in career (6)', '43rd Most sixes in career (48)', '42nd Most sixes in an innings (7)', '31st Most fours in an innings (11)', '1st Unusual dismissals (obstructing the)', '32nd Fastest to 1000 runs (42)', '37th Highest partnership for the second wicket (110)', '34th Most consecutive matches for a team (32)']</t>
  </si>
  <si>
    <t>['39th Worst career bowling average (without qualification) (115.00)']</t>
  </si>
  <si>
    <t>['10th Worst career economy rate (3.75)', '10th Most wickets taken caught and bowled (4)']</t>
  </si>
  <si>
    <t>['10th Worst career economy rate (3.75)']</t>
  </si>
  <si>
    <t>['29th Highest career strike rate (101.37)', '46th Worst career economy rate (5.65)', '43rd Most five-wickets-in-an-innings in a career (2)', '36th Most four-wickets-in-an-innings in a career (9)', '44th Bowler/fielder combinations (25)', '25th Most wickets taken caught and bowled (11)', '45th Most wickets taken caught by a fielder (89)', '18th Most wickets taken stumped (17)', '34th Fastest to 100 wickets (67)', '21st Fastest to 150 wickets (102)', '44th Highest partnership for the eighth wicket (76)', '48th Most consecutive matches missed for a team between appearances (121)']</t>
  </si>
  <si>
    <t>['29th No ducks in career (20)', '27th Most wickets in career (55)', '49th Worst career economy rate (7.54)', '15th Most balls bowled in career (1164)', '16th Most runs conceded in career (1464)', '17th Bowler/batters combinations (3)', '48th Most wickets taken bowled (10)', '23rd Most wickets taken caught (37)', '10th Most wickets taken caught and bowled (4)', '15th Most wickets taken caught by a fielder (36)', '17th Most wickets taken stumped (5)', '14th Most consecutive matches missed for a team between appearances (51)', '38th Longest careers (11y 288d)', '29th Longest intervals between appearances (5y 220d)']</t>
  </si>
  <si>
    <t>['1st Best figures in a match when on the losing side (13)', '2nd Most consecutive five-wickets-in-an-innings (5)', '2nd Fastest to 50 wickets (7)', '2nd Most consecutive five-wickets-in-an-innings (5)']</t>
  </si>
  <si>
    <t>['25th Best figures in a match (13)', '44th Most wickets in a series (32)', '5th Best figures in a innings when on the losing side (8)', '1st Best figures in a match when on the losing side (13)', '43rd Best career strike rate (51.1)', '13th Best figures in a match on debut (10)', '19th Most ten-wickets-in-a-match in a career (4)', '2nd Most consecutive five-wickets-in-an-innings (5)', '4th Most consecutive ten-wickets-in-a-match (2)', '37th Youngest player to take ten-wickets-in-a-match (23y 13d)', '47th Most wickets taken bowled (54)', '2nd Fastest to 50 wickets (7)']</t>
  </si>
  <si>
    <t>['7th Highest partnership for the ninth wicket (65*)']</t>
  </si>
  <si>
    <t>['16th Most runs in an innings (by batting position) (30)', '40th Worst career bowling average (without qualification) (64.50)', '34th Worst economy rate in an innings (4.04)', '7th Highest partnership for the ninth wicket (65*)']</t>
  </si>
  <si>
    <t>['7th Fewest ducks in career (56)']</t>
  </si>
  <si>
    <t>['47th Most runs in debut match (154)', '7th Fewest ducks in career (56)', '50th Fastest to 1000 runs (22)', '37th Highest partnership for the second wicket (266)']</t>
  </si>
  <si>
    <t>['22nd No ducks in career (21)']</t>
  </si>
  <si>
    <t>['27th Most ducks in career (19)', '48th Most wickets in career (248)', '24th Best figures in a innings when on the losing side (7)', '44th Most runs conceded in career (7564)', '22nd Most wickets taken lbw (65)', '47th Fastest to 200 wickets (52)']</t>
  </si>
  <si>
    <t>['40th Oldest players (42y 121d)', '50th Longest intervals between appearances (8y 211d)']</t>
  </si>
  <si>
    <t>['10th Best career bowling average (16.30)', '2nd Best figures in a innings on debut (5)', '2nd Youngest player to take five-wickets-in-an-innings (15y 178d)']</t>
  </si>
  <si>
    <t>['20th Worst career bowling average (35.63)', '31st Worst career strike rate (93.2)', '12th Youngest player to take five-wickets-in-an-innings (21y 303d)', '18th Youngest players (17y 153d)', '17th Most consecutive matches missed for a team between appearances (5)']</t>
  </si>
  <si>
    <t>['28th Best figures in an innings (5/12)', '11th Outstanding bowling analyses in an innings (4/5)', '10th Best career bowling average (16.30)', '49th Best career economy rate (2.96)', '19th Best career strike rate (32.9)', '21st Best strike rate in an innings (7.5)', '2nd Best figures in a innings on debut (5)', '25th Most four-wickets-in-an-innings in a career (4)', '2nd Youngest player to take five-wickets-in-an-innings (15y 178d)', '16th Youngest players (15y 178d)']</t>
  </si>
  <si>
    <t>['5th Most consecutive matches for a team (18)', '4th Most runs in an series by a captain (318)', '10th Most hundreds in a career (2)', '1st Most nineties in career (2)', '3rd Fifties in consecutive matches (4)', '8th Most innings before first duck (13)', '1st Most catches in a series (12)', '5th Most hundreds in a calendar year (2)', '1st Outstanding bowling analyses in an innings (1/0)', '7th Best career bowling average (15.06)', '4th Most catches in an innings (3)', ' 250 runs and 10 wickets in a series ']</t>
  </si>
  <si>
    <t>['5th Most runs in career (1164)', '18th Most runs in an innings (158*)', '24th Most runs in a match (173)', '20th Most runs in a series (318)', '23rd Most runs in a calendar year (318)', '6th Most runs in an innings (by batting position) (158*)', '28th Most runs in a match on the losing side (82)', '5th Most runs on a single ground (269)', '4th Most runs in an series by a captain (318)', '8th Most runs in an innings by a captain (121*)', '25th Highest career batting average (40.13)', '10th Most hundreds in a career (2)', '13th Highest maiden hundred (158*)', '1st Most nineties in career (2)', '6th Most fifties in career (8)', '3rd Fifties in consecutive matches (4)', '8th Most innings before first duck (13)', '28th Fewest ducks in career (10.33)', '39th Most wickets in career (23)', '22nd Best career economy rate (1.59)', '13th Best economy rate in an innings (0.46)', '17th Worst career strike rate (111.1)', '16th Most balls bowled in career (2556)', '18th Most wickets taken caught (16)', '1st Most catches in career (25)', '1st Most catches in an innings (3)', '1st Most catches in a match (5)', '1st Most catches in a series (12)', '23rd Highest partnership for the fourth wicket (85)', '10th Most matches in career (18)', '5th Most consecutive matches for a team (18)']</t>
  </si>
  <si>
    <t>['44th Highest career batting average (32.51)', '25th Most hundreds in a career (2)', '6th Most hundreds in a series (2)', '5th Most hundreds in a calendar year (2)', '40th Highest maiden hundred (113)', '13th Oldest player to score a hundred (33y 328d)', '7th Oldest player to score a maiden hundred (33y 326d)', '42nd Fewest ducks in career (19.5)', '1st Outstanding bowling analyses in an innings (1/0)', '7th Best career bowling average (15.06)', '14th Best career economy rate (2.37)', '18th Best strike rate in an innings (7.2)', '25th Most four-wickets-in-an-innings in a career (4)', '16th Most wickets taken caught and bowled (7)', '4th Most catches in an innings (3)']</t>
  </si>
  <si>
    <t>['2nd Most runs in an innings (by batting position) (364)', '3rd Youngest player to score a triple hundred (22y 58d)', ' Hundred and a duck in a match ', ' Carrying bat through a completed innings (156*)', '1st Unusual dismissals (obstructing the)', '5th Fastest to 6000 runs (116)', ' 5000 runs and 50 fielding dismissals ', '5th Highest partnership for the second wicket (382)']</t>
  </si>
  <si>
    <t>['6th Most runs in an innings (364)', '7th Most runs in an innings (progressive record holder) (364)', '11th Most runs in a match (364)', '42nd Most runs in a series (677)', '2nd Most runs in an innings (by batting position) (364)', '14th Most runs on a single ground (1521)', '32nd Most runs in a day (206)', '11th Most runs in an series by a captain (677)', '16th Highest career batting average (56.67)', '47th Most hundreds in a career (19)', '17th Most double hundreds in a career (4)', '5th Most triple hundreds in a career (1)', '11th Youngest player to score a double hundred (22y 58d)', '3rd Youngest player to score a triple hundred (22y 58d)', '34th Fewest ducks in career (27.6)', '36th Most fours in an innings (35)', '5th Longest individual innings (by minutes) (797)', '1st Longest individual innings (by balls) (847)', '29th Highest percentage of runs in a completed innings (58.72)', '1st Unusual dismissals (obstructing the)', '6th Fastest to 1000 runs (16)', '27th Fastest to 2000 runs (42)', '12th Fastest to 3000 runs (61)', '8th Fastest to 4000 runs (77)', '10th Fastest to 5000 runs (98)', '5th Fastest to 6000 runs (116)', '23rd Highest partnerships for any wicket (382)', '7th Highest partnership for the first wicket (359)', '5th Highest partnership for the second wicket (382)', '39th Highest partnership for the third wicket (264)', '35th Highest partnership for the sixth wicket (215)', '35th Oldest captains (38y 278d)', '42nd Oldest captains on captaincy debut (35y 348d)']</t>
  </si>
  <si>
    <t>[' Hundred on debut (107)', '9th Longest lived players (76y 19d)']</t>
  </si>
  <si>
    <t>['9th Longest lived players (76y 19d)']</t>
  </si>
  <si>
    <t>[' Hundred on debut (106*)']</t>
  </si>
  <si>
    <t>['1st Dismissed for 99 (and 199, 299 etc) (99)', '9th Most fours in an innings (22)', '9th Highest partnership for the second wicket (248)', '1st Dismissed for 99 (99)', '7th Longest individual innings (by balls) (68)', '6th Fastest to 1000 runs (32)', '3rd Highest partnership for the third wicket (152)']</t>
  </si>
  <si>
    <t>['49th Most runs in an innings (171)', '49th Highest career strike rate (95.72)', '1st Dismissed for 99 (and 199, 299 etc) (99)', '11th Fifties in consecutive innings (5)', '9th Most fours in an innings (22)', '26th Most runs from fours and sixes in an innings (112)', '41st Fastest to 2000 runs (57)', '27th Highest partnerships for any wicket (248)', '9th Highest partnership for the second wicket (248)']</t>
  </si>
  <si>
    <t>['27th Most runs in career (1644)', '20th Most runs in an innings (116*)', '44th Most runs in a calendar year (397)', '15th Most runs in an innings (by batting position) (116*)', '42nd Highest career batting average (31.01)', '1st Dismissed for 99 (99)', '29th Most fifties in career (9)', '43rd Fewest ducks in career (15)', '34th Most sixes in career (55)', '17th Most fours in career (175)', '31st Most fours in an innings (11)', '26th Most runs from fours and sixes in an innings (80)', '7th Longest individual innings (by balls) (68)', '6th Fastest to 1000 runs (32)', '21st Most catches in career (32)', '14th Highest partnerships for any wicket (159)', '28th Highest partnership for the first wicket (128*)', '3rd Highest partnership for the second wicket (159)', '3rd Highest partnership for the third wicket (152)', '11th Highest partnership for the fourth wicket (107)', '40th Most consecutive matches for a team (30)']</t>
  </si>
  <si>
    <t>[' Pair on debut ', '7th Worst career bowling average (without qualification) (102.00)', '5th Most runs in an innings (by batting position) (20*)', '10th Highest partnership for the ninth wicket (47)', '7th Most balls bowled in career (1905)', '6th Most runs conceded in career (1764)', '1st Most wickets taken lbw (18)', '2nd Highest partnership for the ninth wicket (33*)']</t>
  </si>
  <si>
    <t>['2nd Most pairs in career (1)', '7th Worst career bowling average (without qualification) (102.00)', '26th Worst economy rate in an innings (4.17)']</t>
  </si>
  <si>
    <t>['5th Most runs in an innings (by batting position) (20*)', '22nd Fewest ducks in career (26)', '47th Most runs conceded in career (1709)', '47th Most runs conceded in an innings (70)', '41st Highest partnership for the eighth wicket (44)', '10th Highest partnership for the ninth wicket (47)']</t>
  </si>
  <si>
    <t>['14th Most runs in an innings (by batting position) (17*)', '47th Most innings before first duck (12)', '12th Most wickets in career (85)', '19th Most wickets in a calendar year (21)', '26th Outstanding bowling analyses in an innings (3/4)', '33rd Best career economy rate (5.55)', '7th Most balls bowled in career (1905)', '6th Most runs conceded in career (1764)', '18th Bowler/Batters combinations (4)', '16th Bowler/fielder combinations (10)', '21st Most wickets taken bowled (16)', '13th Most wickets taken caught (44)', '20th Most wickets taken caught and bowled (3)', '10th Most wickets taken caught by a fielder (43)', '1st Most wickets taken lbw (18)', '25th Most wickets taken stumped (7)', '36th Highest partnership for the eighth wicket (23)', '2nd Highest partnership for the ninth wicket (33*)', '29th Most matches in career (85)', '30th Most consecutive matches for a team (39)', '27th Most maidens in career (6)']</t>
  </si>
  <si>
    <t>['9th Most runs in an innings (by batting position) (169*)']</t>
  </si>
  <si>
    <t>['6th Most consecutive ducks (3)', '3rd Best career economy rate (3.27)']</t>
  </si>
  <si>
    <t>['6th Most consecutive ducks (3)', '5th Best career bowling average (19.45)', '3rd Best career economy rate (3.27)', '10th Best economy rate in an innings (0.62)', '25th Oldest player to take a maiden five-wickets-in-an-innings (31y 303d)']</t>
  </si>
  <si>
    <t>['5th Outstanding bowling analyses in an innings (6/11)']</t>
  </si>
  <si>
    <t>['47th Youngest player to score a hundred (20y 322d)', '48th Worst career bowling average (48.73)']</t>
  </si>
  <si>
    <t>['11th Best figures in a innings when on the losing side (4)', '41st Best career strike rate (35.6)', '43rd Worst career economy rate (4.10)']</t>
  </si>
  <si>
    <t>['2nd Hundred in last match (124)', '8th Outstanding bowling analyses in an innings (4/8)', '5th Best career bowling average (without qualification) (2.00)']</t>
  </si>
  <si>
    <t>['1st Outstanding bowling analyses in an innings (1/0)', '1st Best career bowling average (without qualification) (0.00)']</t>
  </si>
  <si>
    <t>['1st Outstanding bowling analyses in an innings (1/0)', '1st Best career bowling average (without qualification) (0.00)', '49th Oldest captains on captaincy debut (35y 199d)']</t>
  </si>
  <si>
    <t>['37th Shortest lived players (33y 271d)']</t>
  </si>
  <si>
    <t>['7th Longest careers (22y 233d)', '1st Oldest player to score a hundred (46y 82d)', '2nd Fastest to 5000 runs (91)', ' Opening the batting and bowling in the same match ', '7th Longest careers (22y 233d)']</t>
  </si>
  <si>
    <t>['48th Most runs in a series (662)', '50th Most runs in a day (199)', '14th Highest career batting average (56.94)', '3rd Most hundreds against one team (12)', '21st Hundreds in consecutive matches (3)', '1st Oldest player to score a hundred (46y 82d)', '45th Fewest ducks in career (25.5)', '22nd Fastest to 2000 runs (41)', '11th Fastest to 3000 runs (60)', '5th Fastest to 4000 runs (75)', '2nd Fastest to 5000 runs (91)', '25th Worst career bowling average (without qualification) (165.00)', '11th Highest partnership for the first wicket (323)', '7th Oldest players (47y 249d)', '7th Longest careers (22y 233d)']</t>
  </si>
  <si>
    <t>['7th Number eleven top scoring in an innings (42)', '1st Outstanding bowling analyses in an innings (7/12)']</t>
  </si>
  <si>
    <t>['19th Most ducks in career (21)', '7th Number eleven top scoring in an innings (42)', '23rd Most wickets in a calendar year (67)', '1st Outstanding bowling analyses in an innings (7/12)', '42nd Most wickets taken caught (161)', '37th Most wickets taken caught by a wicketkeeper (58)', '37th Fastest to 100 wickets (23)']</t>
  </si>
  <si>
    <t>['13th Most consecutive four-wickets-in-an-innings (2)', '15th Most runs conceded in an innings (97)']</t>
  </si>
  <si>
    <t>['36th Best career strike rate (50.4)', '33rd Best figures in a match on debut (8)']</t>
  </si>
  <si>
    <t>['9th Oldest player to take a maiden five-wickets-in-an-innings (38y 270d)']</t>
  </si>
  <si>
    <t>['22nd Oldest player to take five-wickets-in-an-innings (38y 270d)', '9th Oldest player to take a maiden five-wickets-in-an-innings (38y 270d)', '27th Oldest players on debut (38y 112d)']</t>
  </si>
  <si>
    <t>['3rd Shortest lived players (24y 132d)']</t>
  </si>
  <si>
    <t>['2nd Outstanding bowling analyses in an innings (4/5)', '9th Highest partnership for the tenth wicket (128)']</t>
  </si>
  <si>
    <t>['2nd Outstanding bowling analyses in an innings (4/5)', '17th Best career bowling average (20.74)', '33rd Best figures in a match on debut (8)', '20th Fastest to 50 wickets (10)', '9th Highest partnership for the tenth wicket (128)']</t>
  </si>
  <si>
    <t>['10th Outstanding bowling analyses in an innings (2/2)', '6th Best figures in a innings on debut (4)']</t>
  </si>
  <si>
    <t>['36th Worst career bowling average (without qualification) (66.66)']</t>
  </si>
  <si>
    <t>['10th Outstanding bowling analyses in an innings (2/2)', '11th Best figures in a innings when on the losing side (4)', '18th Best career economy rate (2.43)', '16th Best economy rate in an innings (0.30)', '6th Best figures in a innings on debut (4)']</t>
  </si>
  <si>
    <t>['14th Oldest players (45y 216d)']</t>
  </si>
  <si>
    <t>['9th Longest intervals between appearances (12y 81d)']</t>
  </si>
  <si>
    <t>['26th Oldest player to take five-wickets-in-an-innings (38y 3d)', '9th Longest intervals between appearances (12y 81d)']</t>
  </si>
  <si>
    <t>['1st Most consecutive matches for a team (22)', '2nd Most consecutive matches as captain of a team (12)', '1st Most runs in an innings by a captain (179)', '1st Most hundreds in a calendar year (2)', '2nd Most fifties in career (13)', '2nd Fewest ducks in career (38)', '10th Highest percentage of runs in a completed innings (54.90)', '7th Most catches in career (13)', '5th Oldest players (42y 241d)', '1st Highest career batting average (58.45)', '6th Oldest player to score a maiden hundred (34y 37d)', '10th No ducks in career (20)']</t>
  </si>
  <si>
    <t>['3rd Most runs in career (1594)', '12th Most runs in an innings (179)', '15th Most runs in a match (191)', '8th Most runs in a series (356)', '8th Most runs in a calendar year (359)', '5th Most runs in an innings (by batting position) (179)', '1st Most runs on a single ground (337)', '2nd Most runs in an series by a captain (356)', '1st Most runs in an innings by a captain (179)', '14th Highest career batting average (45.54)', '7th Most hundreds in a career (3)', '1st Most hundreds in a series (2)', '1st Most hundreds in a calendar year (2)', '3rd Most hundreds against one team (2)', '37th Highest maiden hundred (113)', '4th Oldest player to score a hundred (37y 43d)', '2nd Most fifties in career (13)', '5th Fifties in consecutive innings (3)', '2nd Most consecutive innings without a duck (32*)', '2nd Fewest ducks in career (38)', '10th Highest percentage of runs in a completed innings (54.90)', '32nd Worst career bowling average (without qualification) (68.00)', '7th Most catches in career (13)', '3rd Most matches in career (22)', '1st Most consecutive matches for a team (22)', '19th Oldest players (40y 22d)', '5th Longest careers (18y 213d)', '2nd Most matches as captain (12)', '2nd Most consecutive matches as captain of a team (12)', '11th Oldest captains (37y 46d)']</t>
  </si>
  <si>
    <t>['37th Most runs in an series by a captain (257)', '21st Most runs in an innings by a captain (114)', '1st Highest career batting average (58.45)', '35th Highest maiden hundred (114)', '11th Oldest player to score a hundred (34y 37d)', '6th Oldest player to score a maiden hundred (34y 37d)', '10th No ducks in career (20)', '44th Highest percentage of runs in a completed innings (51.70)', '30th Oldest players on debut (34y 12d)', '5th Oldest players (42y 241d)', '15th Oldest captains (37y 58d)', '16th Oldest captains on captaincy debut (34y 12d)']</t>
  </si>
  <si>
    <t>['33rd Oldest player to take five-wickets-in-an-innings (37y 262d)']</t>
  </si>
  <si>
    <t>['3rd Oldest captains (43y 279d)', '2nd Most runs in a day (295)', ' Hundred in each innings of a match ', '6th Most runs from fours and sixes in an innings (196)', '8th Longest individual innings (by balls) (605)', '2nd Fastest to 7000 runs (131)', '10th Most catches in a series (12)', ' Opening the batting and bowling in the same match ', ' 1000 runs, 50 wickets and 50 catches ', ' 5000 runs and 50 fielding dismissals ', '5th Fifties in consecutive matches (8)']</t>
  </si>
  <si>
    <t>['47th Most runs in career (7249)', '9th Most runs in an innings (336*)', '6th Most runs in an innings (progressive record holder) (336*)', '22nd Most runs in a match (336)', '2nd Most runs in a series (905)', '4th Most runs in an innings (by batting position) (336*)', '2nd Most runs in a day (295)', '17th Most runs in an series by a captain (609)', '25th Most runs in an innings by a captain (240)', '11th Highest career batting average (58.45)', '32nd Most hundreds in a career (22)', '4th Most double hundreds in a career (7)', '5th Most triple hundreds in a career (1)', '2nd Most double hundreds in a series (2)', '2nd Most hundreds in a series (4)', '19th Most hundreds in a calendar year (5)', '9th Most hundreds against one team (9)', '21st Hundreds in consecutive matches (3)', '10th Highest maiden hundred (251)', '32nd Fifties in consecutive innings (5)', '15th Fifties in consecutive matches (8)', '16th Most consecutive innings without a duck (67)', '18th Fewest ducks in career (35)', '7th Most sixes in an innings (10)', '6th Most runs from fours and sixes in an innings (196)', '8th Longest individual innings (by balls) (605)', '13th Fastest to 1000 runs (18)', '14th Fastest to 2000 runs (39)', '12th Fastest to 3000 runs (61)', '6th Fastest to 4000 runs (76)', '7th Fastest to 5000 runs (97)', '4th Fastest to 6000 runs (114)', '2nd Fastest to 7000 runs (131)', '29th Most catches in career (110)', '10th Most catches in a series (12)', '41st Highest partnership for the third wicket (262)', '33rd Highest partnership for the fourth wicket (266)', '33rd Highest partnership for the fifth wicket (242)', '23rd Oldest players (43y 279d)', '25th Longest careers (19y 91d)', '7th Winning all tosses in a series (4)', '3rd Oldest captains (43y 279d)']</t>
  </si>
  <si>
    <t>['4th Oldest player to take a maiden five-wickets-in-an-innings (41y 135d)']</t>
  </si>
  <si>
    <t>['6th Oldest player to take five-wickets-in-an-innings (41y 135d)', '4th Oldest player to take a maiden five-wickets-in-an-innings (41y 135d)']</t>
  </si>
  <si>
    <t>['21st Oldest players (41y 354d)']</t>
  </si>
  <si>
    <t>['46th Worst career bowling average (31.04)']</t>
  </si>
  <si>
    <t>[' Hundred and a duck in a match ', '8th Most catches in a match (6)', '3rd Most hundreds in a series (3)', ' A fifty and five wickets in an innings ']</t>
  </si>
  <si>
    <t>['25th Most runs in a match on the losing side (225)', '23rd Most consecutive innings without a duck (63)', '24th Worst career bowling average (56.78)', '16th Worst career strike rate (132.9)', '49th Most catches in career (90)', '8th Most catches in a match (6)', '24th Most catches in a series (11)']</t>
  </si>
  <si>
    <t>['26th Most runs in a series (513)', '3rd Most hundreds in a series (3)', '44th Fifties in consecutive innings (4)', '45th Fastest to 1000 runs (29)', '36th Fastest to 3000 runs (87)', '25th Oldest player to take five-wickets-in-an-innings (33y 273d)', '16th Oldest player to take a maiden five-wickets-in-an-innings (33y 273d)', '21st Highest partnership for the third wicket (213)']</t>
  </si>
  <si>
    <t>['2nd Oldest player to score a hundred (45y 151d)', '7th Fifties in consecutive innings (6)']</t>
  </si>
  <si>
    <t>['37th Most runs in a series (693)', '2nd Oldest player to score a hundred (45y 151d)', '22nd Oldest player to score a maiden hundred (35y 158d)', '7th Fifties in consecutive innings (6)', '45th Fastest to 3000 runs (69)', '46th Highest partnership for the eighth wicket (124)', '11th Oldest players (46y 41d)']</t>
  </si>
  <si>
    <t>['15th Best figures in a innings on debut (4)', '13th Most consecutive four-wickets-in-an-innings (2)']</t>
  </si>
  <si>
    <t>['2nd Longest careers (19y 211d)', '2nd Oldest captains (40y 276d)', '6th Most runs in an series by a captain (285)', '7th Oldest player to score a hundred (35y 118d)', '5th Fifties in consecutive innings (3)', '5th Fewest ducks in career (27)', '3rd Best figures in a match by a captain (8)', '4th Best career bowling average (15.25)', '7th Most wickets taken bowled (14)']</t>
  </si>
  <si>
    <t>['12th Most runs in career (872)', '41st Most runs in an innings (124*)', '18th Most runs in a match (187)', '29th Most runs in a series (285)', '28th Most runs in a calendar year (300)', '13th Most runs in an innings (by batting position) (124*)', '6th Most runs in an series by a captain (285)', '7th Most runs in an innings by a captain (124*)', '29th Highest career batting average (36.33)', '10th Most hundreds in a career (2)', '41st Highest maiden hundred (110)', '9th Youngest player to score a hundred (21y 115d)', '7th Oldest player to score a hundred (35y 118d)', '11th Most fifties in career (7)', '5th Fifties in consecutive innings (3)', '5th Fewest ducks in career (27)', '17th Most wickets in career (36)', '26th Best figures in a match (8)', '5th Outstanding bowling analyses in an innings (5/20)', '5th Best figures in a innings by a captain (5)', '3rd Best figures in a match by a captain (8)', '17th Best figures in a match when on the losing side (5)', '4th Best career bowling average (15.25)', '22nd Best career economy rate (1.59)', '13th Best career strike rate (57.3)', '14th Best strike rate in an innings (14.8)', '17th Youngest player to take five-wickets-in-an-innings (23y 245d)', '26th Most balls bowled in career (2064)', '12th Bowler/Batters combinations (4)', '7th Most wickets taken bowled (14)', '21st Most wickets taken caught (15)', '23rd Most catches in career (10)', '25th Highest partnership for the fourth wicket (84)', '17th Most matches in career (15)', '12th Oldest players (40y 276d)', '2nd Longest careers (19y 211d)', '5th Longest intervals between appearances (11y 186d)', '4th Most matches as captain (11)', '5th Youngest captains (23y 231d)', '2nd Oldest captains (40y 276d)']</t>
  </si>
  <si>
    <t>[' Hundred and a duck in a match ', ' 5000 runs and 50 fielding dismissals ']</t>
  </si>
  <si>
    <t>['31st Hundred in last match (103*)', '21st Most fours in an innings (38)', '34th Most runs from fours and sixes in an innings (152)', '20th Highest partnership for the fourth wicket (288)', '26th Most matches as captain (45)', '39th Most consecutive matches as captain of a team (23)']</t>
  </si>
  <si>
    <t>['17th Oldest player to score a maiden hundred (34y 107d)', '24th Most catches in a series (8)', '48th Most consecutive matches as captain of a team (32)', '38th Winning all tosses in a series (3)']</t>
  </si>
  <si>
    <t>['2nd Most dismissals in a series (16)', '2nd Most catches in a series (10)', '1st Most stumpings in a series (11)', '5th Most dismissals in a series (19)', '3rd Most stumpings in a series (9)']</t>
  </si>
  <si>
    <t>['29th Highest partnership for the ninth wicket (40*)', '3rd Most dismissals in career (36)', '3rd Most dismissals in an innings (5)', '8th Most dismissals in a match (6)', '2nd Most dismissals in a series (16)', '4th Most catches in career (19)', '3rd Most catches in an innings (4)', '5th Most catches in a match (5)', '2nd Most catches in a series (10)', '1st Most stumpings in career (17)', '5th Most stumpings in an innings (3)', '3rd Most stumpings in a match (4)', '1st Most stumpings in a series (11)', '13th Highest innings total without conceding a bye (236/7d)']</t>
  </si>
  <si>
    <t>['39th Highest partnership for the ninth wicket (36*)', '32nd Oldest players (38y 225d)', '22nd Most dismissals in career (35)', '17th Most dismissals in an innings (4)', '5th Most dismissals in a series (19)', '26th Most catches in career (20)', '21st Most catches in an innings (3)', '11th Most catches in a series (10)', '21st Most stumpings in career (15)', '6th Most stumpings in an innings (3)', '3rd Most stumpings in a series (9)']</t>
  </si>
  <si>
    <t>['33rd Best career bowling average (22.08)']</t>
  </si>
  <si>
    <t>['10th Most catches in a series (12)']</t>
  </si>
  <si>
    <t>['19th Most matches as an umpire (53)']</t>
  </si>
  <si>
    <t>['33rd Most matches as an umpire (69)']</t>
  </si>
  <si>
    <t>['1st Outstanding bowling analyses in an innings (1/0)', ' 1000 runs and 100 wickets ', '1st Oldest living players (88y 358d)', '9th Oldest captains (41y 42d)']</t>
  </si>
  <si>
    <t>['13th Oldest player to score a maiden hundred (37y 18d)', '1st Outstanding bowling analyses in an innings (1/0)', '18th Best career economy rate (1.91)', '37th Best economy rate in an innings (0.60)', '19th Oldest player to take five-wickets-in-an-innings (39y 72d)', '31st Oldest player to take a maiden five-wickets-in-an-innings (35y 14d)', '14th Highest partnership for the eighth wicket (168)', '47th Highest partnership for the tenth wicket (83)', '23rd Oldest living players (88y 358d)', '45th Most matches as captain (31)', '33rd Most consecutive matches as captain of a team (25)', '21st Winning all tosses in a series (3)', '14th Oldest captains (41y 80d)', '26th Oldest captains on captaincy debut (37y 4d)']</t>
  </si>
  <si>
    <t>['28th Oldest players on debut (38y 211d)', '27th Oldest players (41y 42d)', '1st Oldest living players (88y 358d)', '9th Oldest captains (41y 42d)', '12th Oldest captains on captaincy debut (38y 211d)']</t>
  </si>
  <si>
    <t>['47th Longest lived players (91y 109d)']</t>
  </si>
  <si>
    <t>[' A fifty and five wickets in an innings ']</t>
  </si>
  <si>
    <t>['42nd Oldest player to take a maiden five-wickets-in-an-innings (30y 256d)']</t>
  </si>
  <si>
    <t>['1st Outstanding bowling analyses in an innings (1/0)', '6th Best strike rate in an innings (3.0)', '8th Most balls bowled in career (1265)', '6th Most runs conceded in career (1869)', '7th Most wickets taken bowled (19)']</t>
  </si>
  <si>
    <t>['12th Best strike rate in an innings (6.5)']</t>
  </si>
  <si>
    <t>['19th Highest strike rate in an innings (292.30)', '1st Outstanding bowling analyses in an innings (1/0)', '11th Worst career economy rate (5.97)', '50th Worst economy rate in an innings (10.77)', '15th Most runs conceded in an innings (97)']</t>
  </si>
  <si>
    <t>['16th Most runs in an innings (by batting position) (36)', '21st Highest strike rate in an innings (300.00)', '11th Most wickets in career (70)', '3rd Outstanding bowling analyses in an innings (4/6)', '45th Best career strike rate (18.0)', '6th Best strike rate in an innings (3.0)', '7th Worst career economy rate (8.86)', '16th Most four-wickets-in-an-innings in a career (2)', '8th Most balls bowled in career (1265)', '6th Most runs conceded in career (1869)', '37th Most runs conceded in an innings (57)', '17th Bowler/batters combinations (3)', '26th Bowler/fielder combinations (7)', '7th Most wickets taken bowled (19)', '9th Most wickets taken caught (47)', '14th Most wickets taken caught and bowled (3)', '11th Most wickets taken caught by a fielder (38)', '8th Most wickets taken caught by a wicketkeeper (9)', '14th Fastest to 50 wickets (41)', '26th Most catches in career (31)', '15th Most catches in an innings (3)', '32nd Highest partnership for the tenth wicket (18*)', '31st Most consecutive matches for a team (33)']</t>
  </si>
  <si>
    <t>['8th Most runs in a series by a wicketkeeper (311)', '10th Most nineties in career (2)', '9th Most stumpings in an innings (3)', '9th Most byes conceded in an innings (7)', '2nd Most runs in an innings by a wicketkeeper (89)']</t>
  </si>
  <si>
    <t>['15th Most runs in a series (672)', '30th Most runs in a match on the losing side (94)', '8th Most runs in a series by a wicketkeeper (311)', '21st Most runs in an innings by a wicketkeeper (94)', '32nd Most runs in a career without a hundred (1017)', '10th Most nineties in career (2)', '12th Fifties in consecutive innings (4)', '26th Most catches in a series (7)', '22nd Highest partnership for the third wicket (146)', '27th Most dismissals in career (29)', '31st Most dismissals in a series (11)', '23rd Most catches in career (23)', '21st Most catches in an innings (3)', '23rd Most catches in a series (8)', '40th Most stumpings in career (6)']</t>
  </si>
  <si>
    <t>['48th Most runs in career (810)', '42nd Most runs in an innings (89)', '37th Most runs in a calendar year (377)', '12th Most runs in an innings (by batting position) (55)', '46th Most runs on a single ground (179)', '2nd Most runs in an innings by a wicketkeeper (89)', '23rd Most fifties in career (5)', '11th Most ducks in career (7)', '41st Highest partnerships for any wicket (120)', '22nd Highest partnership for the first wicket (120)', '24th Highest partnership for the third wicket (92*)', '22nd Highest partnership for the sixth wicket (49)', '12th Most dismissals in career (38)', '12th Most catches in career (15)', '9th Most stumpings in career (23)', '9th Most stumpings in an innings (3)', '9th Most byes conceded in an innings (7)']</t>
  </si>
  <si>
    <t>['24th Oldest living players (79y 336d)']</t>
  </si>
  <si>
    <t>['10th Most runs conceded in a match (290)']</t>
  </si>
  <si>
    <t>['10th Longest lived players (75y 134d)']</t>
  </si>
  <si>
    <t>['25th Best career strike rate (47.8)', '32nd Worst career economy rate (3.54)']</t>
  </si>
  <si>
    <t>['6th Most consecutive matches missed for a team between appearances (96)']</t>
  </si>
  <si>
    <t>['12th Longest intervals between appearances (11y 345d)', '6th Most consecutive matches missed for a team between appearances (96)']</t>
  </si>
  <si>
    <t>['2nd Winning all tosses in a series (5)', '1st Ninety on debut (91)']</t>
  </si>
  <si>
    <t>['1st Ninety on debut (91)', '2nd Winning all tosses in a series (5)']</t>
  </si>
  <si>
    <t>[' Hundred on debut (112)', ' Hundred and a duck in a match ', '8th Most catches in a match (6)']</t>
  </si>
  <si>
    <t>['16th Highest maiden hundred (221)']</t>
  </si>
  <si>
    <t>['5th Outstanding bowling analyses in an innings (2/1)']</t>
  </si>
  <si>
    <t>['28th No ducks in career (15)', '5th Outstanding bowling analyses in an innings (2/1)']</t>
  </si>
  <si>
    <t>['10th Best career economy rate (1.85)']</t>
  </si>
  <si>
    <t>['10th Best career economy rate (1.85)', '27th Most balls bowled in an innings (448)', '38th Most balls bowled in a match (625)']</t>
  </si>
  <si>
    <t>[' Carrying bat through a completed innings (125*)']</t>
  </si>
  <si>
    <t>['20th Fastest to 1000 runs (26)', '34th Fastest to 2000 runs (56)', '25th Fastest to 3000 runs (82)']</t>
  </si>
  <si>
    <t>['13th Most matches as an umpire (68)']</t>
  </si>
  <si>
    <t>['23rd Most matches as an umpire (90)']</t>
  </si>
  <si>
    <t>['8th Most dismissals in career (269)', '8th Most catches in career (250)', '4th Most stumpings in an innings (3)', ' Hundred and a ninety in a match ', ' 300 runs and 15 wicketkeeping dismissals in a series ']</t>
  </si>
  <si>
    <t>['20th Most runs in a series by a wicketkeeper (365)', '25th Most consecutive innings without a duck (62*)', '26th Most consecutive matches for a team (65)', '8th Most dismissals in career (269)', '15th Most dismissals in a series (24)', '8th Most catches in career (250)', '29th Most catches in a series (22)', '23rd Most stumpings in career (19)', '4th Most stumpings in an innings (3)', '12th Most stumpings in a match (3)', '44th Highest innings total without conceding a bye (551/9d)']</t>
  </si>
  <si>
    <t>['31st Captains who have kept wicket (1)']</t>
  </si>
  <si>
    <t>['10th Oldest players on debut (40y 216d)']</t>
  </si>
  <si>
    <t>['7th Most runs in an innings (by batting position) (157)', '2nd Highest partnership for the seventh wicket (156)', '10th Most matches as captain (49)', '4th Most runs in an series by a captain (788)', '3rd Best figures in a innings by a captain (5)', '4th Most catches in a series (13)', ' Opening the batting and bowling in the same match ', '4th Highest partnership for the third wicket (213)', '10th Most matches as captain (48)', '1st Most runs on a single ground (384)', '6th Highest partnership for the fourth wicket (115)']</t>
  </si>
  <si>
    <t>['19th Most runs in an innings (157)', '32nd Most runs in a match (161)', '7th Most runs in an innings (by batting position) (157)', '39th Highest career batting average (32.16)', '14th Highest maiden hundred (157)', '12th Youngest player to score a hundred (22y 228d)', '21st Highest percentage of runs in a completed innings (50.00)', '24th Highest partnerships for any wicket (156)', '15th Highest partnership for the third wicket (117*)', '2nd Highest partnership for the seventh wicket (156)']</t>
  </si>
  <si>
    <t>['16th Most runs in career (2935)', '11th Most runs in a series (788)', '50th Most runs on a single ground (283)', '4th Most runs in an series by a captain (788)', '33rd Most runs in an innings by a captain (106)', '27th Highest career batting average (38.61)', '16th Most fifties in career (22)', '28th Fifties in consecutive innings (3)', '28th Most consecutive innings without a duck (36)', '40th Most ducks in career (8)', '5th Most wickets in a series (29)', '3rd Best figures in a innings by a captain (5)', '11th Best figures in a innings when on the losing side (4)', '32nd Best career strike rate (34.5)', '19th Worst career economy rate (4.41)', '31st Most wickets taken caught and bowled (5)', '32nd Most catches in career (33)', '4th Most catches in a series (13)', '18th Highest partnerships for any wicket (213)', '4th Highest partnership for the third wicket (213)', '24th Highest partnership for the fourth wicket (113)', '24th Highest partnership for the fifth wicket (97)', '37th Highest partnership for the sixth wicket (69)', '38th Most matches in career (104)', '49th Most consecutive matches for a team (39)', '10th Most matches as captain (49)', '24th Most consecutive matches as captain of a team (26*)']</t>
  </si>
  <si>
    <t>['25th Most runs in career (1295)', '19th Most runs in an innings (108*)', '15th Most runs in a calendar year (486)', '2nd Most runs in an innings (by batting position) (108*)', '22nd Most runs in a match on the losing side (67)', '1st Most runs on a single ground (384)', '5th Most runs in an innings by a captain (108*)', '23rd Most fifties in career (5)', '29th Most consecutive innings without a duck (33)', '34th Most ducks in career (5)', '15th Highest percentage of runs in a completed innings (61.36)', '21st Best figures in a innings by a captain (3)', '41st Best career economy rate (5.71)', '33rd Best strike rate in an innings (4.0)', '17th Worst career strike rate (26.2)', '23rd Most catches in career (26)', '6th Highest partnership for the fourth wicket (115)', '15th Highest partnership for the fifth wicket (69)', '36th Most matches in career (81)', '42nd Most consecutive matches for a team (38)', '10th Most matches as captain (48)']</t>
  </si>
  <si>
    <t>['1st Most stumpings in an innings (3)']</t>
  </si>
  <si>
    <t>['44th Most dismissals in career (64)', '16th Most dismissals in an innings (5)', '44th Most catches in career (52)', '32nd Most stumpings in career (12)', '1st Most stumpings in an innings (3)', '21st Most stumpings in a series (4)']</t>
  </si>
  <si>
    <t>['25th Most innings before first duck (21)', '33rd Highest partnership for the second wicket (111)', '23rd Most dismissals in career (20)', '20th Most catches in career (17)']</t>
  </si>
  <si>
    <t>['29th Oldest players on debut (38y 59d)']</t>
  </si>
  <si>
    <t>['32nd Best career bowling average (without qualification) (11.00)']</t>
  </si>
  <si>
    <t>['1st Most stumpings in a series (9)']</t>
  </si>
  <si>
    <t>['31st Oldest players (42y 256d)', '15th Most stumpings in career (22)', '4th Most stumpings in an innings (3)', '12th Most stumpings in a match (3)', '1st Most stumpings in a series (9)']</t>
  </si>
  <si>
    <t>['9th Best figures in a innings on debut (7)', '13th Best figures in a match on debut (10)']</t>
  </si>
  <si>
    <t>['26th Best career economy rate (3.71)']</t>
  </si>
  <si>
    <t>['1st Most runs in an innings (by batting position) (144)', '7th Outstanding bowling analyses in an innings (2/5)', '5th Worst career economy rate (2.83)', '8th Most runs conceded in an innings (112)', '2nd Highest partnership for the eighth wicket (114)']</t>
  </si>
  <si>
    <t>['24th Most runs in an innings (144)', '1st Most runs in an innings (by batting position) (144)', '17th Highest maiden hundred (144)', '13th Youngest player to score a hundred (22y 270d)', '7th Outstanding bowling analyses in an innings (2/5)', '15th Worst career bowling average (39.76)', '5th Worst career economy rate (2.83)', '8th Most runs conceded in an innings (112)', '2nd Highest partnership for the eighth wicket (114)']</t>
  </si>
  <si>
    <t>['11th Best figures in a innings when on the losing side (4)', '44th Bowler/fielder combinations (10)']</t>
  </si>
  <si>
    <t>['30th Oldest captains on captaincy debut (36y 238d)']</t>
  </si>
  <si>
    <t>['1st Outstanding bowling analyses in an innings (9/28)', '1st Best career strike rate (34.1)', '4th Most consecutive ten-wickets-in-a-match (2)', '1st Fastest to 100 wickets (16)', ' Opening the batting and bowling in the same match ']</t>
  </si>
  <si>
    <t>['3rd Best figures in an innings (9/28)', '6th Best figures in a match (15)', '19th Most wickets in a series (35)', '1st Outstanding bowling analyses in an innings (8/7)', '5th Best figures in a innings when on the losing side (8)', '40th Best figures in a match when on the losing side (10)', '1st Best career bowling average (10.75)', '13th Best career economy rate (1.88)', '1st Best career strike rate (34.1)', '31st Best career bowling average (without qualification) (10.75)', '10th Best strike rate in an innings (6.1)', '12th Most ten-wickets-in-a-match in a career (5)', '18th Most consecutive five-wickets-in-an-innings (3)', '4th Most consecutive ten-wickets-in-a-match (2)', '21st Youngest player to take ten-wickets-in-a-match (21y 71d)', '20th Fastest to 50 wickets (10)', '1st Fastest to 100 wickets (16)']</t>
  </si>
  <si>
    <t>['1st Outstanding bowling analyses in an innings (10/53)', '7th Best economy rate in an innings (0.37)', '9th Best figures in a innings on debut (7)', '4th Most consecutive ten-wickets-in-a-match (2)', ' Dismissing all eleven batters in a match ', '5th Most consecutive five-wickets-in-an-innings (4)']</t>
  </si>
  <si>
    <t>['1st Best figures in an innings (10/53)', '1st Best figures in a match (19)', '2nd Most wickets in a series (46)', '1st Outstanding bowling analyses in an innings (10/53)', '24th Best career bowling average (21.24)', '7th Best economy rate in an innings (0.37)', '9th Best figures in a innings on debut (7)', '17th Best figures in a match on debut (9)', '29th Most ten-wickets-in-a-match in a career (3)', '5th Most consecutive five-wickets-in-an-innings (4)', '4th Most consecutive ten-wickets-in-a-match (2)', '27th Oldest player to take ten-wickets-in-a-match (34y 168d)', '34th Most balls bowled in a match (630)', '32nd Bowler/Batter combinations (11)', '50th Most wickets taken bowled (52)', '25th Most wickets taken stumped (10)', '36th Fastest to 150 wickets (36)']</t>
  </si>
  <si>
    <t>['4th Most runs in an innings (progressive record holder) (116*)', '4th Best career bowling average (without qualification) (3.00)']</t>
  </si>
  <si>
    <t>['21st Highest maiden hundred (214*)']</t>
  </si>
  <si>
    <t>['10th Most catches in career (12)', '1st Outstanding bowling analyses in an innings (1/0)', '1st Best career bowling average (without qualification) (0.00)']</t>
  </si>
  <si>
    <t>['16th Most innings before first duck (10)', '10th Most catches in career (12)', '19th Most catches in a series (5)']</t>
  </si>
  <si>
    <t>['26th Longest lived players (66y 24d)']</t>
  </si>
  <si>
    <t>['8th Best career bowling average (without qualification) (4.75)']</t>
  </si>
  <si>
    <t>['7th Hundred in last match (196)', ' Hundred and a duck in a match ']</t>
  </si>
  <si>
    <t>['7th Hundred in last match (196)']</t>
  </si>
  <si>
    <t>['15th Best figures in a match when on the losing side (11)', '22nd Best figures in a innings on debut (6)', '29th Oldest player to take ten-wickets-in-a-match (34y 121d)']</t>
  </si>
  <si>
    <t>['42nd Best career bowling average (22.51)', '30th Best career economy rate (1.97)']</t>
  </si>
  <si>
    <t>['9th Most balls bowled in a match (690)']</t>
  </si>
  <si>
    <t>['22nd Most wickets in a series (34)', '29th Most ten-wickets-in-a-match in a career (3)', '35th Most balls bowled in an innings (438)', '9th Most balls bowled in a match (690)', '48th Fastest to 100 wickets (24)', '42nd Most catches in a series (10)', '34th Highest partnership for the ninth wicket (109)']</t>
  </si>
  <si>
    <t>['18th Oldest living players (80y 257d)']</t>
  </si>
  <si>
    <t>['37th Oldest players on debut (33y 83d)']</t>
  </si>
  <si>
    <t>['11th Hundred in last match (187)', '33rd Most hundreds against one team (7)']</t>
  </si>
  <si>
    <t>['10th Most consecutive matches missed for a team between appearances (85)', '9th Oldest player to score a maiden hundred (35y 331d)']</t>
  </si>
  <si>
    <t>['10th Most consecutive matches missed for a team between appearances (85)']</t>
  </si>
  <si>
    <t>['25th Oldest player to score a hundred (35y 331d)', '9th Oldest player to score a maiden hundred (35y 331d)', '6th Longest intervals between appearances (9y 266d)']</t>
  </si>
  <si>
    <t>['9th Best figures in a innings on debut (7)', '24th Longest intervals between appearances (10y 48d)']</t>
  </si>
  <si>
    <t>[' Hundred on debut (106)']</t>
  </si>
  <si>
    <t>['11th Most runs in debut match (106)', '19th Oldest player to score a maiden hundred (34y 16d)']</t>
  </si>
  <si>
    <t>['18th Most innings before first duck (24)', '26th Highest partnerships for any wicket (143*)', '14th Highest partnership for the first wicket (143*)']</t>
  </si>
  <si>
    <t>['33rd Most wickets in a series (33)']</t>
  </si>
  <si>
    <t>[' Batting on each day of a five day match ', '8th Most catches in a match (6)', '1st Dismissed for 99 (and 199, 299 etc) (99)']</t>
  </si>
  <si>
    <t>['21st Hundreds in consecutive matches (3)', '34th Most consecutive innings without a duck (58)', '8th Most catches in a match (6)', '42nd Most catches in a series (10)', '44th Oldest captains on captaincy debut (35y 289d)']</t>
  </si>
  <si>
    <t>['34th Most nineties in career (4)', '1st Dismissed for 99 (and 199, 299 etc) (99)', '36th Highest percentage of runs in a completed innings (55.47)', '20th Fastest to 1000 runs (26)', '41st Fastest to 2000 runs (57)', '33rd Fastest to 3000 runs (85)', '41st Fastest to 4000 runs (117)', '47th Oldest captains (36y 172d)', '23rd Oldest captains on captaincy debut (35y 287d)']</t>
  </si>
  <si>
    <t>['1st Best career economy rate (1.31)']</t>
  </si>
  <si>
    <t>['41st Best career bowling average (22.35)', '1st Best career economy rate (1.31)']</t>
  </si>
  <si>
    <t>['8th Most matches in career (160)', '3rd Most runs in an innings (by batting position) (81)', '5th Most innings before first duck (54)', '4th Most wickets on a single ground (103)', '6th Most five-wickets-in-an-innings in a career (30)', '4th Most balls bowled in career (34326)', '4th Most runs conceded in career (16251)', '1st Most wickets taken caught by a wicketkeeper (167)', '4th Fastest to 600 wickets (156)', ' 1000 runs and 100 wickets ', ' 1000 runs, 50 wickets and 50 catches ', '6th Most ducks in a series (3)', '10th Most four-wickets-in-an-innings in a career (13)', '5th Most runs conceded in an innings (64)', '5th Most wickets on a single ground (125)', '8th Most five-wickets-in-an-innings in a career (32)', '4th Most balls bowled in career (44332)', '4th Most runs conceded in career (24664)', '2nd Most wickets taken caught by a wicketkeeper (217)']</t>
  </si>
  <si>
    <t>['3rd Most runs in an innings (by batting position) (81)', '31st Most runs in a career without a hundred (1233)', '5th Most innings before first duck (54)', '47th Most consecutive innings without a duck (54)', '9th Most ducks in career (28)', '4th Most wickets in career (614)', '4th Most wickets on a single ground (103)', '6th Most five-wickets-in-an-innings in a career (30)', '29th Most ten-wickets-in-a-match in a career (3)', '23rd Oldest player to take five-wickets-in-an-innings (38y 176d)', '39th Oldest player to take ten-wickets-in-a-match (33y 294d)', '4th Most balls bowled in career (34326)', '4th Most runs conceded in career (16251)', '32nd Bowler/Batter combinations (11)', '11th Bowler/fielder combinations (68)', '2nd Most wickets taken bowled (119)', '3rd Most wickets taken caught (406)', '17th Most wickets taken caught and bowled (10)', '6th Most wickets taken caught by a fielder (239)', '1st Most wickets taken caught by a wicketkeeper (167)', '12th Most wickets taken lbw (89)', '32nd Fastest to 250 wickets (67)', '27th Fastest to 300 wickets (81)', '20th Fastest to 350 wickets (93)', '13th Fastest to 400 wickets (104)', '5th Fastest to 450 wickets (115)', '5th Fastest to 500 wickets (129)', '4th Fastest to 600 wickets (156)', '40th Most catches in career (97)', '8th Most matches in career (160)', '41st Most player-of-the-match awards (8)', '12th Most player-of-the-series awards (5)']</t>
  </si>
  <si>
    <t>['6th Most ducks in a series (3)', '21st Most wickets in career (269)', '43rd Most five-wickets-in-an-innings in a career (2)', '10th Most four-wickets-in-an-innings in a career (13)', '24th Most balls bowled in career (9584)', '21st Most runs conceded in career (7861)', '48th Most runs conceded in an innings (91)', '20th Most wickets taken bowled (61)', '12th Most wickets taken caught (188)', '12th Most wickets taken caught by a fielder (141)', '22nd Most wickets taken caught by a wicketkeeper (47)', '45th Fastest to 50 wickets (31)', '39th Fastest to 150 wickets (115)', '23rd Fastest to 200 wickets (148)', '13th Fastest to 250 wickets (177)', '31st Highest partnership for the tenth wicket (53)']</t>
  </si>
  <si>
    <t>['1st Most byes conceded in an innings (37)', '10th Most runs in a series by a wicketkeeper (417)', '5th Highest partnership for the eighth wicket (246)']</t>
  </si>
  <si>
    <t>['10th Most runs in a series by a wicketkeeper (417)', '5th Highest partnership for the eighth wicket (246)', '35th Most dismissals in a match (8)', '12th Most stumpings in career (23)', '12th Most stumpings in a match (3)', '18th Most stumpings in a series (5)', '1st Most byes conceded in an innings (37)']</t>
  </si>
  <si>
    <t>['5th Outstanding bowling analyses in an innings (4/7)', '40th Best strike rate in an innings (9.0)']</t>
  </si>
  <si>
    <t>['5th Most consecutive matches as captain of a team (52)', ' Hundred and a ninety in a match ', ' Hundred and a duck in a match ', ' Carrying bat through a completed innings (94*)', ' 5000 runs and 50 fielding dismissals ']</t>
  </si>
  <si>
    <t>['32nd Most runs in career (7728)', '45th Most runs in an series by a captain (510)', '20th Most nineties in career (5)', '46th Dismissed for 99 (and 199, 299 etc) (99)', '26th Most fifties in career (62)', '23rd Most ducks in career (20)', '35th Most fours in career (904)', '34th Worst career bowling average (without qualification) (151.00)', '38th Highest partnership for the second wicket (263)', '27th Highest partnership for the third wicket (303)', '37th Most matches in career (115)', '31st Most consecutive matches for a team (63)', '24th Most player-of-the-series awards (4)', '12th Most matches as captain (54)', '5th Most consecutive matches as captain of a team (52)', '33rd Youngest captains (25y 135d)']</t>
  </si>
  <si>
    <t>['35th Longest individual innings (by balls) (160)', '16th Fastest to 1000 runs (25)', '28th Winning all tosses in a series (3)']</t>
  </si>
  <si>
    <t>['1st Dismissed for 99 (and 199, 299 etc) (99)', ' Hundred and a duck in a match ', '2nd Most runs in an innings (progressive record holder) (103)', ' Hundred on debut (103)']</t>
  </si>
  <si>
    <t>['47th Most runs in a series (663)', '23rd Most runs in a calendar year (1379)', '31st Most runs in a match on the losing side (219)', '19th Most hundreds in a calendar year (5)', '1st Dismissed for 99 (and 199, 299 etc) (99)', '14th Most fours in an innings (40)', '23rd Most runs from fours and sixes in an innings (166)', '17th Longest individual innings (by balls) (563)']</t>
  </si>
  <si>
    <t>['2nd Most runs in an innings (progressive record holder) (103)', '12th Most runs in debut match (103)', '1st Hundred in last match (108)', '45th Most player-of-the-series awards (3)', '37th Oldest living players (78y 55d)']</t>
  </si>
  <si>
    <t>['10th Worst economy rate in an innings (12.00)']</t>
  </si>
  <si>
    <t>['1st Most runs in an innings (by batting position) (68)', '1st Highest partnership for the ninth wicket (73)']</t>
  </si>
  <si>
    <t>['1st Most runs in an innings (by batting position) (68)', '10th Highest partnerships by wicket (9th)', '1st Highest partnership for the ninth wicket (73)']</t>
  </si>
  <si>
    <t>['2nd Oldest captains (45y 245d)', '7th Most runs in an innings (by batting position) (122)', '5th Best figures in a innings by a captain (7)']</t>
  </si>
  <si>
    <t>['7th Most runs in an innings (by batting position) (122)', '15th Outstanding bowling analyses in an innings (5/14)', '5th Best figures in a innings by a captain (7)', '14th Best figures in a match by a captain (10)', '38th Oldest player to take ten-wickets-in-a-match (33y 332d)', '13th Oldest players (45y 245d)', '18th Longest intervals between appearances (10y 345d)', '2nd Oldest captains (45y 245d)']</t>
  </si>
  <si>
    <t>['11th Best economy rate in an innings (0.42)']</t>
  </si>
  <si>
    <t>['7th Longest individual innings (by balls) (172)']</t>
  </si>
  <si>
    <t>['40th Most consecutive matches missed for a team between appearances (57)']</t>
  </si>
  <si>
    <t>['30th Highest maiden hundred (142*)', '7th Longest individual innings (by balls) (172)']</t>
  </si>
  <si>
    <t>['9th Highest strike rate in an innings (238.88)', ' 250 runs and 20 wickets in a series ', '4th Highest strike rate in an innings (344.44)', '1st Most consecutive ducks (3)', '5th Highest partnership for the third wicket (135)']</t>
  </si>
  <si>
    <t>['9th Highest strike rate in an innings (238.88)', '23rd Worst career economy rate (3.62)']</t>
  </si>
  <si>
    <t>['15th Most runs in an innings (by batting position) (102)', '26th Highest career strike rate (102.95)', '4th Highest strike rate in an innings (344.44)', '44th Most sixes in an innings (8)', '23rd Worst career bowling average (51.38)', '32nd Most wickets taken stumped (11)', '12th Highest partnership for the seventh wicket (117)']</t>
  </si>
  <si>
    <t>['41st Most runs in an innings (by batting position) (61)', '10th Highest strike rate in an innings (354.54)', '13th Most ducks in career (6)', '1st Most consecutive ducks (3)', '29th Most runs conceded in an innings (58)', '35th Highest partnerships for any wicket (135)', '5th Highest partnership for the third wicket (135)', '8th Highest partnership for the eighth wicket (57*)']</t>
  </si>
  <si>
    <t>['26th Most wickets in a series (20)']</t>
  </si>
  <si>
    <t>['5th Most consecutive matches missed for a team between appearances (8)', '2nd Highest partnership for the third wicket (178)', '4th Highest maiden hundred (145)']</t>
  </si>
  <si>
    <t>['11th Highest partnerships for any wicket (200)', '2nd Highest partnership for the first wicket (200)', '2nd Highest partnership for the third wicket (178)', '6th Highest partnership for the seventh wicket (93)', '5th Most consecutive matches missed for a team between appearances (8)']</t>
  </si>
  <si>
    <t>['23rd Most runs in an innings (145)', '14th Most runs in an innings (by batting position) (145)', '4th Highest maiden hundred (145)', '40th Most innings before first duck (15)', '44th Highest partnerships for any wicket (178*)', '13th Highest partnership for the second wicket (178*)', '11th Highest partnership for the eighth wicket (62)', '26th Most consecutive matches missed for a team between appearances (39)']</t>
  </si>
  <si>
    <t>['16th Most ducks in career (6)']</t>
  </si>
  <si>
    <t>['14th Most consecutive matches missed for a team between appearances (79)']</t>
  </si>
  <si>
    <t>['17th Oldest players on debut (39y 298d)', '47th Oldest players (42y 42d)']</t>
  </si>
  <si>
    <t>[' Carrying bat through a completed innings (132*)']</t>
  </si>
  <si>
    <t>['19th Oldest players (44y 238d)']</t>
  </si>
  <si>
    <t>['43rd Best career bowling average (22.55)', '11th Best career economy rate (1.87)', '46th Best economy rate in an innings (0.61)']</t>
  </si>
  <si>
    <t>['9th Highest career batting average (58.67)', '5th Hundreds in consecutive matches (4)', ' Hundred and a ninety in a match ', ' Two unbeaten fifties in a match ', '8th Most consecutive innings without a duck (78)', '7th Longest individual innings (by balls) (624)', '5th Fastest to 6000 runs (116)', '6th Outstanding bowling analyses in an innings (3/4)', ' 5000 runs and 50 fielding dismissals ', '4th Hundreds in consecutive matches (4)', '5th Fifties in consecutive matches (8)']</t>
  </si>
  <si>
    <t>['9th Highest career batting average (58.67)', '42nd Most hundreds in a career (20)', '5th Hundreds in consecutive matches (4)', '20th Most nineties in career (5)', '39th Most fifties in career (55)', '7th Fifties in consecutive innings (6)', '15th Fifties in consecutive matches (8)', '8th Most consecutive innings without a duck (78)', '41st Fewest ducks in career (26.2)', '34th Longest individual innings (by minutes) (683)', '7th Longest individual innings (by balls) (624)', '50th Fastest to 1000 runs (22)', '22nd Fastest to 2000 runs (41)', '12th Fastest to 3000 runs (61)', '15th Fastest to 4000 runs (82)', '7th Fastest to 5000 runs (97)', '5th Fastest to 6000 runs (116)', '6th Outstanding bowling analyses in an innings (3/4)', '45th Highest partnership for the sixth wicket (206*)']</t>
  </si>
  <si>
    <t>['15th Most runs in a career without a hundred (1442)', '45th Most matches as captain (31)', '31st Oldest captains (39y 126d)']</t>
  </si>
  <si>
    <t>['33rd Oldest living players (79y 34d)', '25th Oldest captains (37y 269d)', '26th Oldest captains on captaincy debut (35y 35d)']</t>
  </si>
  <si>
    <t>['5th Hundreds in consecutive innings (3)', ' Hundred and a ninety in a match ', ' Hundred and a duck in a match ', ' Batting on each day of a five day match ', '2nd Oldest player to score a maiden hundred (39y 51d)', '1st Dismissed for 99 (and 199, 299 etc) (99)', '6th Hundreds in consecutive innings (3)']</t>
  </si>
  <si>
    <t>['29th Most runs in career (8114)', '32nd Most hundreds in a career (22)', '33rd Most hundreds against one team (7)', '5th Hundreds in consecutive innings (3)', '21st Hundreds in consecutive matches (3)', '13th Oldest player to score a hundred (41y 63d)', '10th Most nineties in career (6)', '1st Dismissed for 99 (and 199, 299 etc) (99)', '25th Most fifties in career (64)', '32nd Fifties in consecutive innings (5)', '16th Most consecutive innings without a duck (67)', '21st Longest individual innings (by balls) (555)', '36th Fastest to 5000 runs (115)', '40th Fastest to 6000 runs (141)', '33rd Fastest to 7000 runs (165)', '25th Fastest to 8000 runs (190)', '44th Highest partnership for the first wicket (234)', '43rd Highest partnership for the fourth wicket (252)', '35th Highest partnership for the sixth wicket (215)', '47th Most matches in career (108)', '23rd Oldest captains on captaincy debut (37y 89d)']</t>
  </si>
  <si>
    <t>['5th Oldest player to score a hundred (39y 51d)', '2nd Oldest player to score a maiden hundred (39y 51d)', '1st Dismissed for 99 (and 199, 299 etc) (99)', '11th Fifties in consecutive innings (5)', '26th Oldest players (41y 60d)', '19th Oldest living players (80y 223d)', '29th Oldest captains (37y 216d)', '17th Oldest captains on captaincy debut (37y 70d)']</t>
  </si>
  <si>
    <t>['44th Shortest lived players (35y 76d)']</t>
  </si>
  <si>
    <t>['32nd Most runs in debut match (80*)']</t>
  </si>
  <si>
    <t>['14th Youngest captains (23y 292d)']</t>
  </si>
  <si>
    <t>['2nd Most consecutive matches missed for a team between appearances (114)']</t>
  </si>
  <si>
    <t>['25th Longest intervals between appearances (10y 12d)', '2nd Most consecutive matches missed for a team between appearances (114)']</t>
  </si>
  <si>
    <t>['1st Most consecutive matches missed for a team between appearances (142)']</t>
  </si>
  <si>
    <t>['17th Longest intervals between appearances (11y 137d)', '1st Most consecutive matches missed for a team between appearances (142)']</t>
  </si>
  <si>
    <t>['5th Most dismissals in an innings (6)', '5th Most catches in an innings (6)', ' A hundred and five dismissals in an innings ', '2nd Hundreds in consecutive innings (3)', '5th Fastest to 3000 runs (72)']</t>
  </si>
  <si>
    <t>['14th Most runs in a calendar year (1470)', '14th Most runs in a series by a wicketkeeper (387)', '22nd Most runs in an innings by a wicketkeeper (167*)', '22nd Most dismissals in career (186)', '5th Most dismissals in an innings (6)', '8th Most dismissals in a match (9)', '32nd Most dismissals in a series (22)', '19th Most catches in career (173)', '5th Most catches in an innings (6)', '8th Most catches in a match (9)', '29th Most catches in a series (22)', '33rd Most stumpings in career (13)']</t>
  </si>
  <si>
    <t>['21st Most runs in a series (532)', '46th Most runs in a match on the losing side (138)', '41st Most runs in an innings by a wicketkeeper (128)', '17th Highest career batting average (48.25)', '21st Highest career strike rate (104.64)', '41st Most hundreds in a career (11)', '29th Most hundreds in a calendar year (4)', '2nd Hundreds in consecutive innings (3)', '49th Most sixes in career (87)', '45th Fastest to 1000 runs (29)', '9th Fastest to 2000 runs (49)', '5th Fastest to 3000 runs (72)']</t>
  </si>
  <si>
    <t>['20th Most runs in an innings (by batting position) (86*)', '47th Most runs in an innings by a wicketkeeper (68)', '42nd Highest career strike rate (139.25)', '48th Most fifties in career (6)', '34th Most innings before first duck (19)', '43rd Fewest ducks in career (15)', '49th Most sixes in career (44)', '36th Fastest to 1000 runs (43)', '36th Most catches in career (27)', '43rd Highest partnership for the fourth wicket (85)', '28th Most player-of-the-match awards (5)']</t>
  </si>
  <si>
    <t>['9th Shortest lived players (26y 110d)']</t>
  </si>
  <si>
    <t>['9th Shortest lived players (26y 110d)', '11th Youngest captains (23y 144d)']</t>
  </si>
  <si>
    <t>['20th Shortest lived players (29y 204d)']</t>
  </si>
  <si>
    <t>[' Hundred and a duck in a match ', '5th Best figures in a innings when on the losing side (8)', '10th Most catches in a series (12)', ' Opening the batting and bowling in the same match ']</t>
  </si>
  <si>
    <t>['5th Best figures in a innings when on the losing side (8)', '10th Most catches in a series (12)']</t>
  </si>
  <si>
    <t>['2nd Outstanding bowling analyses in an innings (8/11)', '8th Best career bowling average (17.75)', '4th Most consecutive ten-wickets-in-a-match (2)']</t>
  </si>
  <si>
    <t>['21st Best figures in an innings (8/11)', '6th Best figures in a match (15)', '2nd Outstanding bowling analyses in an innings (8/11)', '8th Best career bowling average (17.75)', '13th Best career strike rate (45.1)', '20th Best strike rate in an innings (7.2)', '21st Worst strike rate in an innings (378.0)', '19th Most ten-wickets-in-a-match in a career (4)', '5th Most consecutive five-wickets-in-an-innings (4)', '4th Most consecutive ten-wickets-in-a-match (2)', '44th Youngest player to take ten-wickets-in-a-match (23y 289d)', '50th Most wickets taken bowled (52)', '29th Highest partnership for the tenth wicket (98)']</t>
  </si>
  <si>
    <t>[' Hundred and a duck in a match ', ' 5000 runs and 50 fielding dismissals ', '10th Highest partnership for the third wicket (350)', ' 5000 runs and 50 fielding dismissals ']</t>
  </si>
  <si>
    <t>['33rd Most runs in career (7727)', '36th Most runs on a single ground (1264)', '32nd Most hundreds in a career (22)', '19th Most hundreds in a calendar year (5)', '21st Hundreds in consecutive matches (3)', '18th Most fifties in career (68)', '32nd Fifties in consecutive innings (5)', '30th Most fours in career (919)', '39th Fastest to 5000 runs (116)', '38th Most catches in career (100)', '45th Highest partnerships for any wicket (350)', '10th Highest partnership for the third wicket (350)', '30th Most matches in career (118)']</t>
  </si>
  <si>
    <t>['34th Most runs in a match on the losing side (141)', '40th Most runs in debut match (75)', '21st Most innings before first duck (40)', '46th Most consecutive innings without a duck (62)', '47th Fastest to 4000 runs (120)', '41st Fastest to 5000 runs (149)', '49th Best career bowling average (without qualification) (14.66)', '45th Most player-of-the-series awards (3)']</t>
  </si>
  <si>
    <t>['9th Fastest to 1000 runs (17)']</t>
  </si>
  <si>
    <t>['44th Most matches as an umpire (18)']</t>
  </si>
  <si>
    <t>['3rd Most runs in an innings (by batting position) (52)', '2nd Most wickets on a single ground (16)', '10th Best career strike rate (54.5)', '8th Youngest player to take five-wickets-in-an-innings (20y 53d)', '1st Most wickets taken lbw (17)', '2nd Highest partnership for the tenth wicket (85)', '7th Most runs in an innings (by batting position) (72*)', '3rd Most wickets in career (153)', '2nd Oldest player to take five-wickets-in-an-innings (33y 241d)', '2nd Most balls bowled in career (6077)', '7th Most runs conceded in career (3540)', '4th Most wickets taken lbw (36)', ' 250 runs and 10 wickets in a series ', '7th Highest partnership for the seventh wicket (85)', '10th Most wickets in career (93)', '6th Most balls bowled in career (1931)', '2nd Most maidens in career (15)', '7th Most runs conceded in career (1758)', '2nd Bowler/Batters combinations (8)', '9th Highest partnership for the ninth wicket (28)']</t>
  </si>
  <si>
    <t>['3rd Most runs in an innings (by batting position) (52)', '11th Most wickets in career (41)', '26th Best figures in an innings (6/69)', '11th Best figures in a match (9)', '26th Most wickets in a calendar year (15)', '2nd Most wickets on a single ground (16)', '36th Best career bowling average (22.51)', '10th Best career strike rate (54.5)', '20th Best strike rate in an innings (16.2)', '11th Most five-wickets-in-an-innings in a career (2)', '8th Youngest player to take five-wickets-in-an-innings (20y 53d)', '20th Most balls bowled in career (2238)', '12th Most runs conceded in career (923)', '20th Most runs conceded in a match (133)', '12th Bowler/Batters combinations (4)', '16th Most wickets taken caught (17)', '4th Most wickets taken caught by a wicketkeeper (9)', '1st Most wickets taken lbw (17)', '2nd Highest partnership for the tenth wicket (85)', '13th Longest careers (14y 334d)']</t>
  </si>
  <si>
    <t>['7th Most runs in an innings (by batting position) (72*)', '50th Most runs in a career without a hundred (844)', '12th Most consecutive innings without a duck (46)', '3rd Most wickets in career (153)', '44th Best figures in an innings (5/18)', '17th Most wickets in a series (23)', '46th Most wickets in a calendar year (21)', '6th Most wickets on a single ground (20)', '11th Best figures in a innings when on the losing side (4)', '2nd Most five-wickets-in-an-innings in a career (5)', '8th Most four-wickets-in-an-innings in a career (7)', '29th Youngest player to take five-wickets-in-an-innings (23y 37d)', '2nd Oldest player to take five-wickets-in-an-innings (33y 241d)', '2nd Most balls bowled in career (6077)', '7th Most runs conceded in career (3540)', '13th Bowler/fielder combinations (16)', '5th Most wickets taken bowled (41)', '7th Most wickets taken caught (72)', '16th Most wickets taken caught by a fielder (49)', '5th Most wickets taken caught by a wicketkeeper (23)', '4th Most wickets taken lbw (36)', '20th Most catches in career (37)', '12th Most catches in a series (10)', '7th Highest partnership for the seventh wicket (85)', '9th Highest partnership for the ninth wicket (51)', '10th Highest partnership for the tenth wicket (41*)', '15th Most matches in career (125)', '20th Longest careers (15y 350d)']</t>
  </si>
  <si>
    <t>['25th Most runs in an innings (by batting position) (15*)', '10th Most wickets in career (93)', '27th Outstanding bowling analyses in an innings (1/2)', '35th Best career bowling average (18.90)', '27th Best career economy rate (5.46)', '43rd Best career strike rate (20.7)', '12th Best figures in a innings on debut (3)', '6th Most balls bowled in career (1931)', '7th Most runs conceded in career (1758)', '29th Most runs conceded in an innings (47)', '2nd Bowler/Batters combinations (8)', '16th Bowler/fielder combinations (10)', '11th Most wickets taken bowled (21)', '8th Most wickets taken caught (54)', '12th Most wickets taken caught and bowled (4)', '11th Most wickets taken caught by a fielder (40)', '3rd Most wickets taken caught by a wicketkeeper (14)', '3rd Most wickets taken lbw (14)', '26th Most catches in career (25)', '12th Highest partnership for the seventh wicket (46)', '9th Highest partnership for the ninth wicket (28)', '32nd Highest partnership for the tenth wicket (11)', '26th Most matches in career (89)', '2nd Most maidens in career (15)', '12th Most maidens in an innings (2)']</t>
  </si>
  <si>
    <t>['4th Best career strike rate (29.1)', '3rd Most consecutive four-wickets-in-an-innings (2)', '5th Best figures in a innings when on the losing side (4)', '4th Best figures in a innings on debut (4)']</t>
  </si>
  <si>
    <t>['19th Highest partnership for the eighth wicket (55)']</t>
  </si>
  <si>
    <t>['24th Best career bowling average (18.04)', '4th Best career strike rate (29.1)', '15th Best figures in a innings on debut (3)', '15th Most four-wickets-in-an-innings in a career (5)', '3rd Most consecutive four-wickets-in-an-innings (2)', '14th Youngest player to take five-wickets-in-an-innings (20y 86d)']</t>
  </si>
  <si>
    <t>['5th Best figures in a innings when on the losing side (4)', '50th Best career bowling average (without qualification) (7.80)', '4th Best figures in a innings on debut (4)']</t>
  </si>
  <si>
    <t>['4th Most runs in a match on the losing side (114)', '2nd Hundreds in consecutive innings (2)', '2nd Highest partnership for the second wicket (275)', '10th Most consecutive matches for a team (58*)', '1st Most byes conceded in an innings (9)', '7th Most runs in an innings (by batting position) (116)', '7th Highest partnership for the third wicket (116*)']</t>
  </si>
  <si>
    <t>['22nd Highest partnership for the second wicket (104)']</t>
  </si>
  <si>
    <t>['26th Most runs in career (2618)', '8th Most runs in an innings (168*)', '5th Most runs in a series (945)', '27th Most runs in a calendar year (611)', '6th Most runs in an innings (by batting position) (168*)', '4th Most runs in a match on the losing side (114)', '39th Most runs on a single ground (299)', '11th Highest career batting average (45.13)', '6th Most hundreds in a career (7)', '2nd Most hundreds in a series (3)', '5th Most hundreds in a calendar year (2)', '2nd Most hundreds against one team (3)', '2nd Hundreds in consecutive innings (2)', '21st Most fifties in career (19)', '28th Fifties in consecutive innings (3)', '26th Most consecutive innings without a duck (38*)', '31st Fewest ducks in career (22)', '36th Highest percentage of runs in a completed innings (52.53)', '3rd Highest partnerships for any wicket (275)', '13th Highest partnership for the first wicket (188)', '2nd Highest partnership for the second wicket (275)', '14th Highest partnership for the third wicket (154)', '6th Highest partnership for the fourth wicket (170)', '22nd Most consecutive matches for a team (51*)']</t>
  </si>
  <si>
    <t>['22nd Most runs in career (1484)', '9th Most runs in an innings (116)', '23rd Most runs in a calendar year (430)', '7th Most runs in an innings (by batting position) (116)', '16th Most runs in a match on the losing side (71)', '23rd Most runs on a single ground (210)', '22nd Most runs in an innings by a wicketkeeper (62)', '16th Most fifties in career (9)', '43rd Most consecutive innings without a duck (28)', '31st Fewest ducks in career (18.75)', '50th Highest partnerships for any wicket (116*)', '7th Highest partnership for the third wicket (116*)', '23rd Most matches in career (91)', '10th Most consecutive matches for a team (58*)', '1st Most byes conceded in an innings (9)']</t>
  </si>
  <si>
    <t>['10th Longest careers (21y 336d)', '6th Oldest player to take a maiden five-wickets-in-an-innings (40y 69d)', '10th Longest careers (21y 336d)']</t>
  </si>
  <si>
    <t>['15th Oldest player to take five-wickets-in-an-innings (40y 69d)', '6th Oldest player to take a maiden five-wickets-in-an-innings (40y 69d)', '36th Oldest players (42y 196d)', '10th Longest careers (21y 336d)', '11th Longest intervals between appearances (11y 361d)', '18th Oldest captains (40y 245d)', '16th Oldest captains on captaincy debut (38y 219d)']</t>
  </si>
  <si>
    <t>['4th Best career bowling average (16.42)']</t>
  </si>
  <si>
    <t>['16th No ducks in career (26)', '13th Best figures in a match (14)', '4th Best career bowling average (16.42)', '23rd Best career strike rate (47.2)']</t>
  </si>
  <si>
    <t>['30th Most innings before first duck (36)']</t>
  </si>
  <si>
    <t>['22nd Best figures in a innings on debut (6)', '41st Oldest player to take ten-wickets-in-a-match (33y 199d)', '30th Highest partnership for the ninth wicket (117)']</t>
  </si>
  <si>
    <t>['2nd Most runs in an innings (by batting position) (169)', '2nd Most ducks in career (36)', '3rd Outstanding bowling analyses in an innings (8/15)', '6th Most balls bowled in career (29316)', '5th Most runs conceded in career (14328)', '3rd Most wickets taken caught by a wicketkeeper (124)', '7th Fastest to 500 wickets (140)', ' 1000 runs and 100 wickets ', '1st Outstanding bowling analyses in an innings (1/0)', '3rd Winning all tosses in a series (3)', '4th Best figures in a innings by a captain (4)', '2nd Most wickets taken caught by a wicketkeeper (13)', '6th Most ducks in career (46)', '9th Most wickets on a single ground (111)', '9th Most runs conceded in career (21183)', '4th Most wickets taken caught by a wicketkeeper (186)']</t>
  </si>
  <si>
    <t>['2nd Most runs in an innings (by batting position) (169)', '31st Highest strike rate in an innings (186.66)', '2nd Most ducks in career (36)', '40th Most sixes in career (48)', '7th Most wickets in career (517)', '22nd Best figures in an innings (8/15)', '37th Most wickets in a calendar year (62)', '3rd Outstanding bowling analyses in an innings (8/15)', '6th Most wickets on a single ground (94)', '19th Best strike rate in an innings (7.1)', '50th Worst economy rate in an innings (6.34)', '24th Most five-wickets-in-an-innings in a career (18)', '29th Most ten-wickets-in-a-match in a career (3)', '35th Oldest player to take ten-wickets-in-a-match (34y 30d)', '6th Most balls bowled in career (29316)', '5th Most runs conceded in career (14328)', '18th Bowler/Batter combinations (12)', '20th Bowler/fielder combinations (53)', '14th Most wickets taken bowled (88)', '7th Most wickets taken caught (339)', '9th Most wickets taken caught by a fielder (215)', '3rd Most wickets taken caught by a wicketkeeper (124)', '10th Most wickets taken lbw (90)', '40th Fastest to 250 wickets (71)', '29th Fastest to 300 wickets (83)', '21st Fastest to 350 wickets (95)', '15th Fastest to 400 wickets (115)', '7th Fastest to 450 wickets (128)', '7th Fastest to 500 wickets (140)', '12th Most matches in career (146)', '25th Most player-of-the-match awards (10)']</t>
  </si>
  <si>
    <t>['1st Outstanding bowling analyses in an innings (1/0)', '25th Most four-wickets-in-an-innings in a career (10)', '13th Most consecutive four-wickets-in-an-innings (2)', '38th Youngest player to take five-wickets-in-an-innings (22y 63d)', '35th Most wickets taken caught (139)', '42nd Most wickets taken caught by a fielder (90)', '20th Most wickets taken caught by a wicketkeeper (49)', '21st Fastest to 100 wickets (62)', '13th Fastest to 150 wickets (95)']</t>
  </si>
  <si>
    <t>['14th Most wickets in career (65)', '4th Best figures in a innings by a captain (4)', '45th Best career strike rate (18.0)', '47th Worst career economy rate (7.62)', '14th Most balls bowled in career (1173)', '15th Most runs conceded in career (1491)', '22nd Most runs conceded in an innings (60)', '17th Bowler/batters combinations (3)', '2nd Most wickets taken caught (54)', '8th Most wickets taken caught by a fielder (41)', '2nd Most wickets taken caught by a wicketkeeper (13)', '24th Fastest to 50 wickets (44)', '15th Most catches in an innings (3)', '22nd Most matches as captain (27)', '31st Youngest captains (25y 1d)', '3rd Winning all tosses in a series (3)']</t>
  </si>
  <si>
    <t>['43rd Longest lived players (60y 34d)']</t>
  </si>
  <si>
    <t>['6th Best figures in a match (15)', '7th Fastest to 100 wickets (19)']</t>
  </si>
  <si>
    <t>['50th Best figures in an innings (8/59)', '6th Best figures in a match (15)', '12th Best career bowling average (18.63)', '15th Best career strike rate (45.4)', '19th Most ten-wickets-in-a-match in a career (4)', '18th Most consecutive five-wickets-in-an-innings (3)', '7th Fastest to 100 wickets (19)']</t>
  </si>
  <si>
    <t>['46th Most matches as an umpire (27)']</t>
  </si>
  <si>
    <t>['29th Most matches as an umpire (72)']</t>
  </si>
  <si>
    <t>['38th Most matches as an umpire (19)']</t>
  </si>
  <si>
    <t>['33rd Highest innings total without conceding a bye (560/6d)']</t>
  </si>
  <si>
    <t>['2nd Most catches in a series (49)', ' 2000 runs and 100 wicketkeeping dismissals ', '1st Most dismissals in an innings (6)', '1st Most catches in an innings (6)', '4th Most runs in an innings (by batting position) (129)', '3rd Highest career strike rate (118.66)', '1st Dismissed for 99 (and 199, 299 etc) (99)', '9th Most sixes in an innings (12)', ' A fifty and five dismissals in an innings ', '1st Highest partnership for the seventh wicket (177)', '9th Most dismissals in career (37)', '6th Most catches in career (31)', '1st Highest partnership for the second wicket (167*)']</t>
  </si>
  <si>
    <t>['37th Most runs in an innings by a wicketkeeper (152)', '47th Most dismissals in career (101)', '41st Most catches in career (100)', '2nd Most catches in a series (49)', '20th Most byes conceded in an innings (26)']</t>
  </si>
  <si>
    <t>['4th Most runs in an innings (by batting position) (129)', '41st Most runs in a series by a wicketkeeper (312)', '11th Most runs in an innings by a wicketkeeper (150)', '3rd Highest career strike rate (118.66)', '17th Highest strike rate in an innings (293.75)', '34th Most nineties in career (4)', '1st Dismissed for 99 (and 199, 299 etc) (99)', '26th Most sixes in career (125)', '9th Most sixes in an innings (12)', '14th Most runs from fours and sixes in an innings (124)', '7th Highest partnerships by wicket (7th)', '1st Highest partnership for the seventh wicket (177)', '20th Highest partnership for the ninth wicket (81)', '20th Captains who have kept wicket (8)', '10th Most dismissals in career (213)', '1st Most dismissals in an innings (6)', '46th Most dismissals in a series (14)', '11th Most catches in career (181)', '1st Most catches in an innings (6)', '12th Most stumpings in career (32)', '21st Most stumpings in a series (4)', '23rd Most byes conceded in an innings (10)']</t>
  </si>
  <si>
    <t>['20th Most runs in career (1723)', '27th Most runs in an innings (by batting position) (54)', '13th Most runs in an innings by a wicketkeeper (83*)', '45th Highest career batting average (30.22)', '33rd Highest career strike rate (140.99)', '16th Highest strike rate in an innings (320.00)', '17th Most fifties in career (12)', '38th Most innings before first duck (18)', '34th Fewest ducks in career (17.75)', '16th Most sixes in career (74)', '25th Most fours in career (144)', '9th Highest partnerships for any wicket (167*)', '2nd Highest partnerships by wicket (2nd)', '1st Highest partnership for the second wicket (167*)', '19th Highest partnership for the third wicket (114*)', '42nd Highest partnership for the eighth wicket (35)', '23rd Most matches in career (79)', '24th Most consecutive matches for a team (37)', '28th Most player-of-the-match awards (5)', '36th Youngest captains (25y 80d)', '18th Captains who have kept wicket (4)', '9th Most dismissals in career (37)', '6th Most catches in career (31)', '13th Most catches in an innings (3)', '17th Most stumpings in career (6)', '32nd Most byes conceded in an innings (5)']</t>
  </si>
  <si>
    <t>['6th No ducks in career (20)', '4th Most consecutive matches missed for a team between appearances (68)', '1st Youngest captains (19y 260d)', '3rd Most runs in an innings (by batting position) (107*)', '1st Fewest ducks in career (42)', '1st Outstanding bowling analyses in an innings (3/0)', '5th Best career strike rate (29.4)', '1st Most runs in an innings (by batting position) (39)']</t>
  </si>
  <si>
    <t>['32nd Most runs in career (551)', '37th Most runs in a match (155)', '11th Most runs in an innings (by batting position) (101*)', '48th Highest career batting average (30.61)', '16th Youngest player to score a hundred (23y 259d)', '6th No ducks in career (20)', '13th Most consecutive innings without a duck (20*)', '38th Longest careers (12y 203d)', '17th Most consecutive matches missed for a team between appearances (5)']</t>
  </si>
  <si>
    <t>['45th Most runs in career (1928)', '39th Most runs in a calendar year (556)', '3rd Most runs in an innings (by batting position) (107*)', '49th Highest maiden hundred (107*)', '43rd Most fifties in career (12)', '3rd Most innings before first duck (45)', '13th Most consecutive innings without a duck (45)', '1st Fewest ducks in career (42)', '1st Outstanding bowling analyses in an innings (3/0)', '5th Best career strike rate (29.4)', '13th Worst career economy rate (4.51)', '17th Most catches in career (40)', '24th Highest partnership for the fifth wicket (97)', '28th Longest careers (14y 190d)', '4th Most consecutive matches missed for a team between appearances (68)', '1st Youngest captains (19y 260d)']</t>
  </si>
  <si>
    <t>['1st Most runs in an innings (by batting position) (39)', '21st Highest partnership for the sixth wicket (49*)', '32nd Highest partnership for the tenth wicket (11)']</t>
  </si>
  <si>
    <t>['1st Most matches in career (27)', '1st Most runs in a calendar year (531)', '1st Oldest player to score a hundred (39y 38d)', '1st Most fifties in career (16)', ' Hundred and a duck in a match ', '8th Worst career strike rate (132.0)', '10th Most catches in career (12)', '4th Longest careers (19y 42d)', '2nd Most runs in an innings (progressive record holder) (138*)', '2nd Oldest player to score a hundred (38y 161d)', '6th Highest partnership for the second wicket (203)']</t>
  </si>
  <si>
    <t>['1st Most runs in career (1935)', '15th Most runs in an innings (167)', '8th Most runs in a match (205)', '2nd Most runs in a series (450)', '1st Most runs in a calendar year (531)', '5th Most runs in an innings (by batting position) (167)', '9th Most runs in a match on the losing side (110)', '3rd Most runs on a single ground (313)', '12th Highest career batting average (49.61)', '1st Most hundreds in a career (5)', '1st Most hundreds in a series (2)', '1st Most hundreds in a calendar year (2)', '1st Most hundreds against one team (3)', '1st Hundreds in consecutive matches (2)', '16th Highest maiden hundred (144*)', '1st Oldest player to score a hundred (39y 38d)', '1st Most fifties in career (16)', '3rd Fifties in consecutive innings (4)', '3rd Fifties in consecutive matches (4)', '2nd Most innings before first duck (20)', '6th Most consecutive innings without a duck (22*)', '11th Fewest ducks in career (22)', '20th Highest percentage of runs in a completed innings (50.78)', '8th Worst career bowling average (46.11)', '8th Worst career strike rate (132.0)', '10th Most catches in career (12)', '22nd Highest partnership for the first wicket (108)', '23rd Highest partnership for the third wicket (106)', '13th Highest partnership for the fourth wicket (100)', '20th Highest partnership for the sixth wicket (77)', '1st Most matches in career (27)', '23rd Most consecutive matches for a team (12)', '24th Oldest players (39y 51d)', '3rd Longest careers (19y 69d)']</t>
  </si>
  <si>
    <t>['36th Most runs in career (2121)', '30th Most runs in an innings (138*)', '2nd Most runs in an innings (progressive record holder) (138*)', '16th Highest career batting average (42.42)', '10th Most hundreds in a career (5)', '6th Most hundreds in a series (2)', '5th Most hundreds in a calendar year (2)', '8th Highest maiden hundred (138*)', '20th Youngest player to score a hundred (22y 194d)', '2nd Oldest player to score a hundred (38y 161d)', '41st Most fifties in career (13)', '12th Fifties in consecutive innings (4)', '34th Most consecutive innings without a duck (34*)', '17th Fewest ducks in career (29.5)', '11th Highest percentage of runs in a completed innings (56.79)', '47th Most catches in a series (6)', '23rd Highest partnerships for any wicket (203)', '35th Highest partnership for the first wicket (152)', '6th Highest partnership for the second wicket (203)', '28th Oldest players (39y 14d)', '4th Longest careers (19y 42d)']</t>
  </si>
  <si>
    <t>['1st Best figures in a match when on the losing side (13)', '4th Best career strike rate (41.6)', '4th Oldest player to take ten-wickets-in-a-match (40y 301d)', '1st Fastest to 150 wickets (24)', '5th Most consecutive five-wickets-in-an-innings (4)']</t>
  </si>
  <si>
    <t>['15th Best figures in an innings (9/103)', '2nd Best figures in a match (17)', '1st Most wickets in a series (49)', '27th Most wickets in a calendar year (64)', '5th Outstanding bowling analyses in an innings (8/29)', '24th Best figures in a innings when on the losing side (7)', '1st Best figures in a match when on the losing side (13)', '5th Best career bowling average (16.43)', '4th Best career strike rate (41.6)', '13th Most five-wickets-in-an-innings in a career (24)', '6th Most ten-wickets-in-a-match in a career (7)', '5th Most consecutive five-wickets-in-an-innings (4)', '4th Most consecutive ten-wickets-in-a-match (2)', '9th Oldest player to take five-wickets-in-an-innings (40y 301d)', '4th Oldest player to take ten-wickets-in-a-match (40y 301d)', '13th Bowler/Batter combinations (13)', '27th Most wickets taken bowled (68)', '8th Fastest to 50 wickets (9)', '2nd Fastest to 100 wickets (17)', '1st Fastest to 150 wickets (24)', '12th Longest lived players (94y 251d)']</t>
  </si>
  <si>
    <t>['2nd Most matches as a match referee (106)', '1st Dismissed for 99 (and 199, 299 etc) (99)', '10th Longest individual innings (by balls) (168)', '2nd Most matches as a match referee (109)']</t>
  </si>
  <si>
    <t>['21st Hundreds in consecutive matches (3)', '2nd Most matches as a match referee (106)']</t>
  </si>
  <si>
    <t>['39th Most runs in debut match (76)', '1st Dismissed for 99 (and 199, 299 etc) (99)', '10th Longest individual innings (by balls) (168)', '20th Fastest to 1000 runs (26)', '2nd Most matches as a match referee (326)']</t>
  </si>
  <si>
    <t>['2nd Most matches as a match referee (109)']</t>
  </si>
  <si>
    <t>['2nd Oldest player to score a maiden hundred (39y 253d)']</t>
  </si>
  <si>
    <t>['2nd Oldest player to score a maiden hundred (39y 253d)', '23rd Oldest players on debut (39y 37d)']</t>
  </si>
  <si>
    <t>['40th Best career bowling average (22.33)']</t>
  </si>
  <si>
    <t>[' Hundred and a duck in a match ', '5th Best figures in a innings when on the losing side (8)', '9th Most five-wickets-in-an-innings in a career (27)', '5th Fastest to 150 wickets (29)', '10th Most catches in a series (12)', ' A hundred and five wickets in an innings ', ' 1000 runs, 50 wickets and 50 catches ', ' 5000 runs and 50 fielding dismissals ', '3rd Winning all tosses in a series (3)', ' Opening the batting and bowling in the same match ', '9th Most consecutive matches for a team (129)']</t>
  </si>
  <si>
    <t>['20th Most sixes in career (67)', '36th Most sixes in an innings (6)', '19th Most wickets in career (383)', '28th Best figures in an innings (8/34)', '25th Best figures in a match (13)', '22nd Most wickets in a series (34)', '30th Most wickets in a calendar year (63)', '9th Outstanding bowling analyses in an innings (5/11)', '13th Most wickets on a single ground (69)', '5th Best figures in a innings when on the losing side (8)', '15th Best figures in a match when on the losing side (11)', '9th Most five-wickets-in-an-innings in a career (27)', '19th Most ten-wickets-in-a-match in a career (4)', '31st Youngest player to take ten-wickets-in-a-match (22y 273d)', '20th Most balls bowled in career (21815)', '14th Most runs conceded in career (10878)', '18th Most runs conceded in an innings (217)', '18th Bowler/Batter combinations (12)', '12th Bowler/fielder combinations (60)', '40th Most wickets taken bowled (58)', '15th Most wickets taken caught (243)', '23rd Most wickets taken caught by a fielder (148)', '11th Most wickets taken caught by a wicketkeeper (95)', '15th Most wickets taken lbw (81)', '20th Fastest to 50 wickets (10)', '7th Fastest to 100 wickets (19)', '5th Fastest to 150 wickets (29)', '7th Fastest to 200 wickets (41)', '9th Fastest to 250 wickets (55)', '18th Fastest to 300 wickets (72)', '14th Fastest to 350 wickets (83)', '24th Most catches in career (120)', '10th Most catches in a series (12)', '27th Highest partnership for the sixth wicket (232)', '26th Most consecutive matches for a team (65)', '11th Most player-of-the-match awards (12)', '44th Most player-of-the-series awards (3)', '23rd Youngest captains (24y 194d)']</t>
  </si>
  <si>
    <t>['15th Most runs in a career without a hundred (2113)', '50th Highest strike rate in an innings (261.53)', '39th Longest careers (15y 364d)', '3rd Winning all tosses in a series (3)', '32nd Youngest captains (24y 186d)']</t>
  </si>
  <si>
    <t>['2nd Most runs in an innings (by batting position) (87)']</t>
  </si>
  <si>
    <t>['14th Most runs in an innings (by batting position) (118)']</t>
  </si>
  <si>
    <t>['2nd Most runs in an innings (by batting position) (87)', '30th Highest partnership for the sixth wicket (68)']</t>
  </si>
  <si>
    <t>['44th Fifties in consecutive innings (4)']</t>
  </si>
  <si>
    <t>['3rd Oldest player to take ten-wickets-in-a-match (41y 71d)']</t>
  </si>
  <si>
    <t>['29th Most ten-wickets-in-a-match in a career (3)', '4th Most consecutive ten-wickets-in-a-match (2)', '7th Oldest player to take five-wickets-in-an-innings (41y 71d)', '3rd Oldest player to take ten-wickets-in-a-match (41y 71d)', '7th Oldest player to take a maiden five-wickets-in-an-innings (40y 65d)', '12th Most balls bowled in a match (688)', '46th Most runs conceded in a match (258)', '20th Fastest to 50 wickets (10)']</t>
  </si>
  <si>
    <t>[' Hundred and a duck in a match ', '9th Most sixes in career (82)', ' Batting on each day of a five day match ', '1st Outstanding bowling analyses in an innings (1/0)', ' 250 runs and 20 wickets in a series ', ' 1000 runs, 50 wickets and 50 catches ', '1st Dismissed for 99 (and 199, 299 etc) (99)', ' 250 runs and 10 wickets in a series ', '10th Fifties in consecutive innings (6)']</t>
  </si>
  <si>
    <t>['15th Fifties in consecutive matches (8)', '39th Most ducks in career (17)', '7th Most pairs in career (3)', '9th Most sixes in career (82)', '19th Most sixes in an innings (7)', '19th Most wickets in a calendar year (68)', '1st Outstanding bowling analyses in an innings (1/0)', '45th Most runs conceded in career (7410)', '47th Most wickets taken caught (155)', '45th Most wickets taken caught by a wicketkeeper (52)', '24th Most player-of-the-series awards (4)']</t>
  </si>
  <si>
    <t>['1st Dismissed for 99 (and 199, 299 etc) (99)', '43rd Most sixes in career (93)', '12th Outstanding bowling analyses in an innings (2/3)', '26th Best figures in a innings by a captain (4)', '14th Best figures in a innings when on the losing side (5)', '12th Best strike rate in an innings (6.0)', '43rd Most five-wickets-in-an-innings in a career (2)', '43rd Most four-wickets-in-an-innings in a career (8)', '38th Most wickets taken bowled (49)', '26th Most wickets taken caught by a wicketkeeper (44)', '15th Highest partnership for the fifth wicket (174)', '45th Most player-of-the-series awards (3)']</t>
  </si>
  <si>
    <t>['30th Longest lived players (92y 297d)']</t>
  </si>
  <si>
    <t>['44th Most wickets in a series (32)', '16th Best career bowling average (20.57)']</t>
  </si>
  <si>
    <t>['5th Winning all tosses in a series (3)']</t>
  </si>
  <si>
    <t>['5th Winning all tosses in a series (3)', '21st Oldest captains (40y 119d)', '8th Oldest captains on captaincy debut (40y 46d)']</t>
  </si>
  <si>
    <t>['3rd Winning all tosses in a series (3)', '3rd Most runs in an innings (progressive record holder) (287)', ' Hundred on debut (287)', '4th Highest maiden hundred (287)', '8th Highest partnership for the tenth wicket (130)']</t>
  </si>
  <si>
    <t>['39th Most runs in an innings (287)', '3rd Most runs in an innings (progressive record holder) (287)', '46th Most runs in a match (306)', '5th Most runs in an innings (by batting position) (287)', '23rd Most runs in a day (214)', '2nd Most runs in debut match (306)', '4th Highest maiden hundred (287)', '28th Most fours in an innings (37)', '32nd Highest partnership for the ninth wicket (115)', '8th Highest partnership for the tenth wicket (130)', '3rd Winning all tosses in a series (3)']</t>
  </si>
  <si>
    <t>['26th Longest intervals between appearances (9y 364d)']</t>
  </si>
  <si>
    <t>['40th Best figures in a match when on the losing side (10)', '24th Worst strike rate in an innings (368.0)', '13th Best figures in a match on debut (10)', '34th Youngest player to take ten-wickets-in-a-match (22y 335d)', '27th Shortest lived players (30y 104d)']</t>
  </si>
  <si>
    <t>['6th Most runs in an innings (by batting position) (35)']</t>
  </si>
  <si>
    <t>['45th Best career strike rate (51.2)', '29th Worst career economy rate (3.55)']</t>
  </si>
  <si>
    <t>['6th Most runs in an innings (by batting position) (35)', '14th Best figures in a innings when on the losing side (5)', '43rd Most five-wickets-in-an-innings in a career (2)', '13th Most consecutive four-wickets-in-an-innings (2)', '34th Fastest to 100 wickets (67)']</t>
  </si>
  <si>
    <t>['48th Most wickets taken caught by a wicketkeeper (5)', '24th Highest partnership for the tenth wicket (20)']</t>
  </si>
  <si>
    <t>['7th Most consecutive matches missed for a team between appearances (64)']</t>
  </si>
  <si>
    <t>['13th Longest intervals between appearances (7y 112d)', '7th Most consecutive matches missed for a team between appearances (64)']</t>
  </si>
  <si>
    <t>['43rd Most runs conceded in an innings (44)']</t>
  </si>
  <si>
    <t>['11th Most innings before first duck (48)', '25th Fewest ducks in career (35.5)']</t>
  </si>
  <si>
    <t>['30th Highest partnership for the fifth wicket (254)', '22nd Oldest captains on captaincy debut (37y 191d)']</t>
  </si>
  <si>
    <t>['20th No ducks in career (22)', '48th Longest intervals between appearances (6y 160d)', '49th Oldest living players (77y 12d)', '24th Oldest captains (37y 270d)', '15th Oldest captains on captaincy debut (37y 189d)']</t>
  </si>
  <si>
    <t>['45th Highest innings total without conceding a bye (551/6d)']</t>
  </si>
  <si>
    <t>['21st Most stumpings in a series (4)']</t>
  </si>
  <si>
    <t>['5th Best figures in a innings when on the losing side (8)']</t>
  </si>
  <si>
    <t>['43rd Best figures in an innings (8/53)', '5th Best figures in a innings when on the losing side (8)', '15th Best figures in a match when on the losing side (11)', '46th Most five-wickets-in-an-innings in a career (13)', '18th Most consecutive five-wickets-in-an-innings (3)', '47th Oldest player to take ten-wickets-in-a-match (32y 349d)']</t>
  </si>
  <si>
    <t>['14th Most runs in an innings (by batting position) (30)', '15th Best career economy rate (3.54)']</t>
  </si>
  <si>
    <t>['35th Best career bowling average (without qualification) (11.25)']</t>
  </si>
  <si>
    <t>['4th Most consecutive ducks (4)', '5th Best figures in a innings when on the losing side (8)']</t>
  </si>
  <si>
    <t>['4th Most consecutive ducks (4)', '5th Best figures in a innings when on the losing side (8)', '30th Youngest player to take ten-wickets-in-a-match (22y 252d)']</t>
  </si>
  <si>
    <t>['8th Most catches in a match (6)', ' A hundred and five wickets in an innings ', ' 1000 runs, 50 wickets and 50 catches ']</t>
  </si>
  <si>
    <t>['25th Best figures in a match (13)', '37th Best economy rate in an innings (0.60)', '17th Most wickets taken caught and bowled (10)', '8th Most catches in a match (6)', '10th Most catches in a series (12)', '41st Most consecutive matches for a team (58)']</t>
  </si>
  <si>
    <t>['25th Longest lived players (66y 84d)']</t>
  </si>
  <si>
    <t>['1st Oldest players on debut (45y 292d)']</t>
  </si>
  <si>
    <t>['1st Oldest players on debut (45y 292d)', '2nd Oldest players (45y 296d)']</t>
  </si>
  <si>
    <t>['4th Worst economy rate in an innings (5.00)']</t>
  </si>
  <si>
    <t>['2nd Oldest players on debut (44y 359d)', '1st Oldest captains on captaincy debut (44y 359d)']</t>
  </si>
  <si>
    <t>['37th Best career economy rate (1.99)', '33rd Most consecutive matches missed for a team between appearances (60)']</t>
  </si>
  <si>
    <t>['26th Best figures in a innings by a captain (4)', '39th Best career bowling average (without qualification) (12.50)', '2nd Oldest players on debut (44y 359d)', '3rd Oldest players (44y 361d)', '15th Oldest living players (81y 63d)', '1st Oldest captains (44y 361d)', '1st Oldest captains on captaincy debut (44y 359d)']</t>
  </si>
  <si>
    <t>['18th Most runs in a career without a hundred (1421)']</t>
  </si>
  <si>
    <t>['12th Outstanding bowling analyses in an innings (2/3)']</t>
  </si>
  <si>
    <t>['23rd Shortest lived players (29y 284d)']</t>
  </si>
  <si>
    <t>['4th Most catches in career (15)', '5th Most runs in an innings (by batting position) (125*)', '7th Most consecutive innings without a duck (52)', '4th Most catches in an innings (3)', '2nd Highest partnership for the fourth wicket (218*)', '2nd Most runs in an innings (by batting position) (80*)', '6th Most ducks in career (8)', '1st Most catches in an innings (4)']</t>
  </si>
  <si>
    <t>['23rd Fewest ducks in career (12)', '4th Most catches in career (15)', '18th Highest partnership for the fifth wicket (84)', '21st Youngest players (17y 193d)', '39th Longest careers (12y 180d)']</t>
  </si>
  <si>
    <t>['29th Most runs in career (2554)', '5th Most runs in an innings (by batting position) (125*)', '18th Highest maiden hundred (125*)', '41st Most fifties in career (13)', '7th Most consecutive innings without a duck (52)', '6th Most catches in career (52)', '4th Most catches in an innings (3)', '20th Most catches in a series (8)', '17th Highest partnerships for any wicket (218*)', '2nd Highest partnership for the fourth wicket (218*)', '6th Highest partnership for the fifth wicket (122)', '46th Highest partnership for the seventh wicket (57)', '20th Highest partnership for the ninth wicket (41)', '11th Most matches in career (126)', '40th Most consecutive matches for a team (40)']</t>
  </si>
  <si>
    <t>['27th Most runs in career (1192)', '2nd Most runs in an innings (by batting position) (80*)', '6th Most ducks in career (8)', '3rd Most catches in career (54)', '1st Most catches in an innings (4)', '21st Highest partnership for the fourth wicket (78*)', '17th Highest partnership for the sixth wicket (53)', '26th Highest partnership for the eighth wicket (26)', '39th Highest partnership for the tenth wicket (10)', '29th Most matches in career (85)']</t>
  </si>
  <si>
    <t>['1st Most runs in a match (456)', ' Hundred in each innings of a match ', '1st Dismissed for 99 (and 199, 299 etc) (99)', ' Pair on debut ', '6th Most fours in an innings (43)', ' Carrying bat through a completed innings (154*)', '2nd Unusual dismissals (handled the bal)', ' Opening the batting and bowling in the same match ', ' 5000 runs and 50 fielding dismissals ', '9th Highest partnership for the second wicket (351)', '9th Longest careers (18y 137d)', '10th Most consecutive innings without a duck (86)', '1st Outstanding bowling analyses in an innings (1/0)', '6th Hundreds in consecutive innings (3)']</t>
  </si>
  <si>
    <t>['16th Most runs in career (8900)', '13th Most runs in an innings (333)', '1st Most runs in a match (456)', '20th Most runs in a series (752)', '42nd Most runs in a calendar year (1264)', '7th Most runs in an innings (by batting position) (333)', '5th Most runs on a single ground (2015)', '2nd Most runs in an series by a captain (752)', '4th Most runs in an innings by a captain (333)', '42nd Most hundreds in a career (20)', '5th Most triple hundreds in a career (1)', '5th Hundreds in consecutive innings (3)', '21st Hundreds in consecutive matches (3)', '14th Oldest player to score a hundred (40y 314d)', '1st Dismissed for 99 (and 199, 299 etc) (99)', '22nd Most fifties in career (66)', '32nd Fifties in consecutive innings (5)', '15th Fifties in consecutive matches (8)', '30th Most consecutive innings without a duck (60)', '19th Most fours in career (1079)', '6th Most fours in an innings (43)', '10th Most runs from fours and sixes in an innings (190)', '10th Highest percentage of runs in a completed innings (61.11)', '2nd Unusual dismissals (handled the bal)', '50th Fastest to 6000 runs (150)', '35th Fastest to 7000 runs (166)', '24th Fastest to 8000 runs (189)', '35th Worst career strike rate (115.4)', '37th Most catches in career (103)', '43rd Highest partnerships for any wicket (351)', '9th Highest partnership for the second wicket (351)', '24th Highest partnership for the third wicket (308)', '30th Most matches in career (118)', '32nd Most player-of-the-match awards (9)', '12th Most player-of-the-series awards (5)', '23rd Longest careers (19y 212d)', '36th Most matches as captain (34)', '22nd Oldest captains (40y 3d)']</t>
  </si>
  <si>
    <t>['47th Most runs in a series (471)', '39th Most hundreds against one team (4)', '19th Oldest player to score a hundred (36y 306d)', '11th Fifties in consecutive innings (5)', '10th Most consecutive innings without a duck (86)', '32nd Fewest ducks in career (30.5)', '21st Longest individual innings (by balls) (164)', '34th Fastest to 2000 runs (56)', '13th Fastest to 3000 runs (76)', '19th Fastest to 4000 runs (108)', '1st Outstanding bowling analyses in an innings (1/0)', '39th Highest partnership for the second wicket (202)', '24th Most player-of-the-series awards (4)', '25th Oldest players (41y 171d)', '9th Longest careers (18y 137d)', '14th Winning all tosses in a series (3)', '18th Oldest captains (39y 304d)', '25th Oldest captains on captaincy debut (35y 43d)']</t>
  </si>
  <si>
    <t>['4th Most runs in an innings (by batting position) (31*)', '7th Best career strike rate (51.4)', '7th Most wickets taken lbw (10)', '10th Outstanding bowling analyses in an innings (2/2)', '7th Most five-wickets-in-an-innings in a career (2)', '4th Most catches in an innings (3)']</t>
  </si>
  <si>
    <t>['4th Most runs in an innings (by batting position) (31*)', '25th Most wickets in career (29)', '11th Best figures in a match (9)', '14th Most wickets on a single ground (10)', '15th Best figures in a innings when on the losing side (4)', '17th Best figures in a match when on the losing side (5)', '20th Best career bowling average (18.93)', '7th Best career strike rate (51.4)', '13th Youngest player to take five-wickets-in-an-innings (22y 270d)', '21st Most wickets taken caught (15)', '14th Most wickets taken caught by a wicketkeeper (5)', '7th Most wickets taken lbw (10)', '28th Highest partnership for the ninth wicket (41)', '11th Youngest players (17y 85d)']</t>
  </si>
  <si>
    <t>['13th Most runs in an innings (by batting position) (26)', '18th Most wickets in career (101)', '30th Best figures in an innings (5/14)', '27th Most wickets in a calendar year (23)', '10th Outstanding bowling analyses in an innings (2/2)', '26th Best economy rate in an innings (0.40)', '7th Most five-wickets-in-an-innings in a career (2)', '25th Most four-wickets-in-an-innings in a career (4)', '8th Youngest player to take five-wickets-in-an-innings (19y 86d)', '23rd Most balls bowled in career (3767)', '24th Most runs conceded in career (2345)', '31st Bowler/Batters combinations (5)', '18th Most wickets taken bowled (27)', '22nd Most wickets taken caught (54)', '31st Most wickets taken caught and bowled (5)', '19th Most wickets taken caught by a fielder (45)', '18th Most wickets taken lbw (17)', '4th Most catches in an innings (3)', '46th Highest partnership for the ninth wicket (35)', '28th Highest partnership for the tenth wicket (29)', '30th Youngest players (16y 81d)']</t>
  </si>
  <si>
    <t>['44th Outstanding bowling analyses in an innings (2/4)', '41st Most maidens in career (5)', '12th Most maidens in an innings (2)']</t>
  </si>
  <si>
    <t>['24th Oldest players on debut (38y 283d)']</t>
  </si>
  <si>
    <t>['37th Longest intervals between appearances (9y 0d)', '23rd Longest lived players (93y 220d)']</t>
  </si>
  <si>
    <t>['10th Most runs in an innings (by batting position) (46*)']</t>
  </si>
  <si>
    <t>['50th Best career strike rate (51.6)', '41st Bowler/fielder combinations (41)', '39th Fastest to 200 wickets (50)']</t>
  </si>
  <si>
    <t>['10th Most runs in an innings (by batting position) (46*)', '31st Most wickets in career (235)', '42nd Most wickets in a series (18)', '14th Best figures in a innings when on the losing side (5)', '43rd Most five-wickets-in-an-innings in a career (2)', '16th Most four-wickets-in-an-innings in a career (12)', '35th Most balls bowled in career (8470)', '39th Most runs conceded in career (6209)', '44th Bowler/fielder combinations (25)', '21st Most wickets taken bowled (60)', '28th Most wickets taken caught (148)', '37th Most wickets taken caught by a fielder (96)', '18th Most wickets taken caught by a wicketkeeper (52)', '31st Most wickets taken lbw (27)', '21st Fastest to 100 wickets (62)', '17th Fastest to 150 wickets (97)', '12th Fastest to 200 wickets (134)', '39th Highest partnership for the tenth wicket (50*)']</t>
  </si>
  <si>
    <t>['17th Oldest living players (50y 178d)']</t>
  </si>
  <si>
    <t>['5th Most byes conceded in an innings (18)', '4th Most runs in an innings (by batting position) (65)']</t>
  </si>
  <si>
    <t>['4th Most runs in an innings (by batting position) (65)', '15th Highest partnership for the eighth wicket (60)', '5th Most byes conceded in an innings (18)']</t>
  </si>
  <si>
    <t>['2nd Longest intervals between appearances (17y 316d)', ' Hundred on debut (119)', ' Hundred and a duck in a match ', '1st Longest intervals between appearances (17y 316d)']</t>
  </si>
  <si>
    <t>['16th Most runs in debut match (193)', '4th Oldest players (50y 303d)', '8th Longest careers (22y 120d)', '2nd Longest intervals between appearances (17y 316d)', '33rd Most consecutive matches missed for a team between appearances (60)']</t>
  </si>
  <si>
    <t>['2nd Best career economy rate (1.60)']</t>
  </si>
  <si>
    <t>['2nd Best career economy rate (1.60)', '12th Worst career strike rate (141.9)']</t>
  </si>
  <si>
    <t>['26th Fifties in consecutive matches (7)', '39th Most consecutive matches as captain of a team (23)', '33rd Winning all tosses in a series (3)']</t>
  </si>
  <si>
    <t>['35th Most runs in an series by a captain (354)']</t>
  </si>
  <si>
    <t>['13th Worst career bowling average (without qualification) (92.00)']</t>
  </si>
  <si>
    <t>['19th Outstanding bowling analyses in an innings (5/15)', '35th Best strike rate in an innings (8.4)']</t>
  </si>
  <si>
    <t>[' Hundred on debut (106)', ' Hundred and a ninety in a match ']</t>
  </si>
  <si>
    <t>['13th Most runs in debut match (199)', '6th Ninety on debut (93)', '27th Highest partnership for the second wicket (280)']</t>
  </si>
  <si>
    <t>['6th Oldest captains on captaincy debut (41y 39d)', '10th Oldest player to score a hundred (41y 263d)', '8th Highest partnership for the eighth wicket (217)']</t>
  </si>
  <si>
    <t>['10th Oldest player to score a hundred (41y 263d)', '22nd Worst career bowling average (without qualification) (167.00)', '8th Highest partnership for the eighth wicket (217)', '50th Oldest players (42y 1d)', '47th Longest careers (17y 347d)', '15th Oldest captains (41y 44d)', '6th Oldest captains on captaincy debut (41y 39d)']</t>
  </si>
  <si>
    <t>['3rd Oldest players (50y 320d)', '1st Oldest captains (50y 320d)', ' Hundred on debut (152)']</t>
  </si>
  <si>
    <t>['36th Most runs in debut match (161)', '3rd Oldest players (50y 320d)', '29th Longest careers (18y 270d)', '1st Oldest captains (50y 320d)', '9th Oldest captains on captaincy debut (40y 26d)']</t>
  </si>
  <si>
    <t>['10th Most runs in an innings (by batting position) (26)']</t>
  </si>
  <si>
    <t>['10th Most runs in an innings (by batting position) (26)', '46th Most wickets in a calendar year (18)', '20th Most wickets taken caught and bowled (3)', '43rd Most wickets taken stumped (5)']</t>
  </si>
  <si>
    <t>['1st Most wickets in a series (23)', '1st Best career strike rate (38.7)', '1st Most consecutive five-wickets-in-an-innings (3)']</t>
  </si>
  <si>
    <t>['25th Most wickets in career (29)', '20th Best figures in an innings (6/46)', '2nd Best figures in a match (11)', '1st Most wickets in a series (23)', '4th Most wickets in a calendar year (23)', '2nd Outstanding bowling analyses in an innings (5/17)', '10th Most wickets on a single ground (11)', '7th Best career bowling average (16.13)', '1st Best career strike rate (38.7)', '24th Best strike rate in an innings (18.0)', '8th Worst career economy rate (2.50)', '5th Most five-wickets-in-an-innings in a career (3)', '2nd Most ten-wickets-in-a-match in a career (1)', '1st Most consecutive five-wickets-in-an-innings (3)', '18th Most wickets taken bowled (10)']</t>
  </si>
  <si>
    <t>['49th Worst career bowling average (without qualification) (58.50)']</t>
  </si>
  <si>
    <t>['2nd Outstanding bowling analyses in an innings (6/7)']</t>
  </si>
  <si>
    <t>['2nd Outstanding bowling analyses in an innings (6/7)', '16th Best figures in a innings by a captain (6)', '5th Best figures in a match by a captain (11)', '12th Best strike rate in an innings (6.5)']</t>
  </si>
  <si>
    <t>['39th Most matches as an umpire (63)']</t>
  </si>
  <si>
    <t>['3rd Most runs in an series by a captain (732)', '9th Most hundreds against one team (9)', ' Hundred and a duck in a match ', ' 5000 runs and 50 fielding dismissals ', '3rd Most hundreds in a series (3)']</t>
  </si>
  <si>
    <t>['27th Most runs in career (8231)', '22nd Most runs in a series (732)', '42nd Most runs on a single ground (1241)', '3rd Most runs in an series by a captain (732)', '48th Most runs in an innings by a captain (215)', '9th Most hundreds against one team (9)', '12th Youngest player to score a double hundred (22y 102d)', '34th Most fifties in career (57)', '1st Most consecutive innings without a duck (119)', '26th Fewest ducks in career (29.14)', '24th Most fours in career (979)', '26th Fastest to 1000 runs (20)', '47th Fastest to 6000 runs (147)', '39th Fastest to 7000 runs (172)', '28th Fastest to 8000 runs (195)', '41st Highest partnership for the sixth wicket (207)', '40th Highest partnership for the seventh wicket (167)', '33rd Most matches in career (117)', '44th Most player-of-the-series awards (3)', '43rd Most matches as captain (32)', '33rd Most consecutive matches as captain of a team (25)', '32nd Youngest captains (25y 133d)']</t>
  </si>
  <si>
    <t>['11th Most runs in a series (563)', '12th Most runs in an innings (by batting position) (158)', '3rd Most hundreds in a series (3)', '29th Most hundreds in a calendar year (4)', '33rd Youngest player to score a hundred (21y 55d)', '18th Highest percentage of runs in a completed innings (59.17)', '41st Fastest to 2000 runs (57)', '24th Most player-of-the-series awards (4)', '12th Winning all tosses in a series (3)']</t>
  </si>
  <si>
    <t>['10th Most balls bowled in an innings (486)']</t>
  </si>
  <si>
    <t>['27th Oldest player to take ten-wickets-in-a-match (34y 168d)', '10th Most balls bowled in an innings (486)', '42nd Most balls bowled in a match (606)', '36th Highest partnership for the ninth wicket (108)']</t>
  </si>
  <si>
    <t>['6th Most runs in an innings (by batting position) (62*)', '4th Outstanding bowling analyses in an innings (5/19)', '8th Most wickets taken caught by a wicketkeeper (7)', '4th Most matches in career (144)', '9th Most runs in a career without a hundred (1629)', '10th Most ducks in career (11)', '9th Worst economy rate in an innings (9.60)', '7th Most five-wickets-in-an-innings in a career (2)', '6th Most balls bowled in career (5906)', '2nd Most runs conceded in career (3822)', '3rd Most wickets taken caught by a fielder (67)', '1st Most catches in an innings (4)', ' Opening the batting and bowling in the same match ', '1st Best figures in a innings by a captain (5)', '4th Most four-wickets-in-an-innings in a career (3)', '8th Most wickets taken caught and bowled (5)', '2nd Most catches in career (58)']</t>
  </si>
  <si>
    <t>['6th Most runs in an innings (by batting position) (62*)', '25th Most wickets in career (29)', '4th Outstanding bowling analyses in an innings (5/19)', '8th Best figures in a innings when on the losing side (5)', '17th Best figures in a match when on the losing side (5)', '35th Best career bowling average (22.24)', '38th Best career economy rate (1.76)', '27th Worst strike rate in an innings (210.0)', '23rd Most balls bowled in career (2189)', '12th Bowler/Batters combinations (4)', '21st Most wickets taken caught (15)', '8th Most wickets taken caught by a wicketkeeper (7)', '12th Most wickets taken lbw (8)', '13th Highest partnership for the sixth wicket (85)', '17th Highest partnership for the eighth wicket (58)']</t>
  </si>
  <si>
    <t>['9th Most runs in a career without a hundred (1629)', '33rd Most innings before first duck (16)', '10th Most ducks in career (11)', '11th Most wickets in career (136)', '11th Best figures in a innings when on the losing side (4)', '9th Worst economy rate in an innings (9.60)', '7th Most five-wickets-in-an-innings in a career (2)', '9th Most four-wickets-in-an-innings in a career (6)', '6th Most balls bowled in career (5906)', '2nd Most runs conceded in career (3822)', '3rd Bowler/Batters combinations (8)', '20th Bowler/fielder combinations (13)', '8th Most wickets taken bowled (35)', '5th Most wickets taken caught (80)', '16th Most wickets taken caught and bowled (7)', '3rd Most wickets taken caught by a fielder (67)', '15th Most wickets taken caught by a wicketkeeper (13)', '25th Most wickets taken lbw (15)', '10th Most catches in career (49)', '1st Most catches in an innings (4)', '15th Highest partnership for the sixth wicket (83)', '26th Highest partnership for the eighth wicket (48*)', '24th Highest partnership for the tenth wicket (30*)', '4th Most matches in career (144)', '24th Longest careers (15y 118d)']</t>
  </si>
  <si>
    <t>['22nd Most runs in an innings (by batting position) (30*)', '16th Most ducks in career (6)', '14th Most wickets in career (75)', '36th Best figures in an innings (5/18)', '26th Outstanding bowling analyses in an innings (2/3)', '11th Most wickets on a single ground (11)', '1st Best figures in a innings by a captain (5)', '40th Best career bowling average (19.82)', '22nd Best career strike rate (18.4)', '13th Best strike rate in an innings (3.0)', '13th Worst career economy rate (6.44)', '4th Most four-wickets-in-an-innings in a career (3)', '20th Most balls bowled in career (1385)', '13th Most runs conceded in career (1487)', '23rd Most runs conceded in an innings (49)', '18th Bowler/Batters combinations (4)', '10th Bowler/fielder combinations (11)', '27th Most wickets taken bowled (14)', '10th Most wickets taken caught (50)', '8th Most wickets taken caught and bowled (5)', '9th Most wickets taken caught by a fielder (46)', '32nd Most wickets taken stumped (6)', '2nd Most catches in career (58)', '3rd Most catches in an innings (3)', '43rd Highest partnership for the fifth wicket (52)', '16th Highest partnership for the seventh wicket (44*)', '16th Most matches in career (104)', '28th Most consecutive matches for a team (41)']</t>
  </si>
  <si>
    <t>['21st Oldest player to take a maiden five-wickets-in-an-innings (36y 296d)']</t>
  </si>
  <si>
    <t>['8th Most matches as an umpire (74)']</t>
  </si>
  <si>
    <t>['9th Most matches as an umpire (140)']</t>
  </si>
  <si>
    <t>['4th Most matches as an umpire (37)']</t>
  </si>
  <si>
    <t>['21st Worst career bowling average (58.47)', '50th Worst career strike rate (106.4)']</t>
  </si>
  <si>
    <t>['26th Most wickets in a series (20)', '29th Best career bowling average (23.21)', '18th Best career strike rate (29.3)', '24th Fastest to 50 wickets (28)']</t>
  </si>
  <si>
    <t>['23rd Best career bowling average (without qualification) (5.66)']</t>
  </si>
  <si>
    <t>['6th Best strike rate in an innings (3.0)']</t>
  </si>
  <si>
    <t>['2nd Most sixes in an innings (11)', ' 1000 runs, 50 wickets and 50 catches ', '4th Highest partnership for the eighth wicket (253)', '2nd Most nineties in career (9)', '6th Most ducks in a series (3)', '7th Outstanding bowling analyses in an innings (3/4)', ' A hundred and four wickets in an innings ', ' 1000 runs, 50 wickets and 50 catches ', ' 5000 runs and 50 fielding dismissals ', '8th Most nineties in career (11)']</t>
  </si>
  <si>
    <t>['16th Most runs in an innings (by batting position) (222)', '19th Most runs in a match on the losing side (232)', '18th Most runs in a day (222)', '2nd Most sixes in an innings (11)', '16th Most runs from fours and sixes in an innings (178)', '39th Worst career strike rate (111.5)', '45th Highest partnership for the fifth wicket (222)', '4th Highest partnership for the eighth wicket (253)', '14th Highest partnership for the tenth wicket (118)']</t>
  </si>
  <si>
    <t>['42nd Most runs in career (7090)', '23rd Most hundreds in a career (16)', '19th Most hundreds against one team (5)', '2nd Most nineties in career (9)', '36th Most fifties in career (57)', '18th Most ducks in career (19)', '6th Most ducks in a series (3)', '33rd Most fours in career (720)', '14th Most fours in an innings (21)', '38th Highest percentage of runs in a completed innings (55.45)', '47th Fastest to 4000 runs (120)', '37th Fastest to 5000 runs (147)', '32nd Fastest to 6000 runs (182)', '26th Fastest to 7000 runs (212)', '7th Outstanding bowling analyses in an innings (3/4)', '47th Most catches in career (83)', '16th Most player-of-the-match awards (25)']</t>
  </si>
  <si>
    <t>['26th Oldest living players (49y 181d)']</t>
  </si>
  <si>
    <t>['18th Ninety on debut (92)']</t>
  </si>
  <si>
    <t>['14th Oldest living players (90y 325d)']</t>
  </si>
  <si>
    <t>['47th Worst economy rate in an innings (10.80)']</t>
  </si>
  <si>
    <t>['6th Most sixes in an innings (14)', '2nd Best career strike rate (24.7)', '4th Most runs in an innings (by batting position) (94*)', '7th Most sixes in an innings (10)', '1st Most catches in an innings (4)']</t>
  </si>
  <si>
    <t>['12th Most runs in an innings (by batting position) (131*)', '14th Highest career strike rate (108.72)', '30th Highest strike rate in an innings (278.72)', '50th Highest maiden hundred (131*)', '6th Most sixes in an innings (14)', '33rd Most runs from fours and sixes in an innings (108)', '2nd Best career strike rate (24.7)', '7th Worst career economy rate (6.06)', '10th Worst economy rate in an innings (12.00)', '19th Most runs conceded in an innings (96)']</t>
  </si>
  <si>
    <t>['4th Most runs in an innings (by batting position) (94*)', '48th Highest career strike rate (138.17)', '7th Most sixes in an innings (10)', '1st Most catches in an innings (4)']</t>
  </si>
  <si>
    <t>['9th Highest partnership for the seventh wicket (123)']</t>
  </si>
  <si>
    <t>['29th Oldest player to score a maiden hundred (33y 39d)', '9th Highest partnership for the seventh wicket (123)', '34th Longest intervals between appearances (6y 292d)', '40th Most consecutive matches missed for a team between appearances (129)']</t>
  </si>
  <si>
    <t>['1st Most dismissals in an innings (5)', '5th Most catches in an innings (3)']</t>
  </si>
  <si>
    <t>['20th Worst economy rate in an innings (9.00)']</t>
  </si>
  <si>
    <t>['6th Worst career strike rate (145.1)', '4th Most catches in an innings (3)']</t>
  </si>
  <si>
    <t>['7th Worst career bowling average (48.00)', '6th Worst career strike rate (145.1)', '18th Worst strike rate in an innings (216.0)']</t>
  </si>
  <si>
    <t>['8th Best career bowling average (16.21)', '1st Best career economy rate (1.81)', '36th Best economy rate in an innings (0.42)', '36th Worst career strike rate (53.6)', '4th Most catches in an innings (3)']</t>
  </si>
  <si>
    <t>['7th Most consecutive matches for a team (66)', '4th Most consecutive matches as captain of a team (55)', '1st Most runs on a single ground (843)', '2nd Most hundreds against one team (3)', '6th Most fifties in career (37)', '1st Outstanding bowling analyses in an innings (1/0)', '3rd Worst career economy rate (4.94)', '1st Most catches in a series (20)', ' Opening the batting and bowling in the same match ', ' 1000 runs, 50 wickets and 50 catches ', '10th Highest partnership for the first wicket (196)', '2nd Most matches in career (122)', '6th Most matches as captain (64)', '1st Most runs in a calendar year (670)', '7th Highest career batting average (30.00)', '7th Most runs in debut match (62)', '1st Most fifties in career (22)', '3rd Most ducks in career (10)', '2nd Fastest to 3000 runs (105)', '5th Best figures in a innings when on the losing side (4)', '6th Worst career economy rate (6.73)', '1st Most catches in career (64)', '5th Highest partnership for the first wicket (182)']</t>
  </si>
  <si>
    <t>['6th Most runs in career (4548)', '9th Most runs in an innings (168)', '4th Most runs in a series (978)', '23rd Most runs in a calendar year (632)', '2nd Most runs in an innings (by batting position) (168)', '7th Most runs in a match on the losing side (110)', '1st Most runs on a single ground (843)', '2nd Most runs in an series by a captain (978)', '3rd Most runs in an innings by a captain (151)', '15th Highest career batting average (42.50)', '2nd Most hundreds in a career (10)', '6th Most hundreds in a series (2)', '5th Most hundreds in a calendar year (2)', '2nd Most hundreds against one team (3)', '21st Highest maiden hundred (122)', '9th Youngest player to score a hundred (19y 166d)', '30th Oldest player to score a hundred (30y 265d)', '6th Most fifties in career (37)', '12th Fifties in consecutive innings (4)', '14th Most consecutive innings without a duck (44)', '21st Most ducks in career (9)', '36th Most wickets in career (75)', '1st Outstanding bowling analyses in an innings (1/0)', '14th Most wickets on a single ground (15)', '21st Best strike rate in an innings (7.5)', '33rd Worst career bowling average (33.17)', '3rd Worst career economy rate (4.94)', '41st Most balls bowled in career (3017)', '20th Most runs conceded in career (2488)', '44th Bowler/fielder combinations (10)', '27th Most wickets taken caught (48)', '31st Most wickets taken caught and bowled (5)', '28th Most wickets taken caught by a fielder (39)', '36th Most wickets taken lbw (12)', '1st Most catches in career (67)', '4th Most catches in an innings (3)', '1st Most catches in a series (20)', '26th Highest partnerships for any wicket (196)', '10th Highest partnership for the first wicket (196)', '16th Highest partnership for the second wicket (174*)', '36th Highest partnership for the third wicket (128)', '15th Highest partnership for the fifth wicket (103)', '37th Highest partnership for the sixth wicket (69)', '15th Most matches in career (125)', '7th Most consecutive matches for a team (66)', '27th Longest careers (14y 213d)', '4th Most matches as captain (76)', '4th Most consecutive matches as captain of a team (55)', '35th Youngest captains (23y 292d)']</t>
  </si>
  <si>
    <t>['1st Most runs in career (3301)', '5th Most runs in an innings (124*)', '1st Most runs in a calendar year (670)', '3rd Most runs in an innings (by batting position) (124*)', '8th Most runs in a match on the losing side (77)', '2nd Most runs on a single ground (366)', '3rd Most runs in an innings by a captain (124*)', '7th Highest career batting average (30.00)', '7th Most runs in debut match (62)', '1st Most fifties in career (22)', '3rd Fifties in consecutive innings (3)', '37th Most innings before first duck (13)', '3rd Most ducks in career (10)', '17th Highest percentage of runs in a completed innings (60.52)', '10th Fastest to 1000 runs (49)', '6th Fastest to 2000 runs (78)', '2nd Fastest to 3000 runs (105)', '38th Most wickets in career (50)', '19th Most wickets on a single ground (10)', '21st Best figures in a innings by a captain (3)', '5th Best figures in a innings when on the losing side (4)', '17th Worst career bowling average (25.52)', '6th Worst career economy rate (6.73)', '29th Most balls bowled in career (1137)', '18th Most runs conceded in career (1276)', '18th Bowler/Batters combinations (4)', '38th Most wickets taken bowled (11)', '38th Most wickets taken caught (27)', '20th Most wickets taken caught and bowled (3)', '32nd Most wickets taken caught by a fielder (26)', '36th Most wickets taken lbw (6)', '32nd Most wickets taken stumped (6)', '1st Most catches in career (64)', '7th Highest partnerships for any wicket (182)', '5th Highest partnership for the first wicket (182)', '12th Highest partnership for the second wicket (118*)', '35th Highest partnership for the fourth wicket (66)', '2nd Most matches in career (122)', '4th Most consecutive matches for a team (66)', '6th Most matches as captain (64)']</t>
  </si>
  <si>
    <t>['2nd Winning all tosses in a series (4)']</t>
  </si>
  <si>
    <t>['21st Hundreds in consecutive matches (3)', '21st Highest percentage of runs in a completed innings (59.50)']</t>
  </si>
  <si>
    <t>['50th Oldest living players (76y 319d)', '2nd Winning all tosses in a series (4)', '49th Oldest captains (36y 145d)', '46th Oldest captains on captaincy debut (33y 363d)']</t>
  </si>
  <si>
    <t>['8th Most runs in an innings (by batting position) (50*)', '8th Highest partnership for the ninth wicket (60*)']</t>
  </si>
  <si>
    <t>['19th Most runs in an innings (by batting position) (20)']</t>
  </si>
  <si>
    <t>['3rd Most balls bowled in a match (573)', '1st Most catches in an innings (3)', '9th Best career economy rate (2.17)', '4th Most catches in an innings (3)']</t>
  </si>
  <si>
    <t>['18th Worst strike rate in an innings (216.0)', '4th Most balls bowled in an innings (360)', '3rd Most balls bowled in a match (573)', '18th Most runs conceded in a match (137)', '1st Most catches in an innings (3)', '6th Most catches in a series (7)']</t>
  </si>
  <si>
    <t>['9th Best career economy rate (2.17)', '45th Best economy rate in an innings (0.50)', '17th Worst career strike rate (61.2)', '4th Most catches in an innings (3)']</t>
  </si>
  <si>
    <t>['11th Worst career bowling average (40.76)', '16th Worst career strike rate (61.4)', '32nd Highest partnership for the tenth wicket (28*)']</t>
  </si>
  <si>
    <t>['49th Most innings before first duck (15)', '15th Most catches in an innings (3)']</t>
  </si>
  <si>
    <t>['3rd Most runs in an innings (by batting position) (54*)', '9th Most wickets taken lbw (22)', '4th Highest partnership for the seventh wicket (90)', '6th Fewest ducks in career (46)', '5th Most wickets taken caught by a wicketkeeper (11)', '3rd Most catches in an innings (3)']</t>
  </si>
  <si>
    <t>['15th Worst career bowling average (without qualification) (83.00)', '35th Worst economy rate in an innings (4.00)']</t>
  </si>
  <si>
    <t>['42nd Most runs in career (2002)', '3rd Most runs in an innings (by batting position) (54*)', '15th Most runs on a single ground (481)', '5th Most runs in a career without a hundred (2002)', '49th Most fifties in career (10)', '30th Most consecutive innings without a duck (35)', '21st Most ducks in career (9)', '27th Most wickets in career (88)', '45th Most wickets on a single ground (11)', '29th Worst career bowling average (34.14)', '50th Worst career strike rate (51.9)', '16th Most balls bowled in career (4571)', '14th Most runs conceded in career (3005)', '12th Bowler/Batters combinations (6)', '34th Most wickets taken bowled (19)', '34th Most wickets taken caught (46)', '43rd Most wickets taken caught by a fielder (32)', '13th Most wickets taken caught by a wicketkeeper (14)', '9th Most wickets taken lbw (22)', '32nd Most catches in career (33)', '31st Highest partnership for the sixth wicket (71)', '4th Highest partnership for the seventh wicket (90)', '10th Highest partnership for the eighth wicket (63)', '13th Highest partnership for the ninth wicket (44*)', '15th Most matches in career (125)']</t>
  </si>
  <si>
    <t>['19th Most runs in an innings (by batting position) (32)', '13th Most innings before first duck (23)', '6th Fewest ducks in career (46)', '45th Most wickets in career (47)', '46th Most wickets in a calendar year (18)', '22nd Best career bowling average (17.31)', '35th Best career economy rate (5.57)', '24th Best career strike rate (18.6)', '50th Most balls bowled in career (876)', '18th Bowler/Batters combinations (4)', '34th Bowler/fielder combinations (8)', '23rd Most wickets taken caught (35)', '35th Most wickets taken caught by a fielder (24)', '5th Most wickets taken caught by a wicketkeeper (11)', '30th Most catches in career (24)', '3rd Most catches in an innings (3)', '30th Highest partnership for the ninth wicket (18)']</t>
  </si>
  <si>
    <t>['7th Most runs in debut match (140)', '2nd Oldest player to score a maiden hundred (34y 44d)', '4th Ninety on debut (96)', ' Opening the batting and bowling in the same match ', '1st Oldest player to score a maiden hundred (39y 48d)', ' Opening the batting and bowling in the same match ']</t>
  </si>
  <si>
    <t>['15th Highest career batting average (44.44)', '7th Most runs in debut match (140)', '9th Oldest player to score a hundred (34y 44d)', '2nd Oldest player to score a maiden hundred (34y 44d)', '4th Ninety on debut (96)']</t>
  </si>
  <si>
    <t>['1st Oldest player to score a hundred (39y 48d)', '1st Oldest player to score a maiden hundred (39y 48d)', '28th Fifties in consecutive innings (3)', '25th No ducks in career (16)', '26th Oldest players (39y 73d)']</t>
  </si>
  <si>
    <t>['8th Best figures in an innings (7/41)']</t>
  </si>
  <si>
    <t>['44th Most wickets in career (21)', '8th Best figures in an innings (7/41)', '11th Best figures in a match (9)', '15th Best figures in a innings when on the losing side (4)', '18th Worst strike rate in an innings (216.0)', '17th Most runs conceded in a match (138)', '12th Bowler/Batters combinations (4)', '21st Most wickets taken caught (15)']</t>
  </si>
  <si>
    <t>['3rd Best career strike rate (38.7)', '1st Best figures in a innings when on the losing side (6)', '10th Best career bowling average (20.88)', '4th Fastest to 100 wickets (54)']</t>
  </si>
  <si>
    <t>['34th Best career bowling average (22.09)', '3rd Best career strike rate (38.7)']</t>
  </si>
  <si>
    <t>['13th Most runs in an innings (by batting position) (31*)', '24th Best figures in an innings (6/19)', '16th Most wickets in a series (21)', '12th Outstanding bowling analyses in an innings (6/19)', '1st Best figures in a innings when on the losing side (6)', '10th Best career bowling average (20.88)', '17th Best career strike rate (29.2)', '15th Most five-wickets-in-an-innings in a career (4)', '22nd Most four-wickets-in-an-innings in a career (11)', '13th Most consecutive four-wickets-in-an-innings (2)', '17th Fastest to 50 wickets (27)', '4th Fastest to 100 wickets (54)']</t>
  </si>
  <si>
    <t>[' Hundred on debut (107*)']</t>
  </si>
  <si>
    <t>['19th Worst career bowling average (without qualification) (176.00)']</t>
  </si>
  <si>
    <t>['2nd Most runs in an innings (by batting position) (204)', '1st Most double hundreds in a career (1)', '1st Most nineties in career (2)', '10th Fewest ducks in career (33)']</t>
  </si>
  <si>
    <t>['5th Most runs in an innings (204)', '6th Most runs in an innings (progressive record holder) (204)', '9th Most runs in a match (204)', '12th Most runs in a series (340)', '14th Most runs in a calendar year (340)', '2nd Most runs in an innings (by batting position) (204)', '1st Most double hundreds in a career (1)', '4th Highest maiden hundred (204)', '1st Most nineties in career (2)', '5th Ninety on debut (94)']</t>
  </si>
  <si>
    <t>['47th Most consecutive innings without a duck (31*)', '10th Fewest ducks in career (33)', '41st Highest partnership for the sixth wicket (66)']</t>
  </si>
  <si>
    <t>['7th Outstanding bowling analyses in an innings (7/34)', '10th Most four-wickets-in-an-innings in a career (13)', '3rd Fastest to 150 wickets (81)']</t>
  </si>
  <si>
    <t>['14th Most runs in an innings (by batting position) (52*)', '39th Most wickets in career (281)', '46th Most balls bowled in career (15819)', '39th Most runs conceded in career (7875)', '17th Bowler/fielder combinations (55)', '37th Most wickets taken bowled (61)', '39th Most wickets taken caught (172)', '49th Most wickets taken caught by a fielder (105)', '27th Most wickets taken caught by a wicketkeeper (67)', '47th Fastest to 200 wickets (52)', '29th Fastest to 250 wickets (63)']</t>
  </si>
  <si>
    <t>['8th Best figures in an innings (7/34)', '10th Most wickets in a series (22)', '7th Outstanding bowling analyses in an innings (7/34)', '25th Best career strike rate (30.2)', '11th Most five-wickets-in-an-innings in a career (5)', '10th Most four-wickets-in-an-innings in a career (13)', '48th Most wickets taken caught by a fielder (86)', '32nd Fastest to 50 wickets (29)', '7th Fastest to 100 wickets (56)', '3rd Fastest to 150 wickets (81)']</t>
  </si>
  <si>
    <t>['46th Most wickets in career (46)', '26th Best career strike rate (16.4)', '14th Worst career economy rate (8.53)', '43rd Most runs conceded in career (1074)', '17th Bowler/batters combinations (3)', '45th Bowler/fielder combinations (6)', '26th Most wickets taken caught (36)', '33rd Most wickets taken caught by a fielder (28)', '13th Most wickets taken caught by a wicketkeeper (8)', '15th Most catches in an innings (3)']</t>
  </si>
  <si>
    <t>['10th Worst strike rate in an innings (420.0)', '9th Most runs conceded in an innings (229)']</t>
  </si>
  <si>
    <t>['24th Best figures in a innings when on the losing side (7)', '10th Worst strike rate in an innings (420.0)', '9th Most runs conceded in an innings (229)']</t>
  </si>
  <si>
    <t>['38th Most wickets in a series (18)', '45th Most wickets on a single ground (11)', '47th Best career strike rate (36.3)', '47th Most catches in a series (6)', '41st Highest partnership for the ninth wicket (36)']</t>
  </si>
  <si>
    <t>['20th Best career bowling average (17.24)', '23rd Best career economy rate (5.41)', '32nd Best career strike rate (19.0)', '24th Most wickets taken lbw (7)', '32nd Most wickets taken stumped (6)', '45th Highest partnership for the ninth wicket (15)']</t>
  </si>
  <si>
    <t>['7th Most runs in an innings (by batting position) (83*)', ' 1000 runs and 100 wickets ', '8th Worst career strike rate (74.1)', '1st Most catches by a substitute in an innings (4)', '4th Most consecutive ducks (4)']</t>
  </si>
  <si>
    <t>['7th Most runs in an innings (by batting position) (83*)', '12th Highest partnership for the tenth wicket (124)']</t>
  </si>
  <si>
    <t>['12th Outstanding bowling analyses in an innings (2/3)', '8th Worst career bowling average (57.09)', '8th Worst career strike rate (74.1)', '1st Most catches by a substitute in an innings (4)']</t>
  </si>
  <si>
    <t>['19th Most consecutive matches missed for a team between appearances (71)']</t>
  </si>
  <si>
    <t>['15th Longest intervals between appearances (8y 120d)', '11th Most consecutive matches missed for a team between appearances (184)']</t>
  </si>
  <si>
    <t>['45th Oldest player to take five-wickets-in-an-innings (37y 17d)']</t>
  </si>
  <si>
    <t>['13th Most consecutive four-wickets-in-an-innings (2)']</t>
  </si>
  <si>
    <t>['2nd Most dismissals in an innings (6)', '5th Most catches in career (16)', '1st Most stumpings in an innings (4)', '6th Highest innings total without conceding a bye (296/7d)', '3rd Most runs in an innings (by batting position) (84*)', '8th Captains who have kept wicket (5)']</t>
  </si>
  <si>
    <t>['3rd Most runs in an innings (by batting position) (84*)', '11th Most runs in an innings by a wicketkeeper (84*)', '4th Most dismissals in career (28)', '2nd Most dismissals in an innings (6)', '3rd Most dismissals in a match (7)', '3rd Most dismissals in a series (13)', '5th Most catches in career (16)', '8th Most catches in an innings (3)', '9th Most catches in a series (7)', '2nd Most stumpings in career (12)', '1st Most stumpings in an innings (4)', '3rd Most stumpings in a match (4)', '3rd Most stumpings in a series (6)', '6th Highest innings total without conceding a bye (296/7d)']</t>
  </si>
  <si>
    <t>['8th Captains who have kept wicket (5)']</t>
  </si>
  <si>
    <t>['7th Most pairs in career (3)']</t>
  </si>
  <si>
    <t>['7th Most pairs in career (3)', '24th Oldest living players (88y 343d)']</t>
  </si>
  <si>
    <t>['5th Outstanding bowling analyses in an innings (6/29)']</t>
  </si>
  <si>
    <t>['44th Most wickets in career (21)', '16th Best figures in an innings (6/29)', '11th Best figures in a match (9)', '5th Outstanding bowling analyses in an innings (6/29)', '40th Best career bowling average (23.28)', '12th Oldest player to take a maiden five-wickets-in-an-innings (30y 131d)', '19th Most balls bowled in a match (413)']</t>
  </si>
  <si>
    <t>['15th Best figures in a innings on debut (3)', '14th Oldest players on debut (36y 96d)']</t>
  </si>
  <si>
    <t>['40th Best figures in a match when on the losing side (10)', '26th Best career bowling average (21.53)', '12th Best career strike rate (45.0)', '18th Most consecutive five-wickets-in-an-innings (3)', '41st Oldest player to take five-wickets-in-an-innings (37y 73d)', '46th Longest intervals between appearances (8y 224d)']</t>
  </si>
  <si>
    <t>[' Representing two countries ', ' Hundred on debut (124*)', ' Representing two countries ']</t>
  </si>
  <si>
    <t>['4th Most runs in debut match (124*)', '41st Youngest player to score a hundred (21y 142d)']</t>
  </si>
  <si>
    <t>['3rd Most matches as a match referee (103)']</t>
  </si>
  <si>
    <t>['23rd Highest partnership for the sixth wicket (246*)', '3rd Most matches as a match referee (103)']</t>
  </si>
  <si>
    <t>['41st Most runs in a career without a hundred (1518)', '3rd Most matches as a match referee (301)']</t>
  </si>
  <si>
    <t>['1st Most matches as a match referee (138)']</t>
  </si>
  <si>
    <t>['7th Most sixes in career (87)', ' 1000 runs and 100 wickets ', '10th Highest partnership for the seventh wicket (225)', '2nd Hundred in hundredth match (115)', '5th Most innings before first duck (67)', ' Opening the batting and bowling in the same match ', ' 1000 runs, 50 wickets and 50 catches ']</t>
  </si>
  <si>
    <t>['47th Highest strike rate in an innings (174.46)', '7th Most sixes in career (87)', '8th Most sixes in an innings (9)', '46th Most five-wickets-in-an-innings in a career (13)', '10th Highest partnership for the seventh wicket (225)', '29th Highest partnership for the eighth wicket (144)']</t>
  </si>
  <si>
    <t>['2nd Hundred in hundredth match (115)', '5th Most innings before first duck (67)', '37th Most consecutive innings without a duck (67)', '14th Most sixes in career (153)', '37th Most wickets in career (201)', '40th Most wickets on a single ground (33)', '38th Most balls bowled in career (8168)', '32nd Most runs conceded in career (6594)', '37th Most wickets taken bowled (51)', '41st Most wickets taken caught (131)', '42nd Most wickets taken caught by a fielder (90)', '30th Most wickets taken caught by a wicketkeeper (41)']</t>
  </si>
  <si>
    <t>['15th Oldest living players (50y 275d)']</t>
  </si>
  <si>
    <t>['22nd Oldest living players (89y 0d)']</t>
  </si>
  <si>
    <t>['14th Highest partnership for the ninth wicket (43*)']</t>
  </si>
  <si>
    <t>['5th Most runs in an innings (by batting position) (20*)']</t>
  </si>
  <si>
    <t>['5th Most runs in an innings (by batting position) (20*)', '19th Worst career bowling average (without qualification) (102.00)']</t>
  </si>
  <si>
    <t>['5th Most runs in an innings (by batting position) (68*)']</t>
  </si>
  <si>
    <t>['45th Worst career bowling average (without qualification) (69.50)']</t>
  </si>
  <si>
    <t>['6th Bowler/Batters combinations (10)']</t>
  </si>
  <si>
    <t>['16th Worst strike rate in an innings (390.0)', '26th Oldest player to take ten-wickets-in-a-match (34y 269d)']</t>
  </si>
  <si>
    <t>['17th Best career economy rate (3.57)', '16th Best economy rate in an innings (0.80)', '49th Oldest player to take a maiden five-wickets-in-an-innings (30y 143d)', '6th Bowler/Batters combinations (10)']</t>
  </si>
  <si>
    <t>[' Opening the batting and bowling in the same match ', '5th Longest lived players (79y 364d)', '6th Oldest player to score a maiden hundred (37y 26d)']</t>
  </si>
  <si>
    <t>['32nd Best economy rate in an innings (0.58)', '29th Oldest player to take five-wickets-in-an-innings (37y 347d)', '12th Oldest player to take a maiden five-wickets-in-an-innings (37y 347d)', '35th Highest partnership for the eighth wicket (136)']</t>
  </si>
  <si>
    <t>['17th Oldest player to score a hundred (37y 26d)', '6th Oldest player to score a maiden hundred (37y 26d)', '38th Oldest players (40y 156d)', '5th Longest lived players (79y 364d)', '41st Oldest captains (37y 26d)', '27th Oldest captains on captaincy debut (35y 0d)']</t>
  </si>
  <si>
    <t>['15th Best figures in a innings when on the losing side (4)', '13th Best career bowling average (17.94)', '35th Best career economy rate (1.74)', '19th Best career strike rate (61.6)', '19th Best economy rate in an innings (0.50)', '18th Most wickets taken bowled (10)', '14th Most wickets taken caught by a wicketkeeper (5)']</t>
  </si>
  <si>
    <t>['49th Best figures in an innings (5/19)', '31st Most consecutive matches missed for a team between appearances (35)']</t>
  </si>
  <si>
    <t>['28th Worst career strike rate (119.8)', '11th Winning all tosses in a series (3)']</t>
  </si>
  <si>
    <t>['47th Oldest captains on captaincy debut (35y 215d)']</t>
  </si>
  <si>
    <t>['7th Worst career economy rate (3.80)']</t>
  </si>
  <si>
    <t>['7th Worst career economy rate (3.80)', '39th Worst economy rate in an innings (6.46)', '33rd Best figures in a match on debut (8)']</t>
  </si>
  <si>
    <t>['28th Oldest players on debut (34y 58d)']</t>
  </si>
  <si>
    <t>['38th Oldest living players (78y 49d)']</t>
  </si>
  <si>
    <t>['5th Longest intervals between appearances (14y 28d)']</t>
  </si>
  <si>
    <t>['5th Longest intervals between appearances (14y 28d)', '18th Longest lived players (94y 55d)']</t>
  </si>
  <si>
    <t>['6th Most runs in an innings by a wicketkeeper (92*)', '1st Highest partnership for the third wicket (184)']</t>
  </si>
  <si>
    <t>['17th Hundred in last match (126)', '25th Highest partnership for the fifth wicket (159)']</t>
  </si>
  <si>
    <t>['7th Most runs in an innings (by batting position) (99*)', '6th Most runs in an innings by a wicketkeeper (92*)', '12th Highest career strike rate (151.11)', '31st Most fours in an innings (11)', '5th Highest partnerships for any wicket (184)', '3rd Highest partnerships by wicket (3rd)', '1st Highest partnership for the third wicket (184)', '26th Highest partnership for the fifth wicket (77)']</t>
  </si>
  <si>
    <t>['40th Oldest player to take ten-wickets-in-a-match (33y 291d)']</t>
  </si>
  <si>
    <t>['19th Highest career strike rate (104.88)', '14th Best figures in a innings when on the losing side (5)', '48th Best economy rate in an innings (1.00)']</t>
  </si>
  <si>
    <t>['9th Most runs in a career without a hundred (482)', '9th No ducks in career (18)']</t>
  </si>
  <si>
    <t>['48th Most runs in a career without a hundred (875)']</t>
  </si>
  <si>
    <t>['4th Most runs in an innings (by batting position) (299)', ' Hundred and a duck in a match ', ' 5000 runs and 50 fielding dismissals ', '8th Most nineties in career (6)', '2nd Most consecutive innings without a duck (119)']</t>
  </si>
  <si>
    <t>['33rd Most runs in an innings (299)', '27th Most runs in a match (329)', '4th Most runs in an innings (by batting position) (299)', '9th Most runs in an innings by a captain (299)', '45th Dismissed for 99 (and 199, 299 etc) (299)', '34th Longest individual innings (by balls) (523)', '48th Fastest to 4000 runs (93)', '43rd Fastest to 5000 runs (117)']</t>
  </si>
  <si>
    <t>['12th Most runs in an series by a captain (456)', '42nd Youngest player to score a hundred (21y 156d)', '8th Most nineties in career (6)', '2nd Most consecutive innings without a duck (119)', '15th Fewest ducks in career (46.66)', '12th Most catches in a series (9)', '36th Most player-of-the-match awards (19)', '41st Most consecutive matches as captain of a team (34)', '14th Winning all tosses in a series (3)']</t>
  </si>
  <si>
    <t>['40th Most consecutive matches as captain of a team (34)']</t>
  </si>
  <si>
    <t>['4th Fewest ducks in career (80)', '4th Most catches in a series (11)', '5th Most consecutive innings without a duck (117*)']</t>
  </si>
  <si>
    <t>['46th Most consecutive innings without a duck (54*)', '28th Fewest ducks in career (28.33)', '28th Highest partnership for the ninth wicket (118)']</t>
  </si>
  <si>
    <t>['23rd Most runs in a career without a hundred (1874)', '33rd Most consecutive innings without a duck (69*)', '4th Fewest ducks in career (80)', '4th Most catches in a series (11)']</t>
  </si>
  <si>
    <t>['4th Most consecutive matches for a team (72)', '1st Bowler/Batters combinations (9)']</t>
  </si>
  <si>
    <t>['14th Worst career bowling average (40.00)', '15th Worst career strike rate (112.9)', '30th Most balls bowled in career (2033)', '36th Most balls bowled in a match (378)', '23rd Most runs conceded in career (720)', '11th Most runs conceded in an innings (106)', '13th Most runs conceded in a match (146)']</t>
  </si>
  <si>
    <t>['34th Most wickets in career (78)', '25th Best career economy rate (2.67)', '16th Best economy rate in an innings (0.30)', '25th Worst career strike rate (57.9)', '15th Best figures in a innings on debut (3)', '18th Most balls bowled in career (4518)', '37th Most runs conceded in career (2018)', '1st Bowler/Batters combinations (9)', '49th Most wickets taken caught (39)', '16th Most wickets taken caught and bowled (7)', '40th Most wickets taken caught by a fielder (33)', '25th Most wickets taken lbw (15)', '16th Most wickets taken stumped (11)', '4th Most consecutive matches for a team (72)', '14th Oldest captains (37y 136d)', '11th Oldest captains on captaincy debut (37y 134d)']</t>
  </si>
  <si>
    <t>['1st Most runs in an innings (by batting position) (161*)', '7th Hundred in last match (112*)', '6th Youngest player to score a hundred (20y 166d)', ' Two unbeaten fifties in a match ', '8th Highest partnership for the eighth wicket (81)', '2nd Most runs on a single ground (815)', '5th Most hundreds in a calendar year (2)', '10th Most nineties in career (2)', '1st Most wickets taken hit wicket (1)', '5th Highest partnership for the sixth wicket (107)']</t>
  </si>
  <si>
    <t>['16th Most runs in an innings (161*)', '2nd Most runs in a match (223)', '1st Most runs in an innings (by batting position) (161*)', '7th Hundred in last match (112*)', '10th Most hundreds in a career (2)', '11th Highest maiden hundred (161*)', '6th Youngest player to score a hundred (20y 166d)', '3rd Fifties in consecutive innings (4)', '11th Worst career bowling average (without qualification) (87.50)', '12th Highest partnership for the fifth wicket (94*)', '19th Highest partnership for the sixth wicket (78*)', '8th Highest partnership for the eighth wicket (81)', '12th Highest partnership for the tenth wicket (42*)', '17th Youngest players (17y 150d)']</t>
  </si>
  <si>
    <t>['19th Most runs in career (2844)', '10th Most runs in a calendar year (722)', '29th Most runs in a match on the losing side (94*)', '2nd Most runs on a single ground (815)', '25th Most runs in an series by a captain (339)', '18th Most runs in an innings by a captain (116)', '37th Highest career batting average (35.11)', '25th Most hundreds in a career (2)', '5th Most hundreds in a calendar year (2)', '30th Highest maiden hundred (116)', '10th Most nineties in career (2)', '18th Most fifties in career (21)', '28th Fifties in consecutive innings (3)', '35th Most consecutive innings without a duck (34)', '49th Highest percentage of runs in a completed innings (51.08)', '1st Most wickets taken hit wicket (1)', '46th Highest partnership for the third wicket (122)', '24th Highest partnership for the fifth wicket (97)', '5th Highest partnership for the sixth wicket (107)', '26th Highest partnership for the seventh wicket (64*)', '20th Highest partnership for the tenth wicket (33)', '44th Most matches in career (101)', '34th Longest careers (14y 53d)', '18th Most matches as captain (41)', '16th Most consecutive matches as captain of a team (29)', '50th Youngest captains (25y 144d)']</t>
  </si>
  <si>
    <t>['27th Most runs in an innings by a captain (239)', '37th Longest individual innings (by balls) (519)', '24th Most matches as a match referee (9)']</t>
  </si>
  <si>
    <t>['32nd Most matches as a match referee (16)']</t>
  </si>
  <si>
    <t>['28th Most runs in debut match (59)']</t>
  </si>
  <si>
    <t>['6th Most runs in a match on the losing side (118)']</t>
  </si>
  <si>
    <t>['16th Most runs in career (779)', '6th Most runs in a match on the losing side (118)', '17th Highest career batting average (43.27)', '19th Most runs in debut match (107)', '14th Most fifties in career (6)', '11th Fewest ducks in career (22)', '26th Highest partnership for the first wicket (104)']</t>
  </si>
  <si>
    <t>['3rd Most runs in an innings (by batting position) (48)', '10th Worst career economy rate (4.67)', '4th Most catches in an innings (3)']</t>
  </si>
  <si>
    <t>['3rd Most runs in an innings (by batting position) (48)', '23rd Most innings before first duck (18)', '42nd Worst career bowling average (31.34)', '10th Worst career economy rate (4.67)', '4th Most catches in an innings (3)']</t>
  </si>
  <si>
    <t>['50th Best career strike rate (21.4)', '33rd Worst career economy rate (6.02)', '43rd Most wickets taken stumped (5)', '41st Highest partnership for the first wicket (101)']</t>
  </si>
  <si>
    <t>['39th Best career bowling average (without qualification) (8.25)', '4th Best figures in a innings on debut (4)']</t>
  </si>
  <si>
    <t>['10th No ducks in career (20)']</t>
  </si>
  <si>
    <t>['2nd Most runs in an innings (by batting position) (145)', '1st Most hundreds in a calendar year (3)', '3rd Most consecutive innings without a duck (70)', '7th Most wickets on a single ground (18)', ' Opening the batting and bowling in the same match ', '7th Highest partnership for the ninth wicket (52)', '6th Most runs in career (2474)', '8th Highest career batting average (29.80)', '1st Fifties in consecutive innings (6)', '7th Fastest to 2000 runs (81)', '5th Best figures in a innings when on the losing side (4)', '10th Best career strike rate (16.4)', '8th Most runs conceded in career (1631)', '3rd Most wickets taken caught by a fielder (53)', '10th Most catches in career (34)', '6th Highest partnership for the second wicket (142)']</t>
  </si>
  <si>
    <t>['23rd Most runs in career (2697)', '23rd Most runs in an innings (145)', '10th Most runs in a series (812)', '45th Most runs in a calendar year (533)', '2nd Most runs in an innings (by batting position) (145)', '45th Most runs in a match on the losing side (89)', '9th Most runs on a single ground (530)', '48th Highest career batting average (31.00)', '10th Most hundreds in a career (5)', '2nd Most hundreds in a series (3)', '1st Most hundreds in a calendar year (3)', '4th Highest maiden hundred (145)', '24th Youngest player to score a hundred (23y 153d)', '25th Most fifties in career (18)', '12th Fifties in consecutive innings (4)', '3rd Most consecutive innings without a duck (70)', '29th Fewest ducks in career (24.5)', '36th Most wickets in career (75)', '7th Most wickets on a single ground (18)', '17th Worst career bowling average (37.37)', '23rd Worst career economy rate (4.36)', '22nd Most balls bowled in career (3857)', '17th Most runs conceded in career (2803)', '34th Most wickets taken bowled (19)', '27th Most wickets taken caught (48)', '28th Most wickets taken caught by a fielder (39)', '37th Most catches in career (32)', '16th Most catches in a series (9)', '49th Highest partnerships for any wicket (175)', '17th Highest partnership for the first wicket (175)', '16th Highest partnership for the fifth wicket (102)', '25th Highest partnership for the sixth wicket (75)', '17th Highest partnership for the seventh wicket (69*)', '7th Highest partnership for the ninth wicket (52)', '31st Most matches in career (111)', '30th Longest careers (14y 129d)', '29th Oldest captains on captaincy debut (30y 146d)']</t>
  </si>
  <si>
    <t>['6th Most runs in career (2474)', '23rd Most runs in an innings (105)', '13th Most runs in a calendar year (492)', '16th Most runs in an innings (by batting position) (105)', '8th Most runs in a match on the losing side (77)', '38th Most runs on a single ground (186)', '7th Most runs in an innings by a captain (105)', '8th Highest career batting average (29.80)', '5th Most fifties in career (15)', '1st Fifties in consecutive innings (6)', '23rd Most consecutive innings without a duck (36)', '29th Fewest ducks in career (19)', '34th Most ducks in career (5)', '13th Highest percentage of runs in a completed innings (61.40)', '9th Fastest to 1000 runs (48)', '7th Fastest to 2000 runs (81)', '8th Most wickets in career (94)', '21st Best figures in a innings by a captain (3)', '5th Best figures in a innings when on the losing side (4)', '23rd Best career bowling average (17.35)', '10th Best career strike rate (16.4)', '17th Worst career economy rate (6.32)', '12th Most balls bowled in career (1548)', '8th Most runs conceded in career (1631)', '6th Bowler/Batters combinations (5)', '10th Bowler/fielder combinations (11)', '17th Most wickets taken bowled (18)', '4th Most wickets taken caught (63)', '20th Most wickets taken caught and bowled (3)', '3rd Most wickets taken caught by a fielder (53)', '6th Most wickets taken caught by a wicketkeeper (10)', '5th Most wickets taken lbw (13)', '10th Most catches in career (34)', '22nd Highest partnerships for any wicket (142)', '26th Highest partnership for the first wicket (116)', '6th Highest partnership for the second wicket (142)', '20th Highest partnership for the third wicket (94)', '39th Highest partnership for the sixth wicket (41)', '20th Highest partnership for the ninth wicket (22)', '18th Most matches in career (98)', '24th Most matches as captain (19)', '27th Most maidens in career (6)']</t>
  </si>
  <si>
    <t>['1st Most catches in an innings (4)', '10th Highest partnership for the fourth wicket (109)']</t>
  </si>
  <si>
    <t>['14th Highest strike rate in an innings (220.00)', '22nd Best figures in a innings on debut (6)']</t>
  </si>
  <si>
    <t>['12th Highest career strike rate (110.39)']</t>
  </si>
  <si>
    <t>['45th Most runs in an innings (by batting position) (50)', '26th Highest career strike rate (143.23)', '43rd Most runs conceded in an innings (56)', '1st Most catches in an innings (4)', '10th Highest partnership for the fourth wicket (109)', '26th Most consecutive matches missed for a team between appearances (44)']</t>
  </si>
  <si>
    <t>['40th Most runs in a match on the losing side (90)']</t>
  </si>
  <si>
    <t>['30th Highest maiden hundred (206)', '15th Longest intervals between appearances (11y 298d)']</t>
  </si>
  <si>
    <t>['19th Most dismissals in a series (23)', '35th Most catches in a series (21)']</t>
  </si>
  <si>
    <t>['30th Most consecutive matches missed for a team between appearances (37)']</t>
  </si>
  <si>
    <t>['40th Highest career batting average (32.00)']</t>
  </si>
  <si>
    <t>['1st Highest partnership for the sixth wicket (267*)']</t>
  </si>
  <si>
    <t>['29th Oldest player to score a hundred (35y 308d)', '23rd Worst economy rate in an innings (11.40)', '13th Highest partnerships for any wicket (267*)', '6th Highest partnerships by wicket (6th)', '1st Highest partnership for the sixth wicket (267*)']</t>
  </si>
  <si>
    <t>['40th No ducks in career (15)', '17th Outstanding bowling analyses in an innings (3/7)', '26th Most consecutive matches missed for a team between appearances (44)']</t>
  </si>
  <si>
    <t>['9th Most runs in an innings (by batting position) (27*)']</t>
  </si>
  <si>
    <t>['18th Worst career bowling average (36.75)', '34th Worst career strike rate (54.9)', '42nd Most consecutive matches missed for a team between appearances (32)']</t>
  </si>
  <si>
    <t>['9th Most runs in an innings (by batting position) (27*)', '34th Most ducks in career (5)', '13th Worst career bowling average (27.04)', '25th Worst career economy rate (6.15)', '16th Worst career strike rate (26.3)', '24th Highest partnership for the tenth wicket (12*)', '12th Most maidens in an innings (2)']</t>
  </si>
  <si>
    <t>['13th Longest individual innings (by balls) (167)', '45th Fastest to 1000 runs (29)']</t>
  </si>
  <si>
    <t>['5th Best career bowling average (without qualification) (5.00)']</t>
  </si>
  <si>
    <t>['5th Best career bowling average (without qualification) (5.00)', '30th Longest lived players (64y 315d)']</t>
  </si>
  <si>
    <t>['21st Worst career bowling average (without qualification) (169.00)']</t>
  </si>
  <si>
    <t>['6th Most runs in an innings (by batting position) (122*)', ' Pair on debut ', '1st Highest strike rate in an innings (387.50)']</t>
  </si>
  <si>
    <t>['6th Most runs in an innings (by batting position) (122*)', '37th Worst career economy rate (3.50)', '25th Worst economy rate in an innings (6.69)']</t>
  </si>
  <si>
    <t>['1st Highest strike rate in an innings (387.50)', '14th Highest partnership for the eighth wicket (94)', '21st Highest partnership for the tenth wicket (59)']</t>
  </si>
  <si>
    <t>['45th Most runs in an innings (by batting position) (50)', '42nd Highest strike rate in an innings (280.00)', '16th Most innings before first duck (25)']</t>
  </si>
  <si>
    <t>['45th Most runs in a career without a hundred (1038)']</t>
  </si>
  <si>
    <t>['36th Most consecutive matches missed for a team between appearances (40)']</t>
  </si>
  <si>
    <t>['10th Most runs in an innings (by batting position) (73*)']</t>
  </si>
  <si>
    <t>['10th Most runs in an innings (by batting position) (73*)', '34th Most runs in a match on the losing side (91)', '11th Most runs in a career without a hundred (1403)', '38th Most fifties in career (14)', '28th Fifties in consecutive innings (3)', '38th Highest partnership for the fourth wicket (104)']</t>
  </si>
  <si>
    <t>['19th Most runs in debut match (43)']</t>
  </si>
  <si>
    <t>['16th Most wickets in a series (21)', '12th Best career strike rate (28.3)', '32nd Fastest to 50 wickets (29)']</t>
  </si>
  <si>
    <t>['34th Best figures in an innings (5/21)']</t>
  </si>
  <si>
    <t>['3rd Most consecutive matches as captain of a team (65)', '2nd Highest strike rate in an innings (281.81)', '10th Most nineties in career (6)', ' Two unbeaten fifties in a match ', ' Hundred and a duck in a match ', '1st Most catches in an innings (5)', ' 5000 runs and 50 fielding dismissals ', '3rd Highest partnership for the eighth wicket (256)', '2nd Most matches as captain (218)', '1st Ninety on debut (90)', '2nd Most catches in an innings (4)', ' 5000 runs and 50 fielding dismissals ', '10th Most consecutive matches as captain of a team (56)', '6th Most catches in career (306)']</t>
  </si>
  <si>
    <t>['50th Most runs in career (7172)', '18th Most runs in a match (343)', '12th Most runs in an innings by a captain (274*)', '2nd Highest strike rate in an innings (281.81)', '27th Most double hundreds in a career (3)', '10th Most nineties in career (6)', '22nd Ninety on debut (92)', '39th Most fifties in career (55)', '31st Most fours in career (917)', '7th Most catches in career (171)', '1st Most catches in an innings (5)', '2nd Most catches in a match (7)', '42nd Most catches in a series (10)', '3rd Highest partnership for the eighth wicket (256)', '43rd Most matches in career (111)', '19th Most consecutive matches for a team (72)', '3rd Most matches as captain (80)', '3rd Most consecutive matches as captain of a team (65)', '47th Winning all tosses in a series (3)', '15th Youngest captains (23y 319d)']</t>
  </si>
  <si>
    <t>['32nd Most runs in career (8037)', '36th Most runs in an series by a captain (353)', '43rd Most runs in an innings by a captain (134*)', '21st Most runs in debut match (90)', '34th Most nineties in career (4)', '1st Dismissed for 99 (and 199, 299 etc) (99)', '1st Ninety on debut (90)', '36th Most fifties in career (57)', '20th Most consecutive innings without a duck (78)', '30th Most ducks in career (17)', '22nd Most fours in career (823)', '14th Most fours in an innings (21)', '36th Fastest to 7000 runs (237)', '30th Fastest to 8000 runs (267)', '6th Most catches in career (133)', '2nd Most catches in an innings (4)', '8th Most catches in a series (10)', '29th Most matches in career (280)', '46th Most player-of-the-match awards (17)', '2nd Most matches as captain (218)', '10th Most consecutive matches as captain of a team (56)', '38th Winning all tosses in a series (3)', '24th Youngest captains (23y 358d)']</t>
  </si>
  <si>
    <t>['46th Oldest living players (47y 348d)', '10th Most consecutive matches as captain of a team (56)']</t>
  </si>
  <si>
    <t>['30th Most matches as an umpire (37)']</t>
  </si>
  <si>
    <t>['30th Most matches as an umpire (71)']</t>
  </si>
  <si>
    <t>['18th Most matches as an umpire (28)']</t>
  </si>
  <si>
    <t>[' Pair on debut ', '5th Outstanding bowling analyses in an innings (4/7)', '1st Most wickets taken hit wicket (1)']</t>
  </si>
  <si>
    <t>['33rd Worst economy rate in an innings (11.16)']</t>
  </si>
  <si>
    <t>['5th Outstanding bowling analyses in an innings (4/7)', '24th Best strike rate in an innings (4.2)', '1st Most wickets taken hit wicket (1)', '19th Most maidens in career (3)']</t>
  </si>
  <si>
    <t>[' Hundred on debut (107*)', '6th Most catches by a substitute in a match (3)']</t>
  </si>
  <si>
    <t>['34th Worst career bowling average (52.11)', '24th Worst career strike rate (122.1)']</t>
  </si>
  <si>
    <t>['10th Captains who have kept wicket (12)']</t>
  </si>
  <si>
    <t>['10th Captains who have kept wicket (12)', '50th Highest innings total without conceding a bye (548/7d)']</t>
  </si>
  <si>
    <t>['40th Highest partnership for the fourth wicket (168)', '32nd Most consecutive matches as captain of a team (36)', '6th Captains who have kept wicket (36)']</t>
  </si>
  <si>
    <t>[' Hundred and a duck in a match ', '6th Highest partnership for the sixth wicket (339)', '2nd Most runs in an innings (by batting position) (237*)', '10th Highest strike rate in an innings (310.00)', ' Hundred on debut (122*)', '6th Most ducks in a series (3)', '2nd Most runs from fours and sixes in an innings (162)', '9th Fastest to 6000 runs (157)', '2nd Most catches in an innings (4)', ' 5000 runs and 50 fielding dismissals ', '4th Most matches in career (102)', '1st Most runs on a single ground (626)', '3rd Fifties in consecutive innings (3)', '3rd Most consecutive innings without a duck (69)', '1st Most sixes in career (147)', '5th Longest individual innings (by balls) (69)', '5th Fastest to 2000 runs (68)', '2nd Most catches in career (58)', '4th Highest partnership for the third wicket (137)', '10th Fifties in consecutive innings (6)', '7th Most sixes in career (351)']</t>
  </si>
  <si>
    <t>['6th Highest partnership for the sixth wicket (339)']</t>
  </si>
  <si>
    <t>['45th Most runs in career (6927)', '2nd Most runs in an innings (237*)', '15th Most runs in a series (547)', '9th Most runs in a calendar year (1489)', '2nd Most runs in an innings (by batting position) (237*)', '43rd Highest career batting average (42.23)', '10th Highest strike rate in an innings (310.00)', '5th Most runs in debut match (122*)', '23rd Most hundreds in a career (16)', '29th Most hundreds in a calendar year (4)', '42nd Most fifties in career (53)', '11th Fifties in consecutive innings (5)', '40th Most innings before first duck (30)', '45th Most ducks in career (15)', '6th Most ducks in a series (3)', '11th Most sixes in career (181)', '36th Most fours in career (702)', '13th Most sixes in an innings (11)', '4th Most fours in an innings (24)', '2nd Most runs from fours and sixes in an innings (162)', '24th Longest individual innings (by balls) (163)', '11th Highest percentage of runs in a completed innings (60.30)', '41st Fastest to 2000 runs (57)', '47th Fastest to 3000 runs (90)', '28th Fastest to 4000 runs (112)', '17th Fastest to 5000 runs (132)', '9th Fastest to 6000 runs (157)', '37th Most catches in career (93)', '2nd Most catches in an innings (4)', '24th Most catches in a series (8)', '41st Highest partnerships for any wicket (236*)', '17th Highest partnership for the first wicket (236*)', '28th Most player-of-the-match awards (21)', '45th Most player-of-the-series awards (3)']</t>
  </si>
  <si>
    <t>['2nd Most runs in career (2939)', '35th Most runs in an innings (105)', '21st Most runs in a calendar year (472)', '26th Most runs in an innings (by batting position) (105)', '7th Most runs in a match on the losing side (105)', '1st Most runs on a single ground (626)', '27th Highest career batting average (32.29)', '3rd Most fifties in career (19)', '3rd Fifties in consecutive innings (3)', '3rd Most consecutive innings without a duck (69)', '15th Fewest ducks in career (32.66)', '1st Most sixes in career (147)', '2nd Most fours in career (256)', '17th Most sixes in an innings (9)', '29th Most runs from fours and sixes in an innings (78)', '5th Longest individual innings (by balls) (69)', '13th Fastest to 1000 runs (36)', '5th Fastest to 2000 runs (68)', '2nd Most catches in career (58)', '15th Most catches in an innings (3)', '7th Highest partnerships for any wicket (171*)', '5th Highest partnership for the first wicket (171*)', '14th Highest partnership for the second wicket (131)', '4th Highest partnership for the third wicket (137)', '4th Most matches in career (102)', '6th Most player-of-the-match awards (9)', '33rd Longest careers (12y 45d)']</t>
  </si>
  <si>
    <t>['42nd Oldest living players (86y 276d)']</t>
  </si>
  <si>
    <t>['2nd Most innings before first duck (41)', '2nd Highest partnership for the tenth wicket (33)']</t>
  </si>
  <si>
    <t>['21st Highest maiden hundred (122)', '13th Fewest ducks in career (32)', '14th Worst career bowling average (without qualification) (118.00)', '45th Highest partnership for the fourth wicket (98)']</t>
  </si>
  <si>
    <t>['2nd Most innings before first duck (41)', '13th Most consecutive innings without a duck (41)', '8th Fewest ducks in career (45)', '50th Worst career bowling average (without qualification) (58.00)', '46th Most catches in career (18)', '45th Highest partnership for the seventh wicket (30*)', '2nd Highest partnership for the tenth wicket (33)']</t>
  </si>
  <si>
    <t>['3rd Worst career strike rate (173.0)', '8th Most balls bowled in a match (464)', '10th Most wickets taken caught and bowled (8)', '5th Highest partnership for the ninth wicket (58)']</t>
  </si>
  <si>
    <t>['4th Best career economy rate (1.35)', '4th Best economy rate in an innings (0.27)', '16th Worst career bowling average (39.00)', '3rd Worst career strike rate (173.0)', '4th Worst strike rate in an innings (302.0)', '37th Most balls bowled in career (1903)', '15th Most balls bowled in an innings (302)', '8th Most balls bowled in a match (464)', '19th Most catches in a series (5)']</t>
  </si>
  <si>
    <t>['17th Best career economy rate (2.42)', '50th Worst career strike rate (51.9)', '49th Most balls bowled in career (2753)', '31st Bowler/Batters combinations (5)', '10th Most wickets taken caught and bowled (8)', '50th Highest partnership for the sixth wicket (64)', '5th Highest partnership for the ninth wicket (58)']</t>
  </si>
  <si>
    <t>['9th Most runs in an innings (by batting position) (17*)']</t>
  </si>
  <si>
    <t>['9th Most runs in an innings (by batting position) (17*)', '34th Best figures in an innings (5/15)', '17th Outstanding bowling analyses in an innings (5/15)', '16th Youngest player to take five-wickets-in-an-innings (20y 127d)']</t>
  </si>
  <si>
    <t>['3rd Most player-of-the-series awards (8)', '1st Dismissed for 99 (and 199, 299 etc) (99)', '4th Outstanding bowling analyses in an innings (9/52)', '3rd Most ten-wickets-in-a-match in a career (9)', '3rd Fastest to 400 wickets (80)', ' 250 runs and 20 wickets in a series ', '5th Best career economy rate (3.30)', '6th Oldest player to take five-wickets-in-an-innings (37y 218d)', ' 1000 runs and 100 wickets ', '2nd Most five-wickets-in-an-innings in a career (41)']</t>
  </si>
  <si>
    <t>['1st Dismissed for 99 (and 199, 299 etc) (99)', '11th Most wickets in career (431)', '6th Best figures in an innings (9/52)', '6th Best figures in a match (15)', '33rd Most wickets in a series (33)', '27th Most wickets in a calendar year (64)', '4th Outstanding bowling analyses in an innings (9/52)', '11th Most wickets on a single ground (76)', '38th Best career bowling average (22.29)', '39th Best career strike rate (50.8)', '3rd Most five-wickets-in-an-innings in a career (36)', '3rd Most ten-wickets-in-a-match in a career (9)', '18th Most consecutive five-wickets-in-an-innings (3)', '21st Oldest player to take five-wickets-in-an-innings (39y 2d)', '11th Oldest player to take ten-wickets-in-a-match (37y 144d)', '18th Most balls bowled in career (21918)', '22nd Most runs conceded in career (9611)', '36th Bowler/fielder combinations (43)', '11th Most wickets taken bowled (92)', '14th Most wickets taken caught (256)', '17th Most wickets taken caught and bowled (10)', '13th Most wickets taken caught by a fielder (176)', '20th Most wickets taken caught by a wicketkeeper (80)', '14th Most wickets taken lbw (83)', '18th Fastest to 150 wickets (34)', '13th Fastest to 200 wickets (44)', '7th Fastest to 250 wickets (53)', '4th Fastest to 300 wickets (61)', '3rd Fastest to 350 wickets (69)', '3rd Fastest to 400 wickets (80)', '32nd Most player-of-the-match awards (9)', '3rd Most player-of-the-series awards (8)']</t>
  </si>
  <si>
    <t>['32nd Most runs in a career without a hundred (1751)', '14th Best figures in a innings when on the losing side (5)', '13th Best career bowling average (21.56)', '5th Best career economy rate (3.30)', '22nd Best economy rate in an innings (0.83)', '11th Most five-wickets-in-an-innings in a career (5)', '6th Oldest player to take five-wickets-in-an-innings (37y 218d)', '48th Most wickets taken bowled (44)', '31st Most wickets taken lbw (27)', '32nd Fastest to 150 wickets (110)', '24th Longest careers (17y 103d)']</t>
  </si>
  <si>
    <t>['43rd Worst career bowling average (49.58)', '50th Worst career strike rate (106.4)']</t>
  </si>
  <si>
    <t>['41st Youngest player to take five-wickets-in-an-innings (22y 163d)']</t>
  </si>
  <si>
    <t>['18th Worst career bowling average (without qualification) (143.00)']</t>
  </si>
  <si>
    <t>['9th Worst career bowling average (46.06)', '5th Most runs conceded in an innings (119)']</t>
  </si>
  <si>
    <t>['9th Worst career bowling average (46.06)', '11th Worst career strike rate (119.7)', '5th Most runs conceded in an innings (119)']</t>
  </si>
  <si>
    <t>['26th Best career bowling average (18.42)', '29th Best career economy rate (2.71)', '33rd Best economy rate in an innings (0.41)', '43rd Best strike rate in an innings (9.0)', '33rd Bowler/fielder combinations (11)', '23rd Most wickets taken lbw (16)', '50th Highest partnership for the tenth wicket (24*)']</t>
  </si>
  <si>
    <t>['46th Longest intervals between appearances (8y 224d)', '46th Longest lived players (91y 117d)']</t>
  </si>
  <si>
    <t>['1st Most consecutive four-wickets-in-an-innings (3)', '7th Fastest to 50 wickets (25)']</t>
  </si>
  <si>
    <t>['37th Worst career bowling average (51.54)']</t>
  </si>
  <si>
    <t>['18th Best career strike rate (29.3)', '15th Best figures in a innings on debut (4)', '43rd Most five-wickets-in-an-innings in a career (2)', '25th Most four-wickets-in-an-innings in a career (10)', '1st Most consecutive four-wickets-in-an-innings (3)', '48th Most runs conceded in an innings (91)', '7th Fastest to 50 wickets (25)', '29th Highest partnership for the ninth wicket (73*)']</t>
  </si>
  <si>
    <t>[' Hundred and a duck in a match ', '3rd Highest partnership for the tenth wicket (151)']</t>
  </si>
  <si>
    <t>['3rd Highest partnership for the tenth wicket (151)', '22nd Most matches as a match referee (10)']</t>
  </si>
  <si>
    <t>['14th Oldest living players (81y 70d)', '30th Most matches as a match referee (18)']</t>
  </si>
  <si>
    <t>['32nd Highest partnership for the tenth wicket (18*)']</t>
  </si>
  <si>
    <t>['25th Most matches as an umpire (25)']</t>
  </si>
  <si>
    <t>['5th Most five-wickets-in-an-innings in a career (3)', '3rd Most runs in an innings (by batting position) (10)']</t>
  </si>
  <si>
    <t>['12th Most runs in an innings (by batting position) (16*)', '21st Best career strike rate (33.1)', '20th Worst career economy rate (4.39)', '5th Most five-wickets-in-an-innings in a career (3)', '25th Most four-wickets-in-an-innings in a career (4)', '32nd Most wickets taken caught by a wicketkeeper (10)']</t>
  </si>
  <si>
    <t>['3rd Most runs in an innings (by batting position) (10)', '12th Most maidens in an innings (2)']</t>
  </si>
  <si>
    <t>[' Hundred in each innings of a match ', '8th Fewest ducks in career (65)']</t>
  </si>
  <si>
    <t>['49th Most matches as captain (30)', '33rd Winning all tosses in a series (3)']</t>
  </si>
  <si>
    <t>['45th Most runs in a career without a hundred (1384)', '8th Fewest ducks in career (65)', '49th Most matches as captain (60)', '48th Most consecutive matches as captain of a team (32)']</t>
  </si>
  <si>
    <t>['40th Highest maiden hundred (139)', '2nd Most catches in an innings (4)']</t>
  </si>
  <si>
    <t>['5th Worst career strike rate (160.0)', '6th Outstanding bowling analyses in an innings (4/7)', '7th Best strike rate in an innings (4.7)', '2nd Most wickets taken caught and bowled (29)', '2nd Most catches in an innings (4)', ' 1000 runs and 100 wickets ', ' 1000 runs, 50 wickets and 50 catches ', '6th Most wickets taken caught and bowled (31)']</t>
  </si>
  <si>
    <t>['5th Worst career bowling average (73.12)', '5th Worst career strike rate (160.0)']</t>
  </si>
  <si>
    <t>['14th Most runs in an innings (by batting position) (130)', '35th Most wickets in career (203)', '6th Outstanding bowling analyses in an innings (4/7)', '14th Best figures in a innings when on the losing side (5)', '7th Best strike rate in an innings (4.7)', '21st Most balls bowled in career (10667)', '22nd Most runs conceded in career (7613)', '30th Bowler/fielder combinations (29)', '33rd Most wickets taken caught (142)', '2nd Most wickets taken caught and bowled (29)', '18th Most wickets taken caught by a fielder (130)', '34th Most catches in career (96)', '2nd Most catches in an innings (4)', '24th Most catches in a series (8)', '41st Most matches in career (250)', '20th Most consecutive matches for a team (94)']</t>
  </si>
  <si>
    <t>['30th Oldest living players (79y 169d)']</t>
  </si>
  <si>
    <t>['29th Oldest living players (87y 309d)']</t>
  </si>
  <si>
    <t>['4th Most consecutive matches for a team (19)', '2nd Youngest captains (21y 242d)', '4th Most runs in career (1301)', '8th Highest career batting average (52.04)', '2nd Most hundreds in a career (4)', '4th Most fifties in career (11)', '3rd Most innings before first duck (17)', '8th Highest percentage of runs in a completed innings (55.02)', '1st Most catches in an innings (3)', '5th Longest careers (18y 348d)', '2nd Most runs in a calendar year (880)', '2nd Hundreds in consecutive innings (2)', '10th Most nineties in career (2)', '5th Most fifties in career (38)', '4th Highest percentage of runs in a completed innings (59.88)', '1st Outstanding bowling analyses in an innings (1/0)', '1st Best economy rate in an innings (0.00)', '4th Most catches in an innings (3)', ' Opening the batting and bowling in the same match ']</t>
  </si>
  <si>
    <t>['4th Most runs in career (1301)', '37th Most runs in an innings (126*)', '26th Most runs in a match (169)', '30th Most runs in a series (284)', '11th Most runs in an innings (by batting position) (126*)', '12th Most runs in a match on the losing side (101)', '8th Most runs in an series by a captain (278)', '16th Most runs in an innings by a captain (107*)', '8th Highest career batting average (52.04)', '2nd Most hundreds in a career (4)', '3rd Most hundreds against one team (2)', '48th Highest maiden hundred (107*)', '10th Youngest player to score a hundred (21y 263d)', '11th Oldest player to score a hundred (33y 240d)', '4th Most fifties in career (11)', '5th Fifties in consecutive innings (3)', '3rd Most innings before first duck (17)', '4th Fewest ducks in career (29)', '8th Highest percentage of runs in a completed innings (55.02)', '1st Most catches in an innings (3)', '17th Highest partnership for the first wicket (118)', '13th Highest partnership for the second wicket (119)', '8th Most matches in career (19)', '4th Most consecutive matches for a team (19)', '5th Youngest players (16y 80d)', '7th Longest careers (17y 171d)', '2nd Youngest captains (21y 242d)']</t>
  </si>
  <si>
    <t>['9th Most runs in career (4064)', '45th Most runs in a series (456)', '2nd Most runs in a calendar year (880)', '21st Most runs in a match on the losing side (100)', '17th Highest career batting average (41.89)', '15th Most hundreds in a career (4)', '6th Most hundreds in a series (2)', '5th Most hundreds in a calendar year (2)', '2nd Hundreds in consecutive innings (2)', '27th Highest maiden hundred (117)', '4th Oldest player to score a hundred (37y 91d)', '9th Oldest player to score a maiden hundred (33y 224d)', '10th Most nineties in career (2)', '5th Most fifties in career (38)', '12th Fifties in consecutive innings (4)', '30th Most consecutive innings without a duck (35)', '44th Fewest ducks in career (19.16)', '4th Highest percentage of runs in a completed innings (59.88)', '1st Outstanding bowling analyses in an innings (1/0)', '1st Best economy rate in an innings (0.00)', '10th Worst career bowling average (42.65)', '3rd Worst career strike rate (76.1)', '15th Most catches in career (41)', '4th Most catches in an innings (3)', '47th Most catches in a series (6)', '25th Highest partnership for the third wicket (138)', '23rd Highest partnership for the fourth wicket (116)', '21st Most matches in career (118)', '36th Most consecutive matches for a team (42)', '39th Oldest players (38y 46d)', '5th Longest careers (18y 348d)', '27th Most matches as captain (27)', '12th Youngest captains (21y 230d)', '17th Oldest captains (36y 110d)']</t>
  </si>
  <si>
    <t>['20th Most byes conceded in an innings (6)']</t>
  </si>
  <si>
    <t>['17th Most runs in an innings (by batting position) (60)', '32nd Most runs in debut match (50)']</t>
  </si>
  <si>
    <t>['24th Worst strike rate in an innings (368.0)', '30th Most balls bowled in an innings (444)', '11th Most wickets taken caught and bowled (12)']</t>
  </si>
  <si>
    <t>['29th Longest lived players (64y 318d)']</t>
  </si>
  <si>
    <t>['1st Captains who have kept wicket (6)', '5th Most stumpings in an innings (3)', '2nd Highest innings total without conceding a bye (414)', '1st Most dismissals in an innings (6)', '2nd Captains who have kept wicket (29)', '3rd Most catches in an innings (4)', '10th Most stumpings in a series (7)', '9th Most byes conceded in an innings (10)']</t>
  </si>
  <si>
    <t>['1st Captains who have kept wicket (6)', '19th Oldest captains on captaincy debut (31y 151d)', '13th Most dismissals in a match (5)', '13th Most stumpings in career (5)', '5th Most stumpings in an innings (3)', '10th Most stumpings in a match (3)', '12th Most stumpings in a series (4)', '2nd Highest innings total without conceding a bye (414)']</t>
  </si>
  <si>
    <t>['22nd Most matches as captain (29)', '16th Most consecutive matches as captain of a team (29)', '2nd Captains who have kept wicket (29)', '19th Most dismissals in career (47)', '1st Most dismissals in an innings (6)', '8th Most dismissals in a series (17)', '20th Most catches in career (26)', '3rd Most catches in an innings (4)', '11th Most catches in a series (10)', '13th Most stumpings in career (21)', '10th Most stumpings in a series (7)', '9th Most byes conceded in an innings (10)']</t>
  </si>
  <si>
    <t>[' Hundred in each innings of a match ', '10th Worst career bowling average (without qualification) (194.00)', '2nd Highest partnership for the third wicket (467)', '5th Most runs in a career without a hundred (2784)', '2nd Fifties in consecutive innings (6)', '5th Highest percentage of runs in a completed innings (63.51)']</t>
  </si>
  <si>
    <t>['5th Hundreds in consecutive innings (3)', '50th Most consecutive innings without a duck (53)', '16th Fewest ducks in career (37)', '35th Fastest to 2000 runs (44)', '10th Worst career bowling average (without qualification) (194.00)', '3rd Highest partnerships for any wicket (467)', '2nd Highest partnership for the third wicket (467)']</t>
  </si>
  <si>
    <t>['5th Most runs in a career without a hundred (2784)', '2nd Fifties in consecutive innings (6)', '5th Highest percentage of runs in a completed innings (63.51)', '16th Fastest to 1000 runs (25)', '15th Fastest to 2000 runs (52)']</t>
  </si>
  <si>
    <t>['8th Most catches in an innings (3)', '3rd Most runs in a series by a wicketkeeper (214)', '9th Best strike rate in an innings (13.5)']</t>
  </si>
  <si>
    <t>['3rd Most runs in a series by a wicketkeeper (214)', '33rd Highest career batting average (33.87)', '20th Best career bowling average (without qualification) (9.50)', '9th Best strike rate in an innings (13.5)', '15th Most catches in career (10)', '8th Most catches in an innings (3)', '12th Highest innings total without conceding a bye (256/5d)']</t>
  </si>
  <si>
    <t>['28th Best career bowling average (without qualification) (12.00)', '17th Captains who have kept wicket (1)', '24th Most dismissals in career (33)', '17th Most dismissals in an innings (4)', '39th Most dismissals in a series (10)', '22nd Most catches in career (24)', '21st Most catches in an innings (3)', '29th Most stumpings in career (9)']</t>
  </si>
  <si>
    <t>['50th Best career bowling average (without qualification) (13.27)']</t>
  </si>
  <si>
    <t>['12th Most runs in an innings (by batting position) (30)', '40th Worst career bowling average (without qualification) (70.25)', '43rd Most runs conceded in an innings (56)', '13th Highest partnership for the tenth wicket (24)']</t>
  </si>
  <si>
    <t>['5th Worst career economy rate (6.77)']</t>
  </si>
  <si>
    <t>['13th Most consecutive matches missed for a team between appearances (52)']</t>
  </si>
  <si>
    <t>['47th Most innings before first duck (12)', '19th Worst career bowling average (25.20)', '5th Worst career economy rate (6.77)', '43rd Worst economy rate in an innings (14.00)', '25th Highest partnership for the tenth wicket (12)']</t>
  </si>
  <si>
    <t>['21st Longest individual innings (by balls) (555)']</t>
  </si>
  <si>
    <t>['8th Most runs in an innings (by batting position) (28)']</t>
  </si>
  <si>
    <t>['1st Best figures in a innings when on the losing side (6)', '1st Best strike rate in an innings (3.7)', '7th Most five-wickets-in-an-innings in a career (2)', '8th Most wickets in a calendar year (27)', '1st Best career strike rate (13.5)', '4th Most wickets taken caught and bowled (6)']</t>
  </si>
  <si>
    <t>['40th Highest maiden hundred (113)', '16th Best figures in an innings (6/46)', '17th Most wickets in a series (23)', '11th Outstanding bowling analyses in an innings (6/46)', '45th Most wickets on a single ground (11)', '1st Best figures in a innings when on the losing side (6)', '32nd Best career bowling average (18.76)', '3rd Best career strike rate (28.6)', '1st Best strike rate in an innings (3.7)', '15th Best figures in a innings on debut (3)', '7th Most five-wickets-in-an-innings in a career (2)', '15th Most four-wickets-in-an-innings in a career (5)', '44th Bowler/fielder combinations (10)', '38th Most wickets taken caught (43)', '24th Most wickets taken caught and bowled (6)', '28th Most wickets taken caught by a fielder (39)', '35th Highest partnership for the tenth wicket (27*)']</t>
  </si>
  <si>
    <t>['17th Most wickets in career (69)', '8th Most wickets in a calendar year (27)', '18th Outstanding bowling analyses in an innings (4/7)', '6th Best career bowling average (13.92)', '1st Best career strike rate (13.5)', '26th Worst career economy rate (6.14)', '43rd Most balls bowled in career (938)', '42nd Most runs conceded in career (961)', '16th Bowler/fielder combinations (10)', '10th Most wickets taken caught (50)', '4th Most wickets taken caught and bowled (6)', '11th Most wickets taken caught by a fielder (40)', '6th Most wickets taken caught by a wicketkeeper (10)', '18th Most wickets taken stumped (9)', '12th Most maidens in an innings (2)']</t>
  </si>
  <si>
    <t>['6th Longest lived players (96y 150d)']</t>
  </si>
  <si>
    <t>['9th Most runs in an innings (by batting position) (23*)']</t>
  </si>
  <si>
    <t>['32nd Best career bowling average (without qualification) (11.60)']</t>
  </si>
  <si>
    <t>['18th Most runs in an innings (by batting position) (35*)', '37th Highest partnership for the eighth wicket (36*)']</t>
  </si>
  <si>
    <t>['1st Most runs in an innings (by batting position) (232*)', '1st Highest maiden hundred (232*)', '4th Youngest player to take five-wickets-in-an-innings (17y 243d)', '4th Most catches in an innings (3)', ' A fifty and five wickets in an innings ', '1st Highest partnership for the second wicket (295)']</t>
  </si>
  <si>
    <t>['1st Most runs in an innings (232*)', '6th Most runs in an innings (progressive record holder) (232*)', '1st Most runs in an innings (by batting position) (232*)', '1st Highest maiden hundred (232*)', '3rd Youngest player to score a hundred (17y 243d)', '34th Highest percentage of runs in a completed innings (52.72)', '41st Best figures in an innings (5/17)', '30th Most wickets in a series (20)', '11th Best figures in a innings when on the losing side (4)', '29th Best career strike rate (34.1)', '36th Best strike rate in an innings (8.4)', '17th Worst career economy rate (4.46)', '15th Most four-wickets-in-an-innings in a career (5)', '4th Youngest player to take five-wickets-in-an-innings (17y 243d)', '39th Most wickets taken bowled (18)', '24th Most wickets taken caught and bowled (6)', '4th Most catches in an innings (3)', '16th Most catches in a series (9)', '2nd Highest partnerships for any wicket (295)', '2nd Highest partnerships by wicket (2nd)', '1st Highest partnership for the second wicket (295)', '29th Youngest players (16y 27d)']</t>
  </si>
  <si>
    <t>['12th Best figures in a innings on debut (3)', '49th Most balls bowled in career (881)', '50th Most runs conceded in career (871)', '43rd Most wickets taken stumped (5)', '36th Most catches in career (22)', '42nd Highest partnership for the sixth wicket (40)', '30th Highest partnership for the ninth wicket (18)']</t>
  </si>
  <si>
    <t>['8th Most wickets taken bowled (35)', ' Opening the batting and bowling in the same match ']</t>
  </si>
  <si>
    <t>['30th Best figures in an innings (6/73)']</t>
  </si>
  <si>
    <t>['47th Most wickets in career (70)', '27th Most wickets in a calendar year (23)', '11th Outstanding bowling analyses in an innings (4/5)', '11th Best figures in a innings when on the losing side (4)', '23rd Best career bowling average (17.82)', '32nd Best career economy rate (2.77)', '45th Best economy rate in an innings (0.50)', '38th Most four-wickets-in-an-innings in a career (3)', '12th Bowler/Batters combinations (6)', '8th Most wickets taken bowled (35)', '19th Most wickets taken caught by a wicketkeeper (12)', '43rd Most wickets taken lbw (11)', '40th Most consecutive matches for a team (40)']</t>
  </si>
  <si>
    <t>['11th Best figures in a innings when on the losing side (4)', '20th Worst economy rate in an innings (9.00)']</t>
  </si>
  <si>
    <t>['1st Most catches in an innings (3)', '5th Most consecutive innings without a duck (63)']</t>
  </si>
  <si>
    <t>['1st Most catches in an innings (3)', '2nd Most catches in a match (4)', '19th Most catches in a series (5)', '35th Longest careers (12y 226d)', '14th Oldest captains on captaincy debut (33y 160d)']</t>
  </si>
  <si>
    <t>['36th Most runs in an innings by a captain (105)', '5th Most consecutive innings without a duck (63)', '6th Fewest ducks in career (36.5)', '40th Most catches in career (30)', '25th Highest partnership for the fourth wicket (112*)', '50th Highest partnership for the sixth wicket (64)', '50th Highest partnership for the tenth wicket (24*)', '21st Most consecutive matches missed for a team between appearances (42)', '12th Most matches as captain (45)', '38th Most consecutive matches as captain of a team (17)']</t>
  </si>
  <si>
    <t>['18th Oldest captains (34y 46d)', '13th Oldest captains on captaincy debut (34y 46d)']</t>
  </si>
  <si>
    <t>[' Carrying bat through a completed innings (264*)', '4th Most dismissals in a series (21)', '3rd Most catches in a series (21)', ' Carrying bat through a completed innings (79*)']</t>
  </si>
  <si>
    <t>['21st Hundreds in consecutive matches (3)', '29th Longest individual innings (by minutes) (694)', '47th Most consecutive matches for a team (56*)']</t>
  </si>
  <si>
    <t>['44th Fifties in consecutive innings (4)', '27th Highest partnership for the fifth wicket (158)', '35th Highest partnership for the ninth wicket (71)', '43rd Youngest captains (25y 42d)', '19th Captains who have kept wicket (9)', '42nd Most dismissals in career (67)', '16th Most dismissals in an innings (5)', '4th Most dismissals in a series (21)', '41st Most catches in career (59)', '11th Most catches in an innings (5)', '3rd Most catches in a series (21)']</t>
  </si>
  <si>
    <t>['13th Most catches in an innings (3)', '32nd Most byes conceded in an innings (5)']</t>
  </si>
  <si>
    <t>['37th Most runs in an innings by a wicketkeeper (152)', '22nd Highest partnership for the seventh wicket (186)', '35th Most dismissals in a match (8)', '26th Most catches in a match (8)']</t>
  </si>
  <si>
    <t>['23rd Most byes conceded in an innings (10)']</t>
  </si>
  <si>
    <t>['8th Most consecutive matches for a team (15)', '5th Most runs in an innings (by batting position) (27)', '2nd Most ducks in career (5)', '5th Best figures in a match (10)', '2nd Most ten-wickets-in-a-match in a career (1)', '3rd Most balls bowled in an innings (364)', '4th Most runs conceded in an innings (120)', '1st Most wickets taken stumped (19)', '4th Longest intervals between appearances (8y 180d)', '1st Outstanding bowling analyses in an innings (6/10)']</t>
  </si>
  <si>
    <t>['5th Most runs in an innings (by batting position) (27)', '2nd Most ducks in career (5)', '8th Most wickets in career (55)', '34th Best figures in an innings (6/119)', '5th Best figures in a match (10)', '12th Most wickets in a series (18)', '14th Most wickets in a calendar year (18)', '9th Outstanding bowling analyses in an innings (5/24)', '14th Most wickets on a single ground (10)', '8th Best figures in a innings when on the losing side (5)', '17th Best figures in a match when on the losing side (5)', '21st Best career bowling average (19.07)', '11th Best career strike rate (56.4)', '19th Best economy rate in an innings (0.50)', '33rd Best strike rate in an innings (20.0)', '3rd Most five-wickets-in-an-innings in a career (4)', '2nd Most ten-wickets-in-a-match in a career (1)', '10th Most balls bowled in career (3104)', '3rd Most balls bowled in an innings (364)', '10th Most balls bowled in a match (444)', '4th Most runs conceded in career (1049)', '4th Most runs conceded in an innings (120)', '15th Most runs conceded in a match (141)', '12th Bowler/Batters combinations (4)', '2nd Bowler/fielder combinations (12)', '7th Most wickets taken caught (27)', '4th Most wickets taken caught by a fielder (23)', '1st Most wickets taken stumped (19)', '17th Most matches in career (15)', '8th Most consecutive matches for a team (15)', '36th Longest careers (12y 225d)']</t>
  </si>
  <si>
    <t>['6th Best figures in an innings (6/10)', '25th Most wickets in a series (22)', '40th Most wickets in a calendar year (22)', '1st Outstanding bowling analyses in an innings (6/10)', '31st Best strike rate in an innings (8.0)', '15th Best figures in a innings on debut (3)', '4th Longest intervals between appearances (8y 180d)']</t>
  </si>
  <si>
    <t>['13th Oldest living players (90y 359d)']</t>
  </si>
  <si>
    <t>['27th Highest partnership for the sixth wicket (74)']</t>
  </si>
  <si>
    <t>['30th Best career economy rate (3.76)']</t>
  </si>
  <si>
    <t>['3rd Best career bowling average (without qualification) (3.60)', '2nd Best figures in a innings on debut (5)']</t>
  </si>
  <si>
    <t>['44th Best figures in an innings (5/18)', '3rd Best career bowling average (without qualification) (3.60)', '2nd Best figures in a innings on debut (5)', '11th Youngest player to take five-wickets-in-an-innings (19y 249d)']</t>
  </si>
  <si>
    <t>['40th Most runs in an innings (135*)', '13th Highest maiden hundred (135*)', '28th Fifties in consecutive innings (3)', '35th Highest partnership for the second wicket (150)']</t>
  </si>
  <si>
    <t>['14th Best figures in a innings when on the losing side (5)', '26th Oldest player to take a maiden five-wickets-in-an-innings (31y 289d)']</t>
  </si>
  <si>
    <t>['4th Best career economy rate (1.97)']</t>
  </si>
  <si>
    <t>['40th Best career bowling average (19.70)', '4th Best career economy rate (1.97)', '19th Best economy rate in an innings (0.33)', '19th Worst career strike rate (59.9)']</t>
  </si>
  <si>
    <t>['41st Worst career bowling average (50.64)', '22nd Best figures in a innings on debut (6)']</t>
  </si>
  <si>
    <t>['8th Outstanding bowling analyses in an innings (6/32)']</t>
  </si>
  <si>
    <t>['13th Most runs in an innings (by batting position) (88*)', '13th Best figures in an innings (6/32)', '8th Outstanding bowling analyses in an innings (6/32)', '49th Highest partnership for the fifth wicket (86)', '22nd Highest partnership for the sixth wicket (77*)']</t>
  </si>
  <si>
    <t>['34th Oldest living players (87y 166d)']</t>
  </si>
  <si>
    <t>['25th Longest intervals between appearances (6y 75d)', '42nd Most stumpings in career (5)', '22nd Most stumpings in a series (5)']</t>
  </si>
  <si>
    <t>['10th Oldest living players (91y 205d)']</t>
  </si>
  <si>
    <t>['3rd Highest strike rate in an innings (355.55)', '2nd Most catches in an innings (4)', '3rd Most wickets taken caught and bowled (5)']</t>
  </si>
  <si>
    <t>['3rd Highest strike rate in an innings (355.55)', '45th Worst career bowling average (46.92)', '2nd Most catches in an innings (4)', '43rd Highest partnership for the ninth wicket (67)']</t>
  </si>
  <si>
    <t>['40th Most innings before first duck (17)', '22nd Most wickets in career (58)', '48th Best career bowling average (22.03)', '27th Best career economy rate (6.82)', '16th Most four-wickets-in-an-innings in a career (2)', '21st Most balls bowled in career (1123)', '20th Most runs conceded in career (1278)', '17th Bowler/batters combinations (3)', '45th Bowler/fielder combinations (6)', '38th Most wickets taken bowled (11)', '16th Most wickets taken caught (40)', '3rd Most wickets taken caught and bowled (5)', '11th Most wickets taken caught by a fielder (38)', '17th Most wickets taken stumped (5)', '38th Most catches in career (26)', '15th Most catches in an innings (3)', '46th Highest partnership for the eighth wicket (34*)', '48th Most matches in career (63)']</t>
  </si>
  <si>
    <t>[' Pair on debut ', '6th Most runs in an innings (by batting position) (29)', '7th Worst career strike rate (71.6)']</t>
  </si>
  <si>
    <t>['2nd Most pairs in career (1)']</t>
  </si>
  <si>
    <t>['6th Most runs in an innings (by batting position) (29)', '48th Best career economy rate (2.93)', '24th Worst career bowling average (35.00)', '7th Worst career strike rate (71.6)']</t>
  </si>
  <si>
    <t>['8th Most consecutive matches for a team (15)', '1st Most consecutive matches as captain of a team (13)', '2nd Most runs in an innings by a captain (155*)', '10th Most hundreds in a career (2)', '10th No ducks in career (20)']</t>
  </si>
  <si>
    <t>['22nd Most runs in career (699)', '20th Most runs in an innings (155*)', '33rd Most runs in a match (160)', '7th Most runs in an innings (by batting position) (155*)', '13th Most runs in an series by a captain (223)', '2nd Most runs in an innings by a captain (155*)', '10th Most hundreds in a career (2)', '15th Highest maiden hundred (155*)', '20th Fewest ducks in career (13)', '17th Highest percentage of runs in a completed innings (51.32)', '17th Most matches in career (15)', '8th Most consecutive matches for a team (15)', '36th Longest careers (12y 225d)', '1st Most matches as captain (14)', '1st Most consecutive matches as captain of a team (13)']</t>
  </si>
  <si>
    <t>['24th Most runs in debut match (54)', '10th No ducks in career (20)', '46th Most consecutive matches as captain of a team (15)']</t>
  </si>
  <si>
    <t>['6th Most runs on a single ground (421)', '4th Highest career strike rate (156.44)', '3rd Fifties in consecutive innings (3)', '4th Most sixes in career (107)', '4th Highest partnership for the fourth wicket (123)']</t>
  </si>
  <si>
    <t>['20th Highest career strike rate (104.69)', '18th Highest strike rate in an innings (293.33)']</t>
  </si>
  <si>
    <t>['19th Most runs in career (1724)', '28th Most runs in an innings (109*)', '19th Most runs in a calendar year (500)', '9th Most runs in an innings (by batting position) (101)', '6th Most runs on a single ground (421)', '36th Highest career batting average (31.34)', '4th Highest career strike rate (156.44)', '6th Highest strike rate in an innings (357.14)', '10th Most fifties in career (14)', '3rd Fifties in consecutive innings (3)', '32nd Most ducks in career (5)', '4th Most sixes in career (107)', '36th Most fours in career (132)', '7th Most sixes in an innings (10)', '31st Most fours in an innings (11)', '45th Highest percentage of runs in a completed innings (55.61)', '19th Fastest to 1000 runs (38)', '4th Highest partnership for the fourth wicket (123)', '43rd Most matches in career (65)', '12th Most player-of-the-match awards (7)']</t>
  </si>
  <si>
    <t>['10th Most byes conceded in an innings (16)', '7th Most dismissals in a series (18)', '4th Most catches in a series (14)', '10th Most runs in a career without a hundred (1481)', '2nd Fewest ducks in career (40)', '8th Most dismissals in career (47)', '5th Most catches in an innings (3)', '9th Most stumpings in an innings (3)', '10th Most runs in an innings (by batting position) (56*)', '3rd Highest partnership for the ninth wicket (32*)']</t>
  </si>
  <si>
    <t>['10th Most byes conceded in an innings (16)']</t>
  </si>
  <si>
    <t>['13th Most runs on a single ground (492)', '30th Most runs in a series by a wicketkeeper (189)', '41st Most runs in an innings by a wicketkeeper (79)', '10th Most runs in a career without a hundred (1481)', '4th Most innings before first duck (40)', '20th Most consecutive innings without a duck (40)', '2nd Fewest ducks in career (40)', '28th Highest partnership for the eighth wicket (47)', '12th Longest careers (17y 127d)', '12th Most consecutive matches missed for a team between appearances (53)', '15th Most dismissals in career (52)', '17th Most dismissals in an innings (4)', '7th Most dismissals in a series (18)', '12th Most catches in career (36)', '21st Most catches in an innings (3)', '4th Most catches in a series (14)', '19th Most stumpings in career (16)']</t>
  </si>
  <si>
    <t>['39th Most runs in career (960)', '29th Most runs in a calendar year (414)', '10th Most runs in an innings (by batting position) (56*)', '18th Most runs in an innings by a wicketkeeper (65)', '26th Most fifties in career (4)', '35th Most consecutive innings without a duck (31)', '16th Most ducks in career (6)', '34th Highest partnerships for any wicket (124)', '3rd Highest partnership for the third wicket (124)', '5th Highest partnership for the fourth wicket (116*)', '37th Highest partnership for the sixth wicket (42*)', '29th Highest partnership for the seventh wicket (37)', '40th Highest partnership for the eighth wicket (22*)', '3rd Highest partnership for the ninth wicket (32*)', '7th Highest partnership for the tenth wicket (19)', '23rd Most matches in career (91)', '8th Most dismissals in career (47)', '5th Most catches in career (25)', '5th Most catches in an innings (3)', '11th Most stumpings in career (22)', '9th Most stumpings in an innings (3)']</t>
  </si>
  <si>
    <t>['28th Oldest players on debut (38y 101d)']</t>
  </si>
  <si>
    <t>['2nd Most runs in an innings (by batting position) (13*)']</t>
  </si>
  <si>
    <t>['18th Worst career bowling average (without qualification) (105.00)', '47th Most runs conceded in an innings (70)']</t>
  </si>
  <si>
    <t>['8th Most matches in career (134)', '4th Most byes conceded in an innings (12)', '3rd Most runs in a career without a hundred (2438)', '3rd Most ducks in career (14)', '2nd Highest partnership for the sixth wicket (139*)', '9th Most runs in an innings (by batting position) (84)', '4th Most innings before first duck (36)']</t>
  </si>
  <si>
    <t>['31st Most runs in career (2438)', '13th Most runs in an innings (by batting position) (88*)', '7th Most runs on a single ground (633)', '3rd Most runs in a career without a hundred (2438)', '46th Most fifties in career (11)', '3rd Most ducks in career (14)', '26th Most catches in career (35)', '41st Highest partnership for the fourth wicket (100)', '2nd Highest partnership for the sixth wicket (139*)', '8th Most matches in career (134)', '44th Longest careers (13y 243d)', '4th Most byes conceded in an innings (12)']</t>
  </si>
  <si>
    <t>['28th Most runs in career (1164)', '49th Most runs in an innings (84)', '9th Most runs in an innings (by batting position) (84)', '35th Most runs on a single ground (192)', '4th Most innings before first duck (36)', '23rd Most consecutive innings without a duck (36)', '14th Fewest ducks in career (36.5)', '19th Most catches in career (29)', '21st Highest partnership for the third wicket (93)', '40th Highest partnership for the seventh wicket (32)', '43rd Most matches in career (76)', '20th Most consecutive matches for a team (47)']</t>
  </si>
  <si>
    <t>['5th Most consecutive matches for a team (101)', '8th Most dismissals in a match (9)', '4th Most runs in an innings (by batting position) (302)', '2nd Most double hundreds in a series (2)', '1st Most sixes in career (107)', '9th Longest individual innings (by minutes) (775)', ' 2000 runs and 100 wicketkeeping dismissals ', '3rd Highest partnership for the sixth wicket (352)', '6th Most dismissals in career (242)', '7th Most consecutive matches for a team (122)', '9th Most dismissals in a series (19)', '5th Most catches in career (227)', '5th Captains who have kept wicket and opened the batting (1)', '8th Most catches in a series (18)', '10th Highest maiden hundred (166)', '8th Most sixes in career (200)', ' 2000 runs and 100 wicketkeeping dismissals ', '1st Captains who have kept wicket and opened the batting (2)', '1st Most runs in an innings by a wicketkeeper (123)', '1st Fifties in consecutive innings (4)', '8th Most sixes in career (91)', '9th Highest percentage of runs in a completed innings (64.39)', '4th Fastest to 2000 runs (66)', '7th Highest partnership for the sixth wicket (85*)', '3rd Most consecutive matches for a team (208)', '10th Most dismissals in career (453)', '10th Most catches in career (419)', '4th Most sixes in career (398)']</t>
  </si>
  <si>
    <t>['30th Most runs in an innings (302)', '41st Most runs in a match (310)', '4th Most runs in an innings (by batting position) (302)', '39th Most runs in an series by a captain (535)', '8th Most runs in an innings by a captain (302)', '13th Most runs in an innings by a wicketkeeper (185)', '33rd Highest strike rate in an innings (183.54)', '35th Hundred in last match (145)', '17th Most double hundreds in a career (4)', '5th Most triple hundreds in a career (1)', '2nd Most double hundreds in a series (2)', '1st Most sixes in career (107)', '2nd Most sixes in an innings (11)', '34th Most runs from fours and sixes in an innings (152)', '9th Longest individual innings (by minutes) (775)', '19th Longest individual innings (by balls) (559)', '41st Highest partnerships for any wicket (352)', '20th Highest partnership for the second wicket (297)', '3rd Highest partnership for the sixth wicket (352)', '30th Highest partnership for the seventh wicket (179)', '5th Most consecutive matches for a team (101)', '45th Most matches as captain (31)', '18th Most consecutive matches as captain of a team (31)', '47th Winning all tosses in a series (3)', '27th Captains who have kept wicket (1)', '23rd Most dismissals in career (179)', '8th Most dismissals in a match (9)', '21st Most catches in career (168)', '26th Most catches in a match (8)', '43rd Most stumpings in career (11)', '23rd Most byes conceded in an innings (25)']</t>
  </si>
  <si>
    <t>['38th Most runs in an innings by a wicketkeeper (131)', '47th Highest career strike rate (96.37)', '11th Highest strike rate in an innings (308.00)', '10th Highest maiden hundred (166)', '13th Most ducks in career (20)', '8th Most sixes in career (200)', '22nd Most sixes in an innings (10)', '33rd Most runs from fours and sixes in an innings (108)', '28th Highest partnership for the ninth wicket (74*)', '38th Most matches in career (260)', '7th Most consecutive matches for a team (122)', '43rd Most matches as captain (62)', '17th Captains who have kept wicket (13)', '5th Captains who have kept wicket and opened the batting (1)', '6th Most dismissals in career (242)', '16th Most dismissals in an innings (5)', '9th Most dismissals in a series (19)', '5th Most catches in career (227)', '11th Most catches in an innings (5)', '8th Most catches in a series (18)', '25th Most stumpings in career (15)']</t>
  </si>
  <si>
    <t>['9th Most runs in career (2140)', '11th Most runs in an innings (123)', '4th Most runs in an innings (progressive record holder) (123)', '26th Most runs in a calendar year (459)', '1st Most runs in an innings (by batting position) (123)', '1st Most runs in an innings by a wicketkeeper (123)', '17th Highest career batting average (35.66)', '8th Most fifties in career (15)', '1st Fifties in consecutive innings (4)', '11th Most innings before first duck (33)', '38th Most consecutive innings without a duck (33)', '24th Fewest ducks in career (23.33)', '8th Most sixes in career (91)', '11th Most fours in career (199)', '30th Most sixes in an innings (8)', '12th Most fours in an innings (12)', '9th Most runs from fours and sixes in an innings (96)', '9th Highest percentage of runs in a completed innings (64.39)', '12th Fastest to 1000 runs (35)', '4th Fastest to 2000 runs (66)', '42nd Highest partnership for the first wicket (120)', '45th Highest partnership for the fifth wicket (68)', '7th Highest partnership for the sixth wicket (85*)', '35th Highest partnership for the seventh wicket (50*)', '36th Most matches in career (71)', '18th Most consecutive matches for a team (40)', '12th Most player-of-the-match awards (7)', '18th Most matches as captain (28)', '7th Captains who have kept wicket (13)', '1st Captains who have kept wicket and opened the batting (2)', '7th Winning all tosses in a series (4)', '12th Most dismissals in career (32)', '13th Most catches in career (24)', '13th Most catches in an innings (3)', '12th Most stumpings in career (8)']</t>
  </si>
  <si>
    <t>['5th Longest intervals between appearances (8y 173d)']</t>
  </si>
  <si>
    <t>['34th Highest career batting average (33.77)']</t>
  </si>
  <si>
    <t>[' Hundred and a duck in a match ', '1st Outstanding bowling analyses in an innings (1/0)', '4th Most innings before first duck (68)', '6th Highest partnership for the sixth wicket (165)']</t>
  </si>
  <si>
    <t>['33rd Most sixes in career (54)', '36th Most sixes in an innings (6)', '1st Outstanding bowling analyses in an innings (1/0)', '29th Worst economy rate in an innings (6.60)']</t>
  </si>
  <si>
    <t>['16th Most runs in an innings (by batting position) (117)', '4th Most innings before first duck (68)', '36th Most consecutive innings without a duck (68)', '6th Highest partnership for the sixth wicket (165)', '34th Youngest captains (24y 209d)']</t>
  </si>
  <si>
    <t>['20th Most runs in an innings (by batting position) (57)', '19th Highest partnership for the sixth wicket (73)']</t>
  </si>
  <si>
    <t>['1st Most pairs in career (7)', '1st Outstanding bowling analyses in an innings (1/0)', '4th Most consecutive ducks (4)']</t>
  </si>
  <si>
    <t>['2nd Most ducks in career (36)', '4th Most consecutive ducks (4)', '1st Most pairs in career (7)', '1st Outstanding bowling analyses in an innings (1/0)', '21st Most wickets on a single ground (60)', '37th Best strike rate in an innings (8.5)', '18th Most consecutive five-wickets-in-an-innings (3)', '44th Oldest player to take five-wickets-in-an-innings (37y 47d)', '37th Most runs conceded in career (7878)', '38th Bowler/fielder combinations (42)', '40th Most wickets taken caught (167)', '43rd Most wickets taken caught by a fielder (110)', '39th Most wickets taken caught by a wicketkeeper (57)']</t>
  </si>
  <si>
    <t>['7th Most runs in an innings (by batting position) (34*)', '2nd Fastest to 50 wickets (23)']</t>
  </si>
  <si>
    <t>['7th Most runs in an innings (by batting position) (34*)', '14th Best figures in a innings when on the losing side (5)', '13th Best career strike rate (28.4)', '15th Worst career economy rate (5.94)', '15th Best figures in a innings on debut (4)', '13th Most consecutive four-wickets-in-an-innings (2)', '36th Most runs conceded in an innings (93)', '2nd Fastest to 50 wickets (23)']</t>
  </si>
  <si>
    <t>['44th Worst career economy rate (7.78)', '17th Bowler/batters combinations (3)', '45th Bowler/fielder combinations (6)', '22nd Most wickets taken caught by a wicketkeeper (7)']</t>
  </si>
  <si>
    <t>['1st Most catches by a substitute in an innings (3)']</t>
  </si>
  <si>
    <t>['41st Hundred in last match (102*)']</t>
  </si>
  <si>
    <t>['18th Hundred in last match (100*)']</t>
  </si>
  <si>
    <t>['2nd Longest intervals between appearances (15y 97d)']</t>
  </si>
  <si>
    <t>['21st Most runs in a match on the losing side (87)', '12th Most runs in a career without a hundred (465)', '30th Highest career batting average (35.76)', '11th Most innings before first duck (12)', '8th Oldest players (41y 144d)', '11th Longest careers (15y 357d)', '2nd Longest intervals between appearances (15y 97d)', '3rd Most consecutive matches missed for a team between appearances (9)']</t>
  </si>
  <si>
    <t>['5th Oldest players on debut (40y 241d)', '4th Oldest players (43y 86d)']</t>
  </si>
  <si>
    <t>['4th Most consecutive ducks (4)', ' Opening the batting and bowling in the same match ', '6th Most consecutive ducks (3)']</t>
  </si>
  <si>
    <t>['13th Most ducks in career (24)', '11th Most ducks in a series (4)', '4th Most consecutive ducks (4)', '7th Most pairs in career (3)']</t>
  </si>
  <si>
    <t>['6th Most consecutive ducks (3)', '43rd Most five-wickets-in-an-innings in a career (2)', '48th Most wickets taken bowled (44)']</t>
  </si>
  <si>
    <t>['6th Hundred in last match (161)', '8th Highest partnership for the first wicket (274)']</t>
  </si>
  <si>
    <t>['6th Hundred in last match (161)', '12th Highest maiden hundred (161)', '12th Highest partnerships for any wicket (274)', '8th Highest partnership for the first wicket (274)']</t>
  </si>
  <si>
    <t>['19th Youngest player to take five-wickets-in-an-innings (21y 192d)', '20th Bowler/fielder combinations (13)', '48th Most wickets taken bowled (16)', '11th Most wickets taken caught by a wicketkeeper (15)']</t>
  </si>
  <si>
    <t>['6th Outstanding bowling analyses in an innings (2/2)', ' 1000 runs and 100 wickets ']</t>
  </si>
  <si>
    <t>['28th Most wickets in career (240)', '6th Outstanding bowling analyses in an innings (2/2)', '14th Best figures in a innings when on the losing side (5)', '35th Best strike rate in an innings (6.7)', '36th Most four-wickets-in-an-innings in a career (9)', '37th Most balls bowled in career (8230)', '35th Most runs conceded in career (6485)', '14th Bowler/fielder combinations (37)', '14th Most wickets taken caught (186)', '14th Most wickets taken caught by a fielder (139)', '22nd Most wickets taken caught by a wicketkeeper (47)', '45th Fastest to 100 wickets (69)', '23rd Fastest to 150 wickets (103)', '13th Fastest to 200 wickets (135)', '18th Highest partnership for the ninth wicket (83)', '40th Highest partnership for the tenth wicket (50)', '37th Oldest captains on captaincy debut (34y 233d)']</t>
  </si>
  <si>
    <t>['25th Most runs in an innings (by batting position) (33*)', '43rd Most wickets on a single ground (11)', '26th Worst career economy rate (8.21)', '41st Most balls bowled in career (897)', '25th Most runs conceded in career (1228)', '26th Most wickets taken caught (36)', '27th Most wickets taken caught by a fielder (30)', '33rd Most wickets taken caught by a wicketkeeper (6)', '49th Oldest captains on captaincy debut (34y 236d)']</t>
  </si>
  <si>
    <t>['32nd Shortest lived players (31y 338d)']</t>
  </si>
  <si>
    <t>['5th Most consecutive matches missed for a team between appearances (67)', '4th Most catches in an innings (3)', '9th Worst career economy rate (6.57)']</t>
  </si>
  <si>
    <t>['25th No ducks in career (16)', '4th Most catches in an innings (3)', '16th Longest intervals between appearances (6y 363d)', '5th Most consecutive matches missed for a team between appearances (67)']</t>
  </si>
  <si>
    <t>['34th Most ducks in career (5)', '12th Outstanding bowling analyses in an innings (1/1)', '46th Best career strike rate (21.0)', '9th Worst career economy rate (6.57)', '39th Highest partnership for the fifth wicket (54*)']</t>
  </si>
  <si>
    <t>['13th Most catches in an innings (3)']</t>
  </si>
  <si>
    <t>['25th Outstanding bowling analyses in an innings (3/8)', '8th Best figures in a innings when on the losing side (4)', '1st Bowler/batters combinations (4)', '45th Bowler/fielder combinations (6)', '22nd Most wickets taken caught by a wicketkeeper (7)']</t>
  </si>
  <si>
    <t>['28th Youngest player to take ten-wickets-in-a-match (22y 208d)', '33rd Highest partnership for the eighth wicket (137)', '45th Winning all tosses in a series (3)']</t>
  </si>
  <si>
    <t>['43rd Highest partnership for the tenth wicket (48*)']</t>
  </si>
  <si>
    <t>['18th Youngest player to take five-wickets-in-an-innings (21y 169d)']</t>
  </si>
  <si>
    <t>['40th Hundred in last match (157)', '26th Fifties in consecutive matches (7)']</t>
  </si>
  <si>
    <t>['36th Highest partnership for the sixth wicket (130)']</t>
  </si>
  <si>
    <t>['3rd Best figures in a innings when on the losing side (5)', '7th Most five-wickets-in-an-innings in a career (2)', '5th Most runs in an innings (by batting position) (21*)', '5th Best figures in a innings when on the losing side (4)', '6th Best career economy rate (4.80)']</t>
  </si>
  <si>
    <t>['38th Most wickets in a series (18)', '24th Most wickets on a single ground (13)', '3rd Best figures in a innings when on the losing side (5)', '7th Most five-wickets-in-an-innings in a career (2)', '36th Highest partnership for the tenth wicket (27)']</t>
  </si>
  <si>
    <t>['5th Most runs in an innings (by batting position) (21*)', '5th Best figures in a innings when on the losing side (4)', '32nd Best career bowling average (18.36)', '6th Best career economy rate (4.80)', '42nd Most balls bowled in career (941)', '50th Most wickets taken caught (24)', '45th Most wickets taken caught by a fielder (21)', '36th Most wickets taken lbw (6)']</t>
  </si>
  <si>
    <t>['28th Best career bowling average (18.60)', '22nd Best career economy rate (2.59)', '33rd Bowler/fielder combinations (11)']</t>
  </si>
  <si>
    <t>['7th Most runs in an innings (by batting position) (137*)', ' Hundred on debut (137*)', '2nd Hundreds in consecutive matches from debut (2)', '2nd Highest strike rate in an innings (361.53)', '7th Worst career economy rate (6.06)']</t>
  </si>
  <si>
    <t>['7th Most runs in an innings (by batting position) (137*)', '26th Most runs in debut match (170)', '2nd Hundreds in consecutive matches from debut (2)']</t>
  </si>
  <si>
    <t>['50th Most runs in a career without a hundred (1320)', '39th Highest career strike rate (97.63)', '2nd Highest strike rate in an innings (361.53)', '42nd Fewest ducks in career (28)', '35th Best career strike rate (31.1)', '7th Worst career economy rate (6.06)', '43rd Most five-wickets-in-an-innings in a career (2)', '13th Most consecutive four-wickets-in-an-innings (2)', '31st Highest partnership for the sixth wicket (132)', '17th Highest partnership for the ninth wicket (84)']</t>
  </si>
  <si>
    <t>['42nd Most runs in an innings (by batting position) (42)', '40th Highest strike rate in an innings (281.25)', '22nd Most runs conceded in an innings (60)']</t>
  </si>
  <si>
    <t>[' Hundred on debut (108*)']</t>
  </si>
  <si>
    <t>['10th Most runs in debut match (108*)', '29th Best strike rate in an innings (6.2)']</t>
  </si>
  <si>
    <t>['17th Longest lived players (94y 82d)']</t>
  </si>
  <si>
    <t>['5th Most runs in an innings (by batting position) (83)', '1st Outstanding bowling analyses in an innings (3/2)', '6th Bowler/fielder combinations (48)', ' 1000 runs and 100 wickets ', ' 1000 runs, 50 wickets and 50 catches ', '2nd Most runs in an innings (by batting position) (66*)', '1st Worst career bowling average (41.73)', '8th Highest partnership for the tenth wicket (28)']</t>
  </si>
  <si>
    <t>['27th Highest partnership for the seventh wicket (183)']</t>
  </si>
  <si>
    <t>['5th Most runs in an innings (by batting position) (83)', '31st Highest strike rate in an innings (277.77)', '1st Outstanding bowling analyses in an innings (3/2)', '43rd Most five-wickets-in-an-innings in a career (2)', '6th Bowler/fielder combinations (48)', '38th Most wickets taken caught (133)', '20th Most wickets taken caught by a wicketkeeper (49)', '22nd Highest partnership for the sixth wicket (137*)', '39th Highest partnership for the seventh wicket (103)']</t>
  </si>
  <si>
    <t>['2nd Most runs in an innings (by batting position) (66*)', '38th Highest career strike rate (139.82)', '1st Worst career bowling average (41.73)', '9th Worst career economy rate (8.71)', '3rd Worst career strike rate (28.7)', '22nd Highest partnership for the ninth wicket (35)', '8th Highest partnership for the tenth wicket (28)']</t>
  </si>
  <si>
    <t>['6th Worst career bowling average (68.00)']</t>
  </si>
  <si>
    <t>['6th Worst career bowling average (68.00)', '8th Worst career strike rate (152.4)']</t>
  </si>
  <si>
    <t>['50th Worst career economy rate (5.63)', '43rd Most five-wickets-in-an-innings in a career (2)']</t>
  </si>
  <si>
    <t>['6th Highest innings total without conceding a bye (660/5d)', ' 2000 runs and 100 wicketkeeping dismissals ', '6th Most consecutive ducks (3)', ' 2000 runs and 100 wicketkeeping dismissals ']</t>
  </si>
  <si>
    <t>['11th Most runs in an innings (by batting position) (110)', '18th Most dismissals in career (201)', '16th Most catches in career (194)', '6th Highest innings total without conceding a bye (660/5d)']</t>
  </si>
  <si>
    <t>['18th Most ducks in career (19)', '6th Most ducks in a series (3)', '6th Most consecutive ducks (3)', '14th Highest partnership for the seventh wicket (115)', '33rd Most consecutive matches for a team (84)', '24th Most dismissals in career (136)', '16th Most dismissals in an innings (5)', '25th Most dismissals in a series (16)', '24th Most catches in career (111)', '12th Most catches in a series (16)', '18th Most stumpings in career (25)']</t>
  </si>
  <si>
    <t>['8th Most runs in an innings (by batting position) (70*)', '4th Most catches in a series (13)', '2nd No ducks in career (42)']</t>
  </si>
  <si>
    <t>['8th Most runs in an innings (by batting position) (70*)', '21st Most runs in a career without a hundred (1198)', '23rd Most innings before first duck (18)', '48th Most consecutive innings without a duck (31)', '45th Fewest ducks in career (19)', '26th Most catches in career (35)', '4th Most catches in an innings (3)', '4th Most catches in a series (13)', '32nd Highest partnership for the seventh wicket (62)', '41st Highest partnership for the ninth wicket (36)', '40th Most consecutive matches for a team (40)']</t>
  </si>
  <si>
    <t>['25th Most runs in an innings (by batting position) (15*)', '2nd No ducks in career (42)', '11th Most consecutive innings without a duck (42*)', '20th Highest partnership for the eighth wicket (27)']</t>
  </si>
  <si>
    <t>['2nd Most byes conceded in an innings (18)']</t>
  </si>
  <si>
    <t>['43rd Youngest captains (25y 252d)']</t>
  </si>
  <si>
    <t>['20th Best career bowling average (without qualification) (10.00)', '2nd Most byes conceded in an innings (18)']</t>
  </si>
  <si>
    <t>['10th Most runs in an innings (by batting position) (34)', '3rd Most catches by a substitute in an innings (2)']</t>
  </si>
  <si>
    <t>['10th Most runs in an innings (by batting position) (34)', '24th Longest intervals between appearances (7y 87d)', '29th Most consecutive matches missed for a team between appearances (140)']</t>
  </si>
  <si>
    <t>['45th Bowler/fielder combinations (6)', '3rd Most catches by a substitute in an innings (2)']</t>
  </si>
  <si>
    <t>['3rd Worst career bowling average (without qualification) (201.00)']</t>
  </si>
  <si>
    <t>['15th Most runs in an innings (by batting position) (70)', '11th Most runs in debut match (70)', '14th Highest partnership for the eighth wicket (58)', '36th Most consecutive matches missed for a team between appearances (33)']</t>
  </si>
  <si>
    <t>['24th Most runs in an innings (by batting position) (50*)', '24th Highest partnership for the fifth wicket (62)']</t>
  </si>
  <si>
    <t>['18th Worst strike rate in an innings (216.0)']</t>
  </si>
  <si>
    <t>['45th Best economy rate in an innings (0.50)', '5th Longest intervals between appearances (8y 173d)']</t>
  </si>
  <si>
    <t>['11th Most runs in debut match (70)']</t>
  </si>
  <si>
    <t>['5th Most consecutive matches missed for a team between appearances (8)', '2nd Oldest captains on captaincy debut (40y 119d)']</t>
  </si>
  <si>
    <t>['15th Oldest players (40y 154d)', '5th Most consecutive matches missed for a team between appearances (8)', '3rd Oldest captains (40y 154d)', '2nd Oldest captains on captaincy debut (40y 119d)']</t>
  </si>
  <si>
    <t>['17th Oldest players (40y 131d)', '11th Longest intervals between appearances (7y 164d)', '36th Most consecutive matches missed for a team between appearances (33)', '5th Oldest captains (40y 131d)', '4th Oldest captains on captaincy debut (40y 127d)']</t>
  </si>
  <si>
    <t>['4th Outstanding bowling analyses in an innings (3/3)']</t>
  </si>
  <si>
    <t>['4th Outstanding bowling analyses in an innings (3/3)', '42nd Worst career strike rate (110.5)']</t>
  </si>
  <si>
    <t>['10th Most runs in an innings (by batting position) (46)', '6th No ducks in career (21)', '4th Most catches in an innings (3)', '2nd Best strike rate in an innings (2.0)']</t>
  </si>
  <si>
    <t>['10th Most runs in an innings (by batting position) (46)', '6th No ducks in career (21)', '11th Best figures in a innings when on the losing side (4)', '4th Most catches in an innings (3)', '20th Highest partnership for the eighth wicket (50)']</t>
  </si>
  <si>
    <t>['37th Most innings before first duck (13)', '12th Outstanding bowling analyses in an innings (3/2)', '2nd Best strike rate in an innings (2.0)']</t>
  </si>
  <si>
    <t>['4th Outstanding bowling analyses in an innings (5/7)', '7th Most five-wickets-in-an-innings in a career (2)', ' Opening the batting and bowling in the same match ']</t>
  </si>
  <si>
    <t>['39th Most wickets in career (74)', '21st Best figures in an innings (5/7)', '14th Most wickets in a calendar year (26)', '4th Outstanding bowling analyses in an innings (5/7)', '11th Best figures in a innings when on the losing side (4)', '14th Best career bowling average (16.48)', '38th Best career economy rate (2.82)', '37th Best career strike rate (35.0)', '36th Best strike rate in an innings (8.4)', '7th Most five-wickets-in-an-innings in a career (2)', '25th Most four-wickets-in-an-innings in a career (4)', '20th Youngest player to take five-wickets-in-an-innings (21y 259d)', '20th Bowler/fielder combinations (13)', '42nd Most wickets taken bowled (17)', '45th Most wickets taken caught (40)', '19th Most wickets taken caught by a wicketkeeper (12)', '23rd Most wickets taken lbw (16)', '39th Highest partnership for the ninth wicket (36*)']</t>
  </si>
  <si>
    <t>['38th Most consecutive matches missed for a team between appearances (58)']</t>
  </si>
  <si>
    <t>[' Pair on debut ', '8th Most consecutive matches missed for a team between appearances (61)', '3rd Best strike rate in an innings (4.7)', ' Opening the batting and bowling in the same match ']</t>
  </si>
  <si>
    <t>['2nd Most pairs in career (1)', '15th Best career bowling average (without qualification) (7.50)']</t>
  </si>
  <si>
    <t>['11th Outstanding bowling analyses in an innings (4/5)', '3rd Best strike rate in an innings (4.7)', '31st Bowler/Batters combinations (5)', '8th Most consecutive matches missed for a team between appearances (61)']</t>
  </si>
  <si>
    <t>['7th Most runs in an innings (by batting position) (34*)']</t>
  </si>
  <si>
    <t>['24th Best figures in a innings when on the losing side (7)', '15th Best figures in a match when on the losing side (11)', '31st Youngest player to take ten-wickets-in-a-match (22y 273d)']</t>
  </si>
  <si>
    <t>['7th Most runs in an innings (by batting position) (34*)', '42nd Most wickets in a series (18)', '27th Most wickets in a calendar year (46)', '14th Best figures in a innings when on the losing side (5)', '42nd Best career bowling average (23.87)', '21st Fastest to 100 wickets (62)']</t>
  </si>
  <si>
    <t>['5th Most dismissals in an innings (4)', '3rd Most runs in an innings (by batting position) (108)']</t>
  </si>
  <si>
    <t>['29th Most runs in an innings (108)', '3rd Most runs in an innings (by batting position) (108)', '15th Highest career strike rate (149.70)', '21st No ducks in career (22)', '30th Most sixes in an innings (8)', '14th Most runs from fours and sixes in an innings (88)', '44th Highest partnership for the sixth wicket (62*)', '5th Most dismissals in an innings (4)', '13th Most catches in an innings (3)']</t>
  </si>
  <si>
    <t>['5th Most dismissals in an innings (5)', '3rd Most catches in an innings (4)', '1st Most runs in an innings by a wicketkeeper (157)', '5th Most hundreds in a calendar year (2)', '10th Most nineties in career (2)', ' 200 runs and 10 wicketkeeping dismissals in a series ', '3rd Most dismissals in career (72)', '1st Most catches in an innings (4)', '6th Most stumpings in career (31)']</t>
  </si>
  <si>
    <t>['10th Most runs in an innings (157)', '14th Most runs in a series (688)', '29th Most runs in a calendar year (592)', '7th Most runs in an innings (by batting position) (157)', '10th Most runs on a single ground (522)', '2nd Most runs in a series by a wicketkeeper (688)', '1st Most runs in an innings by a wicketkeeper (157)', '25th Most hundreds in a career (2)', '6th Most hundreds in a series (2)', '5th Most hundreds in a calendar year (2)', '11th Most hundreds against one team (2)', '48th Highest maiden hundred (108)', '31st Oldest player to score a hundred (30y 147d)', '19th Oldest player to score a maiden hundred (30y 143d)', '10th Most nineties in career (2)', '46th Most fifties in career (11)', '28th Fifties in consecutive innings (3)', '16th Most innings before first duck (23)', '30th Highest partnership for the second wicket (153*)', '32nd Most consecutive matches for a team (43)', '8th Most dismissals in career (93)', '5th Most dismissals in an innings (5)', '14th Most dismissals in a series (15)', '5th Most catches in career (72)', '3rd Most catches in an innings (4)', '4th Most catches in a series (14)', '13th Most stumpings in career (21)']</t>
  </si>
  <si>
    <t>['43rd Most runs in career (873)', '24th Most runs in an innings by a wicketkeeper (60)', '47th Most consecutive innings without a duck (27*)', '24th Fewest ducks in career (21.33)', '45th Highest partnership for the seventh wicket (30*)', '20th Highest partnership for the tenth wicket (13*)', '46th Most matches in career (75)', '3rd Most dismissals in career (72)', '6th Most dismissals in an innings (4)', '2nd Most catches in career (41)', '1st Most catches in an innings (4)', '6th Most stumpings in career (31)', '9th Most stumpings in an innings (3)', '13th Most byes conceded in an innings (6)']</t>
  </si>
  <si>
    <t>['9th Worst career strike rate (72.2)', '4th Most consecutive ducks (4)']</t>
  </si>
  <si>
    <t>['35th Most runs in a career without a hundred (1200)', '46th Dismissed for 99 (and 199, 299 etc) (99)']</t>
  </si>
  <si>
    <t>['29th Worst career bowling average (50.24)', '9th Worst career strike rate (72.2)']</t>
  </si>
  <si>
    <t>['1st Outstanding bowling analyses in an innings (1/0)', '7th Best economy rate in an innings (0.20)', '1st Most wickets taken hit wicket (1)', ' Opening the batting and bowling in the same match ']</t>
  </si>
  <si>
    <t>['22nd Most runs in a career without a hundred (1178)', '1st Outstanding bowling analyses in an innings (1/0)', '7th Best economy rate in an innings (0.20)', '1st Most wickets taken hit wicket (1)', '47th Most catches in a series (6)', '34th Highest partnership for the first wicket (153)', '47th Highest partnership for the second wicket (138)', '31st Longest careers (14y 71d)', '36th Youngest captains (23y 313d)']</t>
  </si>
  <si>
    <t>['10th Oldest player to take a maiden five-wickets-in-an-innings (31y 79d)']</t>
  </si>
  <si>
    <t>['19th Most runs in a career without a hundred (412)', '11th No ducks in career (17)', '43rd Best career bowling average (24.26)', '17th Best career strike rate (59.3)', '10th Oldest player to take a maiden five-wickets-in-an-innings (31y 79d)']</t>
  </si>
  <si>
    <t>['11th Best figures in a innings when on the losing side (4)', '32nd Worst career strike rate (55.4)', '16th Highest partnership for the sixth wicket (82*)', '14th Highest partnership for the seventh wicket (73*)']</t>
  </si>
  <si>
    <t>['31st Longest individual innings (by minutes) (685)', '26th Fastest to 1000 runs (20)']</t>
  </si>
  <si>
    <t>['16th No ducks in career (24)', '31st Longest lived players (64y 301d)']</t>
  </si>
  <si>
    <t>['37th Best career strike rate (35.0)', '31st Most wickets taken caught and bowled (5)', '4th Most catches in an innings (3)']</t>
  </si>
  <si>
    <t>['7th Most fours in an innings (13)']</t>
  </si>
  <si>
    <t>['21st Most runs in debut match (63)', '7th Most fours in an innings (13)']</t>
  </si>
  <si>
    <t>['33rd Highest partnership for the first wicket (254)']</t>
  </si>
  <si>
    <t>['41st Best career bowling average (without qualification) (13.00)']</t>
  </si>
  <si>
    <t>['25th No ducks in career (20)', '16th Best figures in a innings by a captain (6)']</t>
  </si>
  <si>
    <t>[' Hundred on debut (171)']</t>
  </si>
  <si>
    <t>['25th Most runs in debut match (171)']</t>
  </si>
  <si>
    <t>['30th Highest partnership for the second wicket (114)', '14th Most consecutive matches missed for a team between appearances (51)', '24th Longest intervals between appearances (5y 289d)']</t>
  </si>
  <si>
    <t>['26th Worst career bowling average (without qualification) (84.00)']</t>
  </si>
  <si>
    <t>['7th Highest innings total without conceding a bye (285)', '3rd Most dismissals in career (133)', '2nd Most catches in career (89)', '6th Most stumpings in an innings (3)', '3rd Most runs in an innings (by batting position) (84*)', ' 200 runs and 10 wicketkeeping dismissals in a series ']</t>
  </si>
  <si>
    <t>['20th Highest partnership for the seventh wicket (73)', '7th Highest innings total without conceding a bye (285)']</t>
  </si>
  <si>
    <t>['33rd Most runs in career (2201)', '49th Most runs in a calendar year (524)', '3rd Most runs in an innings (by batting position) (84*)', '4th Most runs in a match on the losing side (114)', '12th Most runs on a single ground (495)', '18th Most runs in a series by a wicketkeeper (219)', '9th Most runs in an innings by a wicketkeeper (114)', '25th Most hundreds in a career (2)', '11th Most hundreds against one team (2)', '35th Highest maiden hundred (114)', '28th Oldest player to score a hundred (31y 183d)', '38th Most fifties in career (14)', '28th Fifties in consecutive innings (3)', '21st Most ducks in career (9)', '18th Highest partnership for the second wicket (170)', '11th Highest partnership for the fifth wicket (108*)', '34th Highest partnership for the seventh wicket (61)', '38th Most matches in career (104)', '49th Most consecutive matches for a team (39)', '3rd Most dismissals in career (133)', '17th Most dismissals in an innings (4)', '17th Most dismissals in a series (14)', '2nd Most catches in career (89)', '3rd Most catches in an innings (4)', '6th Most catches in a series (13)', '6th Most stumpings in career (44)', '6th Most stumpings in an innings (3)', '22nd Most stumpings in a series (5)']</t>
  </si>
  <si>
    <t>['9th Most matches as a match referee (50)', '7th Highest percentage of runs in a completed innings (62.89)']</t>
  </si>
  <si>
    <t>['31st Most runs in an series by a captain (546)', '41st Most consecutive innings without a duck (55)', '7th Highest percentage of runs in a completed innings (62.89)', '16th Best figures in a innings by a captain (6)', '26th Oldest player to take a maiden five-wickets-in-an-innings (35y 270d)', '41st Most consecutive matches for a team (58)', '35th Longest lived players (92y 133d)', '36th Most matches as captain (34)', '15th Most consecutive matches as captain of a team (34)', '9th Most matches as a match referee (50)']</t>
  </si>
  <si>
    <t>['13th Most matches as a match referee (98)']</t>
  </si>
  <si>
    <t>['44th Worst career bowling average (without qualification) (110.00)']</t>
  </si>
  <si>
    <t>['29th Most runs conceded in an innings (58)']</t>
  </si>
  <si>
    <t>[' Hundred and a ninety in a match ', '5th Fewest ducks in career (65)']</t>
  </si>
  <si>
    <t>['48th Most innings before first duck (30)', '5th Fewest ducks in career (65)', '26th Fastest to 1000 runs (20)', '35th Fastest to 2000 runs (44)', '47th Highest partnership for the first wicket (231)']</t>
  </si>
  <si>
    <t>[' Pair on debut ', '2nd Most catches in an innings (4)']</t>
  </si>
  <si>
    <t>['29th Worst career bowling average (without qualification) (161.00)', '33rd Winning all tosses in a series (3)']</t>
  </si>
  <si>
    <t>['33rd Most runs in debut match (163)', '23rd Hundred in last match (107)']</t>
  </si>
  <si>
    <t>[' Representing two countries ', '1st Most runs in an innings (by batting position) (170*)', '7th Highest career strike rate (114.50)', '8th Highest maiden hundred (170*)', '1st Dismissed for 99 (and 199, 299 etc) (99)', ' 200 runs and 10 wicketkeeping dismissals in a series ', '4th Highest partnership for the tenth wicket (76)', ' Representing two countries ', '8th Most byes conceded in an innings (8)', '1st Most consecutive ducks (3)', ' Representing two countries ']</t>
  </si>
  <si>
    <t>['50th Most runs in an innings (170*)', '1st Most runs in an innings (by batting position) (170*)', '5th Most runs in an innings by a wicketkeeper (170*)', '7th Highest career strike rate (114.50)', '8th Highest maiden hundred (170*)', '24th Oldest player to score a maiden hundred (33y 275d)', '1st Dismissed for 99 (and 199, 299 etc) (99)', '31st Most sixes in an innings (9)', '28th Most runs from fours and sixes in an innings (110)', '4th Highest partnership for the tenth wicket (76)', '28th Most dismissals in career (117)', '27th Most catches in career (105)', '32nd Most stumpings in career (12)']</t>
  </si>
  <si>
    <t>['15th Most runs in an innings (by batting position) (51*)', '37th Highest career strike rate (140.23)', '32nd Most ducks in career (5)', '1st Most consecutive ducks (3)', '50th Most consecutive matches for a team (28)', '13th Most dismissals in career (30)', '13th Most catches in career (24)', '13th Most catches in an innings (3)', '17th Most stumpings in career (6)', '8th Most byes conceded in an innings (8)']</t>
  </si>
  <si>
    <t>['7th Most runs in an innings (by batting position) (18*)', '6th Highest partnership for the ninth wicket (53)']</t>
  </si>
  <si>
    <t>['35th Worst career bowling average (32.75)', '39th Worst career strike rate (53.2)']</t>
  </si>
  <si>
    <t>['19th Best career bowling average (17.20)', '28th Best career economy rate (5.50)', '26th Best career strike rate (18.7)', '18th Bowler/Batters combinations (4)', '23rd Most wickets taken caught by a wicketkeeper (5)', '24th Most wickets taken lbw (7)', '41st Most maidens in career (5)']</t>
  </si>
  <si>
    <t>['35th Fastest to 1000 runs (21)', '22nd Highest partnership for the seventh wicket (186)']</t>
  </si>
  <si>
    <t>['45th Fastest to 1000 runs (29)', '30th Worst economy rate in an innings (11.20)', '20th Highest partnership for the fourth wicket (191)']</t>
  </si>
  <si>
    <t>['49th Most innings before first duck (15)', '50th Highest partnerships for any wicket (130)', '26th Highest partnership for the first wicket (130)']</t>
  </si>
  <si>
    <t>['22nd Shortest lived players (42y 173d)']</t>
  </si>
  <si>
    <t>['12th Most runs in an innings (by batting position) (55*)', '29th Worst economy rate in an innings (4.09)']</t>
  </si>
  <si>
    <t>['42nd Worst career bowling average (without qualification) (70.85)']</t>
  </si>
  <si>
    <t>['12th Oldest player to score a hundred (41y 108d)', '19th Most sixes in an innings (7)', '24th Highest percentage of runs in a completed innings (59.20)', '48th Fastest to 2000 runs (46)', '44th Highest partnership for the seventh wicket (163)', '37th Longest careers (18y 72d)']</t>
  </si>
  <si>
    <t>['3rd Most runs in an innings (by batting position) (62)', '6th Most wickets in a calendar year (22)', '1st Worst strike rate in an innings (384.0)', '2nd Most balls bowled in a match (582)', '5th Most runs conceded in a match (163)', '7th Most wickets taken bowled (14)']</t>
  </si>
  <si>
    <t>['3rd Most runs in an innings (by batting position) (62)', '13th No ducks in career (16)', '18th Most wickets in career (35)', '26th Best figures in a match (8)', '27th Most wickets in a series (15)', '6th Most wickets in a calendar year (22)', '18th Best career economy rate (1.57)', '22nd Worst career strike rate (103.5)', '1st Worst strike rate in an innings (384.0)', '5th Most balls bowled in career (3623)', '2nd Most balls bowled in an innings (384)', '2nd Most balls bowled in a match (582)', '10th Most runs conceded in career (951)', '11th Most runs conceded in an innings (106)', '5th Most runs conceded in a match (163)', '12th Bowler/Batters combinations (4)', '7th Most wickets taken bowled (14)', '16th Most wickets taken caught (17)', '15th Most wickets taken caught by a fielder (15)']</t>
  </si>
  <si>
    <t>[' Hundred on debut (214)', ' Two unbeaten fifties in a match ']</t>
  </si>
  <si>
    <t>['7th Most runs in debut match (214)', '22nd Highest maiden hundred (214)']</t>
  </si>
  <si>
    <t>['1st Outstanding bowling analyses in an innings (2/0)', '8th Most wickets taken stumped (8)']</t>
  </si>
  <si>
    <t>['16th Most runs in an innings (by batting position) (126)']</t>
  </si>
  <si>
    <t>['1st Outstanding bowling analyses in an innings (2/0)', '30th Worst economy rate in an innings (11.20)', '40th Most wickets taken stumped (10)', '40th Highest partnership for the ninth wicket (69)']</t>
  </si>
  <si>
    <t>['19th Most wickets in career (60)', '36th Most wickets in a calendar year (20)', '43rd Most wickets on a single ground (11)', '44th Best career bowling average (21.45)', '40th Best career strike rate (17.4)', '16th Most four-wickets-in-an-innings in a career (2)', '28th Most balls bowled in career (1046)', '19th Most runs conceded in career (1287)', '17th Bowler/batters combinations (3)', '26th Bowler/fielder combinations (7)', '10th Most wickets taken caught (46)', '8th Most wickets taken caught by a fielder (41)', '48th Most wickets taken caught by a wicketkeeper (5)', '8th Most wickets taken stumped (8)', '12th Fastest to 50 wickets (40)', '44th Most catches in career (24)', '15th Most catches in an innings (3)', '28th Highest partnership for the seventh wicket (54)', '48th Highest partnership for the eighth wicket (34)', '14th Highest partnership for the ninth wicket (38*)']</t>
  </si>
  <si>
    <t>['11th Most runs in an innings by a wicketkeeper (84*)', '29th Longest individual innings (by balls) (63)', '18th Highest partnership for the second wicket (129*)', '25th Highest partnership for the fourth wicket (99)', '30th Most consecutive matches for a team (35)', '17th Most dismissals in career (26)', '17th Most catches in career (20)', '13th Most catches in an innings (3)', '17th Most stumpings in career (6)']</t>
  </si>
  <si>
    <t>['6th Most runs conceded in an innings (105)', ' Opening the batting and bowling in the same match ']</t>
  </si>
  <si>
    <t>['6th Most runs conceded in an innings (105)', '11th Highest partnership for the tenth wicket (65)']</t>
  </si>
  <si>
    <t>['1st Most dismissals in an innings (7)', '1st Most catches in an innings (7)', '1st Most runs in an innings (by batting position) (173)', ' A hundred and five dismissals in an innings ']</t>
  </si>
  <si>
    <t>['1st Most runs in an innings (by batting position) (173)', '17th Most runs in an innings by a wicketkeeper (173)', '42nd Highest strike rate in an innings (176.47)', '17th Highest partnership for the ninth wicket (136)', '27th Captains who have kept wicket (1)', '24th Most dismissals in career (176)', '1st Most dismissals in an innings (7)', '35th Most dismissals in a match (8)', '21st Most catches in career (168)', '1st Most catches in an innings (7)', '26th Most catches in a match (8)', '12th Highest innings total without conceding a bye (616/5d)']</t>
  </si>
  <si>
    <t>['35th Highest career strike rate (99.43)', '37th Most dismissals in career (85)', '34th Most catches in career (80)']</t>
  </si>
  <si>
    <t>['9th Most consecutive matches for a team (61)', '3rd Most runs on a single ground (792)', '1st Hundreds in consecutive innings (4)', '10th Most nineties in career (2)', '5th Fifties in consecutive innings (5)', '10th Most consecutive innings without a duck (47*)', '2nd Most catches in a series (15)', ' 250 runs and 10 wickets in a series ', '5th Highest partnership for the eighth wicket (74)', '9th Most matches in career (108)', '9th Most runs in an innings (by batting position) (71*)', '1st Most consecutive innings without a duck (88*)', '6th Outstanding bowling analyses in an innings (6/17)', '9th Most catches in career (36)', '7th Highest partnership for the ninth wicket (29*)']</t>
  </si>
  <si>
    <t>['7th Most runs in career (4125)', '35th Most runs in an innings (137*)', '12th Most runs in a series (763)', '3rd Most runs in a calendar year (853)', '12th Most runs in an innings (by batting position) (137*)', '9th Most runs in a match on the losing side (109)', '3rd Most runs on a single ground (792)', '23rd Most runs in an series by a captain (346)', '14th Most runs in an innings by a captain (123)', '26th Highest career batting average (38.91)', '6th Most hundreds in a career (7)', '2nd Most hundreds in a series (3)', '1st Most hundreds in a calendar year (3)', '2nd Most hundreds against one team (3)', '1st Hundreds in consecutive innings (4)', '46th Highest maiden hundred (109)', '9th Oldest player to score a hundred (34y 144d)', '10th Most nineties in career (2)', '10th Most fifties in career (29)', '5th Fifties in consecutive innings (5)', '10th Most consecutive innings without a duck (47*)', '13th Worst career economy rate (4.51)', '39th Worst economy rate in an innings (8.66)', '9th Most catches in career (50)', '4th Most catches in an innings (3)', '2nd Most catches in a series (15)', '19th Highest partnership for the third wicket (150)', '5th Highest partnership for the fourth wicket (172*)', '22nd Highest partnership for the fifth wicket (99)', '5th Highest partnership for the eighth wicket (74)', '9th Most matches in career (128)', '9th Most consecutive matches for a team (61)', '42nd Longest careers (13y 263d)', '34th Youngest captains (23y 270d)']</t>
  </si>
  <si>
    <t>['17th Most runs in career (1717)', '9th Most runs in an innings (by batting position) (71*)', '1st Most consecutive innings without a duck (88*)', '2nd Fewest ducks in career (97)', '6th Best figures in an innings (6/17)', '6th Outstanding bowling analyses in an innings (6/17)', '33rd Best strike rate in an innings (4.0)', '13th Most four-wickets-in-an-innings in a career (2)', '9th Most catches in career (36)', '43rd Highest partnership for the second wicket (89)', '18th Highest partnership for the third wicket (97)', '7th Highest partnership for the ninth wicket (29*)', '9th Most matches in career (108)', '27th Most consecutive matches for a team (42)', '37th Most matches as captain (12)', '16th Oldest captains (34y 176d)', '27th Oldest captains on captaincy debut (31y 357d)']</t>
  </si>
  <si>
    <t>['7th Best figures in a innings on debut (5)', '5th Youngest player to take five-wickets-in-an-innings (18y 329d)']</t>
  </si>
  <si>
    <t>['7th Best figures in a innings on debut (5)', '21st Best figures in a match on debut (5)', '5th Youngest player to take five-wickets-in-an-innings (18y 329d)']</t>
  </si>
  <si>
    <t>['40th Best career economy rate (2.83)']</t>
  </si>
  <si>
    <t>['9th Most runs in a career without a hundred (1690)', '8th Most sixes in an innings (9)', '7th Bowler/fielder combinations (73)', ' 1000 runs and 100 wickets ', ' 1000 runs, 50 wickets and 50 catches ', '6th Most runs in an innings (by batting position) (55)', '6th Outstanding bowling analyses in an innings (7/33)', '6th Most runs conceded in an innings (105)', '2nd Most wickets in career (99)', '3rd Most balls bowled in career (1782)', '1st Most runs conceded in career (2492)', '1st Most wickets taken caught by a wicketkeeper (15)', '6th Most catches in career (44)', '2nd Highest partnership for the tenth wicket (36)']</t>
  </si>
  <si>
    <t>['10th Most runs in an innings (by batting position) (77*)', '9th Most runs in a career without a hundred (1690)', '18th Highest strike rate in an innings (208.69)', '15th Most sixes in career (73)', '8th Most sixes in an innings (9)', '35th Most wickets in career (302)', '48th Most wickets on a single ground (51)', '24th Best figures in a innings when on the losing side (7)', '40th Best figures in a match when on the losing side (10)', '20th Youngest player to take five-wickets-in-an-innings (19y 102d)', '35th Most balls bowled in career (17387)', '29th Most runs conceded in career (8670)', '30th Most runs conceded in a match (266)', '7th Bowler/fielder combinations (73)', '21st Most wickets taken caught (227)', '29th Most wickets taken caught by a fielder (134)', '12th Most wickets taken caught by a wicketkeeper (93)', '32nd Fastest to 250 wickets (67)', '24th Fastest to 300 wickets (76)', '46th Highest partnership for the tenth wicket (84)']</t>
  </si>
  <si>
    <t>['6th Most runs in an innings (by batting position) (55)', '40th Highest career strike rate (97.55)', '45th Most wickets in career (190)', '7th Best figures in an innings (7/33)', '42nd Most wickets in a series (18)', '6th Outstanding bowling analyses in an innings (7/33)', '25th Most five-wickets-in-an-innings in a career (3)', '37th Youngest player to take five-wickets-in-an-innings (22y 42d)', '34th Most runs conceded in career (6558)', '6th Most runs conceded in an innings (105)', '47th Most wickets taken caught (124)', '30th Most wickets taken caught by a wicketkeeper (41)', '34th Most wickets taken lbw (26)', '32nd Fastest to 150 wickets (110)']</t>
  </si>
  <si>
    <t>['13th Most runs in an innings (by batting position) (39)', '2nd Most wickets in career (99)', '27th Best figures in an innings (5/18)', '5th Most wickets on a single ground (19)', '20th Best figures in a innings by a captain (3)', '45th Best career strike rate (18.0)', '20th Worst career economy rate (8.39)', '16th Most four-wickets-in-an-innings in a career (2)', '3rd Most balls bowled in career (1782)', '1st Most runs conceded in career (2492)', '17th Bowler/batters combinations (3)', '26th Bowler/fielder combinations (7)', '48th Most wickets taken bowled (10)', '1st Most wickets taken caught (86)', '3rd Most wickets taken caught and bowled (5)', '1st Most wickets taken caught by a fielder (71)', '1st Most wickets taken caught by a wicketkeeper (15)', '18th Fastest to 50 wickets (42)', '6th Most catches in career (44)', '2nd Highest partnership for the tenth wicket (36)', '16th Most matches in career (83)', '17th Longest careers (13y 55d)', '38th Most matches as captain (18)']</t>
  </si>
  <si>
    <t>[' Hundred on debut (107)', '7th Highest percentage of runs in a completed innings (62.66)', ' A fifty and five wickets in an innings ', ' 1000 runs, 50 wickets and 50 catches ', '10th No ducks in career (29)', '8th Outstanding bowling analyses in an innings (3/5)']</t>
  </si>
  <si>
    <t>['23rd Most runs in debut match (176)']</t>
  </si>
  <si>
    <t>['35th Most runs in a series (499)', '18th Most runs in an innings (by batting position) (141)', '31st Most runs in a match on the losing side (141)', '33rd Highest maiden hundred (141)', '44th Fifties in consecutive innings (4)', '7th Highest percentage of runs in a completed innings (62.66)', '34th Best figures in an innings (6/25)', '41st Best strike rate in an innings (7.0)', '37th Highest partnership for the eighth wicket (79)', '49th Highest partnership for the tenth wicket (46)']</t>
  </si>
  <si>
    <t>['19th Most runs in debut match (66)', '10th No ducks in career (29)', '42nd Highest percentage of runs in a completed innings (56.25)', '8th Outstanding bowling analyses in an innings (3/5)', '25th Highest partnership for the eighth wicket (40)']</t>
  </si>
  <si>
    <t>['10th Worst career economy rate (3.75)', '9th Most wickets in career (73)', '10th Most runs conceded in career (1586)', '1st Bowler/batters combinations (4)']</t>
  </si>
  <si>
    <t>['49th Worst career bowling average (48.58)', '10th Worst career economy rate (3.75)', '17th Worst economy rate in an innings (6.83)']</t>
  </si>
  <si>
    <t>['9th Most wickets in career (73)', '11th Most wickets on a single ground (17)', '45th Best career bowling average (21.72)', '21st Best career strike rate (16.1)', '32nd Worst career economy rate (8.07)', '16th Most four-wickets-in-an-innings in a career (2)', '13th Most balls bowled in career (1179)', '10th Most runs conceded in career (1586)', '1st Bowler/batters combinations (4)', '12th Bowler/fielder combinations (8)', '30th Most wickets taken bowled (12)', '2nd Most wickets taken caught (54)', '3rd Most wickets taken caught and bowled (5)', '2nd Most wickets taken caught by a fielder (49)', '48th Most wickets taken caught by a wicketkeeper (5)', '18th Fastest to 50 wickets (42)', '47th Highest partnership for the tenth wicket (15*)']</t>
  </si>
  <si>
    <t>['34th Oldest player to score a maiden hundred (32y 201d)', '11th Fifties in consecutive innings (5)', '45th Highest partnership for the fifth wicket (148)']</t>
  </si>
  <si>
    <t>['5th Most consecutive matches for a team (71)', '4th Most runs on a single ground (731)', '8th Most consecutive innings without a duck (50*)', '4th Most catches in an innings (3)', '3rd Highest partnership for the second wicket (262)']</t>
  </si>
  <si>
    <t>['17th Most runs in career (2919)', '34th Most runs in a match on the losing side (91)', '4th Most runs on a single ground (731)', '31st Most runs in an series by a captain (279)', '49th Most runs in an innings by a captain (100)', '50th Highest career batting average (30.72)', '21st Most fifties in career (19)', '8th Most consecutive innings without a duck (50*)', '40th Most ducks in career (8)', '27th Most wickets in a calendar year (23)', '11th Best figures in a innings when on the losing side (4)', '37th Best career bowling average (19.48)', '25th Best career strike rate (33.7)', '29th Most wickets taken lbw (14)', '37th Most catches in career (32)', '4th Most catches in an innings (3)', '5th Highest partnerships for any wicket (262)', '3rd Highest partnership for the second wicket (262)', '24th Most matches in career (117)', '5th Most consecutive matches for a team (71)', '12th Most matches as captain (45)', '16th Most consecutive matches as captain of a team (29)', '44th Youngest captains (24y 324d)']</t>
  </si>
  <si>
    <t>['23rd Best career bowling average (without qualification) (9.00)']</t>
  </si>
  <si>
    <t>[' Hundred on debut (105)', ' A hundred and five wickets in an innings ', '7th Longest lived players (77y 209d)']</t>
  </si>
  <si>
    <t>['40th Best strike rate in an innings (9.0)']</t>
  </si>
  <si>
    <t>['7th Longest lived players (77y 209d)']</t>
  </si>
  <si>
    <t>['8th Most runs in an innings (by batting position) (78*)', '4th Most catches in an innings (3)', '1st Highest partnership for the seventh wicket (104*)']</t>
  </si>
  <si>
    <t>['8th Most runs in an innings (by batting position) (78*)', '33rd Most innings before first duck (16)', '46th Most wickets in a calendar year (21)', '11th Best figures in a innings when on the losing side (4)', '39th Worst career bowling average (32.02)', '21st Worst career economy rate (4.38)', '4th Most catches in an innings (3)', '7th Highest partnerships by wicket (7th)', '1st Highest partnership for the seventh wicket (104*)']</t>
  </si>
  <si>
    <t>['33rd Most innings before first duck (15)', '23rd Most runs conceded in an innings (49)']</t>
  </si>
  <si>
    <t>['48th Best economy rate in an innings (1.00)']</t>
  </si>
  <si>
    <t>[' Hundred in each innings of a match ', '3rd Fewest ducks in career (73)', ' Carrying bat through a completed innings (223*)', '4th Highest partnership for the first wicket (387)', '5th Most runs in an innings (progressive record holder) (171*)', '7th Highest maiden hundred (171*)', '1st Longest individual innings (by balls) (201)', '7th Fewest ducks in career (56.5)']</t>
  </si>
  <si>
    <t>['44th Most runs in a series (672)', '2nd Most double hundreds in a series (2)', '13th Most consecutive innings without a duck (72*)', '3rd Fewest ducks in career (73)', '24th Longest individual innings (by minutes) (704)', '2nd Longest individual innings (by balls) (759)', '35th Highest percentage of runs in a completed innings (57.77)', '20th Highest partnerships for any wicket (387)', '4th Highest partnership for the first wicket (387)', '30th Highest partnership for the sixth wicket (220)']</t>
  </si>
  <si>
    <t>['47th Most runs in an innings (171*)', '5th Most runs in an innings (progressive record holder) (171*)', '47th Most runs in an series by a captain (333)', '7th Most runs in an innings by a captain (171*)', '24th Highest career batting average (47.00)', '7th Highest maiden hundred (171*)', '32nd Oldest player to score a hundred (35y 298d)', '44th Fifties in consecutive innings (4)', '1st Longest individual innings (by balls) (201)', '41st Highest percentage of runs in a completed innings (55.33)', '11th Fastest to 1000 runs (24)']</t>
  </si>
  <si>
    <t>['5th Most runs in an innings (by batting position) (290)', ' Two unbeaten fifties in a match ', '3rd Most innings before first duck (58)', '6th Most fours in an innings (43)', ' 5000 runs and 50 fielding dismissals ', '2nd Most runs in an innings (by batting position) (181*)', '2nd Hundreds in consecutive innings (3)', '2nd Fifties in consecutive innings (6)', '6th Fastest to 8000 runs (203)', '2nd Most catches in an innings (4)', ' 5000 runs and 50 fielding dismissals ', '8th Highest partnership for the fifth wicket (195)', '4th Most matches in career (102)', '4th Most catches in career (46)', '10th Most sixes in career (270)', '3rd Most catches in career (340)']</t>
  </si>
  <si>
    <t>['44th Most runs in career (7379)', '38th Most runs in an innings (290)', '30th Most runs in a match (326)', '5th Most runs in an innings (by batting position) (290)', '32nd Most runs on a single ground (1279)', '28th Most runs in a day (209)', '47th Most hundreds in a career (19)', '27th Most double hundreds in a career (3)', '21st Hundreds in consecutive matches (3)', '47th Most fifties in career (53)', '26th Fifties in consecutive matches (7)', '3rd Most innings before first duck (58)', '34th Most consecutive innings without a duck (58)', '35th Most sixes in career (53)', '37th Most fours in career (898)', '6th Most fours in an innings (43)', '20th Most runs from fours and sixes in an innings (172)', '50th Fastest to 5000 runs (120)', '43rd Fastest to 6000 runs (145)', '37th Fastest to 7000 runs (169)', '12th Most catches in career (155)', '29th Highest partnership for the fourth wicket (271)', '21st Highest partnership for the sixth wicket (253)', '41st Most player-of-the-match awards (8)']</t>
  </si>
  <si>
    <t>['25th Most runs in career (8581)', '22nd Most runs in an innings (181*)', '2nd Most runs in an innings (by batting position) (181*)', '18th Highest career batting average (48.20)', '12th Most hundreds in a career (21)', '29th Most hundreds in a calendar year (4)', '19th Most hundreds against one team (5)', '2nd Hundreds in consecutive innings (3)', '24th Oldest player to score a hundred (35y 334d)', '22nd Most nineties in career (5)', '18th Most fifties in career (72)', '2nd Fifties in consecutive innings (6)', '16th Most sixes in career (146)', '34th Most fours in career (712)', '44th Most runs from fours and sixes in an innings (104)', '34th Fastest to 5000 runs (144)', '16th Fastest to 6000 runs (166)', '8th Fastest to 7000 runs (188)', '6th Fastest to 8000 runs (203)', '5th Most catches in career (139)', '2nd Most catches in an innings (4)', '12th Most catches in a series (9)', '17th Highest partnership for the fourth wicket (200)', '8th Highest partnership for the fifth wicket (195)', '24th Highest partnership for the ninth wicket (76*)', '46th Most player-of-the-match awards (17)']</t>
  </si>
  <si>
    <t>['14th Most runs in career (1909)', '19th Most runs on a single ground (334)', '41st Most fifties in career (7)', '39th Fewest ducks in career (15.66)', '13th Most ducks in career (6)', '20th Most sixes in career (71)', '41st Most fours in career (121)', '4th Most catches in career (46)', '15th Most catches in an innings (3)', '49th Highest partnership for the third wicket (93)', '26th Highest partnership for the fifth wicket (77)', '30th Highest partnership for the sixth wicket (68)', '15th Highest partnership for the ninth wicket (38)', '4th Most matches in career (102)', '9th Longest careers (13y 343d)']</t>
  </si>
  <si>
    <t>['2nd Outstanding bowling analyses in an innings (5/5)', '7th Best economy rate in an innings (0.20)']</t>
  </si>
  <si>
    <t>['17th Best figures in a match when on the losing side (5)', '45th Best career bowling average (24.68)', '27th Best career strike rate (69.0)', '12th Most wickets taken lbw (8)']</t>
  </si>
  <si>
    <t>['19th Best figures in an innings (5/5)', '2nd Outstanding bowling analyses in an innings (5/5)', '23rd Best career economy rate (2.61)', '7th Best economy rate in an innings (0.20)', '29th Worst career strike rate (56.8)', '36th Youngest player to take five-wickets-in-an-innings (23y 323d)']</t>
  </si>
  <si>
    <t>['9th Most wickets taken caught by a wicketkeeper (18)']</t>
  </si>
  <si>
    <t>['40th Most wickets in career (73)', '36th Most wickets in a series (19)', '33rd Most wickets on a single ground (12)', '37th Worst career bowling average (32.30)', '18th Worst career economy rate (4.45)', '33rd Most balls bowled in career (3176)', '23rd Most runs conceded in career (2358)', '33rd Bowler/fielder combinations (11)', '42nd Most wickets taken bowled (17)', '30th Most wickets taken caught (47)', '9th Most wickets taken caught by a wicketkeeper (18)', '17th Highest partnership for the ninth wicket (42)']</t>
  </si>
  <si>
    <t>['22nd Most runs in an innings (by batting position) (16)', '35th Most wickets in career (52)', '47th Best career strike rate (21.1)', '33rd Most balls bowled in career (1101)', '32nd Most runs conceded in career (1097)', '44th Most wickets taken bowled (10)', '16th Most wickets taken caught (42)', '21st Most wickets taken caught by a fielder (32)', '6th Most wickets taken caught by a wicketkeeper (10)', '41st Most maidens in career (5)']</t>
  </si>
  <si>
    <t>['2nd Longest lived players (99y 226d)']</t>
  </si>
  <si>
    <t>['46th Longest intervals between appearances (8y 224d)', '2nd Longest lived players (99y 226d)']</t>
  </si>
  <si>
    <t>['12th Youngest player to score a hundred (19y 121d)']</t>
  </si>
  <si>
    <t>[' Hundred on debut (104)', '6th Highest maiden hundred (172)', '1st Outstanding bowling analyses in an innings (1/0)']</t>
  </si>
  <si>
    <t>['42nd Most runs in debut match (158)']</t>
  </si>
  <si>
    <t>['45th Most runs in an innings (172)', '6th Highest maiden hundred (172)', '31st Most sixes in an innings (9)', '17th Most runs from fours and sixes in an innings (118)', '1st Outstanding bowling analyses in an innings (1/0)', '36th Highest partnership for the first wicket (204)', '33rd Highest partnership for the tenth wicket (52*)']</t>
  </si>
  <si>
    <t>['5th Most runs in an innings (by batting position) (137*)', '2nd Outstanding bowling analyses in an innings (2/1)', '5th Youngest player to take five-wickets-in-an-innings (18y 46d)', '8th Most balls bowled in career (28814)', '10th Most runs conceded in career (12441)', '3rd Most wickets taken caught and bowled (21)', ' 1000 runs and 100 wickets ', ' 1000 runs, 50 wickets and 50 catches ', '5th Most runs in an innings (by batting position) (83)', '10th Most ducks in career (23)', '4th Outstanding bowling analyses in an innings (5/7)', '8th Most balls bowled in career (14060)', '9th Most runs conceded in career (9674)', '6th Most wickets taken lbw (59)', ' 1000 runs and 100 wickets ', ' 1000 runs, 50 wickets and 50 catches ', '4th Best figures in a innings by a captain (4)', '1st Best career economy rate (5.70)', '6th Most ducks in career (46)', '5th Most balls bowled in career (43661)', '6th Most runs conceded in career (22863)', '3rd Most wickets taken caught and bowled (34)']</t>
  </si>
  <si>
    <t>['5th Most runs in an innings (by batting position) (137*)', '23rd Most ducks in career (20)', '22nd Most wickets in career (362)', '2nd Outstanding bowling analyses in an innings (2/1)', '26th Most wickets on a single ground (57)', '16th Best figures in a innings by a captain (6)', '21st Best figures in a match by a captain (9)', '24th Best figures in a innings when on the losing side (7)', '5th Best figures in a match when on the losing side (12)', '22nd Most five-wickets-in-an-innings in a career (20)', '29th Most ten-wickets-in-a-match in a career (3)', '18th Most consecutive five-wickets-in-an-innings (3)', '5th Youngest player to take five-wickets-in-an-innings (18y 46d)', '19th Youngest player to take ten-wickets-in-a-match (21y 44d)', '8th Most balls bowled in career (28814)', '45th Most balls bowled in an innings (426)', '10th Most runs conceded in career (12441)', '35th Most runs conceded in an innings (200)', '19th Most wickets taken caught (231)', '3rd Most wickets taken caught and bowled (21)', '11th Most wickets taken caught by a fielder (195)', '18th Most wickets taken lbw (76)', '16th Most wickets taken stumped (13)', '41st Most matches in career (113)', '15th Most player-of-the-match awards (11)', '44th Most player-of-the-series awards (3)', '37th Youngest players (18y 10d)', '43rd Most matches as captain (32)', '17th Most consecutive matches as captain of a team (32)']</t>
  </si>
  <si>
    <t>['5th Most runs in an innings (by batting position) (83)', '11th Most runs in a career without a hundred (2253)', '10th Most ducks in career (23)', '13th Most wickets in career (305)', '49th Most wickets in a calendar year (43)', '4th Outstanding bowling analyses in an innings (5/7)', '6th Best figures in a innings by a captain (5)', '47th Best strike rate in an innings (7.2)', '43rd Most five-wickets-in-an-innings in a career (2)', '25th Most four-wickets-in-an-innings in a career (10)', '8th Most balls bowled in career (14060)', '9th Most runs conceded in career (9674)', '25th Bowler/Batters combinations (8)', '26th Most wickets taken bowled (56)', '21st Most wickets taken caught (172)', '19th Most wickets taken caught and bowled (12)', '11th Most wickets taken caught by a fielder (145)', '6th Most wickets taken lbw (59)', '16th Most wickets taken stumped (18)', '32nd Fastest to 200 wickets (198)', '23rd Fastest to 250 wickets (245)', '11th Fastest to 300 wickets (291)', '40th Most catches in career (88)', '39th Highest partnership for the ninth wicket (70)', '45th Highest partnership for the tenth wicket (47)', '23rd Most matches in career (295)', '13th Longest careers (18y 4d)', '30th Most matches as captain (82)', '32nd Most consecutive matches as captain of a team (36)']</t>
  </si>
  <si>
    <t>['13th Outstanding bowling analyses in an innings (3/6)', '4th Best figures in a innings by a captain (4)', '25th Best career bowling average (19.68)', '1st Best career economy rate (5.70)', '17th Bowler/batters combinations (3)', '12th Bowler/fielder combinations (8)', '48th Most wickets taken bowled (10)', '32nd Most wickets taken lbw (5)', '18th Most matches as captain (28)', '31st Most consecutive matches as captain of a team (36)']</t>
  </si>
  <si>
    <t>['8th Shortest lived players (29y 263d)']</t>
  </si>
  <si>
    <t>['50th Most runs in a career without a hundred (1010)', '21st Shortest lived players (29y 263d)', '50th Most dismissals in career (96)', '46th Most catches in career (92)']</t>
  </si>
  <si>
    <t>['36th Highest partnership for the sixth wicket (130)', '8th Shortest lived players (29y 263d)']</t>
  </si>
  <si>
    <t>['9th Longest lived players (95y 151d)']</t>
  </si>
  <si>
    <t>['42nd Most runs in an innings (by batting position) (30)', '5th Most runs conceded in an innings (64)', '48th Highest partnership for the ninth wicket (26)']</t>
  </si>
  <si>
    <t>['10th Most runs in an innings (by batting position) (68)', '5th Most hundreds in a calendar year (2)', '3rd Outstanding bowling analyses in an innings (4/2)', '8th Best strike rate in an innings (6.2)', '4th Most catches in an innings (3)', ' Opening the batting and bowling in the same match ', '8th Most runs in an innings (by batting position) (89*)']</t>
  </si>
  <si>
    <t>['48th Most runs in career (1889)', '10th Most runs in an innings (by batting position) (68)', '26th Most runs on a single ground (382)', '25th Most hundreds in a career (2)', '5th Most hundreds in a calendar year (2)', '21st Most ducks in career (9)', '25th Most wickets in career (92)', '27th Most wickets in a calendar year (23)', '3rd Outstanding bowling analyses in an innings (4/2)', '4th Most wickets on a single ground (21)', '9th Best figures in a innings by a captain (4)', '11th Best figures in a innings when on the losing side (4)', '8th Best strike rate in an innings (6.2)', '46th Worst career bowling average (31.04)', '15th Most four-wickets-in-an-innings in a career (5)', '19th Most balls bowled in career (4392)', '15th Most runs conceded in career (2856)', '31st Bowler/Batters combinations (5)', '19th Bowler/fielder combinations (14)', '14th Most wickets taken caught (64)', '24th Most wickets taken caught and bowled (6)', '16th Most wickets taken caught by a fielder (49)', '11th Most wickets taken caught by a wicketkeeper (15)', '22nd Most wickets taken stumped (10)', '20th Most catches in career (37)', '4th Most catches in an innings (3)', '25th Highest partnership for the second wicket (161)', '30th Highest partnership for the fifth wicket (94)', '46th Highest partnership for the seventh wicket (57)', '24th Highest partnership for the eighth wicket (49)', '41st Most matches in career (103)', '35th Most matches as captain (22)', '49th Youngest captains (25y 140d)']</t>
  </si>
  <si>
    <t>['40th Most runs in an innings (89*)', '8th Most runs in an innings (by batting position) (89*)', '13th Most runs in an innings by a captain (89*)', '34th Most fifties in career (3)', '21st Most innings before first duck (18)', '14th Highest percentage of runs in a completed innings (61.37)', '21st Best figures in a innings by a captain (3)', '13th Best strike rate in an innings (3.0)', '26th Worst career economy rate (6.14)', '12th Best figures in a innings on debut (3)', '47th Highest partnership for the third wicket (75)', '46th Highest partnership for the fifth wicket (51)', '18th Most matches as captain (29)']</t>
  </si>
  <si>
    <t>['1st Most consecutive matches missed for a team between appearances (271)']</t>
  </si>
  <si>
    <t>['1st Longest intervals between appearances (11y 331d)', '1st Most consecutive matches missed for a team between appearances (271)']</t>
  </si>
  <si>
    <t>['13th Worst strike rate in an innings (234.0)']</t>
  </si>
  <si>
    <t>['4th Most runs in debut match (77*)', '1st Most consecutive ducks (3)']</t>
  </si>
  <si>
    <t>['16th Most runs in debut match (62)']</t>
  </si>
  <si>
    <t>['50th Most runs in an innings (by batting position) (77*)', '4th Most runs in debut match (77*)', '1st Most consecutive ducks (3)']</t>
  </si>
  <si>
    <t>['5th Most dismissals in an innings (6)', '3rd Most catches in a series (42)', '7th Most runs in an innings by a wicketkeeper (205)', ' Hundred and a duck in a match ', ' A hundred and five dismissals in an innings ', '5th Highest partnership for the seventh wicket (261)']</t>
  </si>
  <si>
    <t>['7th Most runs in an innings (by batting position) (205)', '7th Most runs in an innings by a wicketkeeper (205)', '46th Longest individual innings (by minutes) (667)', '5th Highest partnership for the seventh wicket (261)', '10th Highest partnership for the tenth wicket (127)', '9th Most dismissals in career (257)', '5th Most dismissals in an innings (6)', '8th Most dismissals in a match (9)', '9th Most catches in career (249)', '5th Most catches in an innings (6)', '8th Most catches in a match (9)', '3rd Most catches in a series (42)', '38th Highest innings total without conceding a bye (556/4d)']</t>
  </si>
  <si>
    <t>['41st Worst career bowling average (without qualification) (70.00)']</t>
  </si>
  <si>
    <t>['22nd No ducks in career (21)', '46th Longest intervals between appearances (8y 224d)', '48th Longest lived players (91y 93d)', '40th Oldest captains on captaincy debut (36y 77d)']</t>
  </si>
  <si>
    <t>['36th Highest strike rate in an innings (180.00)', '20th Bowler/fielder combinations (53)', '38th Most wickets taken caught (179)', '36th Most wickets taken caught by a fielder (122)', '39th Most wickets taken caught by a wicketkeeper (57)', '21st Fastest to 200 wickets (46)']</t>
  </si>
  <si>
    <t>['2nd Most runs in an innings (by batting position) (115*)', '1st Outstanding bowling analyses in an innings (2/0)', '4th Most catches in an innings (3)']</t>
  </si>
  <si>
    <t>['2nd Most runs in an innings (by batting position) (115*)', '31st Highest maiden hundred (115*)', '24th Oldest player to score a hundred (32y 159d)', '16th Oldest player to score a maiden hundred (32y 159d)', '1st Outstanding bowling analyses in an innings (2/0)', '44th Bowler/fielder combinations (10)', '36th Most wickets taken lbw (12)', '4th Most catches in an innings (3)', '43rd Highest partnership for the seventh wicket (58)', '49th Most consecutive matches missed for a team between appearances (29)']</t>
  </si>
  <si>
    <t>['33rd Worst economy rate in an innings (6.53)']</t>
  </si>
  <si>
    <t>[' Hundred on debut (131)', ' 5000 runs and 50 fielding dismissals ', '2nd Highest partnership for the sixth wicket (365*)', '6th Youngest captains (21y 332d)', '3rd Most runs in an series by a captain (578)', '6th Most nineties in career (7)', '2nd Fifties in consecutive innings (6)', '3rd Fastest to 6000 runs (139)', ' 5000 runs and 50 fielding dismissals ', '5th Most matches as captain (49)', '2nd Highest percentage of runs in a completed innings (70.00)', '9th Fastest to 1000 runs (34)', '3rd Highest partnership for the fourth wicket (124)', '5th Most runs in a calendar year (2692)', '6th Most nineties in career (12)', '2nd Fifties in consecutive innings (7)']</t>
  </si>
  <si>
    <t>['39th Most runs in a match (311)', '44th Most runs on a single ground (1238)', '20th Most runs in an innings by a captain (251)', '19th Highest career batting average (54.31)', '39th Hundred in last match (238)', '23rd Most hundreds in a career (24)', '17th Most double hundreds in a career (4)', '19th Most hundreds in a calendar year (5)', '21st Hundreds in consecutive matches (3)', '28th Youngest player to score a hundred (20y 88d)', '37th Most fifties in career (56)', '49th Most fours in career (782)', '27th Fastest to 4000 runs (89)', '30th Fastest to 5000 runs (110)', '16th Fastest to 6000 runs (126)', '13th Fastest to 7000 runs (144)', '29th Highest partnerships for any wicket (369)', '38th Highest partnership for the third wicket (265)', '7th Highest partnership for the fourth wicket (369)', '2nd Highest partnership for the sixth wicket (365*)', '32nd Most player-of-the-match awards (9)', '35th Most matches as captain (35)', '33rd Most consecutive matches as captain of a team (25)']</t>
  </si>
  <si>
    <t>['10th Most runs in a series (578)', '19th Most runs in a calendar year (1376)', '3rd Most runs in an series by a captain (578)', '22nd Most runs in an innings by a captain (148)', '21st Highest career batting average (47.48)', '33rd Most hundreds in a career (13)', '17th Youngest player to score a hundred (20y 67d)', '6th Most nineties in career (7)', '47th Most fifties in career (52)', '2nd Fifties in consecutive innings (6)', '39th Fewest ducks in career (28.8)', '24th Fastest to 2000 runs (54)', '10th Fastest to 3000 runs (73)', '8th Fastest to 4000 runs (96)', '9th Fastest to 5000 runs (119)', '3rd Fastest to 6000 runs (139)', '27th Highest partnership for the third wicket (206)', '17th Most player-of-the-series awards (5)', '32nd Most matches as captain (77)', '6th Youngest captains (21y 332d)']</t>
  </si>
  <si>
    <t>['16th Most runs in career (1805)', '13th Most runs in an innings (by batting position) (95)', '31st Most runs on a single ground (307)', '14th Most runs in an innings by a captain (95)', '32nd Highest career batting average (31.66)', '15th Most fifties in career (13)', '40th Most innings before first duck (17)', '27th Fewest ducks in career (21.66)', '14th Most fours in career (182)', '31st Most fours in an innings (11)', '2nd Highest percentage of runs in a completed innings (70.00)', '9th Fastest to 1000 runs (34)', '21st Most catches in career (32)', '15th Most catches in an innings (3)', '3rd Highest partnership for the fourth wicket (124)', '18th Highest partnership for the fifth wicket (81*)', '40th Most matches in career (67)', '46th Most consecutive matches for a team (29)', '5th Most matches as captain (49)', '9th Youngest captains (21y 328d)', '19th Most consecutive matches as captain of a team (20)', '13th Winning all tosses in a series (3)']</t>
  </si>
  <si>
    <t>['23rd Most runs in debut match (62)']</t>
  </si>
  <si>
    <t>['40th Dismissed for 99 (and 199, 299 etc) (99)', '50th Most consecutive innings without a duck (53)', '33rd Winning all tosses in a series (3)']</t>
  </si>
  <si>
    <t>['30th Most runs in a series (511)', '25th Oldest player to score a maiden hundred (33y 255d)', '14th Winning all tosses in a series (3)']</t>
  </si>
  <si>
    <t>['8th Most catches in a match (6)', '2nd Most catches by a substitute in an innings (3)']</t>
  </si>
  <si>
    <t>['28th Most fours in an innings (37)', '8th Most catches in a match (6)']</t>
  </si>
  <si>
    <t>['34th Most runs in a career without a hundred (1668)', '2nd Most catches by a substitute in an innings (3)']</t>
  </si>
  <si>
    <t>['39th Most runs in debut match (53)']</t>
  </si>
  <si>
    <t>[' Hundred on debut (110)', '1st Hundreds in consecutive matches from debut (3)', ' Hundred and a duck in a match ', '1st Most catches in an innings (5)', ' 5000 runs and 50 fielding dismissals ', '6th Most consecutive matches for a team (126)', '2nd Most consecutive matches as captain of a team (98)', '9th Most runs in an innings (by batting position) (153*)', '6th Most nineties in career (7)', '2nd Most catches in an innings (4)', ' 5000 runs and 50 fielding dismissals ', '1st Highest partnership for the fourth wicket (275*)', '2nd Most consecutive matches as captain of a team (98)', '4th Most consecutive matches for a team (168)', '1st Most consecutive matches as captain of a team (128)', '1st Hundreds in consecutive matches from debut (2)']</t>
  </si>
  <si>
    <t>['26th Hundred in last match (102)', '32nd Most hundreds in a career (22)', '21st Hundreds in consecutive matches (3)', '1st Hundreds in consecutive matches from debut (3)', '38th Dismissed for 99 (and 199, 299 etc) (199)', '25th Fewest ducks in career (29.4)', '23rd Fastest to 3000 runs (64)', '26th Fastest to 4000 runs (88)', '50th Fastest to 5000 runs (120)', '41st Fastest to 6000 runs (143)', '34th Most catches in career (105)', '1st Most catches in an innings (5)', '42nd Most catches in a series (10)', '14th Highest partnership for the sixth wicket (272)', '16th Highest partnership for the eighth wicket (161)', '23rd Most consecutive matches for a team (69)', '44th Most player-of-the-series awards (3)', '22nd Most matches as captain (47)', '11th Most consecutive matches as captain of a team (37)', '43rd Winning all tosses in a series (3)']</t>
  </si>
  <si>
    <t>['18th Most runs in career (9378)', '35th Most runs in a calendar year (1268)', '9th Most runs in an innings (by batting position) (153*)', '16th Most runs on a single ground (1660)', '48th Most runs in an series by a captain (332)', '17th Most runs in an innings by a captain (153*)', '22nd Highest strike rate in an innings (290.00)', '37th Oldest player to score a hundred (35y 224d)', '6th Most nineties in career (7)', '28th Most fifties in career (65)', '44th Fifties in consecutive innings (4)', '30th Most consecutive innings without a duck (70)', '28th Fewest ducks in career (34.22)', '43rd Most fours in career (622+)', '48th Fastest to 6000 runs (205)', '33rd Fastest to 7000 runs (233)', '28th Fastest to 8000 runs (257)', '19th Fastest to 9000 runs (294)', '3rd Most catches in career (156)', '2nd Most catches in an innings (4)', '24th Most catches in a series (8)', '11th Highest partnerships for any wicket (275*)', '4th Highest partnerships by wicket (4th)', '1st Highest partnership for the fourth wicket (275*)', '4th Highest partnership for the fifth wicket (223)', '41st Highest partnership for the sixth wicket (127)', '12th Most matches in career (334)', '6th Most consecutive matches for a team (126)', '40th Most player-of-the-match awards (18)', '45th Most player-of-the-series awards (3)', '48th Longest careers (15y 135d)', '6th Most matches as captain (174)', '2nd Most consecutive matches as captain of a team (98)', '31st Winning all tosses in a series (5)']</t>
  </si>
  <si>
    <t>['2nd Most consecutive matches as captain of a team (98)']</t>
  </si>
  <si>
    <t>['8th Longest intervals between appearances (12y 129d)', ' Hundred on debut (118)', '10th Longest intervals between appearances (12y 129d)']</t>
  </si>
  <si>
    <t>['45th Most runs in debut match (156)', '28th Longest careers (19y 0d)', '8th Longest intervals between appearances (12y 129d)', '13th Oldest captains (41y 95d)', '39th Oldest captains on captaincy debut (36y 78d)']</t>
  </si>
  <si>
    <t>['18th Highest partnership for the tenth wicket (109)', '28th Oldest captains (39y 195d)', '11th Oldest captains on captaincy debut (39y 190d)']</t>
  </si>
  <si>
    <t>[' Hundred and a ninety in a match ', '2nd Most ducks in a series (5)', '9th Highest percentage of runs in a completed innings (61.85)', ' Opening the batting and bowling in the same match ', '5th Oldest player to score a maiden hundred (37y 117d)', '1st Unusual dismissals (handled the bal)']</t>
  </si>
  <si>
    <t>['2nd Most ducks in a series (5)', '9th Highest percentage of runs in a completed innings (61.85)', '27th Worst career bowling average (55.68)', '37th Worst career strike rate (114.8)', '39th Longest careers (18y 22d)']</t>
  </si>
  <si>
    <t>['13th Oldest player to score a hundred (37y 185d)', '5th Oldest player to score a maiden hundred (37y 117d)', '28th Most innings before first duck (38)', '24th Fewest ducks in career (37.5)', '1st Unusual dismissals (handled the bal)', '42nd Oldest captains on captaincy debut (34y 37d)']</t>
  </si>
  <si>
    <t>['3rd Most runs in an innings (by batting position) (190)', '10th Highest career batting average (50.45)', '1st Hundreds in consecutive matches (2)', '5th Fifties in consecutive innings (3)', '8th Fewest ducks in career (23)', '1st Outstanding bowling analyses in an innings (1/0)', '6th No ducks in career (21)']</t>
  </si>
  <si>
    <t>['6th Most runs in career (1110)', '10th Most runs in an innings (190)', '4th Most runs in an innings (progressive record holder) (190)', '4th Most runs in a match (217)', '7th Most runs in a series (359)', '8th Most runs in a calendar year (359)', '3rd Most runs in an innings (by batting position) (190)', '10th Highest career batting average (50.45)', '2nd Most hundreds in a career (4)', '1st Most hundreds in a series (2)', '1st Most hundreds in a calendar year (2)', '3rd Most hundreds against one team (2)', '1st Hundreds in consecutive matches (2)', '20th Highest maiden hundred (134)', '7th Youngest player to score a hundred (20y 277d)', '6th Most fifties in career (8)', '5th Fifties in consecutive innings (3)', '8th Fewest ducks in career (23)', '19th Highest percentage of runs in a completed innings (50.80)', '1st Outstanding bowling analyses in an innings (1/0)', '18th Most consecutive matches for a team (13)']</t>
  </si>
  <si>
    <t>['46th Highest career batting average (31.50)', '15th Most runs in debut match (64)', '6th No ducks in career (21)', '18th Longest intervals between appearances (6y 358d)']</t>
  </si>
  <si>
    <t>['24th Best figures in a innings when on the losing side (7)', '18th Shortest lived players (29y 169d)']</t>
  </si>
  <si>
    <t>['32nd Most runs in a day (206)', '20th Highest maiden hundred (215)', '13th Most sixes in an innings (8)', '28th Most runs from fours and sixes in an innings (160)', '22nd Fastest to 1000 runs (19)', '12th Highest partnership for the first wicket (317)']</t>
  </si>
  <si>
    <t>['49th Most runs in a career without a hundred (1018)', '22nd Best figures in a innings on debut (6)']</t>
  </si>
  <si>
    <t>['27th Oldest living players (79y 265d)']</t>
  </si>
  <si>
    <t>['10th Most wickets on a single ground (16)', '6th Most wickets taken caught and bowled (9)']</t>
  </si>
  <si>
    <t>['13th Best economy rate in an innings (0.46)', '11th Worst economy rate in an innings (4.55)']</t>
  </si>
  <si>
    <t>['20th Most wickets in career (100)', '30th Best figures in an innings (5/14)', '18th Most wickets in a calendar year (25)', '13th Outstanding bowling analyses in an innings (5/14)', '10th Most wickets on a single ground (16)', '11th Best figures in a innings when on the losing side (4)', '33rd Best strike rate in an innings (8.2)', '15th Most four-wickets-in-an-innings in a career (5)', '21st Youngest player to take five-wickets-in-an-innings (21y 348d)', '21st Most balls bowled in career (4036)', '22nd Most runs conceded in career (2402)', '44th Bowler/fielder combinations (10)', '29th Most wickets taken bowled (21)', '20th Most wickets taken caught (57)', '6th Most wickets taken caught and bowled (9)', '12th Most wickets taken caught by a fielder (50)', '9th Most wickets taken stumped (14)']</t>
  </si>
  <si>
    <t>[' Hundred on debut (124)', '9th Best career bowling average (without qualification) (5.00)']</t>
  </si>
  <si>
    <t>['34th Youngest player to score a hundred (20y 137d)']</t>
  </si>
  <si>
    <t>['1st Most consecutive ducks (5)', '1st Best figures in a innings when on the losing side (6)', '6th Bowler/Batters combinations (10)', '2nd Fastest to 50 wickets (23)', ' 1000 runs and 100 wickets ', ' 1000 runs, 50 wickets and 50 catches ', '1st Most consecutive ducks (5)']</t>
  </si>
  <si>
    <t>['2nd Most ducks in a series (5)', '1st Most consecutive ducks (5)', '7th Most pairs in career (3)']</t>
  </si>
  <si>
    <t>['44th Highest strike rate in an innings (268.00)', '15th Most wickets in career (288)', '9th Most wickets in a calendar year (58)', '1st Best figures in a innings when on the losing side (6)', '43rd Most five-wickets-in-an-innings in a career (2)', '16th Most four-wickets-in-an-innings in a career (12)', '26th Most balls bowled in career (9484)', '20th Most runs conceded in career (8021)', '6th Bowler/Batters combinations (10)', '18th Most wickets taken bowled (71)', '16th Most wickets taken caught (179)', '25th Most wickets taken caught and bowled (11)', '20th Most wickets taken caught by a fielder (125)', '16th Most wickets taken caught by a wicketkeeper (54)', '22nd Most wickets taken lbw (38)', '2nd Fastest to 50 wickets (23)', '34th Fastest to 100 wickets (67)', '17th Fastest to 150 wickets (97)', '10th Fastest to 200 wickets (133)', '8th Fastest to 250 wickets (163)']</t>
  </si>
  <si>
    <t>['3rd Most player-of-the-series awards (8)', '6th Most ten-wickets-in-a-match in a career (7)', '1st Fastest to 350 wickets (66)', ' A hundred and five wickets in an innings ', '9th Most runs in an innings (by batting position) (31*)', '9th Outstanding bowling analyses in an innings (4/8)', '3rd Bowler/fielder combinations (10)', '10th Most five-wickets-in-an-innings in a career (30)']</t>
  </si>
  <si>
    <t>['15th Most wickets in career (409)', '25th Best figures in a match (13)', '44th Most wickets in a series (32)', '13th Most wickets in a calendar year (72)', '40th Best figures in a match when on the losing side (10)', '22nd Best figures in a innings on debut (6)', '17th Best figures in a match on debut (9)', '6th Most five-wickets-in-an-innings in a career (30)', '6th Most ten-wickets-in-a-match in a career (7)', '22nd Most balls bowled in career (21520)', '17th Most runs conceded in career (10099)', '44th Most runs conceded in an innings (194)', '27th Most runs conceded in a match (267)', '32nd Bowler/Batter combinations (11)', '17th Most wickets taken bowled (86)', '20th Most wickets taken caught (228)', '11th Most wickets taken caught and bowled (12)', '12th Most wickets taken caught by a fielder (190)', '13th Most wickets taken lbw (86)', '8th Fastest to 50 wickets (9)', '6th Fastest to 100 wickets (18)', '5th Fastest to 150 wickets (29)', '3rd Fastest to 200 wickets (37)', '1st Fastest to 250 wickets (45)', '1st Fastest to 300 wickets (54)', '1st Fastest to 350 wickets (66)', '2nd Fastest to 400 wickets (77)', '37th Highest partnership for the sixth wicket (213)', '41st Most player-of-the-match awards (8)', '3rd Most player-of-the-series awards (8)']</t>
  </si>
  <si>
    <t>['18th Most wickets taken stumped (17)', '36th Fastest to 150 wickets (111)']</t>
  </si>
  <si>
    <t>['9th Most runs in an innings (by batting position) (31*)', '33rd Most wickets in career (52)', '17th Most wickets in a calendar year (23)', '9th Outstanding bowling analyses in an innings (4/8)', '18th Most wickets on a single ground (15)', '41st Best career economy rate (6.97)', '16th Most four-wickets-in-an-innings in a career (2)', '32nd Most balls bowled in career (1026)', '32nd Most runs conceded in career (1193)', '17th Bowler/batters combinations (3)', '3rd Bowler/fielder combinations (10)', '34th Most wickets taken caught (34)', '21st Most wickets taken caught by a fielder (33)', '24th Most wickets taken lbw (6)', '17th Most wickets taken stumped (5)', '18th Fastest to 50 wickets (42)', '37th Highest partnership for the ninth wicket (28)']</t>
  </si>
  <si>
    <t>[' Hundred on debut (112)']</t>
  </si>
  <si>
    <t>['33rd Youngest player to score a hundred (20y 126d)']</t>
  </si>
  <si>
    <t>['43rd Highest partnership for the seventh wicket (102)']</t>
  </si>
  <si>
    <t>['1st Outstanding bowling analyses in an innings (6/4)', '6th Best strike rate in an innings (4.6)']</t>
  </si>
  <si>
    <t>['13th Best figures in an innings (6/4)', '1st Outstanding bowling analyses in an innings (6/4)', '6th Best strike rate in an innings (4.6)']</t>
  </si>
  <si>
    <t>['37th Highest partnership for the fifth wicket (71)']</t>
  </si>
  <si>
    <t>['45th Oldest players on debut (37y 124d)']</t>
  </si>
  <si>
    <t>['43rd Worst career strike rate (109.5)', '41st Oldest living players (86y 315d)']</t>
  </si>
  <si>
    <t>['7th Outstanding bowling analyses in an innings (5/8)', '4th Oldest player to take a maiden five-wickets-in-an-innings (31y 11d)', '3rd Most wickets taken stumped (18)', '5th Best figures in a innings when on the losing side (4)', '8th Best career bowling average (14.71)']</t>
  </si>
  <si>
    <t>['44th Best career bowling average (without qualification) (14.66)']</t>
  </si>
  <si>
    <t>['16th Most innings before first duck (23)', '24th Most wickets in career (96)', '24th Best figures in an innings (5/8)', '8th Most wickets in a calendar year (29)', '7th Outstanding bowling analyses in an innings (5/8)', '24th Most wickets on a single ground (13)', '30th Best career strike rate (34.2)', '7th Most five-wickets-in-an-innings in a career (2)', '38th Most four-wickets-in-an-innings in a career (3)', '7th Oldest player to take five-wickets-in-an-innings (31y 144d)', '4th Oldest player to take a maiden five-wickets-in-an-innings (31y 11d)', '29th Most balls bowled in career (3291)', '36th Most runs conceded in career (2023)', '31st Bowler/Batters combinations (5)', '24th Most wickets taken bowled (23)', '45th Most wickets taken caught (40)', '38th Most wickets taken caught by a fielder (34)', '25th Most wickets taken lbw (15)', '3rd Most wickets taken stumped (18)', '47th Most catches in a series (6)']</t>
  </si>
  <si>
    <t>['34th Most wickets in career (53)', '11th Most wickets in a calendar year (23)', '27th Outstanding bowling analyses in an innings (1/2)', '5th Best figures in a innings when on the losing side (4)', '8th Best career bowling average (14.71)', '16th Best career economy rate (5.30)', '12th Best career strike rate (16.6)', '48th Most balls bowled in career (883)', '21st Bowler/fielder combinations (9)', '38th Most wickets taken bowled (11)', '11th Most wickets taken lbw (10)', '12th Most wickets taken stumped (10)', '41st Most maidens in career (5)']</t>
  </si>
  <si>
    <t>['1st Most ducks in a series (5)']</t>
  </si>
  <si>
    <t>['1st Most runs in a career without a hundred (614)', '4th No ducks in career (22)', '1st Outstanding bowling analyses in an innings (6/9)', '2nd Best strike rate in an innings (9.6)', '2nd Most wickets taken hit wicket (1)', '8th Youngest players (14y 165d)', '4th Most catches in an innings (3)', ' Opening the batting and bowling in the same match ']</t>
  </si>
  <si>
    <t>['26th Most runs in career (614)', '1st Most runs in a career without a hundred (614)', '14th Most fifties in career (6)', '4th No ducks in career (22)', '6th Most consecutive innings without a duck (22*)', '12th Best figures in an innings (6/9)', '1st Outstanding bowling analyses in an innings (6/9)', '2nd Best strike rate in an innings (9.6)', '11th Youngest player to take five-wickets-in-an-innings (21y 230d)', '2nd Most wickets taken hit wicket (1)']</t>
  </si>
  <si>
    <t>['40th Most innings before first duck (15)', '22nd Fewest ducks in career (26)', '4th Most catches in an innings (3)', '8th Youngest players (14y 165d)']</t>
  </si>
  <si>
    <t>['31st Best career bowling average (without qualification) (12.00)']</t>
  </si>
  <si>
    <t>['17th Longest lived players (71y 98d)']</t>
  </si>
  <si>
    <t>['9th Best figures in a innings by a captain (4)']</t>
  </si>
  <si>
    <t>['11th Best figures in a match by a captain (5)', '22nd Worst career bowling average (34.77)', '16th Worst career strike rate (112.8)']</t>
  </si>
  <si>
    <t>['9th Best figures in a innings by a captain (4)', '33rd Best career bowling average (18.92)', '30th Best career economy rate (2.74)']</t>
  </si>
  <si>
    <t>['6th Most consecutive matches missed for a team between appearances (196)']</t>
  </si>
  <si>
    <t>['20th Worst career bowling average (without qualification) (141.50)', '6th Most consecutive matches missed for a team between appearances (196)']</t>
  </si>
  <si>
    <t>['9th Most catches in a series (11)', '5th Most dismissals in career (67)', '8th Most catches in career (23)', '3rd Most stumpings in career (44)']</t>
  </si>
  <si>
    <t>['31st Most dismissals in career (22)', '11th Most dismissals in a series (16)', '30th Most catches in career (14)', '9th Most catches in a series (11)', '35th Most stumpings in career (8)', '22nd Most stumpings in a series (5)']</t>
  </si>
  <si>
    <t>['37th Most innings before first duck (13)', '16th Highest partnership for the fifth wicket (67)', '15th Most consecutive matches for a team (50)', '5th Most dismissals in career (67)', '6th Most dismissals in an innings (4)', '8th Most catches in career (23)', '3rd Most stumpings in career (44)', '9th Most stumpings in an innings (3)']</t>
  </si>
  <si>
    <t>['9th Longest intervals between appearances (8y 118d)']</t>
  </si>
  <si>
    <t>['11th Best figures in a innings when on the losing side (4)', '9th Longest intervals between appearances (8y 118d)']</t>
  </si>
  <si>
    <t>['24th Shortest lived players (29y 347d)']</t>
  </si>
  <si>
    <t>['30th Highest partnership for the ninth wicket (117)']</t>
  </si>
  <si>
    <t>['7th Most consecutive matches missed for a team between appearances (7)']</t>
  </si>
  <si>
    <t>['16th Longest intervals between appearances (8y 92d)', '7th Most consecutive matches missed for a team between appearances (7)']</t>
  </si>
  <si>
    <t>['27th Longest intervals between appearances (6y 20d)']</t>
  </si>
  <si>
    <t>[' Pair by a captain ', '9th Worst strike rate in an innings (426.0)', '8th Most wickets taken stumped (18)', '3rd Best economy rate in an innings (0.50)', '4th Most consecutive ducks (4)']</t>
  </si>
  <si>
    <t>['23rd Most ducks in career (20)', '11th Most ducks in a series (4)', '7th Most pairs in career (3)', '40th Most wickets in career (266)', '16th Best figures in a innings by a captain (6)', '14th Best figures in a match by a captain (10)', '24th Best figures in a innings when on the losing side (7)', '40th Best figures in a match when on the losing side (10)', '9th Worst strike rate in an innings (426.0)', '41st Most five-wickets-in-an-innings in a career (14)', '23rd Most balls bowled in career (21364)', '45th Most balls bowled in an innings (426)', '43rd Most runs conceded in career (7637)', '11th Most runs conceded in an innings (226)', '37th Most wickets taken caught (182)', '20th Most wickets taken caught by a fielder (156)', '8th Most wickets taken stumped (18)', '43rd Fastest to 200 wickets (51)', '22nd Fastest to 250 wickets (60)', '44th Most consecutive matches as captain of a team (22)', '23rd Winning all tosses in a series (3)']</t>
  </si>
  <si>
    <t>['3rd Best economy rate in an innings (0.50)']</t>
  </si>
  <si>
    <t>['3rd Outstanding bowling analyses in an innings (5/7)', '6th Most consecutive ducks (3)', '9th Fastest to 100 wickets (57)', '2nd Most wickets in a calendar year (28)', '1st Most maidens in an innings (2)', '5th Most wickets taken bowled (24)']</t>
  </si>
  <si>
    <t>['3rd Outstanding bowling analyses in an innings (5/7)', '35th Best career bowling average (22.10)', '30th Best career strike rate (49.0)', '41st Fastest to 50 wickets (11)']</t>
  </si>
  <si>
    <t>['6th Most consecutive ducks (3)', '42nd Most wickets in a series (18)', '13th Most consecutive four-wickets-in-an-innings (2)', '24th Fastest to 50 wickets (28)', '9th Fastest to 100 wickets (57)']</t>
  </si>
  <si>
    <t>['20th Most wickets in career (59)', '2nd Most wickets in a calendar year (28)', '30th Best career bowling average (20.25)', '21st Best career economy rate (6.66)', '26th Most balls bowled in career (1075)', '31st Most runs conceded in career (1195)', '45th Bowler/fielder combinations (6)', '5th Most wickets taken bowled (24)', '13th Most wickets taken caught by a wicketkeeper (8)', '32nd Most wickets taken lbw (5)', '14th Fastest to 50 wickets (41)', '1st Most maidens in career (7)', '1st Most maidens in an innings (2)']</t>
  </si>
  <si>
    <t>['6th Most runs in an innings (by batting position) (26)', '1st Most consecutive ducks (3)']</t>
  </si>
  <si>
    <t>['6th Most runs in an innings (by batting position) (26)', '6th Most ducks in career (4)', '1st Most consecutive ducks (3)', '2nd Most pairs in career (1)', '18th Most wickets in a series (16)', '19th Most wickets in a calendar year (16)', '11th Outstanding bowling analyses in an innings (5/25)', '33rd Best career bowling average (22.10)', '20th Best career strike rate (62.9)', '24th Best strike rate in an innings (18.0)', '12th Bowler/Batters combinations (4)']</t>
  </si>
  <si>
    <t>['6th Most runs in a career without a hundred (548)', '1st Most catches in an innings (3)', ' Opening the batting and bowling in the same match ', '10th Most matches in career (127)', '9th No ducks in career (16)']</t>
  </si>
  <si>
    <t>['33rd Most runs in career (548)', '30th Most runs in an innings by a captain (80)', '6th Most runs in a career without a hundred (548)', '50th Highest career batting average (30.44)', '29th Fewest ducks in career (10)', '7th Most catches in career (13)', '1st Most catches in an innings (3)', '2nd Most catches in a match (4)', '6th Most catches in a series (7)', '23rd Most consecutive matches for a team (12)', '14th Youngest captains (24y 239d)']</t>
  </si>
  <si>
    <t>['18th Most runs in career (2856)', '47th Highest career batting average (31.38)', '17th Youngest player to score a hundred (22y 50d)', '21st Most fifties in career (19)', '40th Most innings before first duck (15)', '40th Most ducks in career (8)', '32nd Most catches in career (33)', '18th Highest partnership for the third wicket (151)', '32nd Highest partnership for the fourth wicket (106*)', '15th Highest partnership for the eighth wicket (56)', '10th Most matches in career (127)', '40th Most consecutive matches for a team (40)', '13th Longest careers (17y 33d)', '25th Most matches as captain (28)', '28th Most consecutive matches as captain of a team (22)', '41st Youngest captains (24y 231d)']</t>
  </si>
  <si>
    <t>['9th No ducks in career (16)', '43rd Most matches as captain (10)', '13th Oldest captains (34y 308d)', '11th Oldest captains on captaincy debut (34y 274d)']</t>
  </si>
  <si>
    <t>['2nd Most pairs in career (4)', '5th Best figures in a innings when on the losing side (8)']</t>
  </si>
  <si>
    <t>['14th Most ducks in career (23)', '11th Most ducks in a series (4)', '2nd Most pairs in career (4)', '19th Most wickets in a series (35)', '5th Best figures in a innings when on the losing side (8)', '15th Best figures in a match when on the losing side (11)', '32nd Most five-wickets-in-an-innings in a career (16)', '24th Youngest player to take ten-wickets-in-a-match (21y 210d)', '44th Most balls bowled in career (15963)', '49th Most runs conceded in career (7199)', '32nd Most wickets taken bowled (64)', '40th Most wickets taken caught by a fielder (114)', '27th Fastest to 100 wickets (22)', '36th Fastest to 150 wickets (36)', '32nd Fastest to 200 wickets (48)']</t>
  </si>
  <si>
    <t>['36th Best career bowling average (without qualification) (12.00)']</t>
  </si>
  <si>
    <t>['3rd Most runs in a career without a hundred (2084)']</t>
  </si>
  <si>
    <t>['13th Longest lived players (73y 26d)']</t>
  </si>
  <si>
    <t>['1st Outstanding bowling analyses in an innings (6/7)']</t>
  </si>
  <si>
    <t>['1st Best figures in an innings (6/7)', '1st Outstanding bowling analyses in an innings (6/7)', '12th Best strike rate in an innings (3.3)', '43rd Most runs conceded in an innings (56)']</t>
  </si>
  <si>
    <t>['8th Worst career bowling average (without qualification) (205.00)']</t>
  </si>
  <si>
    <t>['42nd Fewest ducks in career (26)', '36th Oldest living players (87y 86d)']</t>
  </si>
  <si>
    <t>['2nd Worst strike rate in an innings (468.0)', '2nd Most runs conceded in an innings (276)']</t>
  </si>
  <si>
    <t>['12th Outstanding bowling analyses in an innings (3/8)', '2nd Worst strike rate in an innings (468.0)', '17th Most balls bowled in an innings (468)', '2nd Most runs conceded in an innings (276)', '17th Most runs conceded in a match (276)']</t>
  </si>
  <si>
    <t>['8th Worst economy rate in an innings (12.36)', '4th Outstanding bowling analyses in an innings (6/25)', '1st Most consecutive four-wickets-in-an-innings (2)', '5th Most runs conceded in an innings (64)', '6th Most wickets taken stumped (9)', '5th Fastest to 50 wickets (34)']</t>
  </si>
  <si>
    <t>['42nd Best career strike rate (31.4)', '8th Worst economy rate in an innings (12.36)', '43rd Most five-wickets-in-an-innings in a career (2)', '13th Most consecutive four-wickets-in-an-innings (2)', '40th Most wickets taken stumped (10)', '42nd Fastest to 50 wickets (30)']</t>
  </si>
  <si>
    <t>['17th Most wickets in career (62)', '4th Best figures in an innings (6/25)', '17th Most wickets in a calendar year (23)', '4th Outstanding bowling analyses in an innings (6/25)', '43rd Most wickets on a single ground (11)', '50th Best career strike rate (18.1)', '20th Best strike rate in an innings (4.0)', '18th Worst career economy rate (8.40)', '7th Most four-wickets-in-an-innings in a career (3)', '1st Most consecutive four-wickets-in-an-innings (2)', '20th Most balls bowled in career (1125)', '11th Most runs conceded in career (1575)', '5th Most runs conceded in an innings (64)', '17th Bowler/batters combinations (3)', '6th Bowler/fielder combinations (9)', '20th Most wickets taken bowled (14)', '34th Most wickets taken caught (34)', '21st Most wickets taken caught by a fielder (33)', '32nd Most wickets taken lbw (5)', '6th Most wickets taken stumped (9)', '5th Fastest to 50 wickets (34)']</t>
  </si>
  <si>
    <t>['13th Worst career bowling average (without qualification) (160.00)']</t>
  </si>
  <si>
    <t>['1st Best figures in a match when on the losing side (9)', '4th Youngest player to take five-wickets-in-an-innings (18y 84d)', '3rd Best figures in a innings when on the losing side (5)', '3rd Most consecutive four-wickets-in-an-innings (2)', '1st Most wickets taken stumped (32)']</t>
  </si>
  <si>
    <t>['11th Most wickets in career (41)', '1st Best figures in an innings (8/53)', '11th Best figures in a match (9)', '1st Outstanding bowling analyses in an innings (8/53)', '1st Best figures in a innings when on the losing side (8)', '1st Best figures in a match when on the losing side (9)', '19th Best career bowling average (18.90)', '35th Best career economy rate (1.74)', '21st Best career strike rate (64.9)', '14th Best figures in a innings on debut (4)', '4th Youngest player to take five-wickets-in-an-innings (18y 84d)', '15th Most balls bowled in career (2662)', '12th Most balls bowled in an innings (306)', '19th Most balls bowled in a match (413)', '21st Most runs conceded in career (775)', '15th Most runs conceded in a match (141)', '12th Most wickets taken bowled (13)', '14th Most wickets taken caught (21)', '14th Most wickets taken caught by a fielder (16)', '14th Most wickets taken caught by a wicketkeeper (5)', '20th Youngest players (17y 159d)']</t>
  </si>
  <si>
    <t>['10th Most wickets in career (141)', '30th Most wickets in a series (20)', '4th Most wickets in a calendar year (33)', '19th Most wickets on a single ground (14)', '3rd Best figures in a innings when on the losing side (5)', '11th Best career bowling average (16.34)', '38th Best career economy rate (2.82)', '34th Best career strike rate (34.6)', '7th Most five-wickets-in-an-innings in a career (2)', '9th Most four-wickets-in-an-innings in a career (6)', '3rd Most consecutive four-wickets-in-an-innings (2)', '15th Most balls bowled in career (4892)', '26th Most runs conceded in career (2305)', '31st Bowler/Batters combinations (5)', '2nd Bowler/fielder combinations (25)', '13th Most wickets taken bowled (29)', '18th Most wickets taken caught (60)', '10th Most wickets taken caught and bowled (8)', '12th Most wickets taken caught by a fielder (50)', '32nd Most wickets taken caught by a wicketkeeper (10)', '11th Most wickets taken lbw (20)', '1st Most wickets taken stumped (32)', '45th Most matches in career (97)', '47th Longest careers (13y 208d)']</t>
  </si>
  <si>
    <t>['3rd Most catches in an innings (4)', '6th Most stumpings in an innings (3)', '6th Most byes conceded in an innings (8)']</t>
  </si>
  <si>
    <t>['26th Most dismissals in career (30)', '17th Most dismissals in an innings (4)', '34th Most catches in career (11)', '3rd Most catches in an innings (4)', '16th Most stumpings in career (19)', '6th Most stumpings in an innings (3)', '17th Most stumpings in a series (6)']</t>
  </si>
  <si>
    <t>['6th Most byes conceded in an innings (8)']</t>
  </si>
  <si>
    <t>['5th Most matches in career (164)', '4th Most runs in career (13288)', ' Hundred in each innings of a match ', '1st Most nineties in career (10)', ' Two unbeaten fifties in a match ', ' Hundred and a duck in a match ', '2nd Most fours in career (1654)', ' Carrying bat through a completed innings (146*)', '2nd Fastest to 9000 runs (176)', '1st Most catches in career (210)', ' 5000 runs and 50 fielding dismissals ', '5th Most byes conceded in an innings (16)', '3rd Most runs in a calendar year (1761)', '5th Most hundreds in a calendar year (6)', '1st Dismissed for 99 (and 199, 299 etc) (99)', '8th Most fifties in career (95)', '1st Most consecutive innings without a duck (120)', '9th Fastest to 10000 runs (287)', '2nd Most catches in an innings (4)', ' 200 runs and 10 wicketkeeping dismissals in a series ', ' 5000 runs and 50 fielding dismissals ', '6th Highest partnership for the third wicket (237*)', '9th Most matches in career (509)', '6th Most runs in career (24208)', '5th Most hundreds in a calendar year (10)', '2nd Most nineties in career (14)', '2nd Fifties in consecutive innings (7)', '1st Most consecutive innings without a duck (173)', '5th Most fours in career (2604)', '5th Most catches in career (334)']</t>
  </si>
  <si>
    <t>['4th Most runs in career (13288)', '47th Most runs in a match (305)', '25th Most runs in a calendar year (1357)', '15th Most runs in an innings (by batting position) (180)', '28th Highest career batting average (52.31)', '5th Most hundreds in a career (36)', '13th Most double hundreds in a career (5)', '19th Most hundreds in a calendar year (5)', '33rd Most hundreds against one team (7)', '2nd Hundreds in consecutive innings (4)', '5th Hundreds in consecutive matches (4)', '1st Most nineties in career (10)', '25th Ninety on debut (95)', '4th Most fifties in career (99)', '7th Fifties in consecutive innings (6)', '26th Fifties in consecutive matches (7)', '26th Most innings before first duck (37)', '14th Most consecutive innings without a duck (72)', '17th Fewest ducks in career (35.75)', '2nd Most fours in career (1654)', '16th Longest individual innings (by minutes) (740)', '17th Fastest to 2000 runs (40)', '34th Fastest to 3000 runs (67)', '17th Fastest to 4000 runs (84)', '24th Fastest to 5000 runs (108)', '14th Fastest to 6000 runs (125)', '11th Fastest to 7000 runs (141)', '4th Fastest to 8000 runs (158)', '2nd Fastest to 9000 runs (176)', '5th Fastest to 10000 runs (206)', '5th Fastest to 11000 runs (234)', '5th Fastest to 12000 runs (255)', '4th Fastest to 13000 runs (277)', '1st Most catches in career (210)', '4th Most catches in a series (13)', '11th Highest partnership for the fifth wicket (303)', '28th Highest partnership for the sixth wicket (224)', '29th Highest partnership for the eighth wicket (144)', '5th Most matches in career (164)', '8th Most consecutive matches for a team (93)', '15th Most player-of-the-match awards (11)', '24th Most player-of-the-series awards (4)']</t>
  </si>
  <si>
    <t>['10th Most runs in career (10889)', '3rd Most runs in a calendar year (1761)', '18th Most runs in an innings (by batting position) (153)', '39th Most runs in a series by a wicketkeeper (318)', '17th Most runs in an innings by a wicketkeeper (145)', '37th Most hundreds in a career (12)', '5th Most hundreds in a calendar year (6)', '34th Most nineties in career (4)', '1st Dismissed for 99 (and 199, 299 etc) (99)', '8th Most fifties in career (95)', '11th Fifties in consecutive innings (5)', '1st Most consecutive innings without a duck (120)', '14th Most fours in career (950)', '44th Fastest to 3000 runs (89)', '41st Fastest to 4000 runs (117)', '39th Fastest to 5000 runs (148)', '25th Fastest to 6000 runs (171)', '18th Fastest to 7000 runs (204)', '17th Fastest to 8000 runs (228)', '11th Fastest to 9000 runs (259)', '9th Fastest to 10000 runs (287)', '13th Most catches in career (124)', '2nd Most catches in an innings (4)', '38th Highest partnerships for any wicket (237*)', '6th Highest partnership for the third wicket (237*)', '30th Highest partnership for the sixth wicket (132*)', '11th Most matches in career (344)', '47th Longest careers (15y 166d)', '31st Most matches as captain (79)', '23rd Captains who have kept wicket (5)', '36th Most dismissals in career (86)', '25th Most dismissals in a series (16)', '36th Most catches in career (72)', '24th Most catches in a series (15)', '28th Most stumpings in career (14)', '5th Most byes conceded in an innings (16)']</t>
  </si>
  <si>
    <t>['43rd Oldest living players (48y 63d)']</t>
  </si>
  <si>
    <t>['31st Best strike rate in an innings (4.5)', '31st Highest partnership for the eighth wicket (38)']</t>
  </si>
  <si>
    <t>[' Hundred on debut (187)', ' Hundred and a duck in a match ', '9th Hundred in hundredth match (109)', '8th Most nineties in career (6)', '5th Fastest to 3000 runs (72)', '2nd Most catches in an innings (4)', ' 5000 runs and 50 fielding dismissals ', '4th Most runs in a calendar year (689)', '7th Fewest ducks in career (63)', '8th Highest partnership for the third wicket (130)', '6th Hundreds in consecutive innings (3)']</t>
  </si>
  <si>
    <t>['19th Most runs in debut match (187)', '47th Highest partnership for the second wicket (253)']</t>
  </si>
  <si>
    <t>['25th Most runs in a match on the losing side (143)', '29th Highest career batting average (45.28)', '19th Most hundreds in a career (17)', '11th Most hundreds in a calendar year (5)', '39th Most hundreds against one team (4)', '9th Hundred in hundredth match (109)', '8th Most nineties in career (6)', '46th Most consecutive innings without a duck (62)', '46th Fewest ducks in career (27.8)', '29th Most fours in career (748)', '25th Most fours in an innings (20)', '11th Fastest to 1000 runs (24)', '7th Fastest to 2000 runs (48)', '5th Fastest to 3000 runs (72)', '7th Fastest to 4000 runs (95)', '7th Fastest to 5000 runs (118)', '2nd Most catches in an innings (4)', '28th Highest partnership for the second wicket (212)', '19th Highest partnership for the fifth wicket (167)', '45th Most player-of-the-series awards (3)']</t>
  </si>
  <si>
    <t>['22nd Most runs in career (1673)', '4th Most runs in a calendar year (689)', '16th Most runs in a match on the losing side (90)', '31st Highest strike rate in an innings (288.88)', '20th Most fifties in career (11)', '8th Most consecutive innings without a duck (59*)', '7th Fewest ducks in career (63)', '42nd Most sixes in career (49)', '14th Most fours in career (182)', '36th Longest individual innings (by balls) (62)', '32nd Fastest to 1000 runs (42)', '50th Highest partnerships for any wicket (130)', '8th Highest partnership for the third wicket (130)', '43rd Most matches in career (65)']</t>
  </si>
  <si>
    <t>['21st Best figures in a match on debut (5)']</t>
  </si>
  <si>
    <t>['5th Most dismissals in an innings (6)', '1st Captains who have kept wicket (60)', '5th Most catches in an innings (6)', '6th Most matches as captain (60)', '7th Most catches in career (256)', '3rd Most stumpings in career (38)', '3rd Most runs in an innings by a wicketkeeper (224)', ' 300 runs and 15 wicketkeeping dismissals in a series ', '1st Most dismissals in an innings (6)', '6th Most player-of-the-series awards (7)', '1st Captains who have kept wicket (200)', '4th Most catches in career (321)', '7th Most consecutive matches as captain of a team (69)', '1st Most stumpings in an innings (3)', '1st Most runs in an innings by a wicketkeeper (183*)', '9th Highest career batting average (50.57)', '8th Most nineties in career (6)', '5th Most sixes in career (229)', '6th Fastest to 10000 runs (273)', ' A hundred and four dismissals in an innings ', '6th Highest partnership for the ninth wicket (101)', '1st Most dismissals in an innings (5)', '8th Most matches in career (98)', '1st Most catches in an innings (5)', '1st Captains who have kept wicket (72)', '3rd Most catches in an innings (4)', '7th Most consecutive matches as captain of a team (69)', '1st Most stumpings in career (34)', '1st Most consecutive innings without a duck (84*)', '3rd Most dismissals in career (829)', '6th Most matches in career (538)', '1st Most matches as captain (332)', '3rd Most catches in career (634)', '1st Most stumpings in career (195)', '8th Most nineties in career (11)', '5th Most sixes in career (359)']</t>
  </si>
  <si>
    <t>['4th Most runs in an innings (by batting position) (224)', '32nd Most runs in a day (206)', '41st Most runs in an innings by a captain (224)', '30th Most runs in a series by a wicketkeeper (349)', '3rd Most runs in an innings by a wicketkeeper (224)', '20th Most nineties in career (5)', '14th Most sixes in career (78)', '36th Most sixes in an innings (6)', '40th Highest partnership for the sixth wicket (210)', '15th Highest partnership for the ninth wicket (140)', '6th Most matches as captain (60)', '29th Most consecutive matches as captain of a team (27)', '1st Captains who have kept wicket (60)', '5th Most dismissals in career (294)', '5th Most dismissals in an innings (6)', '8th Most dismissals in a match (9)', '7th Most catches in career (256)', '5th Most catches in an innings (6)', '26th Most catches in a match (8)', '3rd Most stumpings in career (38)', '12th Most stumpings in a match (3)', '18th Most stumpings in a series (5)', '25th Highest innings total without conceding a bye (581)', '16th Most byes conceded in an innings (28)']</t>
  </si>
  <si>
    <t>['11th Most runs in career (10773)', '19th Most runs in an innings (183*)', '3rd Most runs in an innings (by batting position) (139*)', '40th Most runs in a match on the losing side (139*)', '40th Most runs in an series by a captain (347)', '30th Most runs in an innings by a captain (139*)', '24th Most runs in a series by a wicketkeeper (347)', '1st Most runs in an innings by a wicketkeeper (183*)', '9th Highest career batting average (50.57)', '18th Highest maiden hundred (148)', '39th Oldest player to score a hundred (35y 196d)', '8th Most nineties in career (6)', '11th Most fifties in career (83)', '44th Fifties in consecutive innings (4)', '12th Most consecutive innings without a duck (85)', '35th Fewest ducks in career (29.7)', '5th Most sixes in career (229)', '21st Most fours in career (826)', '22nd Most sixes in an innings (10)', '16th Most runs from fours and sixes in an innings (120)', '24th Highest percentage of runs in a completed innings (58.03)', '45th Fastest to 1000 runs (29)', '47th Fastest to 3000 runs (90)', '34th Fastest to 4000 runs (114)', '19th Fastest to 5000 runs (135)', '16th Fastest to 6000 runs (166)', '10th Fastest to 7000 runs (189)', '9th Fastest to 8000 runs (214)', '9th Fastest to 9000 runs (244)', '6th Fastest to 10000 runs (273)', '43rd Highest partnership for the fourth wicket (166)', '39th Highest partnership for the sixth wicket (127*)', '6th Highest partnership for the seventh wicket (125*)', '8th Highest partnership for the eighth wicket (100*)', '6th Highest partnership for the ninth wicket (101)', '9th Most matches in career (350)', '36th Most consecutive matches for a team (79)', '28th Most player-of-the-match awards (21)', '6th Most player-of-the-series awards (7)', '3rd Most matches as captain (200)', '7th Most consecutive matches as captain of a team (69)', '33rd Oldest captains (37y 80d)', '1st Captains who have kept wicket (200)', '3rd Most dismissals in career (444)', '1st Most dismissals in an innings (6)', '4th Most dismissals in a series (21)', '4th Most catches in career (321)', '11th Most catches in an innings (5)', '7th Most catches in a series (19)', '1st Most stumpings in career (123)', '1st Most stumpings in an innings (3)', '2nd Most stumpings in a series (6)']</t>
  </si>
  <si>
    <t>['28th Most runs in career (1617)', '35th Most runs in an innings (by batting position) (52*)', '12th Highest career batting average (37.60)', '1st Most consecutive innings without a duck (84*)', '2nd Fewest ducks in career (85)', '39th Most sixes in career (52)', '45th Most fours in career (116)', '40th Highest partnership for the sixth wicket (63*)', '17th Highest partnership for the seventh wicket (59*)', '33rd Highest partnership for the ninth wicket (29)', '8th Most matches in career (98)', '20th Most consecutive matches for a team (39)', '29th Longest careers (12y 88d)', '1st Most matches as captain (72)', '1st Captains who have kept wicket (72)', '7th Most consecutive matches as captain of a team (69)', '10th Most consecutive matches as captain of a team (24)', '1st Most dismissals in career (91)', '1st Most dismissals in an innings (5)', '1st Most catches in career (57)', '1st Most catches in an innings (5)', '1st Most stumpings in career (34)']</t>
  </si>
  <si>
    <t>['13th Highest innings total without conceding a bye (610/6d)']</t>
  </si>
  <si>
    <t>['23rd Most runs in an innings (by batting position) (94*)', '48th Highest partnership for the ninth wicket (65*)', '21st Most stumpings in a series (4)']</t>
  </si>
  <si>
    <t>['6th Most runs in an innings (by batting position) (85)', '4th Most consecutive ducks (4)']</t>
  </si>
  <si>
    <t>['6th Most runs in an innings (by batting position) (85)', '4th Most consecutive ducks (4)', '33rd Youngest player to take five-wickets-in-an-innings (19y 363d)']</t>
  </si>
  <si>
    <t>['4th Outstanding bowling analyses in an innings (3/8)', '1st Most catches in an innings (3)']</t>
  </si>
  <si>
    <t>['22nd Most runs in a match on the losing side (85)', '4th Outstanding bowling analyses in an innings (3/8)', '15th Best figures in a innings when on the losing side (4)', '17th Best figures in a match when on the losing side (5)', '38th Best career bowling average (without qualification) (13.60)', '1st Most catches in an innings (3)', '2nd Most catches in a match (4)', '12th Most catches in a series (6)', '21st Highest partnership for the seventh wicket (72*)']</t>
  </si>
  <si>
    <t>['47th Oldest living players (86y 172d)']</t>
  </si>
  <si>
    <t>['22nd Best figures in a innings on debut (6)', '33rd Best figures in a match on debut (8)', '21st Most wickets taken stumped (11)']</t>
  </si>
  <si>
    <t>['29th No ducks in career (10)']</t>
  </si>
  <si>
    <t>['7th Most runs in an innings (by batting position) (92*)', '6th Most runs in debut match (66*)']</t>
  </si>
  <si>
    <t>['15th Highest partnership for the seventh wicket (77)']</t>
  </si>
  <si>
    <t>['7th Most runs in an innings (by batting position) (92*)', '39th Most runs in a career without a hundred (961)', '28th Fifties in consecutive innings (3)', '40th Most ducks in career (8)', '11th Best figures in a innings when on the losing side (4)', '42nd Most balls bowled in career (3015)', '46th Most runs conceded in career (1725)', '27th Most wickets taken caught by a wicketkeeper (11)', '29th Most wickets taken lbw (14)', '20th Most catches in career (37)', '48th Highest partnership for the eighth wicket (41*)', '46th Youngest captains (24y 336d)']</t>
  </si>
  <si>
    <t>['6th Most runs in debut match (66*)', '44th Outstanding bowling analyses in an innings (2/4)', '44th Highest partnership for the second wicket (87)', '12th Most maidens in an innings (2)']</t>
  </si>
  <si>
    <t>['6th Most matches in career (20)', '5th Most runs in an innings (by batting position) (57*)', '3rd Most wickets in career (63)', '6th Worst strike rate in an innings (276.0)', '1st Most balls bowled in career (5098+)', '2nd Most runs conceded in career (1624)', '4th Most wickets taken lbw (14)', '9th Best figures in a innings by a captain (4)', '4th Most catches in an innings (3)']</t>
  </si>
  <si>
    <t>['5th Most runs in an innings (by batting position) (57*)', '21st Most runs in a career without a hundred (404)', '29th Fewest ducks in career (10)', '3rd Most wickets in career (63)', '25th Best figures in an innings (6/64)', '15th Most wickets in a series (17)', '16th Most wickets in a calendar year (17)', '10th Most wickets on a single ground (11)', '10th Best figures in a innings by a captain (4)', '11th Best figures in a match by a captain (5)', '6th Worst strike rate in an innings (276.0)', '1st Most balls bowled in career (5098+)', '12th Most balls bowled in a match (438)', '2nd Most runs conceded in career (1624)', '5th Most runs conceded in an innings (119)', '9th Most runs conceded in a match (152)', '4th Most wickets taken bowled (21)', '12th Most wickets taken caught (24)', '7th Most wickets taken caught by a fielder (21)', '4th Most wickets taken lbw (14)', '6th Most matches in career (20)', '8th Most consecutive matches for a team (15)', '21st Longest careers (14y 104d)']</t>
  </si>
  <si>
    <t>['9th Best figures in a innings by a captain (4)', '11th Best figures in a innings when on the losing side (4)', '17th Best career bowling average (16.84)', '14th Best career economy rate (2.37)', '43rd Most wickets taken lbw (11)', '4th Most catches in an innings (3)', '47th Most catches in a series (6)', '22nd Longest careers (15y 209d)', '18th Longest intervals between appearances (6y 358d)', '41st Most matches as captain (18)', '17th Youngest captains (21y 340d)', '13th Oldest captains (37y 184d)']</t>
  </si>
  <si>
    <t>['8th Oldest living players (83y 96d)']</t>
  </si>
  <si>
    <t>['11th Most runs in a series by a wicketkeeper (415)', '25th Most stumpings in career (16)']</t>
  </si>
  <si>
    <t>['16th Most innings before first duck (41)', '27th Fewest ducks in career (28.5)']</t>
  </si>
  <si>
    <t>['43rd Worst career bowling average (47.20)', '15th Worst career strike rate (68.8)']</t>
  </si>
  <si>
    <t>['10th Most runs in an innings (by batting position) (48*)']</t>
  </si>
  <si>
    <t>['10th Most runs in an innings (by batting position) (48*)', '13th Most runs in a career without a hundred (452)', '24th Fewest ducks in career (11)', '32nd Most wickets in career (25)', '26th Best figures in a match (8)', '14th Most wickets on a single ground (10)', '26th Worst career bowling average (31.28)', '32nd Most balls bowled in career (1962)', '20th Most runs conceded in career (782)', '18th Most consecutive matches for a team (13)']</t>
  </si>
  <si>
    <t>['18th Longest intervals between appearances (6y 358d)']</t>
  </si>
  <si>
    <t>['3rd Most catches by a substitute in an innings (3)', '1st Most catches by a substitute in a match (4)']</t>
  </si>
  <si>
    <t>['5th Oldest living players (92y 217d)']</t>
  </si>
  <si>
    <t>['18th Most runs in an innings (by batting position) (50)', '24th Best figures in a innings when on the losing side (7)', '40th Best figures in a match when on the losing side (10)', '29th Oldest player to take ten-wickets-in-a-match (34y 121d)']</t>
  </si>
  <si>
    <t>['6th Outstanding bowling analyses in an innings (3/3)']</t>
  </si>
  <si>
    <t>['6th Outstanding bowling analyses in an innings (3/3)', '36th Best economy rate in an innings (0.42)']</t>
  </si>
  <si>
    <t>['45th Longest individual innings (by minutes) (671)']</t>
  </si>
  <si>
    <t>['5th Best strike rate in an innings (6.0)']</t>
  </si>
  <si>
    <t>['35th Worst career bowling average (without qualification) (67.60)', '23rd Worst economy rate in an innings (4.28)']</t>
  </si>
  <si>
    <t>['11th Most runs in an innings (by batting position) (45*)', '11th Best figures in a innings when on the losing side (4)', '5th Best strike rate in an innings (6.0)', '15th Best figures in a innings on debut (3)', '12th Highest partnership for the eighth wicket (60*)']</t>
  </si>
  <si>
    <t>['32nd Best career bowling average (without qualification) (11.00)', '12th Oldest living players (91y 92d)']</t>
  </si>
  <si>
    <t>['7th Most runs in an innings (by batting position) (62)', '5th Best figures in a match (10)', '4th Best career strike rate (49.3)', '1st Youngest player to take ten-wickets-in-a-match (23y 277d)', '1st Most wickets taken lbw (17)', '3rd Longest careers (19y 70d)', '4th Most runs in an innings (by batting position) (43*)', '1st Most ducks in career (17)', '1st Best figures in a innings when on the losing side (6)', '3rd Most four-wickets-in-an-innings in a career (9)', '1st Most balls bowled in career (9069)', '1st Most runs conceded in career (4972)', '1st Most wickets taken lbw (52)', '2nd Most catches in career (64)', ' 1000 runs and 100 wickets ', ' 1000 runs, 50 wickets and 50 catches ', '2nd Most runs in an innings (by batting position) (37*)', '3rd Most maidens in career (14)', '5th Most wickets taken bowled (26)']</t>
  </si>
  <si>
    <t>['7th Most runs in an innings (by batting position) (62)', '14th Most wickets in career (40)', '5th Best figures in a match (10)', '27th Most wickets in a series (15)', '11th Most wickets in a calendar year (19)', '11th Outstanding bowling analyses in an innings (5/25)', '7th Most wickets on a single ground (13)', '15th Best figures in a innings when on the losing side (4)', '9th Best career bowling average (16.62)', '4th Best career strike rate (49.3)', '17th Best strike rate in an innings (15.6)', '5th Most five-wickets-in-an-innings in a career (3)', '2nd Most ten-wickets-in-a-match in a career (1)', '2nd Most consecutive five-wickets-in-an-innings (2)', '15th Youngest player to take five-wickets-in-an-innings (22y 361d)', '1st Youngest player to take ten-wickets-in-a-match (23y 277d)', '31st Most balls bowled in career (1972)', '2nd Bowler/Batters combinations (5)', '3rd Most wickets taken caught by a wicketkeeper (10)', '1st Most wickets taken lbw (17)', '33rd Longest careers (12y 309d)']</t>
  </si>
  <si>
    <t>['4th Most runs in an innings (by batting position) (43*)', '27th Most runs in a career without a hundred (1085)', '1st Most ducks in career (17)', '1st Most wickets in career (233)', '12th Best figures in an innings (6/31)', '11th Most wickets in a series (24)', '21st Most wickets in a calendar year (24)', '7th Outstanding bowling analyses in an innings (6/31)', '10th Most wickets on a single ground (16)', '1st Best figures in a innings by a captain (6)', '1st Best figures in a innings when on the losing side (6)', '7th Most five-wickets-in-an-innings in a career (2)', '3rd Most four-wickets-in-an-innings in a career (9)', '28th Youngest player to take five-wickets-in-an-innings (23y 12d)', '1st Most balls bowled in career (9069)', '1st Most runs conceded in career (4972)', '5th Bowler/Batters combinations (7)', '33rd Bowler/fielder combinations (11)', '1st Most wickets taken bowled (89)', '4th Most wickets taken caught (91)', '7th Most wickets taken caught by a fielder (58)', '1st Most wickets taken caught by a wicketkeeper (33)', '1st Most wickets taken lbw (52)', '2nd Most catches in career (64)', '4th Most catches in an innings (3)', '26th Most catches in a series (7)', '22nd Highest partnership for the seventh wicket (65)', '14th Highest partnership for the ninth wicket (43*)', '28th Highest partnership for the tenth wicket (29)', '3rd Most matches in career (186)', '35th Oldest players (38y 112d)', '3rd Longest careers (19y 70d)', '31st Most matches as captain (25)', '29th Most consecutive matches as captain of a team (21)']</t>
  </si>
  <si>
    <t>['2nd Most runs in an innings (by batting position) (37*)', '46th Fewest ducks in career (15.33)', '29th Most wickets in career (56)', '21st Best figures in an innings (5/11)', '15th Outstanding bowling analyses in an innings (5/11)', '21st Best figures in a innings by a captain (3)', '25th Best career economy rate (5.45)', '23rd Worst career strike rate (24.1)', '22nd Most balls bowled in career (1351)', '21st Most runs conceded in career (1229)', '5th Most wickets taken bowled (26)', '46th Most wickets taken caught (25)', '10th Most wickets taken caught by a wicketkeeper (8)', '34th Most catches in career (23)', '35th Highest partnership for the eighth wicket (23*)', '25th Most matches as captain (18)', '3rd Most maidens in career (14)', '12th Most maidens in an innings (2)']</t>
  </si>
  <si>
    <t>['14th Longest lived players (94y 198d)']</t>
  </si>
  <si>
    <t>[' Hundred on debut (131)', '2nd Hundreds in consecutive matches from debut (2)', ' Hundred and a ninety in a match ', ' 5000 runs and 50 fielding dismissals ', '6th Most player-of-the-series awards (7)', '8th Most matches as captain (147)', '2nd Most runs in a calendar year (1767)', '2nd Most hundreds in a calendar year (7)', '8th Most nineties in career (6)', '9th Most fifties in career (94)', '9th Most fours in career (1122)', '3rd Fastest to 10000 runs (263)', '6th Best figures in a innings by a captain (5)', '7th Worst economy rate in an innings (12.40)', ' A fifty and five wickets in an innings ', ' 1000 runs, 50 wickets and 50 catches ', ' 5000 runs and 50 fielding dismissals ', '3rd Highest partnership for the second wicket (318)', '9th Most matches as captain (196)']</t>
  </si>
  <si>
    <t>['49th Most runs in career (7212)', '26th Most runs in a match (330)', '2nd Hundreds in consecutive matches from debut (2)', '29th Most sixes in career (57)', '36th Most fours in career (900)', '41st Fastest to 2000 runs (45)', '33rd Worst career bowling average (52.53)', '45th Highest partnership for the third wicket (255)', '41st Highest partnership for the fourth wicket (256)', '13th Highest partnership for the fifth wicket (300)', '31st Highest partnership for the seventh wicket (178)', '41st Most matches in career (113)', '44th Most consecutive matches for a team (56)', '44th Most player-of-the-series awards (3)', '19th Most matches as captain (49)', '16th Most consecutive matches as captain of a team (33)']</t>
  </si>
  <si>
    <t>['9th Most runs in career (11363)', '20th Most runs in an innings (183)', '2nd Most runs in a calendar year (1767)', '16th Most runs in an innings (by batting position) (183)', '10th Most runs in an series by a captain (465)', '24th Most runs in an innings by a captain (144)', '10th Most hundreds in a career (22)', '3rd Most hundreds in a series (3)', '2nd Most hundreds in a calendar year (7)', '39th Most hundreds against one team (4)', '8th Most nineties in career (6)', '9th Most fifties in career (94)', '44th Fifties in consecutive innings (4)', '25th Most consecutive innings without a duck (72)', '37th Most ducks in career (16)', '10th Most sixes in career (190)', '9th Most fours in career (1122)', '28th Most runs from fours and sixes in an innings (110)', '35th Longest individual innings (by balls) (160)', '20th Highest percentage of runs in a completed innings (58.62)', '15th Fastest to 2000 runs (52)', '25th Fastest to 3000 runs (82)', '13th Fastest to 4000 runs (105)', '13th Fastest to 5000 runs (126)', '5th Fastest to 6000 runs (147)', '4th Fastest to 7000 runs (174)', '4th Fastest to 8000 runs (200)', '4th Fastest to 9000 runs (228)', '3rd Fastest to 10000 runs (263)', '4th Fastest to 11000 runs (288)', '6th Best figures in a innings by a captain (5)', '12th Best strike rate in an innings (6.0)', '7th Worst economy rate in an innings (12.40)', '43rd Most five-wickets-in-an-innings in a career (2)', '31st Most catches in career (100)', '4th Highest partnerships for any wicket (318)', '10th Highest partnership for the first wicket (258)', '3rd Highest partnership for the second wicket (318)', '48th Highest partnership for the seventh wicket (100)', '17th Most matches in career (311)', '7th Most player-of-the-match awards (31)', '6th Most player-of-the-series awards (7)', '43rd Longest careers (15y 308d)', '8th Most matches as captain (147)', '42nd Winning all tosses in a series (5)']</t>
  </si>
  <si>
    <t>['1st Best figures in a innings when on the losing side (9)', '6th Most wickets taken stumped (20)']</t>
  </si>
  <si>
    <t>['14th Best figures in an innings (9/102)', '22nd Most wickets in a series (34)', '1st Best figures in a innings when on the losing side (9)', '40th Best figures in a match when on the losing side (10)', '20th Best strike rate in an innings (7.2)', '36th Worst strike rate in an innings (348.0)', '20th Most balls bowled in an innings (460)', '17th Most balls bowled in a match (662)', '6th Most wickets taken stumped (20)', '27th Fastest to 100 wickets (22)']</t>
  </si>
  <si>
    <t>['2nd Hundreds in consecutive matches (5)', ' Hundred and a ninety in a match ', '3rd Fifties in consecutive matches (11)', '10th Most hundreds against one team (6)', '10th Highest partnership for the fifth wicket (184*)']</t>
  </si>
  <si>
    <t>['2nd Hundreds in consecutive matches (5)', '3rd Fifties in consecutive matches (11)', '29th Fastest to 2000 runs (43)', '30th Fastest to 3000 runs (66)', '45th Highest partnership for the first wicket (233)', '15th Highest partnership for the second wicket (314)', '27th Highest partnership for the fourth wicket (278)']</t>
  </si>
  <si>
    <t>['19th Most runs in an innings (by batting position) (150*)', '35th Most runs in an innings by a captain (138*)', '41st Most hundreds in a career (11)', '10th Most hundreds against one team (6)', '34th Most nineties in career (4)', '36th Fastest to 3000 runs (87)', '21st Fastest to 4000 runs (110)', '19th Fastest to 5000 runs (135)', '41st Highest partnership for the first wicket (201*)', '33rd Highest partnership for the second wicket (205)', '11th Highest partnership for the third wicket (224)', '10th Highest partnership for the fifth wicket (184*)']</t>
  </si>
  <si>
    <t>['41st Most fifties in career (7)', '31st Most fours in an innings (11)', '33rd Highest partnerships for any wicket (136)', '17th Highest partnership for the first wicket (136)']</t>
  </si>
  <si>
    <t>['4th Most consecutive matches for a team (106)', '3rd Most runs in an series by a captain (732)', ' Hundred in each innings of a match ', ' Hundred and a duck in a match ', ' Carrying bat through a completed innings (127*)', '3rd Fastest to 5000 runs (95)', '7th Worst career bowling average (without qualification) (206.00)', ' Opening the batting and bowling in the same match ', ' 5000 runs and 50 fielding dismissals ', '10th Highest partnership for the second wicket (344*)', '4th Oldest player to score a maiden hundred (38y 113d)', '4th Longest individual innings (by balls) (174)', '2nd Most catches in an innings (4)', '4th Hundreds in consecutive matches (4)']</t>
  </si>
  <si>
    <t>['12th Most runs in career (10122)', '17th Most runs in a match (344)', '12th Most runs in a series (774)', '6th Most runs in a calendar year (1555)', '11th Most runs in a match on the losing side (248)', '3rd Most runs in an series by a captain (732)', '36th Highest career batting average (51.12)', '6th Most hundreds in a career (34)', '17th Most double hundreds in a career (4)', '2nd Most hundreds in a series (4)', '19th Most hundreds in a calendar year (5)', '2nd Most hundreds against one team (13)', '5th Hundreds in consecutive innings (3)', '5th Hundreds in consecutive matches (4)', '7th Youngest player to score a double hundred (21y 277d)', '20th Most nineties in career (5)', '12th Most fifties in career (79)', '32nd Fifties in consecutive innings (5)', '34th Most fours in career (908+)', '22nd Longest individual innings (by minutes) (708)', '35th Fastest to 1000 runs (21)', '35th Fastest to 2000 runs (44)', '30th Fastest to 3000 runs (66)', '14th Fastest to 4000 runs (81)', '3rd Fastest to 5000 runs (95)', '8th Fastest to 6000 runs (117)', '9th Fastest to 7000 runs (140)', '12th Fastest to 8000 runs (166)', '9th Fastest to 9000 runs (192)', '8th Fastest to 10000 runs (212)', '7th Worst career bowling average (without qualification) (206.00)', '32nd Most catches in career (108)', '50th Highest partnerships for any wicket (344*)', '10th Highest partnership for the second wicket (344*)', '14th Highest partnership for the ninth wicket (143*)', '34th Highest partnership for the tenth wicket (94)', '23rd Most matches in career (125)', '4th Most consecutive matches for a team (106)', '22nd Most matches as captain (47)', '44th Most consecutive matches as captain of a team (22)', '23rd Winning all tosses in a series (3)']</t>
  </si>
  <si>
    <t>['9th Oldest player to score a hundred (38y 113d)', '4th Oldest player to score a maiden hundred (38y 113d)', '4th Longest individual innings (by balls) (174)', '2nd Most catches in an innings (4)', '45th Most player-of-the-series awards (3)']</t>
  </si>
  <si>
    <t>['10th Most wickets in a series (25)']</t>
  </si>
  <si>
    <t>['14th Best figures in a innings on debut (4)', '21st Best figures in a match on debut (5)']</t>
  </si>
  <si>
    <t>['36th Most wickets in career (75)', '34th Best figures in an innings (5/15)', '10th Most wickets in a series (25)', '17th Outstanding bowling analyses in an innings (5/15)', '11th Best figures in a innings when on the losing side (4)', '22nd Best career bowling average (17.70)', '13th Best career strike rate (31.3)', '43rd Best strike rate in an innings (9.0)', '15th Most four-wickets-in-an-innings in a career (5)', '31st Bowler/Batters combinations (5)', '31st Most wickets taken bowled (20)', '43rd Most wickets taken caught by a fielder (32)', '43rd Most wickets taken lbw (11)']</t>
  </si>
  <si>
    <t>['29th Best career bowling average (18.10)', '14th Best career strike rate (17.5)', '23rd Worst career economy rate (6.20)', '20th Worst economy rate in an innings (15.50)', '12th Best figures in a innings on debut (3)', '43rd Most wickets taken caught (26)', '41st Most wickets taken caught by a fielder (22)']</t>
  </si>
  <si>
    <t>['5th Most runs in a match on the losing side (261)', ' Hundred in each innings of a match ', ' Pair by a captain ', '6th Hundreds in consecutive innings (3)']</t>
  </si>
  <si>
    <t>['5th Most runs in a match on the losing side (261)', '5th Hundreds in consecutive innings (3)', '21st Hundreds in consecutive matches (3)', '29th Fastest to 2000 runs (43)', '15th Worst career bowling average (61.00)', '11th Worst career strike rate (142.0)', '47th Oldest captains (38y 24d)', '32nd Oldest captains on captaincy debut (36y 236d)']</t>
  </si>
  <si>
    <t>['6th Best figures in a match (15)', '2nd Best strike rate in an innings (5.4)', '4th Most consecutive ten-wickets-in-a-match (2)', '9th Most balls bowled in career (28580)', '6th Most runs conceded in career (13537)', '4th Most wickets taken caught by a fielder (256)', '9th Fastest to 400 wickets (96)', ' 1000 runs and 100 wickets ', '5th Most wickets taken stumped (36)', ' 1000 runs and 100 wickets ', ' 1000 runs, 50 wickets and 50 catches ', '4th Best career economy rate (6.20)', '1st Most maidens in an innings (2)', '5th Most consecutive five-wickets-in-an-innings (4)', '7th Most balls bowled in career (41671)', '5th Most runs conceded in career (23143)', '3rd Most wickets taken stumped (54)']</t>
  </si>
  <si>
    <t>['21st Highest strike rate in an innings (205.55)', '27th Most ducks in career (19)', '47th Most sixes in career (42)', '19th Most sixes in an innings (7)', '13th Most wickets in career (417)', '6th Best figures in a match (15)', '44th Most wickets in a series (32)', '30th Most wickets in a calendar year (63)', '12th Outstanding bowling analyses in an innings (5/13)', '15th Best figures in a match when on the losing side (11)', '2nd Best strike rate in an innings (5.4)', '11th Most five-wickets-in-an-innings in a career (25)', '12th Most ten-wickets-in-a-match in a career (5)', '5th Most consecutive five-wickets-in-an-innings (4)', '4th Most consecutive ten-wickets-in-a-match (2)', '14th Youngest player to take ten-wickets-in-a-match (20y 251d)', '9th Most balls bowled in career (28580)', '6th Most runs conceded in career (13537)', '35th Most runs conceded in a match (265)', '23rd Bowler/fielder combinations (51)', '9th Most wickets taken caught (287)', '10th Most wickets taken caught and bowled (13)', '4th Most wickets taken caught by a fielder (256)', '21st Most wickets taken lbw (68)', '13th Most wickets taken stumped (15)', '41st Fastest to 50 wickets (11)', '27th Fastest to 150 wickets (35)', '21st Fastest to 200 wickets (46)', '25th Fastest to 250 wickets (61)', '18th Fastest to 300 wickets (72)', '14th Fastest to 350 wickets (83)', '9th Fastest to 400 wickets (96)', '23rd Highest partnership for the tenth wicket (105)', '24th Most player-of-the-series awards (4)', '29th Youngest players (17y 265d)']</t>
  </si>
  <si>
    <t>['12th Most runs in an innings (by batting position) (46)', '30th Most ducks in career (17)', '21st Most wickets in career (269)', '40th Most wickets on a single ground (33)', '14th Best figures in a innings when on the losing side (5)', '25th Most five-wickets-in-an-innings in a career (3)', '29th Youngest player to take five-wickets-in-an-innings (21y 215d)', '11th Most balls bowled in career (12479)', '11th Most runs conceded in career (8973)', '25th Bowler/Batters combinations (8)', '37th Bowler/fielder combinations (27)', '20th Most wickets taken caught (173)', '8th Most wickets taken caught and bowled (17)', '6th Most wickets taken caught by a fielder (155)', '30th Most wickets taken lbw (29)', '5th Most wickets taken stumped (36)', '46th Fastest to 150 wickets (122)', '29th Fastest to 200 wickets (178)', '21st Fastest to 250 wickets (222)', '25th Highest partnership for the eighth wicket (84)', '13th Highest partnership for the tenth wicket (64)', '45th Youngest players (17y 288d)', '21st Longest careers (17y 191d)']</t>
  </si>
  <si>
    <t>['4th Best career economy rate (6.20)', '14th Worst career strike rate (24.4)', '3rd Most maidens in career (5)', '1st Most maidens in an innings (2)']</t>
  </si>
  <si>
    <t>['3rd Best figures in a match (16)', '1st Best figures in a match on debut (16)', '6th Youngest player to take ten-wickets-in-a-match (19y 85d)']</t>
  </si>
  <si>
    <t>['3rd Best figures in a match (16)', '34th Worst strike rate in an innings (354.0)', '1st Best figures in a innings on debut (8)', '1st Best figures in a match on debut (16)', '17th Youngest player to take five-wickets-in-an-innings (19y 85d)', '6th Youngest player to take ten-wickets-in-a-match (19y 85d)', '41st Fastest to 50 wickets (11)']</t>
  </si>
  <si>
    <t>['34th Highest partnership for the eighth wicket (46*)', '46th Highest partnership for the ninth wicket (35)']</t>
  </si>
  <si>
    <t>[' Hundred on debut (105)']</t>
  </si>
  <si>
    <t>['21st Most matches as a match referee (54)']</t>
  </si>
  <si>
    <t>['32nd Most runs in debut match (56)']</t>
  </si>
  <si>
    <t>['40th Highest career batting average (42.78)', '32nd Highest career strike rate (100.37)', '44th Fifties in consecutive innings (4)', '26th No ducks in career (20)']</t>
  </si>
  <si>
    <t>['32nd Most runs in an innings (by batting position) (67)']</t>
  </si>
  <si>
    <t>['8th Most dismissals in a series (10)', '3rd Captains who have kept wicket (1)', '3rd Most stumpings in a series (6)', '9th Most byes conceded in an innings (10)']</t>
  </si>
  <si>
    <t>['16th Most runs in a series by a wicketkeeper (128)', '6th Youngest captains (23y 237d)', '3rd Captains who have kept wicket (1)', '10th Most dismissals in an innings (4)', '8th Most dismissals in a series (10)', '7th Most stumpings in career (9)', '5th Most stumpings in an innings (3)', '10th Most stumpings in a match (3)', '3rd Most stumpings in a series (6)']</t>
  </si>
  <si>
    <t>['38th Youngest players (16y 184d)', '17th Most dismissals in an innings (4)', '21st Most catches in an innings (3)', '9th Most byes conceded in an innings (10)']</t>
  </si>
  <si>
    <t>['11th Highest partnership for the ninth wicket (149)']</t>
  </si>
  <si>
    <t>['10th Most runs in an innings (by batting position) (120)', '1st Outstanding bowling analyses in an innings (1/0)']</t>
  </si>
  <si>
    <t>['10th Most runs in an innings (by batting position) (120)', '46th Highest career batting average (42.09)', '28th Highest career strike rate (101.60)', '1st Outstanding bowling analyses in an innings (1/0)']</t>
  </si>
  <si>
    <t>['1st Dismissed for 99 (and 199, 299 etc) (99)', ' Batting on each day of a five day match ', '2nd Worst career strike rate (233.0)', ' Opening the batting and bowling in the same match ']</t>
  </si>
  <si>
    <t>['1st Dismissed for 99 (and 199, 299 etc) (99)', '2nd Worst career bowling average (92.11)', '2nd Worst career strike rate (233.0)']</t>
  </si>
  <si>
    <t>['2nd Outstanding bowling analyses in an innings (5/6)', '7th Best economy rate in an innings (0.60)']</t>
  </si>
  <si>
    <t>['43rd Worst economy rate in an innings (8.60)']</t>
  </si>
  <si>
    <t>['48th Worst career bowling average (without qualification) (58.66)', '23rd Most runs conceded in an innings (49)']</t>
  </si>
  <si>
    <t>['7th Oldest players on debut (41y 27d)']</t>
  </si>
  <si>
    <t>['37th Most runs conceded in an innings (57)']</t>
  </si>
  <si>
    <t>['3rd Outstanding bowling analyses in an innings (3/3)', ' 5000 runs and 50 fielding dismissals ']</t>
  </si>
  <si>
    <t>['11th Most runs in an innings (by batting position) (119)', '34th Most nineties in career (4)', '3rd Outstanding bowling analyses in an innings (3/3)', '15th Worst career bowling average (54.70)', '28th Worst career strike rate (62.4)', '18th Highest partnership for the tenth wicket (62)', '17th Most consecutive matches for a team (96)']</t>
  </si>
  <si>
    <t>[' 1000 runs and 100 wickets ', '9th Most runs in a career without a hundred (2411)', ' 1000 runs and 100 wickets ', ' 1000 runs, 50 wickets and 50 catches ', '10th Worst career strike rate (24.9)', '10th Most maidens in career (4)', '3rd Most wickets taken caught and bowled (5)', '3rd Most catches by a substitute in an innings (2)', '10th Most wickets taken stumped (35)']</t>
  </si>
  <si>
    <t>['39th Most sixes in career (50)', '28th Best economy rate in an innings (0.56)', '46th Most runs conceded in a match (258)', '48th Fastest to 100 wickets (24)', '15th Fastest to 150 wickets (32)', '13th Fastest to 200 wickets (44)']</t>
  </si>
  <si>
    <t>['16th Most runs in an innings (by batting position) (77)', '9th Most runs in a career without a hundred (2411)', '46th Most wickets in career (188)', '12th Most wickets in a calendar year (52)', '43rd Most four-wickets-in-an-innings in a career (8)', '13th Most consecutive four-wickets-in-an-innings (2)', '34th Most balls bowled in career (8557)', '25th Most runs conceded in career (7024)', '30th Bowler/fielder combinations (29)', '43rd Most wickets taken bowled (48)', '28th Most wickets taken lbw (32)', '12th Most wickets taken stumped (21)', '44th Highest partnership for the eighth wicket (76)']</t>
  </si>
  <si>
    <t>['31st Most runs in an innings (by batting position) (44*)', '48th Best career economy rate (7.10)', '10th Worst career strike rate (24.9)', '35th Most balls bowled in career (973)', '38th Most runs conceded in career (1152)', '3rd Most wickets taken caught and bowled (5)', '17th Most wickets taken stumped (5)', '3rd Most catches by a substitute in an innings (2)', '36th Longest careers (11y 298d)', '10th Most maidens in career (4)']</t>
  </si>
  <si>
    <t>['3rd Most dismissals in a match (7)', '6th Most catches in career (15)', '3rd Most stumpings in a match (4)', '10th Most byes conceded in an innings (16)', '6th Most runs in an innings by a wicketkeeper (110)', '8th Youngest player to score a hundred (21y 98d)', '5th Most dismissals in an innings (5)', '3rd Most catches in an innings (4)', '3rd Captains who have kept wicket and opened the batting (7)', '1st Most stumpings in career (51)', '6th Most byes conceded in an innings (11)', '7th Most runs in a career without a hundred (1729)', '7th Most runs in debut match (84*)']</t>
  </si>
  <si>
    <t>['10th Most runs in a series by a wicketkeeper (177)', '6th Most runs in an innings by a wicketkeeper (110)', '28th Highest career batting average (36.75)', '41st Highest maiden hundred (110)', '8th Youngest player to score a hundred (21y 98d)', '12th Highest partnership for the first wicket (132)', '6th Most dismissals in career (23)', '3rd Most dismissals in an innings (5)', '3rd Most dismissals in a match (7)', '16th Most dismissals in a series (8)', '6th Most catches in career (15)', '8th Most catches in an innings (3)', '11th Most catches in a match (4)', '10th Most stumpings in career (8)', '3rd Most stumpings in a match (4)', '12th Most stumpings in a series (4)', '10th Most byes conceded in an innings (16)']</t>
  </si>
  <si>
    <t>['50th Most runs in career (1729)', '33rd Most runs in a calendar year (574)', '34th Most runs in a series by a wicketkeeper (184)', '25th Most runs in an innings by a wicketkeeper (90)', '7th Most runs in a career without a hundred (1729)', '7th Most runs in debut match (84*)', '43rd Most fifties in career (12)', '28th Fifties in consecutive innings (3)', '35th Highest partnership for the first wicket (152)', '6th Captains who have kept wicket (8)', '3rd Captains who have kept wicket and opened the batting (7)', '9th Most dismissals in career (81)', '5th Most dismissals in an innings (5)', '8th Most dismissals in a series (17)', '16th Most catches in career (30)', '3rd Most catches in an innings (4)', '16th Most catches in a series (9)', '1st Most stumpings in career (51)', '3rd Most stumpings in an innings (4)', '6th Most stumpings in a series (8)', '6th Most byes conceded in an innings (11)']</t>
  </si>
  <si>
    <t>['10th Most dismissals in an innings (4)', '8th Most catches in an innings (3)', '5th Most dismissals in an innings (5)', '1st Most stumpings in an innings (5)', ' 200 runs and 10 wicketkeeping dismissals in a series ', '6th Most dismissals in an innings (4)', '1st Most stumpings in an innings (4)']</t>
  </si>
  <si>
    <t>['10th Most dismissals in career (17)', '10th Most dismissals in an innings (4)', '8th Most catches in career (14)', '8th Most catches in an innings (3)', '11th Most catches in a match (4)', '18th Highest innings total without conceding a bye (223)']</t>
  </si>
  <si>
    <t>['12th Most runs in a series by a wicketkeeper (238)', '15th Most runs in an innings by a wicketkeeper (103)', '13th Most runs in debut match (68*)', '12th Youngest player to score a hundred (20y 91d)', '49th Most fifties in career (10)', '39th Fewest ducks in career (20)', '40th Highest partnership for the second wicket (143)', '23rd Most consecutive matches missed for a team between appearances (40)', '14th Most dismissals in career (58)', '5th Most dismissals in an innings (5)', '25th Most dismissals in a series (12)', '14th Most catches in career (32)', '21st Most catches in an innings (3)', '23rd Most catches in a series (8)', '9th Most stumpings in career (26)', '1st Most stumpings in an innings (5)', '17th Most stumpings in a series (6)']</t>
  </si>
  <si>
    <t>['6th Most dismissals in an innings (4)', '25th Most stumpings in career (8)', '1st Most stumpings in an innings (4)']</t>
  </si>
  <si>
    <t>['2nd Outstanding bowling analyses in an innings (10/74)', '6th Worst strike rate in an innings (432.0)', '4th Most five-wickets-in-an-innings in a career (35)', '2nd Most balls bowled in career (40850)', '1st Most runs conceded in career (18355)', '1st Most wickets taken lbw (156)', '2nd Fastest to 600 wickets (124)', ' 1000 runs and 100 wickets ', ' 1000 runs, 50 wickets and 50 catches ', '6th Most consecutive ducks (3)', '2nd Outstanding bowling analyses in an innings (6/12)', '7th Most balls bowled in career (14496)', '6th Most runs conceded in career (10412)', '5th Most wickets taken caught and bowled (18)', '9th Fastest to 300 wickets (234)', '3rd Most wickets in career (956)', '4th Most five-wickets-in-an-innings in a career (37)', '2nd Most balls bowled in career (55346)', '2nd Most runs conceded in career (28767)', '2nd Most wickets taken caught and bowled (53)']</t>
  </si>
  <si>
    <t>['14th Oldest player to score a maiden hundred (36y 296d)', '39th Most ducks in career (17)', '3rd Most wickets in career (619)', '2nd Best figures in an innings (10/74)', '13th Best figures in a match (14)', '9th Most wickets in a calendar year (74)', '2nd Outstanding bowling analyses in an innings (10/74)', '25th Most wickets on a single ground (58)', '35th Best figures in a match by a captain (8)', '6th Worst strike rate in an innings (432.0)', '4th Most five-wickets-in-an-innings in a career (35)', '5th Most ten-wickets-in-a-match in a career (8)', '39th Youngest player to take ten-wickets-in-a-match (23y 93d)', '42nd Oldest player to take five-wickets-in-an-innings (37y 70d)', '22nd Oldest player to take ten-wickets-in-a-match (35y 54d)', '2nd Most balls bowled in career (40850)', '40th Most balls bowled in an innings (432)', '1st Most runs conceded in career (18355)', '13th Most runs conceded in an innings (223)', '16th Most runs conceded in a match (279)', '17th Bowler/fielder combinations (55)', '10th Most wickets taken bowled (94)', '6th Most wickets taken caught (345)', '1st Most wickets taken caught and bowled (35)', '3rd Most wickets taken caught by a fielder (313)', '1st Most wickets taken lbw (156)', '5th Most wickets taken stumped (24)', '20th Fastest to 50 wickets (10)', '21st Fastest to 100 wickets (21)', '18th Fastest to 150 wickets (34)', '27th Fastest to 200 wickets (47)', '9th Fastest to 250 wickets (55)', '12th Fastest to 300 wickets (66)', '9th Fastest to 350 wickets (77)', '6th Fastest to 400 wickets (85)', '2nd Fastest to 450 wickets (93)', '2nd Fastest to 500 wickets (105)', '2nd Fastest to 600 wickets (124)', '18th Most matches in career (132)', '35th Most consecutive matches for a team (60)', '25th Most player-of-the-match awards (10)', '24th Most player-of-the-series awards (4)', '35th Longest careers (18y 85d)', '48th Oldest captains (38y 16d)', '25th Oldest captains on captaincy debut (37y 36d)']</t>
  </si>
  <si>
    <t>['24th Most ducks in career (18)', '6th Most consecutive ducks (3)', '10th Most wickets in career (337)', '14th Best figures in an innings (6/12)', '5th Most wickets in a calendar year (61)', '2nd Outstanding bowling analyses in an innings (6/12)', '11th Most wickets on a single ground (56)', '28th Best strike rate in an innings (6.1)', '43rd Most five-wickets-in-an-innings in a career (2)', '25th Most four-wickets-in-an-innings in a career (10)', '7th Most balls bowled in career (14496)', '6th Most runs conceded in career (10412)', '6th Most wickets taken bowled (92)', '23rd Most wickets taken caught (165)', '5th Most wickets taken caught and bowled (18)', '10th Most wickets taken caught by a fielder (147)', '9th Most wickets taken lbw (54)', '7th Most wickets taken stumped (26)', '29th Fastest to 150 wickets (106)', '20th Fastest to 200 wickets (147)', '16th Fastest to 250 wickets (189)', '9th Fastest to 300 wickets (234)', '44th Most catches in career (85)', '24th Most catches in a series (8)', '31st Most matches in career (271)', '25th Most consecutive matches for a team (88)', '27th Longest careers (16y 328d)']</t>
  </si>
  <si>
    <t>['8th Most consecutive matches missed for a team between appearances (87)', '2nd Most byes conceded in an innings (35)', '4th Highest strike rate in an innings (362.50)']</t>
  </si>
  <si>
    <t>['45th Most innings before first duck (31)', '8th Most consecutive matches missed for a team between appearances (87)', '2nd Most byes conceded in an innings (35)']</t>
  </si>
  <si>
    <t>['31st Most runs in a career without a hundred (1752)', '23rd Most byes conceded in an innings (10)']</t>
  </si>
  <si>
    <t>['22nd Highest career batting average (33.25)', '25th Highest career strike rate (143.52)', '4th Highest strike rate in an innings (362.50)', '13th Highest partnership for the seventh wicket (63*)', '11th Most consecutive matches missed for a team between appearances (56)', '29th Longest careers (12y 88d)', '12th Longest intervals between appearances (7y 59d)', '13th Most catches in an innings (3)', '24th Most stumpings in career (5)']</t>
  </si>
  <si>
    <t>['3rd Fewest ducks in career (63)', '1st Most catches in an innings (4)', '10th Highest partnership for the seventh wicket (49)']</t>
  </si>
  <si>
    <t>['15th Most runs in an innings (by batting position) (70)', '31st Most runs in debut match (51)', '40th Most innings before first duck (15)', '37th Fewest ducks in career (20.5)', '47th Most catches in a series (6)']</t>
  </si>
  <si>
    <t>['42nd Most runs in career (875)', '30th Most runs in an innings (by batting position) (57*)', '9th Most consecutive innings without a duck (52*)', '3rd Fewest ducks in career (63)', '7th Most catches in career (38)', '1st Most catches in an innings (4)', '27th Highest partnership for the third wicket (88)', '13th Highest partnership for the fourth wicket (92*)', '10th Highest partnership for the seventh wicket (49)', '43rd Most matches in career (76)']</t>
  </si>
  <si>
    <t>['13th Highest strike rate in an innings (222.22)']</t>
  </si>
  <si>
    <t>['3rd Youngest player to score a double hundred (21y 32d)', '4th Fastest to 1000 runs (14)', '7th Most innings before first duck (59)']</t>
  </si>
  <si>
    <t>['20th Highest career batting average (54.20)', '5th Hundreds in consecutive innings (3)', '14th Highest maiden hundred (224)', '3rd Youngest player to score a double hundred (21y 32d)', '4th Fastest to 1000 runs (14)']</t>
  </si>
  <si>
    <t>['28th Youngest player to score a hundred (21y 0d)', '13th Most innings before first duck (46)', '13th Best career bowling average (without qualification) (7.00)', '48th Highest partnership for the fourth wicket (164*)']</t>
  </si>
  <si>
    <t>[' Hundred on debut (100*)']</t>
  </si>
  <si>
    <t>['9th Most runs in an innings (by batting position) (111*)', '2nd Most catches in an innings (4)']</t>
  </si>
  <si>
    <t>['41st Highest partnership for the eighth wicket (128)']</t>
  </si>
  <si>
    <t>['9th Most runs in an innings (by batting position) (111*)', '48th Youngest player to score a hundred (21y 287d)', '2nd Most catches in an innings (4)']</t>
  </si>
  <si>
    <t>['4th Fastest to 50 wickets (24)']</t>
  </si>
  <si>
    <t>['34th Best figures in an innings (6/25)', '36th Most wickets in a calendar year (45)', '13th Most consecutive four-wickets-in-an-innings (2)', '24th Most wickets taken stumped (14)', '4th Fastest to 50 wickets (24)', '10th Fastest to 100 wickets (58)']</t>
  </si>
  <si>
    <t>['38th Best figures in an innings (5/24)', '30th Most wickets in a calendar year (21)', '16th Most four-wickets-in-an-innings in a career (2)', '17th Bowler/batters combinations (3)', '45th Bowler/fielder combinations (6)', '13th Most wickets taken stumped (6)']</t>
  </si>
  <si>
    <t>['6th Most matches as captain (60)', '7th Most runs in a match on the losing side (256)', ' Hundred in each innings of a match ', ' Hundred and a ninety in a match ', ' Hundred and a duck in a match ', '5th Fastest to 7000 runs (138)', ' 5000 runs and 50 fielding dismissals ', '7th Highest partnership for the eighth wicket (241)', '3rd Most player-of-the-series awards (9)', '4th Most runs in an series by a captain (558)', '2nd Highest career batting average (59.07)', '1st Most hundreds against one team (9)', '1st Dismissed for 99 (and 199, 299 etc) (99)', '4th Most fifties in career (105)', '6th Most fours in career (1140)', '1st Fastest to 12000 runs (242)', '7th Most catches in career (132)', ' 5000 runs and 50 fielding dismissals ', '6th Highest partnership for the fifth wicket (200)', '1st Most player-of-the-series awards (7)', '7th Most matches as captain (45)', '1st Most runs in career (3159)', '1st Highest career batting average (52.65)', '1st Most fifties in career (28)', '3rd Most innings before first duck (47)', '1st Most fours in career (285)', '2nd Fastest to 2000 runs (56)', '9th Most catches in career (42)', '6th Highest partnership for the third wicket (134)', '2nd Most player-of-the-series awards (19)', '8th Most matches as captain (200)', '3rd Most runs in a calendar year (2818)', '2nd Most hundreds in a calendar year (11)', '7th Most fifties in career (185)', '8th Most consecutive innings without a duck (104)']</t>
  </si>
  <si>
    <t>['41st Most runs in career (7490)', '38th Most runs in a series (692)', '32nd Most runs in a calendar year (1322)', '7th Most runs in a match on the losing side (256)', '13th Most runs in an series by a captain (655)', '19th Most runs in an innings by a captain (254*)', '27th Highest career batting average (52.37)', '17th Most hundreds in a career (27)', '4th Most double hundreds in a career (7)', '2nd Most double hundreds in a series (2)', '2nd Most hundreds in a series (4)', '19th Most hundreds in a calendar year (5)', '33rd Most hundreds against one team (7)', '5th Hundreds in consecutive innings (3)', '21st Hundreds in consecutive matches (3)', '43rd Most fours in career (839)', '27th Fastest to 4000 runs (89)', '14th Fastest to 5000 runs (105)', '9th Fastest to 6000 runs (119)', '5th Fastest to 7000 runs (138)', '33rd Highest partnerships for any wicket (365)', '8th Highest partnership for the fourth wicket (365)', '43rd Highest partnership for the fifth wicket (225)', '7th Highest partnership for the eighth wicket (241)', '50th Most consecutive matches for a team (54)', '32nd Most player-of-the-match awards (9)', '44th Most player-of-the-series awards (3)', '6th Most matches as captain (60)', '33rd Most consecutive matches as captain of a team (25)']</t>
  </si>
  <si>
    <t>['6th Most runs in career (12169)', '20th Most runs in an innings (183)', '12th Most runs in a series (558)', '12th Most runs in a calendar year (1460)', '4th Most runs in an innings (by batting position) (183)', '4th Most runs in an series by a captain (558)', '11th Most runs in an innings by a captain (160*)', '2nd Highest career batting average (59.07)', '2nd Most hundreds in a career (43)', '3rd Most hundreds in a series (3)', '5th Most hundreds in a calendar year (6)', '1st Most hundreds against one team (9)', '2nd Hundreds in consecutive innings (3)', '31st Youngest player to score a hundred (21y 49d)', '8th Most nineties in career (6)', '1st Dismissed for 99 (and 199, 299 etc) (99)', '4th Most fifties in career (105)', '11th Fifties in consecutive innings (5)', '26th Most sixes in career (125)', '6th Most fours in career (1140)', '9th Most fours in an innings (22)', '11th Fastest to 1000 runs (24)', '21st Fastest to 2000 runs (53)', '12th Fastest to 3000 runs (75)', '4th Fastest to 4000 runs (93)', '2nd Fastest to 5000 runs (114)', '2nd Fastest to 6000 runs (136)', '2nd Fastest to 7000 runs (161)', '1st Fastest to 8000 runs (175)', '1st Fastest to 9000 runs (194)', '1st Fastest to 10000 runs (205)', '1st Fastest to 11000 runs (222)', '1st Fastest to 12000 runs (242)', '11th Worst career bowling average (without qualification) (166.25)', '7th Most catches in career (132)', '21st Highest partnership for the third wicket (213)', '6th Highest partnership for the fifth wicket (200)', '39th Most matches in career (254)', '15th Most consecutive matches for a team (102)', '3rd Most player-of-the-match awards (36)', '3rd Most player-of-the-series awards (9)', '22nd Most matches as captain (95)', '36th Youngest captains (24y 239d)']</t>
  </si>
  <si>
    <t>['1st Most runs in career (3159)', '5th Most runs in a calendar year (641)', '14th Most runs in an innings (by batting position) (94*)', '22nd Most runs in a match on the losing side (89*)', '3rd Most runs on a single ground (472)', '15th Most runs in an innings by a captain (94*)', '1st Highest career batting average (52.65)', '43rd Highest career strike rate (139.04)', '1st Most fifties in career (28)', '3rd Fifties in consecutive innings (3)', '3rd Most innings before first duck (47)', '15th Most consecutive innings without a duck (47)', '19th Fewest ducks in career (28)', '9th Most sixes in career (90)', '1st Most fours in career (285)', '42nd Most sixes in an innings (7)', '31st Most fours in an innings (11)', '44th Longest individual innings (by balls) (61)', '24th Highest percentage of runs in a completed innings (59.23)', '3rd Fastest to 1000 runs (27)', '2nd Fastest to 2000 runs (56)', '9th Most catches in career (42)', '15th Most catches in an innings (3)', '37th Highest partnerships for any wicket (134)', '6th Highest partnership for the third wicket (134)', '21st Highest partnership for the fourth wicket (100)', '48th Highest partnership for the fifth wicket (67*)', '25th Highest partnership for the sixth wicket (70)', '10th Most matches in career (90)', '50th Most consecutive matches for a team (28)', '2nd Most player-of-the-match awards (12)', '1st Most player-of-the-series awards (7)', '7th Most matches as captain (45)', '19th Winning all tosses in a series (3)']</t>
  </si>
  <si>
    <t>['1st Best figures in a innings when on the losing side (9)', '10th Most balls bowled in career (27740)', '7th Most runs conceded in career (12867)', '2nd Most wickets taken hit wicket (3)', ' 250 runs and 20 wickets in a series ', ' 1000 runs, 50 wickets and 50 catches ', ' 5000 runs and 50 fielding dismissals ', '1st Most runs in an innings (by batting position) (175*)', '4th Highest maiden hundred (175*)', '6th Most ducks in a series (3)', '2nd Highest percentage of runs in a completed innings (65.78)', '6th Best figures in a innings by a captain (5)', '6th Best economy rate in an innings (0.57)', ' Opening the batting and bowling in the same match ', ' 1000 runs, 50 wickets and 50 catches ', '2nd Highest partnership for the ninth wicket (126*)', '7th Most wickets taken bowled (167)']</t>
  </si>
  <si>
    <t>['13th Most runs in an innings (by batting position) (163)', '23rd Youngest player to score a hundred (20y 18d)', '25th Most sixes in career (61)', '17th Highest percentage of runs in a completed innings (60.00)', '9th Most wickets in career (434)', '11th Best figures in an innings (9/83)', '44th Most wickets in a series (32)', '7th Most wickets in a calendar year (75)', '1st Best figures in a innings by a captain (9)', '14th Best figures in a match by a captain (10)', '1st Best figures in a innings when on the losing side (9)', '40th Best figures in a match when on the losing side (10)', '14th Most five-wickets-in-an-innings in a career (23)', '49th Youngest player to take five-wickets-in-an-innings (20y 187d)', '17th Youngest player to take ten-wickets-in-a-match (21y 9d)', '10th Most balls bowled in career (27740)', '7th Most runs conceded in career (12867)', '16th Most runs conceded in an innings (220)', '18th Bowler/Batter combinations (12)', '23rd Bowler/fielder combinations (51)', '14th Most wickets taken bowled (88)', '18th Most wickets taken caught (232)', '27th Most wickets taken caught by a fielder (136)', '9th Most wickets taken caught by a wicketkeeper (96)', '6th Most wickets taken lbw (111)', '2nd Most wickets taken hit wicket (3)', '39th Fastest to 200 wickets (50)', '30th Fastest to 250 wickets (65)', '29th Fastest to 300 wickets (83)', '23rd Fastest to 350 wickets (100)', '15th Fastest to 400 wickets (115)', '20th Most matches in career (131)', '25th Most consecutive matches for a team (66)', '41st Most player-of-the-match awards (8)', '24th Most player-of-the-series awards (4)', '36th Most matches as captain (34)', '33rd Winning all tosses in a series (3)', '19th Youngest captains (24y 48d)']</t>
  </si>
  <si>
    <t>['36th Most runs in an innings (175*)', '6th Most runs in an innings (progressive record holder) (175*)', '1st Most runs in an innings (by batting position) (175*)', '6th Most runs in an innings by a captain (175*)', '4th Highest maiden hundred (175*)', '6th Most ducks in a series (3)', '2nd Highest percentage of runs in a completed innings (65.78)', '26th Most wickets in career (253)', '26th Most wickets in a series (20)', '6th Best figures in a innings by a captain (5)', '14th Best figures in a innings when on the losing side (5)', '26th Best career economy rate (3.71)', '6th Best economy rate in an innings (0.57)', '13th Most balls bowled in career (11202)', '27th Most runs conceded in career (6945)', '11th Bowler/Batters combinations (9)', '15th Most wickets taken bowled (79)', '39th Most wickets taken caught (132)', '29th Most wickets taken caught by a fielder (103)', '18th Most wickets taken lbw (41)', '28th Fastest to 200 wickets (166)', '20th Fastest to 250 wickets (218)', '31st Highest partnership for the eighth wicket (82*)', '2nd Highest partnership for the ninth wicket (126*)', '37th Longest careers (16y 16d)', '33rd Most matches as captain (74)', '27th Most consecutive matches as captain of a team (38)', '18th Youngest captains (23y 249d)']</t>
  </si>
  <si>
    <t>['26th Most consecutive matches as captain of a team (38)']</t>
  </si>
  <si>
    <t>['6th Highest partnership for the sixth wicket (102)']</t>
  </si>
  <si>
    <t>['25th Youngest player to score a hundred (23y 286d)', '18th Best career bowling average (without qualification) (10.28)', '45th Highest partnerships for any wicket (178)', '11th Highest partnership for the third wicket (178)', '6th Highest partnership for the sixth wicket (102)']</t>
  </si>
  <si>
    <t>['7th Most consecutive matches for a team (17)', '9th Most runs in an innings by a captain (118)', '1st Most wickets in a series (23)', '4th Worst career economy rate (2.88*)', '6th Best figures in a match on debut (7)', '1st Most five-wickets-in-an-innings in a career (5)', '9th Most balls bowled in career (3320+)', '1st Most runs conceded in career (1647)', '2nd Most wickets taken stumped (16)', '6th Most catches in career (14)', '8th Best career strike rate (30.2)']</t>
  </si>
  <si>
    <t>['21st Most runs in career (700)', '42nd Most runs in a series (260)', '10th Most runs in an innings (by batting position) (118)', '9th Most runs in an innings by a captain (118)', '32nd Highest maiden hundred (118)', '27th Fewest ducks in career (10.66)', '4th Most wickets in career (60)', '32nd Best figures in an innings (6/99)', '1st Most wickets in a series (23)', '4th Most wickets in a calendar year (23)', '4th Outstanding bowling analyses in an innings (4/14)', '14th Most wickets on a single ground (10)', '4th Best figures in a innings when on the losing side (6)', '9th Best figures in a match when on the losing side (6)', '16th Best career strike rate (59.2*)', '11th Best strike rate in an innings (14.0)', '4th Worst career economy rate (2.88*)', '15th Worst economy rate in an innings (4.45)', '7th Best figures in a innings on debut (5)', '6th Best figures in a match on debut (7)', '1st Most five-wickets-in-an-innings in a career (5)', '2nd Youngest player to take five-wickets-in-an-innings (17y 104d)', '9th Most balls bowled in career (3320+)', '45th Most balls bowled in a match (366)', '1st Most runs conceded in career (1647)', '2nd Most runs conceded in an innings (133)', '6th Most runs conceded in a match (162)', '12th Bowler/Batters combinations (4)', '8th Bowler/fielder combinations (8)', '15th Most wickets taken bowled (12)', '4th Most wickets taken caught (28)', '3rd Most wickets taken caught and bowled (8)', '2nd Most wickets taken caught by a fielder (27)', '2nd Most wickets taken stumped (16)', '6th Most catches in career (14)', '8th Most matches in career (19)', '7th Most consecutive matches for a team (17)', '13th Youngest players (17y 104d)', '23rd Longest careers (14y 97d)']</t>
  </si>
  <si>
    <t>['20th Most innings before first duck (21)', '30th Most wickets in a series (20)', '11th Best figures in a innings when on the losing side (4)', '21st Best career bowling average (17.60)', '8th Best career strike rate (30.2)', '43rd Best strike rate in an innings (9.0)', '16th Most wickets taken stumped (11)']</t>
  </si>
  <si>
    <t>['42nd Worst career bowling average (47.23)']</t>
  </si>
  <si>
    <t>['41st Worst economy rate in an innings (6.42)']</t>
  </si>
  <si>
    <t>['41st Best figures in an innings (6/27)', '34th Oldest player to take a maiden five-wickets-in-an-innings (31y 36d)']</t>
  </si>
  <si>
    <t>['8th Most runs in an innings (by batting position) (110)', '10th Most hundreds in a career (2)', '1st Fifties in consecutive matches (5)', '4th Highest partnership for the fifth wicket (133)', '1st Outstanding bowling analyses in an innings (1/0)']</t>
  </si>
  <si>
    <t>['35th Most runs in career (503)', '8th Most runs in an innings (by batting position) (110)', '11th Highest career batting average (50.30)', '10th Most hundreds in a career (2)', '41st Highest maiden hundred (110)', '19th Most fifties in career (5)', '1st Fifties in consecutive innings (5)', '1st Fifties in consecutive matches (5)', '4th Highest partnership for the fifth wicket (133)']</t>
  </si>
  <si>
    <t>['31st Most runs in a career without a hundred (1023)', '17th Most consecutive innings without a duck (42*)', '41st Fewest ducks in career (19.66)', '1st Outstanding bowling analyses in an innings (1/0)', '42nd Highest partnership for the fourth wicket (99)', '14th Highest partnership for the fifth wicket (105)']</t>
  </si>
  <si>
    <t>['10th Worst strike rate in an innings (420.0)']</t>
  </si>
  <si>
    <t>['24th Worst career bowling average (without qualification) (166.00)', '10th Worst strike rate in an innings (420.0)', '42nd Most runs conceded in an innings (195)']</t>
  </si>
  <si>
    <t>['3rd Most runs in a series by a wicketkeeper (525)', ' Opening the batting and bowling in the same match ']</t>
  </si>
  <si>
    <t>['3rd Most runs in a series by a wicketkeeper (525)', '12th Most runs in an innings by a wicketkeeper (192)', '13th Most byes conceded in an innings (29)']</t>
  </si>
  <si>
    <t>['20th Most consecutive matches missed for a team between appearances (157)']</t>
  </si>
  <si>
    <t>['4th Most runs in an innings (by batting position) (75)', '7th Most pairs in career (3)', ' 1000 runs and 100 wickets ', '6th Most consecutive ducks (3)']</t>
  </si>
  <si>
    <t>['4th Most runs in an innings (by batting position) (75)', '32nd Most runs in a career without a hundred (1231)', '8th Most ducks in career (29)', '7th Most pairs in career (3)', '29th Most wickets in career (311)', '28th Most balls bowled in career (18785)', '16th Most runs conceded in career (10247)', '36th Bowler/fielder combinations (43)', '45th Most wickets taken bowled (56)', '34th Most wickets taken caught (191)', '41st Most wickets taken caught by a fielder (113)', '22nd Most wickets taken caught by a wicketkeeper (78)', '24th Most wickets taken lbw (63)', '41st Fastest to 250 wickets (73)', '32nd Fastest to 300 wickets (89)', '44th Most player-of-the-series awards (3)']</t>
  </si>
  <si>
    <t>['20th Highest strike rate in an innings (290.90)', '45th Most ducks in career (15)', '6th Most consecutive ducks (3)', '17th Most wickets in career (282)', '16th Most wickets in a series (21)', '43rd Most four-wickets-in-an-innings in a career (8)', '23rd Most balls bowled in career (10097)', '18th Most runs conceded in career (8301)', '25th Bowler/Batters combinations (8)', '12th Most wickets taken bowled (81)', '25th Most wickets taken caught (153)', '24th Most wickets taken caught by a fielder (120)', '11th Most wickets taken lbw (48)', '29th Fastest to 100 wickets (65)', '23rd Fastest to 150 wickets (103)', '18th Fastest to 200 wickets (144)', '14th Fastest to 250 wickets (180)']</t>
  </si>
  <si>
    <t>['31st Best strike rate in an innings (4.5)']</t>
  </si>
  <si>
    <t>['2nd Most runs in an innings (by batting position) (192)', '8th Highest maiden hundred (192)', '1st Highest partnership for the second wicket (275)', '2nd Unusual dismissals (obstructing the)']</t>
  </si>
  <si>
    <t>['9th Most runs in an innings (192)', '13th Most runs in a match (192)', '2nd Most runs in an innings (by batting position) (192)', '11th Hundred in last match (192)', '8th Highest maiden hundred (192)', '2nd Highest partnerships for any wicket (275)', '2nd Highest partnerships by wicket (2nd)', '1st Highest partnership for the second wicket (275)']</t>
  </si>
  <si>
    <t>['25th Most hundreds in a career (2)', '19th Youngest player to score a hundred (22y 185d)', '46th Fewest ducks in career (18.5)', '2nd Unusual dismissals (obstructing the)', '15th Best figures in a innings on debut (3)', '49th Highest partnership for the fifth wicket (86)', '35th Youngest players (16y 136d)']</t>
  </si>
  <si>
    <t>['5th Most dismissals in an innings (6)', '3rd Most stumpings in career (38)', '8th Highest innings total without conceding a bye (652)', ' 2000 runs and 100 wicketkeeping dismissals ']</t>
  </si>
  <si>
    <t>['46th Best career bowling average (without qualification) (13.00)', '43rd Highest partnership for the eighth wicket (127)', '40th Highest partnership for the ninth wicket (105)', '44th Most consecutive matches for a team (56)', '19th Most dismissals in career (198)', '5th Most dismissals in an innings (6)', '25th Most catches in career (160)', '3rd Most stumpings in career (38)', '12th Most stumpings in a series (6)', '8th Highest innings total without conceding a bye (652)']</t>
  </si>
  <si>
    <t>['31st Captains who have kept wicket (1)', '47th Oldest captains on captaincy debut (33y 353d)', '16th Most dismissals in an innings (5)', '46th Most dismissals in a series (14)', '11th Most catches in an innings (5)', '21st Most stumpings in a series (4)']</t>
  </si>
  <si>
    <t>['3rd Most consecutive matches for a team (87)', '1st Most runs in an innings (by batting position) (171*)', '5th Most hundreds in a calendar year (2)', '1st Outstanding bowling analyses in an innings (1/0)', '2nd Worst career economy rate (5.14)', '4th Most catches in an innings (3)', '6th Most matches in career (114)', '7th Most matches as captain (59)', '1st Most runs in an innings (by batting position) (103)', '3rd Highest percentage of runs in a completed innings (66.12)', '8th Fastest to 2000 runs (88)', '5th Best figures in a innings when on the losing side (4)', '4th Most catches in career (43)', '5th Highest partnership for the tenth wicket (22)']</t>
  </si>
  <si>
    <t>['11th Best figures in a match (9)', '24th Best career bowling average (without qualification) (10.77)', '30th Best strike rate in an innings (19.2)']</t>
  </si>
  <si>
    <t>['30th Most runs in career (2532)', '6th Most runs in an innings (171*)', '1st Most runs in an innings (by batting position) (171*)', '10th Most runs in a match on the losing side (107*)', '34th Most runs on a single ground (326)', '41st Most runs in an innings by a captain (103)', '36th Highest career batting average (35.66)', '19th Most hundreds in a career (3)', '5th Most hundreds in a calendar year (2)', '49th Highest maiden hundred (107*)', '26th Youngest player to score a hundred (23y 332d)', '35th Most fifties in career (15)', '28th Fifties in consecutive innings (3)', '35th Most consecutive innings without a duck (34)', '32nd Fewest ducks in career (21.5)', '1st Outstanding bowling analyses in an innings (1/0)', '5th Worst career bowling average (47.40)', '2nd Worst career economy rate (5.14)', '33rd Worst career strike rate (55.3)', '16th Worst economy rate in an innings (9.27)', '20th Most catches in career (37)', '4th Most catches in an innings (3)', '47th Most catches in a series (6)', '13th Highest partnership for the fourth wicket (137)', '31st Highest partnership for the sixth wicket (71)', '11th Highest partnership for the seventh wicket (77)', '38th Most matches in career (104)', '3rd Most consecutive matches for a team (87)', '37th Youngest captains (24y 31d)']</t>
  </si>
  <si>
    <t>['9th Most runs in career (2186)', '25th Most runs in an innings (103)', '2nd Most runs in a calendar year (663)', '1st Most runs in an innings (by batting position) (103)', '21st Most runs in a match on the losing side (68*)', '44th Most runs on a single ground (180)', '9th Most runs in an innings by a captain (103)', '18th Highest career batting average (26.98)', '20th Most fifties in career (7)', '17th Most consecutive innings without a duck (38)', '21st Fewest ducks in career (25.5)', '3rd Highest percentage of runs in a completed innings (66.12)', '8th Fastest to 2000 runs (88)', '26th Outstanding bowling analyses in an innings (2/3)', '21st Best figures in a innings by a captain (3)', '5th Best figures in a innings when on the losing side (4)', '13th Best strike rate in an innings (3.0)', '28th Worst career economy rate (6.13)', '43rd Most wickets taken stumped (5)', '4th Most catches in career (43)', '9th Highest partnership for the eighth wicket (33)', '5th Highest partnership for the tenth wicket (22)', '6th Most matches in career (114)', '16th Most consecutive matches for a team (49)', '7th Most matches as captain (59)']</t>
  </si>
  <si>
    <t>['1st Most consecutive matches missed for a team between appearances (99)']</t>
  </si>
  <si>
    <t>['10th Longest intervals between appearances (8y 77d)', '1st Most consecutive matches missed for a team between appearances (99)']</t>
  </si>
  <si>
    <t>['8th Outstanding bowling analyses in an innings (4/8)', '4th Most runs conceded in an innings (106)', '1st Most maidens in an innings (2)']</t>
  </si>
  <si>
    <t>['8th Outstanding bowling analyses in an innings (4/8)', '17th Highest partnership for the tenth wicket (111)']</t>
  </si>
  <si>
    <t>['8th Outstanding bowling analyses in an innings (4/8)', '4th Most runs conceded in an innings (106)']</t>
  </si>
  <si>
    <t>['48th Most wickets in career (45)', '38th Best figures in an innings (5/24)', '42nd Best career economy rate (6.98)', '29th Most balls bowled in career (1034)', '27th Most runs conceded in career (1203)', '17th Bowler/batters combinations (3)', '45th Bowler/fielder combinations (6)', '30th Most wickets taken bowled (12)', '42nd Most wickets taken caught (32)', '22nd Most wickets taken caught by a wicketkeeper (7)', '19th Most maidens in career (3)', '1st Most maidens in an innings (2)']</t>
  </si>
  <si>
    <t>[' Two unbeaten fifties in a match ', '5th Most fours in an innings (44)', '3rd Highest percentage of runs in a completed innings (63.98)', '6th Most catches by a substitute in a match (3)', ' 5000 runs and 50 fielding dismissals ', '3rd Highest partnership for the fifth wicket (376)', '3rd Most hundreds in a series (3)', '1st Dismissed for 99 (and 199, 299 etc) (99)', '2nd Most catches in a series (12)', '10th Highest partnership for the fourth wicket (213)', '5th Fifties in consecutive matches (8)']</t>
  </si>
  <si>
    <t>['19th Most runs in career (8781)', '42nd Most runs in an innings (281)', '20th Most runs in a match (340)', '13th Most runs in an innings (by batting position) (281)', '47th Most runs on a single ground (1217)', '13th Most fifties in career (73)', '15th Fifties in consecutive matches (8)', '15th Most fours in career (1135)', '5th Most fours in an innings (44)', '18th Most runs from fours and sixes in an innings (176)', '3rd Highest percentage of runs in a completed innings (63.98)', '14th Most catches in career (135)', '6th Most catches by a substitute in a match (3)', '26th Highest partnerships for any wicket (376)', '3rd Highest partnership for the fifth wicket (376)', '6th Highest partnership for the seventh wicket (259*)', '14th Most matches in career (134)']</t>
  </si>
  <si>
    <t>['3rd Most hundreds in a series (3)', '29th Most hundreds in a calendar year (4)', '39th Most hundreds against one team (4)', '1st Dismissed for 99 (and 199, 299 etc) (99)', '47th Fewest ducks in career (27.66)', '2nd Most catches in an innings (4)', '2nd Most catches in a series (12)', '10th Highest partnership for the fourth wicket (213)']</t>
  </si>
  <si>
    <t>['16th Shortest lived players (38y 51d)']</t>
  </si>
  <si>
    <t>['7th Longest intervals between appearances (8y 161d)', '1st Best figures in a innings by a captain (6)', '1st Oldest player to take a maiden five-wickets-in-an-innings (33y 162d)']</t>
  </si>
  <si>
    <t>['15th Oldest captains on captaincy debut (33y 12d)']</t>
  </si>
  <si>
    <t>['6th Best figures in an innings (6/10)', '1st Outstanding bowling analyses in an innings (6/10)', '1st Best figures in a innings by a captain (6)', '11th Best strike rate in an innings (6.3)', '3rd Oldest player to take five-wickets-in-an-innings (33y 162d)', '1st Oldest player to take a maiden five-wickets-in-an-innings (33y 162d)', '7th Longest intervals between appearances (8y 161d)', '38th Most matches as captain (19)', '20th Oldest captains on captaincy debut (33y 19d)']</t>
  </si>
  <si>
    <t>['13th Highest maiden hundred (159*)', '1st Outstanding bowling analyses in an innings (1/0)', '24th Most catches in a series (8)', '27th Highest partnership for the fifth wicket (158)']</t>
  </si>
  <si>
    <t>['32nd Fifties in consecutive innings (5)']</t>
  </si>
  <si>
    <t>['20th Best career bowling average (without qualification) (10.00)']</t>
  </si>
  <si>
    <t>['44th Most runs in a career without a hundred (1042)']</t>
  </si>
  <si>
    <t>['18th Hundred in last match (102*)', '42nd Youngest player to score a hundred (20y 253d)']</t>
  </si>
  <si>
    <t>['13th Worst economy rate in an innings (9.33)', '41st Highest partnership for the eighth wicket (44)', '36th Most consecutive matches missed for a team between appearances (33)']</t>
  </si>
  <si>
    <t>['16th Most runs in an innings (by batting position) (32*)']</t>
  </si>
  <si>
    <t>['24th Best figures in a innings when on the losing side (7)', '40th Best figures in a match when on the losing side (10)', '13th Best economy rate in an innings (0.43)', '23rd Youngest player to take ten-wickets-in-a-match (21y 197d)', '26th Youngest players (17y 193d)']</t>
  </si>
  <si>
    <t>['50th Best career economy rate (3.95)', '48th Best economy rate in an innings (1.00)', '39th Youngest players (17y 222d)']</t>
  </si>
  <si>
    <t>['16th Hundred in last match (154)', '19th Oldest player to score a hundred (40y 21d)', '50th Longest careers (17y 327d)', '31st Longest intervals between appearances (9y 308d)']</t>
  </si>
  <si>
    <t>['39th Longest lived players (61y 294d)']</t>
  </si>
  <si>
    <t>['13th Worst career bowling average (without qualification) (119.00)', '49th Highest partnership for the second wicket (136*)']</t>
  </si>
  <si>
    <t>['10th Best career strike rate (27.3)', '1st Most consecutive four-wickets-in-an-innings (3)', '7th Fastest to 100 wickets (56)']</t>
  </si>
  <si>
    <t>['16th Most runs in an innings (by batting position) (51*)', '11th Most ducks in a series (4)', '35th Best career strike rate (49.9)', '17th Best figures in a match on debut (9)', '50th Most wickets taken bowled (52)']</t>
  </si>
  <si>
    <t>['14th Best figures in a innings when on the losing side (5)', '10th Best career strike rate (27.3)', '25th Most four-wickets-in-an-innings in a career (10)', '1st Most consecutive four-wickets-in-an-innings (3)', '32nd Fastest to 50 wickets (29)', '7th Fastest to 100 wickets (56)']</t>
  </si>
  <si>
    <t>['30th Most consecutive matches missed for a team between appearances (43)']</t>
  </si>
  <si>
    <t>['10th Worst career strike rate (125.2)', '2nd Outstanding bowling analyses in an innings (4/1)', '6th Best economy rate in an innings (0.16)', '10th Most wickets taken caught and bowled (8)']</t>
  </si>
  <si>
    <t>['11th Worst career bowling average (42.25)', '10th Worst career strike rate (125.2)']</t>
  </si>
  <si>
    <t>['2nd Outstanding bowling analyses in an innings (4/1)', '11th Best figures in a innings when on the losing side (4)', '35th Best career economy rate (2.79)', '6th Best economy rate in an innings (0.16)', '43rd Best strike rate in an innings (9.0)', '25th Most four-wickets-in-an-innings in a career (4)', '10th Most wickets taken caught and bowled (8)', '49th Most wickets taken caught by a fielder (31)', '29th Most wickets taken lbw (14)']</t>
  </si>
  <si>
    <t>['2nd Worst career bowling average (without qualification) (141.00)']</t>
  </si>
  <si>
    <t>['41st Most consecutive matches missed for a team between appearances (56)']</t>
  </si>
  <si>
    <t>['1st Most stumpings in a match (6)']</t>
  </si>
  <si>
    <t>['25th Most runs in a career without a hundred (1285)', '37th Most dismissals in career (130)', '38th Most catches in career (110)', '19th Most stumpings in career (20)', '1st Most stumpings in an innings (5)', '1st Most stumpings in a match (6)', '12th Most stumpings in a series (6)']</t>
  </si>
  <si>
    <t>['34th Most dismissals in career (90)', '16th Most dismissals in an innings (5)', '39th Most catches in career (63)', '17th Most stumpings in career (27)', '2nd Most stumpings in a series (6)']</t>
  </si>
  <si>
    <t>['29th Youngest players (17y 265d)']</t>
  </si>
  <si>
    <t>[' Hundred and a duck in a match ', '2nd Most stumpings in a series (6)']</t>
  </si>
  <si>
    <t>['37th Most runs in an innings by a wicketkeeper (152)', '43rd Most dismissals in career (107)', '35th Most dismissals in a match (8)', '42nd Most catches in career (99)', '26th Most catches in a match (8)', '16th Most byes conceded in an innings (28)']</t>
  </si>
  <si>
    <t>['21st Most dismissals in career (154)', '16th Most dismissals in an innings (5)', '25th Most catches in career (110)', '7th Most stumpings in career (44)', '2nd Most stumpings in a series (6)']</t>
  </si>
  <si>
    <t>['6th Most runs in a series (911)', '6th Most hundreds in a series (2)', '10th Most nineties in career (2)', '7th Most innings before first duck (31)', '4th Most runs in a calendar year (622)', '10th Most fifties in career (12)', '10th Fastest to 1000 runs (49)']</t>
  </si>
  <si>
    <t>['34th Most runs in career (2172)', '43rd Most runs in an innings (135)', '6th Most runs in a series (911)', '15th Most runs in a calendar year (669)', '16th Most runs in a match on the losing side (102)', '14th Highest career batting average (42.58)', '15th Most hundreds in a career (4)', '6th Most hundreds in a series (2)', '10th Youngest player to score a hundred (19y 202d)', '10th Most nineties in career (2)', '16th Most fifties in career (22)', '28th Fifties in consecutive innings (3)', '7th Most innings before first duck (31)', '48th Most consecutive innings without a duck (31)', '20th Fewest ducks in career (28)', '35th Highest partnership for the second wicket (150)', '17th Highest partnership for the third wicket (151*)', '50th Youngest players (16y 266d)']</t>
  </si>
  <si>
    <t>['14th Most runs in career (1782)', '46th Most runs in an innings (86)', '4th Most runs in a calendar year (622)', '33rd Most runs in an innings (by batting position) (86)', '5th Most runs in a match on the losing side (86)', '26th Most runs on a single ground (208)', '23rd Highest career batting average (25.45)', '10th Most fifties in career (12)', '38th Most consecutive innings without a duck (31*)', '29th Fewest ducks in career (19)', '50th Highest percentage of runs in a completed innings (54.08)', '10th Fastest to 1000 runs (49)', '46th Most catches in career (18)', '32nd Highest partnership for the second wicket (98)', '39th Highest partnership for the fourth wicket (63)', '42nd Most matches in career (78)', '11th Most consecutive matches for a team (56)', '41st Youngest captains (22y 229d)']</t>
  </si>
  <si>
    <t>['36th Worst strike rate in an innings (348.0)', '29th Most runs conceded in an innings (203)']</t>
  </si>
  <si>
    <t>['42nd Most wickets in a series (18)', '38th Best career bowling average (23.60)', '24th Best career strike rate (29.9)', '47th Best strike rate in an innings (7.2)', '43rd Most five-wickets-in-an-innings in a career (2)', '21st Oldest player to take five-wickets-in-an-innings (33y 340d)', '43rd Oldest player to take a maiden five-wickets-in-an-innings (30y 252d)', '48th Longest intervals between appearances (6y 160d)', '13th Most consecutive matches missed for a team between appearances (180)']</t>
  </si>
  <si>
    <t>['7th Most runs in a match on the losing side (256)', '2nd Most double hundreds in a series (2)', ' Hundred and a duck in a match ', '8th Most balls bowled in an innings (492)', '10th Most runs conceded in an innings (228)', '2nd Most wickets taken hit wicket (3)', ' Opening the batting and bowling in the same match ', '2nd Highest partnership for the first wicket (413)']</t>
  </si>
  <si>
    <t>['7th Most runs in a match on the losing side (256)', '2nd Most double hundreds in a series (2)', '42nd Best figures in an innings (8/52)', '25th Best figures in a match (13)', '22nd Most wickets in a series (34)', '21st Worst strike rate in an innings (378.0)', '32nd Oldest player to take five-wickets-in-an-innings (37y 306d)', '19th Oldest player to take ten-wickets-in-a-match (35y 187d)', '8th Most balls bowled in an innings (492)', '9th Most balls bowled in a match (690)', '10th Most runs conceded in an innings (228)', '8th Most wickets taken stumped (18)', '2nd Most wickets taken hit wicket (3)', '37th Fastest to 100 wickets (23)', '12th Highest partnerships for any wicket (413)', '2nd Highest partnership for the first wicket (413)', '11th Oldest captains (41y 289d)', '19th Oldest captains on captaincy debut (37y 264d)']</t>
  </si>
  <si>
    <t>['32nd Longest lived players (92y 264d)']</t>
  </si>
  <si>
    <t>['38th Longest careers (18y 36d)', '28th Longest intervals between appearances (9y 336d)']</t>
  </si>
  <si>
    <t>['38th Youngest players (18y 13d)']</t>
  </si>
  <si>
    <t>['7th Most pairs in career (3)', '1st Best figures in a innings when on the losing side (6)', '6th Bowler/fielder combinations (9)']</t>
  </si>
  <si>
    <t>['30th Best figures in an innings (6/23)', '1st Best figures in a innings when on the losing side (6)', '43rd Most five-wickets-in-an-innings in a career (2)', '13th Most consecutive four-wickets-in-an-innings (2)', '37th Fastest to 150 wickets (113)']</t>
  </si>
  <si>
    <t>['50th Most wickets in a calendar year (18)', '36th Best career strike rate (17.2)', '45th Worst career economy rate (7.73)', '6th Bowler/fielder combinations (9)', '8th Most wickets taken caught by a wicketkeeper (9)', '49th Longest intervals between appearances (5y 17d)']</t>
  </si>
  <si>
    <t>['3rd Most runs in an innings (by batting position) (303*)', '3rd Highest maiden hundred (303*)']</t>
  </si>
  <si>
    <t>['28th Most runs in an innings (303*)', '3rd Most runs in an innings (by batting position) (303*)', '10th Most runs in a day (232)', '5th Most triple hundreds in a career (1)', '3rd Highest maiden hundred (303*)', '6th Youngest player to score a triple hundred (25y 10d)', '34th Most runs from fours and sixes in an innings (152)']</t>
  </si>
  <si>
    <t>['5th Most dismissals in an innings (5)', '7th Most stumpings in career (32)', '6th Most dismissals in an innings (4)', '9th Most stumpings in an innings (3)', '7th Highest partnership for the sixth wicket (60)']</t>
  </si>
  <si>
    <t>['40th Most runs in an innings by a wicketkeeper (79*)', '37th Highest partnership for the first wicket (151*)', '23rd Most consecutive matches missed for a team between appearances (40)', '13th Most dismissals in career (60)', '5th Most dismissals in an innings (5)', '39th Most dismissals in a series (10)', '17th Most catches in career (28)', '21st Most catches in an innings (3)', '7th Most stumpings in career (32)', '10th Most stumpings in a series (7)']</t>
  </si>
  <si>
    <t>['26th Most runs in an innings by a wicketkeeper (59)', '47th Highest partnership for the second wicket (86)', '7th Highest partnership for the sixth wicket (60)', '15th Most dismissals in career (31)', '6th Most dismissals in an innings (4)', '20th Most catches in career (10)', '12th Most stumpings in career (21)', '9th Most stumpings in an innings (3)']</t>
  </si>
  <si>
    <t>[' Two unbeaten fifties in a match ', '1st Outstanding bowling analyses in an innings (1/0)', '1st Best economy rate in an innings (0.15)']</t>
  </si>
  <si>
    <t>['30th Most innings before first duck (36)', '1st Outstanding bowling analyses in an innings (1/0)', '15th Best figures in a match when on the losing side (11)', '4th Best career economy rate (1.67)', '1st Best economy rate in an innings (0.15)', '31st Highest partnership for the eighth wicket (143)']</t>
  </si>
  <si>
    <t>['43rd Oldest captains (38y 105d)', '30th Oldest captains on captaincy debut (36y 238d)']</t>
  </si>
  <si>
    <t>['18th Worst career bowling average (without qualification) (179.50)', '43rd Longest careers (18y 9d)', '29th Longest intervals between appearances (9y 329d)']</t>
  </si>
  <si>
    <t>['12th Worst career bowling average (without qualification) (161.00)']</t>
  </si>
  <si>
    <t>['35th Most consecutive matches missed for a team between appearances (34)']</t>
  </si>
  <si>
    <t>['21st Most wickets taken stumped (11)', '27th Fastest to 100 wickets (22)']</t>
  </si>
  <si>
    <t>['4th Highest career strike rate (117.31)']</t>
  </si>
  <si>
    <t>['19th Most sixes in an innings (7)', '20th Best strike rate in an innings (7.2)']</t>
  </si>
  <si>
    <t>['4th Highest career strike rate (117.31)', '16th Highest partnership for the sixth wicket (150*)']</t>
  </si>
  <si>
    <t>['16th Highest career strike rate (147.66)', '9th Highest strike rate in an innings (355.55)', '25th Outstanding bowling analyses in an innings (3/8)', '29th Worst career economy rate (8.17)', '42nd Most runs conceded in career (1094)', '17th Bowler/batters combinations (3)', '26th Bowler/fielder combinations (7)', '29th Most wickets taken caught (35)', '33rd Most wickets taken caught by a fielder (28)', '22nd Most wickets taken caught by a wicketkeeper (7)', '29th Most catches in career (30)']</t>
  </si>
  <si>
    <t>['10th Most runs in debut match (75*)']</t>
  </si>
  <si>
    <t>[' Opening the batting and bowling in the same match ', '9th Outstanding bowling analyses in an innings (3/5)', ' Opening the batting and bowling in the same match ']</t>
  </si>
  <si>
    <t>['9th Outstanding bowling analyses in an innings (3/5)', '48th Best economy rate in an innings (1.00)', '43rd Most five-wickets-in-an-innings in a career (2)', '13th Most consecutive four-wickets-in-an-innings (2)', '32nd Oldest player to take five-wickets-in-an-innings (32y 217d)', '38th Oldest player to take a maiden five-wickets-in-an-innings (30y 309d)', '38th Most wickets taken bowled (49)', '48th Fastest to 150 wickets (123)']</t>
  </si>
  <si>
    <t>['4th Best career bowling average (without qualification) (4.00)']</t>
  </si>
  <si>
    <t>['9th Youngest player to take ten-wickets-in-a-match (20y 44d)', ' Opening the batting and bowling in the same match ', '7th Most runs in an innings (by batting position) (50)', ' Opening the batting and bowling in the same match ', '7th Most runs in an innings (by batting position) (33*)']</t>
  </si>
  <si>
    <t>['37th Youngest player to take five-wickets-in-an-innings (20y 44d)', '9th Youngest player to take ten-wickets-in-a-match (20y 44d)']</t>
  </si>
  <si>
    <t>['7th Most runs in an innings (by batting position) (50)', '38th Most runs in a career without a hundred (1544)', '24th Most wickets in a calendar year (47)', '43rd Most five-wickets-in-an-innings in a career (2)', '20th Youngest player to take five-wickets-in-an-innings (20y 306d)', '25th Bowler/Batters combinations (8)', '29th Most wickets taken lbw (31)', '45th Fastest to 50 wickets (31)', '12th Fastest to 100 wickets (59)', '29th Fastest to 150 wickets (106)']</t>
  </si>
  <si>
    <t>['7th Most runs in an innings (by batting position) (33*)', '47th No ducks in career (14)', '48th Most wickets taken bowled (10)']</t>
  </si>
  <si>
    <t>['8th Most runs in an innings (by batting position) (123*)', '8th Highest career strike rate (113.60)', '7th Highest partnership for the ninth wicket (100)']</t>
  </si>
  <si>
    <t>['8th Most runs in an innings (by batting position) (123*)', '8th Highest career strike rate (113.60)', '44th Most sixes in an innings (8)', '27th Highest partnership for the sixth wicket (133*)', '7th Highest partnership for the ninth wicket (100)']</t>
  </si>
  <si>
    <t>['4th Highest partnership for the eighth wicket (59*)']</t>
  </si>
  <si>
    <t>['5th Most wickets in a series (29)', '6th Most wickets taken caught and bowled (9)', '1st Outstanding bowling analyses in an innings (2/0)', '1st Best economy rate in an innings (0.00)', '1st Most consecutive four-wickets-in-an-innings (2)', '1st Most wickets taken stumped (18)']</t>
  </si>
  <si>
    <t>['44th Most wickets in career (72)', '5th Most wickets in a series (29)', '45th Best career strike rate (36.1)', '15th Best figures in a innings on debut (3)', '25th Most four-wickets-in-an-innings in a career (4)', '50th Most runs conceded in career (1652)', '25th Most wickets taken caught (50)', '6th Most wickets taken caught and bowled (9)', '23rd Most wickets taken caught by a fielder (43)', '16th Most wickets taken stumped (11)']</t>
  </si>
  <si>
    <t>['7th Most wickets in career (95)', '3rd Most wickets in a calendar year (35)', '1st Outstanding bowling analyses in an innings (2/0)', '19th Most wickets on a single ground (10)', '5th Best figures in a innings when on the losing side (4)', '7th Best career bowling average (14.52)', '38th Best career economy rate (5.65)', '4th Best career strike rate (15.4)', '1st Best economy rate in an innings (0.00)', '33rd Best strike rate in an innings (4.0)', '12th Best figures in a innings on debut (3)', '4th Most four-wickets-in-an-innings in a career (3)', '1st Most consecutive four-wickets-in-an-innings (2)', '14th Most balls bowled in career (1464)', '15th Most runs conceded in career (1380)', '18th Bowler/Batters combinations (4)', '1st Bowler/fielder combinations (17)', '27th Most wickets taken bowled (14)', '5th Most wickets taken caught (58)', '8th Most wickets taken caught and bowled (5)', '5th Most wickets taken caught by a fielder (51)', '12th Most wickets taken caught by a wicketkeeper (7)', '1st Most wickets taken stumped (18)', '42nd Most consecutive matches for a team (38)', '41st Most maidens in career (5)', '12th Most maidens in an innings (2)']</t>
  </si>
  <si>
    <t>['2nd Most stumpings in a series (6)']</t>
  </si>
  <si>
    <t>['25th Most stumpings in career (15)', '2nd Most stumpings in a series (6)']</t>
  </si>
  <si>
    <t>[' Representing two countries ', '8th Winning all tosses in a series (3)', ' Hundred on debut (102)', ' Representing two countries ']</t>
  </si>
  <si>
    <t>['10th Longest intervals between appearances (12y 10d)', '8th Winning all tosses in a series (3)', '38th Oldest captains on captaincy debut (36y 98d)']</t>
  </si>
  <si>
    <t>['8th Most consecutive matches missed for a team between appearances (191)', '7th Most stumpings in a series (5)']</t>
  </si>
  <si>
    <t>['23rd Youngest players (17y 152d)', '12th Most consecutive matches missed for a team between appearances (83)', '37th Highest innings total without conceding a bye (556)']</t>
  </si>
  <si>
    <t>['46th Youngest players (17y 301d)', '8th Most consecutive matches missed for a team between appearances (191)', '7th Most stumpings in a series (5)']</t>
  </si>
  <si>
    <t>['38th Worst career bowling average (without qualification) (146.00)']</t>
  </si>
  <si>
    <t>['40th Best figures in a match when on the losing side (10)']</t>
  </si>
  <si>
    <t>['40th Most wickets in career (196)', '27th Most wickets in a calendar year (46)', '33rd Most wickets on a single ground (37)', '39th Most balls bowled in career (8129)', '36th Most runs conceded in career (6332)', '25th Bowler/Batters combinations (8)', '33rd Bowler/fielder combinations (28)', '29th Most wickets taken caught (147)', '32nd Most wickets taken caught by a fielder (101)', '24th Most wickets taken caught by a wicketkeeper (46)']</t>
  </si>
  <si>
    <t>['3rd No ducks in career (38)']</t>
  </si>
  <si>
    <t>['27th Most runs in debut match (82)']</t>
  </si>
  <si>
    <t>['14th Best career bowling average (without qualification) (10.00)']</t>
  </si>
  <si>
    <t>['6th Highest career batting average (44.31)', '5th Highest partnership for the fifth wicket (98*)']</t>
  </si>
  <si>
    <t>['47th Most runs in debut match (71)']</t>
  </si>
  <si>
    <t>['12th Most runs in an innings (by batting position) (79*)', '42nd Most runs in a match on the losing side (79*)', '6th Highest career batting average (44.31)', '5th Highest partnership for the fifth wicket (98*)']</t>
  </si>
  <si>
    <t>['3rd Youngest captains (21y 77d)']</t>
  </si>
  <si>
    <t>['48th Most runs in a match on the losing side (212)', '19th Youngest player to score a double hundred (23y 34d)', '28th Most matches as captain (40)', '49th Most consecutive matches as captain of a team (21)', '16th Winning all tosses in a series (5)', '3rd Youngest captains (21y 77d)']</t>
  </si>
  <si>
    <t>['40th Best figures in a match when on the losing side (10)', '18th Best economy rate in an innings (0.46)', '18th Oldest player to take ten-wickets-in-a-match (35y 247d)', '39th Most wickets taken caught by a fielder (116)', '13th Fastest to 100 wickets (20)', '18th Fastest to 150 wickets (34)']</t>
  </si>
  <si>
    <t>['10th Most wickets in a calendar year (28)']</t>
  </si>
  <si>
    <t>['40th Most wickets in career (73)', '11th Most wickets in a series (24)', '10th Most wickets in a calendar year (28)', '14th Best career strike rate (32.0)', '31st Bowler/Batters combinations (5)', '48th Most wickets taken bowled (16)', '45th Most wickets taken caught (40)', '43rd Most wickets taken caught by a fielder (32)', '18th Most wickets taken lbw (17)']</t>
  </si>
  <si>
    <t>['18th Fewest ducks in career (26)', '27th Outstanding bowling analyses in an innings (1/2)', '14th Worst career economy rate (6.39)', '47th Most runs conceded in career (897)', '14th Most runs conceded in an innings (52)', '32nd Most wickets taken bowled (13)', '20th Most wickets taken caught and bowled (3)', '41st Most wickets taken caught by a fielder (22)', '46th Most catches in career (18)', '43rd Highest partnership for the eighth wicket (22)', '35th Highest partnership for the ninth wicket (17)']</t>
  </si>
  <si>
    <t>['1st Most dismissals in a match (11)', '1st Most catches in a match (11)', ' 300 runs and 15 wicketkeeping dismissals in a series ']</t>
  </si>
  <si>
    <t>['28th Most runs in a series by a wicketkeeper (350)', '29th Most runs in an innings by a wicketkeeper (159*)', '44th Highest strike rate in an innings (175.00)', '44th Hundred in last match (101)', '48th Youngest player to score a hundred (20y 338d)', '17th Highest partnership for the seventh wicket (204)', '5th Most dismissals in an innings (6)', '1st Most dismissals in a match (11)', '47th Most dismissals in a series (20)', '5th Most catches in an innings (6)', '1st Most catches in a match (11)', '5th Most catches in a series (35)', '18th Most stumpings in a series (5)', '20th Most byes conceded in an innings (26)']</t>
  </si>
  <si>
    <t>['24th Most stumpings in career (5)']</t>
  </si>
  <si>
    <t>['50th Worst economy rate in an innings (10.77)']</t>
  </si>
  <si>
    <t>['8th Outstanding bowling analyses in an innings (9/69)']</t>
  </si>
  <si>
    <t>['10th Best figures in an innings (9/69)', '13th Best figures in a match (14)', '8th Outstanding bowling analyses in an innings (9/69)', '24th Oldest player to take ten-wickets-in-a-match (35y 23d)', '30th Oldest player to take a maiden five-wickets-in-an-innings (35y 23d)']</t>
  </si>
  <si>
    <t>['13th Worst career bowling average (without qualification) (160.00)', '10th Worst economy rate in an innings (12.00)']</t>
  </si>
  <si>
    <t>['32nd Most wickets taken lbw (5)']</t>
  </si>
  <si>
    <t>['16th Most dismissals in an innings (5)']</t>
  </si>
  <si>
    <t>['6th Most consecutive four-wickets-in-an-innings (5)']</t>
  </si>
  <si>
    <t>['30th Best career bowling average (without qualification) (10.59)', '18th Most consecutive five-wickets-in-an-innings (3)']</t>
  </si>
  <si>
    <t>['1st Most consecutive ducks (3)', '1st Unusual dismissals (obstructing the)']</t>
  </si>
  <si>
    <t>['15th Most runs in an innings (by batting position) (54*)', '34th Most ducks in career (5)', '1st Most consecutive ducks (3)', '1st Unusual dismissals (obstructing the)', '42nd Most wickets in career (48)', '22nd Most wickets in a calendar year (20)', '26th Outstanding bowling analyses in an innings (2/3)', '38th Most balls bowled in career (1036)', '37th Most runs conceded in career (1008)', '43rd Most runs conceded in an innings (44)', '18th Bowler/Batters combinations (4)', '43rd Most wickets taken caught (26)', '12th Most wickets taken caught and bowled (4)', '45th Most wickets taken caught by a fielder (21)', '23rd Most wickets taken caught by a wicketkeeper (5)', '16th Most wickets taken lbw (9)', '32nd Most wickets taken stumped (6)', '16th Highest partnership for the sixth wicket (53*)']</t>
  </si>
  <si>
    <t>[' Hundred and a duck in a match ', ' Batting on each day of a five day match ', ' 5000 runs and 50 fielding dismissals ']</t>
  </si>
  <si>
    <t>['27th Most double hundreds in a career (3)', '21st Hundreds in consecutive matches (3)', '24th Most innings before first duck (38)', '44th Longest individual innings (by minutes) (672)', '30th Longest individual innings (by balls) (525)', '13th Fastest to 1000 runs (18)', '48th Fastest to 2000 runs (46)', '34th Fastest to 3000 runs (67)', '17th Fastest to 4000 runs (84)', '24th Fastest to 5000 runs (108)', '30th Fastest to 6000 runs (134)', '19th Highest partnership for the seventh wicket (199)']</t>
  </si>
  <si>
    <t>['1st Fifties in consecutive innings (7)', '2nd Most catches in a series (14)', ' Hundred on debut (100*)', '2nd Most runs in an innings (by batting position) (110*)', '7th Highest career batting average (39.92)', '3rd Fifties in consecutive innings (3)', '4th Fastest to 1000 runs (29)', '2nd Fifties in consecutive innings (7)']</t>
  </si>
  <si>
    <t>['1st Fifties in consecutive innings (7)', '26th Fifties in consecutive matches (7)', '13th Highest percentage of runs in a completed innings (60.95)', '2nd Most catches in a match (7)', '2nd Most catches in a series (14)', '49th Highest partnership for the sixth wicket (204)']</t>
  </si>
  <si>
    <t>['16th Highest career batting average (48.67)', '15th Most runs in debut match (100*)', '27th Fastest to 1000 runs (27)']</t>
  </si>
  <si>
    <t>['32nd Most runs in career (1557)', '27th Most runs in an innings (110*)', '41st Most runs in a calendar year (404)', '2nd Most runs in an innings (by batting position) (110*)', '5th Most runs in a match on the losing side (110*)', '7th Highest career batting average (39.92)', '30th Highest career strike rate (142.19)', '10th Most fifties in career (14)', '3rd Fifties in consecutive innings (3)', '23rd Most consecutive innings without a duck (39)', '29th Most sixes in career (63)', '32nd Most fours in career (138)', '30th Most sixes in an innings (8)', '12th Most fours in an innings (12)', '29th Most runs from fours and sixes in an innings (78)', '4th Fastest to 1000 runs (29)', '45th Highest partnership for the second wicket (106)', '44th Highest partnership for the third wicket (95)', '11th Highest partnership for the fourth wicket (107)', '20th Most byes conceded in an innings (6)']</t>
  </si>
  <si>
    <t>['3rd Youngest captains (22y 353d)', '1st Most runs in an innings (by batting position) (214)', '9th Highest career batting average (51.00)', '1st Youngest player to score a double hundred (19y 254d)', '1st Most catches in an innings (3)', '1st Highest partnership for the seventh wicket (157)', '1st Longest careers (21y 264d)', '1st Most matches as captain (137)', '1st Most runs in career (7098)', '6th Highest career batting average (51.06)', ' Hundred on debut (114*)', '1st Youngest player to score a hundred (16y 205d)', '1st Most nineties in career (5)', '1st Fifties in consecutive innings (7)', '2nd Most consecutive innings without a duck (74)', '9th Highest percentage of runs in a completed innings (57.36)', '4th Most catches in career (57)', ' 5000 runs and 50 fielding dismissals ', '7th Most runs in a calendar year (575)', '1st Highest career batting average (37.52)', '2nd Fifties in consecutive innings (4)', '7th Most innings before first duck (28)', '2nd Fastest to 2000 runs (70)', '7th Highest partnership for the fifth wicket (77)']</t>
  </si>
  <si>
    <t>['23rd Most runs in career (663)', '2nd Most runs in an innings (214)', '9th Most runs in an innings (progressive record holder) (214)', '5th Most runs in a match (214)', '1st Most runs in an innings (by batting position) (214)', '4th Most runs on a single ground (301)', '9th Highest career batting average (51.00)', '1st Most double hundreds in a career (1)', '2nd Highest maiden hundred (214)', '3rd Youngest player to score a hundred (19y 254d)', '1st Youngest player to score a double hundred (19y 254d)', '19th Most fifties in career (5)', '19th Most catches in career (11)', '1st Most catches in an innings (3)', '2nd Most catches in a match (4)', '23rd Highest partnerships for any wicket (157)', '7th Highest partnerships by wicket (7th)', '7th Highest partnership for the third wicket (136)', '8th Highest partnership for the fourth wicket (144)', '1st Highest partnership for the seventh wicket (157)', '33rd Longest careers (12y 309d)', '3rd Youngest captains (22y 353d)']</t>
  </si>
  <si>
    <t>['1st Most runs in career (7098)', '32nd Most runs in a series (535)', '7th Most runs in a calendar year (783)', '2nd Most runs in a match on the losing side (125*)', '24th Most runs on a single ground (386)', '7th Most runs in an series by a captain (535)', '12th Most runs in an innings by a captain (125*)', '6th Highest career batting average (51.06)', '3rd Most runs in debut match (114*)', '6th Most hundreds in a career (7)', '2nd Most hundreds against one team (3)', '32nd Highest maiden hundred (114*)', '1st Youngest player to score a hundred (16y 205d)', '5th Oldest player to score a hundred (35y 287d)', '1st Most nineties in career (5)', '1st Most fifties in career (62)', '1st Fifties in consecutive innings (7)', '2nd Most consecutive innings without a duck (74)', '12th Fewest ducks in career (32.16)', '9th Highest percentage of runs in a completed innings (57.36)', '25th Best career bowling average (without qualification) (11.37)', '4th Most catches in career (57)', '26th Most catches in a series (7)', '29th Highest partnership for the third wicket (132)', '12th Highest partnership for the fifth wicket (108)', '20th Highest partnership for the sixth wicket (81*)', '13th Highest partnership for the eighth wicket (59*)', '1st Most matches in career (214)', '1st Most consecutive matches for a team (109)', '40th Youngest players (16y 205d)', '36th Oldest players (38y 104d)', '1st Longest careers (21y 264d)', '1st Most matches as captain (137)', '2nd Most consecutive matches as captain of a team (57)', '7th Youngest captains (21y 94d)', '11th Oldest captains (38y 104d)']</t>
  </si>
  <si>
    <t>['7th Most runs in career (2364)', '29th Most runs in an innings (97*)', '7th Most runs in a calendar year (575)', '20th Most runs in an innings (by batting position) (97*)', '22nd Most runs in a match on the losing side (67)', '16th Most runs on a single ground (220)', '1st Highest career batting average (37.52)', '3rd Most fifties in career (17)', '2nd Fifties in consecutive innings (4)', '7th Most innings before first duck (28)', '41st Most consecutive innings without a duck (28)', '38th Fewest ducks in career (16.8)', '34th Most ducks in career (5)', '18th Highest percentage of runs in a completed innings (60.33)', '6th Fastest to 1000 runs (40)', '2nd Fastest to 2000 runs (70)', '44th Most catches in career (19)', '31st Highest partnerships for any wicket (129)', '16th Highest partnership for the first wicket (129)', '30th Highest partnership for the second wicket (98*)', '29th Highest partnership for the third wicket (86)', '7th Highest partnership for the fifth wicket (77)', '27th Highest partnership for the sixth wicket (47)', '26th Most matches in career (89)', '15th Most matches as captain (32)']</t>
  </si>
  <si>
    <t>['39th Most runs conceded in an innings (45)']</t>
  </si>
  <si>
    <t>['7th Worst career bowling average (without qualification) (118.00)']</t>
  </si>
  <si>
    <t>['7th Worst career bowling average (without qualification) (118.00)', '20th Highest partnership for the eighth wicket (27)']</t>
  </si>
  <si>
    <t>['9th Outstanding bowling analyses in an innings (5/24)', '7th Oldest player to take a maiden five-wickets-in-an-innings (32y 166d)', '8th Most balls bowled in an innings (324)', '10th Highest percentage of runs in a completed innings (57.26)', '6th Most wickets taken stumped (16)']</t>
  </si>
  <si>
    <t>['9th Outstanding bowling analyses in an innings (5/24)', '32nd Best career bowling average (21.26)', '27th Best career economy rate (1.64)', '11th Oldest player to take five-wickets-in-an-innings (32y 166d)', '7th Oldest player to take a maiden five-wickets-in-an-innings (32y 166d)', '8th Most balls bowled in an innings (324)', '27th Most balls bowled in a match (396)']</t>
  </si>
  <si>
    <t>['10th Highest percentage of runs in a completed innings (57.26)', '11th Best figures in a innings when on the losing side (4)', '18th Best career bowling average (16.88)', '12th Best career strike rate (31.1)', '20th Bowler/fielder combinations (13)', '6th Most wickets taken stumped (16)']</t>
  </si>
  <si>
    <t>['26th Worst career strike rate (121.3)']</t>
  </si>
  <si>
    <t>['1st Most ducks in a series (5)', '7th Best career bowling average (without qualification) (6.00)', '10th Most innings before first duck (24)', '3rd Most catches in an innings (3)', '4th Highest partnership for the fourth wicket (134)']</t>
  </si>
  <si>
    <t>['1st Most ducks in a series (5)', '7th Best career bowling average (without qualification) (6.00)', '29th Highest partnerships for any wicket (190)', '12th Highest partnership for the first wicket (190)']</t>
  </si>
  <si>
    <t>['37th Most runs in career (976)', '18th Most runs in a calendar year (461)', '24th Most runs in an innings (by batting position) (72)', '14th Most runs in a match on the losing side (72)', '33rd Most runs on a single ground (195)', '22nd Highest career batting average (26.37)', '22nd Most fifties in career (6)', '10th Most innings before first duck (24)', '25th Fewest ducks in career (20)', '3rd Most catches in an innings (3)', '26th Highest partnerships for any wicket (134)', '6th Highest partnership for the third wicket (117)', '4th Highest partnership for the fourth wicket (134)']</t>
  </si>
  <si>
    <t>['28th Fifties in consecutive innings (3)']</t>
  </si>
  <si>
    <t>['5th Best figures in a innings when on the losing side (4)', '3rd Most catches in an innings (3)']</t>
  </si>
  <si>
    <t>['32nd Best figures in an innings (5/16)', '5th Best figures in a innings when on the losing side (4)', '13th Most four-wickets-in-an-innings in a career (2)', '12th Most wickets taken stumped (10)', '3rd Most catches in an innings (3)']</t>
  </si>
  <si>
    <t>['1st Dismissed for 99 (and 199, 299 etc) (99)', ' Hundred and a duck in a match ', ' Opening the batting and bowling in the same match ', '4th Most consecutive ducks (4)']</t>
  </si>
  <si>
    <t>['1st Dismissed for 99 (and 199, 299 etc) (99)', '2nd Most ducks in a series (5)', '4th Most consecutive ducks (4)']</t>
  </si>
  <si>
    <t>[' Hundred in each innings of a match ', '1st Most catches in a match (8)']</t>
  </si>
  <si>
    <t>['43rd Most catches in career (95)', '1st Most catches in an innings (5)', '1st Most catches in a match (8)', '42nd Most catches in a series (10)']</t>
  </si>
  <si>
    <t>['11th Fifties in consecutive innings (5)', '47th Highest partnerships for any wicket (231)', '20th Highest partnership for the first wicket (231)']</t>
  </si>
  <si>
    <t>['25th Most runs in debut match (61)', '1st Most catches in an innings (4)']</t>
  </si>
  <si>
    <t>['36th Youngest player to score a hundred (20y 148d)']</t>
  </si>
  <si>
    <t>['7th Outstanding bowling analyses in an innings (6/12)']</t>
  </si>
  <si>
    <t>['42nd Youngest player to take five-wickets-in-an-innings (20y 106d)']</t>
  </si>
  <si>
    <t>[' Hundred on debut (120)', '2nd Outstanding bowling analyses in an innings (2/1)', ' 5000 runs and 50 fielding dismissals ', '7th Highest partnership for the fifth wicket (196*)', '9th Most runs in an innings (by batting position) (101)', '9th Most catches in career (42)', '3rd Highest partnership for the eighth wicket (61)']</t>
  </si>
  <si>
    <t>['2nd Outstanding bowling analyses in an innings (2/1)']</t>
  </si>
  <si>
    <t>['45th Youngest player to score a hundred (21y 211d)', '44th Fifties in consecutive innings (4)', '30th Most sixes in career (120)', '28th Worst career bowling average (50.30)', '30th Most catches in career (102)', '7th Highest partnership for the fifth wicket (196*)', '37th Most consecutive matches for a team (78)', '15th Youngest captains (23y 182d)']</t>
  </si>
  <si>
    <t>['30th Most runs in career (1605)', '9th Most runs in an innings (by batting position) (101)', '48th Most fifties in career (6)', '18th Most consecutive innings without a duck (45)', '25th Fewest ducks in career (22)', '32nd Most sixes in career (58)', '24th Most fours in career (145)', '28th Fastest to 1000 runs (41)', '9th Most catches in career (42)', '15th Most catches in an innings (3)', '50th Highest partnership for the sixth wicket (60)', '3rd Highest partnership for the eighth wicket (61)', '25th Most matches in career (78)', '15th Most consecutive matches for a team (43)', '46th Longest careers (11y 219d)', '18th Youngest captains (23y 197d)']</t>
  </si>
  <si>
    <t>['23rd Highest career batting average (47.05)', '45th Fastest to 1000 runs (29)', '11th Highest partnership for the sixth wicket (160)']</t>
  </si>
  <si>
    <t>['2nd Most consecutive matches as captain of a team (12)', '1st Most runs in an series by a captain (381)', '5th Fifties in consecutive innings (3)', '2nd Highest percentage of runs in a completed innings (61.01)', '6th Worst career economy rate (2.56)', '6th Most catches in a series (7)']</t>
  </si>
  <si>
    <t>['19th Most runs in career (750)', '5th Most runs in a series (381)', '7th Most runs in a calendar year (381)', '10th Most runs in an innings (by batting position) (108)', '1st Most runs in an series by a captain (381)', '14th Most runs in an innings by a captain (108)', '38th Highest career batting average (32.60)', '44th Highest maiden hundred (108)', '11th Most fifties in career (7)', '5th Fifties in consecutive innings (3)', '11th Most innings before first duck (12)', '2nd Highest percentage of runs in a completed innings (61.01)', '44th Most wickets in career (21)', '24th Worst career bowling average (31.61)', '6th Worst career economy rate (2.56)', '35th Worst economy rate in an innings (4.00)', '23rd Most catches in career (10)', '6th Most catches in a series (7)', '13th Most matches in career (16)', '23rd Most consecutive matches for a team (12)', '24th Longest careers (14y 90d)', '2nd Most matches as captain (12)', '2nd Most consecutive matches as captain of a team (12)']</t>
  </si>
  <si>
    <t>['15th No ducks in career (19)', '48th Most matches as captain (16)', '41st Most consecutive matches as captain of a team (16)']</t>
  </si>
  <si>
    <t>['10th Most runs in an innings (by batting position) (130)', '5th Most hundreds in a calendar year (2)', '4th Best career bowling average (without qualification) (4.00)']</t>
  </si>
  <si>
    <t>['35th Most runs in an innings (130)', '10th Most runs in an innings (by batting position) (130)', '12th Hundred in last match (130)', '24th Highest maiden hundred (130)']</t>
  </si>
  <si>
    <t>['32nd Most runs in career (2267)', '18th Most runs in a calendar year (653)', '11th Most runs in a match on the losing side (106)', '39th Highest career batting average (34.87)', '19th Most hundreds in a career (3)', '5th Most hundreds in a calendar year (2)', '45th Highest maiden hundred (109*)', '29th Oldest player to score a hundred (31y 151d)', '25th Most fifties in career (18)', '28th Fifties in consecutive innings (3)', '4th Best career bowling average (without qualification) (4.00)', '49th Highest partnerships for any wicket (175)', '17th Highest partnership for the first wicket (175)', '28th Highest partnership for the second wicket (157)', '34th Highest partnership for the third wicket (129)']</t>
  </si>
  <si>
    <t>['16th Highest career batting average (27.65)', '26th Most fifties in career (4)', '49th Most consecutive innings without a duck (26*)', '43rd Fewest ducks in career (15.5)', '29th Highest partnerships for any wicket (130)', '14th Highest partnership for the first wicket (130)', '29th Highest partnership for the seventh wicket (37)']</t>
  </si>
  <si>
    <t>['40th Highest partnership for the second wicket (143)']</t>
  </si>
  <si>
    <t>['9th Highest career batting average (29.38)']</t>
  </si>
  <si>
    <t>['9th Highest career batting average (29.38)', '34th Most fifties in career (3)', '20th Highest partnerships for any wicket (143)', '12th Highest partnership for the first wicket (143)']</t>
  </si>
  <si>
    <t>['15th Outstanding bowling analyses in an innings (4/10)', '28th Best career bowling average (without qualification) (6.83)', '4th Best figures in a innings on debut (4)']</t>
  </si>
  <si>
    <t>['10th Oldest player to take five-wickets-in-an-innings (35y 254d)']</t>
  </si>
  <si>
    <t>['21st Oldest player to score a maiden hundred (33y 343d)', '12th Best strike rate in an innings (6.0)', '43rd Most five-wickets-in-an-innings in a career (2)', '10th Oldest player to take five-wickets-in-an-innings (35y 254d)', '11th Oldest player to take a maiden five-wickets-in-an-innings (34y 99d)', '21st Longest intervals between appearances (7y 230d)', '26th Most consecutive matches missed for a team between appearances (146)']</t>
  </si>
  <si>
    <t>['4th Most consecutive matches missed for a team between appearances (73)']</t>
  </si>
  <si>
    <t>['2nd Most stumpings in a match (5)']</t>
  </si>
  <si>
    <t>['43rd Most stumpings in career (11)', '2nd Most stumpings in an innings (4)', '2nd Most stumpings in a match (5)', '5th Most stumpings in a series (7)']</t>
  </si>
  <si>
    <t>['38th Worst career bowling average (47.68)', '13th Worst career strike rate (69.3)']</t>
  </si>
  <si>
    <t>['3rd Most runs in an innings (by batting position) (33)', '5th Most wickets taken lbw (29)', '3rd Highest partnership for the tenth wicket (58)', '8th Most runs in an innings (by batting position) (28*)', '2nd Worst career strike rate (35.3)', '10th Highest partnership for the ninth wicket (27*)']</t>
  </si>
  <si>
    <t>['16th Most runs in an innings (by batting position) (50)']</t>
  </si>
  <si>
    <t>['3rd Most runs in an innings (by batting position) (33)', '41st Most runs in a career without a hundred (926)', '40th Most ducks in career (8)', '28th Most wickets in career (87)', '21st Most wickets in a calendar year (24)', '36th Worst career bowling average (32.52)', '47th Worst career strike rate (52.3)', '17th Most balls bowled in career (4552)', '16th Most runs conceded in career (2830)', '12th Bowler/Batters combinations (6)', '42nd Most wickets taken caught (42)', '31st Most wickets taken caught and bowled (5)', '19th Most wickets taken caught by a wicketkeeper (12)', '5th Most wickets taken lbw (29)', '26th Most catches in career (35)', '3rd Highest partnership for the tenth wicket (58)', '26th Most matches in career (116)']</t>
  </si>
  <si>
    <t>['8th Most runs in an innings (by batting position) (28*)', '34th Most ducks in career (5)', '3rd Worst career bowling average (35.25)', '2nd Worst career strike rate (35.3)', '18th Highest partnership for the seventh wicket (44)', '10th Highest partnership for the ninth wicket (27*)', '42nd Most consecutive matches for a team (38)']</t>
  </si>
  <si>
    <t>[' Batting on each day of a five day match ', '10th Youngest player to take five-wickets-in-an-innings (18y 290d)', ' 1000 runs and 100 wickets ', '9th Highest partnership for the seventh wicket (235)', '9th Most wickets taken stumped (22)', ' 1000 runs and 100 wickets ']</t>
  </si>
  <si>
    <t>['41st Youngest player to score a hundred (20y 248d)', '36th Most sixes in an innings (6)', '10th Youngest player to take five-wickets-in-an-innings (18y 290d)', '47th Most balls bowled in career (15751)', '9th Highest partnership for the seventh wicket (235)', '41st Highest partnership for the eighth wicket (128)', '44th Highest partnership for the ninth wicket (104)', '40th Youngest captains (25y 229d)']</t>
  </si>
  <si>
    <t>['40th Most innings before first duck (30)', '18th Outstanding bowling analyses in an innings (5/15)', '39th Worst economy rate in an innings (11.00)', '25th Most wickets taken caught and bowled (11)', '9th Most wickets taken stumped (22)', '31st Highest partnership for the tenth wicket (53)', '24th Most player-of-the-series awards (4)', '37th Youngest captains (24y 245d)']</t>
  </si>
  <si>
    <t>['6th Worst career bowling average (58.33)']</t>
  </si>
  <si>
    <t>['6th Worst career bowling average (58.33)', '7th Worst career strike rate (76.0)']</t>
  </si>
  <si>
    <t>['2nd Worst career economy rate (3.98)']</t>
  </si>
  <si>
    <t>['4th Most dismissals in a match (10)', '4th Most catches in a match (10)', ' Two unbeaten fifties in a match ', '1st Most catches by a substitute in a match (4)']</t>
  </si>
  <si>
    <t>['1st Most catches by a substitute in an innings (4)', '1st Most catches by a substitute in a match (4)', '46th Most dismissals in career (103)', '5th Most dismissals in an innings (6)', '4th Most dismissals in a match (10)', '46th Most catches in career (92)', '4th Most catches in a match (10)', '43rd Most stumpings in career (11)', '29th Highest innings total without conceding a bye (572/7d)']</t>
  </si>
  <si>
    <t>[' Hundred on debut (134)', '7th Youngest player to score a hundred (18y 329d)']</t>
  </si>
  <si>
    <t>['7th Youngest player to score a hundred (18y 329d)']</t>
  </si>
  <si>
    <t>['7th Most matches as a match referee (57)', '1st Best figures in a match when on the losing side (13)', ' 1000 runs and 100 wickets ', '4th Most matches as a match referee (226)', '6th Most ducks in a series (3)', '8th Most wickets taken caught (197)', '8th Fastest to 300 wickets (219)', '5th Most matches as a match referee (88)']</t>
  </si>
  <si>
    <t>['25th Best figures in a match (13)', '5th Best figures in a innings when on the losing side (8)', '1st Best figures in a match when on the losing side (13)', '18th Most consecutive five-wickets-in-an-innings (3)', '50th Most runs conceded in career (7196)', '34th Most wickets taken caught by a wicketkeeper (63)', '7th Most matches as a match referee (57)']</t>
  </si>
  <si>
    <t>['14th Most runs in an innings (by batting position) (30)', '18th Most ducks in career (19)', '6th Most ducks in a series (3)', '12th Most wickets in career (315)', '42nd Most wickets in a series (18)', '30th Most wickets on a single ground (39)', '14th Best figures in a innings when on the losing side (5)', '45th Worst economy rate in an innings (10.83)', '25th Most five-wickets-in-an-innings in a career (3)', '25th Most four-wickets-in-an-innings in a career (10)', '12th Most balls bowled in career (11935)', '14th Most runs conceded in career (8847)', '14th Most wickets taken bowled (80)', '8th Most wickets taken caught (197)', '13th Most wickets taken caught by a fielder (140)', '13th Most wickets taken caught by a wicketkeeper (57)', '23rd Most wickets taken lbw (37)', '39th Fastest to 100 wickets (68)', '39th Fastest to 150 wickets (115)', '20th Fastest to 200 wickets (147)', '15th Fastest to 250 wickets (182)', '8th Fastest to 300 wickets (219)', '4th Most matches as a match referee (226)']</t>
  </si>
  <si>
    <t>['5th Most matches as a match referee (88)']</t>
  </si>
  <si>
    <t>['7th Most consecutive matches missed for a team between appearances (7)', '8th Worst career bowling average (without qualification) (137.00)']</t>
  </si>
  <si>
    <t>['11th Most runs in an innings (by batting position) (20*)', '7th Most consecutive matches missed for a team between appearances (7)']</t>
  </si>
  <si>
    <t>['8th Worst career bowling average (without qualification) (137.00)']</t>
  </si>
  <si>
    <t>['50th Youngest players (17y 320d)']</t>
  </si>
  <si>
    <t>['36th Best economy rate in an innings (0.42)']</t>
  </si>
  <si>
    <t>['3rd Most runs in an innings (by batting position) (66)', '6th Highest partnership for the eighth wicket (93)']</t>
  </si>
  <si>
    <t>['38th Highest maiden hundred (200*)', '22nd Highest partnership for the seventh wicket (186)', '25th Highest partnership for the ninth wicket (122)']</t>
  </si>
  <si>
    <t>['8th Highest maiden hundred (138*)', '10th Most nineties in career (2)', '3rd Highest partnership for the third wicket (223*)']</t>
  </si>
  <si>
    <t>['38th Most runs in career (2091)', '30th Most runs in an innings (138*)', '40th Most runs on a single ground (298)', '49th Highest career batting average (30.75)', '25th Most hundreds in a career (2)', '8th Highest maiden hundred (138*)', '10th Most nineties in career (2)', '31st Most fifties in career (16)', '12th Fifties in consecutive innings (4)', '21st Most ducks in career (9)', '14th Highest partnerships for any wicket (223*)', '3rd Highest partnership for the third wicket (223*)']</t>
  </si>
  <si>
    <t>['3rd Most runs in a day (284)', ' Hundred on debut (105)', '1st Most triple hundreds in a career (2)', '3rd Fifties in consecutive matches (11)', ' Hundred and a duck in a match ', '2nd Most fours in an innings (47)', ' Carrying bat through a completed innings (201*)', '3rd Fastest to 7000 runs (134)', '8th Most catches in a match (6)', '1st Most catches by a substitute in a match (4)', ' Opening the batting and bowling in the same match ', ' 5000 runs and 50 fielding dismissals ', '3rd Highest partnership for the first wicket (410)', '1st Most runs in an innings by a captain (219)', '10th Most hundreds against one team (6)', ' 99 not out (and 199, 299 etc) (99*)', '2nd Most fours in an innings (25)', '4th Outstanding bowling analyses in an innings (4/6)', '1st Best strike rate in an innings (4.2)', ' Opening the batting and bowling in the same match ', ' 1000 runs, 50 wickets and 50 catches ', ' 5000 runs and 50 fielding dismissals ', '8th Most nineties in career (11)', '9th Most fours in career (2408)']</t>
  </si>
  <si>
    <t>['24th Most runs in career (8586)', '18th Most runs in an innings (319)', '33rd Most runs in a match (319)', '15th Most runs in a calendar year (1462)', '10th Most runs in an innings (by batting position) (319)', '16th Most runs in a match on the losing side (239)', '3rd Most runs in a day (284)', '47th Highest career batting average (49.34)', '28th Most hundreds in a career (23)', '7th Most double hundreds in a career (6)', '1st Most triple hundreds in a career (2)', '19th Most hundreds in a calendar year (5)', '21st Hundreds in consecutive matches (3)', '9th Youngest player to score a triple hundred (25y 160d)', '20th Most nineties in career (5)', '39th Most fifties in career (55)', '3rd Fifties in consecutive matches (11)', '5th Most sixes in career (91)', '10th Most fours in career (1233)', '19th Most sixes in an innings (7)', '2nd Most fours in an innings (47)', '4th Most runs from fours and sixes in an innings (202)', '12th Highest percentage of runs in a completed innings (61.09)', '17th Fastest to 2000 runs (40)', '7th Fastest to 3000 runs (55)', '11th Fastest to 4000 runs (79)', '11th Fastest to 5000 runs (99)', '13th Fastest to 6000 runs (123)', '3rd Fastest to 7000 runs (134)', '5th Fastest to 8000 runs (160)', '48th Most catches in career (91)', '8th Most catches in a match (6)', '3rd Most catches by a substitute in an innings (3)', '1st Most catches by a substitute in a match (4)', '14th Highest partnerships for any wicket (410)', '3rd Highest partnership for the first wicket (410)', '36th Highest partnership for the second wicket (268)', '14th Highest partnership for the third wicket (336)', '41st Most player-of-the-match awards (8)', '12th Most player-of-the-series awards (5)']</t>
  </si>
  <si>
    <t>['28th Most runs in career (8273)', '3rd Most runs in an innings (219)', '11th Most runs in an innings (progressive record holder) (219)', '3rd Most runs in an innings (by batting position) (219)', '1st Most runs in an innings by a captain (219)', '22nd Highest career strike rate (104.33)', '27th Most hundreds in a career (15)', '10th Most hundreds against one team (6)', '8th Most nineties in career (6)', '42nd Most fifties in career (53)', '25th Most consecutive innings without a duck (72)', '19th Most sixes in career (136)', '7th Most fours in career (1132)', '2nd Most fours in an innings (25)', '5th Most runs from fours and sixes in an innings (142)', '36th Fastest to 6000 runs (190)', '27th Fastest to 7000 runs (213)', '21st Fastest to 8000 runs (234)', '4th Outstanding bowling analyses in an innings (4/6)', '1st Best strike rate in an innings (4.2)', '37th Most catches in career (93)', '24th Most catches in a series (8)', '45th Highest partnership for the second wicket (198)', '13th Highest partnership for the third wicket (221)', '40th Most matches in career (251)', '21st Most player-of-the-match awards (23)', '31st Youngest captains (24y 178d)']</t>
  </si>
  <si>
    <t>['20th Highest career strike rate (145.38)']</t>
  </si>
  <si>
    <t>['2nd Most consecutive matches for a team (21)', '3rd Most runs in a career without a hundred (601)', '4th Most innings before first duck (16)', '2nd Most catches in a series (9)']</t>
  </si>
  <si>
    <t>['29th Most runs in career (601)', '3rd Most runs in a career without a hundred (601)', '4th Most innings before first duck (16)', '17th Fewest ducks in career (19)', '42nd Worst career bowling average (without qualification) (64.20)', '2nd Most catches in career (21)', '2nd Most catches in a series (9)', '4th Most matches in career (21)', '2nd Most consecutive matches for a team (21)', '21st Longest careers (14y 104d)']</t>
  </si>
  <si>
    <t>['34th Worst career bowling average (without qualification) (78.00)', '28th Longest intervals between appearances (6y 14d)']</t>
  </si>
  <si>
    <t>['17th Best career bowling average (without qualification) (8.50)']</t>
  </si>
  <si>
    <t>[' Hundred on debut (177)', ' Hundred in each innings of a match ', '4th Highest partnership for the seventh wicket (280)', '1st Most runs in an innings (by batting position) (264)', '1st Most hundreds in a series (5)', '1st Dismissed for 99 (and 199, 299 etc) (99)', '1st Most runs from fours and sixes in an innings (186)', '3rd Highest percentage of runs in a completed innings (65.34)', '3rd Fastest to 9000 runs (217)', ' 5000 runs and 50 fielding dismissals ', '2nd Most matches in career (111)', '3rd Most runs in career (2864)', '2nd Most fifties in career (26)', '2nd Most sixes in career (133)', '8th Fastest to 2000 runs (77)', '4th Worst career bowling average (without qualification) (113.00)', '7th Highest partnership for the first wicket (165)', '5th Most hundreds in a calendar year (10)', '3rd Most sixes in career (436)']</t>
  </si>
  <si>
    <t>['22nd Most runs in debut match (177)', '2nd Hundreds in consecutive matches from debut (2)', '32nd Fifties in consecutive innings (5)', '27th Most sixes in career (59)', '19th Most sixes in an innings (7)', '31st Highest partnership for the fourth wicket (267)', '4th Highest partnership for the seventh wicket (280)']</t>
  </si>
  <si>
    <t>['20th Most runs in career (9205)', '1st Most runs in an innings (264)', '12th Most runs in an innings (progressive record holder) (264)', '5th Most runs in a series (648)', '8th Most runs in a calendar year (1490)', '1st Most runs in an innings (by batting position) (264)', '7th Most runs in a match on the losing side (171*)', '2nd Most runs in an innings by a captain (208*)', '14th Highest career batting average (48.96)', '4th Most hundreds in a career (29)', '1st Most hundreds in a series (5)', '2nd Most hundreds in a calendar year (7)', '3rd Most hundreds against one team (8)', '2nd Hundreds in consecutive innings (3)', '22nd Most nineties in career (5)', '1st Dismissed for 99 (and 199, 299 etc) (99)', '18th Most fifties in career (72)', '11th Fifties in consecutive innings (5)', '4th Most sixes in career (244)', '20th Most fours in career (832)', '2nd Most sixes in an innings (16)', '1st Most fours in an innings (33)', '1st Most runs from fours and sixes in an innings (186)', '5th Longest individual innings (by balls) (173)', '3rd Highest percentage of runs in a completed innings (65.34)', '32nd Fastest to 5000 runs (142)', '13th Fastest to 6000 runs (162)', '5th Fastest to 7000 runs (181)', '4th Fastest to 8000 runs (200)', '3rd Fastest to 9000 runs (217)', '31st Highest partnerships for any wicket (246)', '24th Highest partnership for the first wicket (227)', '11th Highest partnership for the second wicket (246)', '23rd Highest partnership for the third wicket (211)', '19th Highest partnership for the fifth wicket (167)', '28th Most player-of-the-match awards (21)', '17th Most player-of-the-series awards (5)']</t>
  </si>
  <si>
    <t>['3rd Most runs in career (2864)', '16th Most runs in an innings (118)', '8th Most runs in a calendar year (590)', '12th Most runs in an innings (by batting position) (118)', '6th Most runs in a match on the losing side (106)', '17th Most runs on a single ground (338)', '6th Most runs in an innings by a captain (118)', '25th Highest career batting average (32.54)', '44th Highest career strike rate (138.96)', '50th Highest strike rate in an innings (274.41)', '2nd Most fifties in career (26)', '3rd Fifties in consecutive innings (3)', '34th Most innings before first duck (19)', '36th Fewest ducks in career (17.16)', '13th Most ducks in career (6)', '2nd Most sixes in career (133)', '3rd Most fours in career (252)', '7th Most sixes in an innings (10)', '12th Most fours in an innings (12)', '5th Most runs from fours and sixes in an innings (108)', '12th Longest individual innings (by balls) (66)', '25th Highest percentage of runs in a completed innings (58.51)', '24th Fastest to 1000 runs (40)', '8th Fastest to 2000 runs (77)', '4th Worst career bowling average (without qualification) (113.00)', '11th Most catches in career (41)', '15th Most catches in an innings (3)', '11th Highest partnerships for any wicket (165)', '7th Highest partnership for the first wicket (165)', '11th Highest partnership for the second wicket (138)', '12th Highest partnership for the fifth wicket (85)', '17th Highest partnership for the eighth wicket (47)', '19th Highest partnership for the ninth wicket (36)', '2nd Most matches in career (111)', '34th Most consecutive matches for a team (32)', '4th Most player-of-the-match awards (10)', '14th Longest careers (13y 182d)', '35th Most matches as captain (19)']</t>
  </si>
  <si>
    <t>['3rd Youngest player to take ten-wickets-in-a-match (18y 333d)']</t>
  </si>
  <si>
    <t>['18th Most consecutive five-wickets-in-an-innings (3)', '13th Youngest player to take five-wickets-in-an-innings (18y 333d)', '3rd Youngest player to take ten-wickets-in-a-match (18y 333d)', '20th Youngest players (17y 118d)']</t>
  </si>
  <si>
    <t>['12th Worst career economy rate (3.74)', '22nd Youngest player to take five-wickets-in-an-innings (19y 246d)', '12th Youngest player to take ten-wickets-in-a-match (20y 181d)']</t>
  </si>
  <si>
    <t>['46th Dismissed for 99 (and 199, 299 etc) (99)', '32nd Fifties in consecutive innings (5)', '13th Most sixes in an innings (8)', '43rd Longest individual innings (by minutes) (673)']</t>
  </si>
  <si>
    <t>['31st Most runs on a single ground (1225)', '45th Most runs in debut match (73)', '44th Fifties in consecutive innings (4)', '40th Most innings before first duck (30)', '35th Longest individual innings (by balls) (160)', '16th Fastest to 1000 runs (25)', '15th Fastest to 2000 runs (52)', '16th Fastest to 3000 runs (79)', '20th Fastest to 4000 runs (109)', '24th Most player-of-the-series awards (4)']</t>
  </si>
  <si>
    <t>['35th Most balls bowled in an innings (438)', '25th Most balls bowled in a match (651)', '31st Shortest lived players (31y 308d)']</t>
  </si>
  <si>
    <t>['42nd Longest lived players (60y 41d)']</t>
  </si>
  <si>
    <t>['1st Most catches in an innings (5)', '1st Dismissed for 99 (and 199, 299 etc) (99)', '6th Most ducks in a series (3)', ' A fifty and five wickets in an innings ']</t>
  </si>
  <si>
    <t>['22nd Most nineties in career (5)', '1st Dismissed for 99 (and 199, 299 etc) (99)', '46th Most consecutive innings without a duck (62)', '6th Most ducks in a series (3)', '47th Best strike rate in an innings (7.2)', '43rd Most five-wickets-in-an-innings in a career (2)', '14th Winning all tosses in a series (3)']</t>
  </si>
  <si>
    <t>['37th Worst economy rate in an innings (6.48)']</t>
  </si>
  <si>
    <t>['6th Most ducks in career (33)']</t>
  </si>
  <si>
    <t>['6th Most ducks in career (33)', '34th Most wickets in career (303)', '18th Youngest player to take five-wickets-in-an-innings (19y 97d)', '33rd Youngest player to take ten-wickets-in-a-match (22y 299d)', '30th Most balls bowled in career (18504)', '19th Most runs conceded in career (9780)', '32nd Bowler/Batter combinations (11)', '30th Bowler/fielder combinations (47)', '40th Most wickets taken bowled (58)', '31st Most wickets taken caught (199)', '38th Most wickets taken caught by a fielder (117)', '18th Most wickets taken caught by a wicketkeeper (82)', '44th Most player-of-the-series awards (3)']</t>
  </si>
  <si>
    <t>['6th Most consecutive ducks (3)', '36th Worst career economy rate (5.72)']</t>
  </si>
  <si>
    <t>['4th Most runs in an innings (by batting position) (22)', '1st Outstanding bowling analyses in an innings (1/0)', '3rd Most consecutive four-wickets-in-an-innings (2)']</t>
  </si>
  <si>
    <t>['4th Most runs in an innings (by batting position) (22)', '1st Outstanding bowling analyses in an innings (1/0)', '45th Most wickets on a single ground (11)', '11th Best figures in a innings when on the losing side (4)', '36th Best career bowling average (19.39)', '36th Best career strike rate (34.9)', '45th Best economy rate in an innings (0.50)', '15th Best figures in a innings on debut (3)', '38th Most four-wickets-in-an-innings in a career (3)', '3rd Most consecutive four-wickets-in-an-innings (2)', '34th Most runs conceded in an innings (72)', '24th Most wickets taken caught and bowled (6)', '43rd Most wickets taken caught by a fielder (32)', '16th Most wickets taken stumped (11)']</t>
  </si>
  <si>
    <t>['43rd Best career economy rate (5.73)', '16th Worst career bowling average (26.27)', '13th Worst career strike rate (27.4)', '44th Most wickets taken bowled (10)', '20th Most wickets taken caught and bowled (3)', '32nd Most wickets taken stumped (6)']</t>
  </si>
  <si>
    <t>['38th Longest lived players (62y 288d)']</t>
  </si>
  <si>
    <t>['6th Worst career economy rate (6.07)']</t>
  </si>
  <si>
    <t>['23rd Worst career economy rate (3.62)']</t>
  </si>
  <si>
    <t>['36th Highest partnership for the tenth wicket (17*)']</t>
  </si>
  <si>
    <t>['29th Worst career bowling average (without qualification) (73.00)']</t>
  </si>
  <si>
    <t>['1st Dismissed for 99 (and 199, 299 etc) (99)', ' Opening the batting and bowling in the same match ']</t>
  </si>
  <si>
    <t>['27th Most runs in a career without a hundred (1263)', '1st Dismissed for 99 (and 199, 299 etc) (99)']</t>
  </si>
  <si>
    <t>['8th Most catches in a match (6)', ' Opening the batting and bowling in the same match ']</t>
  </si>
  <si>
    <t>['19th Worst career bowling average (59.44)', '21st Worst career strike rate (125.8)', '8th Most catches in a match (6)', '10th Most catches in a series (12)']</t>
  </si>
  <si>
    <t>['3rd Most runs in an innings (by batting position) (188)', '2nd Highest maiden hundred (188)', '4th Outstanding bowling analyses in an innings (6/20)', '3rd Most consecutive four-wickets-in-an-innings (2)', '6th Most wickets taken caught and bowled (9)', '4th Most catches in an innings (3)', ' 250 runs and 10 wickets in a series ', '1st Highest partnership for the first wicket (320)', '2nd Most maidens in an innings (3)', '4th Bowler/fielder combinations (13)']</t>
  </si>
  <si>
    <t>['3rd Most runs in an innings (188)', '6th Most runs in a calendar year (787)', '3rd Most runs in an innings (by batting position) (188)', '30th Most runs on a single ground (346)', '24th Highest career batting average (39.15)', '2nd Highest maiden hundred (188)', '11th Youngest player to score a hundred (19y 264d)', '46th Most fifties in career (11)', '40th Most innings before first duck (15)', '26th Fewest ducks in career (25.5)', '37th Highest percentage of runs in a completed innings (52.51)', '9th Best figures in an innings (6/20)', '41st Most wickets in a series (17)', '40th Most wickets in a calendar year (22)', '4th Outstanding bowling analyses in an innings (6/20)', '33rd Most wickets on a single ground (12)', '3rd Most consecutive four-wickets-in-an-innings (2)', '6th Youngest player to take five-wickets-in-an-innings (18y 179d)', '44th Most balls bowled in career (2885)', '41st Most runs conceded in career (1867)', '39th Most wickets taken bowled (18)', '6th Most wickets taken caught and bowled (9)', '43rd Most wickets taken lbw (11)', '4th Most catches in an innings (3)', '1st Highest partnerships for any wicket (320)', '1st Highest partnerships by wicket (1st)', '1st Highest partnership for the first wicket (320)', '17th Highest partnership for the eighth wicket (53)', '18th Most consecutive matches for a team (54)']</t>
  </si>
  <si>
    <t>['32nd Most wickets in career (54)', '37th Most wickets in a calendar year (19)', '50th Best career bowling average (20.48)', '37th Best career strike rate (20.2)', '31st Worst career economy rate (6.06)', '34th Most balls bowled in career (1095)', '31st Most runs conceded in career (1106)', '4th Bowler/fielder combinations (13)', '38th Most wickets taken bowled (11)', '37th Most wickets taken caught (28)', '33rd Most wickets taken caught by a fielder (25)', '12th Most wickets taken stumped (10)', '41st Most catches in career (20)', '20th Highest partnership for the seventh wicket (43*)', '45th Highest partnership for the ninth wicket (15)', '27th Most maidens in career (6)', '2nd Most maidens in an innings (3)']</t>
  </si>
  <si>
    <t>['32nd Oldest players on debut (37y 329d)']</t>
  </si>
  <si>
    <t>['1st Most matches in career (200)', '1st Most runs in career (15921)', '1st Most hundreds in a career (51)', '1st Most nineties in career (10)', ' Two unbeaten fifties in a match ', ' Hundred and a duck in a match ', '1st Most fours in career (2058+)', '1st Fastest to 15000 runs (300)', ' 5000 runs and 50 fielding dismissals ', '6th Highest partnership for the tenth wicket (133)', '1st Longest careers (22y 91d)', '1st Most runs in a calendar year (1894)', '1st Most hundreds against one team (9)', '1st Dismissed for 99 (and 199, 299 etc) (99)', '1st Most fifties in career (145)', '6th Most consecutive ducks (3)', '1st Most fours in career (2016)', '1st Fastest to 18000 runs (440)', '9th Most wickets taken stumped (22)', '2nd Most catches in an innings (4)', ' A hundred and four wickets in an innings ', ' 1000 runs, 50 wickets and 50 catches ', ' 5000 runs and 50 fielding dismissals ', '2nd Highest partnership for the second wicket (331)', '1st Most player-of-the-series awards (20)', '1st Most runs in career (34357)', '1st Most hundreds against one team (20)', '1st Most nineties in career (28)', '1st Most fifties in career (264)', '2nd Most consecutive innings without a duck (136*)', '1st Most fours in career (4076+)']</t>
  </si>
  <si>
    <t>['1st Most runs in career (15921)', '5th Most runs in a calendar year (1562)', '46th Most runs in an innings by a captain (217)', '24th Highest career batting average (53.78)', '1st Most hundreds in a career (51)', '7th Most double hundreds in a career (6)', '2nd Most hundreds in a calendar year (7)', '4th Most hundreds against one team (11)', '5th Hundreds in consecutive matches (4)', '3rd Youngest player to score a hundred (17y 107d)', '1st Most nineties in career (10)', '1st Most fifties in career (119)', '7th Fifties in consecutive matches (10)', '3rd Most consecutive innings without a duck (91*)', '19th Most sixes in career (69)', '1st Most fours in career (2058+)', '36th Most fours in an innings (35)', '35th Fastest to 2000 runs (44)', '34th Fastest to 3000 runs (67)', '22nd Fastest to 4000 runs (86)', '12th Fastest to 5000 runs (103)', '10th Fastest to 6000 runs (120)', '4th Fastest to 7000 runs (136)', '2nd Fastest to 8000 runs (154)', '6th Fastest to 9000 runs (179)', '1st Fastest to 10000 runs (195)', '4th Fastest to 11000 runs (223)', '2nd Fastest to 12000 runs (247)', '1st Fastest to 13000 runs (266)', '1st Fastest to 14000 runs (279)', '1st Fastest to 15000 runs (300)', '29th Worst career bowling average (54.17)', '36th Worst career economy rate (3.52)', '26th Most catches in career (115)', '39th Highest partnerships for any wicket (353)', '9th Highest partnership for the fourth wicket (353)', '28th Highest partnership for the fifth wicket (256)', '29th Highest partnership for the sixth wicket (222)', '35th Highest partnership for the seventh wicket (172)', '40th Highest partnership for the eighth wicket (129)', '6th Highest partnership for the tenth wicket (133)', '1st Most matches in career (200)', '13th Most consecutive matches for a team (84)', '7th Most player-of-the-match awards (14)', '12th Most player-of-the-series awards (5)', '5th Youngest players (16y 205d)', '5th Longest careers (24y 1d)', '12th Youngest captains (23y 169d)']</t>
  </si>
  <si>
    <t>['1st Most runs in career (18426)', '8th Most runs in an innings (200*)', '10th Most runs in an innings (progressive record holder) (200*)', '2nd Most runs in a series (673)', '1st Most runs in a calendar year (1894)', '8th Most runs in an innings (by batting position) (200*)', '5th Most runs in a match on the losing side (175)', '12th Most runs on a single ground (1778)', '4th Most runs in an innings by a captain (186*)', '31st Highest career batting average (44.83)', '1st Most hundreds in a career (49)', '1st Most hundreds in a calendar year (9)', '1st Most hundreds against one team (9)', '40th Youngest player to score a hundred (21y 138d)', '6th Oldest player to score a hundred (38y 327d)', '1st Most nineties in career (18)', '1st Dismissed for 99 (and 199, 299 etc) (99)', '1st Most fifties in career (145)', '11th Fifties in consecutive innings (5)', '13th Most ducks in career (20)', '6th Most consecutive ducks (3)', '9th Most sixes in career (195)', '1st Most fours in career (2016)', '2nd Most fours in an innings (25)', '17th Most runs from fours and sixes in an innings (118)', '28th Fastest to 4000 runs (112)', '26th Fastest to 5000 runs (138)', '24th Fastest to 6000 runs (170)', '10th Fastest to 7000 runs (189)', '7th Fastest to 8000 runs (210)', '5th Fastest to 9000 runs (235)', '2nd Fastest to 10000 runs (259)', '2nd Fastest to 11000 runs (276)', '2nd Fastest to 12000 runs (300)', '1st Fastest to 13000 runs (321)', '1st Fastest to 14000 runs (350)', '1st Fastest to 15000 runs (377)', '1st Fastest to 16000 runs (399)', '1st Fastest to 17000 runs (424)', '1st Fastest to 18000 runs (440)', '43rd Most five-wickets-in-an-innings in a career (2)', '13th Most consecutive four-wickets-in-an-innings (2)', '40th Most balls bowled in career (8054)', '29th Most runs conceded in career (6850)', '19th Most wickets taken caught and bowled (12)', '9th Most wickets taken stumped (22)', '4th Most catches in career (140)', '2nd Most catches in an innings (4)', '3rd Highest partnerships for any wicket (331)', '2nd Highest partnership for the second wicket (331)', '39th Highest partnership for the fourth wicket (169)', '1st Most matches in career (463)', '1st Most consecutive matches for a team (185)', '1st Most player-of-the-match awards (62)', '1st Most player-of-the-series awards (15)', '11th Youngest players (16y 238d)', '1st Longest careers (22y 91d)', '35th Most matches as captain (73)', '12th Most consecutive matches as captain of a team (54)', '28th Winning all tosses in a series (3)', '13th Youngest captains (23y 126d)']</t>
  </si>
  <si>
    <t>['47th Oldest living players (47y 325d)', '12th Most consecutive matches as captain of a team (54)']</t>
  </si>
  <si>
    <t>['43rd Most wickets taken caught by a fielder (26)']</t>
  </si>
  <si>
    <t>['25th Most stumpings in career (16)', '5th Most stumpings in a series (7)']</t>
  </si>
  <si>
    <t>['5th Hundreds in consecutive innings (3)', ' A hundred and five wickets in an innings ', '6th Hundreds in consecutive innings (3)']</t>
  </si>
  <si>
    <t>['23rd Most runs in a match on the losing side (228)', '5th Hundreds in consecutive innings (3)', '21st Hundreds in consecutive matches (3)', '11th Best career economy rate (1.87)', '15th Worst career strike rate (135.0)', '11th Winning all tosses in a series (3)']</t>
  </si>
  <si>
    <t>['24th Most runs in debut match (86)', '19th Most consecutive matches missed for a team between appearances (162)']</t>
  </si>
  <si>
    <t>['32nd Most byes conceded in an innings (5)']</t>
  </si>
  <si>
    <t>['9th Worst career bowling average (without qualification) (198.00)', '6th Highest partnership for the second wicket (370)']</t>
  </si>
  <si>
    <t>['26th Fifties in consecutive matches (7)', '9th Worst career bowling average (without qualification) (198.00)', '27th Highest partnerships for any wicket (370)', '19th Highest partnership for the first wicket (289)', '6th Highest partnership for the second wicket (370)', '24th Highest partnership for the third wicket (308)']</t>
  </si>
  <si>
    <t>['10th Most runs conceded in an innings (102)']</t>
  </si>
  <si>
    <t>['15th Worst career economy rate (5.94)', '27th Worst economy rate in an innings (11.33)', '10th Most runs conceded in an innings (102)']</t>
  </si>
  <si>
    <t>['3rd Youngest players (15y 283d)']</t>
  </si>
  <si>
    <t>['29th Most runs in a match on the losing side (81)', '3rd Youngest players (15y 283d)']</t>
  </si>
  <si>
    <t>['21st Youngest players (15y 291d)', '8th Longest intervals between appearances (8y 127d)']</t>
  </si>
  <si>
    <t>['2nd Most runs in an innings (by batting position) (51)']</t>
  </si>
  <si>
    <t>['2nd Most runs in an innings (by batting position) (51)', '36th Worst economy rate in an innings (8.80)']</t>
  </si>
  <si>
    <t>['47th Most innings before first duck (12)']</t>
  </si>
  <si>
    <t>['10th Most consecutive matches for a team (87)', ' Hundred on debut (137)', '7th Fifties in consecutive innings (6)', ' Hundred and a duck in a match ', ' 5000 runs and 50 fielding dismissals ']</t>
  </si>
  <si>
    <t>['19th Most runs in a calendar year (1388)', '19th Most hundreds in a calendar year (5)', '44th Youngest player to score a hundred (20y 276d)', '7th Fifties in consecutive innings (6)', '21st Highest partnership for the third wicket (316)', '10th Most consecutive matches for a team (87)', '19th Most matches as a match referee (15)']</t>
  </si>
  <si>
    <t>['15th Most matches as a match referee (78)']</t>
  </si>
  <si>
    <t>[' Hundred and a duck in a match ', ' Opening the batting and bowling in the same match ', ' 5000 runs and 50 fielding dismissals ', '9th Highest partnership for the sixth wicket (298*)']</t>
  </si>
  <si>
    <t>['19th Most hundreds in a calendar year (5)', '32nd Fifties in consecutive innings (5)', '9th Highest partnership for the sixth wicket (298*)', '35th Most matches in career (116)']</t>
  </si>
  <si>
    <t>['45th Longest careers (15y 266d)', '11th Winning all tosses in a series (4)']</t>
  </si>
  <si>
    <t>['10th Most matches as an umpire (73)', '7th Youngest player to take ten-wickets-in-a-match (19y 332d)', ' Dismissing all eleven batters in a match ']</t>
  </si>
  <si>
    <t>['43rd Worst strike rate in an innings (342.0)', '30th Youngest player to take five-wickets-in-an-innings (19y 332d)', '7th Youngest player to take ten-wickets-in-a-match (19y 332d)', '15th Most balls bowled in a match (675)', '31st Longest careers (18y 214d)', '10th Most matches as an umpire (73)', '30th Most matches as a match referee (5)']</t>
  </si>
  <si>
    <t>['45th Worst career bowling average (without qualification) (108.40)', '47th Most matches as an umpire (52)']</t>
  </si>
  <si>
    <t>['1st Most consecutive ducks (3)', '11th Worst career strike rate (24.8)', '17th Bowler/batters combinations (3)', '17th Most wickets taken stumped (5)']</t>
  </si>
  <si>
    <t>['1st Dismissed for 99 (and 199, 299 etc) (99)', '8th Longest lived players (77y 136d)']</t>
  </si>
  <si>
    <t>['1st Dismissed for 99 (and 199, 299 etc) (99)', '42nd Most catches in a series (10)']</t>
  </si>
  <si>
    <t>['8th Longest lived players (77y 136d)']</t>
  </si>
  <si>
    <t>['8th Best career strike rate (15.9)', '2nd Bowler/fielder combinations (14)']</t>
  </si>
  <si>
    <t>['36th Most wickets in career (51)', '19th Most wickets in a calendar year (21)', '11th Most wickets on a single ground (11)', '17th Best career bowling average (16.68)', '8th Best career strike rate (15.9)', '19th Worst career economy rate (6.28)', '2nd Bowler/fielder combinations (14)', '30th Most wickets taken caught (31)', '20th Most wickets taken caught and bowled (3)', '27th Most wickets taken caught by a fielder (28)', '9th Most wickets taken stumped (11)', '12th Most maidens in an innings (2)']</t>
  </si>
  <si>
    <t>['14th Most runs in an innings (by batting position) (104)']</t>
  </si>
  <si>
    <t>['1st Most catches in an innings (5)', '6th Most catches by a substitute in a match (3)']</t>
  </si>
  <si>
    <t>['1st Most catches in an innings (5)', '2nd Most catches in a match (7)', '6th Most catches by a substitute in a match (3)']</t>
  </si>
  <si>
    <t>['3rd Worst strike rate in an innings (450.0)']</t>
  </si>
  <si>
    <t>['31st Best economy rate in an innings (0.57)', '3rd Worst strike rate in an innings (450.0)', '23rd Most balls bowled in an innings (450)', '39th Most runs conceded in an innings (196)']</t>
  </si>
  <si>
    <t>['6th Most player-of-the-series awards (7)', '8th Most runs in an innings (by batting position) (139)', '4th Outstanding bowling analyses in an innings (4/6)', ' A fifty and five wickets in an innings ', ' 1000 runs, 50 wickets and 50 catches ', ' 5000 runs and 50 fielding dismissals ', '2nd Highest partnership for the fourth wicket (256)', '4th Highest strike rate in an innings (362.50)', '6th Most innings before first duck (39)', '6th Bowler/fielder combinations (9)', '3rd Highest partnership for the fifth wicket (102*)']</t>
  </si>
  <si>
    <t>['23rd Most runs in career (8701)', '33rd Most runs in a calendar year (1287)', '8th Most runs in an innings (by batting position) (139)', '39th Most runs in a match on the losing side (139)', '31st Most hundreds in a career (14)', '39th Most hundreds against one team (4)', '39th Youngest player to score a hundred (21y 120d)', '49th Oldest player to score a hundred (35y 38d)', '25th Most fifties in career (66)', '24th Most ducks in career (18)', '13th Most sixes in career (155)', '18th Most fours in career (908)', '14th Most fours in an innings (21)', '50th Most runs from fours and sixes in an innings (102)', '39th Fastest to 6000 runs (192)', '29th Fastest to 7000 runs (215)', '26th Fastest to 8000 runs (250)', '4th Outstanding bowling analyses in an innings (4/6)', '35th Best strike rate in an innings (6.7)', '15th Worst economy rate in an innings (11.80)', '24th Most wickets taken stumped (14)', '36th Most catches in career (94)', '22nd Highest partnerships for any wicket (256)', '2nd Highest partnership for the fourth wicket (256)', '13th Highest partnership for the sixth wicket (158)', '19th Most matches in career (304)', '14th Most player-of-the-match awards (27)', '6th Most player-of-the-series awards (7)', '28th Longest careers (16y 270d)']</t>
  </si>
  <si>
    <t>['16th Most runs in an innings (by batting position) (77*)', '4th Highest strike rate in an innings (362.50)', '32nd Most fifties in career (8)', '6th Most innings before first duck (39)', '23rd Most consecutive innings without a duck (39)', '9th Fewest ducks in career (51)', '16th Most sixes in career (74)', '42nd Most sixes in an innings (7)', '28th Fastest to 1000 runs (41)', '6th Bowler/fielder combinations (9)', '48th Most wickets taken caught by a wicketkeeper (5)', '32nd Most wickets taken lbw (5)', '28th Highest partnership for the fourth wicket (97)', '3rd Highest partnership for the fifth wicket (102*)', '12th Most player-of-the-match awards (7)']</t>
  </si>
  <si>
    <t>['1st Highest strike rate in an innings (310.00)', '9th Worst career economy rate (6.01)', '8th Most consecutive matches missed for a team between appearances (65)']</t>
  </si>
  <si>
    <t>['1st Highest strike rate in an innings (310.00)', '47th Best career strike rate (51.4)', '11th Best economy rate in an innings (0.42)', '29th Worst career economy rate (3.55)']</t>
  </si>
  <si>
    <t>['42nd Most wickets in a series (18)', '9th Worst career economy rate (6.01)', '13th Most consecutive four-wickets-in-an-innings (2)', '24th Most catches in a series (8)']</t>
  </si>
  <si>
    <t>['8th Most consecutive matches missed for a team between appearances (65)', '23rd Longest intervals between appearances (5y 326d)']</t>
  </si>
  <si>
    <t>['3rd No ducks in career (40)', '4th Worst career bowling average (without qualification) (199.00)']</t>
  </si>
  <si>
    <t>['37th Highest partnership for the seventh wicket (169)']</t>
  </si>
  <si>
    <t>['6th Most runs in an innings (by batting position) (69)', '3rd Highest partnership for the ninth wicket (118)']</t>
  </si>
  <si>
    <t>['4th Number eleven top scoring in an innings (30*)']</t>
  </si>
  <si>
    <t>['4th Most runs in an innings (by batting position) (146)', ' Hundred and a duck in a match ', '2nd Highest partnership for the ninth wicket (190)']</t>
  </si>
  <si>
    <t>['4th Most runs in an innings (by batting position) (146)', '41st Highest percentage of runs in a completed innings (57.25)', '2nd Highest partnership for the ninth wicket (190)', '42nd Highest partnership for the tenth wicket (87)', '34th Oldest captains on captaincy debut (36y 168d)']</t>
  </si>
  <si>
    <t>['11th Fifties in consecutive innings (5)', '26th Best figures in a innings by a captain (4)', '42nd Oldest living players (77y 360d)']</t>
  </si>
  <si>
    <t>['24th Most wickets taken lbw (7)']</t>
  </si>
  <si>
    <t>['6th Highest partnership for the tenth wicket (20)']</t>
  </si>
  <si>
    <t>['33rd Longest lived players (63y 208d)']</t>
  </si>
  <si>
    <t>[' 1000 runs and 100 wickets ', '10th Most runs in an innings (by batting position) (46*)', '5th Most wickets in a calendar year (61)', ' Opening the batting and bowling in the same match ', '7th Highest partnership for the tenth wicket (72)']</t>
  </si>
  <si>
    <t>['26th Highest partnership for the seventh wicket (184)']</t>
  </si>
  <si>
    <t>['10th Most runs in an innings (by batting position) (46*)', '47th Highest strike rate in an innings (263.63)', '28th Most sixes in career (124)', '22nd Most sixes in an innings (10)', '21st Most wickets in career (269)', '5th Most wickets in a calendar year (61)', '9th Outstanding bowling analyses in an innings (3/5)', '43rd Most wickets on a single ground (32)', '25th Most five-wickets-in-an-innings in a career (3)', '22nd Most four-wickets-in-an-innings in a career (11)', '12th Youngest player to take five-wickets-in-an-innings (19y 317d)', '15th Most balls bowled in career (10941)', '16th Most runs conceded in career (8564)', '44th Bowler/fielder combinations (25)', '12th Most wickets taken bowled (81)', '27th Most wickets taken caught (151)', '37th Most wickets taken caught by a fielder (96)', '14th Most wickets taken caught by a wicketkeeper (55)', '23rd Most wickets taken lbw (37)', '45th Fastest to 100 wickets (69)', '32nd Fastest to 150 wickets (110)', '31st Fastest to 200 wickets (181)', '22nd Fastest to 250 wickets (234)', '29th Highest partnership for the seventh wicket (107)', '49th Highest partnership for the eighth wicket (75*)', '38th Highest partnership for the ninth wicket (70*)', '7th Highest partnership for the tenth wicket (72)', '35th Most matches in career (265)', '40th Most player-of-the-match awards (18)', '24th Most player-of-the-series awards (4)', '19th Youngest players (16y 335d)']</t>
  </si>
  <si>
    <t>['24th Most runs in an innings (by batting position) (46*)', '19th Highest strike rate in an innings (309.09)']</t>
  </si>
  <si>
    <t>['5th Outstanding bowling analyses in an innings (9/56)', '4th Most consecutive ten-wickets-in-a-match (2)', ' Dismissing all eleven batters in a match ', ' 1000 runs and 100 wickets ', '9th Most wickets taken stumped (22)']</t>
  </si>
  <si>
    <t>['47th Most runs in a career without a hundred (1029)', '7th Best figures in an innings (9/56)', '25th Best figures in a match (13)', '5th Outstanding bowling analyses in an innings (9/56)', '23rd Most wickets on a single ground (59)', '38th Most five-wickets-in-an-innings in a career (15)', '12th Most ten-wickets-in-a-match in a career (5)', '4th Most consecutive ten-wickets-in-a-match (2)', '37th Most balls bowled in career (17126)', '36th Most balls bowled in a match (628)', '40th Most runs conceded in career (7742)', '46th Most wickets taken caught by a fielder (107)', '30th Most wickets taken lbw (52)', '16th Most wickets taken stumped (13)']</t>
  </si>
  <si>
    <t>['14th Outstanding bowling analyses in an innings (4/9)', '14th Best figures in a innings when on the losing side (5)', '36th Best economy rate in an innings (0.90)', '15th Best figures in a innings on debut (4)', '43rd Most five-wickets-in-an-innings in a career (2)', '9th Most wickets taken stumped (22)', '45th Fastest to 100 wickets (69)', '32nd Longest lived players (63y 356d)']</t>
  </si>
  <si>
    <t>['22nd Oldest players on debut (39y 102d)', '21st Oldest players (44y 105d)']</t>
  </si>
  <si>
    <t>['6th Most runs in an innings (by batting position) (49*)', '5th Worst economy rate in an innings (11.00)', '8th Most runs conceded in an innings (88)', '5th Best figures in a innings when on the losing side (4)']</t>
  </si>
  <si>
    <t>['6th Most runs in an innings (by batting position) (49*)', '42nd Most runs in a career without a hundred (922)', '15th Most ducks in career (10)', '47th Most wickets in career (70)', '19th Worst career bowling average (36.20)', '12th Worst career economy rate (4.65)', '5th Worst economy rate in an innings (11.00)', '32nd Most balls bowled in career (3264)', '19th Most runs conceded in career (2534)', '8th Most runs conceded in an innings (88)', '42nd Most wickets taken bowled (17)', '45th Most wickets taken caught (40)', '40th Most wickets taken caught by a fielder (33)', '35th Most wickets taken lbw (13)', '26th Highest partnership for the ninth wicket (38)', '48th Most matches in career (92)', '26th Most consecutive matches for a team (47)']</t>
  </si>
  <si>
    <t>['21st Most runs in an innings (by batting position) (31)', '32nd Most consecutive innings without a duck (32*)', '17th Fewest ducks in career (27)', '37th Most wickets in a calendar year (19)', '5th Best figures in a innings when on the losing side (4)', '13th Most four-wickets-in-an-innings in a career (2)', '39th Most balls bowled in career (1005)', '39th Most runs conceded in career (1001)', '44th Most wickets taken bowled (10)', '11th Most wickets taken lbw (10)', '46th Most catches in career (18)', '16th Highest partnership for the ninth wicket (24)']</t>
  </si>
  <si>
    <t>['4th Youngest players (16y 189d)', '9th Outstanding bowling analyses in an innings (7/37)', '2nd Most consecutive five-wickets-in-an-innings (2)']</t>
  </si>
  <si>
    <t>['4th Youngest players (16y 189d)']</t>
  </si>
  <si>
    <t>['10th Best figures in an innings (7/37)', '9th Outstanding bowling analyses in an innings (7/37)', '33rd Most wickets on a single ground (37)', '15th Most five-wickets-in-an-innings in a career (4)', '2nd Most consecutive five-wickets-in-an-innings (2)', '13th Most consecutive four-wickets-in-an-innings (2)', '7th Youngest player to take five-wickets-in-an-innings (19y 81d)', '41st Most balls bowled in career (8012)', '49th Most runs conceded in career (5721)', '34th Most wickets taken bowled (52)', '30th Most wickets taken caught by a wicketkeeper (41)', '7th Youngest players (16y 127d)']</t>
  </si>
  <si>
    <t>['14th Ninety on debut (95)']</t>
  </si>
  <si>
    <t>['41st Youngest player to take five-wickets-in-an-innings (20y 105d)']</t>
  </si>
  <si>
    <t>['22nd Best figures in a innings on debut (6)', '50th Youngest player to take five-wickets-in-an-innings (20y 201d)']</t>
  </si>
  <si>
    <t>['5th Best career bowling average (without qualification) (2.00)']</t>
  </si>
  <si>
    <t>['23rd Most innings before first duck (18)']</t>
  </si>
  <si>
    <t>['7th Youngest player to score a hundred (19y 72d)', '9th Highest partnership for the second wicket (143*)']</t>
  </si>
  <si>
    <t>['7th Youngest player to score a hundred (19y 72d)', '33rd Youngest players (17y 152d)']</t>
  </si>
  <si>
    <t>['37th Most runs in career (1471)', '24th Most runs in an innings (111*)', '18th Most runs in an innings (by batting position) (111*)', '32nd Most fifties in career (8)', '49th Most innings before first duck (15)', '41st Most consecutive innings without a duck (33*)', '18th Fewest ducks in career (29.5)', '20th Most fours in career (157)', '21st Longest individual innings (by balls) (64)', '27th Highest percentage of runs in a completed innings (58.42)', '32nd Fastest to 1000 runs (42)', '26th Highest partnerships for any wicket (143*)', '9th Highest partnership for the second wicket (143*)', '47th Highest partnership for the fourth wicket (83)', '50th Youngest players (17y 165d)']</t>
  </si>
  <si>
    <t>['26th Ninety on debut (99)']</t>
  </si>
  <si>
    <t>['38th Youngest player to score a hundred (20y 201d)']</t>
  </si>
  <si>
    <t>['4th Most runs in an innings (by batting position) (81)', '5th Highest partnership for the sixth wicket (65)']</t>
  </si>
  <si>
    <t>['4th Most runs in an innings (by batting position) (81)', '23rd Worst career bowling average (without qualification) (90.42)']</t>
  </si>
  <si>
    <t>['2nd Most runs in an innings (by batting position) (28*)', '32nd Fewest ducks in career (18.5)', '34th Most runs conceded in an innings (46)', '5th Highest partnership for the sixth wicket (65)', '22nd Highest partnership for the seventh wicket (39)', '18th Highest partnership for the tenth wicket (14)']</t>
  </si>
  <si>
    <t>['1st Outstanding bowling analyses in an innings (3/0)', '1st Best economy rate in an innings (0.00)', '2nd Most maidens in an innings (3)']</t>
  </si>
  <si>
    <t>['18th Most wickets in a calendar year (25)', '11th Best figures in a innings when on the losing side (4)', '38th Most four-wickets-in-an-innings in a career (3)']</t>
  </si>
  <si>
    <t>['32nd Most wickets in career (54)', '1st Outstanding bowling analyses in an innings (3/0)', '5th Best figures in a innings when on the losing side (4)', '41st Best career bowling average (19.85)', '20th Best career economy rate (5.40)', '1st Best economy rate in an innings (0.00)', '28th Most balls bowled in career (1190)', '34th Most runs conceded in career (1072)', '18th Bowler/Batters combinations (4)', '15th Most wickets taken bowled (19)', '50th Most wickets taken caught (24)', '12th Most wickets taken caught and bowled (4)', '45th Most wickets taken caught by a fielder (21)', '32nd Most wickets taken stumped (6)', '5th Most maidens in career (11)', '2nd Most maidens in an innings (3)']</t>
  </si>
  <si>
    <t>['17th Most dismissals in an innings (4)', '21st Most catches in an innings (3)']</t>
  </si>
  <si>
    <t>['36th Most sixes in an innings (6)', '48th Highest partnership for the ninth wicket (101)', '19th Most consecutive matches for a team (72)']</t>
  </si>
  <si>
    <t>['47th Most runs in a career without a hundred (1336)']</t>
  </si>
  <si>
    <t>['33rd Best figures in a match on debut (8)', '41st Fastest to 50 wickets (11)']</t>
  </si>
  <si>
    <t>['5th Unusual dismissals (obstructing the)', '1st Most runs in an innings (by batting position) (46)']</t>
  </si>
  <si>
    <t>['5th Unusual dismissals (obstructing the)']</t>
  </si>
  <si>
    <t>['1st Most runs in an innings (by batting position) (46)', '12th Most consecutive matches missed for a team between appearances (54)']</t>
  </si>
  <si>
    <t>['16th Highest partnership for the sixth wicket (75)']</t>
  </si>
  <si>
    <t>['1st Most matches as an umpire (136)']</t>
  </si>
  <si>
    <t>['1st Most matches as an umpire (211)']</t>
  </si>
  <si>
    <t>['1st Most matches as an umpire (53)']</t>
  </si>
  <si>
    <t>['5th Most dismissals in an innings (6)', '35th Most dismissals in a match (8)', '5th Most catches in an innings (6)', '26th Most catches in a match (8)', '43rd Most stumpings in career (11)']</t>
  </si>
  <si>
    <t>['6th Youngest players (16y 221d)']</t>
  </si>
  <si>
    <t>['23rd Shortest lived players (43y 110d)']</t>
  </si>
  <si>
    <t>[' Hundred in each innings of a match ', ' Hundred and a duck in a match ', ' 5000 runs and 50 fielding dismissals ', ' Carrying bat through a completed innings (81*)', '8th Fastest to 1000 runs (23)']</t>
  </si>
  <si>
    <t>['29th Most runs in an innings (302*)', '49th Most runs in a match (304)', '15th Most runs in an innings (by batting position) (302*)', '11th Most runs in a match on the losing side (248)', '27th Most double hundreds in a career (3)', '5th Most triple hundreds in a career (1)', '48th Longest individual innings (by minutes) (658)', '48th Fastest to 4000 runs (93)', '36th Fastest to 5000 runs (115)', '48th Highest partnership for the third wicket (250)']</t>
  </si>
  <si>
    <t>['31st Most innings before first duck (35)', '8th Fastest to 1000 runs (23)']</t>
  </si>
  <si>
    <t>['26th Best career economy rate (3.71)', '18th Worst career strike rate (68.4)']</t>
  </si>
  <si>
    <t>['4th Highest partnership for the second wicket (263)']</t>
  </si>
  <si>
    <t>['36th Most runs in a day (205)', '31st Highest maiden hundred (205)', '46th Dismissed for 99 (and 199, 299 etc) (99)', '15th Highest partnership for the first wicket (298)', '18th Highest partnership for the third wicket (323)']</t>
  </si>
  <si>
    <t>['13th Longest individual innings (by balls) (167)', '12th Outstanding bowling analyses in an innings (2/3)', '23rd Most wickets taken stumped (15)', '14th Highest partnerships for any wicket (263)', '4th Highest partnership for the second wicket (263)', '32nd Winning all tosses in a series (3)']</t>
  </si>
  <si>
    <t>['10th Best economy rate in an innings (0.62)']</t>
  </si>
  <si>
    <t>['10th Best economy rate in an innings (0.62)', '38th Most consecutive matches missed for a team between appearances (130)']</t>
  </si>
  <si>
    <t>['14th Youngest players (17y 68d)']</t>
  </si>
  <si>
    <t>['41st Youngest players (17y 251d)']</t>
  </si>
  <si>
    <t>[' Hundred on debut (109*)', '2nd Hundreds in consecutive matches from debut (2)', ' Hundred on debut (112)']</t>
  </si>
  <si>
    <t>['2nd Hundreds in consecutive matches from debut (2)', '13th Highest partnership for the eighth wicket (169)']</t>
  </si>
  <si>
    <t>['8th Most runs in debut match (112)']</t>
  </si>
  <si>
    <t>[' Hundred on debut (128*)', ' Two unbeaten fifties in a match ', '3rd Highest partnership for the tenth wicket (151)', '2nd Most consecutive five-wickets-in-an-innings (2)', ' 1000 runs and 100 wickets ']</t>
  </si>
  <si>
    <t>['11th Most runs in an innings (by batting position) (128*)', '21st Most runs in debut match (178)', '3rd Highest partnership for the tenth wicket (151)']</t>
  </si>
  <si>
    <t>['40th Most runs in a career without a hundred (1521)', '23rd Best figures in an innings (6/18)', '27th Most wickets in a calendar year (46)', '11th Outstanding bowling analyses in an innings (6/18)', '25th Most five-wickets-in-an-innings in a career (3)', '2nd Most consecutive five-wickets-in-an-innings (2)', '13th Most consecutive four-wickets-in-an-innings (2)']</t>
  </si>
  <si>
    <t>['1st Most byes conceded in an innings (20)']</t>
  </si>
  <si>
    <t>['16th Most runs in an innings (by batting position) (127*)', '36th Fastest to 1000 runs (28)']</t>
  </si>
  <si>
    <t>['1st Most runs in a career without a hundred (2602)', '1st Dismissed for 99 (and 199, 299 etc) (99)', '8th Best strike rate in an innings (6.2)', '4th Most catches in an innings (3)', '3rd Highest partnership for the fourth wicket (181)', '9th Most matches in career (108)', '8th Most runs in career (2225)', '9th Fastest to 2000 runs (95)', '1st Most wickets taken hit wicket (1)', '3rd Most catches in an innings (3)', '3rd Highest partnership for the seventh wicket (60)']</t>
  </si>
  <si>
    <t>['27th Most runs in career (2602)', '30th Most runs in a series (546)', '38th Most runs in a match on the losing side (91*)', '11th Most runs in an series by a captain (447)', '1st Most runs in a career without a hundred (2602)', '6th Most nineties in career (3)', '1st Dismissed for 99 (and 199, 299 etc) (99)', '38th Most fifties in career (14)', '24th Most consecutive innings without a duck (38)', '46th Highest percentage of runs in a completed innings (51.19)', '8th Best strike rate in an innings (6.2)', '31st Most wickets taken caught and bowled (5)', '31st Most catches in career (34)', '4th Most catches in an innings (3)', '26th Most catches in a series (7)', '36th Highest partnerships for any wicket (181)', '3rd Highest partnership for the fourth wicket (181)', '38th Highest partnership for the fifth wicket (91)', '27th Highest partnership for the sixth wicket (74)', '34th Most matches in career (108)', '14th Youngest players (15y 148d)', '41st Most matches as captain (18)', '18th Youngest captains (21y 357d)']</t>
  </si>
  <si>
    <t>['8th Most runs in career (2225)', '19th Most runs in a calendar year (459)', '17th Most runs in an innings (by batting position) (62*)', '32nd Most runs in a match on the losing side (63*)', '11th Most runs on a single ground (236)', '34th Most runs in an innings by a captain (70*)', '17th Highest career batting average (27.46)', '14th Most fifties in career (11)', '23rd Most consecutive innings without a duck (36)', '37th Fewest ducks in career (17)', '16th Most ducks in career (6)', '9th Fastest to 2000 runs (95)', '44th Outstanding bowling analyses in an innings (2/4)', '37th Best career economy rate (5.62)', '22nd Worst career strike rate (24.2)', '18th Most wickets taken stumped (9)', '1st Most wickets taken hit wicket (1)', '18th Most catches in career (30)', '3rd Most catches in an innings (3)', '15th Highest partnership for the third wicket (106)', '12th Highest partnership for the fourth wicket (93)', '3rd Highest partnership for the fifth wicket (83)', '20th Highest partnership for the sixth wicket (50)', '3rd Highest partnership for the seventh wicket (60)', '9th Most matches in career (108)', '19th Most consecutive matches for a team (48)', '14th Most matches as captain (38)', '35th Youngest captains (21y 355d)']</t>
  </si>
  <si>
    <t>['1st Most dismissals in an innings (6)', '3rd Most catches in an innings (4)', '3rd Most stumpings in an innings (4)', '5th Most ducks in career (13)', '1st Most dismissals in an innings (5)', '1st Most stumpings in an innings (4)']</t>
  </si>
  <si>
    <t>['13th Most dismissals in a match (5)']</t>
  </si>
  <si>
    <t>['5th Most ducks in career (13)', '7th Most dismissals in career (97)', '1st Most dismissals in an innings (6)', '11th Most dismissals in a series (16)', '9th Most catches in career (51)', '3rd Most catches in an innings (4)', '16th Most catches in a series (9)', '4th Most stumpings in career (46)', '3rd Most stumpings in an innings (4)', '10th Most stumpings in a series (7)']</t>
  </si>
  <si>
    <t>['7th Most dismissals in career (50)', '1st Most dismissals in an innings (5)', '16th Most catches in career (11)', '4th Most stumpings in career (39)', '1st Most stumpings in an innings (4)']</t>
  </si>
  <si>
    <t>['3rd Highest career batting average (56.83)', '2nd Hundreds in consecutive innings (3)', '2nd Fastest to 2000 runs (45)', '2nd Most player-of-the-series awards (5)', '4th Most runs in an innings by a captain (122)', '3rd Highest career batting average (47.32)', '3rd Fifties in consecutive innings (3)', '8th Most innings before first duck (36)', '2nd Most fours in an innings (15)', '1st Fastest to 2000 runs (52)', '6th Hundreds in consecutive innings (3)']</t>
  </si>
  <si>
    <t>['21st Hundreds in consecutive matches (3)', '32nd Fifties in consecutive innings (5)']</t>
  </si>
  <si>
    <t>['45th Most runs in a series (474)', '15th Most runs in an series by a captain (449)', '3rd Highest career batting average (56.83)', '33rd Most hundreds in a career (13)', '3rd Most hundreds in a series (3)', '29th Most hundreds in a calendar year (4)', '39th Most hundreds against one team (4)', '2nd Hundreds in consecutive innings (3)', '31st Most innings before first duck (35)', '22nd Fewest ducks in career (39)', '3rd Fastest to 1000 runs (21)', '2nd Fastest to 2000 runs (45)', '3rd Fastest to 3000 runs (68)', '25th Highest partnership for the seventh wicket (109)', '45th Most player-of-the-series awards (3)']</t>
  </si>
  <si>
    <t>['11th Most runs in career (2035)', '12th Most runs in an innings (122)', '11th Most runs in a calendar year (563)', '10th Most runs in an innings (by batting position) (122)', '16th Most runs in a match on the losing side (90)', '13th Most runs on a single ground (371)', '4th Most runs in an innings by a captain (122)', '3rd Highest career batting average (47.32)', '3rd Most fifties in career (19)', '3rd Fifties in consecutive innings (3)', '8th Most innings before first duck (36)', '31st Most consecutive innings without a duck (36)', '23rd Fewest ducks in career (26)', '10th Most fours in career (215)', '2nd Most fours in an innings (15)', '19th Most runs from fours and sixes in an innings (84)', '2nd Fastest to 1000 runs (26)', '1st Fastest to 2000 runs (52)', '40th Most catches in career (25)', '46th Highest partnerships for any wicket (131*)', '13th Highest partnership for the second wicket (131*)', '33rd Highest partnership for the third wicket (103)', '19th Most player-of-the-match awards (6)', '2nd Most player-of-the-series awards (5)', '31st Most matches as captain (21)', '33rd Youngest captains (25y 19d)']</t>
  </si>
  <si>
    <t>['36th Most runs conceded in an innings (93)']</t>
  </si>
  <si>
    <t>['2nd Most runs in an innings (by batting position) (35*)', '2nd Most consecutive ducks (4)', '6th Worst career economy rate (4.83)', '1st Most consecutive ducks (3)']</t>
  </si>
  <si>
    <t>['2nd Most runs in an innings (by batting position) (35*)', '2nd Most consecutive ducks (4)', '11th Best figures in a innings when on the losing side (4)', '32nd Best career strike rate (34.5)', '6th Worst career economy rate (4.83)']</t>
  </si>
  <si>
    <t>['4th Most consecutive ducks (4)', '10th Outstanding bowling analyses in an innings (3/6)', '7th Most wickets taken stumped (19)', '4th Most consecutive ducks (4)']</t>
  </si>
  <si>
    <t>['12th Most ducks in career (25)', '4th Most consecutive ducks (4)', '41st Most wickets in career (261)', '10th Outstanding bowling analyses in an innings (3/6)', '24th Best figures in a innings when on the losing side (7)', '13th Worst economy rate in an innings (6.90)', '38th Most five-wickets-in-an-innings in a career (15)', '15th Youngest player to take ten-wickets-in-a-match (20y 256d)', '32nd Most balls bowled in career (17697)', '25th Most runs conceded in career (9082)', '44th Most runs conceded in an innings (194)', '36th Most runs conceded in a match (264)', '47th Bowler/fielder combinations (39)', '45th Most wickets taken caught (158)', '13th Most wickets taken caught and bowled (11)', '33rd Most wickets taken caught by a fielder (126)', '7th Most wickets taken stumped (19)', '37th Fastest to 100 wickets (23)', '27th Fastest to 150 wickets (35)', '27th Fastest to 200 wickets (47)', '15th Fastest to 250 wickets (57)']</t>
  </si>
  <si>
    <t>['7th Most consecutive matches missed for a team between appearances (88)', ' Hundred on debut (168)', '9th Highest partnership for the eighth wicket (100)']</t>
  </si>
  <si>
    <t>['20th Most runs in debut match (184)', '20th Longest intervals between appearances (10y 259d)', '7th Most consecutive matches missed for a team between appearances (88)']</t>
  </si>
  <si>
    <t>['18th Highest partnership for the sixth wicket (147)', '9th Highest partnership for the eighth wicket (100)']</t>
  </si>
  <si>
    <t>['49th Most innings before first duck (15)', '17th Outstanding bowling analyses in an innings (3/7)']</t>
  </si>
  <si>
    <t>['2nd Most runs in a match on the losing side (193)', '4th Most fours in an innings (24)', '1st Fastest to 1000 runs (18)', '9th Most runs in a calendar year (576)']</t>
  </si>
  <si>
    <t>['38th Most runs in debut match (160)', '31st Ninety on debut (94)']</t>
  </si>
  <si>
    <t>['5th Most runs in an innings (210*)', '24th Most runs in a series (515)', '5th Most runs in an innings (by batting position) (210*)', '2nd Most runs in a match on the losing side (193)', '12th Highest career batting average (49.17)', '43rd Highest career strike rate (97.12)', '19th Hundred in last match (101)', '22nd Most sixes in an innings (10)', '4th Most fours in an innings (24)', '7th Most runs from fours and sixes in an innings (132)', '14th Highest percentage of runs in a completed innings (59.56)', '1st Fastest to 1000 runs (18)', '9th Fastest to 2000 runs (49)', '43rd Worst career bowling average (without qualification) (111.00)']</t>
  </si>
  <si>
    <t>['9th Most runs in a calendar year (576)', '35th Most runs on a single ground (293)', '14th Most innings before first duck (30)', '50th Most consecutive innings without a duck (30)', '12th Most fours in an innings (12)', '44th Most catches in career (24)', '11th Highest partnership for the fourth wicket (107)']</t>
  </si>
  <si>
    <t>['4th Best figures in a match by a captain (12)', '5th Most balls bowled in an innings (512)', '5th Most runs conceded in an innings (247)']</t>
  </si>
  <si>
    <t>['25th Best figures in a match (13)', '16th Best figures in a innings by a captain (6)', '4th Best figures in a match by a captain (12)', '46th Most five-wickets-in-an-innings in a career (13)', '19th Most ten-wickets-in-a-match in a career (4)', '5th Most balls bowled in an innings (512)', '42nd Most balls bowled in a match (606)', '5th Most runs conceded in an innings (247)', '27th Fastest to 100 wickets (22)']</t>
  </si>
  <si>
    <t>['22nd Youngest players (17y 129d)']</t>
  </si>
  <si>
    <t>['28th Youngest players (17y 83d)']</t>
  </si>
  <si>
    <t>['8th Outstanding bowling analyses in an innings (3/5)']</t>
  </si>
  <si>
    <t>['35th Most runs in an innings (by batting position) (31)', '8th Outstanding bowling analyses in an innings (3/5)', '50th Worst career economy rate (7.53)', '38th Most wickets taken bowled (11)']</t>
  </si>
  <si>
    <t>['26th Youngest player to score a hundred (20y 335d)']</t>
  </si>
  <si>
    <t>['7th Most balls bowled in an innings (504)']</t>
  </si>
  <si>
    <t>['46th Worst career bowling average (49.25)', '7th Most balls bowled in an innings (504)', '31st Most runs conceded in an innings (202)', '19th Most runs conceded in a match (275)']</t>
  </si>
  <si>
    <t>['3rd Most catches by a substitute in an innings (3)']</t>
  </si>
  <si>
    <t>['48th Most innings before first duck (30)', '36th Most sixes in an innings (6)', '3rd Most catches by a substitute in an innings (3)', '6th Most catches by a substitute in a match (3)', '22nd Highest partnership for the ninth wicket (127)']</t>
  </si>
  <si>
    <t>['36th Most runs in debut match (54)', '47th No ducks in career (14)', '37th Highest partnership for the third wicket (100)']</t>
  </si>
  <si>
    <t>['6th Best career strike rate (42.2)', '3rd Most runs in an innings (by batting position) (59)', '4th Fastest to 50 wickets (24)', '1st Outstanding bowling analyses in an innings (1/0)', '1st Most maidens in an innings (2)', '8th Most wickets taken caught by a wicketkeeper (9)']</t>
  </si>
  <si>
    <t>['32nd Best career bowling average (22.05)', '6th Best career strike rate (42.2)']</t>
  </si>
  <si>
    <t>['3rd Most runs in an innings (by batting position) (59)', '20th Highest strike rate in an innings (290.90)', '36th Most wickets in a calendar year (45)', '14th Best figures in a innings when on the losing side (5)', '42nd Best career strike rate (31.4)', '46th Worst career economy rate (5.65)', '37th Worst economy rate in an innings (11.11)', '25th Most five-wickets-in-an-innings in a career (3)', '43rd Youngest player to take five-wickets-in-an-innings (22y 204d)', '12th Most runs conceded in an innings (100)', '4th Fastest to 50 wickets (24)']</t>
  </si>
  <si>
    <t>['39th Most wickets in career (48)', '1st Outstanding bowling analyses in an innings (1/0)', '47th Best career bowling average (21.97)', '16th Best career strike rate (15.6)', '18th Worst career economy rate (8.40)', '46th Most runs conceded in career (1055)', '12th Bowler/fielder combinations (8)', '20th Most wickets taken bowled (14)', '46th Most wickets taken caught (31)', '8th Most wickets taken caught by a wicketkeeper (9)', '19th Most maidens in career (3)', '1st Most maidens in an innings (2)']</t>
  </si>
  <si>
    <t>['4th Most runs in an innings (by batting position) (337)', ' Hundred in each innings of a match ', ' Hundred and a ninety in a match ', ' Hundred and a duck in a match ', '1st Longest individual innings (by minutes) (970)']</t>
  </si>
  <si>
    <t>['8th Most runs in an innings (337)', '13th Most runs in a match (354)', '4th Most runs in an innings (by batting position) (337)', '5th Most triple hundreds in a career (1)', '25th Youngest player to score a hundred (20y 25d)', '18th Youngest player to score a double hundred (23y 27d)', '4th Youngest player to score a triple hundred (23y 27d)', '1st Longest individual innings (by minutes) (970)', '20th Longest individual innings (by balls) (556)', '33rd Highest partnership for the sixth wicket (217)', '38th Highest partnership for the eighth wicket (130)', '32nd Youngest players (17y 300d)', '17th Winning all tosses in a series (3)', '16th Most byes conceded in an innings (28)']</t>
  </si>
  <si>
    <t>['34th Longest lived players (63y 74d)']</t>
  </si>
  <si>
    <t>['1st Youngest players (14y 227d)']</t>
  </si>
  <si>
    <t>['1st Youngest players (14y 233d)']</t>
  </si>
  <si>
    <t>['26th Highest career batting average (46.80)', '11th Fifties in consecutive innings (5)', '20th Fastest to 1000 runs (26)', '22nd Highest partnership for the seventh wicket (110)']</t>
  </si>
  <si>
    <t>['3rd Worst career strike rate (85.8)']</t>
  </si>
  <si>
    <t>['4th Worst career bowling average (63.00)', '3rd Worst career strike rate (85.8)']</t>
  </si>
  <si>
    <t>['3rd Most player-of-the-series awards (8)', '8th Most runs in an innings (by batting position) (135*)', '2nd Best figures in a innings by a captain (8)', '4th Most consecutive ten-wickets-in-a-match (2)', '9th Most wickets taken bowled (96)', '9th Fastest to 250 wickets (55)', ' A hundred and five wickets in an innings ', '9th Winning all tosses in a series (3)', '1st Best figures in a innings when on the losing side (6)', ' 1000 runs and 100 wickets ', '5th Bowler/batsman combinations (18)']</t>
  </si>
  <si>
    <t>['8th Most runs in an innings (by batting position) (135*)', '32nd Most sixes in career (55)', '22nd Most wickets in career (362)', '48th Best figures in an innings (8/58)', '13th Best figures in a match (14)', '7th Most wickets in a series (40)', '37th Most wickets in a calendar year (62)', '29th Most wickets on a single ground (56)', '2nd Best figures in a innings by a captain (8)', '5th Best figures in a match by a captain (11)', '24th Best figures in a innings when on the losing side (7)', '50th Best career bowling average (22.81)', '14th Most five-wickets-in-an-innings in a career (23)', '10th Most ten-wickets-in-a-match in a career (6)', '5th Most consecutive five-wickets-in-an-innings (4)', '4th Most consecutive ten-wickets-in-a-match (2)', '20th Oldest player to take ten-wickets-in-a-match (35y 180d)', '26th Most balls bowled in career (19458)', '34th Most runs conceded in career (8258)', '32nd Bowler/Batter combinations (11)', '9th Most wickets taken bowled (96)', '36th Most wickets taken caught (185)', '37th Most wickets taken caught by a fielder (118)', '27th Most wickets taken caught by a wicketkeeper (67)', '16th Most wickets taken lbw (80)', '18th Fastest to 200 wickets (45)', '9th Fastest to 250 wickets (55)', '13th Fastest to 300 wickets (68)', '11th Fastest to 350 wickets (79)', '15th Most player-of-the-match awards (11)', '3rd Most player-of-the-series awards (8)', '13th Longest careers (20y 218d)', '20th Most matches as captain (48)', '32nd Oldest captains (39y 94d)']</t>
  </si>
  <si>
    <t>['31st Highest strike rate in an innings (277.77)', '16th Most consecutive innings without a duck (80)', '16th Best figures in an innings (6/14)', '4th Outstanding bowling analyses in an innings (6/14)', '47th Most wickets on a single ground (31)', '26th Best figures in a innings by a captain (4)', '1st Best figures in a innings when on the losing side (6)', '39th Best career economy rate (3.89)', '13th Most consecutive four-wickets-in-an-innings (2)', '36th Oldest player to take five-wickets-in-an-innings (32y 168d)', '21st Oldest player to take a maiden five-wickets-in-an-innings (32y 168d)', '48th Most balls bowled in career (7461)', '31st Most wickets taken bowled (54)', '38th Most wickets taken lbw (25)', '21st Highest partnership for the sixth wicket (144)', '20th Longest careers (17y 207d)', '9th Most matches as captain (139)', '9th Winning all tosses in a series (3)', '20th Oldest captains (39y 172d)']</t>
  </si>
  <si>
    <t>['11th Most ducks in a series (4)', '40th Best figures in a match when on the losing side (10)', '11th Most wickets taken stumped (17)']</t>
  </si>
  <si>
    <t>['45th Worst career bowling average (without qualification) (67.00)']</t>
  </si>
  <si>
    <t>['6th Best career economy rate (6.22)', '6th Highest partnership for the eighth wicket (58)']</t>
  </si>
  <si>
    <t>['39th Highest career batting average (42.86)', '13th Highest career strike rate (110.29)', '13th Outstanding bowling analyses in an innings (5/14)', '40th Best strike rate in an innings (6.8)']</t>
  </si>
  <si>
    <t>['23rd Most runs in an innings (by batting position) (47)', '13th Most ducks in career (6)', '41st Most wickets in career (47)', '19th Best figures in an innings (5/14)', '14th Outstanding bowling analyses in an innings (5/14)', '6th Best career economy rate (6.22)', '16th Most four-wickets-in-an-innings in a career (2)', '30th Most balls bowled in career (1032)', '44th Most runs conceded in career (1070)', '12th Most wickets taken bowled (17)', '14th Most wickets taken caught and bowled (3)', '14th Most wickets taken lbw (7)', '6th Highest partnership for the eighth wicket (58)', '28th Most player-of-the-match awards (5)', '19th Most maidens in career (3)']</t>
  </si>
  <si>
    <t>['12th Most runs in an innings (by batting position) (55)', '17th Most innings before first duck (21)', '39th Fewest ducks in career (16.5)']</t>
  </si>
  <si>
    <t>['7th Highest career batting average (51.73)', ' Hundred on debut (100)', '3rd Most hundreds in a series (3)', '2nd Fastest to 1000 runs (19)', '2nd Highest partnership for the first wicket (304)']</t>
  </si>
  <si>
    <t>['16th Most runs in a match on the losing side (151)', '7th Highest career batting average (51.73)', '16th Most runs in debut match (100)', '3rd Most hundreds in a series (3)', '50th Youngest player to score a hundred (21y 300d)', '2nd Fastest to 1000 runs (19)', '5th Highest partnerships for any wicket (304)', '2nd Highest partnership for the first wicket (304)']</t>
  </si>
  <si>
    <t>['5th Youngest player to score a hundred (18y 154d)']</t>
  </si>
  <si>
    <t>['5th Youngest player to score a hundred (18y 154d)', '17th Youngest players (17y 78d)']</t>
  </si>
  <si>
    <t>['3rd Youngest player to score a hundred (18y 121d)', '44th Most sixes in an innings (8)', '44th Most runs from fours and sixes in an innings (104)', '30th Youngest players (17y 101d)']</t>
  </si>
  <si>
    <t>['15th Most runs in an innings (by batting position) (62*)', '37th Worst career bowling average (without qualification) (71.00)', '33rd Most consecutive matches missed for a team between appearances (41)']</t>
  </si>
  <si>
    <t>['5th Best figures in a match by a captain (11)', ' 1000 runs and 100 wickets ']</t>
  </si>
  <si>
    <t>['5th Best figures in a innings by a captain (7)', '5th Best figures in a match by a captain (11)', '34th Youngest players (17y 341d)', '23rd Winning all tosses in a series (3)']</t>
  </si>
  <si>
    <t>['31st Oldest living players (79y 155d)']</t>
  </si>
  <si>
    <t>[' Hundred and a duck in a match ', '9th Highest partnership for the third wicket (352*)', '6th Most ducks in a series (3)', ' 5000 runs and 50 fielding dismissals ']</t>
  </si>
  <si>
    <t>['22nd Youngest player to score a hundred (20y 3d)', '40th Highest partnerships for any wicket (352*)', '9th Highest partnership for the third wicket (352*)']</t>
  </si>
  <si>
    <t>['34th Most runs in a calendar year (1281)', '16th Youngest player to score a hundred (20y 39d)', '34th Most nineties in career (4)', '8th Most innings before first duck (53)', '6th Most ducks in a series (3)', '31st Most sixes in an innings (9)', '39th Most catches in career (90)', '50th Highest partnership for the fourth wicket (163*)', '47th Highest partnership for the fifth wicket (147*)', '41st Most matches in career (250)']</t>
  </si>
  <si>
    <t>[' Carrying bat through a completed innings (117*)']</t>
  </si>
  <si>
    <t>['30th Most innings before first duck (36)', '44th Fewest ducks in career (25.66)']</t>
  </si>
  <si>
    <t>['44th Youngest player to score a hundred (21y 201d)', '44th Fifties in consecutive innings (4)']</t>
  </si>
  <si>
    <t>['2nd Most runs in an innings (by batting position) (329)', ' Hundred in each innings of a match ', '5th Most nineties in career (8)', '3rd Most runs from fours and sixes in an innings (206)', ' 5000 runs and 50 fielding dismissals ', '6th Most matches in career (378)', '5th Most runs on a single ground (2464)', '10th Most fifties in career (93)', '5th Unusual dismissals (obstructing the)', '7th Fastest to 11000 runs (324)', '1st Outstanding bowling analyses in an innings (1/0)', ' 5000 runs and 50 fielding dismissals ', '10th Most matches in career (499)', '6th Most nineties in career (12)', '9th Most fifties in career (164)']</t>
  </si>
  <si>
    <t>['18th Most runs in career (8830)', '16th Most runs in an innings (329)', '27th Most runs in a match (329)', '2nd Most runs in an innings (by batting position) (329)', '44th Highest career batting average (49.60)', '22nd Most hundreds in a career (25)', '5th Most triple hundreds in a career (1)', '5th Hundred in hundredth match (184)', '5th Most nineties in career (8)', '14th Most fifties in career (71)', '32nd Fifties in consecutive innings (5)', '40th Most sixes in career (48)', '17th Most fours in career (1105)', '8th Most sixes in an innings (9)', '21st Most fours in an innings (38)', '3rd Most runs from fours and sixes in an innings (206)', '38th Highest percentage of runs in a completed innings (57.57)', '34th Fastest to 6000 runs (135)', '28th Fastest to 7000 runs (158)', '18th Fastest to 8000 runs (175)', '38th Highest partnership for the fourth wicket (259)', '46th Highest partnership for the sixth wicket (206)', '28th Most matches in career (120)', '32nd Most player-of-the-match awards (9)', '44th Most player-of-the-series awards (3)', '45th Most matches as captain (31)']</t>
  </si>
  <si>
    <t>['7th Most runs in career (11739)', '5th Most runs on a single ground (2464)', '31st Most runs in an series by a captain (364)', '39th Most hundreds against one team (4)', '34th Most nineties in career (4)', '10th Most fifties in career (93)', '44th Fifties in consecutive innings (4)', '13th Most ducks in career (20)', '17th Most sixes in career (144)', '13th Most fours in career (971)', '5th Unusual dismissals (obstructing the)', '48th Fastest to 2000 runs (58)', '36th Fastest to 3000 runs (87)', '42nd Fastest to 5000 runs (150)', '30th Fastest to 6000 runs (176)', '22nd Fastest to 7000 runs (208)', '20th Fastest to 8000 runs (231)', '15th Fastest to 9000 runs (273)', '12th Fastest to 10000 runs (299)', '7th Fastest to 11000 runs (324)', '1st Outstanding bowling analyses in an innings (1/0)', '19th Most catches in career (113)', '38th Highest partnership for the second wicket (204)', '23rd Highest partnership for the fifth wicket (162)', '6th Most matches in career (378)', '19th Most player-of-the-match awards (24)', '12th Most player-of-the-series awards (6)', '50th Longest careers (15y 119d)', '23rd Most matches as captain (90)', '50th Winning all tosses in a series (5)', '42nd Oldest captains (37y 18d)']</t>
  </si>
  <si>
    <t>['13th Oldest living players (51y 12d)', '49th Oldest captains (36y 178d)', '35th Oldest captains on captaincy debut (36y 178d)']</t>
  </si>
  <si>
    <t>['3rd Captains who have kept wicket and opened the batting (3)', '2nd Most runs in an innings (by batting position) (209)', ' Hundred and a duck in a match ']</t>
  </si>
  <si>
    <t>['2nd Most runs in an innings (by batting position) (209)', '17th Most runs in a series by a wicketkeeper (375)', '6th Most runs in an innings by a wicketkeeper (209)', '28th Highest maiden hundred (209)', '15th Winning all tosses in a series (3)', '19th Captains who have kept wicket (4)', '3rd Captains who have kept wicket and opened the batting (3)', '25th Most stumpings in career (16)', '12th Most stumpings in a match (3)']</t>
  </si>
  <si>
    <t>['8th Youngest captains (22y 260d)', '7th Most runs in an innings (by batting position) (280*)', ' Hundred on debut (163)', ' Hundred in each innings of a match ', '1st Dismissed for 99 (and 199, 299 etc) (99)', ' Two unbeaten fifties in a match ', '6th Fastest to 8000 runs (162)', ' 5000 runs and 50 fielding dismissals ', '3rd Longest careers (20y 272d)', '1st Fifties in consecutive innings (9)', '4th Most consecutive innings without a duck (96)', ' 5000 runs and 50 fielding dismissals ', '6th Hundreds in consecutive innings (3)', '1st Fifties in consecutive innings (8)', '6th Most consecutive innings without a duck (112)']</t>
  </si>
  <si>
    <t>['17th Most runs in career (8832)', '43rd Most runs in an innings (280*)', '7th Most runs in an innings (by batting position) (280*)', '21st Most runs on a single ground (1393)', '26th Highest career batting average (52.57)', '17th Most runs in debut match (188)', '28th Most hundreds in a career (23)', '7th Most double hundreds in a career (6)', '33rd Most hundreds against one team (7)', '2nd Hundred in hundredth match (145)', '11th Youngest player to score a hundred (19y 119d)', '1st Youngest player to score a double hundred (19y 140d)', '1st Dismissed for 99 (and 199, 299 etc) (99)', '22nd Most fifties in career (66)', '22nd Fewest ducks in career (31.5)', '40th Most sixes in career (48)', '48th Most fours in career (788+)', '28th Longest individual innings (by minutes) (696)', '36th Longest individual innings (by balls) (521)', '27th Fastest to 2000 runs (42)', '34th Fastest to 3000 runs (67)', '17th Fastest to 4000 runs (84)', '20th Fastest to 5000 runs (107)', '29th Fastest to 6000 runs (133)', '14th Fastest to 7000 runs (145)', '6th Fastest to 8000 runs (162)', '47th Most catches in career (93)', '14th Highest partnership for the fourth wicket (322)', '16th Highest partnership for the fifth wicket (281)', '24th Most matches in career (124)', '36th Most matches as captain (34)', '8th Youngest captains (22y 260d)']</t>
  </si>
  <si>
    <t>['39th Most runs in career (7381)', '43rd Most runs on a single ground (1052)', '35th Oldest player to score a hundred (35y 248d)', '33rd Most fifties in career (58)', '1st Fifties in consecutive innings (9)', '4th Most consecutive innings without a duck (96)', '13th Longest individual innings (by balls) (167)', '40th Fastest to 4000 runs (116)', '29th Fastest to 5000 runs (139)', '28th Fastest to 6000 runs (175)', '18th Fastest to 7000 runs (204)', '45th Highest partnership for the fourth wicket (165)', '40th Most player-of-the-match awards (18)', '3rd Longest careers (20y 272d)', '43rd Most matches as captain (62)', '14th Youngest captains (23y 162d)']</t>
  </si>
  <si>
    <t>['12th Most wickets in a calendar year (52)', '39th Fastest to 100 wickets (68)']</t>
  </si>
  <si>
    <t>['18th Youngest captains (24y 23d)', '29th Most matches as a match referee (6)']</t>
  </si>
  <si>
    <t>['33rd Most matches as a match referee (15)']</t>
  </si>
  <si>
    <t>['10th Most nineties in career (2)', '10th Most consecutive innings without a duck (47*)', '6th Highest partnership for the sixth wicket (61)']</t>
  </si>
  <si>
    <t>['21st Most runs in career (2744)', '46th Most runs in an innings (133*)', '22nd Most runs in a series (605)', '31st Most runs on a single ground (341)', '25th Most hundreds in a career (2)', '11th Most hundreds against one team (2)', '15th Highest maiden hundred (133*)', '10th Most nineties in career (2)', '29th Most fifties in career (17)', '10th Most consecutive innings without a duck (47*)', '25th Fewest ducks in career (25.75)', '43rd Worst economy rate in an innings (8.60)', '44th Most catches in career (28)', '18th Highest partnership for the fourth wicket (127*)', '37th Highest partnership for the seventh wicket (60*)', '35th Most matches in career (106)', '28th Oldest captains on captaincy debut (30y 147d)']</t>
  </si>
  <si>
    <t>['12th Most runs in career (1882)', '20th Most runs in a calendar year (454)', '19th Most runs in an innings (by batting position) (74*)', '39th Most runs on a single ground (185)', '26th Most runs in an innings by a captain (74*)', '16th Most fifties in career (9)', '14th Most consecutive innings without a duck (40)', '22nd Fewest ducks in career (24)', '27th Outstanding bowling analyses in an innings (1/2)', '36th Highest partnerships for any wicket (123*)', '19th Highest partnership for the first wicket (123*)', '38th Highest partnership for the second wicket (95)', '12th Highest partnership for the third wicket (109)', '6th Highest partnership for the sixth wicket (61)', '23rd Highest partnership for the eighth wicket (26*)', '17th Most matches in career (102)', '35th Most matches as captain (13)', '40th Oldest captains on captaincy debut (30y 142d)']</t>
  </si>
  <si>
    <t>['8th Most dismissals in a match (9)', '8th Most catches in a match (9)', '4th Most stumpings in an innings (3)', '9th Highest innings total without conceding a bye (644/7d)', '4th Most runs in an innings (by batting position) (154)', ' 2000 runs and 100 wicketkeeping dismissals ', '4th Most dismissals in career (60)', '8th Most catches in career (28)', '1st Most stumpings in an innings (4)', '8th Most byes conceded in an innings (8)', '10th Most ducks in career (7)', '10th Most dismissals in career (453)', '7th Most stumpings in career (85)']</t>
  </si>
  <si>
    <t>['4th Most runs in an innings (by batting position) (154)', '31st Most runs in an innings by a wicketkeeper (158*)', '36th Highest partnership for the seventh wicket (169*)', '17th Most dismissals in career (206)', '8th Most dismissals in a match (9)', '17th Most catches in career (184)', '8th Most catches in a match (9)', '15th Most stumpings in career (22)', '4th Most stumpings in an innings (3)', '12th Most stumpings in a match (3)', '9th Highest innings total without conceding a bye (644/7d)']</t>
  </si>
  <si>
    <t>['18th Highest partnership for the fourth wicket (198*)', '15th Highest partnership for the eighth wicket (93)', '15th Most dismissals in career (187)', '16th Most dismissals in an innings (5)', '16th Most catches in career (156)', '14th Most stumpings in career (31)', '21st Most stumpings in a series (4)']</t>
  </si>
  <si>
    <t>['34th Most runs in an innings by a wicketkeeper (73)', '10th Most ducks in career (7)', '29th Highest partnerships for any wicket (142)', '15th Highest partnership for the first wicket (142)', '41st Highest partnership for the third wicket (96)', '50th Most consecutive matches for a team (28)', '4th Most dismissals in career (60)', '5th Most dismissals in an innings (4)', '8th Most catches in career (28)', '13th Most catches in an innings (3)', '2nd Most stumpings in career (32)', '1st Most stumpings in an innings (4)', '8th Most byes conceded in an innings (8)']</t>
  </si>
  <si>
    <t>['11th Youngest players (16y 352d)']</t>
  </si>
  <si>
    <t>['1st Most runs in an innings (by batting position) (242)', '9th Hundred in last match (242)', '1st Highest maiden hundred (242)', '1st Highest partnership for the first wicket (241)', ' Opening the batting and bowling in the same match ']</t>
  </si>
  <si>
    <t>['1st Most runs in an innings (242)', '10th Most runs in an innings (progressive record holder) (242)', '1st Most runs in a match (264)', '41st Most runs in a series (264)', '1st Most runs in an innings (by batting position) (242)', '26th Most runs in a match on the losing side (84)', '7th Most runs on a single ground (264)', '9th Hundred in last match (242)', '1st Most double hundreds in a career (1)', '1st Highest maiden hundred (242)', '22nd Worst career bowling average (without qualification) (76.50)', '4th Highest partnerships for any wicket (241)', '1st Highest partnerships by wicket (1st)', '1st Highest partnership for the first wicket (241)', '6th Highest partnership for the sixth wicket (95)']</t>
  </si>
  <si>
    <t>['16th Worst career bowling average (37.81)', '15th Worst career strike rate (62.5)', '33rd Most runs conceded in an innings (73)', '40th Most consecutive matches for a team (40)']</t>
  </si>
  <si>
    <t>['19th Worst career strike rate (129.1)', '39th Most consecutive matches as captain of a team (23)']</t>
  </si>
  <si>
    <t>['13th No ducks in career (13)']</t>
  </si>
  <si>
    <t>[' Hundred on debut (166)']</t>
  </si>
  <si>
    <t>['27th Most runs in debut match (169)', '36th Highest partnership for the first wicket (249)']</t>
  </si>
  <si>
    <t>['4th Most runs conceded in an innings (259)']</t>
  </si>
  <si>
    <t>['4th Most runs conceded in an innings (259)', '43rd Most runs conceded in a match (259)', '41st Fastest to 50 wickets (11)']</t>
  </si>
  <si>
    <t>['44th Youngest players (18y 44d)']</t>
  </si>
  <si>
    <t>['20th Most consecutive matches missed for a team between appearances (49)']</t>
  </si>
  <si>
    <t>['5th Outstanding bowling analyses in an innings (3/2)', '7th Best economy rate in an innings (0.20)']</t>
  </si>
  <si>
    <t>['32nd Worst career bowling average (without qualification) (68.00)']</t>
  </si>
  <si>
    <t>['5th Outstanding bowling analyses in an innings (3/2)', '33rd Most wickets on a single ground (12)', '7th Best economy rate in an innings (0.20)', '46th Worst career strike rate (52.4)']</t>
  </si>
  <si>
    <t>[' Hundred on debut (109*)', '10th Youngest player to score a hundred (19y 105d)', ' Hundred and a duck in a match ']</t>
  </si>
  <si>
    <t>['10th Youngest player to score a hundred (19y 105d)', '12th Highest partnership for the ninth wicket (147)']</t>
  </si>
  <si>
    <t>['2nd Most hundreds in a series (4)', ' Carrying bat through a completed innings (152*)', ' Opening the batting and bowling in the same match ', '3rd Highest partnership for the third wicket (451)', '7th Most runs in a career without a hundred (2653)', ' 250 runs and 10 wickets in a series ']</t>
  </si>
  <si>
    <t>['17th Most runs in a series (761)', '2nd Most hundreds in a series (4)', '5th Hundreds in consecutive innings (3)', '21st Hundreds in consecutive matches (3)', '38th Dismissed for 99 (and 199, 299 etc) (199)', '48th Most innings before first duck (30)', '12th Outstanding bowling analyses in an innings (3/8)', '4th Highest partnerships for any wicket (451)', '48th Highest partnership for the second wicket (250)', '3rd Highest partnership for the third wicket (451)']</t>
  </si>
  <si>
    <t>['7th Most runs in a career without a hundred (2653)', '12th Best strike rate in an innings (6.0)']</t>
  </si>
  <si>
    <t>['49th Longest lived players (91y 17d)']</t>
  </si>
  <si>
    <t>['33rd Most consecutive matches missed for a team between appearances (41)']</t>
  </si>
  <si>
    <t>['29th Highest partnership for the third wicket (205)']</t>
  </si>
  <si>
    <t>['9th Youngest player to score a hundred (19y 21d)']</t>
  </si>
  <si>
    <t>['17th Youngest player to take five-wickets-in-an-innings (20y 212d)']</t>
  </si>
  <si>
    <t>['11th Best career bowling average (without qualification) (6.00)']</t>
  </si>
  <si>
    <t>[' Hundred and a ninety in a match ', '2nd Unusual dismissals (handled the bal)', '3rd Longest individual innings (by balls) (176)', '5th Best career bowling average (without qualification) (5.00)']</t>
  </si>
  <si>
    <t>['40th Fewest ducks in career (26.33)', '2nd Unusual dismissals (handled the bal)']</t>
  </si>
  <si>
    <t>['3rd Longest individual innings (by balls) (176)', '5th Best career bowling average (without qualification) (5.00)', '33rd Highest partnership for the second wicket (205)']</t>
  </si>
  <si>
    <t>['1st Most runs in a calendar year (1788)', ' Hundred in each innings of a match ', '7th Fifties in consecutive innings (6)', '8th Fastest to 7000 runs (139)', ' 5000 runs and 50 fielding dismissals ', '7th Highest partnership for the seventh wicket (248)', '3rd Hundred in hundredth match (129)', ' 99 not out (and 199, 299 etc) (99*)', '2nd Fifties in consecutive innings (6)', '5th Most consecutive innings without a duck (92*)', '10th Fastest to 9000 runs (245)', '1st Outstanding bowling analyses in an innings (1/0)', '1st Best career bowling average (without qualification) (1.00)', ' 5000 runs and 50 fielding dismissals ', '7th Highest partnership for the seventh wicket (124)', '6th Hundreds in consecutive innings (3)', '10th Fifties in consecutive innings (6)', '9th Most consecutive innings without a duck (103)']</t>
  </si>
  <si>
    <t>['38th Most runs in career (7530)', '46th Most runs in a series (665)', '1st Most runs in a calendar year (1788)', '29th Highest career batting average (52.29)', '23rd Most hundreds in a career (24)', '17th Most double hundreds in a career (4)', '2nd Most hundreds in a series (4)', '1st Most hundreds in a calendar year (9)', '33rd Most hundreds against one team (7)', '5th Hundreds in consecutive innings (3)', '2nd Hundreds in consecutive matches (5)', '34th Most fifties in career (57)', '7th Fifties in consecutive innings (6)', '37th Most sixes in career (51)', '26th Most fours in career (957)', '34th Fastest to 3000 runs (67)', '42nd Fastest to 4000 runs (92)', '24th Fastest to 5000 runs (108)', '10th Fastest to 6000 runs (120)', '8th Fastest to 7000 runs (139)', '16th Highest partnership for the sixth wicket (269)', '7th Highest partnership for the seventh wicket (248)', '22nd Highest partnership for the ninth wicket (127)', '44th Most player-of-the-series awards (3)']</t>
  </si>
  <si>
    <t>['15th Most runs in career (9720)', '21st Most runs in a calendar year (1362)', '49th Most runs on a single ground (1002)', '27th Most hundreds in a career (15)', '11th Most hundreds in a calendar year (5)', '3rd Hundred in hundredth match (129)', '22nd Most nineties in career (5)', '13th Most fifties in career (79)', '2nd Fifties in consecutive innings (6)', '5th Most consecutive innings without a duck (92*)', '45th Most ducks in career (15)', '6th Most ducks in a series (3)', '45th Most sixes in career (90)', '27th Most fours in career (785)', '44th Most sixes in an innings (8)', '27th Fastest to 1000 runs (27)', '21st Fastest to 4000 runs (110)', '26th Fastest to 5000 runs (138)', '22nd Fastest to 6000 runs (168)', '17th Fastest to 7000 runs (199)', '16th Fastest to 8000 runs (227)', '10th Fastest to 9000 runs (245)', '1st Outstanding bowling analyses in an innings (1/0)', '1st Best career bowling average (without qualification) (1.00)', '40th Highest partnership for the fourth wicket (168)', '35th Highest partnership for the fifth wicket (155)', '7th Highest partnership for the seventh wicket (124)', '16th Highest partnership for the eighth wicket (92)', '25th Most matches in career (288)', '13th Most consecutive matches for a team (111)', '40th Most player-of-the-match awards (18)', '45th Most player-of-the-series awards (3)']</t>
  </si>
  <si>
    <t>['47th Most consecutive matches missed for a team between appearances (37)']</t>
  </si>
  <si>
    <t>['12th Most fours in an innings (12)', '29th Highest partnerships for any wicket (142)', '15th Highest partnership for the first wicket (142)']</t>
  </si>
  <si>
    <t>['8th Youngest players (16y 332d)']</t>
  </si>
  <si>
    <t>['33rd Youngest players (16y 94d)']</t>
  </si>
  <si>
    <t>['2nd Oldest players on debut (47y 284d)']</t>
  </si>
  <si>
    <t>['2nd Oldest players on debut (47y 284d)', '6th Oldest players (47y 301d)']</t>
  </si>
  <si>
    <t>['7th Outstanding bowling analyses in an innings (5/10)']</t>
  </si>
  <si>
    <t>['32nd Worst career bowling average (52.74)', '25th Worst career economy rate (3.58)', '33rd Best figures in a match on debut (8)', '35th Youngest player to take five-wickets-in-an-innings (20y 12d)']</t>
  </si>
  <si>
    <t>['12th Most runs in an innings (by batting position) (46)', '7th Outstanding bowling analyses in an innings (5/10)', '47th Youngest player to take five-wickets-in-an-innings (22y 280d)', '45th Fastest to 100 wickets (69)']</t>
  </si>
  <si>
    <t>['9th Best figures in a innings on debut (7)', '36th Oldest player to take five-wickets-in-an-innings (37y 211d)']</t>
  </si>
  <si>
    <t>['3rd Youngest player to take five-wickets-in-an-innings (17y 257d)', '1st Most runs in an innings (by batting position) (58)', '2nd Highest partnership for the tenth wicket (103)', '10th Most consecutive matches missed for a team between appearances (57)', '7th Outstanding bowling analyses in an innings (2/3)', '3rd Most maidens in career (5)']</t>
  </si>
  <si>
    <t>['3rd Youngest player to take five-wickets-in-an-innings (17y 257d)', '19th Youngest players (17y 82d)']</t>
  </si>
  <si>
    <t>['1st Most runs in an innings (by batting position) (58)', '14th Best figures in a innings when on the losing side (5)', '2nd Highest partnership for the tenth wicket (103)', '31st Youngest players (17y 108d)', '30th Most consecutive matches missed for a team between appearances (138)']</t>
  </si>
  <si>
    <t>['20th Most wickets in career (59)', '7th Outstanding bowling analyses in an innings (2/3)', '43rd Best career bowling average (21.40)', '45th Best career economy rate (7.02)', '25th Most balls bowled in career (1079)', '23rd Most runs conceded in career (1263)', '17th Bowler/batters combinations (3)', '12th Most wickets taken bowled (17)', '26th Most wickets taken caught (36)', '27th Most wickets taken caught by a fielder (30)', '33rd Most wickets taken caught by a wicketkeeper (6)', '24th Most wickets taken lbw (6)', '14th Fastest to 50 wickets (41)', '41st Youngest players (17y 55d)', '10th Most consecutive matches missed for a team between appearances (57)', '30th Longest intervals between appearances (5y 193d)', '3rd Most maidens in career (5)']</t>
  </si>
  <si>
    <t>['1st Dismissed for 99 (and 199, 299 etc) (99)', '4th Best economy rate in an innings (0.30)', ' Opening the batting and bowling in the same match ']</t>
  </si>
  <si>
    <t>['1st Dismissed for 99 (and 199, 299 etc) (99)', '50th Most consecutive innings without a duck (53)', '4th Best economy rate in an innings (0.30)', '30th Worst career bowling average (53.92)', '17th Worst career strike rate (132.7)', '40th Youngest players (18y 26d)', '34th Longest careers (18y 96d)']</t>
  </si>
  <si>
    <t>['47th Most catches in a series (6)', '48th Highest partnership for the eighth wicket (41*)']</t>
  </si>
  <si>
    <t>['40th Highest partnership for the eighth wicket (22*)']</t>
  </si>
  <si>
    <t>['40th Most innings before first duck (30)', '37th Worst career strike rate (60.1)']</t>
  </si>
  <si>
    <t>['6th Most catches in a series (31)', '4th Most runs in an innings by a wicketkeeper (104*)', '5th Highest career batting average (44.36)', '3rd Fifties in consecutive innings (3)', '4th Highest partnership for the first wicket (197)']</t>
  </si>
  <si>
    <t>['32nd Fifties in consecutive innings (5)', '25th Captains who have kept wicket (2)', '6th Most catches in a series (31)', '23rd Highest innings total without conceding a bye (589/3d)', '19th Most byes conceded in an innings (27)']</t>
  </si>
  <si>
    <t>['48th Highest partnership for the sixth wicket (124)']</t>
  </si>
  <si>
    <t>['36th Most runs in an innings (104*)', '14th Most runs in a calendar year (530)', '27th Most runs in an innings (by batting position) (104*)', '4th Most runs in an innings by a wicketkeeper (104*)', '5th Highest career batting average (44.36)', '41st Most fifties in career (7)', '3rd Fifties in consecutive innings (3)', '42nd Most sixes in an innings (7)', '21st Longest individual innings (by balls) (64)', '16th Highest percentage of runs in a completed innings (61.53)', '4th Highest partnerships for any wicket (197)', '4th Highest partnership for the first wicket (197)', '20th Highest partnership for the second wicket (126)', '48th Highest partnership for the sixth wicket (61)', '19th Most dismissals in career (23)', '20th Most catches in career (17)', '13th Most catches in an innings (3)', '17th Most stumpings in career (6)']</t>
  </si>
  <si>
    <t>['24th Worst career bowling average (without qualification) (75.00)']</t>
  </si>
  <si>
    <t>['5th Oldest captains (42y 351d)', ' Hundred in each innings of a match ', ' 99 not out (and 199, 299 etc) (99*)', '7th Fifties in consecutive innings (6)', ' Hundred and a duck in a match ', ' 5000 runs and 50 fielding dismissals ', '6th Most consecutive matches as captain of a team (75)', '1st Most runs in a career without a hundred (5122)', '2nd Most catches in an innings (4)', ' 5000 runs and 50 fielding dismissals ', '6th Most consecutive matches as captain of a team (75)', '6th Hundreds in consecutive innings (3)', '2nd Fifties in consecutive innings (7)']</t>
  </si>
  <si>
    <t>['41st Highest strike rate in an innings (177.19)', '5th Hundreds in consecutive innings (3)', '6th Oldest player to score a hundred (42y 47d)', '20th Most nineties in career (5)', '7th Fifties in consecutive innings (6)', '26th Fifties in consecutive matches (7)', '11th Most sixes in career (81)', '41st Highest partnership for the sixth wicket (207)', '27th Oldest players (42y 351d)', '10th Most matches as captain (56)', '13th Most consecutive matches as captain of a team (35)', '47th Winning all tosses in a series (3)', '5th Oldest captains (42y 351d)', '34th Oldest captains on captaincy debut (36y 168d)']</t>
  </si>
  <si>
    <t>['20th Most runs in a calendar year (1373)', '37th Most runs in an series by a captain (350)', '1st Most runs in a career without a hundred (5122)', '37th Highest career batting average (43.40)', '44th Fifties in consecutive innings (4)', '30th Highest percentage of runs in a completed innings (56.47)', '43rd Fastest to 4000 runs (118)', '37th Fastest to 5000 runs (147)', '2nd Most catches in an innings (4)', '25th Most consecutive matches for a team (88)', '33rd Oldest players (40y 296d)', '25th Most matches as captain (87)', '6th Most consecutive matches as captain of a team (75)', '10th Oldest captains (40y 296d)', '43rd Oldest captains on captaincy debut (34y 35d)']</t>
  </si>
  <si>
    <t>['12th Most runs in an innings (by batting position) (66*)', '13th Highest career batting average (37.52)', '18th Most innings before first duck (24)', '23rd Highest partnership for the sixth wicket (71)', '48th Highest partnership for the eighth wicket (34)', '24th Highest partnership for the tenth wicket (20)', '35th Oldest captains (37y 275d)', '47th Oldest captains on captaincy debut (34y 344d)', '6th Most consecutive matches as captain of a team (75)']</t>
  </si>
  <si>
    <t>['1st Outstanding bowling analyses in an innings (3/3)', '1st Best career bowling average (without qualification) (1.00)']</t>
  </si>
  <si>
    <t>['1st Most consecutive ducks (5)']</t>
  </si>
  <si>
    <t>['11th Most ducks in a series (4)', '1st Most consecutive ducks (5)', '28th Best career strike rate (48.7)', '41st Youngest player to take ten-wickets-in-a-match (23y 104d)', '20th Fastest to 50 wickets (10)', '13th Fastest to 100 wickets (20)']</t>
  </si>
  <si>
    <t>['41st Most runs conceded in an innings (71)']</t>
  </si>
  <si>
    <t>['2nd Youngest players (15y 124d)', '2nd Youngest player to score a hundred (17y 78d)', '1st Dismissed for 99 (and 199, 299 etc) (99)', ' A hundred and five wickets in an innings ']</t>
  </si>
  <si>
    <t>['2nd Youngest player to score a hundred (17y 78d)', '1st Dismissed for 99 (and 199, 299 etc) (99)', '26th Fifties in consecutive matches (7)', '46th Fewest ducks in career (25)', '21st Best figures in a match by a captain (9)', '45th Highest partnerships for any wicket (350)', '11th Highest partnership for the fourth wicket (350)', '2nd Youngest players (15y 124d)', '17th Longest careers (20y 3d)', '23rd Winning all tosses in a series (3)']</t>
  </si>
  <si>
    <t>['44th Oldest living players (77y 191d)']</t>
  </si>
  <si>
    <t>['10th Worst career bowling average (without qualification) (136.00)']</t>
  </si>
  <si>
    <t>['6th Captains who have kept wicket (13)', ' 2000 runs and 100 wicketkeeping dismissals ', '5th Most dismissals in career (287)', '6th Most catches in career (214)', '7th Captains who have kept wicket (34)', '1st Most stumpings in an innings (3)', '3rd Most runs in a career without a hundred (3266)', ' 200 runs and 10 wicketkeeping dismissals in a series ', '4th Most stumpings in career (93)']</t>
  </si>
  <si>
    <t>['6th Captains who have kept wicket (13)', '33rd Most dismissals in career (147)', '33rd Most catches in career (127)', '19th Most stumpings in career (20)', '18th Highest innings total without conceding a bye (599/4d)']</t>
  </si>
  <si>
    <t>['3rd Most runs in a career without a hundred (3266)', '42nd Highest strike rate in an innings (270.00)', '30th Most ducks in career (17)', '41st Highest partnership for the eighth wicket (77)', '44th Most consecutive matches for a team (76)', '37th Winning all tosses in a series (5)', '16th Youngest captains (23y 196d)', '7th Captains who have kept wicket (34)', '5th Most dismissals in career (287)', '16th Most dismissals in an innings (5)', '9th Most dismissals in a series (19)', '6th Most catches in career (214)', '11th Most catches in an innings (5)', '24th Most catches in a series (15)', '4th Most stumpings in career (73)', '1st Most stumpings in an innings (3)', '21st Most stumpings in a series (4)', '23rd Most byes conceded in an innings (10)']</t>
  </si>
  <si>
    <t>['10th Most runs in an innings (by batting position) (59)']</t>
  </si>
  <si>
    <t>['10th Most runs in an innings (by batting position) (59)', '40th Best figures in a match when on the losing side (10)', '29th Most ten-wickets-in-a-match in a career (3)', '44th Most runs conceded in an innings (194)', '16th Most wickets taken stumped (13)', '36th Fastest to 150 wickets (36)']</t>
  </si>
  <si>
    <t>['7th Most runs in an innings (by batting position) (34*)', '18th Most wickets on a single ground (46)', '46th Most balls bowled in career (7543)', '46th Most wickets taken caught by a fielder (87)', '15th Most wickets taken stumped (19)']</t>
  </si>
  <si>
    <t>['49th Best career bowling average (22.80)', '20th Fastest to 50 wickets (10)']</t>
  </si>
  <si>
    <t>['17th Worst career bowling average (without qualification) (153.00)']</t>
  </si>
  <si>
    <t>['17th Bowler/batters combinations (3)', '3rd Most catches by a substitute in an innings (2)']</t>
  </si>
  <si>
    <t>[' Hundred and a ninety in a match ', ' Opening the batting and bowling in the same match ', '3rd Most hundreds in a series (3)', '5th Unusual dismissals (obstructing the)', ' Opening the batting and bowling in the same match ', ' 1000 runs, 50 wickets and 50 catches ', ' 5000 runs and 50 fielding dismissals ', '3rd Longest careers (14y 240d)', '3rd Winning all tosses in a series (3)', '4th Most runs in career (2388)', '3rd Fifties in consecutive innings (3)', '1st Most consecutive ducks (3)', '5th Most fours in career (240)', '10th Fastest to 2000 runs (89)', '7th Outstanding bowling analyses in an innings (2/3)', '2nd Most wickets taken caught and bowled (6)', '7th Most consecutive matches for a team (136)']</t>
  </si>
  <si>
    <t>['27th Most runs in a match on the losing side (221)', '21st Hundreds in consecutive matches (3)', '25th Highest partnership for the second wicket (287)']</t>
  </si>
  <si>
    <t>['50th Most runs in career (6614)', '30th Most runs in a calendar year (1301)', '41st Most hundreds in a career (11)', '3rd Most hundreds in a series (3)', '11th Most hundreds in a calendar year (5)', '39th Most hundreds against one team (4)', '50th Oldest player to score a hundred (35y 25d)', '18th Most ducks in career (19)', '34th Most sixes in career (110)', '38th Most fours in career (664)', '5th Unusual dismissals (obstructing the)', '44th Fastest to 6000 runs (196)', '45th Most balls bowled in career (7733)', '18th Most wickets taken lbw (41)', '44th Most catches in career (85)', '23rd Highest partnership for the first wicket (228*)', '25th Most consecutive matches for a team (88)', '36th Most player-of-the-match awards (19)', '24th Most player-of-the-series awards (4)', '34th Longest careers (16y 93d)', '20th Oldest captains on captaincy debut (36y 90d)']</t>
  </si>
  <si>
    <t>['4th Most runs in career (2388)', '33rd Most runs in a calendar year (415)', '7th Most runs in an innings (by batting position) (99*)', '9th Most runs in a match on the losing side (99*)', '18th Most runs on a single ground (335)', '28th Most runs in an innings by a captain (86)', '10th Most fifties in career (14)', '3rd Fifties in consecutive innings (3)', '16th Most innings before first duck (25)', '42nd Most consecutive innings without a duck (32)', '10th Most ducks in career (7)', '1st Most consecutive ducks (3)', '20th Most sixes in career (71)', '5th Most fours in career (240)', '19th Highest percentage of runs in a completed innings (60.73)', '28th Fastest to 1000 runs (41)', '10th Fastest to 2000 runs (89)', '27th Most wickets in career (55)', '7th Outstanding bowling analyses in an innings (2/3)', '22nd Most wickets on a single ground (14)', '20th Best figures in a innings by a captain (3)', '17th Best career economy rate (6.55)', '14th Best strike rate in an innings (3.5)', '16th Most balls bowled in career (1159)', '22nd Most runs conceded in career (1267)', '17th Bowler/batters combinations (3)', '45th Bowler/fielder combinations (6)', '27th Most wickets taken bowled (13)', '2nd Most wickets taken caught and bowled (6)', '39th Most wickets taken caught by a fielder (27)', '14th Most wickets taken lbw (7)', '11th Most wickets taken stumped (7)', '34th Most catches in career (28)', '36th Highest partnership for the first wicket (124)', '35th Highest partnership for the third wicket (102)', '14th Highest partnership for the fourth wicket (106)', '3rd Most matches in career (106)', '15th Most consecutive matches for a team (43)', '4th Most player-of-the-match awards (10)', '3rd Most player-of-the-series awards (4)', '3rd Longest careers (14y 240d)', '16th Most matches as captain (29)', '5th Most consecutive matches as captain of a team (29)', '3rd Winning all tosses in a series (3)']</t>
  </si>
  <si>
    <t>['5th Best figures in a match on debut (11)', '10th Youngest player to take ten-wickets-in-a-match (20y 118d)']</t>
  </si>
  <si>
    <t>['9th Best figures in a innings on debut (7)', '5th Best figures in a match on debut (11)', '44th Youngest player to take five-wickets-in-an-innings (20y 118d)', '10th Youngest player to take ten-wickets-in-a-match (20y 118d)']</t>
  </si>
  <si>
    <t>['42nd Most consecutive matches missed for a team between appearances (128)']</t>
  </si>
  <si>
    <t>['34th Youngest players (17y 155d)']</t>
  </si>
  <si>
    <t>['44th Worst career bowling average (without qualification) (70.00)']</t>
  </si>
  <si>
    <t>['32nd Highest partnership for the tenth wicket (11)']</t>
  </si>
  <si>
    <t>['41st Best figures in an innings (6/27)', '36th Most wickets in a calendar year (45)', '46th Best career strike rate (31.5)', '21st Worst economy rate in an innings (11.50)', '42nd Most runs conceded in an innings (92)', '32nd Fastest to 50 wickets (29)', '29th Fastest to 100 wickets (65)']</t>
  </si>
  <si>
    <t>['16th Highest partnership for the third wicket (219)']</t>
  </si>
  <si>
    <t>['30th Most matches as a match referee (5)']</t>
  </si>
  <si>
    <t>['9th Youngest players (16y 279d)', '2nd Youngest player to take five-wickets-in-an-innings (16y 307d)']</t>
  </si>
  <si>
    <t>['2nd Youngest player to take five-wickets-in-an-innings (16y 307d)', '9th Youngest players (16y 279d)']</t>
  </si>
  <si>
    <t>[' Carrying bat through a completed innings (124*)', ' Opening the batting and bowling in the same match ']</t>
  </si>
  <si>
    <t>['1st Most catches in an innings (4)', '1st Most consecutive ducks (3)']</t>
  </si>
  <si>
    <t>['37th Most runs in a series (521)', '14th Most runs in a career without a hundred (1318)', '43rd Fewest ducks in career (19.33)', '27th Highest percentage of runs in a completed innings (53.65)', '1st Most catches in an innings (4)', '3rd Most catches in a series (14)']</t>
  </si>
  <si>
    <t>['17th Most consecutive innings without a duck (38)', '1st Most consecutive ducks (3)', '45th Highest partnership for the seventh wicket (30*)']</t>
  </si>
  <si>
    <t>['15th Best figures in a innings when on the losing side (4)', '16th Worst economy rate in an innings (4.40)', '14th Best figures in a innings on debut (4)']</t>
  </si>
  <si>
    <t>['10th Most ducks in career (11)', '3rd Worst economy rate in an innings (11.14)', '10th Most wickets taken caught and bowled (8)', ' 250 runs and 10 wickets in a series ', '4th Highest partnership for the ninth wicket (60*)', '3rd Most runs in an innings (by batting position) (24*)', '10th Most consecutive innings without a duck (49)', '3rd Most wickets on a single ground (13)', '1st Most consecutive four-wickets-in-an-innings (2)', '5th Most balls bowled in career (2017)', '5th Most runs conceded in career (1817)', '1st Most wickets taken stumped (18)']</t>
  </si>
  <si>
    <t>['15th Most runs in an innings (by batting position) (87)', '29th Most runs in a career without a hundred (1051)', '10th Most ducks in career (11)', '46th Most wickets in career (71)', '49th Worst career economy rate (4.05)', '3rd Worst economy rate in an innings (11.14)', '36th Most balls bowled in career (3117)', '32nd Most runs conceded in career (2109)', '17th Most runs conceded in an innings (78)', '33rd Bowler/fielder combinations (11)', '49th Most wickets taken caught (39)', '10th Most wickets taken caught and bowled (8)', '36th Most wickets taken caught by a fielder (36)', '16th Most wickets taken stumped (11)', '4th Highest partnership for the sixth wicket (111)', '4th Highest partnership for the ninth wicket (60*)']</t>
  </si>
  <si>
    <t>['29th Most runs in career (1152)', '3rd Most runs in an innings (by batting position) (24*)', '12th Most runs in a match on the losing side (75)', '26th Most fifties in career (4)', '10th Most consecutive innings without a duck (49)', '43rd Fewest ducks in career (15.5)', '16th Most ducks in career (6)', '5th Most wickets in career (99)', '39th Best figures in an innings (5/21)', '15th Most wickets in a calendar year (22)', '10th Outstanding bowling analyses in an innings (4/5)', '3rd Most wickets on a single ground (13)', '31st Best career bowling average (18.35)', '20th Best career economy rate (5.40)', '39th Best career strike rate (20.3)', '13th Best strike rate in an innings (3.0)', '13th Most four-wickets-in-an-innings in a career (2)', '1st Most consecutive four-wickets-in-an-innings (2)', '5th Most balls bowled in career (2017)', '5th Most runs conceded in career (1817)', '6th Bowler/Batters combinations (5)', '5th Bowler/fielder combinations (12)', '15th Most wickets taken bowled (19)', '6th Most wickets taken caught (56)', '2nd Most wickets taken caught and bowled (7)', '6th Most wickets taken caught by a fielder (50)', '19th Most wickets taken caught by a wicketkeeper (6)', '36th Most wickets taken lbw (6)', '1st Most wickets taken stumped (18)', '15th Most catches in career (32)', '22nd Highest partnership for the fourth wicket (77)', '16th Highest partnership for the fifth wicket (67)', '45th Highest partnership for the ninth wicket (15)', '15th Most matches in career (105)', '16th Most consecutive matches for a team (49)', '15th Most maidens in career (8)', '12th Most maidens in an innings (2)']</t>
  </si>
  <si>
    <t>['8th Youngest players (16y 248d)', '6th Outstanding bowling analyses in an innings (3/4)', '1st Youngest player to take five-wickets-in-an-innings (16y 303d)']</t>
  </si>
  <si>
    <t>['6th Outstanding bowling analyses in an innings (3/4)', '1st Youngest player to take five-wickets-in-an-innings (16y 303d)', '25th Most wickets taken stumped (10)', '8th Youngest players (16y 248d)']</t>
  </si>
  <si>
    <t>['21st Oldest living players (80y 18d)']</t>
  </si>
  <si>
    <t>['49th Most fifties in career (10)', '27th Most consecutive innings without a duck (37)', '49th Most catches in career (27)', '4th Most catches in an innings (3)', '26th Most catches in a series (7)', '30th Highest partnership for the fourth wicket (109)', '36th Highest partnership for the sixth wicket (70)']</t>
  </si>
  <si>
    <t>['38th Most runs in career (972)', '34th Most runs in an innings (by batting position) (55)', '34th Most fifties in career (3)', '17th Most consecutive innings without a duck (38)', '40th Fewest ducks in career (16.25)', '36th Most catches in career (22)', '3rd Most catches in an innings (3)', '37th Highest partnership for the third wicket (82)', '38th Highest partnership for the fifth wicket (55)', '42nd Highest partnership for the sixth wicket (40)']</t>
  </si>
  <si>
    <t>['16th Fastest to 1000 runs (25)', '2nd Most catches by a substitute in an innings (3)']</t>
  </si>
  <si>
    <t>['4th Most ducks in a series (4)']</t>
  </si>
  <si>
    <t>['4th Most ducks in a series (4)', '30th Most wickets in a series (20)', '11th Best figures in a innings when on the losing side (4)', '38th Worst career economy rate (4.15)', '15th Best figures in a innings on debut (3)', '13th Most runs conceded in an innings (82)', '26th Most catches in a series (7)']</t>
  </si>
  <si>
    <t>['42nd Best career economy rate (5.72)']</t>
  </si>
  <si>
    <t>['2nd Outstanding bowling analyses in an innings (4/5)', '9th Best economy rate in an innings (0.41)']</t>
  </si>
  <si>
    <t>['2nd Outstanding bowling analyses in an innings (4/5)', '24th Best figures in a innings when on the losing side (7)', '9th Best economy rate in an innings (0.41)']</t>
  </si>
  <si>
    <t>['5th Most ducks in career (13)', '3rd Best figures in a innings when on the losing side (5)', ' Opening the batting and bowling in the same match ', '5th Most ducks in career (9)', '4th Worst career strike rate (32.0)']</t>
  </si>
  <si>
    <t>['5th Most ducks in career (13)', '3rd Best figures in a innings when on the losing side (5)', '33rd Bowler/fielder combinations (11)', '19th Most wickets taken caught by a wicketkeeper (12)']</t>
  </si>
  <si>
    <t>['5th Most ducks in career (9)', '32nd Best career economy rate (5.54)', '9th Worst career bowling average (29.59)', '4th Worst career strike rate (32.0)']</t>
  </si>
  <si>
    <t>['5th Highest partnership for the third wicket (397)']</t>
  </si>
  <si>
    <t>['31st Longest individual innings (by minutes) (685)', '18th Highest partnerships for any wicket (397)', '5th Highest partnership for the third wicket (397)']</t>
  </si>
  <si>
    <t>['36th Best career bowling average (without qualification) (11.50)']</t>
  </si>
  <si>
    <t>['9th Most byes conceded in an innings (10)']</t>
  </si>
  <si>
    <t>['21st Most catches in an innings (3)', '9th Most byes conceded in an innings (10)']</t>
  </si>
  <si>
    <t>['25th Most stumpings in career (8)']</t>
  </si>
  <si>
    <t>['23rd Youngest players (15y 308d)']</t>
  </si>
  <si>
    <t>['13th Worst career bowling average (without qualification) (95.00)']</t>
  </si>
  <si>
    <t>['1st Dismissed for 99 (and 199, 299 etc) (99)', '2nd Unusual dismissals (obstructing the)']</t>
  </si>
  <si>
    <t>['33rd Most runs on a single ground (1203)', '40th Most runs in debut match (75)', '1st Dismissed for 99 (and 199, 299 etc) (99)', '45th Most ducks in career (15)', '2nd Unusual dismissals (obstructing the)', '39th Highest partnership for the first wicket (202)', '27th Highest partnership for the seventh wicket (108)']</t>
  </si>
  <si>
    <t>['5th Most dismissals in an innings (6)', '5th Most catches in an innings (6)', ' Pair by a captain ', '9th Most dismissals in career (220)', '10th Most catches in career (182)', '9th Most stumpings in career (38)']</t>
  </si>
  <si>
    <t>['43rd Most runs in an innings by a wicketkeeper (150)', '16th Captains who have kept wicket (6)', '37th Most dismissals in career (130)', '5th Most dismissals in an innings (6)', '8th Most dismissals in a match (9)', '36th Most catches in career (119)', '5th Most catches in an innings (6)', '8th Most catches in a match (9)', '43rd Most stumpings in career (11)']</t>
  </si>
  <si>
    <t>['33rd Most runs in a career without a hundred (1709)', '12th Captains who have kept wicket (25)', '9th Most dismissals in career (220)', '16th Most dismissals in an innings (5)', '10th Most catches in career (182)', '11th Most catches in an innings (5)', '9th Most stumpings in career (38)']</t>
  </si>
  <si>
    <t>['42nd Best career economy rate (3.91)', '11th Worst career strike rate (70.7)']</t>
  </si>
  <si>
    <t>['37th Youngest player to score a hundred (20y 163d)', '42nd Most innings before first duck (32)', '13th Fewest ducks in career (39)', '20th Highest percentage of runs in a completed innings (59.64)', '26th Fastest to 1000 runs (20)']</t>
  </si>
  <si>
    <t>['26th Youngest player to take ten-wickets-in-a-match (22y 101d)']</t>
  </si>
  <si>
    <t>['22nd Most consecutive matches missed for a team between appearances (154)']</t>
  </si>
  <si>
    <t>['1st Best figures in a match by a captain (13)', '10th Best strike rate in an innings (13.7)', '2nd Most consecutive five-wickets-in-an-innings (2)', '6th Most balls bowled in an innings (330)', '1st Most runs conceded in a match (226)', '2nd Most wickets on a single ground (23)', '4th Worst economy rate in an innings (11.10)', '1st Most consecutive four-wickets-in-an-innings (3)', '2nd Most runs conceded in an innings (111)', '6th Most wickets taken stumped (16)']</t>
  </si>
  <si>
    <t>['10th Best figures in an innings (7/59)', '1st Best figures in a match (13)', '7th Most wickets on a single ground (13)', '1st Best figures in a innings by a captain (7)', '1st Best figures in a match by a captain (13)', '9th Best figures in a match when on the losing side (6)', '10th Best strike rate in an innings (13.7)', '15th Best figures in a match on debut (6)', '11th Most five-wickets-in-an-innings in a career (2)', '2nd Most ten-wickets-in-a-match in a career (1)', '2nd Most consecutive five-wickets-in-an-innings (2)', '7th Oldest player to take five-wickets-in-an-innings (34y 363d)', '3rd Oldest player to take ten-wickets-in-a-match (34y 363d)', '4th Oldest player to take a maiden five-wickets-in-an-innings (34y 363d)', '6th Most balls bowled in an innings (330)', '15th Most balls bowled in a match (426)', '1st Most runs conceded in an innings (167)', '1st Most runs conceded in a match (226)', '15th Oldest captains (35y 0d)']</t>
  </si>
  <si>
    <t>['25th Most wickets in a series (22)', '40th Most wickets in a calendar year (22)', '2nd Most wickets on a single ground (23)', '3rd Best figures in a innings by a captain (5)', '11th Best figures in a innings when on the losing side (4)', '19th Best career strike rate (32.9)', '23rd Worst career economy rate (4.36)', '4th Worst economy rate in an innings (11.10)', '7th Most five-wickets-in-an-innings in a career (2)', '15th Most four-wickets-in-an-innings in a career (5)', '1st Most consecutive four-wickets-in-an-innings (3)', '6th Oldest player to take five-wickets-in-an-innings (32y 27d)', '3rd Oldest player to take a maiden five-wickets-in-an-innings (32y 24d)', '2nd Most runs conceded in an innings (111)', '31st Bowler/Batters combinations (5)', '20th Bowler/fielder combinations (13)', '39th Most wickets taken bowled (18)', '6th Most wickets taken stumped (16)', '24th Highest partnership for the eighth wicket (49)', '40th Most consecutive matches for a team (40)', '20th Most matches as captain (39)', '16th Most consecutive matches as captain of a team (29)', '21st Oldest captains (35y 15d)']</t>
  </si>
  <si>
    <t>['2nd Most runs in an innings (by batting position) (41)', '3rd Most wickets on a single ground (22)', '1st Most maidens in an innings (2)', '3rd Most wickets taken caught by a wicketkeeper (11)', '2nd Highest partnership for the ninth wicket (63)']</t>
  </si>
  <si>
    <t>['2nd Most runs in an innings (by batting position) (41)', '30th Most wickets in career (54)', '3rd Most wickets on a single ground (22)', '11th Most balls bowled in career (1214)', '17th Most runs conceded in career (1454)', '17th Bowler/batters combinations (3)', '12th Bowler/fielder combinations (8)', '20th Most wickets taken bowled (14)', '23rd Most wickets taken caught (37)', '43rd Most wickets taken caught by a fielder (26)', '3rd Most wickets taken caught by a wicketkeeper (11)', '2nd Highest partnership for the ninth wicket (63)', '19th Most maidens in career (3)', '1st Most maidens in an innings (2)']</t>
  </si>
  <si>
    <t>['17th No ducks in career (25)']</t>
  </si>
  <si>
    <t>['2nd Most wickets taken hit wicket (1)', '4th Worst career economy rate (4.87)', '9th Most runs conceded in an innings (87)', ' Opening the batting and bowling in the same match ']</t>
  </si>
  <si>
    <t>['35th Worst economy rate in an innings (4.00)', '2nd Most wickets taken hit wicket (1)']</t>
  </si>
  <si>
    <t>['7th Worst career bowling average (45.30)', '4th Worst career economy rate (4.87)', '30th Worst career strike rate (55.7)', '38th Worst economy rate in an innings (8.70)', '9th Most runs conceded in an innings (87)']</t>
  </si>
  <si>
    <t>[' Hundred and a ninety in a match ', ' Hundred and a duck in a match ', ' Carrying bat through a completed innings (188*)', '6th Most runs on a single ground (2179)', '2nd Hundreds in consecutive innings (3)', '9th Most fours in an innings (22)', ' Carrying bat through a completed innings (103*)', '10th Fastest to 8000 runs (218)', '8th Highest partnership for the third wicket (230)', '6th Hundreds in consecutive innings (3)']</t>
  </si>
  <si>
    <t>['28th Hundred in last match (101)', '32nd Fifties in consecutive innings (5)', '22nd Highest percentage of runs in a completed innings (59.49)', '41st Fastest to 3000 runs (68)', '36th Fastest to 4000 runs (91)', '39th Highest partnership for the second wicket (262)', '27th Highest partnership for the ninth wicket (120)']</t>
  </si>
  <si>
    <t>['21st Most runs in career (8824)', '10th Most runs in an innings (194)', '8th Most runs in an innings (progressive record holder) (194)', '6th Most runs in a calendar year (1595)', '9th Most runs in an innings (by batting position) (194)', '36th Most runs in a match on the losing side (140)', '6th Most runs on a single ground (2179)', '14th Most hundreds in a career (20)', '3rd Most hundreds in a series (3)', '29th Most hundreds in a calendar year (4)', '7th Most hundreds against one team (7)', '2nd Hundreds in consecutive innings (3)', '43rd Youngest player to score a hundred (21y 164d)', '34th Most nineties in career (4)', '30th Most fifties in career (63)', '44th Fifties in consecutive innings (4)', '45th Most ducks in career (15)', '40th Most sixes in career (97)', '15th Most fours in career (938)', '9th Most fours in an innings (22)', '17th Most runs from fours and sixes in an innings (118)', '16th Highest percentage of runs in a completed innings (59.32)', '33rd Fastest to 4000 runs (113)', '26th Fastest to 5000 runs (138)', '13th Fastest to 6000 runs (162)', '14th Fastest to 7000 runs (194)', '10th Fastest to 8000 runs (218)', '50th Highest partnerships for any wicket (230)', '36th Highest partnership for the first wicket (204)', '8th Highest partnership for the third wicket (230)', '45th Most matches in career (247)', '12th Most player-of-the-match awards (28)', '36th Winning all tosses in a series (3)']</t>
  </si>
  <si>
    <t>['29th Longest intervals between appearances (6y 6d)', '23rd Most consecutive matches missed for a team between appearances (40)']</t>
  </si>
  <si>
    <t>['15th Most runs in an innings (by batting position) (15*)']</t>
  </si>
  <si>
    <t>['7th Most consecutive matches missed for a team between appearances (66)']</t>
  </si>
  <si>
    <t>['14th Best figures in a innings when on the losing side (5)', '36th Oldest player to take a maiden five-wickets-in-an-innings (30y 346d)']</t>
  </si>
  <si>
    <t>['7th Most consecutive matches missed for a team between appearances (66)', '21st Longest intervals between appearances (5y 359d)']</t>
  </si>
  <si>
    <t>['10th Most stumpings in a series (7)', '6th Most dismissals in an innings (4)', '5th Most catches in an innings (3)', '7th Most stumpings in career (27)']</t>
  </si>
  <si>
    <t>['23rd Most dismissals in career (34)', '17th Most dismissals in a series (14)', '21st Most catches in career (25)', '36th Most catches in a series (7)', '29th Most stumpings in career (9)', '10th Most stumpings in a series (7)']</t>
  </si>
  <si>
    <t>['19th Most runs in an innings (by batting position) (16*)', '9th Most dismissals in career (44)', '6th Most dismissals in an innings (4)', '10th Most catches in career (17)', '5th Most catches in an innings (3)', '7th Most stumpings in career (27)', '9th Most stumpings in an innings (3)']</t>
  </si>
  <si>
    <t>['34th Worst career strike rate (115.6)']</t>
  </si>
  <si>
    <t>[' Hundred on debut (100*)', '6th Youngest player to score a hundred (18y 323d)', ' Two unbeaten fifties in a match ', ' 5000 runs and 50 fielding dismissals ', '2nd Most catches in an innings (4)', ' 1000 runs, 50 wickets and 50 catches ', ' 5000 runs and 50 fielding dismissals ']</t>
  </si>
  <si>
    <t>['29th Most runs in an series by a captain (557)', '30th Most runs in an innings by a captain (237)', '6th Youngest player to score a hundred (18y 323d)', '40th Dismissed for 99 (and 199, 299 etc) (99)', '27th Highest partnership for the fifth wicket (258)', '41st Highest partnership for the sixth wicket (207)']</t>
  </si>
  <si>
    <t>['41st Most runs in career (7170)', '14th Most runs on a single ground (1714)', '47th Most fifties in career (52)', '44th Fifties in consecutive innings (4)', '18th Most ducks in career (19)', '40th Fastest to 7000 runs (246)', '25th Most wickets taken caught and bowled (11)', '26th Most wickets taken stumped (13)', '2nd Most catches in an innings (4)', '34th Highest partnership for the fourth wicket (172)', '32nd Highest partnership for the eighth wicket (81*)', '28th Most matches in career (283)', '22nd Longest careers (17y 147d)', '45th Most consecutive matches as captain of a team (33)']</t>
  </si>
  <si>
    <t>['4th Most dismissals in a match (10)', '4th Most catches in a match (10)', '6th Captains who have kept wicket (13)', '4th Most stumpings in an innings (3)', ' Pair by a captain ', ' 2000 runs and 100 wicketkeeping dismissals ', '1st Most dismissals in an innings (6)', '1st Most catches in an innings (6)', '2nd Captains who have kept wicket (50)', '3rd Fewest ducks in career (91)', ' 2000 runs and 100 wicketkeeping dismissals ', '7th Most dismissals in career (46)', '2nd Captains who have kept wicket (37)', '4th Most catches in career (36)', '9th Most stumpings in career (10)', '8th Most runs in an innings by a wicketkeeper (89*)', '9th Most stumpings in career (55)']</t>
  </si>
  <si>
    <t>['32nd Fifties in consecutive innings (5)', '15th Most innings before first duck (42)', '6th Captains who have kept wicket (13)', '26th Most dismissals in career (167)', '4th Most dismissals in a match (10)', '29th Most catches in career (146)', '4th Most catches in a match (10)', '17th Most stumpings in career (21)', '4th Most stumpings in an innings (3)', '12th Most stumpings in a match (3)', '18th Most stumpings in a series (5)', '22nd Highest innings total without conceding a bye (589/8d)']</t>
  </si>
  <si>
    <t>['47th Most runs in a series by a wicketkeeper (300)', '21st Most consecutive innings without a duck (78*)', '3rd Fewest ducks in career (91)', '39th Highest partnership for the seventh wicket (103)', '49th Highest partnership for the eighth wicket (75*)', '13th Highest partnership for the ninth wicket (90)', '41st Most consecutive matches as captain of a team (34)', '2nd Captains who have kept wicket (50)', '23rd Most dismissals in career (143)', '1st Most dismissals in an innings (6)', '46th Most dismissals in a series (14)', '22nd Most catches in career (119)', '1st Most catches in an innings (6)', '38th Most catches in a series (13)', '20th Most stumpings in career (24)', '21st Most stumpings in a series (4)']</t>
  </si>
  <si>
    <t>['14th Most runs in an innings (by batting position) (89*)', '20th Most runs in an innings by a captain (89*)', '8th Most runs in an innings by a wicketkeeper (89*)', '25th Most innings before first duck (21)', '30th Fewest ducks in career (20.5)', '21st Longest individual innings (by balls) (64)', '29th Highest partnership for the fourth wicket (96)', '39th Highest partnership for the fifth wicket (70)', '14th Most consecutive matches for a team (44)', '38th Most consecutive matches missed for a team between appearances (39)', '11th Most matches as captain (37)', '2nd Captains who have kept wicket (37)', '40th Most consecutive matches as captain of a team (34)', '4th Most consecutive matches as captain of a team (33)', '7th Most dismissals in career (46)', '4th Most catches in career (36)', '13th Most catches in an innings (3)', '9th Most stumpings in career (10)', '32nd Most byes conceded in an innings (5)']</t>
  </si>
  <si>
    <t>['48th Best career bowling average (without qualification) (14.50)']</t>
  </si>
  <si>
    <t>['5th Most runs in an innings (by batting position) (90)', ' Opening the batting and bowling in the same match ']</t>
  </si>
  <si>
    <t>['5th Most runs in an innings (by batting position) (90)', '43rd Most runs in a career without a hundred (1045)', '12th Best figures in an innings (9/86)']</t>
  </si>
  <si>
    <t>['30th Best career bowling average (23.22)', '20th Best career economy rate (3.63)', '15th Best figures in a innings on debut (4)', '24th Oldest captains on captaincy debut (35y 116d)']</t>
  </si>
  <si>
    <t>['1st Youngest players (12y 178d)', '7th Most innings before first duck (31)', '1st Outstanding bowling analyses in an innings (7/4)', '1st Youngest player to take five-wickets-in-an-innings (15y 168d)', ' Opening the batting and bowling in the same match ']</t>
  </si>
  <si>
    <t>['1st Youngest players (12y 178d)']</t>
  </si>
  <si>
    <t>['49th Most runs in a career without a hundred (863)', '7th Most innings before first duck (31)', '48th Most consecutive innings without a duck (31)', '17th Fewest ducks in career (29.5)', '1st Best figures in an innings (7/4)', '1st Outstanding bowling analyses in an innings (7/4)', '45th Best economy rate in an innings (0.50)', '16th Best strike rate in an innings (6.8)', '37th Worst career strike rate (53.4)', '33rd Worst economy rate in an innings (8.88)', '1st Youngest player to take five-wickets-in-an-innings (15y 168d)', '50th Most balls bowled in career (2724)', '16th Most runs conceded in an innings (80)', '44th Bowler/fielder combinations (10)', '13th Most consecutive matches for a team (60)', '1st Youngest players (12y 171d)']</t>
  </si>
  <si>
    <t>['28th Longest lived players (65y 227d)']</t>
  </si>
  <si>
    <t>['4th Most consecutive ducks (4)', '37th Best career strike rate (50.5)', '33rd Best figures in a match on debut (8)', '20th Fastest to 50 wickets (10)']</t>
  </si>
  <si>
    <t>['5th Outstanding bowling analyses in an innings (6/11)', '2nd Most runs in an innings (by batting position) (43)', '8th Outstanding bowling analyses in an innings (6/16)', '9th Fastest to 200 wickets (130)']</t>
  </si>
  <si>
    <t>['23rd Highest strike rate in an innings (200.00)', '5th Outstanding bowling analyses in an innings (6/11)', '17th Best career strike rate (45.7)', '33rd Best strike rate in an innings (8.3)', '32nd Most wickets taken bowled (64)']</t>
  </si>
  <si>
    <t>['2nd Most runs in an innings (by batting position) (43)', '43rd Highest strike rate in an innings (268.75)', '27th Most wickets in career (247)', '20th Best figures in an innings (6/16)', '8th Outstanding bowling analyses in an innings (6/16)', '30th Most wickets on a single ground (39)', '42nd Best career strike rate (31.4)', '39th Worst economy rate in an innings (11.00)', '15th Most five-wickets-in-an-innings in a career (4)', '25th Most four-wickets-in-an-innings in a career (10)', '44th Most balls bowled in career (7764)', '41st Most runs conceded in career (6169)', '11th Most wickets taken bowled (86)', '37th Most wickets taken caught (136)', '36th Most wickets taken caught by a fielder (97)', '38th Most wickets taken lbw (25)', '32nd Fastest to 50 wickets (29)', '15th Fastest to 100 wickets (60)', '9th Fastest to 150 wickets (91)', '9th Fastest to 200 wickets (130)']</t>
  </si>
  <si>
    <t>['19th Most maidens in career (3)']</t>
  </si>
  <si>
    <t>['10th Most ducks in career (11)', '10th Most wickets taken stumped (13)', '5th Worst economy rate in an innings (18.50)', '2nd Bowler/fielder combinations (14)']</t>
  </si>
  <si>
    <t>['10th Most ducks in career (11)', '34th Most wickets in career (78)', '45th Most wickets on a single ground (11)', '47th Best career strike rate (36.3)', '38th Most four-wickets-in-an-innings in a career (3)', '34th Youngest player to take five-wickets-in-an-innings (23y 257d)', '46th Most balls bowled in career (2838)', '42nd Most runs conceded in career (1777)', '30th Most runs conceded in an innings (74)', '13th Bowler/fielder combinations (16)', '36th Most wickets taken caught (44)', '36th Most wickets taken caught by a fielder (36)', '10th Most wickets taken stumped (13)']</t>
  </si>
  <si>
    <t>['27th Most wickets in career (57)', '30th Outstanding bowling analyses in an innings (4/9)', '26th Best career bowling average (17.82)', '21st Best career strike rate (18.3)', '5th Worst economy rate in an innings (18.50)', '36th Most balls bowled in career (1048)', '36th Most runs conceded in career (1016)', '2nd Bowler/fielder combinations (14)', '26th Most wickets taken caught (33)', '22nd Most wickets taken caught by a fielder (31)', '36th Most wickets taken lbw (6)', '4th Most wickets taken stumped (14)']</t>
  </si>
  <si>
    <t>[' Hundred and a duck in a match ', '5th Longest careers (19y 245d)', '6th Most consecutive ducks (3)', ' A hundred and four wickets in an innings ', ' 1000 runs, 50 wickets and 50 catches ', ' 5000 runs and 50 fielding dismissals ', '1st Most matches in career (116)', '6th Most runs in career (2335)', '1st Fewest ducks in career (106)', '3rd Most catches in career (50)', '1st Highest partnership for the fifth wicket (119*)']</t>
  </si>
  <si>
    <t>['32nd Highest partnership for the fifth wicket (248)', '42nd Youngest captains (25y 242d)']</t>
  </si>
  <si>
    <t>['36th Most runs in career (7534)', '45th Most runs on a single ground (1030)', '39th Most hundreds against one team (4)', '13th Youngest player to score a hundred (20y 14d)', '46th Oldest player to score a hundred (35y 69d)', '34th Most nineties in career (4)', '42nd Most fifties in career (53)', '41st Most consecutive innings without a duck (65)', '45th Most ducks in career (15)', '6th Most ducks in a series (3)', '6th Most consecutive ducks (3)', '33rd Most sixes in career (113)', '44th Most fours in career (603)', '48th Fastest to 6000 runs (205)', '37th Fastest to 7000 runs (238)', '43rd Most balls bowled in career (7958)', '40th Most runs conceded in career (6192)', '35th Most wickets taken caught and bowled (10)', '21st Most wickets taken stumped (16)', '33rd Most catches in career (98)', '12th Highest partnership for the third wicket (223)', '13th Highest partnership for the fourth wicket (206)', '20th Highest partnership for the seventh wicket (111)', '32nd Highest partnership for the ninth wicket (73)', '26th Highest partnership for the tenth wicket (55)', '26th Most matches in career (287)', '24th Most consecutive matches for a team (91)', '36th Most player-of-the-match awards (19)', '17th Most player-of-the-series awards (5)', '42nd Youngest players (17y 255d)', '5th Longest careers (19y 245d)', '48th Youngest captains (25y 106d)', '38th Oldest captains (37y 54d)']</t>
  </si>
  <si>
    <t>['6th Most runs in career (2335)', '37th Most runs in an innings (by batting position) (75)', '46th Most runs on a single ground (270)', '39th Highest career batting average (31.13)', '32nd Most fifties in career (8)', '5th Most innings before first duck (40)', '4th Most consecutive innings without a duck (65*)', '1st Fewest ducks in career (106)', '30th Most sixes in career (61)', '12th Most fours in career (192)', '47th Best career economy rate (7.08)', '45th Bowler/fielder combinations (6)', '13th Most wickets taken stumped (6)', '3rd Most catches in career (50)', '15th Most catches in an innings (3)', '5th Highest partnerships by wicket (5th)', '1st Highest partnership for the fifth wicket (119*)', '42nd Highest partnership for the sixth wicket (63)', '14th Highest partnership for the eighth wicket (50*)', '1st Most matches in career (116)', '40th Most consecutive matches for a team (30)', '28th Most player-of-the-match awards (5)', '4th Most player-of-the-series awards (3)', '6th Longest careers (14y 4d)', '34th Most matches as captain (20)', '39th Youngest captains (25y 213d)', '40th Oldest captains (37y 5d)']</t>
  </si>
  <si>
    <t>['4th Best career strike rate (25.1)', '1st Most consecutive four-wickets-in-an-innings (3)', '7th Fastest to 50 wickets (25)']</t>
  </si>
  <si>
    <t>['25th Youngest player to take five-wickets-in-an-innings (19y 257d)']</t>
  </si>
  <si>
    <t>['24th Best career bowling average (22.90)', '4th Best career strike rate (25.1)', '43rd Most five-wickets-in-an-innings in a career (2)', '2nd Most consecutive five-wickets-in-an-innings (2)', '1st Most consecutive four-wickets-in-an-innings (3)', '8th Youngest player to take five-wickets-in-an-innings (19y 90d)', '7th Fastest to 50 wickets (25)', '45th Highest partnership for the tenth wicket (47)']</t>
  </si>
  <si>
    <t>['38th Worst career economy rate (7.93)']</t>
  </si>
  <si>
    <t>['5th Fastest to 150 wickets (29)', '3rd Most wickets in a calendar year (62)', '10th Oldest player to take a maiden five-wickets-in-an-innings (34y 122d)', '5th Most consecutive matches for a team (54)', '5th Most wickets on a single ground (19)', '10th Best career economy rate (6.36)', '4th Most four-wickets-in-an-innings in a career (4)', '6th Most balls bowled in career (1430)', '1st Most wickets taken stumped (19)', '9th Fastest to 50 wickets (37)', '6th Most wickets in a calendar year (111)', '4th Most wickets taken stumped (52)']</t>
  </si>
  <si>
    <t>['15th Best figures in a match when on the losing side (11)', '19th Most ten-wickets-in-a-match in a career (4)', '17th Oldest player to take ten-wickets-in-a-match (35y 324d)', '26th Most wickets taken lbw (59)', '16th Most wickets taken stumped (13)', '41st Fastest to 50 wickets (11)', '7th Fastest to 100 wickets (19)', '5th Fastest to 150 wickets (29)', '44th Most player-of-the-series awards (3)']</t>
  </si>
  <si>
    <t>['11th Most runs in an innings (by batting position) (33)', '49th Most wickets in career (184)', '3rd Most wickets in a calendar year (62)', '14th Best figures in a innings when on the losing side (5)', '23rd Best career bowling average (22.72)', '29th Best economy rate in an innings (0.85)', '43rd Most five-wickets-in-an-innings in a career (2)', '43rd Most four-wickets-in-an-innings in a career (8)', '14th Oldest player to take five-wickets-in-an-innings (35y 84d)', '10th Oldest player to take a maiden five-wickets-in-an-innings (34y 122d)', '25th Most wickets taken caught and bowled (11)', '26th Most wickets taken lbw (36)', '14th Most wickets taken stumped (20)', '45th Fastest to 100 wickets (69)', '11th Fastest to 150 wickets (93)']</t>
  </si>
  <si>
    <t>['12th Most runs in an innings (by batting position) (21*)', '6th Most wickets in career (85)', '11th Most wickets in a calendar year (25)', '5th Most wickets on a single ground (19)', '8th Best figures in a innings when on the losing side (4)', '12th Best career bowling average (17.83)', '10th Best career economy rate (6.36)', '32nd Best career strike rate (16.8)', '4th Most four-wickets-in-an-innings in a career (4)', '6th Most balls bowled in career (1430)', '14th Most runs conceded in career (1516)', '17th Bowler/batters combinations (3)', '2nd Bowler/fielder combinations (15)', '17th Most wickets taken bowled (16)', '14th Most wickets taken caught (41)', '10th Most wickets taken caught by a fielder (39)', '8th Most wickets taken lbw (9)', '1st Most wickets taken stumped (19)', '9th Fastest to 50 wickets (37)', '23rd Highest partnership for the tenth wicket (20*)', '46th Most matches in career (64)', '5th Most consecutive matches for a team (54)']</t>
  </si>
  <si>
    <t>['19th Most innings before first duck (40)', '50th Fastest to 1000 runs (22)']</t>
  </si>
  <si>
    <t>['22nd Youngest captains (22y 276d)', '17th Captains who have kept wicket (1)', '17th Most dismissals in an innings (4)']</t>
  </si>
  <si>
    <t>['4th Most consecutive ten-wickets-in-a-match (2)', '8th Most runs conceded in an innings (237)', '1st Most wickets in a calendar year (69)', '2nd Most consecutive five-wickets-in-an-innings (2)', '4th Most wickets taken stumped (41)', '1st Fastest to 250 wickets (138)', '5th Most consecutive five-wickets-in-an-innings (4)', '7th Most wickets taken caught and bowled (26)']</t>
  </si>
  <si>
    <t>['40th Best figures in a match when on the losing side (10)', '46th Most five-wickets-in-an-innings in a career (13)', '29th Most ten-wickets-in-a-match in a career (3)', '5th Most consecutive five-wickets-in-an-innings (4)', '4th Most consecutive ten-wickets-in-a-match (2)', '43rd Youngest player to take five-wickets-in-an-innings (20y 111d)', '25th Youngest player to take ten-wickets-in-a-match (22y 30d)', '30th Most balls bowled in an innings (444)', '26th Most balls bowled in a match (644)', '8th Most runs conceded in an innings (237)', '12th Most runs conceded in a match (286)', '42nd Most wickets taken caught by a fielder (111)', '37th Fastest to 100 wickets (23)', '27th Fastest to 150 wickets (35)', '21st Fastest to 200 wickets (46)']</t>
  </si>
  <si>
    <t>['15th Most wickets in career (288)', '1st Most wickets in a calendar year (69)', '9th Most wickets on a single ground (61)', '14th Best figures in a innings when on the losing side (5)', '14th Best career bowling average (21.78)', '26th Best career strike rate (30.4)', '8th Most five-wickets-in-an-innings in a career (6)', '7th Most four-wickets-in-an-innings in a career (17)', '2nd Most consecutive five-wickets-in-an-innings (2)', '13th Most consecutive four-wickets-in-an-innings (2)', '13th Youngest player to take five-wickets-in-an-innings (19y 341d)', '30th Most balls bowled in career (8770)', '37th Most runs conceded in career (6275)', '7th Bowler/fielder combinations (47)', '28th Most wickets taken bowled (55)', '22nd Most wickets taken caught (169)', '4th Most wickets taken caught and bowled (20)', '9th Most wickets taken caught by a fielder (149)', '4th Most wickets taken stumped (41)', '24th Fastest to 50 wickets (28)', '3rd Fastest to 100 wickets (53)', '2nd Fastest to 150 wickets (78)', '1st Fastest to 200 wickets (104)', '1st Fastest to 250 wickets (138)', '28th Highest partnership for the tenth wicket (54)']</t>
  </si>
  <si>
    <t>['8th Most consecutive matches for a team (62)', '6th Most consecutive matches as captain of a team (44)', '8th Most runs in a career without a hundred (1630)', '1st Most wickets in a series (35)', '3rd Most consecutive four-wickets-in-an-innings (2)', '5th Most balls bowled in career (5942)', '4th Most runs conceded in career (3665)', '2nd Most wickets taken lbw (46)', '4th Most catches in an innings (3)', ' 250 runs and 10 wickets in a series ', '2nd Most consecutive matches for a team (73)', '4th Most matches as captain (65)', '6th Most ducks in career (8)', '5th Best figures in a innings when on the losing side (4)', '2nd Most four-wickets-in-an-innings in a career (4)', '1st Most balls bowled in career (2270)', '2nd Most runs conceded in career (2085)', '4th Most wickets taken stumped (14)', '5th Highest partnership for the ninth wicket (30)']</t>
  </si>
  <si>
    <t>['27th Most runs in an series by a captain (333)', '8th Most runs in a career without a hundred (1630)', '35th Most consecutive innings without a duck (34)', '40th Most ducks in career (8)', '5th Most wickets in career (151)', '1st Most wickets in a series (35)', '46th Most wickets in a calendar year (21)', '10th Most wickets on a single ground (16)', '3rd Best figures in a innings by a captain (5)', '11th Best figures in a innings when on the losing side (4)', '43rd Best strike rate in an innings (9.0)', '39th Worst economy rate in an innings (8.66)', '4th Most four-wickets-in-an-innings in a career (8)', '3rd Most consecutive four-wickets-in-an-innings (2)', '5th Most balls bowled in career (5942)', '4th Most runs conceded in career (3665)', '17th Most runs conceded in an innings (78)', '12th Bowler/Batters combinations (6)', '7th Most wickets taken bowled (39)', '16th Most wickets taken caught (61)', '31st Most wickets taken caught and bowled (5)', '12th Most wickets taken caught by a fielder (50)', '27th Most wickets taken caught by a wicketkeeper (11)', '2nd Most wickets taken lbw (46)', '13th Most catches in career (42)', '4th Most catches in an innings (3)', '26th Most catches in a series (7)', '24th Highest partnership for the sixth wicket (75*)', '19th Highest partnership for the seventh wicket (66)', '20th Most matches in career (120)', '8th Most consecutive matches for a team (62)', '41st Longest careers (13y 311d)', '6th Most matches as captain (72)', '6th Most consecutive matches as captain of a team (44)', '29th Youngest captains (23y 141d)']</t>
  </si>
  <si>
    <t>['49th Most runs in career (802)', '17th Most runs in an innings (by batting position) (17)', '6th Most ducks in career (8)', '11th Most wickets in career (89)', '27th Outstanding bowling analyses in an innings (1/2)', '6th Best figures in a innings by a captain (4)', '5th Best figures in a innings when on the losing side (4)', '30th Best career economy rate (5.51)', '41st Best economy rate in an innings (0.66)', '20th Worst career strike rate (25.5)', '2nd Most four-wickets-in-an-innings in a career (4)', '1st Most balls bowled in career (2270)', '2nd Most runs conceded in career (2085)', '34th Most runs conceded in an innings (46)', '18th Bowler/Batters combinations (4)', '16th Bowler/fielder combinations (10)', '11th Most wickets taken bowled (21)', '14th Most wickets taken caught (43)', '8th Most wickets taken caught and bowled (5)', '16th Most wickets taken caught by a fielder (36)', '12th Most wickets taken caught by a wicketkeeper (7)', '8th Most wickets taken lbw (11)', '4th Most wickets taken stumped (14)', '23rd Most catches in career (26)', '17th Highest partnership for the sixth wicket (53)', '6th Highest partnership for the eighth wicket (35)', '5th Highest partnership for the ninth wicket (30)', '14th Most matches in career (106)', '2nd Most consecutive matches for a team (73)', '4th Most matches as captain (65)', '50th Youngest captains (23y 140d)', '11th Most maidens in career (9)']</t>
  </si>
  <si>
    <t>['10th Youngest captains (22y 75d)', '2nd Most wickets in a calendar year (28)', '1st Bowler/batters combinations (4)']</t>
  </si>
  <si>
    <t>['32nd Most wickets in career (53)', '2nd Most wickets in a calendar year (28)', '17th Outstanding bowling analyses in an innings (3/7)', '34th Most balls bowled in career (987)', '30th Most runs conceded in career (1199)', '1st Bowler/batters combinations (4)', '12th Bowler/fielder combinations (8)', '48th Most wickets taken bowled (10)', '42nd Most wickets taken caught (32)', '33rd Most wickets taken caught by a fielder (28)', '24th Most wickets taken lbw (6)', '17th Most wickets taken stumped (5)', '14th Fastest to 50 wickets (41)', '15th Most catches in an innings (3)', '19th Highest partnership for the ninth wicket (36)', '17th Highest partnership for the tenth wicket (22*)', '34th Most consecutive matches for a team (32)', '19th Most player-of-the-match awards (6)', '10th Youngest captains (22y 75d)', '29th Winning all tosses in a series (3)']</t>
  </si>
  <si>
    <t>['9th Highest career strike rate (113.40)']</t>
  </si>
  <si>
    <t>['9th Highest career strike rate (113.40)', '15th Highest maiden hundred (152)', '31st Most sixes in an innings (9)', '17th Most runs from fours and sixes in an innings (118)']</t>
  </si>
  <si>
    <t>['36th No ducks in career (17)', '12th Most consecutive matches missed for a team between appearances (54)']</t>
  </si>
  <si>
    <t>['36th Most consecutive matches missed for a team between appearances (33)']</t>
  </si>
  <si>
    <t>['30th Most runs in an innings (by batting position) (15)', '36th Most wickets taken lbw (6)']</t>
  </si>
  <si>
    <t>['43rd Youngest players (18y 41d)']</t>
  </si>
  <si>
    <t>['47th Oldest living players (77y 43d)']</t>
  </si>
  <si>
    <t>['21st Hundreds in consecutive matches (3)', '18th Longest individual innings (by minutes) (720)', '39th Longest individual innings (by balls) (516)']</t>
  </si>
  <si>
    <t>['5th Hundreds in consecutive innings (3)', ' Hundred and a duck in a match ', '6th Hundreds in consecutive innings (3)']</t>
  </si>
  <si>
    <t>['5th Hundreds in consecutive innings (3)', '21st Hundreds in consecutive matches (3)', '23rd Highest partnership for the first wicket (278)']</t>
  </si>
  <si>
    <t>['12th Youngest player to take five-wickets-in-an-innings (18y 318d)', '25th Most consecutive matches missed for a team between appearances (65)']</t>
  </si>
  <si>
    <t>['27th Youngest player to score a hundred (20y 87d)', '46th Youngest captains (25y 287d)']</t>
  </si>
  <si>
    <t>['19th Most hundreds against one team (5)', '15th Youngest player to score a hundred (20y 37d)', '11th Fifties in consecutive innings (5)', '45th Most ducks in career (15)', '6th Most consecutive ducks (3)', '15th Fastest to 2000 runs (52)', '33rd Highest partnership for the second wicket (205)']</t>
  </si>
  <si>
    <t>['8th Youngest player to score a hundred (18y 333d)', ' Hundred and a duck in a match ', '7th Youngest player to take five-wickets-in-an-innings (18y 235d)', '4th Most player-of-the-match awards (32)', '6th Most runs in an innings (by batting position) (124)', '6th Highest career strike rate (117.00)', '1st Youngest player to score a hundred (16y 217d)', '2nd Most ducks in career (30)', '1st Most sixes in career (351)', '1st Outstanding bowling analyses in an innings (7/12)', '1st Most consecutive four-wickets-in-an-innings (3)', '3rd Most balls bowled in career (17670)', '1st Most runs conceded in career (13632)', '2nd Most wickets taken lbw (73)', ' A fifty and five wickets in an innings ', ' 1000 runs, 50 wickets and 50 catches ', ' 5000 runs and 50 fielding dismissals ', '3rd Most player-of-the-match awards (11)', '8th Most matches as captain (44)', '6th Highest strike rate in an innings (357.14)', '3rd Fifties in consecutive innings (3)', '6th Most ducks in career (8)', '3rd Most wickets in career (98)', '7th Most four-wickets-in-an-innings in a career (3)', '1st Most balls bowled in career (2168)', '10th Most maidens in career (4)', '2nd Most runs conceded in career (2396)', '2nd Most wickets taken bowled (39)', '7th Most player-of-the-match awards (43)', '9th Most ducks in career (44)', '2nd Most sixes in career (476)', '7th Most wickets taken caught and bowled (26)']</t>
  </si>
  <si>
    <t>['20th Highest strike rate in an innings (206.66)', '8th Youngest player to score a hundred (18y 333d)', '36th Most sixes in career (52)', '19th Most sixes in an innings (7)', '7th Youngest player to take five-wickets-in-an-innings (18y 235d)']</t>
  </si>
  <si>
    <t>['31st Most runs in career (8064)', '6th Most runs in an innings (by batting position) (124)', '30th Most runs on a single ground (1260)', '6th Highest career strike rate (117.00)', '12th Highest strike rate in an innings (305.55)', '1st Youngest player to score a hundred (16y 217d)', '2nd Most ducks in career (30)', '1st Most sixes in career (351)', '31st Most fours in career (730)', '13th Most sixes in an innings (11)', '5th Most wickets in career (395)', '2nd Best figures in an innings (7/12)', '16th Most wickets in a series (21)', '36th Most wickets in a calendar year (45)', '1st Outstanding bowling analyses in an innings (7/12)', '12th Most wickets on a single ground (53)', '6th Best figures in a innings by a captain (5)', '47th Best strike rate in an innings (7.2)', '3rd Most five-wickets-in-an-innings in a career (9)', '10th Most four-wickets-in-an-innings in a career (13)', '1st Most consecutive four-wickets-in-an-innings (3)', '18th Youngest player to take five-wickets-in-an-innings (20y 240d)', '30th Oldest player to take five-wickets-in-an-innings (33y 135d)', '3rd Most balls bowled in career (17670)', '1st Most runs conceded in career (13632)', '11th Bowler/Batters combinations (9)', '4th Most wickets taken bowled (104)', '10th Most wickets taken caught (193)', '3rd Most wickets taken caught and bowled (24)', '8th Most wickets taken caught by a fielder (150)', '28th Most wickets taken caught by a wicketkeeper (43)', '2nd Most wickets taken lbw (73)', '8th Most wickets taken stumped (25)', '11th Most catches in career (127)', '5th Most matches in career (398)', '4th Most player-of-the-match awards (32)', '24th Most player-of-the-series awards (4)', '9th Youngest players (16y 215d)', '8th Longest careers (18y 169d)', '45th Most consecutive matches as captain of a team (33)']</t>
  </si>
  <si>
    <t>['39th Most runs in career (1416)', '26th Most runs in an innings (by batting position) (46)', '14th Highest career strike rate (150.00)', '6th Highest strike rate in an innings (357.14)', '3rd Fifties in consecutive innings (3)', '6th Most ducks in career (8)', '18th Most sixes in career (73)', '3rd Most wickets in career (98)', '50th Most wickets in a calendar year (18)', '15th Most wickets on a single ground (16)', '4th Best figures in a innings by a captain (4)', '18th Best career economy rate (6.63)', '24th Best strike rate in an innings (4.2)', '7th Most four-wickets-in-an-innings in a career (3)', '1st Most balls bowled in career (2168)', '2nd Most runs conceded in career (2396)', '2nd Most wickets taken bowled (39)', '16th Most wickets taken caught (40)', '14th Most wickets taken caught by a fielder (37)', '3rd Most wickets taken lbw (14)', '17th Most wickets taken stumped (5)', '18th Fastest to 50 wickets (42)', '29th Most catches in career (30)', '15th Most catches in an innings (3)', '39th Highest partnership for the eighth wicket (36)', '7th Most matches in career (99)', '7th Most consecutive matches for a team (48)', '3rd Most player-of-the-match awards (11)', '4th Most player-of-the-series awards (3)', '40th Longest careers (11y 276d)', '8th Most matches as captain (44)', '29th Oldest captains (38y 91d)', '44th Most consecutive matches as captain of a team (33)', '10th Most consecutive matches as captain of a team (24)', '10th Most maidens in career (4)']</t>
  </si>
  <si>
    <t>[' Hundred on debut (102*)', '4th Youngest player to score a hundred (18y 312d)', '6th Highest partnership for the second wicket (257)']</t>
  </si>
  <si>
    <t>['13th Most runs in debut match (102*)', '4th Youngest player to score a hundred (18y 312d)', '39th Most fours in an innings (19)', '19th Highest partnerships for any wicket (257)', '6th Highest partnership for the second wicket (257)']</t>
  </si>
  <si>
    <t>['33rd Most innings before first duck (16)', '40th Highest partnership for the fourth wicket (102)']</t>
  </si>
  <si>
    <t>['29th Highest partnership for the second wicket (99*)']</t>
  </si>
  <si>
    <t>['1st Most stumpings in an innings (3)', '5th Most byes conceded in an innings (16)']</t>
  </si>
  <si>
    <t>['42nd Most runs in a career without a hundred (1055)', '45th Most dismissals in career (104)', '48th Most catches in career (91)', '33rd Most stumpings in career (13)', '18th Most stumpings in a series (5)']</t>
  </si>
  <si>
    <t>['30th Most dismissals in career (103)', '33rd Most catches in career (81)', '21st Most stumpings in career (22)', '1st Most stumpings in an innings (3)', '21st Most stumpings in a series (4)', '5th Most byes conceded in an innings (16)']</t>
  </si>
  <si>
    <t>['5th Most runs in an innings by a wicketkeeper (210*)']</t>
  </si>
  <si>
    <t>['5th Most runs in an innings by a wicketkeeper (210*)', '25th Highest maiden hundred (210*)', '20th Ninety on debut (90)']</t>
  </si>
  <si>
    <t>[' Opening the batting and bowling in the same match ', '10th Most runs in an innings (by batting position) (61)']</t>
  </si>
  <si>
    <t>['10th Most runs in an innings (by batting position) (61)']</t>
  </si>
  <si>
    <t>['12th Worst strike rate in an innings (414.0)']</t>
  </si>
  <si>
    <t>[' Hundred on debut (104)', '8th Most catches in a match (6)']</t>
  </si>
  <si>
    <t>['26th Youngest player to score a hundred (20y 70d)', '21st Longest individual innings (by minutes) (712)', '8th Most catches in a match (6)']</t>
  </si>
  <si>
    <t>['20th No ducks in career (22)', '33rd Most consecutive matches missed for a team between appearances (135)']</t>
  </si>
  <si>
    <t>['22nd Most matches as a match referee (10)']</t>
  </si>
  <si>
    <t>['15th No ducks in career (19)']</t>
  </si>
  <si>
    <t>['5th Youngest captains (21y 73d)', '3rd Best figures in a innings when on the losing side (5)', '5th Worst career economy rate (4.85)', '5th Youngest player to take five-wickets-in-an-innings (18y 174d)']</t>
  </si>
  <si>
    <t>['3rd Best figures in a innings by a captain (5)', '3rd Best figures in a innings when on the losing side (5)', '6th Best career strike rate (30.1)', '33rd Best strike rate in an innings (8.2)', '5th Worst career economy rate (4.85)', '13th Worst economy rate in an innings (9.33)', '7th Most five-wickets-in-an-innings in a career (2)', '38th Most four-wickets-in-an-innings in a career (3)', '5th Youngest player to take five-wickets-in-an-innings (18y 174d)', '33rd Bowler/fielder combinations (11)', '16th Most wickets taken stumped (11)', '29th Most matches as captain (26)', '23rd Most consecutive matches as captain of a team (26)', '5th Youngest captains (21y 73d)']</t>
  </si>
  <si>
    <t>['20th Highest partnership for the eighth wicket (27)']</t>
  </si>
  <si>
    <t>['43rd Most five-wickets-in-an-innings in a career (2)', '13th Most consecutive four-wickets-in-an-innings (2)']</t>
  </si>
  <si>
    <t>['20th Outstanding bowling analyses in an innings (2/4)', '12th Most runs conceded in an innings (63)', '48th Most wickets taken caught by a wicketkeeper (5)', '47th Most consecutive matches missed for a team between appearances (37)']</t>
  </si>
  <si>
    <t>['9th Youngest player to take five-wickets-in-an-innings (19y 154d)', '8th Most runs in an innings (by batting position) (32)', '5th Outstanding bowling analyses in an innings (5/6)', '4th Best strike rate in an innings (2.8)', '1st Most consecutive four-wickets-in-an-innings (2)', '4th Most wickets taken bowled (31)', '8th Fastest to 50 wickets (36)']</t>
  </si>
  <si>
    <t>['42nd Worst career economy rate (3.47)', '31st Youngest player to take five-wickets-in-an-innings (19y 357d)']</t>
  </si>
  <si>
    <t>['33rd Worst economy rate in an innings (11.16)', '43rd Most five-wickets-in-an-innings in a career (2)', '13th Most consecutive four-wickets-in-an-innings (2)', '9th Youngest player to take five-wickets-in-an-innings (19y 154d)', '31st Most wickets taken bowled (54)', '34th Fastest to 100 wickets (67)', '26th Fastest to 150 wickets (104)']</t>
  </si>
  <si>
    <t>['8th Most runs in an innings (by batting position) (32)', '13th Most ducks in career (6)', '6th Most wickets in career (85)', '10th Best figures in an innings (5/6)', '42nd Most wickets in a calendar year (19)', '5th Outstanding bowling analyses in an innings (5/6)', '9th Most wickets on a single ground (18)', '8th Best figures in a innings when on the losing side (4)', '9th Best career bowling average (16.97)', '7th Best career strike rate (14.1)', '4th Best strike rate in an innings (2.8)', '1st Most four-wickets-in-an-innings in a career (6)', '1st Most consecutive four-wickets-in-an-innings (2)', '12th Most balls bowled in career (1203)', '18th Most runs conceded in career (1443)', '17th Bowler/batters combinations (3)', '6th Bowler/fielder combinations (9)', '4th Most wickets taken bowled (31)', '13th Most wickets taken caught (43)', '17th Most wickets taken caught by a fielder (34)', '8th Most wickets taken caught by a wicketkeeper (9)', '6th Most wickets taken lbw (11)', '8th Fastest to 50 wickets (36)', '28th Most player-of-the-match awards (5)']</t>
  </si>
  <si>
    <t>[' Hundred on debut (129)', '8th Youngest player to score a hundred (19y 73d)', '2nd Most catches in an innings (4)', '3rd Fifties in consecutive innings (3)', '1st Most ducks in career (10)', '5th Highest partnership for the fourth wicket (114*)']</t>
  </si>
  <si>
    <t>['9th Most runs in debut match (204)', '15th Youngest player to score a hundred (19y 182d)']</t>
  </si>
  <si>
    <t>['8th Youngest player to score a hundred (19y 73d)', '2nd Most catches in an innings (4)', '47th Most dismissals in career (58)', '16th Most dismissals in an innings (5)', '49th Most catches in career (45)', '11th Most catches in an innings (5)', '31st Most stumpings in career (13)', '21st Most stumpings in a series (4)']</t>
  </si>
  <si>
    <t>['21st Most runs in career (1690)', '27th Most runs in a calendar year (441)', '12th Most runs in an innings (by batting position) (94)', '47th Most runs on a single ground (268)', '32nd Most fifties in career (8)', '3rd Fifties in consecutive innings (3)', '1st Most ducks in career (10)', '34th Most sixes in career (55)', '39th Most fours in career (122)', '14th Most catches in career (39)', '15th Most catches in an innings (3)', '5th Highest partnership for the fourth wicket (114*)', '16th Highest partnership for the eighth wicket (49)', '13th Most matches in career (84)', '13th Most consecutive matches for a team (45)', '12th Most player-of-the-match awards (7)', '36th Most catches in career (11)']</t>
  </si>
  <si>
    <t>['3rd Most player-of-the-match awards (17)', '1st Most runs in an innings (by batting position) (257*)', '1st Most sixes in an innings (12)', '2nd Youngest player to take ten-wickets-in-a-match (18y 251d)', '4th Most wickets taken lbw (119)', '9th Fastest to 400 wickets (96)', ' A hundred and five wickets in an innings ', '2nd Highest partnership for the eighth wicket (313)', '8th Most matches in career (356)', '2nd Most runs in a career without a hundred (3717)', '3rd Most ducks in career (28)', '1st Most wickets on a single ground (122)', '5th Best economy rate in an innings (0.54)', '3rd Most four-wickets-in-an-innings in a career (23)', '2nd Most balls bowled in career (18186)', '4th Most runs conceded in career (11812)', '1st Most wickets taken hit wicket (3)', '2nd Fastest to 500 wickets (354)', ' 1000 runs and 100 wickets ', ' 1000 runs, 50 wickets and 50 catches ', '8th Most ducks in career (45)', '5th Most wickets in career (916)', '9th Most five-wickets-in-an-innings in a career (31)', '9th Most balls bowled in career (40813)', '8th Most runs conceded in career (21591)', '2nd Most wickets taken lbw (211)']</t>
  </si>
  <si>
    <t>['1st Most runs in an innings (by batting position) (257*)', '18th Most runs in an innings by a captain (257*)', '39th Most ducks in career (17)', '29th Most sixes in career (57)', '1st Most sixes in an innings (12)', '28th Most runs from fours and sixes in an innings (160)', '14th Most wickets in career (414)', '16th Best figures in a innings by a captain (6)', '14th Best figures in a match by a captain (10)', '15th Best figures in a match when on the losing side (11)', '11th Most five-wickets-in-an-innings in a career (25)', '12th Most ten-wickets-in-a-match in a career (5)', '18th Most consecutive five-wickets-in-an-innings (3)', '8th Youngest player to take five-wickets-in-an-innings (18y 251d)', '2nd Youngest player to take ten-wickets-in-a-match (18y 251d)', '37th Oldest player to take ten-wickets-in-a-match (33y 357d)', '16th Most balls bowled in career (22627)', '20th Most runs conceded in career (9779)', '5th Most wickets taken bowled (102)', '32nd Most wickets taken caught (193)', '35th Most wickets taken caught by a fielder (123)', '25th Most wickets taken caught by a wicketkeeper (70)', '4th Most wickets taken lbw (119)', '43rd Fastest to 200 wickets (51)', '22nd Fastest to 250 wickets (60)', '16th Fastest to 300 wickets (70)', '13th Fastest to 350 wickets (82)', '9th Fastest to 400 wickets (96)', '2nd Highest partnership for the eighth wicket (313)', '38th Highest partnership for the tenth wicket (90)', '3rd Most player-of-the-match awards (17)', '7th Most player-of-the-series awards (7)']</t>
  </si>
  <si>
    <t>['11th Most runs in an innings (by batting position) (79)', '2nd Most runs in a career without a hundred (3717)', '3rd Most ducks in career (28)', '29th Most sixes in career (121+)', '2nd Most wickets in career (502)', '42nd Most wickets in a series (18)', '36th Most wickets in a calendar year (45)', '18th Outstanding bowling analyses in an innings (5/15)', '1st Most wickets on a single ground (122)', '6th Best figures in a innings by a captain (5)', '35th Best career bowling average (23.52)', '39th Best career economy rate (3.89)', '5th Best economy rate in an innings (0.54)', '8th Most five-wickets-in-an-innings in a career (6)', '3rd Most four-wickets-in-an-innings in a career (23)', '13th Most consecutive four-wickets-in-an-innings (2)', '4th Youngest player to take five-wickets-in-an-innings (18y 266d)', '7th Oldest player to take five-wickets-in-an-innings (36y 258d)', '2nd Most balls bowled in career (18186)', '4th Most runs conceded in career (11812)', '2nd Bowler/Batters combinations (12)', '15th Bowler/fielder combinations (36)', '1st Most wickets taken bowled (176)', '6th Most wickets taken caught (231)', '19th Most wickets taken caught and bowled (12)', '15th Most wickets taken caught by a fielder (138)', '1st Most wickets taken caught by a wicketkeeper (93)', '1st Most wickets taken lbw (92)', '1st Most wickets taken hit wicket (3)', '38th Fastest to 150 wickets (114)', '17th Fastest to 200 wickets (143)', '10th Fastest to 250 wickets (173)', '6th Fastest to 300 wickets (208)', '5th Fastest to 350 wickets (244)', '3rd Fastest to 400 wickets (285)', '2nd Fastest to 450 wickets (327)', '2nd Fastest to 500 wickets (354)', '40th Most catches in career (88)', '28th Highest partnership for the eighth wicket (83)', '8th Most matches in career (356)', '23rd Most player-of-the-match awards (22)', '45th Most player-of-the-series awards (3)', '11th Longest careers (18y 101d)', '16th Most matches as captain (109)', '21st Winning all tosses in a series (3)']</t>
  </si>
  <si>
    <t>['1st Outstanding bowling analyses in an innings (1/0)', '6th Highest partnership for the tenth wicket (133)', ' Opening the batting and bowling in the same match ']</t>
  </si>
  <si>
    <t>['1st Outstanding bowling analyses in an innings (1/0)', '6th Highest partnership for the tenth wicket (133)', '19th Most matches as a match referee (15)']</t>
  </si>
  <si>
    <t>['48th Best economy rate in an innings (1.00)', '25th Most matches as a match referee (34)']</t>
  </si>
  <si>
    <t>['11th Oldest living players (91y 161d)']</t>
  </si>
  <si>
    <t>['4th Youngest captains (22y 15d)', ' Pair by a captain ', '1st Best figures in a match by a captain (13)', '9th Best career strike rate (43.4)', '4th Youngest player to take ten-wickets-in-a-match (18y 336d)', '5th Most wickets taken bowled (102)', ' Dismissing all eleven batters in a match ', '2nd Fastest to 150 wickets (27)', ' 1000 runs and 100 wickets ', '7th Youngest captains (21y 354d)', '1st Best figures in a innings by a captain (7)', '1st Most consecutive four-wickets-in-an-innings (3)', '10th Most balls bowled in career (12698)', '7th Most runs conceded in career (9919)', '1st Bowler/Batters combinations (13)', '1st Fastest to 400 wickets (252)', '3rd Most wickets on a single ground (126)', '6th Most consecutive four-wickets-in-an-innings (5)', '2nd Bowler/batsman combinations (20)']</t>
  </si>
  <si>
    <t>['50th Most runs in a career without a hundred (1010)', '19th Most ducks in career (21)', '21st Most wickets in career (373)', '25th Best figures in a match (13)', '5th Best figures in a innings by a captain (7)', '1st Best figures in a match by a captain (13)', '40th Best figures in a match when on the losing side (10)', '9th Best career strike rate (43.4)', '17th Most five-wickets-in-an-innings in a career (22)', '12th Most ten-wickets-in-a-match in a career (5)', '5th Most consecutive five-wickets-in-an-innings (4)', '4th Most consecutive ten-wickets-in-a-match (2)', '14th Youngest player to take five-wickets-in-an-innings (18y 336d)', '4th Youngest player to take ten-wickets-in-a-match (18y 336d)', '41st Most balls bowled in career (16224)', '28th Most runs conceded in career (8788)', '5th Most wickets taken bowled (102)', '42nd Most wickets taken caught (161)', '31st Most wickets taken caught by a wicketkeeper (65)', '7th Most wickets taken lbw (110)', '20th Fastest to 50 wickets (10)', '13th Fastest to 100 wickets (20)', '2nd Fastest to 150 wickets (27)', '4th Fastest to 200 wickets (38)', '5th Fastest to 250 wickets (51)', '10th Fastest to 300 wickets (65)', '10th Fastest to 350 wickets (78)', '12th Most player-of-the-series awards (5)', '36th Youngest players (17y 364d)', '4th Youngest captains (22y 15d)']</t>
  </si>
  <si>
    <t>['11th Most runs in an innings (by batting position) (33)', '45th Most ducks in career (15)', '3rd Most wickets in career (416)', '9th Best figures in an innings (7/36)', '16th Most wickets in a series (21)', '8th Most wickets in a calendar year (60)', '8th Outstanding bowling analyses in an innings (7/36)', '3rd Most wickets on a single ground (114)', '1st Best figures in a innings by a captain (7)', '14th Best figures in a innings when on the losing side (5)', '41st Best career bowling average (23.84)', '27th Best career strike rate (30.5)', '47th Best strike rate in an innings (7.2)', '1st Most five-wickets-in-an-innings in a career (13)', '1st Most four-wickets-in-an-innings in a career (27)', '1st Most consecutive five-wickets-in-an-innings (3)', '1st Most consecutive four-wickets-in-an-innings (3)', '2nd Youngest player to take five-wickets-in-an-innings (18y 164d)', '10th Most balls bowled in career (12698)', '7th Most runs conceded in career (9919)', '1st Bowler/Batters combinations (13)', '12th Bowler/fielder combinations (40)', '2nd Most wickets taken bowled (151)', '11th Most wickets taken caught (191)', '27th Most wickets taken caught by a fielder (113)', '4th Most wickets taken caught by a wicketkeeper (78)', '2nd Most wickets taken lbw (73)', '17th Fastest to 50 wickets (27)', '12th Fastest to 100 wickets (59)', '9th Fastest to 150 wickets (91)', '4th Fastest to 200 wickets (118)', '3rd Fastest to 250 wickets (148)', '2nd Fastest to 300 wickets (186)', '2nd Fastest to 350 wickets (218)', '1st Fastest to 400 wickets (252)', '37th Most matches in career (262)', '46th Most player-of-the-match awards (17)', '24th Most player-of-the-series awards (4)', '43rd Most matches as captain (62)', '17th Most consecutive matches as captain of a team (47)', '7th Youngest captains (21y 354d)']</t>
  </si>
  <si>
    <t>['17th Most consecutive matches as captain of a team (47)']</t>
  </si>
  <si>
    <t>['1st Most dismissals in an innings (7)', '1st Most catches in an innings (7)', '3rd Most stumpings in a match (4)', '8th Most runs in an innings (by batting position) (60*)']</t>
  </si>
  <si>
    <t>['8th Most runs in an innings (by batting position) (60*)', '20th Most runs in a career without a hundred (1366)', '27th Most ducks in career (19)', '16th Captains who have kept wicket (6)', '12th Most dismissals in career (228)', '1st Most dismissals in an innings (7)', '35th Most dismissals in a match (8)', '15th Most catches in career (201)', '1st Most catches in an innings (7)', '26th Most catches in a match (8)', '8th Most stumpings in career (27)', '3rd Most stumpings in a match (4)']</t>
  </si>
  <si>
    <t>['13th No ducks in career (26)', '23rd Captains who have kept wicket (5)', '45th Most dismissals in career (62)', '44th Most catches in career (52)', '37th Most stumpings in career (10)', '21st Most stumpings in a series (4)']</t>
  </si>
  <si>
    <t>['2nd Most runs conceded in an innings (110)', '6th Most runs in an innings (by batting position) (24)', '3rd Highest partnership for the tenth wicket (31*)']</t>
  </si>
  <si>
    <t>['14th Best figures in a innings when on the losing side (5)', '38th Worst career economy rate (5.70)', '39th Worst economy rate in an innings (11.00)', '2nd Most runs conceded in an innings (110)']</t>
  </si>
  <si>
    <t>['6th Most runs in an innings (by batting position) (24)', '27th Worst career economy rate (8.20)', '3rd Highest partnership for the tenth wicket (31*)', '23rd Longest careers (12y 244d)']</t>
  </si>
  <si>
    <t>['6th No ducks in career (35)', '2nd Highest partnership for the seventh wicket (308)', '7th No ducks in career (35)']</t>
  </si>
  <si>
    <t>['6th No ducks in career (35)', '2nd Highest partnership for the seventh wicket (308)']</t>
  </si>
  <si>
    <t>['1st Worst economy rate in an innings (8.85)', '9th Most runs conceded in a match (291)', '1st Fastest to 200 wickets (33)', '4th Highest partnership for the tenth wicket (76)']</t>
  </si>
  <si>
    <t>['33rd Best figures in an innings (8/41)', '13th Best figures in a match (14)', '33rd Most wickets on a single ground (55)', '24th Best figures in a innings when on the losing side (7)', '45th Best strike rate in an innings (9.3)', '1st Worst economy rate in an innings (8.85)', '32nd Most five-wickets-in-an-innings in a career (16)', '29th Most ten-wickets-in-a-match in a career (3)', '18th Most consecutive five-wickets-in-an-innings (3)', '48th Most runs conceded in career (7247)', '22nd Most runs conceded in an innings (213)', '9th Most runs conceded in a match (291)', '40th Most wickets taken bowled (58)', '30th Most wickets taken lbw (52)', '21st Most wickets taken stumped (11)', '8th Fastest to 50 wickets (9)', '2nd Fastest to 100 wickets (17)', '2nd Fastest to 150 wickets (27)', '1st Fastest to 200 wickets (33)', '12th Most player-of-the-series awards (5)']</t>
  </si>
  <si>
    <t>['37th Best figures in an innings (6/26)', '36th Worst career bowling average (47.91)', '4th Highest partnership for the tenth wicket (76)']</t>
  </si>
  <si>
    <t>['3rd Longest intervals between appearances (17y 111d)']</t>
  </si>
  <si>
    <t>['3rd Longest intervals between appearances (17y 111d)', '4th Most consecutive matches missed for a team between appearances (104)']</t>
  </si>
  <si>
    <t>['22nd Oldest players on debut (39y 121d)']</t>
  </si>
  <si>
    <t>[' Hundred on debut (105)', ' Hundred in each innings of a match ', '8th Most innings before first duck (46)', '10th Fifties in consecutive innings (6)', '9th Most innings before first duck (58)']</t>
  </si>
  <si>
    <t>['3rd Most runs in debut match (275)', '8th Most innings before first duck (46)']</t>
  </si>
  <si>
    <t>['11th Fifties in consecutive innings (5)', '25th Most innings before first duck (39)', '42nd Fewest ducks in career (28)', '11th Fastest to 1000 runs (24)', '24th Fastest to 2000 runs (54)', '47th Highest partnership for the first wicket (197)']</t>
  </si>
  <si>
    <t>['6th Most runs in an innings by a captain (313)', ' Hundred on debut (107)', ' Hundred in each innings of a match ', ' Hundred and a ninety in a match ', ' Hundred and a duck in a match ', '6th Fastest to 10000 runs (208)', '1st Most catches by a substitute in a match (4)', ' 5000 runs and 50 fielding dismissals ', '8th Highest partnership for the third wicket (363)', '2nd Most catches in an innings (4)', ' 5000 runs and 50 fielding dismissals ', '6th Hundreds in consecutive innings (3)']</t>
  </si>
  <si>
    <t>['13th Most runs in career (10099)', '21st Most runs in an innings (313)', '14th Most runs in a match (351)', '7th Most runs in an innings (by batting position) (313)', '44th Most runs in a match on the losing side (214)', '6th Most runs in an innings by a captain (313)', '30th Highest career batting average (52.05)', '6th Most hundreds in a career (34)', '7th Most double hundreds in a career (6)', '5th Most triple hundreds in a career (1)', '6th Most hundreds in a calendar year (6)', '15th Most hundreds against one team (8)', '5th Hundreds in consecutive innings (3)', '21st Hundreds in consecutive matches (3)', '20th Most fifties in career (67)', '27th Most ducks in career (19)', '17th Most sixes in career (70)', '18th Most fours in career (1082)', '13th Longest individual innings (by minutes) (760)', '15th Longest individual innings (by balls) (568)', '24th Fastest to 4000 runs (87)', '17th Fastest to 5000 runs (106)', '16th Fastest to 6000 runs (126)', '17th Fastest to 7000 runs (147)', '9th Fastest to 8000 runs (165)', '7th Fastest to 9000 runs (184)', '6th Fastest to 10000 runs (208)', '13th Most catches in career (139)', '42nd Most catches in a series (10)', '1st Most catches by a substitute in an innings (4)', '1st Most catches by a substitute in a match (4)', '34th Highest partnerships for any wicket (363)', '8th Highest partnership for the third wicket (363)', '26th Highest partnership for the fifth wicket (259)', '13th Highest partnership for the ninth wicket (145)', '40th Highest partnership for the tenth wicket (88*)', '30th Most matches in career (118)', '25th Most player-of-the-match awards (10)', '24th Most player-of-the-series awards (4)']</t>
  </si>
  <si>
    <t>['40th Most runs in career (7249)', '15th Most runs in an innings (by batting position) (144)', '26th Highest maiden hundred (144)', '18th Oldest player to score a hundred (37y 18d)', '41st Most fifties in career (55)', '44th Fifties in consecutive innings (4)', '11th Most ducks in career (22)', '50th Most fours in career (578)', '48th Fastest to 6000 runs (205)', '39th Fastest to 7000 runs (243)', '9th Most catches in career (130)', '2nd Most catches in an innings (4)', '13th Highest partnership for the fifth wicket (176)', '35th Most matches in career (265)', '44th Longest careers (15y 271d)']</t>
  </si>
  <si>
    <t>['16th Best career bowling average (without qualification) (6.00)', '18th Highest partnership for the fourth wicket (101)']</t>
  </si>
  <si>
    <t>['33rd Youngest players (17y 323d)']</t>
  </si>
  <si>
    <t>['38th Most consecutive matches missed for a team between appearances (130)']</t>
  </si>
  <si>
    <t>['12th Youngest players (17y 5d)']</t>
  </si>
  <si>
    <t>['22nd Youngest players (16y 361d)']</t>
  </si>
  <si>
    <t>['5th Hundreds in consecutive innings (3)', ' Hundred and a ninety in a match ', '7th Fifties in consecutive innings (6)', ' Opening the batting and bowling in the same match ', '6th Highest partnership for the ninth wicket (161)', '2nd Hundreds in consecutive innings (3)', '2nd Fastest to 2000 runs (45)', '1st Hundreds in consecutive innings (5)']</t>
  </si>
  <si>
    <t>['17th Most double hundreds in a career (4)', '5th Hundreds in consecutive innings (3)', '21st Hundreds in consecutive matches (3)', '6th Highest maiden hundred (274)', '25th Youngest player to score a double hundred (23y 314d)', '7th Fifties in consecutive innings (6)', '21st Most fours in an innings (38)', '34th Most runs from fours and sixes in an innings (152)', '42nd Fastest to 4000 runs (92)', '39th Fastest to 5000 runs (116)', '22nd Highest partnership for the second wicket (291)', '42nd Highest partnership for the fourth wicket (255)', '6th Highest partnership for the ninth wicket (161)', '41st Oldest captains on captaincy debut (36y 52d)']</t>
  </si>
  <si>
    <t>['20th Highest career batting average (47.62)', '3rd Most hundreds in a series (3)', '29th Most hundreds in a calendar year (4)', '2nd Hundreds in consecutive innings (3)', '25th Oldest player to score a hundred (35y 331d)', '14th Oldest player to score a maiden hundred (34y 146d)', '44th Fifties in consecutive innings (4)', '29th Most innings before first duck (37)', '33rd Fewest ducks in career (30)', '20th Fastest to 1000 runs (26)', '2nd Fastest to 2000 runs (45)', '32nd Oldest captains (37y 136d)', '35th Oldest captains on captaincy debut (34y 250d)']</t>
  </si>
  <si>
    <t>['6th Worst strike rate in an innings (432.0)', '25th Oldest player to take a maiden five-wickets-in-an-innings (35y 316d)', '40th Most balls bowled in an innings (432)']</t>
  </si>
  <si>
    <t>['24th Highest partnership for the tenth wicket (104)']</t>
  </si>
  <si>
    <t>['4th No ducks in career (23)', ' Opening the batting and bowling in the same match ']</t>
  </si>
  <si>
    <t>['4th No ducks in career (23)', '49th Worst career bowling average (without qualification) (66.50)']</t>
  </si>
  <si>
    <t>['14th Most innings before first duck (24)', '15th Fewest ducks in career (30)', '4th Most catches in an innings (3)']</t>
  </si>
  <si>
    <t>['5th Number eleven top scoring in an innings (34)']</t>
  </si>
  <si>
    <t>['7th Most double hundreds in a career (6)', ' Hundred and a duck in a match ', ' Carrying bat through a completed innings (216*)', '8th Unusual dismissals (retired out)', ' 5000 runs and 50 fielding dismissals ', '4th Highest partnership for the second wicket (438)', ' 5000 runs and 50 fielding dismissals ', '9th Highest partnership for the third wicket (226)']</t>
  </si>
  <si>
    <t>['21st Most runs in an innings by a captain (249)', '7th Most double hundreds in a career (6)', '21st Hundreds in consecutive matches (3)', '16th Most ducks in career (22)', '2nd Most pairs in career (4)', '31st Most fours in an innings (36)', '43rd Most runs from fours and sixes in an innings (150)', '33rd Longest individual innings (by minutes) (684)', '27th Longest individual innings (by balls) (536)', '8th Unusual dismissals (retired out)', '8th Highest partnerships for any wicket (438)', '9th Highest partnership for the first wicket (335)', '4th Highest partnership for the second wicket (438)']</t>
  </si>
  <si>
    <t>['26th Most runs in career (8529)', '20th Most runs on a single ground (1467)', '41st Most hundreds in a career (11)', '22nd Most nineties in career (5)', '21st Most fifties in career (70)', '30th Most fours in career (734)', '43rd Fastest to 5000 runs (152)', '31st Fastest to 6000 runs (180)', '27th Fastest to 7000 runs (213)', '23rd Fastest to 8000 runs (239)', '39th Highest partnerships for any wicket (237)', '16th Highest partnership for the first wicket (237)', '9th Highest partnership for the third wicket (226)', '28th Highest partnership for the sixth wicket (133)', '33rd Most matches in career (268)', '21st Most consecutive matches for a team (92)', '34th Most player-of-the-match awards (20)', '24th Most player-of-the-series awards (4)', '35th Longest careers (16y 78d)', '42nd Most matches as captain (63)']</t>
  </si>
  <si>
    <t>['21st Oldest living players (50y 113d)']</t>
  </si>
  <si>
    <t>['22nd Worst career strike rate (65.6)']</t>
  </si>
  <si>
    <t>['1st Most runs in a match on the losing side (178*)', '2nd Hundred in last match (103)', '6th Most hundreds in a series (2)', '1st Dismissed for 99 (and 199, 299 etc) (99)', '1st Highest percentage of runs in a completed innings (69.26)', '1st Worst career economy rate (5.59)', '4th Most catches in an innings (3)', ' Opening the batting and bowling in the same match ', '2nd Most runs in a match on the losing side (113)', '6th Most ducks in career (8)', '10th Highest percentage of runs in a completed innings (64.20)', '3rd Worst career economy rate (7.08)']</t>
  </si>
  <si>
    <t>['25th Most runs in career (2625)', '4th Most runs in an innings (178*)', '19th Most runs in a series (639)', '45th Most runs in a calendar year (533)', '1st Most runs in an innings (by batting position) (178*)', '1st Most runs in a match on the losing side (178*)', '13th Most runs in an series by a captain (442)', '19th Most runs in an innings by a captain (115)', '45th Highest career batting average (31.62)', '2nd Hundred in last match (103)', '10th Most hundreds in a career (5)', '6th Most hundreds in a series (2)', '11th Most hundreds against one team (2)', '42nd Highest maiden hundred (111)', '16th Youngest player to score a hundred (21y 78d)', '10th Most nineties in career (2)', '1st Dismissed for 99 (and 199, 299 etc) (99)', '21st Most fifties in career (19)', '28th Fifties in consecutive innings (3)', '21st Most ducks in career (9)', '1st Highest percentage of runs in a completed innings (69.26)', '6th Worst career bowling average (47.17)', '1st Worst career economy rate (5.59)', '29th Most runs conceded in an innings (75)', '4th Most catches in an innings (3)', '27th Highest partnership for the fourth wicket (111)', '39th Highest partnership for the seventh wicket (60)', '41st Highest partnership for the eighth wicket (44)', '25th Most consecutive matches for a team (48*)', '27th Most matches as captain (27)', '42nd Youngest captains (24y 248d)', '17th Captains who have kept wicket (1)']</t>
  </si>
  <si>
    <t>['19th Most runs in career (1646)', '13th Most runs in an innings (113)', '10th Most runs in an innings (by batting position) (113)', '2nd Most runs in a match on the losing side (113)', '4th Most runs in an innings by a captain (113)', '34th Most fifties in career (3)', '6th Most ducks in career (8)', '10th Highest percentage of runs in a completed innings (64.20)', '21st Best figures in a innings by a captain (3)', '6th Worst career bowling average (31.38)', '3rd Worst career economy rate (7.08)', '14th Worst career strike rate (26.5)', '13th Most runs conceded in an innings (53)', '41st Most catches in career (20)', '45th Highest partnership for the third wicket (76)', '29th Most matches in career (85)', '26th Most consecutive matches for a team (43)', '12th Most matches as captain (39)']</t>
  </si>
  <si>
    <t>[' Carrying bat through a completed innings (104*)']</t>
  </si>
  <si>
    <t>['25th Most innings before first duck (39)', '35th Highest partnership for the tenth wicket (51)', '12th Most consecutive matches for a team (115)']</t>
  </si>
  <si>
    <t>['8th Highest partnership for the seventh wicket (123*)']</t>
  </si>
  <si>
    <t>['6th Most runs in debut match (141)']</t>
  </si>
  <si>
    <t>['24th Youngest captains (23y 60d)']</t>
  </si>
  <si>
    <t>['5th Most dismissals in an innings (6)', ' A hundred and four dismissals in an innings ', '5th Most dismissals in an innings (4)', '5th Captains who have kept wicket and opened the batting (1)', '3rd No ducks in career (50)', '1st Most catches in an innings (4)']</t>
  </si>
  <si>
    <t>['26th Most runs in an innings by a wicketkeeper (162*)', '29th Most consecutive innings without a duck (61)', '29th Fewest ducks in career (28.25)', '38th Highest partnership for the sixth wicket (211)', '5th Most dismissals in an innings (6)', '35th Most dismissals in a match (8)', '26th Highest innings total without conceding a bye (580/4d)']</t>
  </si>
  <si>
    <t>['21st Youngest player to score a hundred (20y 199d)', '11th Fifties in consecutive innings (5)', '17th Youngest captains (23y 244d)']</t>
  </si>
  <si>
    <t>['3rd No ducks in career (50)', '11th Most consecutive innings without a duck (50*)', '1st Most catches in an innings (4)', '11th Highest partnership for the fifth wicket (85*)', '25th Most matches as captain (26)', '15th Youngest captains (23y 133d)', '11th Captains who have kept wicket (10)', '5th Captains who have kept wicket and opened the batting (1)', '23rd Most dismissals in career (20)', '5th Most dismissals in an innings (4)', '26th Most catches in career (15)', '13th Most catches in an innings (3)', '24th Most stumpings in career (5)']</t>
  </si>
  <si>
    <t>['1st Outstanding bowling analyses in an innings (3/2)', ' 1000 runs and 100 wickets ', ' 1000 runs, 50 wickets and 50 catches ']</t>
  </si>
  <si>
    <t>['18th No ducks in career (24)', '49th Worst career economy rate (3.43)', '22nd Best figures in a innings on debut (6)']</t>
  </si>
  <si>
    <t>['35th Most runs in a career without a hundred (1627)', '1st Outstanding bowling analyses in an innings (3/2)', '24th Most wickets on a single ground (42)', '39th Oldest player to take five-wickets-in-an-innings (32y 116d)', '23rd Oldest player to take a maiden five-wickets-in-an-innings (32y 116d)', '14th Most wickets taken caught and bowled (13)', '16th Most wickets taken stumped (18)']</t>
  </si>
  <si>
    <t>['1st Bowler/batters combinations (4)']</t>
  </si>
  <si>
    <t>['35th Best career strike rate (31.1)']</t>
  </si>
  <si>
    <t>['2nd Shortest lived players (23y 147d)']</t>
  </si>
  <si>
    <t>['4th Most stumpings in an innings (3)', '12th Most stumpings in a match (3)']</t>
  </si>
  <si>
    <t>['2nd Most consecutive five-wickets-in-an-innings (2)']</t>
  </si>
  <si>
    <t>['14th Worst career economy rate (3.71)']</t>
  </si>
  <si>
    <t>['14th Best figures in a innings when on the losing side (5)', '15th Best figures in a innings on debut (4)', '43rd Most five-wickets-in-an-innings in a career (2)', '2nd Most consecutive five-wickets-in-an-innings (2)', '13th Most consecutive four-wickets-in-an-innings (2)', '15th Most runs conceded in an innings (97)']</t>
  </si>
  <si>
    <t>['1st Worst career strike rate (291.0)']</t>
  </si>
  <si>
    <t>['1st Worst career bowling average (129.00)', '1st Worst career strike rate (291.0)', '21st Most matches as an umpire (49)']</t>
  </si>
  <si>
    <t>['10th Worst career bowling average (56.88)', '4th Worst career strike rate (80.8)', '13th Most matches as an umpire (122)']</t>
  </si>
  <si>
    <t>['23rd Ninety on debut (91)']</t>
  </si>
  <si>
    <t>['16th Most innings before first duck (44)', '27th Fastest to 1000 runs (27)']</t>
  </si>
  <si>
    <t>['1st Most innings before first duck (72)', ' 1000 runs and 100 wickets ']</t>
  </si>
  <si>
    <t>['46th Best economy rate in an innings (0.61)', '12th Most matches as an umpire (69)']</t>
  </si>
  <si>
    <t>['1st Most innings before first duck (72)', '25th Most consecutive innings without a duck (72)', '18th Fewest ducks in career (43.5)', '33rd Most wickets on a single ground (37)', '25th Most wickets taken caught and bowled (11)', '32nd Most wickets taken stumped (11)', '17th Highest partnership for the eighth wicket (91)', '16th Most matches as an umpire (105)']</t>
  </si>
  <si>
    <t>['6th Most wickets taken caught and bowled (9)', '7th Highest partnership for the eighth wicket (70*)']</t>
  </si>
  <si>
    <t>['33rd Most wickets on a single ground (12)', '11th Best figures in a innings when on the losing side (4)', '46th Best career strike rate (36.2)', '38th Most four-wickets-in-an-innings in a career (3)', '44th Bowler/fielder combinations (10)', '42nd Most wickets taken caught (42)', '6th Most wickets taken caught and bowled (9)', '31st Most wickets taken caught by a fielder (38)', '7th Highest partnership for the eighth wicket (70*)', '32nd Most consecutive matches for a team (43)']</t>
  </si>
  <si>
    <t>['29th Longest intervals between appearances (7y 8d)']</t>
  </si>
  <si>
    <t>['1st Highest partnership for the eighth wicket (88)', '5th Worst economy rate in an innings (18.50)', '3rd Most catches in an innings (3)']</t>
  </si>
  <si>
    <t>['14th Most runs in an innings (by batting position) (45)', '20th No ducks in career (18)', '47th Worst career bowling average (without qualification) (67.25)', '9th Highest partnerships by wicket (8th)', '1st Highest partnership for the eighth wicket (88)']</t>
  </si>
  <si>
    <t>['11th Most runs in an innings (by batting position) (35*)', '13th Most innings before first duck (23)', '5th Worst economy rate in an innings (18.50)', '3rd Most catches in an innings (3)', '33rd Highest partnership for the eighth wicket (24)']</t>
  </si>
  <si>
    <t>['9th Most consecutive matches missed for a team between appearances (305)']</t>
  </si>
  <si>
    <t>['1st Most runs in an innings (by batting position) (25*)']</t>
  </si>
  <si>
    <t>['7th Oldest captains on captaincy debut (40y 266d)', '8th Oldest player to take a maiden five-wickets-in-an-innings (39y 276d)', '8th Oldest captains on captaincy debut (40y 264d)', '8th No ducks in career (29)']</t>
  </si>
  <si>
    <t>['16th Oldest player to take five-wickets-in-an-innings (39y 276d)', '8th Oldest player to take a maiden five-wickets-in-an-innings (39y 276d)', '18th Oldest players on debut (39y 251d)', '44th Oldest players (42y 78d)', '17th Oldest captains (40y 277d)', '7th Oldest captains on captaincy debut (40y 266d)']</t>
  </si>
  <si>
    <t>['8th No ducks in career (29)', '43rd Best economy rate in an innings (0.91)', '34th Worst career bowling average (48.65)', '24th Worst career strike rate (64.8)', '12th Oldest players (42y 261d)', '34th Oldest living players (78y 355d)', '11th Oldest captains (40y 264d)', '8th Oldest captains on captaincy debut (40y 264d)']</t>
  </si>
  <si>
    <t>['8th Most catches in a series (28)', '2nd Most runs in a career without a hundred (2443)', ' 2000 runs and 100 wicketkeeping dismissals ', '9th Most innings before first duck (58)']</t>
  </si>
  <si>
    <t>['2nd Most runs in a career without a hundred (2443)', '35th Fewest ducks in career (26.66)', '35th Most dismissals in career (134)', '37th Most catches in career (111)', '8th Most catches in a series (28)', '12th Most stumpings in career (23)', '12th Most stumpings in a match (3)', '27th Highest innings total without conceding a bye (578)']</t>
  </si>
  <si>
    <t>['14th Fewest ducks in career (50)', '22nd Highest partnership for the first wicket (229)']</t>
  </si>
  <si>
    <t>['36th Most catches in career (11)']</t>
  </si>
  <si>
    <t>['20th Longest intervals between appearances (7y 239d)', '3rd Most consecutive matches missed for a team between appearances (218)']</t>
  </si>
  <si>
    <t>['6th Best strike rate in an innings (6.0)', '1st Best figures in a innings when on the losing side (6)', '4th Most consecutive ducks (4)']</t>
  </si>
  <si>
    <t>['6th Best strike rate in an innings (6.0)', '33rd Best figures in a match on debut (8)']</t>
  </si>
  <si>
    <t>['49th Best figures in an innings (6/29)', '1st Best figures in a innings when on the losing side (6)', '43rd Most five-wickets-in-an-innings in a career (2)', '13th Most consecutive four-wickets-in-an-innings (2)']</t>
  </si>
  <si>
    <t>['30th Most wickets on a single ground (12)', '30th Worst career economy rate (8.16)', '16th Most runs conceded in an innings (62)', '26th Most consecutive matches missed for a team between appearances (44)']</t>
  </si>
  <si>
    <t>['16th Worst career bowling average (60.04)', '45th Worst career strike rate (108.5)']</t>
  </si>
  <si>
    <t>['20th Most runs in an innings (by batting position) (57)', '40th No ducks in career (15)']</t>
  </si>
  <si>
    <t>[' Hundred in each innings of a match ', ' Hundred and a ninety in a match ', ' Two unbeaten fifties in a match ', ' Hundred and a duck in a match ', '6th Longest careers (18y 352d)', '2nd Most nineties in career (9)', ' 1000 runs and 100 wickets ', ' 1000 runs, 50 wickets and 50 catches ', ' 5000 runs and 50 fielding dismissals ', '9th Most player-of-the-match awards (41)', '5th Most hundreds in a calendar year (10)', '8th Most nineties in career (11)']</t>
  </si>
  <si>
    <t>['50th Most runs in a calendar year (1220)', '38th Most runs on a single ground (1257)', '32nd Most runs in a day (206)', '29th Hundred in last match (206)', '42nd Most hundreds in a career (20)', '2nd Most hundreds in a calendar year (7)', '15th Most hundreds against one team (8)', '5th Hundreds in consecutive innings (3)', '21st Hundreds in consecutive matches (3)', '21st Youngest player to score a hundred (19y 364d)', '2nd Most innings before first duck (75)', '10th Most consecutive innings without a duck (75)', '40th Most sixes in career (48)', '14th Most fours in an innings (40)', '28th Most runs from fours and sixes in an innings (160)', '38th Highest partnership for the fifth wicket (234)', '15th Most player-of-the-match awards (11)', '24th Most player-of-the-series awards (4)', '48th Longest careers (17y 334d)', '47th Youngest captains (25y 309d)']</t>
  </si>
  <si>
    <t>['19th Most runs in career (9284)', '45th Most runs in a calendar year (1212)', '14th Most runs in an innings (by batting position) (145)', '21st Most runs on a single ground (1402)', '41st Most hundreds in a career (11)', '29th Most hundreds in a calendar year (4)', '2nd Most nineties in career (9)', '16th Most fifties in career (75)', '44th Fifties in consecutive innings (4)', '30th Most ducks in career (17)', '39th Most sixes in career (102+)', '35th Most fours in career (712+)', '43rd Fastest to 6000 runs (194)', '30th Fastest to 7000 runs (216)', '24th Fastest to 8000 runs (247)', '17th Fastest to 9000 runs (288)', '19th Most wickets taken caught and bowled (12)', '32nd Most wickets taken stumped (11)', '35th Most catches in career (95)', '22nd Highest partnership for the seventh wicket (110)', '18th Most matches in career (308)', '17th Most consecutive matches for a team (96)', '10th Most player-of-the-match awards (30)', '45th Most player-of-the-series awards (3)', '6th Longest careers (18y 352d)']</t>
  </si>
  <si>
    <t>[' Hundred in each innings of a match ', ' Hundred and a ninety in a match ', ' Hundred and a duck in a match ', ' Opening the batting and bowling in the same match ', ' 5000 runs and 50 fielding dismissals ', '5th Captains who have kept wicket and opened the batting (1)', '8th Oldest player to score a hundred (38y 148d)', '1st Dismissed for 99 (and 199, 299 etc) (99)', '9th Most fours in an innings (22)', '10th Fastest to 10000 runs (293)', '1st Outstanding bowling analyses in an innings (1/0)', '4th Best strike rate in an innings (4.5)', ' Opening the batting and bowling in the same match ', ' 1000 runs, 50 wickets and 50 catches ', ' 5000 runs and 50 fielding dismissals ', '3rd Captains who have kept wicket and opened the batting (1)', '8th Most byes conceded in an innings (8)', '10th Most runs in an innings by a captain (104*)', '3rd Fifties in consecutive innings (3)', '1st Most ducks in career (10)', '7th Most fours in career (223)', '7th Highest partnership for the second wicket (145)', '5th Most hundreds in a calendar year (10)']</t>
  </si>
  <si>
    <t>['47th Most runs in a match (305)', '6th Most hundreds in a calendar year (6)', '13th Outstanding bowling analyses in an innings (4/10)', '12th Best strike rate in an innings (6.5)']</t>
  </si>
  <si>
    <t>['14th Most runs in career (10290)', '26th Most runs in a series (513)', '47th Most runs in a calendar year (1207)', '11th Most runs in a match on the losing side (160)', '17th Most runs on a single ground (1605)', '10th Most hundreds in a career (22)', '29th Most hundreds in a calendar year (4)', '39th Most hundreds against one team (4)', '8th Oldest player to score a hundred (38y 148d)', '1st Dismissed for 99 (and 199, 299 etc) (99)', '23rd Most fifties in career (69)', '11th Fifties in consecutive innings (5)', '16th Most consecutive innings without a duck (80)', '48th Fewest ducks in career (27.54)', '11th Most fours in career (1111)', '9th Most fours in an innings (22)', '18th Longest individual innings (by balls) (165)', '47th Fastest to 6000 runs (203)', '32nd Fastest to 7000 runs (230)', '26th Fastest to 8000 runs (250)', '16th Fastest to 9000 runs (275)', '10th Fastest to 10000 runs (293)', '1st Outstanding bowling analyses in an innings (1/0)', '4th Best strike rate in an innings (4.5)', '25th Most wickets taken caught and bowled (11)', '32nd Most wickets taken stumped (11)', '18th Most catches in career (118)', '29th Highest partnership for the second wicket (210*)', '33rd Highest partnership for the sixth wicket (131*)', '13th Most matches in career (330)', '25th Most consecutive matches for a team (88)', '16th Most player-of-the-match awards (25)', '12th Most player-of-the-series awards (6)', '29th Longest careers (16y 261d)', '31st Captains who have kept wicket (1)', '5th Captains who have kept wicket and opened the batting (1)']</t>
  </si>
  <si>
    <t>['15th Most runs in career (1889)', '36th Most runs in an innings (104*)', '22nd Most runs in a calendar year (471)', '27th Most runs in an innings (by batting position) (104*)', '19th Most runs on a single ground (334)', '10th Most runs in an innings by a captain (104*)', '10th Most fifties in career (14)', '3rd Fifties in consecutive innings (3)', '1st Most ducks in career (10)', '7th Most fours in career (223)', '12th Most fours in an innings (12)', '29th Most runs from fours and sixes in an innings (78)', '18th Highest percentage of runs in a completed innings (60.75)', '24th Fastest to 1000 runs (40)', '20th Outstanding bowling analyses in an innings (2/4)', '38th Most catches in career (26)', '22nd Highest partnerships for any wicket (145)', '36th Highest partnership for the first wicket (124)', '7th Highest partnership for the second wicket (145)', '17th Highest partnership for the fourth wicket (104*)', '42nd Highest partnership for the eighth wicket (35)', '22nd Most matches in career (80)', '19th Most player-of-the-match awards (6)', '29th Captains who have kept wicket (2)', '3rd Captains who have kept wicket and opened the batting (1)', '8th Most byes conceded in an innings (8)']</t>
  </si>
  <si>
    <t>['10th Outstanding bowling analyses in an innings (2/2)', '1st Most consecutive ducks (3)', '1st Outstanding bowling analyses in an innings (3/0)', '2nd Best strike rate in an innings (2.0)']</t>
  </si>
  <si>
    <t>['39th Best figures in an innings (5/16)', '10th Outstanding bowling analyses in an innings (2/2)', '12th Youngest player to take five-wickets-in-an-innings (20y 40d)', '47th Highest partnership for the tenth wicket (25)', '19th Youngest captains (22y 40d)']</t>
  </si>
  <si>
    <t>['1st Most consecutive ducks (3)', '1st Outstanding bowling analyses in an innings (3/0)', '2nd Best strike rate in an innings (2.0)', '12th Highest partnership for the eighth wicket (31)']</t>
  </si>
  <si>
    <t>['8th Most runs in an innings (by batting position) (80*)', '6th Most wickets taken lbw (11)']</t>
  </si>
  <si>
    <t>['8th Most runs in an innings (by batting position) (80*)']</t>
  </si>
  <si>
    <t>['33rd Most runs in an innings (by batting position) (44)', '17th Bowler/batters combinations (3)', '6th Most wickets taken lbw (11)']</t>
  </si>
  <si>
    <t>['24th Best figures in a innings when on the losing side (7)', '40th Best figures in a match when on the losing side (10)', '47th Most runs conceded in an innings (193)', '36th Most runs conceded in a match (264)']</t>
  </si>
  <si>
    <t>['4th Most consecutive ducks (4)', '4th Most runs conceded in an innings (106)', '4th Most consecutive ducks (4)']</t>
  </si>
  <si>
    <t>['37th Most ducks in career (18)', '11th Most ducks in a series (4)', '4th Most consecutive ducks (4)', '7th Most pairs in career (3)', '32nd Worst career economy rate (3.54)', '43rd Worst economy rate in an innings (6.40)']</t>
  </si>
  <si>
    <t>['6th Most consecutive ducks (3)', '13th Worst career economy rate (5.96)', '13th Most consecutive four-wickets-in-an-innings (2)', '4th Most runs conceded in an innings (106)']</t>
  </si>
  <si>
    <t>['4th Highest partnership for the third wicket (239)']</t>
  </si>
  <si>
    <t>['46th Highest career strike rate (96.59)', '35th Youngest player to score a hundred (21y 87d)', '35th Highest partnerships for any wicket (239)', '4th Highest partnership for the third wicket (239)']</t>
  </si>
  <si>
    <t>['4th Outstanding bowling analyses in an innings (4/3)', '5th Best career bowling average (14.41)']</t>
  </si>
  <si>
    <t>['13th Most runs in an innings (by batting position) (44)']</t>
  </si>
  <si>
    <t>['4th Outstanding bowling analyses in an innings (4/3)', '5th Best career bowling average (14.41)', '11th Best career economy rate (2.28)', '23rd Best economy rate in an innings (0.34)', '38th Most four-wickets-in-an-innings in a career (3)']</t>
  </si>
  <si>
    <t>['45th Oldest living players (77y 99d)']</t>
  </si>
  <si>
    <t>['14th Most runs in an innings (by batting position) (78*)', '11th Most runs in debut match (78*)', '30th Highest partnership for the fifth wicket (76)']</t>
  </si>
  <si>
    <t>['33rd Most runs in a career without a hundred (1015)']</t>
  </si>
  <si>
    <t>['3rd Best figures in a innings on debut (5)']</t>
  </si>
  <si>
    <t>['3rd Best figures in a innings on debut (5)', '24th Youngest player to take five-wickets-in-an-innings (21y 65d)']</t>
  </si>
  <si>
    <t>['33rd Worst economy rate in an innings (14.50)']</t>
  </si>
  <si>
    <t>['22nd Worst career economy rate (3.67)', '26th Worst economy rate in an innings (6.68)']</t>
  </si>
  <si>
    <t>['48th Most wickets in career (187)', '41st Best figures in an innings (6/27)', '13th Most consecutive four-wickets-in-an-innings (2)', '50th Most runs conceded in career (5648)', '11th Bowler/Batters combinations (9)', '33rd Bowler/fielder combinations (28)', '43rd Most wickets taken bowled (48)', '50th Most wickets taken caught (115)', '44th Fastest to 150 wickets (121)']</t>
  </si>
  <si>
    <t>['13th Most runs in an innings (by batting position) (21)', '47th Most consecutive matches missed for a team between appearances (37)', '19th Most maidens in career (3)']</t>
  </si>
  <si>
    <t>['12th Best career bowling average (without qualification) (6.50)']</t>
  </si>
  <si>
    <t>['35th Worst career economy rate (3.53)']</t>
  </si>
  <si>
    <t>['49th Highest maiden hundred (132)', '39th Most fours in an innings (19)']</t>
  </si>
  <si>
    <t>['10th Unusual dismissals (obstructing the)', '7th Outstanding bowling analyses in an innings (2/3)', '1st Fewest ducks in career (85)']</t>
  </si>
  <si>
    <t>['10th Unusual dismissals (obstructing the)']</t>
  </si>
  <si>
    <t>['14th No ducks in career (26)', '7th Outstanding bowling analyses in an innings (2/3)', '15th Most catches in an innings (3)']</t>
  </si>
  <si>
    <t>['40th Best strike rate in an innings (8.5)', '24th Longest intervals between appearances (6y 118d)']</t>
  </si>
  <si>
    <t>['9th Highest partnership for the ninth wicket (97*)', '8th Most runs in an innings (by batting position) (84*)']</t>
  </si>
  <si>
    <t>['14th No ducks in career (25)', '9th Highest partnership for the ninth wicket (97*)']</t>
  </si>
  <si>
    <t>['8th Most runs in an innings (by batting position) (84*)', '21st Highest partnership for the eighth wicket (41)']</t>
  </si>
  <si>
    <t>[' Hundred in each innings of a match ', '6th Highest percentage of runs in a completed innings (63.41)']</t>
  </si>
  <si>
    <t>['16th Youngest player to score a hundred (19y 187d)', '6th Highest percentage of runs in a completed innings (63.41)']</t>
  </si>
  <si>
    <t>['20th Worst career bowling average (52.07)', '34th Worst career strike rate (60.9)']</t>
  </si>
  <si>
    <t>['40th Most consecutive matches missed for a team between appearances (129)']</t>
  </si>
  <si>
    <t>['21st Most ducks in career (9)']</t>
  </si>
  <si>
    <t>['8th Most runs in a career without a hundred (1699)', '1st Best figures in a match by a captain (13)', '3rd Most ten-wickets-in-a-match in a career (9)', '7th Most runs conceded in an innings (240)', '3rd Most wickets taken stumped (35)', '5th Fastest to 400 wickets (84)', ' 1000 runs and 100 wickets ', '1st Outstanding bowling analyses in an innings (5/3)', '1st Most maidens in an innings (2)', '6th Most five-wickets-in-an-innings in a career (35)', '6th Most wickets taken stumped (49)']</t>
  </si>
  <si>
    <t>['8th Most runs in a career without a hundred (1699)', '14th Most ducks in career (23)', '10th Most wickets in career (433)', '18th Best figures in an innings (9/127)', '13th Best figures in a match (14)', '44th Most wickets in a calendar year (60)', '5th Most wickets on a single ground (102)', '2nd Best figures in a innings by a captain (8)', '1st Best figures in a match by a captain (13)', '30th Worst strike rate in an innings (360.0)', '5th Most five-wickets-in-an-innings in a career (34)', '3rd Most ten-wickets-in-a-match in a career (9)', '18th Most consecutive five-wickets-in-an-innings (3)', '12th Oldest player to take five-wickets-in-an-innings (40y 123d)', '5th Oldest player to take ten-wickets-in-a-match (39y 193d)', '12th Most balls bowled in career (25993)', '12th Most runs conceded in career (12157)', '7th Most runs conceded in an innings (240)', '19th Most wickets taken bowled (82)', '28th Most wickets taken caught (208)', '17th Most wickets taken caught by a fielder (166)', '8th Most wickets taken lbw (108)', '3rd Most wickets taken stumped (35)', '27th Fastest to 200 wickets (47)', '15th Fastest to 250 wickets (57)', '14th Fastest to 300 wickets (69)', '7th Fastest to 350 wickets (75)', '5th Fastest to 400 wickets (84)', '15th Most player-of-the-match awards (11)', '12th Most player-of-the-series awards (5)', '26th Longest careers (19y 48d)', '30th Oldest captains (39y 132d)', '15th Oldest captains on captaincy debut (38y 224d)']</t>
  </si>
  <si>
    <t>['40th Most wickets taken stumped (10)', '22nd Most consecutive matches missed for a team between appearances (154)']</t>
  </si>
  <si>
    <t>['6th Best figures in an innings (5/3)', '1st Outstanding bowling analyses in an innings (5/3)', '24th Best strike rate in an innings (4.2)', '19th Most maidens in career (3)', '1st Most maidens in an innings (2)']</t>
  </si>
  <si>
    <t>['26th Most runs in a career without a hundred (1274)']</t>
  </si>
  <si>
    <t>['22nd Best figures in a innings on debut (6)', '5th Best figures in a match on debut (11)', '29th Youngest player to take ten-wickets-in-a-match (22y 211d)']</t>
  </si>
  <si>
    <t>['4th Outstanding bowling analyses in an innings (4/3)', '2nd Best strike rate in an innings (4.5)']</t>
  </si>
  <si>
    <t>['4th Outstanding bowling analyses in an innings (4/3)', '2nd Best strike rate in an innings (4.5)', '12th Worst career bowling average (40.66)', '8th Worst career strike rate (69.2)', '21st Oldest players (39y 255d)']</t>
  </si>
  <si>
    <t>['26th Shortest lived players (44y 308d)']</t>
  </si>
  <si>
    <t>['48th Youngest players (18y 81d)']</t>
  </si>
  <si>
    <t>['5th Highest partnership for the sixth wicket (177)']</t>
  </si>
  <si>
    <t>['37th Worst career bowling average (without qualification) (71.00)']</t>
  </si>
  <si>
    <t>['8th Most consecutive matches for a team (93)', '1st Most runs on a single ground (2921)', '4th Most double hundreds in a career (7)', '10th Most nineties in career (6)', '9th Most fifties in career (84)', ' Hundred and a duck in a match ', '6th Most fours in an innings (43)', '8th Unusual dismissals (retired out)', '5th Fastest to 9000 runs (178)', '2nd Most catches in career (205)', ' 5000 runs and 50 fielding dismissals ', '2nd Highest partnership for the fourth wicket (437)', '2nd Most matches in career (448)', '4th Most consecutive matches as captain of a team (85)', '5th Most runs in an series by a captain (548)', '6th Most fifties in career (96)', '3rd Most ducks in career (28)', '10th Most fours in career (1119)', '6th Fastest to 12000 runs (399)', '1st Most catches in career (218)', ' 5000 runs and 50 fielding dismissals ', '2nd Highest partnership for the sixth wicket (218)', '1st Winning all tosses in a series (3)', '3rd Fifties in consecutive innings (3)', '2nd Highest partnership for the second wicket (166)', '2nd Most matches in career (652)', '2nd Most consecutive matches as captain of a team (100)', '4th Most runs in career (25957)', '6th Most hundreds against one team (13)', '8th Most nineties in career (11)', '6th Most fifties in career (190)', '5th Most ducks in career (47)', '4th Most fours in career (2679)', '1st Most catches in career (440)']</t>
  </si>
  <si>
    <t>['9th Most runs in career (11814)', '4th Most runs in an innings (374)', '9th Most runs in a match (374)', '1st Most runs in an innings (by batting position) (374)', '1st Most runs on a single ground (2921)', '45th Most runs in an series by a captain (510)', '2nd Most runs in an innings by a captain (374)', '43rd Highest career batting average (49.84)', '6th Most hundreds in a career (34)', '4th Most double hundreds in a career (7)', '5th Most triple hundreds in a career (1)', '19th Most hundreds in a calendar year (5)', '15th Most hundreds against one team (8)', '5th Hundreds in consecutive innings (3)', '21st Hundreds in consecutive matches (3)', '6th Youngest player to score a double hundred (21y 273d)', '10th Most nineties in career (6)', '9th Most fifties in career (84)', '25th Most sixes in career (61)', '8th Most fours in career (1387)', '6th Most fours in an innings (43)', '16th Most runs from fours and sixes in an innings (178)', '15th Longest individual innings (by minutes) (752)', '14th Longest individual innings (by balls) (572)', '47th Highest percentage of runs in a completed innings (56.60)', '8th Unusual dismissals (retired out)', '27th Fastest to 3000 runs (65)', '36th Fastest to 4000 runs (91)', '34th Fastest to 5000 runs (114)', '30th Fastest to 6000 runs (134)', '20th Fastest to 7000 runs (150)', '9th Fastest to 8000 runs (165)', '5th Fastest to 9000 runs (178)', '7th Fastest to 10000 runs (210)', '7th Fastest to 11000 runs (237)', '2nd Most catches in career (205)', '8th Most catches in a match (6)', '42nd Most catches in a series (10)', '9th Highest partnerships for any wicket (437)', '2nd Highest partnership for the fourth wicket (437)', '4th Highest partnership for the sixth wicket (351)', '27th Highest partnership for the seventh wicket (183)', '12th Highest partnership for the eighth wicket (170)', '10th Most matches in career (149)', '8th Most consecutive matches for a team (93)', '10th Most player-of-the-match awards (13)', '44th Most player-of-the-series awards (3)', '31st Most matches as captain (38)', '27th Most consecutive matches as captain of a team (28)', '47th Winning all tosses in a series (3)']</t>
  </si>
  <si>
    <t>['5th Most runs in career (12650)', '14th Most runs in a series (548)', '37th Most runs in a calendar year (1260)', '15th Most runs on a single ground (1712)', '5th Most runs in an series by a captain (548)', '15th Most hundreds in a career (19)', '19th Most hundreds against one team (5)', '47th Youngest player to score a hundred (21y 241d)', '12th Oldest player to score a hundred (37y 271d)', '34th Most nineties in career (4)', '6th Most fifties in career (96)', '3rd Most ducks in career (28)', '6th Most consecutive ducks (3)', '10th Most fours in career (1119)', '39th Most fours in an innings (19)', '35th Fastest to 7000 runs (235)', '31st Fastest to 8000 runs (278)', '20th Fastest to 9000 runs (307)', '14th Fastest to 10000 runs (333)', '9th Fastest to 11000 runs (368)', '6th Fastest to 12000 runs (399)', '1st Most catches in career (218)', '2nd Most catches in an innings (4)', '24th Most catches in a series (8)', '2nd Highest partnership for the sixth wicket (218)', '5th Highest partnership for the seventh wicket (126*)', '33rd Highest partnership for the eighth wicket (81)', '2nd Most matches in career (448)', '7th Most consecutive matches for a team (122)', '23rd Most player-of-the-match awards (22)', '24th Most player-of-the-series awards (4)', '25th Longest careers (17y 53d)', '11th Most matches as captain (129)', '4th Most consecutive matches as captain of a team (85)']</t>
  </si>
  <si>
    <t>['36th Most runs in career (1493)', '24th Most runs in an innings (by batting position) (89)', '19th Most runs in a match on the losing side (89)', '44th Most runs on a single ground (277)', '30th Highest career batting average (31.76)', '26th Most fifties in career (10)', '3rd Fifties in consecutive innings (3)', '18th Most fours in career (173)', '12th Most fours in an innings (12)', '21st Longest individual innings (by balls) (64)', '21st Highest percentage of runs in a completed innings (60.00)', '24th Fastest to 1000 runs (40)', '10th Highest partnerships for any wicket (166)', '2nd Highest partnership for the second wicket (166)', '19th Most player-of-the-match awards (6)', '35th Most matches as captain (19)', '4th Most consecutive matches as captain of a team (85)', '1st Winning all tosses in a series (3)']</t>
  </si>
  <si>
    <t>['18th Shortest lived players (39y 279d)']</t>
  </si>
  <si>
    <t>['33rd Worst career bowling average (48.67)', '19th Worst career strike rate (67.9)']</t>
  </si>
  <si>
    <t>['8th Most dismissals in a match (9)', '8th Most catches in a match (9)', '6th Most stumpings in career (32)', '1st Highest innings total without conceding a bye (726/9d)', ' Hundred and a duck in a match ', ' 2000 runs and 100 wicketkeeping dismissals ']</t>
  </si>
  <si>
    <t>['34th Most runs in an innings by a wicketkeeper (154*)', '12th Highest partnership for the seventh wicket (223*)', '29th Most dismissals in career (156)', '8th Most dismissals in a match (9)', '34th Most catches in career (124)', '8th Most catches in a match (9)', '6th Most stumpings in career (32)', '12th Most stumpings in a match (3)', '18th Most stumpings in a series (5)', '1st Highest innings total without conceding a bye (726/9d)', '23rd Most byes conceded in an innings (25)']</t>
  </si>
  <si>
    <t>['10th Most consecutive matches as captain of a team (38)', '3rd Most runs in an innings (by batting position) (340)', '5th Most triple hundreds in a career (1)', '4th Longest individual innings (by minutes) (799)', ' Opening the batting and bowling in the same match ', ' 1000 runs, 50 wickets and 50 catches ', ' 5000 runs and 50 fielding dismissals ', '1st Highest partnership for the second wicket (576)', '2nd Longest careers (21y 184d)', '3rd Most runs in an innings by a captain (189)', '2nd Oldest player to score a hundred (39y 212d)', '1st Dismissed for 99 (and 199, 299 etc) (99)', '6th Most fifties in career (96)', '1st Most ducks in career (34)', '2nd Most fours in career (1500)', '6th Highest percentage of runs in a completed innings (63.21)', '4th Fastest to 13000 runs (416)', '1st Outstanding bowling analyses in an innings (1/0)', '6th Most balls bowled in career (14874)', '3rd Most runs conceded in career (11871)', '3rd Most wickets taken stumped (42)', ' A hundred and four wickets in an innings ', ' 1000 runs, 50 wickets and 50 catches ', ' 5000 runs and 50 fielding dismissals ', '8th Oldest living players (51y 258d)', '3rd Fifties in consecutive innings (3)', '5th Most runs conceded in an innings (64)', '2nd Most player-of-the-match awards (58)', '7th Most runs on a single ground (3146)', '3rd Most ducks in career (53)', '6th Most sixes in career (352)', '6th Most wickets taken stumped (49)']</t>
  </si>
  <si>
    <t>['7th Most runs in an innings (340)', '20th Most runs in a match (340)', '40th Most runs in a calendar year (1271)', '3rd Most runs in an innings (by batting position) (340)', '12th Most runs on a single ground (1542)', '27th Most double hundreds in a career (3)', '5th Most triple hundreds in a career (1)', '26th Fifties in consecutive matches (7)', '27th Most sixes in career (59)', '33rd Most fours in career (910)', '36th Most sixes in an innings (6)', '31st Most fours in an innings (36)', '31st Most runs from fours and sixes in an innings (156)', '4th Longest individual innings (by minutes) (799)', '13th Longest individual innings (by balls) (578)', '36th Highest percentage of runs in a completed innings (57.76)', '21st Best figures in a match by a captain (9)', '2nd Highest partnerships for any wicket (576)', '2nd Highest partnerships by wicket (2nd)', '1st Highest partnership for the second wicket (576)', '48th Highest partnership for the ninth wicket (101)', '45th Most matches in career (110)', '31st Most matches as captain (38)', '10th Most consecutive matches as captain of a team (38)', '47th Winning all tosses in a series (3)']</t>
  </si>
  <si>
    <t>['4th Most runs in career (13430)', '14th Most runs in an innings (189)', '50th Most runs in a series (467)', '49th Most runs in a calendar year (1202)', '12th Most runs in an innings (by batting position) (189)', '4th Most runs on a single ground (2514)', '22nd Most runs in an series by a captain (413)', '3rd Most runs in an innings by a captain (189)', '41st Highest strike rate in an innings (271.42)', '5th Most hundreds in a career (28)', '11th Most hundreds in a calendar year (5)', '7th Most hundreds against one team (7)', '35th Highest maiden hundred (140)', '2nd Oldest player to score a hundred (39y 212d)', '8th Most nineties in career (6)', '1st Dismissed for 99 (and 199, 299 etc) (99)', '6th Most fifties in career (96)', '11th Fifties in consecutive innings (5)', '1st Most ducks in career (34)', '3rd Most sixes in career (270)', '2nd Most fours in career (1500)', '13th Most sixes in an innings (11)', '4th Most fours in an innings (24)', '28th Most runs from fours and sixes in an innings (110)', '31st Longest individual innings (by balls) (161)', '6th Highest percentage of runs in a completed innings (63.21)', '37th Fastest to 7000 runs (238)', '29th Fastest to 8000 runs (263)', '18th Fastest to 9000 runs (291)', '13th Fastest to 10000 runs (328)', '8th Fastest to 11000 runs (354)', '5th Fastest to 12000 runs (379)', '4th Fastest to 13000 runs (416)', '11th Most wickets in career (323)', '49th Best figures in an innings (6/29)', '1st Outstanding bowling analyses in an innings (1/0)', '10th Most wickets on a single ground (60)', '6th Best figures in a innings by a captain (5)', '14th Best figures in a innings when on the losing side (5)', '12th Best strike rate in an innings (6.0)', '44th Worst economy rate in an innings (10.85)', '15th Most five-wickets-in-an-innings in a career (4)', '16th Most four-wickets-in-an-innings in a career (12)', '13th Most consecutive four-wickets-in-an-innings (2)', '13th Oldest player to take five-wickets-in-an-innings (35y 108d)', '6th Most balls bowled in career (14874)', '3rd Most runs conceded in career (11871)', '33rd Most runs conceded in an innings (94)', '25th Bowler/Batters combinations (8)', '19th Bowler/fielder combinations (35)', '9th Most wickets taken bowled (88)', '17th Most wickets taken caught (177)', '5th Most wickets taken caught and bowled (18)', '7th Most wickets taken caught by a fielder (153)', '3rd Most wickets taken stumped (42)', '15th Most catches in career (123)', '42nd Highest partnership for the first wicket (201)', '20th Highest partnership for the third wicket (213*)', '21st Highest partnership for the fifth wicket (166)', '3rd Most matches in career (445)', '17th Most consecutive matches for a team (96)', '2nd Most player-of-the-match awards (48)', '2nd Most player-of-the-series awards (11)', '20th Oldest players (41y 363d)', '2nd Longest careers (21y 184d)', '14th Most matches as captain (118)', '17th Most consecutive matches as captain of a team (47)', '43rd Winning all tosses in a series (3)']</t>
  </si>
  <si>
    <t>['3rd Fifties in consecutive innings (3)', '31st Most fours in an innings (11)', '20th Outstanding bowling analyses in an innings (2/4)', '5th Most runs conceded in an innings (64)', '19th Most player-of-the-match awards (6)', '40th Oldest players (41y 360d)', '8th Oldest living players (51y 258d)', '17th Most consecutive matches as captain of a team (47)']</t>
  </si>
  <si>
    <t>['27th Fewest ducks in career (34.5)', '25th Highest partnership for the ninth wicket (76)']</t>
  </si>
  <si>
    <t>['12th Highest partnership for the eighth wicket (31)']</t>
  </si>
  <si>
    <t>['9th Worst career economy rate (3.77)']</t>
  </si>
  <si>
    <t>['9th Worst career economy rate (3.77)', '29th Youngest player to take five-wickets-in-an-innings (19y 324d)']</t>
  </si>
  <si>
    <t>['1st Most consecutive ducks (3)', '7th Worst career strike rate (29.7)']</t>
  </si>
  <si>
    <t>['11th Most runs in an innings (by batting position) (17)', '11th Best figures in a innings when on the losing side (4)', '15th Best figures in a innings on debut (3)']</t>
  </si>
  <si>
    <t>['1st Most consecutive ducks (3)', '7th Worst career bowling average (30.83)', '22nd Worst career economy rate (6.21)', '7th Worst career strike rate (29.7)', '27th Most runs conceded in an innings (48)', '12th Most maidens in an innings (2)']</t>
  </si>
  <si>
    <t>['7th No ducks in career (38)', '7th Most runs in a career without a hundred (2745)']</t>
  </si>
  <si>
    <t>['22nd Most runs in an innings (by batting position) (95)', '36th Most runs in a career without a hundred (1624)', '42nd Worst career bowling average (without qualification) (112.50)']</t>
  </si>
  <si>
    <t>['19th Most runs in an innings (by batting position) (48*)', '7th No ducks in career (38)', '28th Most consecutive innings without a duck (38*)', '15th Most catches in an innings (3)']</t>
  </si>
  <si>
    <t>['4th Most stumpings in an innings (3)', ' Hundred on debut (132*)', '1st Most stumpings in an innings (3)', '1st Dismissed for 99 (and 199, 299 etc) (99)', '6th Most ducks in a series (3)', ' 200 runs and 10 wicketkeeping dismissals in a series ', '3rd Most stumpings in career (101)']</t>
  </si>
  <si>
    <t>['40th Most dismissals in career (119)', '45th Most catches in career (93)', '9th Most stumpings in career (26)', '4th Most stumpings in an innings (3)', '12th Most stumpings in a match (3)', '24th Highest innings total without conceding a bye (586/7d)']</t>
  </si>
  <si>
    <t>['43rd Most runs in a series by a wicketkeeper (308)', '1st Dismissed for 99 (and 199, 299 etc) (99)', '9th Most ducks in career (24)', '6th Most ducks in a series (3)', '25th Most fours in an innings (20)', '11th Most dismissals in career (206)', '16th Most dismissals in an innings (5)', '20th Most catches in career (131)', '3rd Most stumpings in career (75)', '1st Most stumpings in an innings (3)', '2nd Most stumpings in a series (6)']</t>
  </si>
  <si>
    <t>[' Hundred and a duck in a match ', ' Carrying bat through a completed innings (158*)', ' 5000 runs and 50 fielding dismissals ', ' Carrying bat through a completed innings (52*)']</t>
  </si>
  <si>
    <t>['22nd Most runs in an innings by a captain (244)', '49th Hundred in last match (118)', '25th Longest individual innings (by minutes) (698)', '49th Highest partnerships for any wicket (345)', '12th Highest partnership for the fourth wicket (345)', '24th Most player-of-the-series awards (4)']</t>
  </si>
  <si>
    <t>['35th Most balls bowled in an innings (438)', '14th Most runs conceded in an innings (222)']</t>
  </si>
  <si>
    <t>['4th Most ducks in a series (4)', '4th Most catches in an innings (3)', '3rd Worst economy rate in an innings (23.50)']</t>
  </si>
  <si>
    <t>['4th Most ducks in a series (4)', '4th Most catches in an innings (3)', '16th Most catches in a series (9)']</t>
  </si>
  <si>
    <t>['17th Most runs in an innings (by batting position) (17)', '34th Most ducks in career (5)', '3rd Worst economy rate in an innings (23.50)', '29th Most runs conceded in an innings (47)']</t>
  </si>
  <si>
    <t>['6th Most ducks in a series (3)', ' 1000 runs and 100 wickets ', '1st Outstanding bowling analyses in an innings (1/0)', '9th Most balls bowled in career (1231)', '1st Most maidens in an innings (2)', '10th Most wickets taken caught (46)']</t>
  </si>
  <si>
    <t>['48th Most runs in a career without a hundred (1327)', '6th Most ducks in a series (3)', '38th Most wickets in career (199)', '48th Best economy rate in an innings (1.00)', '44th Oldest player to take a maiden five-wickets-in-an-innings (30y 180d)', '36th Most balls bowled in career (8263)', '31st Most runs conceded in career (6751)', '25th Bowler/Batters combinations (8)', '15th Bowler/fielder combinations (36)', '46th Most wickets taken bowled (45)', '34th Most wickets taken caught by a wicketkeeper (40)', '16th Most wickets taken lbw (46)']</t>
  </si>
  <si>
    <t>['35th Most runs in an innings (by batting position) (31)', '12th Most wickets in career (66)', '1st Outstanding bowling analyses in an innings (1/0)', '8th Best figures in a innings when on the losing side (4)', '16th Most four-wickets-in-an-innings in a career (2)', '9th Most balls bowled in career (1231)', '12th Most runs conceded in career (1530)', '17th Bowler/batters combinations (3)', '26th Bowler/fielder combinations (7)', '27th Most wickets taken bowled (13)', '10th Most wickets taken caught (46)', '11th Most wickets taken caught by a fielder (38)', '13th Most wickets taken caught by a wicketkeeper (8)', '14th Most wickets taken lbw (7)', '26th Fastest to 50 wickets (45)', '2nd Most maidens in career (6)', '1st Most maidens in an innings (2)']</t>
  </si>
  <si>
    <t>['35th Highest partnership for the ninth wicket (71)']</t>
  </si>
  <si>
    <t>['39th Longest intervals between appearances (6y 244d)']</t>
  </si>
  <si>
    <t>['3rd Best figures in a innings on debut (5)', '30th Youngest player to take five-wickets-in-an-innings (21y 233d)']</t>
  </si>
  <si>
    <t>['8th Worst economy rate in an innings (7.22)']</t>
  </si>
  <si>
    <t>['1st Most runs in an innings (by batting position) (44)', '5th Best figures in a innings when on the losing side (4)', '3rd Highest partnership for the eighth wicket (39)']</t>
  </si>
  <si>
    <t>['19th Most runs in a career without a hundred (1219)', '15th Most ducks in career (10)', '29th Worst career economy rate (4.27)', '20th Worst economy rate in an innings (9.00)', '28th Highest partnership for the eighth wicket (47)', '50th Most matches in career (89)', '25th Oldest captains on captaincy debut (30y 346d)']</t>
  </si>
  <si>
    <t>['1st Most runs in an innings (by batting position) (44)', '11th Most ducks in career (7)', '19th Most wickets on a single ground (10)', '5th Best figures in a innings when on the losing side (4)', '39th Best career bowling average (19.77)', '39th Best career strike rate (20.3)', '12th Best figures in a innings on debut (3)', '24th Most wickets taken bowled (15)', '22nd Highest partnership for the seventh wicket (39)', '3rd Highest partnership for the eighth wicket (39)']</t>
  </si>
  <si>
    <t>['9th Most runs in an innings by a wicketkeeper (201*)', ' Hundred on debut (201*)', '8th Longest individual innings (by minutes) (777)']</t>
  </si>
  <si>
    <t>['9th Most runs in an innings by a wicketkeeper (201*)', '10th Most runs in debut match (201)', '33rd Highest maiden hundred (201*)', '8th Longest individual innings (by minutes) (777)', '23rd Longest individual innings (by balls) (548)']</t>
  </si>
  <si>
    <t>['28th Most runs in a career without a hundred (1083)', '21st Most ducks in career (9)', '34th Worst career bowling average (33.11)', '4th Most catches in an innings (3)', '47th Most catches in a series (6)', '22nd Highest partnership for the ninth wicket (39)', '13th Highest partnership for the tenth wicket (37*)', '40th Longest careers (13y 333d)']</t>
  </si>
  <si>
    <t>['44th Worst career bowling average (without qualification) (61.00)']</t>
  </si>
  <si>
    <t>['36th Worst career bowling average (without qualification) (148.00)']</t>
  </si>
  <si>
    <t>['8th Most matches as a match referee (40)']</t>
  </si>
  <si>
    <t>['14th Best figures in a innings when on the losing side (5)', '46th Youngest player to take five-wickets-in-an-innings (22y 222d)', '22nd Most matches as a match referee (41)']</t>
  </si>
  <si>
    <t>['34th Best career bowling average (23.38)']</t>
  </si>
  <si>
    <t>['27th Most ducks in career (19)', '31st Worst economy rate in an innings (6.58)']</t>
  </si>
  <si>
    <t>['29th Most consecutive matches missed for a team between appearances (62)']</t>
  </si>
  <si>
    <t>['1st Most player-of-the-series awards (11)', '4th Highest strike rate in an innings (263.63)', '2nd Most pairs in career (4)', '1st Most wickets on a single ground (166)', '1st Most consecutive ten-wickets-in-a-match (4)', '1st Most balls bowled in career (44039)', '2nd Most runs conceded in career (18180)', '1st Most wickets taken stumped (47)', ' Dismissing all eleven batters in a match ', '1st Fastest to 800 wickets (133)', ' 1000 runs and 100 wickets ', ' 1000 runs, 50 wickets and 50 catches ', '9th Most matches in career (350)', '6th Most consecutive ducks (3)', '1st Most wickets in career (534)', '2nd Most four-wickets-in-an-innings in a career (25)', '1st Most balls bowled in career (18811)', '2nd Most runs conceded in career (12326)', '1st Most wickets taken stumped (56)', '1st Fastest to 500 wickets (324)', '9th Most catches in career (130)', '7th Most player-of-the-series awards (11)', '1st Most ducks in career (59)', '1st Most wickets in a calendar year (136)', '1st Most consecutive four-wickets-in-an-innings (8)', '1st Most balls bowled in career (63132)', '1st Most runs conceded in career (30803)', '1st Most wickets taken stumped (104)']</t>
  </si>
  <si>
    <t>['28th Most runs in a career without a hundred (1261)', '4th Highest strike rate in an innings (263.63)', '6th Most ducks in career (33)', '2nd Most pairs in career (4)', '1st Most wickets in career (800)', '5th Best figures in an innings (9/51)', '3rd Best figures in a match (16)', '2nd Most wickets in a calendar year (90)', '3rd Outstanding bowling analyses in an innings (9/51)', '1st Most wickets on a single ground (166)', '24th Best figures in a innings when on the losing side (7)', '15th Best figures in a match when on the losing side (11)', '46th Best career bowling average (22.72)', '28th Best strike rate in an innings (8.0)', '16th Worst strike rate in an innings (390.0)', '1st Most five-wickets-in-an-innings in a career (67)', '1st Most ten-wickets-in-a-match in a career (22)', '5th Most consecutive five-wickets-in-an-innings (4)', '1st Most consecutive ten-wickets-in-a-match (4)', '25th Oldest player to take five-wickets-in-an-innings (38y 92d)', '13th Oldest player to take ten-wickets-in-a-match (36y 253d)', '1st Most balls bowled in career (44039)', '23rd Most balls bowled in an innings (450)', '13th Most balls bowled in a match (683)', '2nd Most runs conceded in career (18180)', '12th Most runs conceded in an innings (224)', '18th Bowler/Batter combinations (12)', '6th Bowler/fielder combinations (77)', '1st Most wickets taken bowled (167)', '1st Most wickets taken caught (435)', '1st Most wickets taken caught and bowled (35)', '1st Most wickets taken caught by a fielder (388)', '2nd Most wickets taken lbw (150)', '1st Most wickets taken stumped (47)', '36th Fastest to 150 wickets (36)', '9th Fastest to 200 wickets (42)', '5th Fastest to 250 wickets (51)', '3rd Fastest to 300 wickets (58)', '1st Fastest to 350 wickets (66)', '1st Fastest to 400 wickets (72)', '1st Fastest to 450 wickets (80)', '1st Fastest to 500 wickets (87)', '1st Fastest to 600 wickets (101)', '1st Fastest to 700 wickets (113)', '1st Fastest to 750 wickets (122)', '1st Fastest to 800 wickets (133)', '16th Most matches in career (133)', '2nd Most player-of-the-match awards (19)', '1st Most player-of-the-series awards (11)', '49th Longest careers (17y 328d)']</t>
  </si>
  <si>
    <t>['6th Most ducks in career (25)', '6th Most consecutive ducks (3)', '1st Most wickets in career (534)', '6th Best figures in an innings (7/30)', '6th Most wickets in a series (23)', '10th Most wickets in a calendar year (56)', '3rd Outstanding bowling analyses in an innings (2/1)', '5th Most wickets on a single ground (82)', '14th Best figures in a innings when on the losing side (5)', '27th Best career bowling average (23.08)', '45th Best career economy rate (3.93)', '36th Best economy rate in an innings (0.90)', '12th Best strike rate in an innings (6.0)', '2nd Most five-wickets-in-an-innings in a career (10)', '2nd Most four-wickets-in-an-innings in a career (25)', '13th Most consecutive four-wickets-in-an-innings (2)', '8th Oldest player to take five-wickets-in-an-innings (36y 227d)', '1st Most balls bowled in career (18811)', '2nd Most runs conceded in career (12326)', '14th Most runs conceded in an innings (99)', '25th Bowler/Batters combinations (8)', '5th Bowler/fielder combinations (49)', '3rd Most wickets taken bowled (122)', '1st Most wickets taken caught (290)', '1st Most wickets taken caught and bowled (35)', '1st Most wickets taken caught by a fielder (246)', '26th Most wickets taken caught by a wicketkeeper (44)', '5th Most wickets taken lbw (65)', '1st Most wickets taken stumped (56)', '32nd Fastest to 150 wickets (110)', '20th Fastest to 200 wickets (147)', '11th Fastest to 250 wickets (174)', '4th Fastest to 300 wickets (202)', '3rd Fastest to 350 wickets (229)', '2nd Fastest to 400 wickets (263)', '1st Fastest to 450 wickets (295)', '1st Fastest to 500 wickets (324)', '9th Most catches in career (130)', '9th Most matches in career (350)', '19th Longest careers (17y 233d)']</t>
  </si>
  <si>
    <t>['35th Oldest living players (48y 332d)']</t>
  </si>
  <si>
    <t>['30th Most runs in a match on the losing side (63*)']</t>
  </si>
  <si>
    <t>['13th Highest partnership for the ninth wicket (25*)']</t>
  </si>
  <si>
    <t>[' Hundred and a ninety in a match ', '1st Fewest ducks in career (80.5)', ' 5000 runs and 50 fielding dismissals ', '7th Most runs in an innings (by batting position) (139*)', ' 1000 runs and 100 wickets ', ' 1000 runs, 50 wickets and 50 catches ', ' 5000 runs and 50 fielding dismissals ', '1st Highest partnership for the ninth wicket (132)', '4th Most consecutive matches for a team (55)', '9th Most runs in an innings (by batting position) (81*)', '2nd Most innings before first duck (56)', '8th Worst career strike rate (27.0)', '10th Most maidens in career (4)', '6th Most runs in a calendar year (2687)']</t>
  </si>
  <si>
    <t>['33rd Most runs in a calendar year (1317)', '18th Most runs on a single ground (1457)', '27th Highest strike rate in an innings (192.30)', '20th Most nineties in career (5)', '30th Most innings before first duck (36)', '7th Most consecutive innings without a duck (83)', '1st Fewest ducks in career (80.5)', '23rd Most sixes in career (63)', '31st Worst career bowling average (53.51)', '30th Worst career strike rate (119.0)', '22nd Highest partnership for the eighth wicket (149)', '44th Most player-of-the-series awards (3)', '36th Most matches as captain (34)', '18th Most consecutive matches as captain of a team (31)', '45th Youngest captains (25y 279d)']</t>
  </si>
  <si>
    <t>['39th Most runs in a calendar year (1244)', '7th Most runs in an innings (by batting position) (139*)', '40th Most runs in a match on the losing side (139*)', '45th Most runs in an series by a captain (339)', '30th Most runs in an innings by a captain (139*)', '38th Highest maiden hundred (139*)', '34th Most nineties in career (4)', '45th Most ducks in career (15)', '46th Most sixes in career (89)', '22nd Most sixes in an innings (10)', '26th Best figures in an innings (6/20)', '14th Outstanding bowling analyses in an innings (6/20)', '26th Best figures in a innings by a captain (4)', '48th Best economy rate in an innings (1.00)', '12th Best strike rate in an innings (6.0)', '39th Youngest player to take five-wickets-in-an-innings (22y 102d)', '9th Highest partnerships by wicket (9th)', '1st Highest partnership for the ninth wicket (132)', '49th Highest partnership for the tenth wicket (46)', '17th Most matches as captain (106)', '17th Most consecutive matches as captain of a team (47)', '44th Youngest captains (25y 63d)']</t>
  </si>
  <si>
    <t>['9th Most runs in an innings (by batting position) (81*)', '35th Most runs in a match on the losing side (81*)', '37th Highest strike rate in an innings (284.61)', '2nd Most innings before first duck (56)', '9th Most consecutive innings without a duck (56)', '7th Fewest ducks in career (63)', '39th Highest percentage of runs in a completed innings (57.04)', '43rd Best career economy rate (6.99)', '14th Worst career bowling average (31.57)', '8th Worst career strike rate (27.0)', '31st Most balls bowled in career (1029)', '28th Most runs conceded in career (1200)', '48th Most wickets taken bowled (10)', '32nd Most wickets taken lbw (5)', '44th Most catches in career (24)', '19th Highest partnership for the fifth wicket (80)', '28th Highest partnership for the eighth wicket (39*)', '13th Highest partnership for the ninth wicket (39*)', '25th Most matches in career (78)', '4th Most consecutive matches for a team (55)', '42nd Longest careers (11y 272d)', '50th Most matches as captain (16)', '31st Youngest captains (25y 1d)', '17th Most consecutive matches as captain of a team (47)', '10th Most maidens in career (4)']</t>
  </si>
  <si>
    <t>['17th Best career bowling average (without qualification) (8.66)']</t>
  </si>
  <si>
    <t>['9th Worst career bowling average (65.24)', '3rd Outstanding bowling analyses in an innings (3/3)', ' 1000 runs and 100 wickets ', '6th Most consecutive matches missed for a team between appearances (72)']</t>
  </si>
  <si>
    <t>['42nd Most innings before first duck (32)', '9th Worst career bowling average (65.24)', '31st Worst career strike rate (117.6)']</t>
  </si>
  <si>
    <t>['13th Highest strike rate in an innings (300.00)', '16th Best figures in an innings (6/14)', '3rd Outstanding bowling analyses in an innings (3/3)', '36th Best economy rate in an innings (0.90)', '43rd Most five-wickets-in-an-innings in a career (2)', '36th Youngest player to take five-wickets-in-an-innings (22y 37d)', '15th Bowler/fielder combinations (36)']</t>
  </si>
  <si>
    <t>['6th Most consecutive matches missed for a team between appearances (72)', '10th Longest intervals between appearances (7y 266d)']</t>
  </si>
  <si>
    <t>['4th Most consecutive ducks (4)', '9th Highest strike rate in an innings (311.11)', '6th Most consecutive ducks (3)']</t>
  </si>
  <si>
    <t>['4th Most consecutive ducks (4)', '16th Highest partnership for the second wicket (308)', '28th Highest partnership for the fourth wicket (274*)']</t>
  </si>
  <si>
    <t>['9th Highest strike rate in an innings (311.11)', '6th Most consecutive ducks (3)', '36th Fastest to 1000 runs (28)']</t>
  </si>
  <si>
    <t>['43rd Most runs in a match on the losing side (79)', '40th Most innings before first duck (17)']</t>
  </si>
  <si>
    <t>['1st Most matches as a match referee (199)']</t>
  </si>
  <si>
    <t>['1st Most matches as a match referee (363)']</t>
  </si>
  <si>
    <t>['3rd Most matches as a match referee (107)']</t>
  </si>
  <si>
    <t>[' Hundred in each innings of a match ', ' Hundred and a ninety in a match ', '9th Winning all tosses in a series (3)']</t>
  </si>
  <si>
    <t>['33rd Winning all tosses in a series (3)']</t>
  </si>
  <si>
    <t>['39th Most runs in a career without a hundred (1527)', '48th Most matches as captain (61)', '9th Most consecutive matches as captain of a team (60)', '9th Winning all tosses in a series (3)']</t>
  </si>
  <si>
    <t>['9th Most consecutive matches as captain of a team (60)']</t>
  </si>
  <si>
    <t>['1st Most wickets taken hit wicket (1)', '20th Most consecutive matches missed for a team between appearances (49)']</t>
  </si>
  <si>
    <t>['9th Most innings before first duck (26)']</t>
  </si>
  <si>
    <t>['9th Most innings before first duck (26)', '34th Most ducks in career (5)']</t>
  </si>
  <si>
    <t>['5th Most matches as a match referee (61)', ' 5000 runs and 50 fielding dismissals ', '10th Most matches as a match referee (35)']</t>
  </si>
  <si>
    <t>['26th Fifties in consecutive matches (7)', '14th Longest individual innings (by minutes) (753)', '18th Longest individual innings (by balls) (561)', '5th Most matches as a match referee (61)']</t>
  </si>
  <si>
    <t>['46th Most runs on a single ground (1015)', '45th Most ducks in career (15)', '21st Most catches in career (109)', '35th Highest partnership for the fourth wicket (171*)', '5th Most matches as a match referee (222)']</t>
  </si>
  <si>
    <t>['10th Most matches as a match referee (35)']</t>
  </si>
  <si>
    <t>['13th Worst career bowling average (without qualification) (92.00)', '42nd Most consecutive matches missed for a team between appearances (38)']</t>
  </si>
  <si>
    <t>['9th Most runs in an innings (by batting position) (78)', '3rd Outstanding bowling analyses in an innings (6/13)', '10th Best career strike rate (27.3)', '1st Fastest to 50 wickets (19)', '2nd Outstanding bowling analyses in an innings (6/8)', '3rd Best career bowling average (14.42)', '4th Best figures in a innings on debut (4)', '1st Most consecutive four-wickets-in-an-innings (2)', '1st Most maidens in an innings (2)', '2nd Most wickets taken lbw (16)', '1st Fastest to 50 wickets (26)', '3rd Most consecutive four-wickets-in-an-innings (6)']</t>
  </si>
  <si>
    <t>['9th Most runs in an innings (by batting position) (78)', '40th Best figures in a match when on the losing side (10)', '34th Worst strike rate in an innings (354.0)', '33rd Best figures in a match on debut (8)', '42nd Youngest player to take ten-wickets-in-a-match (23y 142d)']</t>
  </si>
  <si>
    <t>['15th Best figures in an innings (6/13)', '21st Most wickets in a calendar year (48)', '3rd Outstanding bowling analyses in an innings (6/13)', '28th Most wickets on a single ground (40)', '16th Best career bowling average (21.86)', '10th Best career strike rate (27.3)', '35th Best strike rate in an innings (6.7)', '25th Most five-wickets-in-an-innings in a career (3)', '25th Most four-wickets-in-an-innings in a career (10)', '13th Most consecutive four-wickets-in-an-innings (2)', '27th Most wickets taken lbw (34)', '40th Most wickets taken stumped (10)', '1st Fastest to 50 wickets (19)', '25th Fastest to 100 wickets (63)', '5th Fastest to 150 wickets (84)']</t>
  </si>
  <si>
    <t>['12th Most wickets in career (66)', '2nd Best figures in an innings (6/8)', '2nd Outstanding bowling analyses in an innings (6/8)', '43rd Most wickets on a single ground (11)', '8th Best figures in a innings when on the losing side (4)', '3rd Best career bowling average (14.42)', '14th Best career economy rate (6.45)', '4th Best career strike rate (13.4)', '20th Best strike rate in an innings (4.0)', '4th Best figures in a innings on debut (4)', '2nd Most four-wickets-in-an-innings in a career (5)', '1st Most consecutive four-wickets-in-an-innings (2)', '44th Most balls bowled in career (885)', '17th Bowler/batters combinations (3)', '26th Bowler/fielder combinations (7)', '19th Most wickets taken bowled (15)', '2nd Most wickets taken lbw (16)', '8th Most wickets taken stumped (8)', '1st Fastest to 50 wickets (26)', '28th Most player-of-the-match awards (5)', '3rd Most maidens in career (5)', '1st Most maidens in an innings (2)']</t>
  </si>
  <si>
    <t>[' Pair on debut ', '5th Worst career economy rate (3.85)', '5th Most runs in an innings (by batting position) (56)', '1st Most consecutive ducks (4)', '9th Most wickets in career (338)', '4th Worst economy rate in an innings (12.52)', '5th Most four-wickets-in-an-innings in a career (19)', '8th Most runs conceded in career (9760)', '4th Most wickets taken bowled (104)', '5th Fastest to 300 wickets (203)', '6th Most ducks in career (8)', '1st Best figures in a innings by a captain (5)', '7th Most four-wickets-in-an-innings in a career (3)', '2nd Most balls bowled in career (1799)', '3rd Most runs conceded in career (2225)', '1st Most wickets taken bowled (43)', '9th Highest partnership for the ninth wicket (44)', '4th Most consecutive ducks (4)', '6th Most wickets taken bowled (171)']</t>
  </si>
  <si>
    <t>['48th Best career strike rate (51.5)', '5th Worst career economy rate (3.85)']</t>
  </si>
  <si>
    <t>['5th Most runs in an innings (by batting position) (56)', '5th Most ducks in career (26)', '6th Most ducks in a series (3)', '1st Most consecutive ducks (4)', '9th Most wickets in career (338)', '42nd Most wickets in a series (18)', '21st Most wickets in a calendar year (48)', '14th Most wickets on a single ground (52)', '14th Best figures in a innings when on the losing side (5)', '4th Worst economy rate in an innings (12.52)', '5th Most five-wickets-in-an-innings in a career (8)', '5th Most four-wickets-in-an-innings in a career (19)', '15th Oldest player to take five-wickets-in-an-innings (35y 46d)', '16th Most balls bowled in career (10936)', '8th Most runs conceded in career (9760)', '19th Most runs conceded in an innings (96)', '9th Bowler/fielder combinations (45)', '4th Most wickets taken bowled (104)', '13th Most wickets taken caught (187)', '19th Most wickets taken caught by a fielder (127)', '11th Most wickets taken caught by a wicketkeeper (60)', '15th Most wickets taken lbw (47)', '39th Fastest to 100 wickets (68)', '15th Fastest to 150 wickets (96)', '7th Fastest to 200 wickets (127)', '8th Fastest to 250 wickets (163)', '5th Fastest to 300 wickets (203)', '45th Oldest captains on captaincy debut (34y 3d)']</t>
  </si>
  <si>
    <t>['21st Most runs in an innings (by batting position) (27)', '6th Most ducks in career (8)', '1st Most wickets in career (107)', '10th Best figures in an innings (5/6)', '5th Outstanding bowling analyses in an innings (5/6)', '9th Most wickets on a single ground (18)', '1st Best figures in a innings by a captain (5)', '35th Best career bowling average (20.79)', '32nd Best career strike rate (16.8)', '7th Most four-wickets-in-an-innings in a career (3)', '2nd Most balls bowled in career (1799)', '3rd Most runs conceded in career (2225)', '17th Bowler/batters combinations (3)', '1st Most wickets taken bowled (43)', '4th Most wickets taken caught (52)', '10th Most wickets taken caught and bowled (4)', '5th Most wickets taken caught by a fielder (45)', '22nd Most wickets taken caught by a wicketkeeper (7)', '5th Most wickets taken lbw (12)', '24th Fastest to 50 wickets (44)', '9th Highest partnership for the ninth wicket (44)', '41st Highest partnership for the tenth wicket (16*)', '13th Most matches in career (84)', '11th Longest careers (13y 265d)', '27th Most matches as captain (24)', '48th Oldest captains (36y 191d)', '19th Winning all tosses in a series (3)']</t>
  </si>
  <si>
    <t>['28th Most consecutive matches missed for a team between appearances (63)']</t>
  </si>
  <si>
    <t>['47th Most consecutive matches missed for a team between appearances (123)']</t>
  </si>
  <si>
    <t>['24th Most runs in an innings (by batting position) (46*)', '11th Highest strike rate in an innings (353.84)', '48th Highest partnership for the seventh wicket (45*)', '25th Highest partnership for the eighth wicket (40)']</t>
  </si>
  <si>
    <t>['12th Longest lived players (73y 37d)']</t>
  </si>
  <si>
    <t>['28th Most matches as an umpire (79)']</t>
  </si>
  <si>
    <t>['12th Worst career economy rate (3.74)']</t>
  </si>
  <si>
    <t>['48th Best career strike rate (31.7)', '32nd Worst career economy rate (5.76)']</t>
  </si>
  <si>
    <t>['42nd Most runs in debut match (74)', '26th No ducks in career (20)']</t>
  </si>
  <si>
    <t>['37th Highest partnership for the eighth wicket (36*)']</t>
  </si>
  <si>
    <t>['40th Youngest players (17y 237d)']</t>
  </si>
  <si>
    <t>['14th Most consecutive matches missed for a team between appearances (51)', '47th Longest intervals between appearances (5y 33d)']</t>
  </si>
  <si>
    <t>['8th Captains who have kept wicket and opened the batting (2)', '1st Dismissed for 99 (and 199, 299 etc) (99)', '5th No ducks in career (46)', '9th Fastest to 1000 runs (34)', '2nd Highest partnership for the sixth wicket (97)']</t>
  </si>
  <si>
    <t>['40th Highest strike rate in an innings (272.00)', '20th Hundred in last match (120)', '1st Dismissed for 99 (and 199, 299 etc) (99)', '29th Captains who have kept wicket (2)', '8th Captains who have kept wicket and opened the batting (2)']</t>
  </si>
  <si>
    <t>['45th Most runs in career (1293)', '48th Most runs in a match on the losing side (77)', '14th Most runs on a single ground (356)', '23rd Most runs in an innings by a wicketkeeper (77)', '17th Most fifties in career (12)', '5th No ducks in career (46)', '16th Most consecutive innings without a duck (46*)', '45th Most sixes in career (47)', '37th Most fours in career (123)', '42nd Most sixes in an innings (7)', '9th Fastest to 1000 runs (34)', '2nd Highest partnership for the sixth wicket (97)', '12th Most player-of-the-match awards (7)', '24th Most stumpings in career (5)']</t>
  </si>
  <si>
    <t>[' Opening the batting and bowling in the same match ', '9th Most consecutive matches missed for a team between appearances (190)']</t>
  </si>
  <si>
    <t>['24th Most runs in a career without a hundred (1303)', '29th Ninety on debut (95)', '26th Most wickets on a single ground (57)', '16th Oldest player to take ten-wickets-in-a-match (35y 355d)', '31st Most runs conceded in an innings (202)', '41st Fastest to 50 wickets (11)', '36th Fastest to 150 wickets (36)']</t>
  </si>
  <si>
    <t>['35th Longest intervals between appearances (6y 290d)', '9th Most consecutive matches missed for a team between appearances (190)']</t>
  </si>
  <si>
    <t>['10th Most consecutive matches missed for a team between appearances (185)']</t>
  </si>
  <si>
    <t>['33rd Longest intervals between appearances (6y 342d)', '10th Most consecutive matches missed for a team between appearances (185)']</t>
  </si>
  <si>
    <t>['3rd Most runs in an innings (by batting position) (80*)', '10th Highest career strike rate (112.08)', '8th Most sixes in an innings (13)', ' 1000 runs and 100 wickets ', ' 1000 runs, 50 wickets and 50 catches ', '8th Most runs in an innings (by batting position) (58)', '9th Highest career strike rate (151.63)', '6th Most ducks in career (8)', '2nd Worst career economy rate (9.34)', '7th Most runs conceded in career (1717)', '3rd Most wickets taken caught by a wicketkeeper (11)']</t>
  </si>
  <si>
    <t>['3rd Most runs in an innings (by batting position) (80*)', '36th Most runs in a match on the losing side (140)', '10th Highest career strike rate (112.08)', '35th Highest maiden hundred (140)', '8th Most sixes in an innings (13)', '28th Most runs from fours and sixes in an innings (110)', '14th Best figures in a innings when on the losing side (5)', '24th Worst career economy rate (5.83)', '15th Most five-wickets-in-an-innings in a career (4)', '36th Most four-wickets-in-an-innings in a career (9)', '13th Most consecutive four-wickets-in-an-innings (2)', '26th Youngest player to take five-wickets-in-an-innings (21y 141d)', '48th Most runs conceded in career (5740)', '30th Bowler/fielder combinations (29)', '46th Most wickets taken caught (127)', '50th Most wickets taken caught by a fielder (85)', '29th Most wickets taken caught by a wicketkeeper (42)', '25th Highest partnership for the seventh wicket (109)', '19th Highest partnership for the ninth wicket (82)', '45th Most player-of-the-series awards (3)']</t>
  </si>
  <si>
    <t>['8th Most runs in an innings (by batting position) (58)', '9th Highest career strike rate (151.63)', '6th Most ducks in career (8)', '28th Most sixes in career (64)', '35th Most wickets in career (51)', '20th Best figures in a innings by a captain (3)', '5th Worst career bowling average (33.66)', '2nd Worst career economy rate (9.34)', '23rd Most balls bowled in career (1102)', '7th Most runs conceded in career (1717)', '29th Most runs conceded in an innings (58)', '17th Bowler/batters combinations (3)', '18th Most wickets taken caught (39)', '33rd Most wickets taken caught by a fielder (28)', '3rd Most wickets taken caught by a wicketkeeper (11)', '29th Most catches in career (30)', '20th Highest partnership for the eighth wicket (43*)', '17th Highest partnership for the ninth wicket (37)', '13th Most matches in career (84)', '50th Most consecutive matches for a team (28)', '28th Most player-of-the-match awards (5)']</t>
  </si>
  <si>
    <t>['16th Most ducks in career (6)', '23rd Youngest captains (21y 92d)']</t>
  </si>
  <si>
    <t>['3rd Worst career bowling average (48.33)']</t>
  </si>
  <si>
    <t>['21st Most ducks in career (9)', '3rd Worst career bowling average (48.33)', '30th Worst career economy rate (4.26)', '10th Worst career strike rate (67.9)', '49th Worst economy rate in an innings (8.57)']</t>
  </si>
  <si>
    <t>['21st Most innings before first duck (18)', '40th Most wickets in career (49)', '12th Best career economy rate (5.15)', '10th Worst career strike rate (28.4)', '19th Most balls bowled in career (1392)', '23rd Most runs conceded in career (1196)', '14th Most wickets taken bowled (20)', '18th Most wickets taken lbw (8)', '48th Most matches in career (73)', '27th Most maidens in career (6)']</t>
  </si>
  <si>
    <t>['31st Most sixes in an innings (9)', '14th Worst career bowling average (55.21)', '35th Worst career strike rate (60.7)', '22nd Highest partnership for the eighth wicket (87)']</t>
  </si>
  <si>
    <t>['29th No ducks in career (20)']</t>
  </si>
  <si>
    <t>['32nd Worst career economy rate (3.54)', '18th Youngest player to take five-wickets-in-an-innings (19y 97d)']</t>
  </si>
  <si>
    <t>['31st Worst career bowling average (49.20)']</t>
  </si>
  <si>
    <t>['5th Best figures in a innings when on the losing side (8)', ' Opening the batting and bowling in the same match ']</t>
  </si>
  <si>
    <t>['9th Most runs in an innings (by batting position) (20)']</t>
  </si>
  <si>
    <t>['12th Most runs in an innings (by batting position) (16*)', '11th Best figures in a innings when on the losing side (4)', '32nd Highest partnership for the seventh wicket (62)']</t>
  </si>
  <si>
    <t>['9th Most runs in an innings (by batting position) (20)', '24th Highest partnership for the ninth wicket (19*)']</t>
  </si>
  <si>
    <t>['1st Most runs conceded in an innings (75)']</t>
  </si>
  <si>
    <t>['1st Most runs in an innings (by batting position) (51*)', '10th No ducks in career (20)', '7th Most runs in an innings (by batting position) (20*)', '4th Worst career economy rate (6.86)']</t>
  </si>
  <si>
    <t>['1st Most runs in an innings (by batting position) (51*)', '10th No ducks in career (20)', '41st Most runs conceded in an innings (71)', '37th Highest partnership for the eighth wicket (45)']</t>
  </si>
  <si>
    <t>['7th Most runs in an innings (by batting position) (20*)', '27th Outstanding bowling analyses in an innings (1/2)', '41st Best economy rate in an innings (0.66)', '12th Worst career bowling average (28.07)', '4th Worst career economy rate (6.86)', '21st Worst career strike rate (24.5)', '43rd Most runs conceded in an innings (44)', '46th Most wickets taken caught (25)', '38th Most wickets taken caught by a fielder (23)', '12th Most maidens in an innings (2)']</t>
  </si>
  <si>
    <t>['21st Worst career bowling average (without qualification) (140.50)', '39th Longest intervals between appearances (6y 244d)', '20th Shortest lived players (42y 27d)']</t>
  </si>
  <si>
    <t>['47th Highest partnership for the third wicket (94)']</t>
  </si>
  <si>
    <t>['11th Most wickets in a series (24)', '24th Most wickets on a single ground (13)', '11th Best figures in a innings when on the losing side (4)', '44th Worst career bowling average (31.26)', '21st Worst career economy rate (4.38)', '39th Most runs conceded in career (1970)', '12th Bowler/Batters combinations (6)', '29th Most wickets taken lbw (14)', '38th Most matches as captain (19)', '32nd Most consecutive matches as captain of a team (19)', '26th Oldest captains on captaincy debut (30y 265d)']</t>
  </si>
  <si>
    <t>['34th Most ducks in career (5)', '49th Best career bowling average (20.43)', '46th Best career economy rate (5.76)', '48th Best career strike rate (21.2)', '29th Most runs conceded in an innings (47)', '20th Most wickets taken caught and bowled (3)', '36th Most wickets taken lbw (6)', '22nd Most wickets taken stumped (8)', '29th Oldest captains on captaincy debut (31y 243d)']</t>
  </si>
  <si>
    <t>['10th Most matches as captain (56)', ' Hundred and a duck in a match ', '9th Worst career strike rate (148.3)', '4th Most matches as captain (193)', '6th Most ducks in a series (3)', ' 1000 runs, 50 wickets and 50 catches ', ' 5000 runs and 50 fielding dismissals ', '6th Most matches as captain (249)']</t>
  </si>
  <si>
    <t>['32nd Fifties in consecutive innings (5)', '10th Worst career bowling average (65.00)', '9th Worst career strike rate (148.3)', '47th Youngest players (18y 78d)', '33rd Longest careers (18y 175d)', '10th Most matches as captain (56)', '27th Most consecutive matches as captain of a team (28)']</t>
  </si>
  <si>
    <t>['38th Most runs in career (7456)', '48th Most runs on a single ground (1010)', '48th Most runs in an innings by a captain (131*)', '42nd Most fifties in career (53)', '24th Most ducks in career (18)', '6th Most ducks in a series (3)', '48th Fastest to 6000 runs (205)', '33rd Fastest to 7000 runs (233)', '39th Worst career bowling average (47.55)', '31st Highest partnership for the sixth wicket (132)', '32nd Most matches in career (269)', '19th Most player-of-the-match awards (24)', '45th Most player-of-the-series awards (3)', '23rd Longest careers (17y 105d)', '4th Most matches as captain (193)', '11th Most consecutive matches as captain of a team (55)', '41st Youngest captains (24y 333d)']</t>
  </si>
  <si>
    <t>['11th Most consecutive matches as captain of a team (55)']</t>
  </si>
  <si>
    <t>['3rd Best figures in a match by a captain (8)', '2nd Best figures in a match on debut (8)', ' Opening the batting and bowling in the same match ']</t>
  </si>
  <si>
    <t>['26th Best figures in a match (8)', '10th Best figures in a innings by a captain (4)', '3rd Best figures in a match by a captain (8)', '14th Best career bowling average (without qualification) (7.12)', '14th Best figures in a innings on debut (4)', '2nd Best figures in a match on debut (8)']</t>
  </si>
  <si>
    <t>['45th Best career economy rate (2.91)', '46th Most consecutive matches as captain of a team (15)']</t>
  </si>
  <si>
    <t>['1st Outstanding bowling analyses in an innings (1/0)', '3rd Worst career economy rate (6.17)', '4th Best figures in a innings on debut (4)']</t>
  </si>
  <si>
    <t>['1st Outstanding bowling analyses in an innings (1/0)', '14th Worst career economy rate (3.71)']</t>
  </si>
  <si>
    <t>['11th Worst career bowling average (56.60)', '3rd Worst career economy rate (6.17)']</t>
  </si>
  <si>
    <t>['20th No ducks in career (18)', '44th Highest partnership for the tenth wicket (25*)']</t>
  </si>
  <si>
    <t>['12th Best figures in a innings on debut (3)', '32nd Most wickets taken stumped (6)']</t>
  </si>
  <si>
    <t>[' Hundred on debut (103*)', '2nd Most double hundreds in a series (2)']</t>
  </si>
  <si>
    <t>['47th Most runs in a calendar year (1234)', '12th Most runs in an innings (by batting position) (231)', '30th Most runs in a match on the losing side (220)', '43rd Most runs on a single ground (1239)', '2nd Most double hundreds in a series (2)', '42nd Fastest to 4000 runs (92)', '34th Fastest to 5000 runs (114)', '41st Highest partnership for the third wicket (262)', '18th Highest partnership for the fifth wicket (280)', '26th Highest partnership for the eighth wicket (146)', '28th Highest partnership for the ninth wicket (118)']</t>
  </si>
  <si>
    <t>['30th Oldest player to score a maiden hundred (32y 351d)', '41st Highest partnership for the sixth wicket (127)']</t>
  </si>
  <si>
    <t>['5th Captains who have kept wicket (11)', '1st Unusual dismissals (retired out)', '3rd Highest partnership for the ninth wicket (65)', '5th Most runs in an innings (by batting position) (29*)', '10th Highest partnership for the eighth wicket (32*)']</t>
  </si>
  <si>
    <t>['25th Most runs in a series by a wicketkeeper (198)', '39th Most runs in an innings by a wicketkeeper (84)', '12th Most runs in a career without a hundred (1363)', '15th Most ducks in career (10)', '1st Unusual dismissals (retired out)', '23rd Highest partnership for the sixth wicket (76)', '3rd Highest partnership for the ninth wicket (65)', '45th Most matches in career (97)', '19th Most consecutive matches for a team (53)', '5th Captains who have kept wicket (11)', '12th Most dismissals in career (61)', '17th Most dismissals in an innings (4)', '39th Most dismissals in a series (10)', '11th Most catches in career (37)', '21st Most catches in an innings (3)', '11th Most stumpings in career (24)', '22nd Most stumpings in a series (5)']</t>
  </si>
  <si>
    <t>['5th Most runs in an innings (by batting position) (29*)', '43rd Highest partnership for the seventh wicket (31)', '10th Highest partnership for the eighth wicket (32*)', '32nd Highest partnership for the ninth wicket (17*)', '13th Captains who have kept wicket (2)', '18th Most dismissals in career (26)', '16th Most catches in career (11)', '18th Most stumpings in career (15)', '13th Most byes conceded in an innings (6)']</t>
  </si>
  <si>
    <t>['3rd Youngest captains (20y 317d)', '4th Most runs in a career without a hundred (2029)', '4th Most ducks in a series (4)', '9th Best figures in a innings by a captain (4)', '9th Most four-wickets-in-an-innings in a career (6)', '7th Most balls bowled in career (5449)', '6th Most runs conceded in career (3577)', '2nd Most wickets taken stumped (19)', ' 1000 runs and 100 wickets ', '5th Best figures in a innings when on the losing side (4)', '4th Most four-wickets-in-an-innings in a career (3)', '9th Most balls bowled in career (1653)', '9th Most runs conceded in career (1598)', '3rd Most wickets taken lbw (14)']</t>
  </si>
  <si>
    <t>['40th Most runs in career (2029)', '4th Most runs in a career without a hundred (2029)', '15th Most ducks in career (10)', '4th Most ducks in a series (4)', '15th Highest percentage of runs in a completed innings (55.76)', '15th Most wickets in career (124)', '14th Most wickets on a single ground (15)', '9th Best figures in a innings by a captain (4)', '11th Best figures in a innings when on the losing side (4)', '9th Most four-wickets-in-an-innings in a career (6)', '7th Most balls bowled in career (5449)', '6th Most runs conceded in career (3577)', '5th Bowler/fielder combinations (21)', '12th Most wickets taken bowled (30)', '21st Most wickets taken caught (56)', '24th Most wickets taken caught and bowled (6)', '20th Most wickets taken caught by a fielder (44)', '19th Most wickets taken caught by a wicketkeeper (12)', '15th Most wickets taken lbw (19)', '2nd Most wickets taken stumped (19)', '15th Most catches in career (41)', '21st Most matches in career (118)', '17th Longest careers (16y 210d)', '9th Most matches as captain (58)', '21st Most consecutive matches as captain of a team (27)', '3rd Youngest captains (20y 317d)']</t>
  </si>
  <si>
    <t>['31st Most runs in career (1097)', '43rd Most runs in an innings (by batting position) (52)', '31st Most consecutive innings without a duck (32)', '34th Most ducks in career (5)', '13th Most wickets in career (77)', '46th Most wickets in a calendar year (18)', '30th Outstanding bowling analyses in an innings (4/9)', '6th Best figures in a innings by a captain (4)', '5th Best figures in a innings when on the losing side (4)', '50th Best career strike rate (21.4)', '4th Most four-wickets-in-an-innings in a career (3)', '9th Most balls bowled in career (1653)', '9th Most runs conceded in career (1598)', '34th Most runs conceded in an innings (46)', '6th Bowler/Batters combinations (5)', '34th Bowler/fielder combinations (8)', '21st Most wickets taken bowled (16)', '22nd Most wickets taken caught (36)', '20th Most wickets taken caught and bowled (3)', '25th Most wickets taken caught by a fielder (29)', '12th Most wickets taken caught by a wicketkeeper (7)', '3rd Most wickets taken lbw (14)', '9th Most wickets taken stumped (11)', '19th Highest partnership for the fourth wicket (84)', '14th Highest partnership for the fifth wicket (70)', '15th Highest partnership for the seventh wicket (45)', '36th Highest partnership for the eighth wicket (23)', '11th Highest partnership for the ninth wicket (27)', '36th Most matches in career (81)', '30th Most consecutive matches for a team (39)', '11th Most matches as captain (40)']</t>
  </si>
  <si>
    <t>['5th Most player-of-the-match awards (16)', '2nd Most runs in an innings by a wicketkeeper (230)', ' Hundred in each innings of a match ', ' Hundred and a ninety in a match ', '1st Fifties in consecutive innings (7)', ' Hundred and a duck in a match ', '5th Most fours in career (1491)', '1st Fastest to 12000 runs (224)', ' 2000 runs and 100 wicketkeeping dismissals ', ' 5000 runs and 50 fielding dismissals ', '1st Highest partnership for the third wicket (624)', '1st Most dismissals in career (482)', '4th Most matches in career (404)', '3rd Most catches in career (383)', '4th Captains who have kept wicket (45)', '1st Most stumpings in an innings (3)', '10th Most byes conceded in an innings (12)', '1st Most runs in a series by a wicketkeeper (541)', '1st Hundreds in consecutive innings (4)', '8th Most nineties in career (6)', '2nd Most fifties in career (118)', '3rd Most fours in career (1385)', '2nd Fastest to 14000 runs (378)', ' A hundred and four dismissals in an innings ', '8th Most dismissals in career (45)', '4th Captains who have kept wicket (22)', '5th Most stumpings in career (20)', '3rd Fifties in consecutive innings (3)', '7th Highest partnership for the seventh wicket (68*)', '3rd Most matches in career (594)', '4th Most dismissals in career (678)', '5th Most player-of-the-match awards (50)', '5th Most catches in career (539)', '2nd Most stumpings in career (139)', '1st Most runs in a calendar year (2868)', '3rd Hundreds in consecutive innings (4)', '2nd Fifties in consecutive innings (7)', '2nd Most fours in career (3015)']</t>
  </si>
  <si>
    <t>['6th Most runs in career (12400)', '18th Most runs in an innings (319)', '3rd Most runs in a match (424)', '9th Most runs in a calendar year (1493)', '6th Most runs in an innings (by batting position) (319)', '10th Most runs in a match on the losing side (249)', '3rd Most runs on a single ground (2312)', '18th Most runs in a day (222)', '43rd Most runs in an innings by a captain (219)', '2nd Most runs in an innings by a wicketkeeper (230)', '13th Highest career batting average (57.40)', '4th Most hundreds in a career (38)', '2nd Most double hundreds in a career (11)', '5th Most triple hundreds in a career (1)', '2nd Most double hundreds in a series (2)', '6th Most hundreds against one team (10)', '5th Hundreds in consecutive innings (3)', '5th Hundreds in consecutive matches (4)', '6th Most fifties in career (90)', '1st Fifties in consecutive innings (7)', '9th Fifties in consecutive matches (9)', '6th Most consecutive innings without a duck (85)', '37th Most sixes in career (51)', '5th Most fours in career (1491)', '13th Most sixes in an innings (8)', '31st Most fours in an innings (36)', '18th Most runs from fours and sixes in an innings (176)', '25th Longest individual innings (by minutes) (698)', '28th Highest percentage of runs in a completed innings (58.82)', '48th Fastest to 2000 runs (46)', '41st Fastest to 3000 runs (68)', '42nd Fastest to 4000 runs (92)', '17th Fastest to 5000 runs (106)', '5th Fastest to 6000 runs (116)', '5th Fastest to 7000 runs (138)', '1st Fastest to 8000 runs (152)', '1st Fastest to 9000 runs (172)', '1st Fastest to 10000 runs (195)', '1st Fastest to 11000 runs (208)', '1st Fastest to 12000 runs (224)', '1st Highest partnerships for any wicket (624)', '3rd Highest partnerships by wicket (3rd)', '1st Highest partnership for the third wicket (624)', '14th Most matches in career (134)', '5th Most player-of-the-match awards (16)', '24th Most player-of-the-series awards (4)', '47th Winning all tosses in a series (3)', '31st Most dismissals in career (151)', '31st Most catches in career (131)', '19th Most stumpings in career (20)', '12th Most stumpings in a match (3)']</t>
  </si>
  <si>
    <t>['2nd Most runs in career (14234)', '18th Most runs in a series (541)', '25th Most runs in a calendar year (1333)', '6th Most runs in an innings (by batting position) (169)', '42nd Most runs in a match on the losing side (138*)', '7th Most runs on a single ground (2156)', '10th Most runs in an series by a captain (465)', '1st Most runs in a series by a wicketkeeper (541)', '7th Most runs in an innings by a wicketkeeper (169)', '49th Highest career batting average (41.98)', '7th Most hundreds in a career (25)', '2nd Most hundreds in a series (4)', '11th Most hundreds in a calendar year (5)', '10th Most hundreds against one team (6)', '1st Hundreds in consecutive innings (4)', '4th Hundred in hundredth match (101)', '14th Oldest player to score a hundred (37y 135d)', '8th Most nineties in career (6)', '2nd Most fifties in career (118)', '11th Fifties in consecutive innings (5)', '15th Most consecutive innings without a duck (81)', '45th Most ducks in career (15)', '48th Most sixes in career (88)', '3rd Most fours in career (1385)', '33rd Most runs from fours and sixes in an innings (108)', '39th Fastest to 6000 runs (192)', '31st Fastest to 7000 runs (221)', '24th Fastest to 8000 runs (247)', '14th Fastest to 9000 runs (270)', '11th Fastest to 10000 runs (296)', '6th Fastest to 11000 runs (318)', '4th Fastest to 12000 runs (336)', '3rd Fastest to 13000 runs (363)', '2nd Fastest to 14000 runs (378)', '4th Most matches in career (404)', '25th Most consecutive matches for a team (88)', '7th Most player-of-the-match awards (31)', '17th Most player-of-the-series awards (5)', '4th Captains who have kept wicket (45)', '1st Most dismissals in career (482)', '16th Most dismissals in an innings (5)', '17th Most dismissals in a series (17)', '3rd Most catches in career (383)', '24th Most catches in a series (15)', '2nd Most stumpings in career (99)', '1st Most stumpings in an innings (3)', '7th Most stumpings in a series (5)', '10th Most byes conceded in an innings (12)']</t>
  </si>
  <si>
    <t>['42nd Most runs in career (1382)', '30th Most runs in a calendar year (434)', '27th Most runs in an innings (by batting position) (69)', '43rd Most runs in an innings by a captain (78)', '20th Most runs in an innings by a wicketkeeper (78)', '35th Highest career batting average (31.40)', '32nd Most fifties in career (8)', '3rd Fifties in consecutive innings (3)', '31st Most consecutive innings without a duck (36)', '22nd Fewest ducks in career (26.5)', '31st Most fours in career (139)', '31st Most fours in an innings (11)', '35th Highest percentage of runs in a completed innings (57.28)', '19th Fastest to 1000 runs (38)', '32nd Highest partnership for the fourth wicket (94)', '7th Highest partnership for the seventh wicket (68*)', '29th Most matches as captain (22)', '4th Captains who have kept wicket (22)', '17th Most consecutive matches as captain of a team (21)', '8th Most dismissals in career (45)', '11th Most catches in career (25)', '5th Most stumpings in career (20)']</t>
  </si>
  <si>
    <t>['44th Fifties in consecutive innings (4)', '12th Highest partnership for the sixth wicket (159)', '43rd Most consecutive matches missed for a team between appearances (125)']</t>
  </si>
  <si>
    <t>['40th No ducks in career (15)']</t>
  </si>
  <si>
    <t>['36th Highest career strike rate (98.28)']</t>
  </si>
  <si>
    <t>['5th Most dismissals in an innings (6)', '5th Most catches in an innings (6)', ' A hundred and five dismissals in an innings ']</t>
  </si>
  <si>
    <t>['5th Most dismissals in an innings (6)', '8th Most dismissals in a match (9)', '32nd Most dismissals in a series (22)', '5th Most catches in an innings (6)', '8th Most catches in a match (9)', '35th Most catches in a series (21)']</t>
  </si>
  <si>
    <t>['47th Most runs in a career without a hundred (884)', '33rd Most consecutive innings without a duck (35*)', '36th Fewest ducks in career (21)', '4th Most catches in an innings (3)', '20th Highest partnership for the eighth wicket (50)']</t>
  </si>
  <si>
    <t>['7th Outstanding bowling analyses in an innings (2/3)', '17th Bowler/batters combinations (3)']</t>
  </si>
  <si>
    <t>['3rd No ducks in career (26)', '1st Highest partnership for the sixth wicket (84)']</t>
  </si>
  <si>
    <t>['34th Most runs in a match on the losing side (61)', '3rd No ducks in career (26)', '6th Highest partnerships by wicket (6th)', '1st Highest partnership for the sixth wicket (84)', '13th Most byes conceded in an innings (6)']</t>
  </si>
  <si>
    <t>['3rd Best figures in a innings on debut (5)', '1st Most consecutive ducks (3)']</t>
  </si>
  <si>
    <t>['10th Most ducks in career (7)', '1st Most consecutive ducks (3)', '46th Highest partnership for the seventh wicket (46*)']</t>
  </si>
  <si>
    <t>[' Carrying bat through a completed innings (112*)', ' 5000 runs and 50 fielding dismissals ', '4th Highest partnership for the first wicket (286)']</t>
  </si>
  <si>
    <t>['44th Most runs in career (6951)', '41st Most runs in an innings (174*)', '27th Most hundreds in a career (15)', '11th Most hundreds in a calendar year (5)', '22nd Youngest player to score a hundred (20y 212d)', '47th Most fifties in career (52)', '30th Most ducks in career (17)', '25th Most fours in career (798)', '39th Most fours in an innings (19)', '13th Highest percentage of runs in a completed innings (59.89)', '36th Fastest to 1000 runs (28)', '45th Fastest to 4000 runs (119)', '46th Fastest to 5000 runs (157)', '39th Fastest to 6000 runs (192)', '7th Highest partnerships for any wicket (286)', '4th Highest partnership for the first wicket (286)', '36th Highest partnership for the seventh wicket (104)', '44th Highest partnership for the eighth wicket (76)']</t>
  </si>
  <si>
    <t>['39th Highest partnership for the second wicket (109)', '24th Most consecutive matches missed for a team between appearances (48)', '41st Longest careers (11y 274d)', '13th Winning all tosses in a series (3)']</t>
  </si>
  <si>
    <t>['14th Best figures in a innings when on the losing side (5)', '22nd Best economy rate in an innings (0.83)']</t>
  </si>
  <si>
    <t>['5th Highest innings total without conceding a bye (671/4)', '8th Most runs in an innings (by batting position) (204*)', ' Hundred and a duck in a match ', '2nd Most catches in a match (7)', '6th Most ducks in a series (3)']</t>
  </si>
  <si>
    <t>['8th Most runs in an innings (by batting position) (204*)', '20th Most nineties in career (5)', '2nd Most catches in a match (7)', '21st Highest partnership for the seventh wicket (194*)', '5th Highest innings total without conceding a bye (671/4)']</t>
  </si>
  <si>
    <t>['20th Most runs in an innings (by batting position) (100)', '42nd Most consecutive innings without a duck (63)', '6th Most ducks in a series (3)', '33rd Longest careers (16y 131d)', '16th Most dismissals in an innings (5)', '11th Most catches in an innings (5)']</t>
  </si>
  <si>
    <t>['10th Oldest living players (82y 70d)']</t>
  </si>
  <si>
    <t>['50th Hundred in last match (140)', '1st Most catches in an innings (5)']</t>
  </si>
  <si>
    <t>['27th Highest partnership for the second wicket (212*)']</t>
  </si>
  <si>
    <t>['34th Most innings before first duck (19)']</t>
  </si>
  <si>
    <t>['4th Most consecutive matches missed for a team between appearances (73)', '9th Longest intervals between appearances (8y 52d)']</t>
  </si>
  <si>
    <t>['4th Most runs in an innings (by batting position) (78)']</t>
  </si>
  <si>
    <t>['4th Most runs in an innings (by batting position) (78)', '22nd Highest partnership for the tenth wicket (58)', '41st Longest intervals between appearances (6y 225d)', '17th Most consecutive matches missed for a team between appearances (163)']</t>
  </si>
  <si>
    <t>['1st Most runs in an innings (by batting position) (84*)', '32nd Most runs in a match on the losing side (84*)', '13th Worst career bowling average (31.91)', '11th Worst career economy rate (8.68)', '18th Highest partnership for the eighth wicket (46)', '47th Highest partnership for the tenth wicket (15*)']</t>
  </si>
  <si>
    <t>['10th Most wickets on a single ground (80)', '9th Most wickets taken lbw (100)', ' 1000 runs and 100 wickets ', '6th Most consecutive ducks (3)', '1st Outstanding bowling analyses in an innings (8/19)', '10th Most four-wickets-in-an-innings in a career (13)', '4th Most balls bowled in career (15775)', '5th Most runs conceded in career (11014)', '3rd Most wickets taken caught by a fielder (168)', '4th Fastest to 400 wickets (322)', ' 1000 runs and 100 wickets ', ' 1000 runs, 50 wickets and 50 catches ', '4th Most consecutive ducks (4)', '9th Most wickets in career (761)', '7th Most runs conceded in career (21643)', '6th Most wickets taken lbw (171)']</t>
  </si>
  <si>
    <t>['24th Most wickets in career (355)', '13th Best figures in a match (14)', '10th Most wickets on a single ground (80)', '18th Most consecutive five-wickets-in-an-innings (3)', '18th Youngest player to take ten-wickets-in-a-match (21y 43d)', '15th Most balls bowled in career (23438)', '15th Most runs conceded in career (10501)', '44th Bowler/fielder combinations (40)', '27th Most wickets taken caught (218)', '31st Most wickets taken caught by a fielder (130)', '16th Most wickets taken caught by a wicketkeeper (88)', '9th Most wickets taken lbw (100)', '33rd Fastest to 300 wickets (90)', '40th Highest partnership for the ninth wicket (105)', '43rd Most matches in career (111)']</t>
  </si>
  <si>
    <t>['17th Most runs in a career without a hundred (2025)', '33rd Most innings before first duck (34)', '6th Most ducks in career (25)', '6th Most ducks in a series (3)', '6th Most consecutive ducks (3)', '4th Most wickets in career (400)', '1st Best figures in an innings (8/19)', '6th Most wickets in a series (23)', '1st Outstanding bowling analyses in an innings (8/19)', '12th Most wickets on a single ground (53)', '14th Best figures in a innings when on the losing side (5)', '48th Best economy rate in an innings (1.00)', '12th Best strike rate in an innings (6.0)', '15th Most five-wickets-in-an-innings in a career (4)', '10th Most four-wickets-in-an-innings in a career (13)', '13th Most consecutive four-wickets-in-an-innings (2)', '4th Most balls bowled in career (15775)', '5th Most runs conceded in career (11014)', '4th Bowler/Batters combinations (11)', '11th Bowler/fielder combinations (41)', '7th Most wickets taken bowled (90)', '5th Most wickets taken caught (239)', '14th Most wickets taken caught and bowled (13)', '3rd Most wickets taken caught by a fielder (168)', '6th Most wickets taken caught by a wicketkeeper (71)', '4th Most wickets taken lbw (69)', '44th Fastest to 150 wickets (121)', '27th Fastest to 200 wickets (163)', '19th Fastest to 250 wickets (204)', '10th Fastest to 300 wickets (235)', '7th Fastest to 350 wickets (274)', '4th Fastest to 400 wickets (322)', '16th Most matches in career (322)']</t>
  </si>
  <si>
    <t>['21st Most consecutive matches missed for a team between appearances (42)']</t>
  </si>
  <si>
    <t>['25th Most runs in an innings (by batting position) (50)', '12th No ducks in career (14)', '20th Most dismissals in career (24)', '15th Most catches in career (13)', '22nd Most stumpings in career (11)']</t>
  </si>
  <si>
    <t>['10th Most runs in an innings (by batting position) (27)', '10th Most wickets taken caught by a wicketkeeper (16)', '6th Highest partnership for the tenth wicket (50)', '10th Worst career bowling average (29.32)', '6th Bowler/Batters combinations (5)']</t>
  </si>
  <si>
    <t>['10th Most runs in an innings (by batting position) (27)', '40th Most ducks in career (8)', '24th Most wickets on a single ground (13)', '22nd Worst career bowling average (35.62)', '48th Worst career economy rate (4.06)', '43rd Worst career strike rate (52.5)', '39th Worst economy rate in an innings (8.66)', '39th Most balls bowled in career (3046)', '34th Most runs conceded in career (2066)', '30th Most wickets taken caught (47)', '49th Most wickets taken caught by a fielder (31)', '10th Most wickets taken caught by a wicketkeeper (16)', '49th Highest partnership for the ninth wicket (34*)', '6th Highest partnership for the tenth wicket (50)', '50th Most matches in career (89)']</t>
  </si>
  <si>
    <t>['16th Most ducks in career (6)', '27th Outstanding bowling analyses in an innings (1/2)', '10th Worst career bowling average (29.32)', '18th Worst career economy rate (6.31)', '12th Worst career strike rate (27.8)', '46th Most runs conceded in career (909)', '6th Bowler/Batters combinations (5)', '23rd Most wickets taken caught by a wicketkeeper (5)', '25th Highest partnership for the tenth wicket (12)']</t>
  </si>
  <si>
    <t>['8th Best figures in a innings when on the losing side (4)', '4th Best figures in a innings on debut (4)']</t>
  </si>
  <si>
    <t>['43rd Most consecutive matches missed for a team between appearances (125)']</t>
  </si>
  <si>
    <t>['23rd Longest lived players (67y 223d)']</t>
  </si>
  <si>
    <t>[' Opening the batting and bowling in the same match ', '3rd Winning all tosses in a series (3)']</t>
  </si>
  <si>
    <t>['3rd Winning all tosses in a series (3)']</t>
  </si>
  <si>
    <t>['25th Worst career economy rate (3.58)']</t>
  </si>
  <si>
    <t>[' Carrying bat through a completed innings (63*)']</t>
  </si>
  <si>
    <t>['38th Most innings before first duck (31)', '40th Most matches as a match referee (10)']</t>
  </si>
  <si>
    <t>['2nd Most dismissals in a series (22)', '3rd Most catches in a series (15)', '10th Most stumpings in a series (7)', '6th Most runs in a series by a wicketkeeper (388)', '4th Most catches in an innings (3)', ' 200 runs and 10 wicketkeeping dismissals in a series ', '9th Most stumpings in an innings (3)']</t>
  </si>
  <si>
    <t>['50th Most runs in a series (441)', '6th Most runs in a series by a wicketkeeper (388)', '44th Most runs in a career without a hundred (909)', '4th Most catches in an innings (3)', '18th Most dismissals in career (48)', '5th Most dismissals in an innings (5)', '2nd Most dismissals in a series (22)', '14th Most catches in career (32)', '21st Most catches in an innings (3)', '3rd Most catches in a series (15)', '19th Most stumpings in career (16)', '10th Most stumpings in a series (7)']</t>
  </si>
  <si>
    <t>['22nd Highest partnership for the sixth wicket (49)', '22nd Most stumpings in career (11)', '9th Most stumpings in an innings (3)', '13th Most byes conceded in an innings (6)']</t>
  </si>
  <si>
    <t>['25th Youngest players (17y 189d)']</t>
  </si>
  <si>
    <t>['2nd Worst career bowling average (without qualification) (294.00)']</t>
  </si>
  <si>
    <t>['39th Most ducks in career (17)', '2nd Most ducks in a series (5)', '45th Youngest player to take five-wickets-in-an-innings (20y 141d)']</t>
  </si>
  <si>
    <t>['6th Most ducks in a series (3)', '1st Most consecutive ducks (4)']</t>
  </si>
  <si>
    <t>['49th Most innings before first duck (15)', '20th Highest partnership for the fifth wicket (79*)']</t>
  </si>
  <si>
    <t>['1st Best figures in a innings by a captain (5)']</t>
  </si>
  <si>
    <t>['13th Best figures in an innings (5/7)', '22nd Most wickets in a calendar year (20)', '7th Outstanding bowling analyses in an innings (5/7)', '19th Most wickets on a single ground (10)', '1st Best figures in a innings by a captain (5)', '20th Most wickets taken caught and bowled (3)', '30th Highest partnership for the sixth wicket (44)', '28th Most matches as captain (17)']</t>
  </si>
  <si>
    <t>['4th Highest partnership for the seventh wicket (77)']</t>
  </si>
  <si>
    <t>['20th Outstanding bowling analyses in an innings (2/4)', '15th Most catches in an innings (3)', '4th Highest partnership for the seventh wicket (77)']</t>
  </si>
  <si>
    <t>['1st Most dismissals in an innings (5)', '1st Most catches in an innings (5)']</t>
  </si>
  <si>
    <t>['40th Highest partnership for the ninth wicket (69)']</t>
  </si>
  <si>
    <t>['1st Most dismissals in an innings (5)', '26th Most catches in career (15)', '1st Most catches in an innings (5)', '18th Most byes conceded in an innings (7)']</t>
  </si>
  <si>
    <t>['5th Most dismissals in an innings (6)', '5th Most catches in an innings (6)', '6th Most innings before first duck (51)', ' Representing two countries ', '7th Most dismissals in a series (20)', '5th Most catches in a series (20)', ' A fifty and five dismissals in an innings ', ' Representing two countries ', '4th Most innings before first duck (71)']</t>
  </si>
  <si>
    <t>['12th Highest strike rate in an innings (225.00)', '6th Most innings before first duck (51)', '37th Fewest ducks in career (26.5)', '36th Most dismissals in career (133)', '5th Most dismissals in an innings (6)', '8th Most dismissals in a match (9)', '32nd Most catches in career (128)', '5th Most catches in an innings (6)', '8th Most catches in a match (9)']</t>
  </si>
  <si>
    <t>['40th Most innings before first duck (30)', '14th Longest intervals between appearances (8y 130d)', '40th Most dismissals in career (72)', '16th Most dismissals in an innings (5)', '7th Most dismissals in a series (20)', '38th Most catches in career (68)', '11th Most catches in an innings (5)', '5th Most catches in a series (20)']</t>
  </si>
  <si>
    <t>['37th Most innings before first duck (13)', '37th Most wickets in a calendar year (19)', '11th Most wickets taken lbw (10)', '49th Highest partnership for the second wicket (84)']</t>
  </si>
  <si>
    <t>['24th Highest partnership for the tenth wicket (20)']</t>
  </si>
  <si>
    <t>['12th Most runs in an innings (by batting position) (46)']</t>
  </si>
  <si>
    <t>['6th Outstanding bowling analyses in an innings (4/4)', '4th Most four-wickets-in-an-innings in a career (3)']</t>
  </si>
  <si>
    <t>['27th Best figures in an innings (5/13)', '9th Most wickets in a calendar year (24)', '6th Outstanding bowling analyses in an innings (4/4)', '4th Most four-wickets-in-an-innings in a career (3)', '44th Most wickets taken bowled (10)']</t>
  </si>
  <si>
    <t>['27th Best career bowling average (without qualification) (6.66)']</t>
  </si>
  <si>
    <t>['38th Highest partnership for the sixth wicket (42)']</t>
  </si>
  <si>
    <t>['20th Best figures in an innings (5/15)', '13th Most wickets in a calendar year (24)', '15th Outstanding bowling analyses in an innings (5/15)', '16th Most four-wickets-in-an-innings in a career (2)', '17th Bowler/batters combinations (3)', '45th Bowler/fielder combinations (6)']</t>
  </si>
  <si>
    <t>['1st Most catches in an innings (4)']</t>
  </si>
  <si>
    <t>['20th Outstanding bowling analyses in an innings (2/4)', '21st Best career bowling average (without qualification) (6.22)', '1st Most catches in an innings (4)']</t>
  </si>
  <si>
    <t>['25th Oldest captains on captaincy debut (32y 18d)']</t>
  </si>
  <si>
    <t>['21st Most runs in an innings by a wicketkeeper (62*)', '19th Highest career batting average (26.80)', '34th Most innings before first duck (14)', '32nd Most stumpings in career (5)']</t>
  </si>
  <si>
    <t>['26th Outstanding bowling analyses in an innings (2/3)', '20th Most wickets taken caught and bowled (3)']</t>
  </si>
  <si>
    <t>['4th Highest percentage of runs in a completed innings (64.25)', '10th Most runs in a calendar year (572)']</t>
  </si>
  <si>
    <t>['16th Most runs in a match on the losing side (151)', '17th Highest maiden hundred (151)', '4th Highest percentage of runs in a completed innings (64.25)', '28th Highest partnership for the eighth wicket (83)']</t>
  </si>
  <si>
    <t>['30th Most runs in an innings (107*)', '10th Most runs in a calendar year (572)', '22nd Most runs in an innings (by batting position) (107*)', '15th Highest career batting average (37.27)', '34th Highest career strike rate (140.96)', '17th No ducks in career (23)', '34th Highest partnership for the first wicket (125)']</t>
  </si>
  <si>
    <t>['34th Most runs in an series by a captain (356)', '11th Hundred in last match (104)', '40th Oldest player to score a maiden hundred (32y 49d)', '45th Best career bowling average (24.00)', '29th Best career economy rate (3.74)']</t>
  </si>
  <si>
    <t>['15th No ducks in career (24)', '17th Outstanding bowling analyses in an innings (3/7)', '20th Best figures in a innings by a captain (3)', '15th Most catches in an innings (3)', '31st Most matches as captain (21)', '18th Most consecutive matches as captain of a team (21*)']</t>
  </si>
  <si>
    <t>[' Opening the batting and bowling in the same match ', '3rd Most runs in an innings (by batting position) (54)', '2nd Highest strike rate in an innings (391.66)', '1st Most maidens in an innings (2)', '10th Highest partnership for the tenth wicket (26*)']</t>
  </si>
  <si>
    <t>['35th Best career strike rate (31.1)', '15th Best figures in a innings on debut (4)', '13th Most consecutive four-wickets-in-an-innings (2)']</t>
  </si>
  <si>
    <t>['3rd Most runs in an innings (by batting position) (54)', '2nd Highest strike rate in an innings (391.66)', '42nd Most sixes in an innings (7)', '24th Best figures in an innings (5/17)', '30th Most wickets in a calendar year (21)', '16th Most four-wickets-in-an-innings in a career (2)', '17th Bowler/batters combinations (3)', '20th Most wickets taken bowled (14)', '48th Most wickets taken caught by a wicketkeeper (5)', '32nd Most wickets taken lbw (5)', '26th Highest partnership for the ninth wicket (31*)', '10th Highest partnership for the tenth wicket (26*)', '19th Most maidens in career (3)', '1st Most maidens in an innings (2)']</t>
  </si>
  <si>
    <t>['16th Captains who have kept wicket (5)', '13th Most catches in an innings (3)']</t>
  </si>
  <si>
    <t>['3rd Outstanding bowling analyses in an innings (5/4)', '1st Most maidens in an innings (2)']</t>
  </si>
  <si>
    <t>['8th Best figures in an innings (5/4)', '3rd Outstanding bowling analyses in an innings (5/4)', '42nd Best career bowling average (without qualification) (8.40)', '1st Most maidens in an innings (2)']</t>
  </si>
  <si>
    <t>['19th Highest partnership for the eighth wicket (44)']</t>
  </si>
  <si>
    <t>['4th Best figures in a innings by a captain (4)']</t>
  </si>
  <si>
    <t>['7th Outstanding bowling analyses in an innings (2/3)', '4th Best figures in a innings by a captain (4)', '32nd Best career bowling average (without qualification) (7.12)']</t>
  </si>
  <si>
    <t>['40th Oldest players on debut (41y 76d)']</t>
  </si>
  <si>
    <t>['8th Outstanding bowling analyses in an innings (1/1)', '1st Most maidens in an innings (2)']</t>
  </si>
  <si>
    <t>['8th Outstanding bowling analyses in an innings (1/1)', '15th Best career bowling average (without qualification) (5.25)', '1st Most maidens in an innings (2)']</t>
  </si>
  <si>
    <t>['46th Highest partnership for the fourth wicket (83*)']</t>
  </si>
  <si>
    <t>['12th Outstanding bowling analyses in an innings (3/2)', '25th Best career bowling average (without qualification) (5.87)', '41st Best economy rate in an innings (0.66)', '12th Most maidens in an innings (2)']</t>
  </si>
  <si>
    <t>['34th Best career bowling average (without qualification) (7.75)']</t>
  </si>
  <si>
    <t>['42nd Most wickets in a calendar year (19)', '20th Best figures in a innings by a captain (3)', '45th Bowler/fielder combinations (6)', '22nd Oldest captains (39y 17d)', '20th Oldest captains on captaincy debut (38y 156d)']</t>
  </si>
  <si>
    <t>['47th Highest partnership for the tenth wicket (15*)', '1st Most maidens in an innings (2)']</t>
  </si>
  <si>
    <t>['13th Most runs in an innings (by batting position) (77*)', '19th Most runs in an innings by a captain (77*)', '22nd No ducks in career (11)', '21st Best figures in a innings by a captain (3)', '29th Highest partnership for the fourth wicket (69*)', '15th Highest partnership for the sixth wicket (54*)', '32nd Oldest captains on captaincy debut (31y 202d)']</t>
  </si>
  <si>
    <t>['3rd Highest career strike rate (158.52)', '1st Most catches in an innings (4)']</t>
  </si>
  <si>
    <t>['38th Most runs in a calendar year (408)', '15th Most runs in an innings (by batting position) (92*)', '41st Most runs on a single ground (281)', '3rd Highest career strike rate (158.52)', '34th Highest strike rate in an innings (287.50)', '47th No ducks in career (14)', '42nd Most sixes in an innings (7)', '29th Most runs from fours and sixes in an innings (78)', '1st Most catches in an innings (4)', '17th Youngest captains (23y 196d)']</t>
  </si>
  <si>
    <t>['47th No ducks in career (14)', '22nd Highest partnership for the fifth wicket (79)', '17th Most stumpings in career (6)']</t>
  </si>
  <si>
    <t>['8th Most runs in an innings (by batting position) (72*)']</t>
  </si>
  <si>
    <t>['5th Youngest captains (19y 286d)']</t>
  </si>
  <si>
    <t>['29th No ducks in career (10)', '5th Youngest captains (19y 286d)', '8th Captains who have kept wicket (6)']</t>
  </si>
  <si>
    <t>['20th Worst economy rate in an innings (15.50)']</t>
  </si>
  <si>
    <t>['40th Worst career bowling average (without qualification) (63.33)']</t>
  </si>
  <si>
    <t>['27th Worst career bowling average (without qualification) (74.00)']</t>
  </si>
  <si>
    <t>['5th Most runs in an innings (by batting position) (52)']</t>
  </si>
  <si>
    <t>['5th Most runs in an innings (by batting position) (52)', '14th Highest partnership for the seventh wicket (63)']</t>
  </si>
  <si>
    <t>['10th Most runs in an innings (by batting position) (22*)']</t>
  </si>
  <si>
    <t>['10th Most runs in an innings (by batting position) (22*)', '46th Highest partnership for the ninth wicket (26*)']</t>
  </si>
  <si>
    <t>['21st Winning all tosses in a series (3)']</t>
  </si>
  <si>
    <t>['5th Youngest player to take five-wickets-in-an-innings (18y 361d)', '6th Most runs in a career without a hundred (2764)']</t>
  </si>
  <si>
    <t>['20th Most runs in a career without a hundred (1954)', '14th Best figures in a innings when on the losing side (5)', '5th Youngest player to take five-wickets-in-an-innings (18y 361d)']</t>
  </si>
  <si>
    <t>['27th Highest partnership for the third wicket (109)']</t>
  </si>
  <si>
    <t>['7th Highest strike rate in an innings (252.94)', '6th Most wickets on a single ground (75)', '1st Most consecutive four-wickets-in-an-innings (3)', '7th Most wickets taken lbw (57)', '8th Best figures in a innings when on the losing side (4)', '10th Most maidens in career (4)', '6th Bowler/fielder combinations (9)']</t>
  </si>
  <si>
    <t>['7th Highest strike rate in an innings (252.94)', '17th Worst career bowling average (59.75)', '48th Worst career strike rate (107.6)', '38th Most runs conceded in a match (263)']</t>
  </si>
  <si>
    <t>['34th Most wickets in career (207)', '36th Most wickets in a calendar year (45)', '6th Most wickets on a single ground (75)', '15th Most five-wickets-in-an-innings in a career (4)', '36th Most four-wickets-in-an-innings in a career (9)', '1st Most consecutive four-wickets-in-an-innings (3)', '42nd Most balls bowled in career (7965)', '42nd Most runs conceded in career (6065)', '25th Bowler/Batters combinations (8)', '24th Most wickets taken bowled (57)', '7th Most wickets taken lbw (57)', '18th Most wickets taken stumped (17)', '45th Fastest to 100 wickets (69)', '31st Fastest to 150 wickets (108)', '16th Fastest to 200 wickets (141)', '45th Most consecutive matches for a team (74)']</t>
  </si>
  <si>
    <t>['32nd Most ducks in career (5)', '8th Best figures in a innings when on the losing side (4)', '19th Best career bowling average (19.04)', '35th Best career economy rate (6.88)', '27th Best career strike rate (16.5)', '31st Best strike rate in an innings (4.5)', '6th Bowler/fielder combinations (9)', '38th Most wickets taken bowled (11)', '14th Most wickets taken caught and bowled (3)', '14th Most wickets taken lbw (7)', '8th Most wickets taken stumped (8)', '10th Most maidens in career (4)']</t>
  </si>
  <si>
    <t>['20th Worst economy rate in an innings (6.80)']</t>
  </si>
  <si>
    <t>['50th Highest partnership for the sixth wicket (123*)']</t>
  </si>
  <si>
    <t>[' Hundred on debut (145)']</t>
  </si>
  <si>
    <t>['50th Most runs in debut match (151)', '35th Worst career bowling average (without qualification) (149.00)']</t>
  </si>
  <si>
    <t>['10th Youngest player to score a hundred (19y 352d)']</t>
  </si>
  <si>
    <t>['10th Youngest player to score a hundred (19y 352d)', '45th Fastest to 1000 runs (29)']</t>
  </si>
  <si>
    <t>['1st Most wickets on a single ground (27)', '8th Best career strike rate (14.2)']</t>
  </si>
  <si>
    <t>['39th Highest strike rate in an innings (177.77)']</t>
  </si>
  <si>
    <t>['23rd Most wickets in a calendar year (22)', '1st Most wickets on a single ground (27)', '9th Best career bowling average (16.97)', '8th Best career strike rate (14.2)', '45th Bowler/fielder combinations (6)', '48th Most wickets taken bowled (10)', '42nd Most wickets taken caught (32)', '39th Most wickets taken caught by a fielder (27)', '48th Most wickets taken caught by a wicketkeeper (5)']</t>
  </si>
  <si>
    <t>['1st No ducks in career (53)']</t>
  </si>
  <si>
    <t>['1st No ducks in career (53)', '8th Most consecutive innings without a duck (53*)']</t>
  </si>
  <si>
    <t>['2nd Most runs in an innings (by batting position) (113)', ' Hundred on debut (113)']</t>
  </si>
  <si>
    <t>['2nd Most runs in an innings (by batting position) (113)', '30th Youngest player to score a hundred (20y 108d)']</t>
  </si>
  <si>
    <t>['19th Most consecutive matches missed for a team between appearances (50)', '28th Longest intervals between appearances (5y 251d)']</t>
  </si>
  <si>
    <t>['18th Most runs in an innings (by batting position) (115)', '19th Worst career bowling average (52.29)', '36th Worst career strike rate (60.5)']</t>
  </si>
  <si>
    <t>['1st Best figures in a innings on debut (5)']</t>
  </si>
  <si>
    <t>['16th Best figures in an innings (5/13)', '11th Outstanding bowling analyses in an innings (5/13)', '1st Best figures in a innings on debut (5)', '15th Most catches in an innings (3)']</t>
  </si>
  <si>
    <t>['10th Youngest players (16y 320d)', '1st Youngest player to take ten-wickets-in-a-match (18y 40d)']</t>
  </si>
  <si>
    <t>['18th Most consecutive five-wickets-in-an-innings (3)', '4th Youngest player to take five-wickets-in-an-innings (18y 32d)', '1st Youngest player to take ten-wickets-in-a-match (18y 40d)', '10th Youngest players (16y 320d)']</t>
  </si>
  <si>
    <t>['9th Worst career bowling average (57.00)']</t>
  </si>
  <si>
    <t>['23rd Worst career bowling average (57.05)', '23rd Worst career strike rate (123.8)']</t>
  </si>
  <si>
    <t>['9th Worst career bowling average (57.00)', '23rd Worst career strike rate (65.1)', '45th Most matches as an umpire (54)']</t>
  </si>
  <si>
    <t>['36th Most consecutive matches missed for a team between appearances (131)']</t>
  </si>
  <si>
    <t>['5th Highest partnership for the tenth wicket (52)', '1st Most runs in an innings (by batting position) (110*)']</t>
  </si>
  <si>
    <t>['29th Most innings before first duck (17)', '5th Highest partnership for the tenth wicket (52)']</t>
  </si>
  <si>
    <t>['33rd Most runs in career (998)', '18th Most runs in an innings (110*)', '49th Most runs in a calendar year (348)', '1st Most runs in an innings (by batting position) (110*)', '27th Most runs in a match on the losing side (66*)', '34th Most fifties in career (3)', '23rd Most consecutive innings without a duck (36)', '34th Most ducks in career (5)', '11th Highest partnership for the fourth wicket (93*)', '26th Highest partnership for the seventh wicket (38)']</t>
  </si>
  <si>
    <t>['31st Youngest player to take five-wickets-in-an-innings (21y 278d)']</t>
  </si>
  <si>
    <t>['8th Most runs in an innings (by batting position) (16*)', '3rd Most catches in an innings (3)']</t>
  </si>
  <si>
    <t>['8th Most runs in an innings (by batting position) (16*)', '16th Most ducks in career (6)', '20th Outstanding bowling analyses in an innings (3/3)', '44th Best career economy rate (5.74)', '14th Worst career bowling average (27.03)', '11th Worst career strike rate (28.2)', '36th Most wickets taken lbw (6)', '36th Most catches in career (22)', '3rd Most catches in an innings (3)', '14th Highest partnership for the ninth wicket (24*)', '41st Most maidens in career (5)', '12th Most maidens in an innings (2)']</t>
  </si>
  <si>
    <t>['13th Longest intervals between appearances (8y 144d)']</t>
  </si>
  <si>
    <t>['47th Youngest captains (25y 92d)']</t>
  </si>
  <si>
    <t>['14th Most runs in a career without a hundred (2168)', '24th Most ducks in career (18)', '6th Most consecutive ducks (3)', '19th Worst career bowling average (without qualification) (142.00)', '37th Most matches as captain (69)']</t>
  </si>
  <si>
    <t>['24th Worst career economy rate (5.83)', '49th Youngest players (17y 307d)']</t>
  </si>
  <si>
    <t>['4th Highest partnership for the seventh wicket (127)']</t>
  </si>
  <si>
    <t>['35th Most runs on a single ground (1169)', '15th Most innings before first duck (45)', '22nd Fewest ducks in career (39)', '19th Highest partnership for the second wicket (220)', '38th Highest partnership for the sixth wicket (128)', '4th Highest partnership for the seventh wicket (127)']</t>
  </si>
  <si>
    <t>['49th Oldest players on debut (36y 255d)', '34th Oldest players (40y 283d)']</t>
  </si>
  <si>
    <t>['16th Youngest player to take five-wickets-in-an-innings (19y 61d)']</t>
  </si>
  <si>
    <t>[' Hundred and a duck in a match ', ' Carrying bat through a completed innings (85*)']</t>
  </si>
  <si>
    <t>['21st Most innings before first duck (40)', '36th Fewest ducks in career (29.5)']</t>
  </si>
  <si>
    <t>['14th Most runs in debut match (71)']</t>
  </si>
  <si>
    <t>['5th Best figures in a innings when on the losing side (4)', '8th Most wickets taken bowled (25)']</t>
  </si>
  <si>
    <t>['45th Worst career bowling average (31.06)', '43rd Worst career economy rate (4.10)', '31st Youngest captains (23y 161d)']</t>
  </si>
  <si>
    <t>['12th Most runs in an innings (by batting position) (18*)', '25th Most innings before first duck (17)', '16th Most ducks in career (6)', '30th Most wickets in career (55)', '42nd Best figures in an innings (5/28)', '37th Most wickets in a calendar year (19)', '16th Outstanding bowling analyses in an innings (2/2)', '21st Best figures in a innings by a captain (3)', '5th Best figures in a innings when on the losing side (4)', '18th Best career economy rate (5.36)', '41st Best economy rate in an innings (0.66)', '13th Most four-wickets-in-an-innings in a career (2)', '23rd Most balls bowled in career (1274)', '28th Most runs conceded in career (1139)', '8th Most wickets taken bowled (25)', '46th Most wickets taken caught (25)', '45th Most wickets taken caught by a fielder (21)', '12th Highest partnership for the tenth wicket (17)', '17th Youngest captains (20y 348d)', '11th Most maidens in career (9)']</t>
  </si>
  <si>
    <t>['4th Outstanding bowling analyses in an innings (6/20)', '3rd Most consecutive four-wickets-in-an-innings (2)', '4th Most catches in an innings (3)']</t>
  </si>
  <si>
    <t>['9th Best figures in an innings (6/20)', '4th Outstanding bowling analyses in an innings (6/20)', '8th Most wickets on a single ground (17)', '11th Best figures in a innings when on the losing side (4)', '38th Best career bowling average (19.52)', '24th Best career strike rate (33.5)', '38th Most four-wickets-in-an-innings in a career (3)', '3rd Most consecutive four-wickets-in-an-innings (2)', '33rd Youngest player to take five-wickets-in-an-innings (23y 251d)', '31st Most wickets taken caught and bowled (5)', '4th Most catches in an innings (3)']</t>
  </si>
  <si>
    <t>['34th Outstanding bowling analyses in an innings (3/5)', '34th Best career bowling average (18.46)', '14th Best career economy rate (5.28)', '45th Best career strike rate (20.9)', '33rd Best strike rate in an innings (4.0)', '33rd Worst economy rate in an innings (14.50)', '47th Most balls bowled in career (902)', '36th Most wickets taken lbw (6)', '18th Most wickets taken stumped (9)']</t>
  </si>
  <si>
    <t>['48th Winning all tosses in a series (3)']</t>
  </si>
  <si>
    <t>['10th Captains who have kept wicket (12)', '10th Most stumpings in career (35)']</t>
  </si>
  <si>
    <t>['48th Youngest captains (25y 313d)', '10th Captains who have kept wicket (12)', '36th Highest innings total without conceding a bye (556/4d)']</t>
  </si>
  <si>
    <t>['27th Most runs in a career without a hundred (1818)', '27th Highest partnership for the tenth wicket (54*)', '43rd Winning all tosses in a series (3)', '8th Captains who have kept wicket (30)', '26th Most dismissals in career (126)', '16th Most dismissals in an innings (5)', '30th Most catches in career (91)', '10th Most stumpings in career (35)', '21st Most stumpings in a series (4)']</t>
  </si>
  <si>
    <t>['11th Most ducks in career (7)', '36th Most catches in career (22)', '47th Highest partnership for the eighth wicket (21*)']</t>
  </si>
  <si>
    <t>['2nd Highest innings total without conceding a bye (715/6d)', '3rd Most runs in an innings by a wicketkeeper (176)', '6th Most ducks in a series (3)']</t>
  </si>
  <si>
    <t>['39th Most runs in a career without a hundred (1134)', '33rd Highest percentage of runs in a completed innings (58.13)', '2nd Highest innings total without conceding a bye (715/6d)']</t>
  </si>
  <si>
    <t>['34th Most runs in an innings (176)', '45th Most runs in a series by a wicketkeeper (302)', '3rd Most runs in an innings by a wicketkeeper (176)', '6th Most ducks in a series (3)', '44th Most sixes in an innings (8)', '26th Most runs from fours and sixes in an innings (112)', '50th Highest percentage of runs in a completed innings (54.50)']</t>
  </si>
  <si>
    <t>['36th Most runs on a single ground (290)', '15th Most catches in an innings (3)', '33rd Captains who have kept wicket (1)']</t>
  </si>
  <si>
    <t>['12th Longest intervals between appearances (8y 201d)', '27th Most consecutive matches missed for a team between appearances (145)']</t>
  </si>
  <si>
    <t>['36th Most runs in a match on the losing side (81)', '42nd Highest percentage of runs in a completed innings (56.25)', '38th Highest partnership for the third wicket (98)']</t>
  </si>
  <si>
    <t>[' Hundred in each innings of a match ', '3rd Fifties in consecutive matches (11)', ' Pair by a captain ']</t>
  </si>
  <si>
    <t>['3rd Fifties in consecutive matches (11)', '35th Fastest to 1000 runs (21)', '33rd Highest partnership for the fourth wicket (266)']</t>
  </si>
  <si>
    <t>['3rd Highest partnership for the ninth wicket (184)', '7th Outstanding bowling analyses in an innings (3/4)', ' 1000 runs, 50 wickets and 50 catches ', '5th Most consecutive matches for a team (54)', '2nd Most runs on a single ground (477)', '6th Most consecutive innings without a duck (62*)', '3rd Outstanding bowling analyses in an innings (2/1)', '1st Most wickets taken hit wicket (1)', '9th Most runs on a single ground (3046)']</t>
  </si>
  <si>
    <t>['47th Worst career economy rate (3.44)', '33rd Best figures in a match on debut (8)', '3rd Highest partnership for the ninth wicket (184)']</t>
  </si>
  <si>
    <t>['13th Most runs on a single ground (1773)', '30th Most innings before first duck (36)', '7th Outstanding bowling analyses in an innings (3/4)', '44th Worst career bowling average (47.01)', '15th Worst economy rate in an innings (11.80)']</t>
  </si>
  <si>
    <t>['35th Most runs in career (1507)', '35th Most runs in a calendar year (414)', '27th Most runs in an innings (by batting position) (54)', '2nd Most runs on a single ground (477)', '6th Most consecutive innings without a duck (62*)', '14th Fewest ducks in career (40.5)', '43rd Most sixes in career (48)', '39th Most fours in career (122)', '3rd Outstanding bowling analyses in an innings (2/1)', '30th Most wickets on a single ground (12)', '1st Most wickets taken hit wicket (1)', '21st Most catches in career (32)', '20th Highest partnership for the seventh wicket (57)', '11th Most matches in career (89)', '5th Most consecutive matches for a team (54)', '13th Longest careers (13y 210d)']</t>
  </si>
  <si>
    <t>['5th Youngest player to take ten-wickets-in-a-match (19y 3d)', '6th Most runs conceded in an innings (246)', '6th Most consecutive ducks (3)', ' Opening the batting and bowling in the same match ']</t>
  </si>
  <si>
    <t>['36th Worst strike rate in an innings (348.0)', '22nd Best figures in a innings on debut (6)', '15th Youngest player to take five-wickets-in-an-innings (18y 361d)', '5th Youngest player to take ten-wickets-in-a-match (19y 3d)', '6th Most runs conceded in an innings (246)', '48th Fastest to 100 wickets (24)']</t>
  </si>
  <si>
    <t>['20th Worst career bowling average (without qualification) (82.50)', '23rd Highest partnership for the ninth wicket (33)']</t>
  </si>
  <si>
    <t>['7th Most pairs in career (3)', '22nd Worst career bowling average (57.32)', '22nd Best figures in a innings on debut (6)']</t>
  </si>
  <si>
    <t>['16th Worst career bowling average (53.50)', '20th Worst career strike rate (66.2)']</t>
  </si>
  <si>
    <t>['3rd Youngest players (15y 128d)', '10th Worst economy rate in an innings (7.05)', '2nd Youngest players (15y 116d)']</t>
  </si>
  <si>
    <t>['10th Worst economy rate in an innings (7.05)', '3rd Youngest players (15y 128d)']</t>
  </si>
  <si>
    <t>['2nd Youngest players (15y 116d)']</t>
  </si>
  <si>
    <t>['3rd Highest partnership for the seventh wicket (82)']</t>
  </si>
  <si>
    <t>['49th Best career strike rate (31.9)', '27th Worst career economy rate (5.81)']</t>
  </si>
  <si>
    <t>['21st Most runs in an innings (by batting position) (34*)', '8th Best figures in a innings when on the losing side (4)', '11th Highest partnership for the tenth wicket (25*)']</t>
  </si>
  <si>
    <t>['3rd Most catches by a substitute in an innings (3)', '10th Longest careers (18y 104d)', '4th Most wickets on a single ground (94)', '6th Bowler/Batters combinations (10)', ' 1000 runs and 100 wickets ', ' 1000 runs, 50 wickets and 50 catches ', '9th Most consecutive matches as captain of a team (26)', '4th Worst career bowling average (36.35)', '3rd Most runs in a career without a hundred (2961)']</t>
  </si>
  <si>
    <t>['3rd Most catches by a substitute in an innings (3)', '6th Most catches by a substitute in a match (3)', '42nd Youngest players (18y 34d)', '44th Youngest captains (25y 277d)']</t>
  </si>
  <si>
    <t>['29th Most runs in a career without a hundred (1787)', '35th Highest strike rate in an innings (275.00)', '45th Most ducks in career (15)', '20th Most wickets in career (270)', '37th Best figures in an innings (6/26)', '20th Most wickets in a calendar year (49)', '4th Most wickets on a single ground (94)', '26th Best figures in a innings by a captain (4)', '43rd Most four-wickets-in-an-innings in a career (8)', '48th Youngest player to take five-wickets-in-an-innings (22y 314d)', '17th Most balls bowled in career (10922)', '12th Most runs conceded in career (8893)', '6th Bowler/Batters combinations (10)', '15th Bowler/fielder combinations (36)', '31st Most wickets taken bowled (54)', '19th Most wickets taken caught (175)', '23rd Most wickets taken caught by a fielder (122)', '17th Most wickets taken caught by a wicketkeeper (53)', '20th Most wickets taken lbw (39)', '43rd Fastest to 150 wickets (120)', '25th Fastest to 200 wickets (157)', '17th Fastest to 250 wickets (194)', '10th Longest careers (18y 104d)', '24th Most matches as captain (88)', '20th Most consecutive matches as captain of a team (45)', '48th Oldest captains (36y 153d)']</t>
  </si>
  <si>
    <t>['16th Most runs in an innings (by batting position) (36)', '13th Most ducks in career (6)', '4th Worst career bowling average (36.35)', '33rd Worst career economy rate (8.04)', '7th Worst career strike rate (27.1)', '19th Most balls bowled in career (1139)', '13th Most runs conceded in career (1527)', '12th Most runs conceded in an innings (63)', '48th Most wickets taken bowled (10)', '43rd Most wickets taken caught by a fielder (26)', '15th Most catches in an innings (3)', '18th Most matches as captain (28)', '20th Most consecutive matches as captain of a team (45)', '9th Most consecutive matches as captain of a team (26)', '13th Winning all tosses in a series (3)']</t>
  </si>
  <si>
    <t>['22nd Worst career bowling average (51.73)', '12th Worst career strike rate (70.1)', '49th Highest partnership for the tenth wicket (46)']</t>
  </si>
  <si>
    <t>['37th Highest partnership for the seventh wicket (49*)']</t>
  </si>
  <si>
    <t>['1st Shortest lived players (22y 316d)']</t>
  </si>
  <si>
    <t>['13th Most consecutive four-wickets-in-an-innings (2)', '1st Shortest lived players (22y 316d)']</t>
  </si>
  <si>
    <t>['9th Most runs in an innings (by batting position) (111)', ' 1000 runs and 100 wickets ', '6th Most consecutive ducks (3)', '6th Oldest player to take a maiden five-wickets-in-an-innings (35y 199d)', ' 1000 runs and 100 wickets ']</t>
  </si>
  <si>
    <t>['9th Most runs in an innings (by batting position) (111)', '36th Most sixes in an innings (6)']</t>
  </si>
  <si>
    <t>['45th Most ducks in career (15)', '6th Most consecutive ducks (3)', '11th Oldest player to take five-wickets-in-an-innings (35y 199d)', '6th Oldest player to take a maiden five-wickets-in-an-innings (35y 199d)', '35th Most wickets taken caught and bowled (10)', '28th Most wickets taken stumped (12)']</t>
  </si>
  <si>
    <t>['16th Oldest living players (50y 191d)']</t>
  </si>
  <si>
    <t>['2nd Captains who have kept wicket (28)', '4th Highest innings total without conceding a bye (687/6d)', '4th Most runs in an innings by a wicketkeeper (219*)', ' 2000 runs and 100 wicketkeeping dismissals ', '7th Most dismissals in career (233)', '8th Most catches in career (187)', '8th Captains who have kept wicket (30)', '6th Most stumpings in career (46)', '10th Most byes conceded in an innings (12)', '2nd Most runs on a single ground (2616)', '1st Dismissed for 99 (and 199, 299 etc) (99)', '6th Most consecutive ducks (3)', ' 200 runs and 10 wicketkeeping dismissals in a series ', '3rd Most dismissals in career (61)', '3rd Captains who have kept wicket (23)', '5th Most catches in career (32)', '3rd Most stumpings in career (29)', '4th Most byes conceded in an innings (10)', '8th Most runs on a single ground (392)', '6th Most stumpings in career (90)', '2nd Most runs on a single ground (4257)']</t>
  </si>
  <si>
    <t>['11th Most runs in an innings (by batting position) (200)', '41st Most runs on a single ground (1249)', '4th Most runs in an innings by a wicketkeeper (219*)', '27th Most double hundreds in a career (3)', '28th Highest partnership for the eighth wicket (144*)', '39th Youngest players (18y 17d)', '36th Most matches as captain (34)', '29th Most consecutive matches as captain of a team (27)', '22nd Youngest captains (24y 165d)', '2nd Captains who have kept wicket (28)', '41st Most dismissals in career (113)', '43rd Most catches in career (98)', '29th Most stumpings in career (15)', '4th Highest innings total without conceding a bye (687/6d)']</t>
  </si>
  <si>
    <t>['15th Most runs in an innings (by batting position) (144)', '2nd Most runs on a single ground (2616)', '14th Most runs in a series by a wicketkeeper (407)', '19th Most runs in an innings by a wicketkeeper (144)', '37th Highest strike rate in an innings (272.72)', '34th Most nineties in career (4)', '1st Dismissed for 99 (and 199, 299 etc) (99)', '6th Most consecutive ducks (3)', '44th Highest percentage of runs in a completed innings (55.17)', '46th Fastest to 6000 runs (201)', '46th Highest partnership for the seventh wicket (101)', '21st Most consecutive matches for a team (92)', '17th Most player-of-the-series awards (5)', '30th Most consecutive matches as captain of a team (37)', '29th Youngest captains (24y 157d)', '8th Captains who have kept wicket (30)', '7th Most dismissals in career (233)', '16th Most dismissals in an innings (5)', '8th Most catches in career (187)', '11th Most catches in an innings (5)', '6th Most stumpings in career (46)', '7th Most stumpings in a series (5)', '10th Most byes conceded in an innings (12)']</t>
  </si>
  <si>
    <t>['46th Most runs in career (1282)', '44th Most runs in a calendar year (397)', '8th Most runs on a single ground (392)', '35th Most runs in an innings by a wicketkeeper (72*)', '40th Most consecutive innings without a duck (33)', '41st Fewest ducks in career (15.4)', '32nd Most ducks in career (5)', '13th Highest partnership for the fifth wicket (84)', '42nd Highest partnership for the seventh wicket (48)', '12th Most matches in career (86)', '16th Longest careers (13y 104d)', '28th Most matches as captain (23)', '27th Youngest captains (24y 155d)', '3rd Captains who have kept wicket (23)', '29th Most consecutive matches as captain of a team (37)', '3rd Most dismissals in career (61)', '5th Most catches in career (32)', '3rd Most stumpings in career (29)', '4th Most byes conceded in an innings (10)']</t>
  </si>
  <si>
    <t>['5th Best career strike rate (26.5)', '3rd Best figures in a innings on debut (5)', '2nd Most consecutive five-wickets-in-an-innings (2)', '4th Fastest to 100 wickets (54)', '3rd Most runs in an innings (by batting position) (15)', '1st Best figures in a innings when on the losing side (5)', '4th Fastest to 50 wickets (33)']</t>
  </si>
  <si>
    <t>['26th Most wickets in a series (20)', '17th Most wickets on a single ground (47)', '14th Best figures in a innings when on the losing side (5)', '25th Best career bowling average (22.92)', '5th Best career strike rate (26.5)', '3rd Best figures in a innings on debut (5)', '11th Most five-wickets-in-an-innings in a career (5)', '43rd Most four-wickets-in-an-innings in a career (8)', '2nd Most consecutive five-wickets-in-an-innings (2)', '13th Most consecutive four-wickets-in-an-innings (2)', '11th Youngest player to take five-wickets-in-an-innings (19y 285d)', '36th Most runs conceded in an innings (93)', '17th Fastest to 50 wickets (27)', '4th Fastest to 100 wickets (54)']</t>
  </si>
  <si>
    <t>['3rd Most runs in an innings (by batting position) (15)', '22nd Most wickets in career (58)', '35th Best figures in an innings (5/22)', '30th Most wickets in a calendar year (21)', '4th Most wickets on a single ground (20)', '1st Best figures in a innings when on the losing side (5)', '41st Best career bowling average (21.36)', '20th Best career strike rate (15.9)', '31st Best strike rate in an innings (4.5)', '34th Worst career economy rate (8.03)', '16th Most four-wickets-in-an-innings in a career (2)', '38th Most balls bowled in career (925)', '24th Most runs conceded in career (1239)', '17th Bowler/batters combinations (3)', '26th Bowler/fielder combinations (7)', '20th Most wickets taken bowled (14)', '18th Most wickets taken caught (39)', '24th Most wickets taken caught by a fielder (31)', '13th Most wickets taken caught by a wicketkeeper (8)', '32nd Most wickets taken lbw (5)', '4th Fastest to 50 wickets (33)', '15th Most catches in an innings (3)', '19th Most maidens in career (3)']</t>
  </si>
  <si>
    <t>['25th Highest partnership for the eighth wicket (84)']</t>
  </si>
  <si>
    <t>['20th Youngest player to score a hundred (20y 184d)']</t>
  </si>
  <si>
    <t>['11th Shortest lived players (32y 274d)']</t>
  </si>
  <si>
    <t>['46th Youngest captains (25y 91d)']</t>
  </si>
  <si>
    <t>['10th Youngest captains (22y 353d)', ' Hundred on debut (114)', '1st Youngest player to score a hundred (17y 61d)', ' Hundred and a duck in a match ', '10th Youngest captains (23y 13d)']</t>
  </si>
  <si>
    <t>['1st Youngest player to score a hundred (17y 61d)', '22nd Highest partnership for the fifth wicket (267)', '13th Youngest players (17y 61d)', '10th Youngest captains (22y 353d)']</t>
  </si>
  <si>
    <t>['27th Youngest player to score a hundred (20y 346d)', '50th Most consecutive matches for a team (71)', '14th Youngest players (16y 278d)', '27th Most consecutive matches as captain of a team (38)', '10th Youngest captains (23y 13d)']</t>
  </si>
  <si>
    <t>['20th Best figures in a innings by a captain (3)', '13th Youngest captains (23y 56d)', '26th Most consecutive matches as captain of a team (38)']</t>
  </si>
  <si>
    <t>['19th Youngest player to score a hundred (19y 349d)']</t>
  </si>
  <si>
    <t>['1st Outstanding bowling analyses in an innings (1/0)', '5th Best career bowling average (13.42)', '5th Bowler/fielder combinations (12)']</t>
  </si>
  <si>
    <t>['17th Youngest players (15y 216d)']</t>
  </si>
  <si>
    <t>['38th Most wickets in career (50)', '22nd Most wickets in a calendar year (20)', '1st Outstanding bowling analyses in an innings (1/0)', '6th Most wickets on a single ground (12)', '5th Best career bowling average (13.42)', '10th Best career economy rate (4.98)', '9th Best career strike rate (16.1)', '33rd Best strike rate in an innings (4.0)', '5th Bowler/fielder combinations (12)', '24th Most wickets taken bowled (15)', '7th Most wickets taken stumped (13)', '15th Most maidens in career (8)', '12th Most maidens in an innings (2)']</t>
  </si>
  <si>
    <t>['33rd Most runs in a match on the losing side (81)']</t>
  </si>
  <si>
    <t>['6th Most stumpings in an innings (3)']</t>
  </si>
  <si>
    <t>['18th Youngest players (15y 237d)', '17th Most dismissals in an innings (4)', '6th Most stumpings in an innings (3)']</t>
  </si>
  <si>
    <t>['18th Most stumpings in career (15)', '9th Most stumpings in an innings (3)']</t>
  </si>
  <si>
    <t>['6th Most stumpings in an innings (3)', '3rd Most runs in an innings (by batting position) (113*)', '1st Highest partnership for the third wicket (236*)']</t>
  </si>
  <si>
    <t>['29th Most innings before first duck (17)', '28th Highest partnership for the eighth wicket (47)', '17th Most dismissals in an innings (4)', '40th Most stumpings in career (6)', '6th Most stumpings in an innings (3)']</t>
  </si>
  <si>
    <t>['44th Most runs in career (858)', '12th Most runs in an innings (113*)', '3rd Most runs in an innings (by batting position) (113*)', '34th Most ducks in career (5)', '2nd Highest partnerships for any wicket (236*)', '3rd Highest partnerships by wicket (3rd)', '1st Highest partnership for the third wicket (236*)', '21st Highest partnership for the fifth wicket (64)', '12th Highest partnership for the tenth wicket (17)', '13th Most consecutive matches for a team (52*)', '16th Most dismissals in career (30)', '9th Most stumpings in career (23)']</t>
  </si>
  <si>
    <t>['15th Youngest players (17y 73d)']</t>
  </si>
  <si>
    <t>['20th Youngest players (16y 343d)']</t>
  </si>
  <si>
    <t>['45th Worst career bowling average (without qualification) (67.00)', '47th Highest partnership for the tenth wicket (15*)']</t>
  </si>
  <si>
    <t>['9th Youngest player to take five-wickets-in-an-innings (18y 283d)']</t>
  </si>
  <si>
    <t>['2nd Worst career strike rate (109.4)']</t>
  </si>
  <si>
    <t>['16th Best figures in a innings by a captain (6)', '22nd Best figures in a innings on debut (6)']</t>
  </si>
  <si>
    <t>['2nd Worst career bowling average (90.40)', '2nd Worst career strike rate (109.4)']</t>
  </si>
  <si>
    <t>['11th Youngest player to score a hundred (20y 3d)', '12th Outstanding bowling analyses in an innings (2/3)']</t>
  </si>
  <si>
    <t>['43rd Most runs in an innings (by batting position) (50*)', '41st Highest partnership for the tenth wicket (16*)']</t>
  </si>
  <si>
    <t>['1st Worst career bowling average (without qualification) (303.00)']</t>
  </si>
  <si>
    <t>['19th Most runs in an innings (by batting position) (28)']</t>
  </si>
  <si>
    <t>['1st Most runs in an innings (by batting position) (23)']</t>
  </si>
  <si>
    <t>['1st Most runs in an innings (by batting position) (23)', '30th Highest partnership for the ninth wicket (37)']</t>
  </si>
  <si>
    <t>['34th Most innings before first duck (14)', '32nd Best figures in an innings (5/16)', '25th Best career bowling average (17.69)', '17th Best career economy rate (5.33)', '35th Best career strike rate (19.9)', '50th Most wickets taken caught (24)', '45th Most wickets taken caught by a fielder (21)', '12th Most maidens in an innings (2)']</t>
  </si>
  <si>
    <t>['8th Most consecutive matches for a team (58)', '6th Most wickets in a calendar year (30)', '9th Most wickets taken stumped (11)']</t>
  </si>
  <si>
    <t>['11th Best figures in a innings when on the losing side (4)', '41st Highest partnership for the eighth wicket (44)', '41st Most matches as captain (18)', '37th Most consecutive matches as captain of a team (18*)']</t>
  </si>
  <si>
    <t>['25th Most runs in an innings (by batting position) (50)', '17th Most consecutive innings without a duck (38)', '47th Fewest ducks in career (15)', '27th Most wickets in career (57)', '6th Most wickets in a calendar year (30)', '12th Outstanding bowling analyses in an innings (3/2)', '19th Most wickets on a single ground (10)', '45th Best career bowling average (20.05)', '20th Best career economy rate (5.40)', '41st Best economy rate in an innings (0.66)', '24th Most balls bowled in career (1268)', '27th Most runs conceded in career (1143)', '34th Bowler/fielder combinations (8)', '44th Most wickets taken bowled (10)', '34th Most wickets taken caught (30)', '30th Most wickets taken caught by a fielder (27)', '36th Most wickets taken lbw (6)', '9th Most wickets taken stumped (11)', '40th Highest partnership for the seventh wicket (32)', '19th Highest partnership for the eighth wicket (28)', '8th Most consecutive matches for a team (58)', '27th Most maidens in career (6)']</t>
  </si>
  <si>
    <t>['4th Most consecutive ducks (4)', '3rd Worst career economy rate (3.92)', '8th Most wickets on a single ground (65)', '1st Worst career economy rate (9.45)', '1st Bowler/batters combinations (4)']</t>
  </si>
  <si>
    <t>['4th Most consecutive ducks (4)', '4th Worst career bowling average (76.77)', '3rd Worst career economy rate (3.92)', '32nd Worst career strike rate (117.3)', '38th Youngest player to take five-wickets-in-an-innings (20y 45d)']</t>
  </si>
  <si>
    <t>['37th Best figures in an innings (6/26)', '8th Most wickets on a single ground (65)', '11th Best strike rate in an innings (5.8)', '40th Worst career economy rate (5.67)', '15th Best figures in a innings on debut (4)', '43rd Most four-wickets-in-an-innings in a career (8)', '37th Bowler/fielder combinations (27)']</t>
  </si>
  <si>
    <t>['11th Worst career bowling average (32.57)', '1st Worst career economy rate (9.45)', '12th Most runs conceded in an innings (63)', '1st Bowler/batters combinations (4)', '38th Most wickets taken bowled (11)', '35th Longest careers (11y 299d)']</t>
  </si>
  <si>
    <t>['3rd Worst career bowling average (without qualification) (161.00)', '5th Best figures in a innings when on the losing side (4)', '2nd Most maidens in an innings (3)']</t>
  </si>
  <si>
    <t>['3rd Worst career bowling average (without qualification) (161.00)']</t>
  </si>
  <si>
    <t>['9th Outstanding bowling analyses in an innings (3/1)', '5th Best figures in a innings when on the losing side (4)', '15th Best economy rate in an innings (0.25)', '25th Highest partnership for the tenth wicket (12)', '2nd Most maidens in an innings (3)']</t>
  </si>
  <si>
    <t>['44th Highest partnership for the fourth wicket (165*)']</t>
  </si>
  <si>
    <t>['2nd Youngest captains (20y 297d)']</t>
  </si>
  <si>
    <t>['38th Most runs in a career without a hundred (1141)', '43rd Worst career bowling average (without qualification) (134.00)']</t>
  </si>
  <si>
    <t>['35th Best strike rate in an innings (6.7)', '31st Highest partnership for the fourth wicket (175*)', '2nd Youngest captains (20y 297d)']</t>
  </si>
  <si>
    <t>['1st Worst career economy rate (4.16)']</t>
  </si>
  <si>
    <t>['35th Worst career bowling average (51.81)', '1st Worst career economy rate (4.16)', '2nd Worst economy rate in an innings (8.41)', '21st Youngest player to take five-wickets-in-an-innings (19y 213d)']</t>
  </si>
  <si>
    <t>['22nd Worst career economy rate (5.84)']</t>
  </si>
  <si>
    <t>['33rd Worst career bowling average (without qualification) (79.00)']</t>
  </si>
  <si>
    <t>['25th Shortest lived players (44y 261d)']</t>
  </si>
  <si>
    <t>['10th Most innings before first duck (34)', '3rd Most catches by a substitute in an innings (2)']</t>
  </si>
  <si>
    <t>['25th Most runs in a calendar year (463)', '40th Most runs in an innings (by batting position) (80)', '48th Most runs in a match on the losing side (77)', '30th Most runs on a single ground (308)', '10th Most innings before first duck (34)', '35th Most consecutive innings without a duck (34)', '29th Fewest ducks in career (21.5)', '40th Most catches in career (25)', '15th Most catches in an innings (3)', '3rd Most catches by a substitute in an innings (2)', '46th Most consecutive matches for a team (29)']</t>
  </si>
  <si>
    <t>['6th Youngest captains (21y 211d)']</t>
  </si>
  <si>
    <t>['50th Youngest player to score a hundred (20y 343d)']</t>
  </si>
  <si>
    <t>['36th Youngest player to score a hundred (21y 97d)', '31st Longest individual innings (by balls) (161)', '45th Fastest to 1000 runs (29)', '45th Most player-of-the-series awards (3)']</t>
  </si>
  <si>
    <t>['6th Most ducks in a series (3)', '11th Worst career economy rate (5.97)', '50th Worst economy rate in an innings (10.77)', '15th Most runs conceded in an innings (97)']</t>
  </si>
  <si>
    <t>['35th Worst economy rate in an innings (6.50)']</t>
  </si>
  <si>
    <t>['6th Youngest captains (22y 115d)', ' Hundred and a duck in a match ', ' A hundred and five wickets in an innings ', '4th Highest partnership for the fifth wicket (359)', '9th Youngest captains (22y 124d)', '3rd Most runs on a single ground (2553)', '9th Youngest player to score a hundred (19y 341d)', '1st Most wickets on a single ground (122)', '9th Most wickets taken caught and bowled (16)', ' A fifty and five wickets in an innings ', ' 1000 runs, 50 wickets and 50 catches ', ' 5000 runs and 50 fielding dismissals ', '3rd Highest partnership for the fifth wicket (224)', '4th Most player-of-the-series awards (3)', '1st Best figures in a innings by a captain (5)', '4th Most four-wickets-in-an-innings in a career (4)', '4th Most balls bowled in career (1667)', '5th Most runs conceded in career (1894)', '1st Bowler/fielder combinations (17)', '9th Highest partnership for the fifth wicket (91*)', '4th Most player-of-the-series awards (14)', '3rd Most runs on a single ground (4214)', '1st Most wickets on a single ground (210)', '9th Most wickets taken stumped (44)']</t>
  </si>
  <si>
    <t>['37th Most runs in a match on the losing side (217)', '30th Most runs on a single ground (1313)', '26th Most runs in a day (212)', '26th Most consecutive innings without a duck (62)', '37th Fewest ducks in career (26.5)', '19th Most wickets on a single ground (63)', '16th Best figures in a innings by a captain (6)', '35th Best figures in a match by a captain (8)', '24th Best figures in a innings when on the losing side (7)', '24th Most five-wickets-in-an-innings in a career (18)', '18th Most consecutive five-wickets-in-an-innings (3)', '36th Highest partnerships for any wicket (359)', '4th Highest partnership for the fifth wicket (359)', '12th Most player-of-the-series awards (5)', '6th Youngest captains (22y 115d)']</t>
  </si>
  <si>
    <t>['8th Most runs in a series (606)', '3rd Most runs on a single ground (2553)', '35th Highest strike rate in an innings (275.00)', '45th Highest maiden hundred (134*)', '9th Youngest player to score a hundred (19y 341d)', '36th Most fifties in career (57)', '11th Fifties in consecutive innings (5)', '48th Most fours in career (584)', '36th Fastest to 6000 runs (190)', '21st Most wickets in career (269)', '27th Most wickets in a calendar year (46)', '8th Outstanding bowling analyses in an innings (4/8)', '1st Most wickets on a single ground (122)', '26th Best figures in a innings by a captain (4)', '43rd Most five-wickets-in-an-innings in a career (2)', '22nd Most four-wickets-in-an-innings in a career (11)', '41st Oldest player to take five-wickets-in-an-innings (32y 92d)', '18th Most balls bowled in career (10824)', '19th Most runs conceded in career (8037)', '11th Bowler/Batters combinations (9)', '27th Bowler/fielder combinations (31)', '26th Most wickets taken bowled (56)', '34th Most wickets taken caught (141)', '9th Most wickets taken caught and bowled (16)', '24th Most wickets taken caught by a fielder (120)', '10th Most wickets taken lbw (51)', '12th Most wickets taken stumped (21)', '42nd Fastest to 150 wickets (119)', '24th Fastest to 200 wickets (156)', '18th Fastest to 250 wickets (199)', '22nd Highest partnership for the fourth wicket (189*)', '3rd Highest partnership for the fifth wicket (224)', '10th Highest partnership for the ninth wicket (97)', '37th Most consecutive matches for a team (78)', '23rd Most player-of-the-match awards (22)', '12th Most player-of-the-series awards (6)', '9th Youngest captains (22y 124d)']</t>
  </si>
  <si>
    <t>['31st Most runs in career (1567)', '32nd Most runs in an innings (by batting position) (84)', '30th Most runs in a match on the losing side (84)', '15th Most runs on a single ground (348)', '29th Most fifties in career (9)', '23rd Most consecutive innings without a duck (39)', '42nd Fewest ducks in career (15.2)', '32nd Most ducks in career (5)', '19th Most fours in career (163)', '31st Most fours in an innings (11)', '5th Most wickets in career (92)', '32nd Best figures in an innings (5/20)', '36th Most wickets in a calendar year (20)', '25th Outstanding bowling analyses in an innings (3/8)', '2nd Most wickets on a single ground (25)', '1st Best figures in a innings by a captain (5)', '33rd Best career bowling average (20.58)', '26th Best career economy rate (6.81)', '50th Best career strike rate (18.1)', '31st Best strike rate in an innings (4.5)', '4th Most four-wickets-in-an-innings in a career (4)', '4th Most balls bowled in career (1667)', '5th Most runs conceded in career (1894)', '17th Bowler/batters combinations (3)', '1st Bowler/fielder combinations (17)', '8th Most wickets taken bowled (18)', '4th Most wickets taken caught (52)', '4th Most wickets taken caught by a fielder (46)', '33rd Most wickets taken caught by a wicketkeeper (6)', '14th Most wickets taken lbw (7)', '2nd Most wickets taken stumped (15)', '18th Fastest to 50 wickets (42)', '20th Highest partnership for the third wicket (112)', '15th Highest partnership for the fourth wicket (105*)', '9th Highest partnership for the fifth wicket (91*)', '31st Most matches in career (76)', '28th Most player-of-the-match awards (5)', '4th Most player-of-the-series awards (3)', '18th Longest careers (12y 297d)', '31st Most matches as captain (21)', '11th Youngest captains (22y 131d)']</t>
  </si>
  <si>
    <t>['16th Most ducks in career (6)', '46th Highest percentage of runs in a completed innings (54.61)']</t>
  </si>
  <si>
    <t>['30th Most runs in debut match (52)', '38th Highest partnership for the third wicket (127)', '25th Youngest players (15y 330d)']</t>
  </si>
  <si>
    <t>['26th Most runs in debut match (53)', '4th Most catches in an innings (3)']</t>
  </si>
  <si>
    <t>['26th Outstanding bowling analyses in an innings (3/4)']</t>
  </si>
  <si>
    <t>['9th Most stumpings in an innings (3)']</t>
  </si>
  <si>
    <t>['34th Most runs in a calendar year (396)', '44th Highest partnership for the third wicket (77)', '21st Most dismissals in career (23)', '21st Most stumpings in career (14)', '9th Most stumpings in an innings (3)']</t>
  </si>
  <si>
    <t>['7th Youngest players (16y 223d)', '6th Number eleven top scoring in an innings (31)']</t>
  </si>
  <si>
    <t>['6th Number eleven top scoring in an innings (31)', '7th Youngest players (16y 223d)']</t>
  </si>
  <si>
    <t>['15th Youngest players (16y 287d)']</t>
  </si>
  <si>
    <t>['3rd Best figures in a innings on debut (5)', '6th Youngest player to take five-wickets-in-an-innings (19y 75d)']</t>
  </si>
  <si>
    <t>['14th Best figures in a innings when on the losing side (5)', '27th Worst career economy rate (5.81)', '3rd Best figures in a innings on debut (5)', '6th Youngest player to take five-wickets-in-an-innings (19y 75d)']</t>
  </si>
  <si>
    <t>['5th Worst career bowling average (without qualification) (261.00)']</t>
  </si>
  <si>
    <t>['20th Worst career bowling average (59.36)', '7th Worst career economy rate (3.80)']</t>
  </si>
  <si>
    <t>['48th Worst career economy rate (5.64)', '5th Worst economy rate in an innings (12.42)']</t>
  </si>
  <si>
    <t>['32nd Best figures in an innings (8/39)', '13th Outstanding bowling analyses in an innings (8/39)', '42nd Most wickets on a single ground (52)', '15th Best figures in a match when on the losing side (11)', '18th Most consecutive five-wickets-in-an-innings (3)', '17th Most runs conceded in an innings (219)']</t>
  </si>
  <si>
    <t>[' Hundred and a duck in a match ', '1st Most runs on a single ground (2795)', '5th Youngest player to score a hundred (19y 2d)', ' 5000 runs and 50 fielding dismissals ', '3rd Highest partnership for the first wicket (292)', '1st Most runs on a single ground (4375)']</t>
  </si>
  <si>
    <t>['37th Most runs on a single ground (1260)', '21st Hundreds in consecutive matches (3)', '31st Youngest player to score a hundred (20y 111d)', '32nd Fifties in consecutive innings (5)', '26th Fifties in consecutive matches (7)', '19th Most sixes in an innings (7)', '13th Highest partnership for the first wicket (312)']</t>
  </si>
  <si>
    <t>['36th Most runs in career (7534)', '1st Most runs on a single ground (2795)', '48th Most runs in an series by a captain (332)', '33rd Most hundreds in a career (13)', '5th Youngest player to score a hundred (19y 2d)', '29th Most fifties in career (64)', '11th Fifties in consecutive innings (5)', '24th Most ducks in career (18)', '41st Most sixes in career (95)', '24th Most fours in career (819)', '25th Most fours in an innings (20)', '35th Longest individual innings (by balls) (160)', '46th Highest percentage of runs in a completed innings (54.82)', '50th Fastest to 5000 runs (158)', '28th Fastest to 6000 runs (175)', '18th Fastest to 7000 runs (204)', '6th Highest partnerships for any wicket (292)', '3rd Highest partnership for the first wicket (292)', '31st Highest partnership for the second wicket (207)', '32nd Most consecutive matches for a team (85)', '17th Most player-of-the-series awards (5)']</t>
  </si>
  <si>
    <t>['18th Most runs in career (1758)', '41st Most runs in an innings (103*)', '30th Most runs in an innings (by batting position) (103*)', '23rd Most runs in a match on the losing side (88*)', '24th Most runs on a single ground (320)', '32nd Most fifties in career (8)', '44th Most innings before first duck (16)', '13th Most ducks in career (6)', '46th Most sixes in career (45)', '13th Most fours in career (188)', '29th Longest individual innings (by balls) (63)', '36th Highest percentage of runs in a completed innings (57.22)', '42nd Highest partnerships for any wicket (132*)', '12th Highest partnership for the second wicket (132*)', '38th Highest partnership for the fourth wicket (90)', '25th Most matches in career (78)', '25th Longest careers (12y 190d)']</t>
  </si>
  <si>
    <t>['2nd Best figures in a innings when on the losing side (5)']</t>
  </si>
  <si>
    <t>['36th Best figures in an innings (5/18)', '2nd Best figures in a innings when on the losing side (5)', '26th Best strike rate in an innings (3.4)']</t>
  </si>
  <si>
    <t>['4th Most runs in an innings (by batting position) (52*)']</t>
  </si>
  <si>
    <t>['23rd Longest intervals between appearances (7y 156d)']</t>
  </si>
  <si>
    <t>['4th Most runs in an innings (by batting position) (52*)', '32nd No ducks in career (18)']</t>
  </si>
  <si>
    <t>['16th Oldest player to score a maiden hundred (34y 143d)', '25th Highest partnership for the first wicket (225)']</t>
  </si>
  <si>
    <t>['3rd Youngest players (15y 258d)']</t>
  </si>
  <si>
    <t>['49th Most runs in debut match (50)']</t>
  </si>
  <si>
    <t>['10th Longest individual innings (by balls) (67)']</t>
  </si>
  <si>
    <t>['27th Most runs in an innings (by batting position) (85*)', '10th Longest individual innings (by balls) (67)', '15th Highest percentage of runs in a completed innings (61.59)', '35th Highest partnership for the fifth wicket (72*)', '33rd Longest intervals between appearances (5y 175d)']</t>
  </si>
  <si>
    <t>['18th Longest lived players (71y 58d)']</t>
  </si>
  <si>
    <t>['10th Highest partnership for the tenth wicket (66)']</t>
  </si>
  <si>
    <t>['42nd Highest partnership for the ninth wicket (27)']</t>
  </si>
  <si>
    <t>['6th Best figures in a innings by a captain (5)']</t>
  </si>
  <si>
    <t>['6th Best figures in a innings by a captain (5)', '28th Best economy rate in an innings (0.84)', '24th Oldest player to take five-wickets-in-an-innings (33y 299d)', '15th Oldest player to take a maiden five-wickets-in-an-innings (33y 299d)', '49th Oldest captains on captaincy debut (33y 299d)']</t>
  </si>
  <si>
    <t>['1st Most dismissals in an innings (5)', '3rd Most stumpings in an innings (3)']</t>
  </si>
  <si>
    <t>['19th Youngest player to score a hundred (20y 169d)']</t>
  </si>
  <si>
    <t>['39th Most runs in an innings by a wicketkeeper (71*)', '33rd Longest intervals between appearances (5y 175d)', '1st Most dismissals in an innings (5)', '13th Most catches in an innings (3)', '3rd Most stumpings in an innings (3)']</t>
  </si>
  <si>
    <t>['9th Highest partnership for the eighth wicket (100)']</t>
  </si>
  <si>
    <t>['9th Highest partnership for the eighth wicket (100)', '14th Highest partnership for the ninth wicket (89)']</t>
  </si>
  <si>
    <t>['6th Most consecutive ducks (3)', '4th Most runs in an innings (by batting position) (38)', '8th Best figures in a innings when on the losing side (4)']</t>
  </si>
  <si>
    <t>['4th Most runs in an innings (by batting position) (38)', '8th Best figures in a innings when on the losing side (4)', '14th Best career bowling average (18.20)', '23rd Best career economy rate (6.77)', '21st Best career strike rate (16.1)', '31st Best strike rate in an innings (4.5)', '16th Most four-wickets-in-an-innings in a career (2)', '26th Bowler/fielder combinations (7)', '38th Most wickets taken bowled (11)', '33rd Longest intervals between appearances (5y 175d)']</t>
  </si>
  <si>
    <t>['7th Oldest captains on captaincy debut (37y 155d)', '6th Highest partnership for the fourth wicket (115)']</t>
  </si>
  <si>
    <t>['23rd Most runs in an innings (by batting position) (73)', '29th Most runs in an innings by a captain (73)', '21st Best figures in a innings by a captain (3)', '6th Highest partnership for the fourth wicket (115)', '46th Oldest players on debut (37y 155d)', '10th Oldest captains (37y 187d)', '7th Oldest captains on captaincy debut (37y 155d)']</t>
  </si>
  <si>
    <t>['19th Longest intervals between appearances (6y 31d)']</t>
  </si>
  <si>
    <t>['4th Captains who have kept wicket and opened the batting (6)']</t>
  </si>
  <si>
    <t>['42nd Most runs in a career without a hundred (1501)', '18th Captains who have kept wicket (12)', '4th Captains who have kept wicket and opened the batting (6)', '16th Most dismissals in an innings (5)', '37th Most stumpings in career (10)']</t>
  </si>
  <si>
    <t>['18th Captains who have kept wicket (4)', '24th Most stumpings in career (5)', '32nd Most byes conceded in an innings (5)']</t>
  </si>
  <si>
    <t>['32nd Most ducks in career (5)', '31st Most fours in an innings (11)', '31st Highest partnership for the first wicket (126)', '32nd Longest careers (12y 47d)', '32nd Longest intervals between appearances (5y 177d)']</t>
  </si>
  <si>
    <t>['6th Most consecutive ducks (3)', '23rd Worst economy rate in an innings (11.40)', '45th Highest partnership for the ninth wicket (66*)']</t>
  </si>
  <si>
    <t>['32nd Best figures in an innings (5/20)', '37th Most runs conceded in an innings (57)']</t>
  </si>
  <si>
    <t>['23rd Highest partnership for the eighth wicket (26*)']</t>
  </si>
  <si>
    <t>['8th Most runs in a career without a hundred (2735)']</t>
  </si>
  <si>
    <t>['16th Most runs in a career without a hundred (2044)', '47th Worst career bowling average (46.77)', '28th Youngest player to take five-wickets-in-an-innings (21y 212d)']</t>
  </si>
  <si>
    <t>['36th Most runs in an innings (by batting position) (75*)', '49th Most runs in an innings by a captain (75*)', '20th Best figures in a innings by a captain (3)', '47th Highest partnership for the fourth wicket (83)', '30th Highest partnership for the seventh wicket (53)', '45th Most consecutive matches for a team (30*)', '31st Longest careers (12y 56d)', '33rd Longest intervals between appearances (5y 175d)', '44th Most matches as captain (17)']</t>
  </si>
  <si>
    <t>['5th Most runs in an innings (by batting position) (36)']</t>
  </si>
  <si>
    <t>['10th Highest partnership for the sixth wicket (161)']</t>
  </si>
  <si>
    <t>['43rd Most runs in a career without a hundred (1409)', '10th Highest partnership for the sixth wicket (161)', '43rd Winning all tosses in a series (3)']</t>
  </si>
  <si>
    <t>['26th Highest partnership for the eighth wicket (26)']</t>
  </si>
  <si>
    <t>['33rd Longest intervals between appearances (5y 175d)']</t>
  </si>
  <si>
    <t>['1st Most stumpings in an innings (3)', '6th Most ducks in a series (3)']</t>
  </si>
  <si>
    <t>['46th Most runs in a career without a hundred (1355)', '6th Most ducks in a series (3)', '1st Most stumpings in an innings (3)']</t>
  </si>
  <si>
    <t>['30th Highest partnership for the first wicket (126*)']</t>
  </si>
  <si>
    <t>['48th Most runs conceded in an innings (91)', '39th Oldest players (40y 123d)', '17th Longest careers (17y 323d)']</t>
  </si>
  <si>
    <t>['4th Most runs in an innings (by batting position) (84)', ' 1000 runs and 100 wickets ']</t>
  </si>
  <si>
    <t>['4th Most runs in an innings (by batting position) (84)', '40th Most wickets on a single ground (33)', '48th Best economy rate in an innings (1.00)', '34th Most wickets taken lbw (26)', '11th Highest partnership for the seventh wicket (119)', '25th Highest partnership for the tenth wicket (55*)', '44th Youngest players (17y 282d)', '15th Longest careers (17y 346d)', '35th Youngest captains (24y 210d)']</t>
  </si>
  <si>
    <t>['40th Longest intervals between appearances (5y 107d)']</t>
  </si>
  <si>
    <t>['21st Most runs in a series by a wicketkeeper (356)', '19th Most runs in an innings by a wicketkeeper (144)', '26th Highest maiden hundred (144)', '29th Highest percentage of runs in a completed innings (56.55)', '49th Most dismissals in career (54)', '28th Most stumpings in career (14)', '21st Most stumpings in a series (4)']</t>
  </si>
  <si>
    <t>['34th Oldest living players (49y 4d)']</t>
  </si>
  <si>
    <t>['31st Longest intervals between appearances (5y 178d)']</t>
  </si>
  <si>
    <t>['33rd Youngest captains (24y 195d)']</t>
  </si>
  <si>
    <t>['38th Most runs in an innings (by batting position) (52)', '15th Most catches in an innings (3)', '36th Highest partnership for the seventh wicket (50)', '31st Highest partnership for the eighth wicket (38)', '46th Most consecutive matches for a team (29)', '33rd Longest intervals between appearances (5y 175d)']</t>
  </si>
  <si>
    <t>['8th Best figures in a innings when on the losing side (4)', '10th Best career bowling average (without qualification) (4.50)', '4th Best figures in a innings on debut (4)']</t>
  </si>
  <si>
    <t>['12th Worst career bowling average (55.95)', '29th Worst career strike rate (61.6)']</t>
  </si>
  <si>
    <t>['26th Worst career bowling average (50.93)', '16th Worst career strike rate (68.6)', '20th Worst economy rate in an innings (11.57)']</t>
  </si>
  <si>
    <t>['14th Oldest player to score a maiden hundred (34y 146d)']</t>
  </si>
  <si>
    <t>['26th Youngest players (17y 42d)']</t>
  </si>
  <si>
    <t>['6th Outstanding bowling analyses in an innings (2/2)', ' 1000 runs, 50 wickets and 50 catches ', '1st Outstanding bowling analyses in an innings (4/2)', '1st Best strike rate in an innings (2.0)']</t>
  </si>
  <si>
    <t>['15th Oldest player to score a hundred (37y 116d)', '6th Outstanding bowling analyses in an innings (2/2)', '47th Most wickets on a single ground (31)', '26th Best figures in a innings by a captain (4)', '13th Most wickets taken caught and bowled (14)', '12th Most catches in a series (9)', '15th Oldest players (42y 212d)', '16th Longest careers (17y 339d)', '35th Most matches as captain (73)', '21st Most consecutive matches as captain of a team (43)', '19th Oldest captains (39y 268d)']</t>
  </si>
  <si>
    <t>['1st Outstanding bowling analyses in an innings (4/2)', '1st Best strike rate in an innings (2.0)', '38th Oldest players (42y 154d)', '24th Oldest living players (49y 263d)', '37th Oldest captains (37y 40d)', '37th Oldest captains on captaincy debut (36y 68d)', '21st Most consecutive matches as captain of a team (43)']</t>
  </si>
  <si>
    <t>['36th Most innings before first duck (32)', '6th Most ducks in a series (3)']</t>
  </si>
  <si>
    <t>['20th Highest partnership for the tenth wicket (21*)']</t>
  </si>
  <si>
    <t>['29th Highest partnership for the seventh wicket (107)', '21st Oldest captains on captaincy debut (36y 40d)']</t>
  </si>
  <si>
    <t>['17th Most runs in an innings (by batting position) (76)', '46th Most runs in an innings by a captain (76)', '23rd Most wickets in a calendar year (22)', '43rd Most wickets on a single ground (11)', '20th Best figures in a innings by a captain (3)', '30th Most wickets taken bowled (12)', '4th Highest partnership for the eighth wicket (59*)', '42nd Highest partnership for the ninth wicket (27)', '46th Oldest captains (36y 197d)', '43rd Oldest captains on captaincy debut (35y 214d)']</t>
  </si>
  <si>
    <t>['6th Best figures in a innings by a captain (5)', '3rd Worst career strike rate (28.7)']</t>
  </si>
  <si>
    <t>['6th Best figures in a innings by a captain (5)', '32nd Oldest player to take a maiden five-wickets-in-an-innings (31y 91d)']</t>
  </si>
  <si>
    <t>['7th Best career economy rate (6.28)', '17th Worst career bowling average (30.13)', '3rd Worst career strike rate (28.7)', '48th Most balls bowled in career (834)', '48th Highest partnership for the eighth wicket (34)', '41st Highest partnership for the tenth wicket (16*)']</t>
  </si>
  <si>
    <t>['31st Most fours in an innings (11)', '33rd Highest partnership for the second wicket (111)']</t>
  </si>
  <si>
    <t>['5th Worst career bowling average (without qualification) (198.00)']</t>
  </si>
  <si>
    <t>['5th Worst career bowling average (without qualification) (198.00)', '21st Highest partnership for the ninth wicket (80*)']</t>
  </si>
  <si>
    <t>['37th Youngest players (17y 180d)']</t>
  </si>
  <si>
    <t>['38th Youngest players (17y 196d)']</t>
  </si>
  <si>
    <t>['26th Outstanding bowling analyses in an innings (3/4)', '16th Highest partnership for the second wicket (110)', '12th Most maidens in an innings (2)']</t>
  </si>
  <si>
    <t>['2nd Oldest player to take a maiden five-wickets-in-an-innings (39y 40d)']</t>
  </si>
  <si>
    <t>['3rd Oldest player to take five-wickets-in-an-innings (39y 40d)', '2nd Oldest player to take a maiden five-wickets-in-an-innings (39y 40d)', '25th Oldest players on debut (39y 26d)']</t>
  </si>
  <si>
    <t>['47th No ducks in career (14)', '29th Most catches in career (14)']</t>
  </si>
  <si>
    <t>['1st Outstanding bowling analyses in an innings (1/0)', '29th Most matches as captain (16)', '44th Youngest captains (23y 29d)']</t>
  </si>
  <si>
    <t>['5th Oldest players (43y 267d)', '3rd Oldest captains (43y 164d)', '1st Oldest player to score a maiden hundred (43y 162d)', '8th Oldest captains on captaincy debut (42y 269d)']</t>
  </si>
  <si>
    <t>['47th Most runs in an innings by a captain (132*)', '48th Highest maiden hundred (132*)', '1st Oldest player to score a hundred (43y 162d)', '1st Oldest player to score a maiden hundred (43y 162d)', '26th Best figures in a innings by a captain (4)', '5th Oldest players (43y 267d)', '3rd Oldest captains (43y 164d)']</t>
  </si>
  <si>
    <t>['36th Best career bowling average (without qualification) (8.00)', '29th Oldest players on debut (42y 269d)', '31st Oldest players (42y 273d)', '23rd Oldest living players (49y 267d)', '9th Oldest captains (42y 273d)', '8th Oldest captains on captaincy debut (42y 269d)']</t>
  </si>
  <si>
    <t>['13th Most runs in an innings (by batting position) (21)']</t>
  </si>
  <si>
    <t>['8th Oldest players (43y 60d)', '3rd Oldest captains on captaincy debut (43y 36d)']</t>
  </si>
  <si>
    <t>['8th Oldest players (43y 60d)', '4th Oldest captains (43y 60d)', '3rd Oldest captains on captaincy debut (43y 36d)']</t>
  </si>
  <si>
    <t>['24th Oldest players on debut (43y 176d)', '26th Oldest players (43y 179d)', '31st Oldest living players (49y 60d)', '7th Oldest captains (43y 179d)', '6th Oldest captains on captaincy debut (43y 176d)']</t>
  </si>
  <si>
    <t>['5th Highest percentage of runs in a completed innings (67.12)']</t>
  </si>
  <si>
    <t>['44th Oldest player to score a hundred (35y 87d)', '13th Oldest player to score a maiden hundred (35y 87d)', '34th Highest partnership for the seventh wicket (105)']</t>
  </si>
  <si>
    <t>['14th Most runs in an innings (by batting position) (89*)', '50th Most runs in debut match (49*)', '29th Longest individual innings (by balls) (63)', '5th Highest percentage of runs in a completed innings (67.12)', '21st Highest partnership for the fourth wicket (100)']</t>
  </si>
  <si>
    <t>[' Opening the batting and bowling in the same match ', '9th Best career economy rate (6.35)', '3rd Most maidens in career (5)', '8th Most wickets taken bowled (18)']</t>
  </si>
  <si>
    <t>['41st Best strike rate in an innings (7.0)', '41st Oldest player to take a maiden five-wickets-in-an-innings (30y 274d)']</t>
  </si>
  <si>
    <t>['28th Most runs in an innings (by batting position) (25*)', '42nd Most wickets in a calendar year (19)', '43rd Most wickets on a single ground (11)', '26th Best career bowling average (19.70)', '9th Best career economy rate (6.35)', '8th Most wickets taken bowled (18)', '48th Most wickets taken caught by a wicketkeeper (5)', '50th Most consecutive matches for a team (28)', '3rd Most maidens in career (5)']</t>
  </si>
  <si>
    <t>['5th Most runs in debut match (69)']</t>
  </si>
  <si>
    <t>['4th Most runs in an innings by a wicketkeeper (82)', '9th No ducks in career (16)', '1st Outstanding bowling analyses in an innings (3/0)', '2nd Best strike rate in an innings (2.0)']</t>
  </si>
  <si>
    <t>['39th Most runs in an innings (by batting position) (82)', '6th Most runs on a single ground (248)', '4th Most runs in an innings by a wicketkeeper (82)', '9th No ducks in career (16)', '1st Outstanding bowling analyses in an innings (3/0)', '2nd Best strike rate in an innings (2.0)', '38th Highest partnerships for any wicket (121)', '20th Highest partnership for the first wicket (121)', '14th Highest partnership for the second wicket (114)', '13th Most byes conceded in an innings (6)']</t>
  </si>
  <si>
    <t>['18th Most runs in debut match (99*)', '4th Ninety on debut (99*)']</t>
  </si>
  <si>
    <t>['8th Youngest players (16y 206d)']</t>
  </si>
  <si>
    <t>['10th Youngest players (16y 229d)']</t>
  </si>
  <si>
    <t>['32nd Oldest player to score a maiden hundred (32y 264d)', '27th Highest partnership for the fourth wicket (184)']</t>
  </si>
  <si>
    <t>['6th Best figures in a innings by a captain (5)', ' A fifty and five wickets in an innings ', '1st Most maidens in an innings (2)', '9th Most wickets taken lbw (8)']</t>
  </si>
  <si>
    <t>['48th Most wickets in career (45)', '36th Most wickets in a calendar year (20)', '18th Most wickets on a single ground (15)', '27th Best career bowling average (19.77)', '20th Best career economy rate (6.65)', '42nd Best career strike rate (17.8)', '12th Most wickets taken bowled (17)', '9th Most wickets taken lbw (8)', '19th Most maidens in career (3)', '1st Most maidens in an innings (2)']</t>
  </si>
  <si>
    <t>['8th Oldest player to score a maiden hundred (35y 347d)', '4th Most runs in an innings (by batting position) (117*)', '3rd Fifties in consecutive innings (3)', '7th Longest individual innings (by balls) (68)', '9th Highest partnership for the fourth wicket (109*)']</t>
  </si>
  <si>
    <t>['23rd Oldest player to score a hundred (35y 347d)', '8th Oldest player to score a maiden hundred (35y 347d)', '29th Highest partnership for the seventh wicket (107)', '45th Oldest players (40y 32d)']</t>
  </si>
  <si>
    <t>['17th Most runs in an innings (117*)', '4th Most runs in an innings (by batting position) (117*)', '33rd Most runs on a single ground (299)', '21st Highest career batting average (33.48)', '41st Most fifties in career (7)', '3rd Fifties in consecutive innings (3)', '40th Most runs from fours and sixes in an innings (76)', '7th Longest individual innings (by balls) (68)', '8th Highest percentage of runs in a completed innings (65.00)', '9th Highest partnership for the fourth wicket (109*)', '34th Most consecutive matches for a team (32)']</t>
  </si>
  <si>
    <t>['1st Most runs in an innings (by batting position) (105*)', ' Hundred on debut (105*)', '1st Youngest player to score a hundred (19y 154d)', '6th Best figures in a match on debut (7)', '6th Youngest player to take five-wickets-in-an-innings (19y 154d)', ' A hundred and five wickets in an innings ', '7th Most ducks in career (12)', '4th Most catches in an innings (3)', '2nd Outstanding bowling analyses in an innings (4/2)', '5th Best career economy rate (4.76)', '4th Most four-wickets-in-an-innings in a career (3)', '8th Most maidens in career (10)', '3rd Most catches in an innings (3)']</t>
  </si>
  <si>
    <t>['1st Most runs in an innings (by batting position) (105*)', '5th Most runs in debut match (148)', '8th Hundred in last match (105*)', '49th Highest maiden hundred (105*)', '1st Youngest player to score a hundred (19y 154d)', '16th Best career bowling average (without qualification) (8.42)', '7th Best figures in a innings on debut (5)', '6th Best figures in a match on debut (7)', '6th Youngest player to take five-wickets-in-an-innings (19y 154d)']</t>
  </si>
  <si>
    <t>['7th Most ducks in career (12)', '44th Most wickets in career (72)', '11th Best figures in a innings when on the losing side (4)', '20th Worst economy rate in an innings (9.00)', '29th Most balls bowled in career (3291)', '40th Most runs conceded in career (1880)', '34th Most runs conceded in an innings (72)', '38th Most wickets taken caught (43)', '43rd Most wickets taken caught by a fielder (32)', '27th Most wickets taken caught by a wicketkeeper (11)', '15th Most wickets taken lbw (19)', '49th Most catches in career (27)', '4th Most catches in an innings (3)', '21st Longest careers (15y 337d)', '23rd Oldest captains on captaincy debut (31y 155d)']</t>
  </si>
  <si>
    <t>['16th Most consecutive innings without a duck (39*)', '12th Fewest ducks in career (40)', '49th Most wickets in career (45)', '9th Best figures in an innings (5/3)', '2nd Outstanding bowling analyses in an innings (4/2)', '6th Best figures in a innings by a captain (4)', '5th Best figures in a innings when on the losing side (4)', '9th Best career bowling average (14.93)', '5th Best career economy rate (4.76)', '29th Best career strike rate (18.8)', '22nd Best economy rate in an innings (0.50)', '4th Most four-wickets-in-an-innings in a career (3)', '21st Most wickets taken bowled (16)', '20th Most wickets taken caught and bowled (3)', '16th Most wickets taken lbw (9)', '43rd Most wickets taken stumped (5)', '3rd Most catches in an innings (3)', '25th Oldest players (40y 105d)', '35th Oldest captains on captaincy debut (31y 158d)', '8th Most maidens in career (10)', '12th Most maidens in an innings (2)']</t>
  </si>
  <si>
    <t>['31st Oldest players on debut (38y 133d)']</t>
  </si>
  <si>
    <t>['13th Outstanding bowling analyses in an innings (4/9)', '17th Bowler/batters combinations (3)', '15th Most catches in an innings (3)', '3rd Most maidens in career (5)', '1st Most maidens in an innings (2)']</t>
  </si>
  <si>
    <t>['12th Outstanding bowling analyses in an innings (3/2)', '22nd Best economy rate in an innings (0.50)', '16th Highest partnership for the eighth wicket (29)', '40th Oldest players on debut (38y 121d)', '43rd Oldest players (38y 356d)', '12th Most maidens in an innings (2)']</t>
  </si>
  <si>
    <t>['21st Highest strike rate in an innings (300.00)']</t>
  </si>
  <si>
    <t>['1st Best figures in a innings when on the losing side (6)', '1st Most wickets taken hit wicket (1)']</t>
  </si>
  <si>
    <t>['1st Best figures in a innings when on the losing side (6)', '32nd Best strike rate in an innings (6.5)']</t>
  </si>
  <si>
    <t>['48th Most wickets taken bowled (10)', '1st Most wickets taken hit wicket (1)']</t>
  </si>
  <si>
    <t>['22nd Worst career bowling average (without qualification) (80.00)']</t>
  </si>
  <si>
    <t>['50th Most runs in a calendar year (387)', '42nd Most runs in debut match (52*)']</t>
  </si>
  <si>
    <t>['17th Most runs in an innings (by batting position) (59)']</t>
  </si>
  <si>
    <t>['20th Highest strike rate in an innings (308.33)', '15th Most catches in an innings (3)', '48th Highest partnership for the second wicket (103)']</t>
  </si>
  <si>
    <t>['25th Youngest captains (24y 16d)']</t>
  </si>
  <si>
    <t>['39th Most runs in a calendar year (407)', '22nd Most runs in an innings (by batting position) (72)', '32nd Highest career strike rate (141.10)', '36th No ducks in career (17)', '20th Best figures in a innings by a captain (3)', '18th Highest partnership for the sixth wicket (73*)', '38th Most matches as captain (18)', '23rd Youngest captains (24y 40d)']</t>
  </si>
  <si>
    <t>['10th Most runs in an innings (by batting position) (19*)', '1st Highest partnership for the ninth wicket (67*)']</t>
  </si>
  <si>
    <t>['10th Most runs in an innings (by batting position) (19*)', '29th No ducks in career (10)', '9th Highest partnerships by wicket (9th)', '1st Highest partnership for the ninth wicket (67*)', '46th Oldest players on debut (37y 155d)', '48th Oldest players (38y 173d)']</t>
  </si>
  <si>
    <t>['3rd Best figures in a innings on debut (5)', '8th Outstanding bowling analyses in an innings (1/1)']</t>
  </si>
  <si>
    <t>['11th Outstanding bowling analyses in an innings (5/13)', '3rd Best figures in a innings on debut (5)']</t>
  </si>
  <si>
    <t>['30th Most wickets in a calendar year (21)', '8th Outstanding bowling analyses in an innings (1/1)', '31st Best strike rate in an innings (4.5)', '30th Highest partnership for the ninth wicket (30)']</t>
  </si>
  <si>
    <t>['5th Most dismissals in an innings (4)']</t>
  </si>
  <si>
    <t>['5th Most dismissals in an innings (4)', '40th Most catches in career (10)', '13th Most catches in an innings (3)', '24th Most stumpings in career (5)']</t>
  </si>
  <si>
    <t>['4th No ducks in career (22)', '10th Outstanding bowling analyses in an innings (2/1)', '2nd Most maidens in an innings (3)']</t>
  </si>
  <si>
    <t>['4th No ducks in career (22)', '10th Outstanding bowling analyses in an innings (2/1)', '13th Best strike rate in an innings (3.0)', '12th Best figures in a innings on debut (3)', '20th Most maidens in career (7)', '2nd Most maidens in an innings (3)']</t>
  </si>
  <si>
    <t>['34th Best career bowling average (without qualification) (11.81)']</t>
  </si>
  <si>
    <t>['27th Worst career bowling average (without qualification) (128.00)']</t>
  </si>
  <si>
    <t>['5th Most runs in an innings (by batting position) (101*)', '3rd Most runs in debut match (101*)', '6th Highest partnership for the fourth wicket (112*)']</t>
  </si>
  <si>
    <t>['44th Highest maiden hundred (136)', '44th Most sixes in an innings (8)']</t>
  </si>
  <si>
    <t>['47th Most runs in an innings (101*)', '5th Most runs in an innings (by batting position) (101*)', '3rd Most runs in debut match (101*)', '17th Most sixes in an innings (9)', '22nd Most runs from fours and sixes in an innings (82)', '6th Highest partnership for the fourth wicket (112*)']</t>
  </si>
  <si>
    <t>['4th Oldest players on debut (43y 236d)']</t>
  </si>
  <si>
    <t>['4th Oldest players on debut (43y 236d)', '6th Oldest players (43y 236d)']</t>
  </si>
  <si>
    <t>['22nd Most runs in an innings (by batting position) (16)', '1st Most consecutive ducks (3)', '22nd Best economy rate in an innings (0.50)', '25th Highest partnership for the tenth wicket (12)']</t>
  </si>
  <si>
    <t>['6th Most runs in an innings (by batting position) (59)']</t>
  </si>
  <si>
    <t>['6th Most runs in an innings (by batting position) (59)', '43rd Most wickets on a single ground (11)', '15th Most catches in an innings (3)']</t>
  </si>
  <si>
    <t>['36th Most wickets taken lbw (6)']</t>
  </si>
  <si>
    <t>['20th Outstanding bowling analyses in an innings (2/4)']</t>
  </si>
  <si>
    <t>['23rd Most wickets in a calendar year (22)', '17th Bowler/batters combinations (3)', '17th Most wickets taken stumped (5)']</t>
  </si>
  <si>
    <t>['18th Outstanding bowling analyses in an innings (4/7)', '39th Highest partnership for the tenth wicket (10)']</t>
  </si>
  <si>
    <t>['14th Best figures in a innings when on the losing side (5)', '47th Oldest player to take a maiden five-wickets-in-an-innings (30y 152d)', '42nd Most runs conceded in an innings (92)']</t>
  </si>
  <si>
    <t>['9th Outstanding bowling analyses in an innings (5/9)', '1st Most consecutive four-wickets-in-an-innings (2)']</t>
  </si>
  <si>
    <t>['13th Best career bowling average (without qualification) (7.00)']</t>
  </si>
  <si>
    <t>['14th Best figures in an innings (5/9)', '36th Most wickets in a calendar year (20)', '9th Outstanding bowling analyses in an innings (5/9)', '16th Most four-wickets-in-an-innings in a career (2)', '1st Most consecutive four-wickets-in-an-innings (2)']</t>
  </si>
  <si>
    <t>['14th Highest career batting average (28.11)', '32nd Highest partnership for the first wicket (110)', '37th Highest partnership for the seventh wicket (34*)']</t>
  </si>
  <si>
    <t>['34th Worst career bowling average (without qualification) (119.00)']</t>
  </si>
  <si>
    <t>['10th Oldest player to score a maiden hundred (35y 317d)', '10th Highest partnership for the sixth wicket (83)']</t>
  </si>
  <si>
    <t>['15th Most runs in an innings (by batting position) (129*)', '28th Oldest player to score a hundred (35y 317d)', '10th Oldest player to score a maiden hundred (35y 317d)']</t>
  </si>
  <si>
    <t>['28th Most runs in an innings (by batting position) (68*)', '17th Most runs in debut match (68*)', '12th Most fours in an innings (12)', '24th Highest partnership for the fifth wicket (77*)', '10th Highest partnership for the sixth wicket (83)']</t>
  </si>
  <si>
    <t>['4th Youngest captains (19y 225d)']</t>
  </si>
  <si>
    <t>['44th Highest partnerships for any wicket (119)', '24th Highest partnership for the first wicket (119)', '21st Most matches as captain (25)', '4th Youngest captains (19y 225d)', '6th Captains who have kept wicket (8)', '5th Captains who have kept wicket and opened the batting (3)']</t>
  </si>
  <si>
    <t>['8th Oldest players (42y 154d)']</t>
  </si>
  <si>
    <t>['9th Oldest players on debut (38y 133d)', '8th Oldest players (42y 154d)']</t>
  </si>
  <si>
    <t>['7th Most wickets in a calendar year (27)', '4th Best figures in a innings on debut (4)']</t>
  </si>
  <si>
    <t>['7th Most wickets in a calendar year (27)', '31st Best strike rate in an innings (4.5)', '4th Best figures in a innings on debut (4)']</t>
  </si>
  <si>
    <t>['20th Outstanding bowling analyses in an innings (2/4)', '46th Best career bowling average (without qualification) (8.76)', '45th Bowler/fielder combinations (6)']</t>
  </si>
  <si>
    <t>[' Pair on debut ', '2nd Most catches in an innings (4)', '7th Most runs in a calendar year (601)']</t>
  </si>
  <si>
    <t>['38th Most innings before first duck (31)', '44th Most sixes in an innings (8)', '2nd Most catches in an innings (4)']</t>
  </si>
  <si>
    <t>['7th Most runs in a calendar year (601)', '34th Most runs in an innings (by batting position) (83)', '50th Most fours in career (111)', '12th Most fours in an innings (12)', '35th Highest partnership for the fourth wicket (91)']</t>
  </si>
  <si>
    <t>['9th Most byes conceded in an innings (10)', '5th Most runs in an innings (by batting position) (51*)', '10th Most innings before first duck (27)']</t>
  </si>
  <si>
    <t>['5th Most runs in an innings (by batting position) (51*)', '44th Most runs in an innings by a wicketkeeper (78*)', '20th Most runs in a career without a hundred (1217)', '10th Most innings before first duck (27)', '31st Worst career bowling average (without qualification) (81.33)', '13th Highest partnership for the third wicket (154*)', '15th Most consecutive matches for a team (57)', '9th Most byes conceded in an innings (10)']</t>
  </si>
  <si>
    <t>['8th Best career economy rate (2.15)', '1st Most wickets taken hit wicket (1)']</t>
  </si>
  <si>
    <t>['11th Best figures in a innings when on the losing side (4)', '8th Best career economy rate (2.15)', '22nd Worst career strike rate (59.0)', '25th Youngest player to take five-wickets-in-an-innings (22y 325d)', '25th Most wickets taken bowled (22)', '1st Most wickets taken hit wicket (1)']</t>
  </si>
  <si>
    <t>['28th Oldest player to score a maiden hundred (33y 61d)']</t>
  </si>
  <si>
    <t>['6th Most consecutive ducks (3)', '1st Worst career economy rate (6.57)', '8th Best figures in a innings when on the losing side (4)']</t>
  </si>
  <si>
    <t>['6th Most consecutive ducks (3)', '1st Worst career economy rate (6.57)', '39th Worst economy rate in an innings (11.00)', '42nd Most runs conceded in an innings (92)']</t>
  </si>
  <si>
    <t>['27th Most runs conceded in an innings (95)']</t>
  </si>
  <si>
    <t>['25th Outstanding bowling analyses in an innings (3/8)']</t>
  </si>
  <si>
    <t>['50th Worst career bowling average (without qualification) (65.80)']</t>
  </si>
  <si>
    <t>['6th Most consecutive ducks (3)', '7th Best economy rate in an innings (0.60)', '4th Most runs in an innings (by batting position) (13*)', '7th Outstanding bowling analyses in an innings (2/3)', '4th Best figures in a innings on debut (4)', '7th Most four-wickets-in-an-innings in a career (3)']</t>
  </si>
  <si>
    <t>['6th Most consecutive ducks (3)', '44th Best career bowling average (23.96)', '34th Best career strike rate (31.0)', '7th Best economy rate in an innings (0.60)']</t>
  </si>
  <si>
    <t>['4th Most runs in an innings (by batting position) (13*)', '29th Most innings before first duck (20)', '7th Outstanding bowling analyses in an innings (2/3)', '8th Best figures in a innings when on the losing side (4)', '32nd Best career bowling average (20.40)', '46th Best career economy rate (7.06)', '38th Best career strike rate (17.3)', '31st Best strike rate in an innings (4.5)', '4th Best figures in a innings on debut (4)', '7th Most four-wickets-in-an-innings in a career (3)', '32nd Most wickets taken lbw (5)', '19th Most maidens in career (3)']</t>
  </si>
  <si>
    <t>['21st Most runs in an innings (by batting position) (89*)', '13th Highest career strike rate (150.34)', '24th No ducks in career (21)']</t>
  </si>
  <si>
    <t>['10th Highest partnership for the tenth wicket (18)']</t>
  </si>
  <si>
    <t>['45th Most matches as captain (17)', '33rd Youngest captains (23y 226d)']</t>
  </si>
  <si>
    <t>['28th Most innings before first duck (16)', '33rd Best strike rate in an innings (4.0)', '20th Worst career economy rate (6.27)', '49th Most runs conceded in career (875)', '24th Most wickets taken lbw (7)', '39th Highest partnership for the sixth wicket (41)', '29th Highest partnership for the eighth wicket (25)', '10th Highest partnership for the tenth wicket (18)', '15th Most matches as captain (32)']</t>
  </si>
  <si>
    <t>['8th Most wickets in career (76)', '7th Most balls bowled in career (1370)', '9th Most runs conceded in career (1624)', '3rd Most wickets taken caught by a fielder (48)', '4th Highest partnership for the tenth wicket (29*)']</t>
  </si>
  <si>
    <t>['42nd Highest partnership for the tenth wicket (87)']</t>
  </si>
  <si>
    <t>['43rd Youngest players (17y 267d)']</t>
  </si>
  <si>
    <t>['28th Most runs in an innings (by batting position) (25*)', '8th Most wickets in career (76)', '17th Outstanding bowling analyses in an innings (3/7)', '15th Most wickets on a single ground (16)', '41st Best career bowling average (21.36)', '49th Best career economy rate (7.11)', '45th Best career strike rate (18.0)', '7th Most balls bowled in career (1370)', '9th Most runs conceded in career (1624)', '17th Bowler/batters combinations (3)', '12th Bowler/fielder combinations (8)', '6th Most wickets taken caught (51)', '10th Most wickets taken caught and bowled (4)', '3rd Most wickets taken caught by a fielder (48)', '9th Most wickets taken lbw (8)', '6th Most wickets taken stumped (9)', '18th Fastest to 50 wickets (42)', '13th Most catches in career (40)', '15th Most catches in an innings (3)', '10th Highest partnership for the seventh wicket (67*)', '4th Highest partnership for the tenth wicket (29*)', '30th Most matches in career (77)']</t>
  </si>
  <si>
    <t>['5th Most dismissals in an innings (5)', '7th Youngest players (14y 70d)', '1st Most catches in an innings (5)', ' Opening the batting and bowling in the same match ', '4th Highest partnership for the tenth wicket (53)', '6th Fewest ducks in career (46)']</t>
  </si>
  <si>
    <t>['12th Most runs in an innings (by batting position) (72*)', '21st Best strike rate in an innings (7.5)', '31st Worst career bowling average (33.91)', '16th Worst career economy rate (4.48)', '4th Highest partnership for the tenth wicket (53)', '7th Youngest players (14y 70d)', '5th Most dismissals in an innings (5)', '1st Most catches in an innings (5)']</t>
  </si>
  <si>
    <t>['23rd Most runs on a single ground (210)', '6th Most innings before first duck (30)', '39th Most consecutive innings without a duck (30)', '6th Fewest ducks in career (46)', '16th Highest percentage of runs in a completed innings (61.33)', '21st Best figures in a innings by a captain (3)', '42nd Best career bowling average (19.88)', '48th Best career economy rate (5.77)', '42nd Best career strike rate (20.6)', '34th Bowler/fielder combinations (8)', '32nd Most wickets taken bowled (13)', '43rd Most wickets taken caught (26)', '12th Most wickets taken caught by a wicketkeeper (7)', '46th Most catches in career (18)', '14th Highest partnership for the seventh wicket (45*)', '40th Highest partnership for the eighth wicket (22*)', '35th Highest partnership for the ninth wicket (17)', '44th Youngest players (14y 174d)', '45th Youngest captains (23y 33d)', '41st Most maidens in career (5)']</t>
  </si>
  <si>
    <t>['8th Oldest captains on captaincy debut (34y 216d)', '9th Longest careers (17y 277d)', '4th Oldest player to score a maiden hundred (34y 211d)', '6th Highest percentage of runs in a completed innings (58.46)', '4th Worst career strike rate (73.7)']</t>
  </si>
  <si>
    <t>['24th Oldest players on debut (34y 216d)', '8th Oldest captains on captaincy debut (34y 216d)']</t>
  </si>
  <si>
    <t>['16th Most runs in an innings (by batting position) (101)', '46th Most runs in an innings by a captain (101)', '8th Oldest player to score a hundred (34y 211d)', '4th Oldest player to score a maiden hundred (34y 211d)', '49th Fewest ducks in career (18.25)', '6th Highest percentage of runs in a completed innings (58.46)', '8th Worst career bowling average (44.71)', '4th Worst career strike rate (73.7)', '47th Most balls bowled in career (2803)', '49th Most runs conceded in career (1699)', '22nd Highest partnership for the eighth wicket (49*)', '9th Most consecutive matches for a team (61)', '25th Oldest players (39y 95d)', '9th Longest careers (17y 277d)', '21st Most matches as captain (33)', '13th Most consecutive matches as captain of a team (33)']</t>
  </si>
  <si>
    <t>['9th Worst career strike rate (68.2)']</t>
  </si>
  <si>
    <t>['26th Worst career bowling average (34.90)', '9th Worst career strike rate (68.2)']</t>
  </si>
  <si>
    <t>['9th Oldest player to take a maiden five-wickets-in-an-innings (34y 355d)', '3rd Most maidens in career (5)']</t>
  </si>
  <si>
    <t>['13th Outstanding bowling analyses in an innings (5/14)', '17th Oldest player to take five-wickets-in-an-innings (34y 355d)', '9th Oldest player to take a maiden five-wickets-in-an-innings (34y 355d)', '50th Oldest captains (36y 131d)']</t>
  </si>
  <si>
    <t>['18th Most wickets on a single ground (15)', '28th Best career bowling average (19.87)', '13th Best career economy rate (6.42)', '17th Bowler/batters combinations (3)', '15th Most catches in an innings (3)', '3rd Most maidens in career (5)']</t>
  </si>
  <si>
    <t>[' Representing two countries ', '4th Oldest player to score a hundred (39y 111d)', '10th Highest percentage of runs in a completed innings (60.37)', ' Representing two countries ']</t>
  </si>
  <si>
    <t>['19th Oldest players on debut (39y 231d)']</t>
  </si>
  <si>
    <t>['4th Oldest player to score a hundred (39y 111d)', '39th Most fours in an innings (19)', '10th Highest percentage of runs in a completed innings (60.37)', '34th Highest partnership for the sixth wicket (131)']</t>
  </si>
  <si>
    <t>['40th No ducks in career (15)', '46th Longest intervals between appearances (5y 44d)']</t>
  </si>
  <si>
    <t>['23rd Most runs in a career without a hundred (1172)', '11th Worst career bowling average (without qualification) (135.00)', '35th Highest partnership for the second wicket (150)', '15th Longest careers (16y 331d)']</t>
  </si>
  <si>
    <t>['41st Most runs in a match on the losing side (60)', '21st Most runs in debut match (41)']</t>
  </si>
  <si>
    <t>['9th Youngest players (17y 5d)', '2nd Outstanding bowling analyses in an innings (6/21)', '3rd Best career bowling average (without qualification) (3.50)', '4th Best figures in a innings on debut (6)', '1st Youngest player to take five-wickets-in-an-innings (17y 5d)', '6th Longest careers (18y 347d)', '2nd Most consecutive ducks (4)', ' Opening the batting and bowling in the same match ', '5th Worst career strike rate (31.6)']</t>
  </si>
  <si>
    <t>['13th Best figures in an innings (6/21)', '2nd Outstanding bowling analyses in an innings (6/21)', '3rd Best career bowling average (without qualification) (3.50)', '4th Best strike rate in an innings (11.1)', '4th Best figures in a innings on debut (6)', '15th Best figures in a match on debut (6)', '1st Youngest player to take five-wickets-in-an-innings (17y 5d)', '9th Youngest players (17y 5d)']</t>
  </si>
  <si>
    <t>['36th Most runs in a career without a hundred (995)', '21st Most ducks in career (9)', '2nd Most consecutive ducks (4)', '11th Best figures in a innings when on the losing side (4)', '50th Worst career bowling average (30.45)', '38th Most four-wickets-in-an-innings in a career (3)', '35th Most balls bowled in career (3118)', '38th Most runs conceded in career (2010)', '41st Most runs conceded in an innings (71)', '42nd Most wickets taken bowled (17)', '31st Most wickets taken caught and bowled (5)', '49th Most wickets taken caught by a fielder (31)', '36th Most wickets taken lbw (12)', '47th Most catches in a series (6)', '48th Highest partnership for the eighth wicket (41*)', '26th Youngest players (15y 336d)', '6th Longest careers (18y 347d)', '45th Most matches as captain (17)', '45th Youngest captains (24y 335d)']</t>
  </si>
  <si>
    <t>['40th Most runs in career (944)', '16th Most ducks in career (6)', '8th Worst career bowling average (30.81)', '5th Worst career strike rate (31.6)', '37th Most balls bowled in career (1046)', '35th Most runs conceded in career (1017)', '44th Most wickets taken bowled (10)', '26th Highest partnership for the fifth wicket (61*)', '28th Most consecutive matches for a team (41)', '17th Most matches as captain (31)']</t>
  </si>
  <si>
    <t>['7th Worst career bowling average (without qualification) (140.00)']</t>
  </si>
  <si>
    <t>['18th Highest partnership for the ninth wicket (23)']</t>
  </si>
  <si>
    <t>['7th Worst career bowling average (without qualification) (172.00)']</t>
  </si>
  <si>
    <t>['16th Worst career bowling average (without qualification) (85.00)']</t>
  </si>
  <si>
    <t>['11th Best figures in a innings when on the losing side (4)', '12th Worst economy rate in an innings (9.42)', '14th Most runs conceded in an innings (81)']</t>
  </si>
  <si>
    <t>['5th Youngest players (13y 360d)', '1st Worst career bowling average (without qualification) (341.00)', '5th Most runs conceded in an innings (92)']</t>
  </si>
  <si>
    <t>['1st Worst career bowling average (without qualification) (341.00)', '17th Worst economy rate in an innings (9.20)', '5th Most runs conceded in an innings (92)', '5th Youngest players (13y 360d)']</t>
  </si>
  <si>
    <t>['12th Worst economy rate in an innings (16.50)']</t>
  </si>
  <si>
    <t>['17th Bowler/batters combinations (3)', '28th Youngest players (16y 309d)']</t>
  </si>
  <si>
    <t>['5th Most runs conceded in an innings (92)', '10th Fewest ducks in career (42)']</t>
  </si>
  <si>
    <t>['43rd Worst career bowling average (without qualification) (70.50)', '17th Worst economy rate in an innings (9.20)', '5th Most runs conceded in an innings (92)', '13th Youngest players (15y 131d)']</t>
  </si>
  <si>
    <t>['22nd Most runs in an innings (by batting position) (61)', '34th Most runs in a match on the losing side (61)', '44th Most runs on a single ground (180)', '26th Most fifties in career (4)', '10th Most innings before first duck (24)', '10th Fewest ducks in career (42)', '43rd Worst economy rate in an innings (14.00)', '30th Highest partnership for the first wicket (112)', '15th Highest partnership for the second wicket (113*)', '21st Highest partnership for the third wicket (93)', '22nd Youngest players (13y 166d)']</t>
  </si>
  <si>
    <t>['7th Longest careers (18y 214d)', '4th Captains who have kept wicket and opened the batting (1)']</t>
  </si>
  <si>
    <t>['40th Most ducks in career (8)', '36th Highest partnerships for any wicket (181)', '14th Highest partnership for the first wicket (181)', '20th Youngest players (15y 285d)', '7th Longest careers (18y 214d)', '8th Captains who have kept wicket (5)', '4th Captains who have kept wicket and opened the batting (1)', '29th Most dismissals in career (24)', '28th Most catches in career (15)', '21st Most catches in an innings (3)', '29th Most stumpings in career (9)']</t>
  </si>
  <si>
    <t>['5th Oldest player to score a maiden hundred (34y 85d)', '1st Dismissed for 99 (and 199, 299 etc) (99)']</t>
  </si>
  <si>
    <t>['32nd Highest maiden hundred (114*)', '10th Oldest player to score a hundred (34y 85d)', '5th Oldest player to score a maiden hundred (34y 85d)', '1st Dismissed for 99 (and 199, 299 etc) (99)', '46th Fewest ducks in career (18.5)', '36th Most matches as captain (21)']</t>
  </si>
  <si>
    <t>['17th No ducks in career (23)']</t>
  </si>
  <si>
    <t>['4th Most runs conceded in an innings (93)']</t>
  </si>
  <si>
    <t>['11th Best figures in a innings when on the losing side (4)', '15th Worst economy rate in an innings (9.30)', '4th Most runs conceded in an innings (93)', '34th Youngest players (16y 120d)']</t>
  </si>
  <si>
    <t>['1st Outstanding bowling analyses in an innings (1/0)', '1st Best economy rate in an innings (0.00)']</t>
  </si>
  <si>
    <t>['3rd Oldest player to take a maiden five-wickets-in-an-innings (37y 336d)']</t>
  </si>
  <si>
    <t>['11th Most runs in an innings (by batting position) (54*)', '11th Number eleven top scoring in an innings (54*)', '12th Outstanding bowling analyses in an innings (5/13)', '27th Oldest player to take five-wickets-in-an-innings (37y 356d)', '11th Oldest player to take a maiden five-wickets-in-an-innings (37y 356d)']</t>
  </si>
  <si>
    <t>['13th Most consecutive four-wickets-in-an-innings (2)', '4th Oldest player to take five-wickets-in-an-innings (37y 336d)', '3rd Oldest player to take a maiden five-wickets-in-an-innings (37y 336d)']</t>
  </si>
  <si>
    <t>['40th Highest partnership for the ninth wicket (27*)']</t>
  </si>
  <si>
    <t>['4th Worst career bowling average (48.05)', ' Opening the batting and bowling in the same match ', '1st Worst career strike rate (45.0)', '4th Highest partnership for the tenth wicket (23*)']</t>
  </si>
  <si>
    <t>['4th Worst career bowling average (48.05)', '27th Worst career economy rate (4.33)', '12th Worst career strike rate (66.4)', '41st Most runs conceded in an innings (71)', '49th Youngest players (16y 262d)']</t>
  </si>
  <si>
    <t>['49th Best career economy rate (5.78)', '1st Worst career bowling average (43.41)', '1st Worst career strike rate (45.0)', '4th Highest partnership for the tenth wicket (23*)']</t>
  </si>
  <si>
    <t>['1st Most ducks in a series (4)']</t>
  </si>
  <si>
    <t>['10th Most ducks in career (11)', '9th Best figures in a innings by a captain (4)']</t>
  </si>
  <si>
    <t>['23rd Best career bowling average (without qualification) (10.50)', '24th Best strike rate in an innings (18.0)', '14th Best figures in a innings on debut (4)']</t>
  </si>
  <si>
    <t>['10th Most ducks in career (11)', '44th Best figures in an innings (5/18)', '9th Best figures in a innings by a captain (4)', '43rd Best strike rate in an innings (9.0)', '46th Worst career economy rate (4.08)', '25th Most four-wickets-in-an-innings in a career (4)', '40th Most wickets taken caught by a fielder (33)', '47th Highest partnership for the tenth wicket (25)', '11th Longest careers (17y 215d)', '24th Oldest captains on captaincy debut (31y 7d)']</t>
  </si>
  <si>
    <t>['5th Best figures in a innings when on the losing side (4)', '41st Oldest players (39y 49d)', '36th Oldest captains on captaincy debut (31y 15d)']</t>
  </si>
  <si>
    <t>['7th Fastest to 50 wickets (25)', '8th Best figures in a innings when on the losing side (4)', '4th Best figures in a innings on debut (4)', '3rd Most runs conceded in an innings (69)']</t>
  </si>
  <si>
    <t>['16th Best career strike rate (29.1)', '17th Worst career economy rate (5.92)', '7th Fastest to 50 wickets (25)']</t>
  </si>
  <si>
    <t>['8th Best figures in a innings when on the losing side (4)', '4th Best figures in a innings on debut (4)', '3rd Most runs conceded in an innings (69)']</t>
  </si>
  <si>
    <t>['46th Worst career bowling average (without qualification) (69.00)']</t>
  </si>
  <si>
    <t>['11th Most runs in an innings (by batting position) (79)', '14th Best figures in a innings when on the losing side (5)', '28th Highest partnership for the tenth wicket (54)']</t>
  </si>
  <si>
    <t>['1st Worst economy rate in an innings (12.00)', '1st Most runs conceded in an innings (119)']</t>
  </si>
  <si>
    <t>['32nd Worst career bowling average (without qualification) (81.00)']</t>
  </si>
  <si>
    <t>['25th Worst career bowling average (34.93)', '11th Worst career strike rate (67.1)']</t>
  </si>
  <si>
    <t>[' Hundred on debut (118)', '6th Most runs in an innings (by batting position) (142)', '1st Worst economy rate in an innings (13.57)', ' 1000 runs and 100 wickets ', ' 1000 runs, 50 wickets and 50 catches ', '9th Highest partnership for the sixth wicket (162)', '8th Most consecutive matches for a team (48*)', '2nd Most runs in a calendar year (729)', '1st Most ducks in career (10)', '8th Best figures in a innings when on the losing side (4)']</t>
  </si>
  <si>
    <t>['6th Most runs in an innings (by batting position) (142)', '30th Most runs in a match on the losing side (142)', '31st Highest maiden hundred (142)', '34th Most innings before first duck (33)', '44th Most consecutive innings without a duck (63*)', '42nd Fewest ducks in career (28)', '1st Worst economy rate in an innings (13.57)', '27th Most runs conceded in an innings (95)', '9th Highest partnership for the sixth wicket (162)']</t>
  </si>
  <si>
    <t>['23rd Most runs in career (1672)', '10th Most runs in an innings (124)', '2nd Most runs in a calendar year (729)', '9th Most runs in an innings (by batting position) (124)', '23rd Most runs on a single ground (321)', '1st Most ducks in career (10)', '15th Most sixes in career (76)', '34th Most fours in career (137)', '42nd Most sixes in an innings (7)', '12th Most fours in an innings (12)', '13th Most runs from fours and sixes in an innings (90)', '36th Longest individual innings (by balls) (62)', '23rd Highest percentage of runs in a completed innings (59.61)', '22nd Most wickets in career (58)', '25th Outstanding bowling analyses in an innings (3/8)', '30th Most wickets on a single ground (12)', '8th Best figures in a innings when on the losing side (4)', '22nd Best career bowling average (19.55)', '14th Best career strike rate (15.5)', '50th Worst career economy rate (7.53)', '40th Most balls bowled in career (903)', '39th Most runs conceded in career (1134)', '12th Bowler/fielder combinations (8)', '38th Most wickets taken bowled (11)', '14th Most wickets taken caught (41)', '14th Most wickets taken caught and bowled (3)', '17th Most wickets taken caught by a fielder (34)', '22nd Most wickets taken caught by a wicketkeeper (7)', '32nd Most wickets taken lbw (5)', '17th Most catches in career (35)', '9th Most matches in career (96)', '8th Most consecutive matches for a team (48*)', '45th Longest careers (11y 221d)']</t>
  </si>
  <si>
    <t>['2nd Youngest players (13y 243d)', '5th Best figures in a innings when on the losing side (4)', '8th Worst career economy rate (6.66)']</t>
  </si>
  <si>
    <t>['2nd Youngest players (13y 243d)']</t>
  </si>
  <si>
    <t>['5th Best figures in a innings when on the losing side (4)', '20th Worst career bowling average (25.03)', '8th Worst career economy rate (6.66)', '38th Most wickets taken bowled (11)', '25th Youngest players (13y 241d)']</t>
  </si>
  <si>
    <t>['5th Most dismissals in an innings (4)', '9th Most stumpings in career (10)']</t>
  </si>
  <si>
    <t>['41st Oldest player to score a hundred (35y 187d)', '12th Oldest player to score a maiden hundred (35y 187d)', '44th Most consecutive innings without a duck (63*)', '29th Fewest ducks in career (33.66)', '32nd Most dismissals in career (96)', '16th Most dismissals in an innings (5)', '46th Most dismissals in a series (14)', '32nd Most catches in career (82)', '11th Most catches in an innings (5)', '28th Most stumpings in career (14)']</t>
  </si>
  <si>
    <t>['12th No ducks in career (28)', '18th Most dismissals in career (25)', '5th Most dismissals in an innings (4)', '26th Most catches in career (15)', '13th Most catches in an innings (3)', '9th Most stumpings in career (10)']</t>
  </si>
  <si>
    <t>['8th Most consecutive matches as captain of a team (67)', '6th Highest partnership for the fourth wicket (227)', '2nd Winning all tosses in a series (4)']</t>
  </si>
  <si>
    <t>['34th Most runs in an innings by a captain (139)', '41st Most hundreds in a career (11)', '24th Most catches in a series (8)', '35th Highest partnership for the first wicket (205)', '41st Highest partnership for the second wicket (201)', '6th Highest partnership for the fourth wicket (227)', '15th Most matches as captain (113)', '8th Most consecutive matches as captain of a team (67)', '21st Youngest captains (23y 326d)']</t>
  </si>
  <si>
    <t>['32nd Most ducks in career (5)', '42nd Most fours in career (120)', '42nd Highest percentage of runs in a completed innings (56.25)', '32nd Highest partnership for the tenth wicket (18*)', '50th Most matches in career (61)', '24th Most consecutive matches for a team (37)', '3rd Most matches as captain (56)', '21st Youngest captains (23y 331d)', '8th Most consecutive matches as captain of a team (67)', '2nd Most consecutive matches as captain of a team (37)', '2nd Winning all tosses in a series (4)']</t>
  </si>
  <si>
    <t>['8th Highest partnership for the fifth wicket (76)']</t>
  </si>
  <si>
    <t>['8th Highest partnership for the fifth wicket (76)', '26th Highest partnership for the eighth wicket (26)']</t>
  </si>
  <si>
    <t>['18th Highest partnership for the fourth wicket (101)']</t>
  </si>
  <si>
    <t>['32nd Most runs in an innings (by batting position) (31*)', '24th No ducks in career (21)']</t>
  </si>
  <si>
    <t>['27th Most maidens in career (6)', '12th Most maidens in an innings (2)']</t>
  </si>
  <si>
    <t>['4th Most catches in an innings (3)', '3rd Most runs in an innings (by batting position) (63*)']</t>
  </si>
  <si>
    <t>['29th Best figures in an innings (5/13)', '12th Outstanding bowling analyses in an innings (5/13)', '35th Worst career strike rate (54.0)', '25th Youngest player to take five-wickets-in-an-innings (22y 325d)', '4th Most catches in an innings (3)']</t>
  </si>
  <si>
    <t>['3rd Most runs in an innings (by batting position) (63*)', '36th Best career economy rate (5.60)', '20th Most runs conceded in an innings (50)']</t>
  </si>
  <si>
    <t>['45th Fastest to 100 wickets (69)']</t>
  </si>
  <si>
    <t>['27th Most wickets in career (55)', '17th Most wickets in a calendar year (23)', '25th Most wickets on a single ground (13)', '49th Best career bowling average (22.16)', '28th Best career economy rate (6.84)', '27th Most balls bowled in career (1068)', '26th Most runs conceded in career (1219)', '17th Bowler/batters combinations (3)', '30th Most wickets taken bowled (12)', '21st Most wickets taken caught (38)', '27th Most wickets taken caught by a fielder (30)', '13th Most wickets taken caught by a wicketkeeper (8)', '32nd Most wickets taken lbw (5)', '26th Fastest to 50 wickets (45)']</t>
  </si>
  <si>
    <t>['19th Worst economy rate in an innings (9.16)', '47th Most runs conceded in an innings (70)', '4th Most catches in an innings (3)']</t>
  </si>
  <si>
    <t>['2nd Worst economy rate in an innings (12.66)']</t>
  </si>
  <si>
    <t>['7th Outstanding bowling analyses in an innings (5/10)', ' A fifty and five wickets in an innings ', '2nd Most runs in an innings (by batting position) (57*)', '7th Highest partnership for the ninth wicket (44*)']</t>
  </si>
  <si>
    <t>['7th Outstanding bowling analyses in an innings (5/10)', '38th Best career bowling average (23.60)', '41st Best career economy rate (3.90)', '48th Best economy rate in an innings (1.00)', '19th Oldest player to take five-wickets-in-an-innings (33y 349d)', '12th Oldest player to take a maiden five-wickets-in-an-innings (33y 349d)']</t>
  </si>
  <si>
    <t>['2nd Most runs in an innings (by batting position) (57*)', '30th Most runs in debut match (57*)', '13th Most ducks in career (6)', '7th Highest partnership for the ninth wicket (44*)']</t>
  </si>
  <si>
    <t>['2nd Longest careers (19y 195d)', '7th Most ducks in career (12)']</t>
  </si>
  <si>
    <t>['15th Most runs in a career without a hundred (1276)', '7th Most ducks in career (12)', '26th Best economy rate in an innings (0.40)', '39th Worst economy rate in an innings (8.66)', '40th Most catches in career (30)', '49th Most matches in career (90)', '41st Youngest players (16y 212d)', '2nd Longest careers (19y 195d)', '21st Youngest captains (22y 194d)']</t>
  </si>
  <si>
    <t>['32nd Most runs in career (1019)', '7th Most innings before first duck (28)', '43rd Most consecutive innings without a duck (28)', '34th Most ducks in career (5)', '21st Most consecutive matches for a team (46)', '14th Oldest captains on captaincy debut (33y 244d)']</t>
  </si>
  <si>
    <t>['46th Most runs in an innings (86)', '33rd Most runs in an innings (by batting position) (86)']</t>
  </si>
  <si>
    <t>['3rd Highest maiden hundred (177)', '1st Dismissed for 99 (and 199, 299 etc) (99)', '2nd Fifties in consecutive innings (6)', '1st Best figures in a innings when on the losing side (6)', ' Opening the batting and bowling in the same match ', '1st Most runs in a calendar year (748)', '3rd Fifties in consecutive innings (3)', '4th Most ducks in career (9)', '4th Most fours in career (251)', '6th Fastest to 2000 runs (72)', '10th Fifties in consecutive innings (6)']</t>
  </si>
  <si>
    <t>['32nd Most runs in an innings (177)', '15th Hundred in last match (118)', '37th Most hundreds in a career (12)', '3rd Most hundreds in a series (3)', '3rd Highest maiden hundred (177)', '12th Youngest player to score a hundred (20y 4d)', '1st Dismissed for 99 (and 199, 299 etc) (99)', '2nd Fifties in consecutive innings (6)', '35th Most sixes in career (109)', '14th Most fours in an innings (21)', '24th Most runs from fours and sixes in an innings (114)', '43rd Highest percentage of runs in a completed innings (55.27)', '45th Fastest to 1000 runs (29)', '44th Fastest to 3000 runs (89)', '21st Fastest to 4000 runs (110)', '1st Best figures in a innings when on the losing side (6)', '25th Highest partnership for the second wicket (214)', '42nd Most consecutive matches for a team (78*)', '24th Most player-of-the-series awards (4)', '47th Youngest players (17y 302d)']</t>
  </si>
  <si>
    <t>['10th Most runs in career (2124)', '1st Most runs in a calendar year (748)', '13th Most runs in a match on the losing side (91)', '11th Most runs on a single ground (379)', '17th Most runs in an innings by a captain (91)', '41st Highest career strike rate (139.27)', '6th Most fifties in career (18)', '3rd Fifties in consecutive innings (3)', '4th Most ducks in career (9)', '20th Most sixes in career (71)', '4th Most fours in career (251)', '30th Most sixes in an innings (8)', '12th Most fours in an innings (12)', '33rd Highest percentage of runs in a completed innings (57.60)', '38th Fastest to 1000 runs (45)', '6th Fastest to 2000 runs (72)', '15th Most catches in an innings (3)', '18th Highest partnerships for any wicket (154)', '11th Highest partnership for the first wicket (154)', '25th Most matches in career (78)', '12th Most player-of-the-match awards (7)']</t>
  </si>
  <si>
    <t>['3rd Youngest players (13y 274d)', '1st Most runs in an innings (by batting position) (14*)']</t>
  </si>
  <si>
    <t>['3rd Youngest players (13y 274d)']</t>
  </si>
  <si>
    <t>['1st Most runs in an innings (by batting position) (14*)', '12th Best figures in a innings on debut (3)', '26th Youngest players (13y 272d)']</t>
  </si>
  <si>
    <t>['8th Most wickets taken caught by a wicketkeeper (9)']</t>
  </si>
  <si>
    <t>['31st Best strike rate in an innings (4.5)', '45th Bowler/fielder combinations (6)', '8th Most wickets taken caught by a wicketkeeper (9)', '49th Most catches in career (23)', '15th Most catches in an innings (3)', '23rd Highest partnership for the eighth wicket (40*)']</t>
  </si>
  <si>
    <t>['32nd No ducks in career (18)']</t>
  </si>
  <si>
    <t>['31st Oldest player to take a maiden five-wickets-in-an-innings (31y 98d)']</t>
  </si>
  <si>
    <t>['31st Most wickets taken caught and bowled (5)']</t>
  </si>
  <si>
    <t>['5th Most dismissals in an innings (4)', '5th Captains who have kept wicket (19)', '7th Most catches in career (29)', '4th Highest partnership for the ninth wicket (47*)']</t>
  </si>
  <si>
    <t>['46th Most dismissals in career (59)', '47th Most catches in career (49)', '37th Most stumpings in career (10)']</t>
  </si>
  <si>
    <t>['49th Most runs in career (1268)', '35th Most runs in an innings (by batting position) (65*)', '45th Most consecutive innings without a duck (32*)', '37th Fewest ducks in career (17)', '4th Highest partnership for the ninth wicket (47*)', '17th Most matches in career (81)', '48th Longest careers (11y 170d)', '25th Most matches as captain (26)', '5th Captains who have kept wicket (19)', '23rd Winning all tosses in a series (4)', '10th Most dismissals in career (36)', '5th Most dismissals in an innings (4)', '7th Most catches in career (29)', '13th Most catches in an innings (3)', '14th Most stumpings in career (7)', '20th Most byes conceded in an innings (6)']</t>
  </si>
  <si>
    <t>['15th Worst career bowling average (38.61)', '20th Worst career strike rate (59.5)', '30th Highest partnership for the ninth wicket (37)']</t>
  </si>
  <si>
    <t>['21st Best figures in a innings by a captain (3)', '32nd Best career bowling average (without qualification) (6.66)', '30th Oldest captains on captaincy debut (31y 229d)']</t>
  </si>
  <si>
    <t>['49th Best career bowling average (without qualification) (9.00)']</t>
  </si>
  <si>
    <t>['22nd Best career strike rate (29.5)', '3rd Best figures in a innings on debut (5)']</t>
  </si>
  <si>
    <t>['31st Worst career economy rate (8.15)', '43rd Most runs conceded in an innings (56)']</t>
  </si>
  <si>
    <t>['19th Highest partnership for the second wicket (112)']</t>
  </si>
  <si>
    <t>['24th Highest maiden hundred (120)', '27th Oldest player to score a hundred (32y 51d)', '18th Oldest player to score a maiden hundred (32y 51d)']</t>
  </si>
  <si>
    <t>['21st Shortest lived players (42y 37d)']</t>
  </si>
  <si>
    <t>['2nd Youngest captains (20y 273d)', ' Opening the batting and bowling in the same match ']</t>
  </si>
  <si>
    <t>['2nd Youngest captains (20y 273d)']</t>
  </si>
  <si>
    <t>['16th Best career bowling average (without qualification) (6.00)']</t>
  </si>
  <si>
    <t>['1st Most dismissals in an innings (5)', '3rd Youngest captains (19y 212d)', '1st Most stumpings in an innings (4)', '6th Highest career batting average (32.05)']</t>
  </si>
  <si>
    <t>['48th Most runs in a calendar year (349)', '18th Most runs in an innings by a wicketkeeper (65)', '6th Highest career batting average (32.05)', '44th Highest partnerships for any wicket (119)', '39th Highest partnership for the first wicket (102*)', '11th Highest partnership for the second wicket (119)', '49th Highest partnership for the fifth wicket (50)', '3rd Youngest captains (19y 212d)', '8th Captains who have kept wicket (6)', '12th Captains who have kept wicket and opened the batting (6)', '13th Most dismissals in career (37)', '1st Most dismissals in an innings (5)', '11th Most catches in career (16)', '12th Most stumpings in career (21)', '1st Most stumpings in an innings (4)']</t>
  </si>
  <si>
    <t>['3rd Most consecutive matches for a team (57*)']</t>
  </si>
  <si>
    <t>['35th Most runs in an innings (by batting position) (76)', '46th Most runs in an innings by a captain (76)', '13th Most ducks in career (6)', '44th Most fours in career (117)', '14th Highest percentage of runs in a completed innings (61.72)', '48th Highest partnership for the fifth wicket (67*)', '50th Most matches in career (61)', '3rd Most consecutive matches for a team (57*)']</t>
  </si>
  <si>
    <t>['16th Highest partnership for the tenth wicket (63)', '25th Longest intervals between appearances (7y 27d)']</t>
  </si>
  <si>
    <t>['16th Longest intervals between appearances (8y 119d)']</t>
  </si>
  <si>
    <t>['10th Oldest living players (51y 137d)']</t>
  </si>
  <si>
    <t>['8th No ducks in career (17)', '7th Highest partnership for the second wicket (140)']</t>
  </si>
  <si>
    <t>['21st Most runs in an innings (by batting position) (73*)', '27th Most runs in an innings by a captain (73*)', '34th Most fifties in career (3)', '8th No ducks in career (17)', '41st Best economy rate in an innings (0.66)', '36th Most wickets taken lbw (6)', '23rd Highest partnerships for any wicket (140)', '7th Highest partnership for the second wicket (140)', '25th Most matches as captain (18)', '15th Youngest captains (20y 232d)', '27th Most maidens in career (6)']</t>
  </si>
  <si>
    <t>['12th Outstanding bowling analyses in an innings (1/1)']</t>
  </si>
  <si>
    <t>['9th Fastest to 2000 runs (49)', '2nd Worst career bowling average (without qualification) (203.00)']</t>
  </si>
  <si>
    <t>['13th Most runs in a match on the losing side (156)', '41st Highest career batting average (42.71)', '47th Highest maiden hundred (133)', '44th Fifties in consecutive innings (4)', '36th Fastest to 1000 runs (28)', '9th Fastest to 2000 runs (49)', '2nd Worst career bowling average (without qualification) (203.00)', '40th Oldest captains (37y 36d)']</t>
  </si>
  <si>
    <t>['41st Most runs in career (1386)', '22nd Most runs in an innings by a captain (89)', '48th Most fifties in career (6)', '15th Most innings before first duck (26)', '32nd Fewest ducks in career (18.66)', '46th Most sixes in career (45)', '25th Most fours in career (144)', '31st Most fours in an innings (11)', '42nd Most runs from fours and sixes in an innings (74)', '32nd Fastest to 1000 runs (42)', '45th Highest partnership for the sixth wicket (62)', '27th Most consecutive matches for a team (35)', '16th Most matches as captain (29)']</t>
  </si>
  <si>
    <t>['1st Most dismissals in an innings (6)', '1st Most catches in an innings (6)', '2nd No ducks in career (50)', '7th Most stumpings in career (11)']</t>
  </si>
  <si>
    <t>['2nd No ducks in career (50)', '38th Most dismissals in career (79)', '1st Most dismissals in an innings (6)', '35th Most catches in career (75)', '1st Most catches in an innings (6)']</t>
  </si>
  <si>
    <t>['14th Highest partnership for the third wicket (122)', '40th Most consecutive matches for a team (30)', '11th Most dismissals in career (33)', '15th Most catches in career (22)', '7th Most stumpings in career (11)', '32nd Most byes conceded in an innings (5)']</t>
  </si>
  <si>
    <t>['20th Best figures in a innings by a captain (3)']</t>
  </si>
  <si>
    <t>['5th Outstanding bowling analyses in an innings (5/9)', '5th Best career strike rate (26.5)', ' A fifty and five wickets in an innings ']</t>
  </si>
  <si>
    <t>['46th Best figures in an innings (6/28)', '5th Outstanding bowling analyses in an innings (5/9)', '19th Best career bowling average (22.08)', '5th Best career strike rate (26.5)', '43rd Most five-wickets-in-an-innings in a career (2)', '14th Youngest player to take five-wickets-in-an-innings (20y 14d)']</t>
  </si>
  <si>
    <t>['47th Oldest players on debut (36y 275d)']</t>
  </si>
  <si>
    <t>['4th Oldest player to take a maiden five-wickets-in-an-innings (36y 124d)', '1st Longest lived players (38y 66d)']</t>
  </si>
  <si>
    <t>['9th Oldest player to take five-wickets-in-an-innings (36y 124d)', '4th Oldest player to take a maiden five-wickets-in-an-innings (36y 124d)', '17th Shortest lived players (38y 66d)']</t>
  </si>
  <si>
    <t>['1st Longest lived players (38y 66d)']</t>
  </si>
  <si>
    <t>['1st Most consecutive ducks (3)', '1st Best figures in a innings when on the losing side (5)', '10th Most maidens in career (4)']</t>
  </si>
  <si>
    <t>['38th Oldest player to take five-wickets-in-an-innings (32y 128d)', '22nd Oldest player to take a maiden five-wickets-in-an-innings (32y 128d)']</t>
  </si>
  <si>
    <t>['32nd Most ducks in career (5)', '1st Most consecutive ducks (3)', '38th Best figures in an innings (5/24)', '1st Best figures in a innings when on the losing side (5)', '20th Best career bowling average (19.13)', '14th Best career strike rate (15.5)', '17th Bowler/batters combinations (3)', '45th Bowler/fielder combinations (6)', '46th Most wickets taken caught (31)', '43rd Most wickets taken caught by a fielder (26)', '48th Most wickets taken caught by a wicketkeeper (5)', '10th Most maidens in career (4)']</t>
  </si>
  <si>
    <t>['43rd Most wickets taken stumped (5)', '35th Youngest players (14y 81d)']</t>
  </si>
  <si>
    <t>['1st Most consecutive ducks (3)', '30th Worst career bowling average (without qualification) (68.00)']</t>
  </si>
  <si>
    <t>['14th Best figures in a innings when on the losing side (5)', '35th Youngest player to take five-wickets-in-an-innings (22y 16d)']</t>
  </si>
  <si>
    <t>['6th Most ducks in a series (3)', '29th Oldest player to take a maiden five-wickets-in-an-innings (31y 213d)']</t>
  </si>
  <si>
    <t>['17th Bowler/batters combinations (3)', '24th Most wickets taken lbw (6)', '17th Most wickets taken stumped (5)', '20th Highest partnership for the tenth wicket (21*)']</t>
  </si>
  <si>
    <t>[' Pair on debut ', ' Representing two countries ']</t>
  </si>
  <si>
    <t>['23rd Oldest player to score a maiden hundred (33y 290d)', '38th Highest partnership for the first wicket (203)', '25th Longest intervals between appearances (7y 27d)', '29th Oldest captains on captaincy debut (34y 294d)']</t>
  </si>
  <si>
    <t>['39th Highest partnership for the sixth wicket (65)', '48th Oldest captains on captaincy debut (34y 263d)']</t>
  </si>
  <si>
    <t>['20th Outstanding bowling analyses in an innings (3/3)', '12th Best figures in a innings on debut (3)']</t>
  </si>
  <si>
    <t>['23rd Most runs in debut match (87)']</t>
  </si>
  <si>
    <t>[' Opening the batting and bowling in the same match ', '1st Most catches by a substitute in an innings (3)']</t>
  </si>
  <si>
    <t>['48th Highest strike rate in an innings (262.50)', '25th Worst career bowling average (51.00)']</t>
  </si>
  <si>
    <t>['15th Most catches in an innings (3)', '1st Most catches by a substitute in an innings (3)']</t>
  </si>
  <si>
    <t>['6th Most runs in an innings (by batting position) (127*)', '7th Highest career strike rate (154.21)', '2nd Most sixes in an innings (14)', '3rd Highest partnership for the first wicket (200)']</t>
  </si>
  <si>
    <t>['6th Most runs in an innings (127*)', '15th Most runs in a calendar year (526)', '6th Most runs in an innings (by batting position) (127*)', '7th Highest career strike rate (154.21)', '28th Highest strike rate in an innings (290.90)', '48th Most fifties in career (6)', '46th Most sixes in career (45)', '49th Most fours in career (114)', '2nd Most sixes in an innings (14)', '31st Most fours in an innings (11)', '6th Most runs from fours and sixes in an innings (104)', '15th Most catches in an innings (3)', '3rd Highest partnerships for any wicket (200)', '3rd Highest partnership for the first wicket (200)']</t>
  </si>
  <si>
    <t>['9th Most runs in an innings (by batting position) (68*)', '1st Highest partnership for the eighth wicket (80)']</t>
  </si>
  <si>
    <t>['30th Most runs in an innings by a captain (139*)', '38th Highest maiden hundred (139*)']</t>
  </si>
  <si>
    <t>['9th Most runs in an innings (by batting position) (68*)', '8th Highest partnerships by wicket (8th)', '1st Highest partnership for the eighth wicket (80)', '44th Most matches as captain (17)', '41st Youngest captains (25y 263d)']</t>
  </si>
  <si>
    <t>['5th Highest maiden hundred (175)', ' 99 not out (and 199, 299 etc) (99*)', '8th Most fours in an innings (23)', '2nd Most catches in an innings (4)', '10th Highest partnership for the third wicket (127)']</t>
  </si>
  <si>
    <t>['37th Most runs in an innings (175)', '13th Most runs in an innings (by batting position) (157*)', '5th Highest maiden hundred (175)', '8th Most fours in an innings (23)', '24th Longest individual innings (by balls) (163)', '40th Highest percentage of runs in a completed innings (55.39)', '2nd Most catches in an innings (4)', '24th Most catches in a series (8)', '25th Highest partnership for the third wicket (208)']</t>
  </si>
  <si>
    <t>['28th Most runs in a calendar year (440)', '41st Most fifties in career (7)', '37th Fastest to 1000 runs (44)', '36th Most catches in career (27)', '1st Most catches in an innings (4)', '10th Highest partnership for the third wicket (127)']</t>
  </si>
  <si>
    <t>['44th Outstanding bowling analyses in an innings (2/4)']</t>
  </si>
  <si>
    <t>['4th Most runs in an innings (by batting position) (30*)', '2nd Highest partnership for the eighth wicket (42*)']</t>
  </si>
  <si>
    <t>['9th Most runs in an innings (by batting position) (121*)']</t>
  </si>
  <si>
    <t>['9th Most runs in an innings (by batting position) (121*)', '36th Highest partnership for the seventh wicket (104)']</t>
  </si>
  <si>
    <t>['10th Bowler/fielder combinations (11)', '3rd Most catches in an innings (3)']</t>
  </si>
  <si>
    <t>['26th Outstanding bowling analyses in an innings (2/3)', '12th Best figures in a innings on debut (3)', '10th Bowler/fielder combinations (11)', '25th Most wickets taken stumped (7)', '3rd Most catches in an innings (3)']</t>
  </si>
  <si>
    <t>['4th Most runs in an innings (by batting position) (13*)', '1st Most maidens in an innings (2)']</t>
  </si>
  <si>
    <t>['4th Most runs in an innings (by batting position) (13*)', '19th Most maidens in career (3)', '1st Most maidens in an innings (2)']</t>
  </si>
  <si>
    <t>['15th Oldest players on debut (40y 341d)', '28th Oldest players (40y 349d)']</t>
  </si>
  <si>
    <t>['28th Most runs in an innings (by batting position) (45)']</t>
  </si>
  <si>
    <t>['18th Most byes conceded in an innings (7)']</t>
  </si>
  <si>
    <t>['25th Longest intervals between appearances (7y 27d)']</t>
  </si>
  <si>
    <t>[' A fifty and five dismissals in an innings ', '1st Most consecutive ducks (3)']</t>
  </si>
  <si>
    <t>['16th Most dismissals in an innings (5)', '11th Most catches in an innings (5)', '35th Most stumpings in career (11)']</t>
  </si>
  <si>
    <t>['1st Most consecutive ducks (3)', '41st Oldest living players (48y 169d)']</t>
  </si>
  <si>
    <t>['27th Most runs in an innings (by batting position) (26)', '38th Most wickets in career (49)', '25th Most wickets on a single ground (13)', '8th Best figures in a innings when on the losing side (4)', '41st Best career strike rate (17.6)', '24th Worst career economy rate (8.23)', '45th Most balls bowled in career (863)', '35th Most runs conceded in career (1185)', '12th Most wickets taken bowled (17)', '46th Most wickets taken caught (31)', '43rd Most wickets taken caught by a fielder (26)', '48th Most wickets taken caught by a wicketkeeper (5)', '36th Highest partnership for the ninth wicket (28*)']</t>
  </si>
  <si>
    <t>['39th Worst career bowling average (without qualification) (70.50)']</t>
  </si>
  <si>
    <t>['33rd Most runs in debut match (80)']</t>
  </si>
  <si>
    <t>['44th Longest individual innings (by balls) (61)']</t>
  </si>
  <si>
    <t>['48th Most wickets in career (45)', '45th Best figures in an innings (5/27)', '17th Most wickets in a calendar year (23)', '43rd Most wickets on a single ground (11)', '29th Best career bowling average (20.06)', '30th Best career strike rate (16.6)', '45th Bowler/fielder combinations (6)', '14th Most wickets taken lbw (7)']</t>
  </si>
  <si>
    <t>['7th Outstanding bowling analyses in an innings (2/3)', '8th Best figures in a innings when on the losing side (4)']</t>
  </si>
  <si>
    <t>['5th Most dismissals in an innings (4)', '13th Most catches in an innings (3)']</t>
  </si>
  <si>
    <t>['37th Most runs in debut match (54*)']</t>
  </si>
  <si>
    <t>['33rd Best career bowling average (without qualification) (7.60)']</t>
  </si>
  <si>
    <t>['1st Outstanding bowling analyses in an innings (2/0)']</t>
  </si>
  <si>
    <t>['22nd No ducks in career (11)', '45th Best figures in an innings (4/2)', '1st Outstanding bowling analyses in an innings (2/0)', '6th Best figures in a innings by a captain (4)', '22nd Best economy rate in an innings (0.50)', '13th Best strike rate in an innings (3.0)', '33rd Most matches as captain (14)', '20th Most maidens in career (7)', '12th Most maidens in an innings (2)']</t>
  </si>
  <si>
    <t>['8th Most runs in an innings (by batting position) (12)', '8th Best figures in a innings when on the losing side (4)']</t>
  </si>
  <si>
    <t>['3rd Outstanding bowling analyses in an innings (4/5)', '4th Best strike rate in an innings (4.5)']</t>
  </si>
  <si>
    <t>['3rd Outstanding bowling analyses in an innings (4/5)', '19th Best career bowling average (without qualification) (9.36)', '4th Best strike rate in an innings (4.5)']</t>
  </si>
  <si>
    <t>['18th Most runs in an innings (by batting position) (58*)', '15th Most catches in an innings (3)', '12th Most stumpings in career (8)', '8th Most byes conceded in an innings (8)']</t>
  </si>
  <si>
    <t>['43rd Most runs on a single ground (278)', '23rd Most runs in debut match (62)', '3rd Fifties in consecutive innings (3)', '45th Highest partnership for the first wicket (116)']</t>
  </si>
  <si>
    <t>['12th Highest partnership for the ninth wicket (43)']</t>
  </si>
  <si>
    <t>['29th Youngest players (17y 100d)']</t>
  </si>
  <si>
    <t>['38th Most runs in debut match (53*)', '45th Youngest players (17y 103d)']</t>
  </si>
  <si>
    <t>['1st Outstanding bowling analyses in an innings (1/0)', '1st Best economy rate in an innings (0.00)', '12th Best figures in a innings on debut (3)', '20th Most wickets taken caught and bowled (3)', '12th Most maidens in an innings (2)']</t>
  </si>
  <si>
    <t>['2nd Most wickets in a calendar year (28)', '1st Most consecutive four-wickets-in-an-innings (2)', '1st Most maidens in an innings (2)']</t>
  </si>
  <si>
    <t>['11th Most runs in an innings (by batting position) (40*)', '12th Highest strike rate in an innings (346.15)', '42nd Most sixes in an innings (7)', '2nd Most wickets in a calendar year (28)', '43rd Most wickets on a single ground (11)', '16th Best career bowling average (18.63)', '11th Best career strike rate (15.1)', '16th Most four-wickets-in-an-innings in a career (2)', '1st Most consecutive four-wickets-in-an-innings (2)', '17th Bowler/batters combinations (3)', '29th Most wickets taken caught (35)', '27th Most wickets taken caught by a fielder (30)', '48th Most wickets taken caught by a wicketkeeper (5)', '49th Most consecutive matches for a team (29*)', '28th Most player-of-the-match awards (5)', '1st Most maidens in an innings (2)']</t>
  </si>
  <si>
    <t>['6th Most byes conceded in an innings (9)']</t>
  </si>
  <si>
    <t>['9th Most runs in an innings by a captain (106*)', '6th Highest partnership for the second wicket (145*)']</t>
  </si>
  <si>
    <t>['26th Best figures in a innings by a captain (4)', '15th Best figures in a innings on debut (4)']</t>
  </si>
  <si>
    <t>['32nd Most runs in an innings (106*)', '12th Most runs in a calendar year (541)', '24th Most runs in an innings (by batting position) (106*)', '9th Most runs in an innings by a captain (106*)', '17th Most sixes in an innings (9)', '31st Most fours in an innings (11)', '22nd Most runs from fours and sixes in an innings (82)', '15th Most catches in an innings (3)', '21st Highest partnerships for any wicket (145*)', '6th Highest partnership for the second wicket (145*)', '43rd Highest partnership for the fourth wicket (85)', '22nd Most matches as captain (27)']</t>
  </si>
  <si>
    <t>['6th Youngest players (15y 340d)']</t>
  </si>
  <si>
    <t>['36th Highest partnership for the sixth wicket (66)', '7th Youngest players (15y 206d)']</t>
  </si>
  <si>
    <t>['8th Outstanding bowling analyses in an innings (6/16)', '10th Youngest player to take five-wickets-in-an-innings (19y 194d)', '2nd Most wickets in a calendar year (28)', '2nd Best career strike rate (12.2)', '1st Most maidens in an innings (2)']</t>
  </si>
  <si>
    <t>['20th Best figures in an innings (6/16)', '8th Outstanding bowling analyses in an innings (6/16)', '12th Best strike rate in an innings (6.0)', '10th Youngest player to take five-wickets-in-an-innings (19y 194d)']</t>
  </si>
  <si>
    <t>['41st Most wickets in career (47)', '2nd Most wickets in a calendar year (28)', '25th Most wickets on a single ground (13)', '8th Best figures in a innings when on the losing side (4)', '2nd Best career bowling average (14.00)', '29th Best career economy rate (6.86)', '2nd Best career strike rate (12.2)', '16th Most four-wickets-in-an-innings in a career (2)', '17th Bowler/batters combinations (3)', '45th Bowler/fielder combinations (6)', '37th Most wickets taken caught (33)', '23rd Most wickets taken caught by a fielder (32)', '14th Most wickets taken lbw (7)', '19th Most maidens in career (3)', '1st Most maidens in an innings (2)']</t>
  </si>
  <si>
    <t>['8th Most runs in an innings by a captain (107)']</t>
  </si>
  <si>
    <t>['31st Most runs in an innings (107)', '23rd Most runs in an innings (by batting position) (107)', '8th Most runs in an innings by a captain (107)', '17th Most sixes in an innings (9)', '42nd Most runs from fours and sixes in an innings (74)', '15th Most catches in an innings (3)']</t>
  </si>
  <si>
    <t>['1st Outstanding bowling analyses in an innings (2/0)', '1st Best economy rate in an innings (0.00)']</t>
  </si>
  <si>
    <t>['1st Outstanding bowling analyses in an innings (2/0)', '1st Best economy rate in an innings (0.00)', '27th Most maidens in career (6)', '12th Most maidens in an innings (2)']</t>
  </si>
  <si>
    <t>['3rd Outstanding bowling analyses in an innings (6/8)', '1st Most consecutive four-wickets-in-an-innings (2)']</t>
  </si>
  <si>
    <t>['3rd Best figures in an innings (6/8)', '3rd Outstanding bowling analyses in an innings (6/8)', '11th Most wickets on a single ground (11)', '41st Best career bowling average (without qualification) (7.17)', '33rd Best strike rate in an innings (4.0)', '13th Most four-wickets-in-an-innings in a career (2)', '1st Most consecutive four-wickets-in-an-innings (2)']</t>
  </si>
  <si>
    <t>['8th Best figures in a innings when on the losing side (4)', '17th Bowler/batters combinations (3)']</t>
  </si>
  <si>
    <t>['13th Outstanding bowling analyses in an innings (3/6)']</t>
  </si>
  <si>
    <t>['1st Most runs in an innings (by batting position) (40)']</t>
  </si>
  <si>
    <t>['1st Most runs in an innings (by batting position) (40)', '46th Highest percentage of runs in a completed innings (55.55)', '30th Best career economy rate (6.87)', '17th Bowler/batters combinations (3)', '27th Most wickets taken bowled (13)', '32nd Most wickets taken lbw (5)', '50th Most consecutive matches for a team (28)']</t>
  </si>
  <si>
    <t>['30th Most stumpings in career (6)']</t>
  </si>
  <si>
    <t>['38th No ducks in career (16)']</t>
  </si>
  <si>
    <t>['4th Most runs in an innings (by batting position) (22*)']</t>
  </si>
  <si>
    <t>['4th Most runs in an innings (by batting position) (22*)', '13th Outstanding bowling analyses in an innings (4/6)', '13th Most four-wickets-in-an-innings in a career (2)', '16th Highest partnership for the ninth wicket (24)', '15th Most maidens in career (8)', '12th Most maidens in an innings (2)']</t>
  </si>
  <si>
    <t>['7th Most runs in an innings (by batting position) (116)', '1st Highest partnership for the second wicket (227)']</t>
  </si>
  <si>
    <t>['9th Most runs in an innings (116)', '7th Most runs in an innings (by batting position) (116)', '3rd Highest partnerships for any wicket (227)', '2nd Highest partnerships by wicket (2nd)', '1st Highest partnership for the second wicket (227)']</t>
  </si>
  <si>
    <t>['2nd Outstanding bowling analyses in an innings (4/2)']</t>
  </si>
  <si>
    <t>['45th Best figures in an innings (4/2)', '2nd Outstanding bowling analyses in an innings (4/2)', '19th Most wickets on a single ground (10)', '48th Best career bowling average (without qualification) (7.57)', '22nd Best economy rate in an innings (0.50)', '12th Most maidens in an innings (2)']</t>
  </si>
  <si>
    <t>['10th Outstanding bowling analyses in an innings (2/1)']</t>
  </si>
  <si>
    <t>['10th Outstanding bowling analyses in an innings (2/1)', '50th Best career bowling average (without qualification) (7.80)', '22nd Best economy rate in an innings (0.50)']</t>
  </si>
  <si>
    <t>['10th Highest partnership for the fifth wicket (91)']</t>
  </si>
  <si>
    <t>['16th Best figures in an innings (5/13)', '11th Outstanding bowling analyses in an innings (5/13)', '28th Best strike rate in an innings (4.4)', '10th Highest partnership for the fifth wicket (91)']</t>
  </si>
  <si>
    <t>['29th Best career bowling average (without qualification) (7.00)']</t>
  </si>
  <si>
    <t>['7th Youngest captains (20y 28d)', '5th Most runs in an innings (by batting position) (103*)', '7th No ducks in career (18)']</t>
  </si>
  <si>
    <t>['24th Most runs in an innings (103*)', '5th Most runs in an innings (by batting position) (103*)', '37th Most runs on a single ground (189)', '8th Most runs in an innings by a captain (103*)', '7th No ducks in career (18)', '20th Highest partnership for the fourth wicket (82)', '26th Highest partnership for the seventh wicket (38)', '7th Youngest captains (20y 28d)']</t>
  </si>
  <si>
    <t>['12th Most runs in an innings (by batting position) (25)', '27th Outstanding bowling analyses in an innings (1/2)']</t>
  </si>
  <si>
    <t>['32nd Youngest captains (21y 274d)', '18th Captains who have kept wicket (1)']</t>
  </si>
  <si>
    <t>['11th No ducks in career (15)', '22nd Best economy rate in an innings (0.50)', '21st Highest partnership for the ninth wicket (20*)']</t>
  </si>
  <si>
    <t>['8th Outstanding bowling analyses in an innings (1/1)']</t>
  </si>
  <si>
    <t>['26th Youngest captains (24y 146d)', '24th Captains who have kept wicket (3)', '11th Captains who have kept wicket and opened the batting (3)']</t>
  </si>
  <si>
    <t>['28th Most runs in an innings (by batting position) (33)']</t>
  </si>
  <si>
    <t>['18th Outstanding bowling analyses in an innings (4/7)', '18th Best career bowling average (without qualification) (5.14)', '12th Most maidens in an innings (2)']</t>
  </si>
  <si>
    <t>['17th Longest individual innings (by balls) (65)']</t>
  </si>
  <si>
    <t>['10th Most runs on a single ground (239)', '3rd Fifties in consecutive innings (3)']</t>
  </si>
  <si>
    <t>['26th Most runs in an innings (101*)', '49th Most runs in a calendar year (348)', '17th Most runs in an innings (by batting position) (101*)', '10th Most runs on a single ground (239)', '26th Most fifties in career (4)', '3rd Fifties in consecutive innings (3)', '21st Best figures in a innings by a captain (3)', '41st Best economy rate in an innings (0.66)', '41st Most maidens in career (5)']</t>
  </si>
  <si>
    <t>['43rd Most runs conceded in an innings (56)', '33rd Most wickets taken caught by a wicketkeeper (6)', '15th Longest intervals between appearances (6y 232d)']</t>
  </si>
  <si>
    <t>['5th Worst economy rate in an innings (18.50)']</t>
  </si>
  <si>
    <t>['33rd Oldest captains (37y 298d)', '24th Oldest captains on captaincy debut (37y 272d)']</t>
  </si>
  <si>
    <t>['2nd Highest partnership for the first wicket (198*)']</t>
  </si>
  <si>
    <t>['22nd Most runs in an innings (105*)', '15th Most runs in an innings (by batting position) (105*)', '29th Most runs on a single ground (200)', '34th Most fifties in career (3)', '22nd No ducks in career (11)', '44th Highest percentage of runs in a completed innings (54.97)', '4th Highest partnerships for any wicket (198*)', '2nd Highest partnership for the first wicket (198*)', '3rd Highest partnership for the second wicket (158*)']</t>
  </si>
  <si>
    <t>['12th Highest partnership for the seventh wicket (66)']</t>
  </si>
  <si>
    <t>['7th Outstanding bowling analyses in an innings (2/3)', '25th Highest partnership for the seventh wicket (54*)']</t>
  </si>
  <si>
    <t>['45th Oldest captains (36y 201d)', '33rd Oldest captains on captaincy debut (36y 201d)']</t>
  </si>
  <si>
    <t>['4th Most runs in an innings (by batting position) (22*)', '9th Highest partnership for the sixth wicket (57)']</t>
  </si>
  <si>
    <t>['4th Most runs in an innings (by batting position) (22*)', '9th Highest partnership for the sixth wicket (57)', '35th Highest partnership for the ninth wicket (17)', '17th Highest partnership for the tenth wicket (14*)', '44th Oldest players on debut (37y 183d)']</t>
  </si>
  <si>
    <t>['3rd Highest partnership for the eighth wicket (39)']</t>
  </si>
  <si>
    <t>['15th Most catches in an innings (3)', '18th Highest partnership for the fourth wicket (101)']</t>
  </si>
  <si>
    <t>['8th Best figures in a innings when on the losing side (4)', '7th Most four-wickets-in-an-innings in a career (3)']</t>
  </si>
  <si>
    <t>['38th Oldest players on debut (37y 268d)']</t>
  </si>
  <si>
    <t>['20th Best figures in an innings (5/15)', '15th Outstanding bowling analyses in an innings (5/15)', '30th Most wickets on a single ground (12)', '8th Best figures in a innings when on the losing side (4)', '7th Most four-wickets-in-an-innings in a career (3)']</t>
  </si>
  <si>
    <t>['7th Most runs in a series (610)', ' A hundred and four wickets in an innings ']</t>
  </si>
  <si>
    <t>['7th Most runs in a series (610)', '12th Hundred in last match (105)', '40th Best career bowling average (without qualification) (12.62)', '19th Highest partnership for the third wicket (216)']</t>
  </si>
  <si>
    <t>['5th Most wickets on a single ground (19)', '5th Best career bowling average (16.25)', '1st Most consecutive four-wickets-in-an-innings (2)', '1st Bowler/batters combinations (4)', '6th Fastest to 50 wickets (35)']</t>
  </si>
  <si>
    <t>['35th Most wickets in career (51)', '13th Most wickets in a calendar year (24)', '17th Outstanding bowling analyses in an innings (3/7)', '5th Most wickets on a single ground (19)', '8th Best figures in a innings when on the losing side (4)', '5th Best career bowling average (16.25)', '25th Best career economy rate (6.78)', '9th Best career strike rate (14.3)', '7th Most four-wickets-in-an-innings in a career (3)', '1st Most consecutive four-wickets-in-an-innings (2)', '1st Bowler/batters combinations (4)', '20th Most wickets taken bowled (14)', '22nd Most wickets taken caught by a wicketkeeper (7)', '9th Most wickets taken lbw (8)', '6th Fastest to 50 wickets (35)', '29th Most consecutive matches for a team (35*)', '19th Most maidens in career (3)']</t>
  </si>
  <si>
    <t>['28th Most runs in an innings (by batting position) (25*)', '20th Highest partnership for the tenth wicket (21*)']</t>
  </si>
  <si>
    <t>['16th Youngest players (12y 348d)']</t>
  </si>
  <si>
    <t>['5th Highest partnership for the eighth wicket (38)']</t>
  </si>
  <si>
    <t>['42nd Most runs in a calendar year (399)', '23rd Most innings before first duck (22)', '20th Highest partnership for the second wicket (126)', '47th Highest partnership for the fourth wicket (83)', '14th Highest partnership for the eighth wicket (50*)']</t>
  </si>
  <si>
    <t>['5th Oldest captains on captaincy debut (38y 174d)', '1st Most byes conceded in an innings (9)']</t>
  </si>
  <si>
    <t>['38th Oldest players on debut (38y 174d)', '47th Oldest players (38y 196d)', '6th Oldest captains (38y 196d)', '8th Captains who have kept wicket (6)', '5th Oldest captains on captaincy debut (38y 174d)', '1st Most byes conceded in an innings (9)']</t>
  </si>
  <si>
    <t>['47th No ducks in career (14)', '20th Highest partnership for the seventh wicket (57)']</t>
  </si>
  <si>
    <t>['4th Best figures in a innings by a captain (4)', '8th Best career bowling average (16.85)', '3rd Most wickets taken caught and bowled (5)']</t>
  </si>
  <si>
    <t>['44th Most innings before first duck (16)', '30th Most wickets in a calendar year (21)', '25th Most wickets on a single ground (13)', '4th Best figures in a innings by a captain (4)', '8th Best career bowling average (16.85)', '15th Best career economy rate (6.48)', '16th Best career strike rate (15.6)', '16th Most four-wickets-in-an-innings in a career (2)', '38th Most wickets taken bowled (11)', '3rd Most wickets taken caught and bowled (5)', '42nd Highest partnerships for any wicket (132*)', '23rd Highest partnership for the first wicket (132*)']</t>
  </si>
  <si>
    <t>['44th Oldest captains on captaincy debut (35y 114d)', '19th Most maidens in career (3)']</t>
  </si>
  <si>
    <t>['23rd Most runs conceded in an innings (49)']</t>
  </si>
  <si>
    <t>['50th Oldest players on debut (36y 235d)']</t>
  </si>
  <si>
    <t>['50th Most wickets in a calendar year (18)', '8th Best figures in a innings when on the losing side (4)', '48th Most wickets taken bowled (10)', '48th Most wickets taken caught by a wicketkeeper (5)', '15th Most catches in an innings (3)']</t>
  </si>
  <si>
    <t>['42nd Oldest players on debut (37y 147d)']</t>
  </si>
  <si>
    <t>['23rd Most runs in an innings (by batting position) (26*)', '31st Highest strike rate in an innings (288.88)']</t>
  </si>
  <si>
    <t>['6th Captains who have kept wicket (17)']</t>
  </si>
  <si>
    <t>['44th Most matches as captain (17)', '21st Oldest captains (39y 216d)', '6th Captains who have kept wicket (17)', '21st Oldest captains on captaincy debut (38y 37d)', '9th Winning all tosses in a series (3)', '29th Most catches in career (14)', '13th Most catches in an innings (3)']</t>
  </si>
  <si>
    <t>['29th Youngest players (13y 355d)']</t>
  </si>
  <si>
    <t>['10th Highest partnership for the fifth wicket (73)']</t>
  </si>
  <si>
    <t>['10th Highest partnership for the fifth wicket (73)', '23rd Most byes conceded in an innings (5)']</t>
  </si>
  <si>
    <t>['32nd Most runs in an innings (by batting position) (31*)']</t>
  </si>
  <si>
    <t>['48th Youngest players (14y 238d)']</t>
  </si>
  <si>
    <t>['13th Hundred in last match (109)', '36th Oldest player to score a maiden hundred (32y 110d)', '33rd Most wickets in a series (19)', '26th Best figures in a innings by a captain (4)']</t>
  </si>
  <si>
    <t>['5th Outstanding bowling analyses in an innings (4/7)', '30th Most wickets on a single ground (12)', '4th Best figures in a innings by a captain (4)', '31st Best strike rate in an innings (4.5)', '31st Highest partnership for the eighth wicket (38)']</t>
  </si>
  <si>
    <t>['8th Most runs in debut match (79)']</t>
  </si>
  <si>
    <t>['40th Most runs in an innings (by batting position) (80)', '37th Most runs in a match on the losing side (80)', '8th Most runs in debut match (79)', '31st Most fours in an innings (11)', '45th Worst career bowling average (without qualification) (67.00)']</t>
  </si>
  <si>
    <t>['1st Most consecutive ducks (3)', '38th Oldest captains on captaincy debut (30y 273d)']</t>
  </si>
  <si>
    <t>['2nd Outstanding bowling analyses in an innings (4/5)', '1st Most consecutive four-wickets-in-an-innings (2)', '1st Most maidens in an innings (2)']</t>
  </si>
  <si>
    <t>['2nd Outstanding bowling analyses in an innings (4/5)', '4th Best figures in a innings by a captain (4)', '16th Most four-wickets-in-an-innings in a career (2)', '1st Most consecutive four-wickets-in-an-innings (2)', '37th Most runs conceded in an innings (57)', '19th Most maidens in career (3)', '1st Most maidens in an innings (2)']</t>
  </si>
  <si>
    <t>['35th Worst career bowling average (without qualification) (66.00)']</t>
  </si>
  <si>
    <t>['17th Bowler/batters combinations (3)', '37th Youngest players (17y 30d)']</t>
  </si>
  <si>
    <t>['4th Highest partnership for the tenth wicket (29*)']</t>
  </si>
  <si>
    <t>['16th Most runs in an innings (by batting position) (49*)', '20th Best figures in a innings by a captain (3)', '13th Highest partnership for the fifth wicket (84)', '4th Highest partnership for the tenth wicket (29*)']</t>
  </si>
  <si>
    <t>['2nd Youngest players (14y 211d)']</t>
  </si>
  <si>
    <t>['2nd Youngest players (14y 211d)', '13th Most catches in an innings (3)', '32nd Most byes conceded in an innings (5)']</t>
  </si>
  <si>
    <t>['30th Highest partnership for the eighth wicket (38*)']</t>
  </si>
  <si>
    <t>['20th Most runs in an innings (by batting position) (57)', '23rd Worst career bowling average (without qualification) (79.00)']</t>
  </si>
  <si>
    <t>['22nd No ducks in career (11)', '27th Outstanding bowling analyses in an innings (1/2)']</t>
  </si>
  <si>
    <t>['8th Youngest players (12y 56d)']</t>
  </si>
  <si>
    <t>['6th Worst career bowling average (without qualification) (104.00)']</t>
  </si>
  <si>
    <t>['26th Oldest players on debut (42y 340d)', '29th Oldest players (42y 347d)']</t>
  </si>
  <si>
    <t>['41st Oldest captains (37y 3d)', '30th Oldest captains on captaincy debut (36y 361d)']</t>
  </si>
  <si>
    <t>['8th Highest partnership for the sixth wicket (164)', '1st Most consecutive matches for a team (61*)', '1st Most consecutive matches as captain of a team (46)', '7th Best career bowling average (without qualification) (4.00)', '6th Most consecutive matches as captain of a team (78)']</t>
  </si>
  <si>
    <t>['46th Hundred in last match (164)']</t>
  </si>
  <si>
    <t>['8th Highest partnership for the sixth wicket (164)', '24th Most consecutive matches as captain of a team (40)']</t>
  </si>
  <si>
    <t>['43rd Most runs in career (1341)', '17th Most runs in an innings (by batting position) (49)', '44th Most innings before first duck (16)', '32nd Most ducks in career (5)', '26th Most sixes in career (67)', '7th Best career bowling average (without qualification) (4.00)', '22nd Highest partnership for the fifth wicket (79)', '34th Most matches in career (72)', '1st Most consecutive matches for a team (61*)', '4th Most matches as captain (52)', '24th Most consecutive matches as captain of a team (40)', '1st Most consecutive matches as captain of a team (46)']</t>
  </si>
  <si>
    <t>['43rd Best career economy rate (3.92)']</t>
  </si>
  <si>
    <t>['13th Most runs in an innings (by batting position) (21)', '23rd Best career economy rate (6.77)', '17th Bowler/batters combinations (3)', '44th Highest partnership for the tenth wicket (16)']</t>
  </si>
  <si>
    <t>['29th Best career strike rate (30.6)', '27th Youngest players (17y 78d)']</t>
  </si>
  <si>
    <t>['9th Most runs in an innings (by batting position) (47*)', '1st Bowler/batters combinations (4)']</t>
  </si>
  <si>
    <t>['9th Most runs in an innings (by batting position) (47*)', '11th Most runs conceded in an innings (101)', '13th Highest partnership for the tenth wicket (64)']</t>
  </si>
  <si>
    <t>['38th Worst career economy rate (7.93)', '1st Bowler/batters combinations (4)', '30th Most wickets taken bowled (12)']</t>
  </si>
  <si>
    <t>['14th Highest partnership for the tenth wicket (23*)']</t>
  </si>
  <si>
    <t>['2nd Best figures in a innings by a captain (6)', '7th Most runs in an innings (by batting position) (44)', '9th Highest partnership for the ninth wicket (44)']</t>
  </si>
  <si>
    <t>['2nd Best figures in a innings by a captain (6)', '47th Highest partnership for the sixth wicket (124*)', '13th Highest partnership for the eighth wicket (95*)']</t>
  </si>
  <si>
    <t>['7th Most runs in an innings (by batting position) (44)', '34th Most innings before first duck (19)', '50th Highest percentage of runs in a completed innings (55.00)', '9th Highest partnership for the ninth wicket (44)']</t>
  </si>
  <si>
    <t>['2nd Most runs in an innings (by batting position) (162*)', '6th Highest career strike rate (155.31)', '1st Most runs from fours and sixes in an innings (140)', '1st Highest partnership for the first wicket (236)']</t>
  </si>
  <si>
    <t>['2nd Most runs in an innings (162*)', '2nd Most runs in an innings (by batting position) (162*)', '6th Highest career strike rate (155.31)', '1st Most sixes in an innings (16)', '31st Most fours in an innings (11)', '1st Most runs from fours and sixes in an innings (140)', '36th Longest individual innings (by balls) (62)', '28th Highest percentage of runs in a completed innings (58.27)', '1st Highest partnerships for any wicket (236)', '1st Highest partnerships by wicket (1st)', '1st Highest partnership for the first wicket (236)', '18th Highest partnership for the third wicket (116)']</t>
  </si>
  <si>
    <t>['6th Most consecutive ducks (3)', '2nd Outstanding bowling analyses in an innings (3/4)', '6th Most wickets taken bowled (22)']</t>
  </si>
  <si>
    <t>['6th Most consecutive ducks (3)', '14th Best figures in a innings when on the losing side (5)', '22nd Best career bowling average (22.54)', '18th Best career strike rate (29.3)', '11th Fastest to 50 wickets (26)']</t>
  </si>
  <si>
    <t>['11th Most runs in an innings (by batting position) (22)', '2nd Outstanding bowling analyses in an innings (3/4)', '6th Most wickets taken bowled (22)']</t>
  </si>
  <si>
    <t>['8th Most consecutive matches missed for a team between appearances (65)']</t>
  </si>
  <si>
    <t>['45th Hundred in last match (200*)', '38th Highest maiden hundred (200*)', '19th Highest partnership for the fourth wicket (307)']</t>
  </si>
  <si>
    <t>['8th Most consecutive matches missed for a team between appearances (65)', '11th Longest intervals between appearances (7y 168d)']</t>
  </si>
  <si>
    <t>['46th Best career bowling average (without qualification) (13.00)', '31st Youngest players (17y 267d)']</t>
  </si>
  <si>
    <t>['20th Most consecutive matches missed for a team between appearances (49)', '43rd Longest intervals between appearances (5y 73d)']</t>
  </si>
  <si>
    <t>['10th Outstanding bowling analyses in an innings (5/11)', '1st Bowler/batters combinations (4)']</t>
  </si>
  <si>
    <t>['15th Best figures in an innings (5/11)', '10th Outstanding bowling analyses in an innings (5/11)', '25th Worst career economy rate (8.22)', '1st Bowler/batters combinations (4)', '24th Most wickets taken lbw (6)', '30th Highest partnership for the ninth wicket (30)']</t>
  </si>
  <si>
    <t>['10th Most byes conceded in an innings (12)', ' Opening the batting and bowling in the same match ']</t>
  </si>
  <si>
    <t>['23rd Highest partnership for the second wicket (218*)', '10th Most byes conceded in an innings (12)']</t>
  </si>
  <si>
    <t>[' 1000 runs and 100 wickets ', ' 1000 runs, 50 wickets and 50 catches ', '1st Most player-of-the-match awards (13)', '1st Most runs in an innings (by batting position) (89)', '10th Most wickets in career (72)', '7th Most four-wickets-in-an-innings in a career (3)', '5th Most balls bowled in career (1618)', '1st Most maidens in an innings (2)', '4th Most runs conceded in career (1944)', '1st Most wickets taken caught and bowled (7)', '5th Most catches in career (45)', '5th Highest partnership for the sixth wicket (86*)']</t>
  </si>
  <si>
    <t>['46th Most sixes in career (89)', '28th Most wickets taken stumped (12)', '41st Highest partnership for the fifth wicket (149)', '23rd Highest partnership for the eighth wicket (86)', '42nd Highest partnership for the tenth wicket (49)', '13th Most consecutive matches for a team (111)']</t>
  </si>
  <si>
    <t>['40th Most runs in career (1396)', '1st Most runs in an innings (by batting position) (89)', '19th Highest career strike rate (145.72)', '25th Highest strike rate in an innings (296.66)', '13th Most consecutive innings without a duck (48)', '31st Fewest ducks in career (18.75)', '12th Most sixes in career (83)', '17th Most sixes in an innings (9)', '29th Most runs from fours and sixes in an innings (78)', '10th Most wickets in career (72)', '30th Most wickets in a calendar year (21)', '15th Outstanding bowling analyses in an innings (4/10)', '14th Best strike rate in an innings (3.5)', '7th Most four-wickets-in-an-innings in a career (3)', '5th Most balls bowled in career (1618)', '4th Most runs conceded in career (1944)', '17th Bowler/batters combinations (3)', '12th Bowler/fielder combinations (8)', '30th Most wickets taken bowled (12)', '8th Most wickets taken caught (48)', '1st Most wickets taken caught and bowled (7)', '6th Most wickets taken caught by a fielder (44)', '14th Most wickets taken lbw (7)', '17th Most wickets taken stumped (5)', '28th Fastest to 50 wickets (48)', '5th Most catches in career (45)', '15th Most catches in an innings (3)', '42nd Highest partnership for the fifth wicket (69*)', '5th Highest partnership for the sixth wicket (86*)', '17th Most matches in career (81)', '8th Most consecutive matches for a team (48*)', '1st Most player-of-the-match awards (13)', '3rd Most maidens in career (5)', '1st Most maidens in an innings (2)']</t>
  </si>
  <si>
    <t>['1st Youngest player to take five-wickets-in-an-innings (16y 325d)']</t>
  </si>
  <si>
    <t>['17th Youngest players (17y 78d)']</t>
  </si>
  <si>
    <t>['18th Best career bowling average (22.04)', '15th Best figures in a innings on debut (4)', '1st Youngest player to take five-wickets-in-an-innings (16y 325d)', '17th Fastest to 50 wickets (27)', '12th Youngest players (16y 252d)']</t>
  </si>
  <si>
    <t>['17th Bowler/batters combinations (3)', '29th Youngest players (16y 314d)']</t>
  </si>
  <si>
    <t>['23rd Highest partnership for the ninth wicket (33)']</t>
  </si>
  <si>
    <t>[' A hundred and four dismissals in an innings ', '1st Most dismissals in an innings (5)', '2nd Most consecutive matches for a team (58)', '5th Most dismissals in career (54)', '6th Most player-of-the-match awards (9)', '9th Most catches in career (26)', '4th Most stumpings in career (28)', '2nd Most runs in an innings by a wicketkeeper (118*)', '8th Most fours in career (218)', '10th Longest individual innings (by balls) (67)', '10th Most stumpings in career (53)']</t>
  </si>
  <si>
    <t>['37th Most runs in an innings by a wicketkeeper (131*)', '44th Most sixes in an innings (8)', '35th Most dismissals in career (88)', '16th Most dismissals in an innings (5)', '39th Most catches in career (63)', '18th Most stumpings in career (25)']</t>
  </si>
  <si>
    <t>['12th Most runs in career (1936)', '15th Most runs in an innings (118*)', '16th Most runs in a calendar year (520)', '11th Most runs in an innings (by batting position) (118*)', '48th Most runs in a match on the losing side (77)', '7th Most runs on a single ground (408)', '2nd Most runs in an innings by a wicketkeeper (118*)', '38th Highest career batting average (31.22)', '15th Most fifties in career (13)', '23rd Most innings before first duck (22)', '36th Most consecutive innings without a duck (34*)', '27th Fewest ducks in career (21.66)', '19th Most sixes in career (72)', '8th Most fours in career (218)', '30th Most sixes in an innings (8)', '14th Most runs from fours and sixes in an innings (88)', '10th Longest individual innings (by balls) (67)', '19th Fastest to 1000 runs (38)', '37th Highest partnership for the second wicket (110)', '43rd Most matches in career (65)', '2nd Most consecutive matches for a team (58)', '6th Most player-of-the-match awards (9)', '5th Most dismissals in career (54)', '1st Most dismissals in an innings (5)', '9th Most catches in career (26)', '13th Most catches in an innings (3)', '4th Most stumpings in career (28)', '32nd Most byes conceded in an innings (5)']</t>
  </si>
  <si>
    <t>['23rd Youngest players (17y 2d)']</t>
  </si>
  <si>
    <t>['10th Most runs in an innings (by batting position) (55*)', '2nd Highest partnership for the fifth wicket (107)']</t>
  </si>
  <si>
    <t>['14th Most runs in an innings (by batting position) (104*)', '24th Most catches in a series (8)']</t>
  </si>
  <si>
    <t>['10th Most runs in an innings (by batting position) (55*)', '23rd Highest career batting average (33.12)', '27th Highest career strike rate (142.28)', '18th Highest strike rate in an innings (310.00)', '12th Most innings before first duck (32)', '42nd Most consecutive innings without a duck (32)', '21st Fewest ducks in career (27)', '33rd Most sixes in career (57)', '26th Most catches in career (31)', '2nd Highest partnership for the fifth wicket (107)', '48th Most matches in career (63)', '12th Most consecutive matches for a team (46*)', '28th Most player-of-the-match awards (5)']</t>
  </si>
  <si>
    <t>['7th Shortest lived players (29y 247d)']</t>
  </si>
  <si>
    <t>['2nd Shortest lived players (29y 247d)']</t>
  </si>
  <si>
    <t>['39th Youngest captains (24y 278d)']</t>
  </si>
  <si>
    <t>['20th Best figures in a innings by a captain (3)', '15th Most catches in an innings (3)', '37th Youngest captains (25y 201d)']</t>
  </si>
  <si>
    <t>['46th Youngest player to score a hundred (21y 221d)', '33rd Highest partnership for the second wicket (205)']</t>
  </si>
  <si>
    <t>[' Hundred on debut (127)', '6th Youngest player to score a hundred (19y 54d)', '10th Most runs in an innings by a wicketkeeper (87)']</t>
  </si>
  <si>
    <t>['48th Most runs in an innings by a wicketkeeper (127)', '2nd Most runs in debut match (127)', '6th Youngest player to score a hundred (19y 54d)', '31st Most sixes in an innings (9)']</t>
  </si>
  <si>
    <t>['10th Most runs in an innings by a wicketkeeper (87)', '24th Highest career strike rate (143.87)', '42nd Most sixes in an innings (7)']</t>
  </si>
  <si>
    <t>['1st Youngest captains (20y 350d)', '5th Best figures in a match by a captain (11)', '1st Youngest captains (19y 165d)', '3rd Outstanding bowling analyses in an innings (7/18)', '1st Best career bowling average (18.57)', '3rd Youngest player to take five-wickets-in-an-innings (18y 178d)', '2nd Most runs conceded in an innings (110)', '1st Fastest to 100 wickets (44)', ' 1000 runs and 100 wickets ', '8th Most consecutive matches for a team (48*)', '5th Youngest captains (20y 359d)', '1st Outstanding bowling analyses in an innings (5/3)', '1st Best career strike rate (12.1)', '1st Most consecutive four-wickets-in-an-innings (2)', '1st Most wickets taken lbw (19)', '2nd Fastest to 50 wickets (31)']</t>
  </si>
  <si>
    <t>['16th Best figures in a innings by a captain (6)', '5th Best figures in a match by a captain (11)', '18th Most consecutive five-wickets-in-an-innings (3)', '47th Youngest player to take five-wickets-in-an-innings (20y 176d)', '16th Youngest player to take ten-wickets-in-a-match (20y 350d)', '19th Most runs conceded in a match (275)', '1st Youngest captains (20y 350d)']</t>
  </si>
  <si>
    <t>['25th Highest career strike rate (103.27)', '4th Best figures in an innings (7/18)', '21st Most wickets in a calendar year (48)', '3rd Outstanding bowling analyses in an innings (7/18)', '1st Best career bowling average (18.57)', '7th Best career strike rate (26.6)', '9th Worst economy rate in an innings (12.22)', '15th Most five-wickets-in-an-innings in a career (4)', '36th Most four-wickets-in-an-innings in a career (9)', '13th Most consecutive four-wickets-in-an-innings (2)', '3rd Youngest player to take five-wickets-in-an-innings (18y 178d)', '2nd Most runs conceded in an innings (110)', '11th Most wickets taken lbw (48)', '32nd Most wickets taken stumped (11)', '11th Fastest to 50 wickets (26)', '1st Fastest to 100 wickets (44)', '25th Youngest players (17y 28d)', '1st Youngest captains (19y 165d)']</t>
  </si>
  <si>
    <t>['32nd Most ducks in career (5)', '4th Most wickets in career (95)', '6th Best figures in an innings (5/3)', '17th Most wickets in a calendar year (23)', '1st Outstanding bowling analyses in an innings (5/3)', '5th Most wickets on a single ground (19)', '1st Best career bowling average (12.63)', '5th Best career economy rate (6.21)', '1st Best career strike rate (12.1)', '2nd Best strike rate in an innings (2.4)', '2nd Most four-wickets-in-an-innings in a career (5)', '1st Most consecutive four-wickets-in-an-innings (2)', '17th Most balls bowled in career (1158)', '28th Most runs conceded in career (1200)', '1st Bowler/batters combinations (4)', '6th Bowler/fielder combinations (9)', '3rd Most wickets taken bowled (32)', '37th Most wickets taken caught (33)', '10th Most wickets taken caught and bowled (4)', '24th Most wickets taken caught by a fielder (31)', '1st Most wickets taken lbw (19)', '4th Most wickets taken stumped (11)', '2nd Fastest to 50 wickets (31)', '19th Highest partnership for the ninth wicket (36)', '8th Most consecutive matches for a team (48*)', '28th Most player-of-the-match awards (5)', '38th Youngest players (17y 36d)', '5th Youngest captains (20y 359d)', '24th Winning all tosses in a series (3)']</t>
  </si>
  <si>
    <t>['41st Fastest to 2000 runs (57)', '34th Best strike rate in an innings (6.6)', '19th Youngest player to take five-wickets-in-an-innings (20y 300d)', '27th Highest partnership for the fifth wicket (158)']</t>
  </si>
  <si>
    <t>['7th Most byes conceded in an innings (13)', '5th Most runs in an innings (by batting position) (35*)']</t>
  </si>
  <si>
    <t>['33rd Highest partnership for the ninth wicket (71*)', '7th Most byes conceded in an innings (13)']</t>
  </si>
  <si>
    <t>['5th Most runs in an innings (by batting position) (35*)', '22nd Highest career strike rate (145.29)', '32nd Most ducks in career (5)', '15th Most catches in an innings (3)', '28th Highest partnership for the tenth wicket (19*)']</t>
  </si>
  <si>
    <t>['43rd Worst career economy rate (7.83)', '22nd Most runs conceded in an innings (60)', '45th Bowler/fielder combinations (6)', '33rd Most wickets taken caught by a wicketkeeper (6)', '19th Most maidens in career (3)', '1st Most maidens in an innings (2)']</t>
  </si>
  <si>
    <t>['2nd Most innings before first duck (70)', '6th Highest partnership for the fifth wicket (98)', '4th Most runs in a career without a hundred (2824)', '2nd Most innings before first duck (90)']</t>
  </si>
  <si>
    <t>['28th Most runs in a career without a hundred (1811)', '2nd Most innings before first duck (70)', '30th Most consecutive innings without a duck (70)', '5th Fewest ducks in career (74)']</t>
  </si>
  <si>
    <t>['41st Most runs in an innings (by batting position) (61)', '46th Highest strike rate in an innings (278.57)', '7th Most innings before first duck (38)', '27th Most consecutive innings without a duck (38)', '19th Fewest ducks in career (28)', '16th Best figures in an innings (5/13)', '11th Outstanding bowling analyses in an innings (5/13)', '30th Most wickets on a single ground (12)', '16th Best career economy rate (6.51)', '16th Most four-wickets-in-an-innings in a career (2)', '45th Bowler/fielder combinations (6)', '14th Most wickets taken lbw (7)', '17th Most wickets taken stumped (5)', '6th Highest partnership for the fifth wicket (98)', '17th Highest partnership for the sixth wicket (74)', '46th Most matches in career (64)', '39th Most consecutive matches for a team (31)']</t>
  </si>
  <si>
    <t>['2nd Youngest player to score a hundred (17y 242d)']</t>
  </si>
  <si>
    <t>['48th Most runs in debut match (70)', '2nd Youngest player to score a hundred (17y 242d)', '35th Youngest players (17y 162d)']</t>
  </si>
  <si>
    <t>['17th No ducks in career (23)', '50th Highest partnership for the second wicket (102)']</t>
  </si>
  <si>
    <t>['24th Youngest players (17y 164d)']</t>
  </si>
  <si>
    <t>['1st Most consecutive ducks (3)', '18th Worst career bowling average (without qualification) (84.66)', '39th Most runs conceded in an innings (45)']</t>
  </si>
  <si>
    <t>['14th Most runs in an innings (by batting position) (29)']</t>
  </si>
  <si>
    <t>['1st Outstanding bowling analyses in an innings (2/0)', '13th Best strike rate in an innings (3.0)', '33rd Highest partnership for the third wicket (84)']</t>
  </si>
  <si>
    <t>['24th Most runs in an innings (111*)', '18th Most runs in an innings (by batting position) (111*)', '42nd Most sixes in an innings (7)', '29th Most runs from fours and sixes in an innings (78)', '34th Highest percentage of runs in a completed innings (57.51)', '8th Best figures in a innings when on the losing side (4)', '4th Best figures in a innings on debut (4)', '47th Highest partnership for the fourth wicket (83)']</t>
  </si>
  <si>
    <t>['1st Most consecutive ducks (3)', '1st Most wickets taken hit wicket (1)']</t>
  </si>
  <si>
    <t>['3rd Highest strike rate in an innings (364.28)']</t>
  </si>
  <si>
    <t>['3rd Highest strike rate in an innings (364.28)', '42nd Most sixes in an innings (7)']</t>
  </si>
  <si>
    <t>['3rd Youngest captains (20y 318d)']</t>
  </si>
  <si>
    <t>['42nd Most sixes in an innings (7)', '3rd Youngest captains (20y 318d)']</t>
  </si>
  <si>
    <t>['13th Highest partnership for the third wicket (123)']</t>
  </si>
  <si>
    <t>['8th Highest partnership for the ninth wicket (29)']</t>
  </si>
  <si>
    <t>['22nd No ducks in career (11)', '21st Best figures in a innings by a captain (3)', '8th Highest partnership for the ninth wicket (29)', '32nd Highest partnership for the tenth wicket (11)', '43rd Most matches as captain (10)']</t>
  </si>
  <si>
    <t>['38th Youngest captains (25y 203d)']</t>
  </si>
  <si>
    <t>['33rd Highest partnership for the fifth wicket (74)']</t>
  </si>
  <si>
    <t>['47th Highest strike rate in an innings (275.00)']</t>
  </si>
  <si>
    <t>['12th Most fours in an innings (12)', '14th Highest partnership for the sixth wicket (77)']</t>
  </si>
  <si>
    <t>['1st Most consecutive ducks (3)', '12th Outstanding bowling analyses in an innings (1/1)', '22nd Best economy rate in an innings (0.50)']</t>
  </si>
  <si>
    <t>['20th Oldest captains (34y 13d)', '22nd Oldest captains on captaincy debut (32y 334d)']</t>
  </si>
  <si>
    <t>['31st Oldest captains (37y 318d)', '18th Captains who have kept wicket (4)', '23rd Oldest captains on captaincy debut (37y 316d)']</t>
  </si>
  <si>
    <t>['27th Worst career bowling average (without qualification) (75.00)', '43rd Oldest captains (36y 266d)', '31st Oldest captains on captaincy debut (36y 264d)']</t>
  </si>
  <si>
    <t>['50th Oldest captains (36y 89d)', '24th Captains who have kept wicket (3)', '36th Oldest captains on captaincy debut (36y 88d)', '20th Most byes conceded in an innings (6)']</t>
  </si>
  <si>
    <t>['33rd Oldest players on debut (41y 347d)', '41st Oldest players (41y 348d)']</t>
  </si>
  <si>
    <t>['42nd Oldest players on debut (41y 37d)']</t>
  </si>
  <si>
    <t>['36th Oldest captains (37y 55d)', '28th Oldest captains on captaincy debut (37y 54d)']</t>
  </si>
  <si>
    <t>['33rd Worst career bowling average (without qualification) (72.00)']</t>
  </si>
  <si>
    <t>['25th Worst career bowling average (without qualification) (77.00)']</t>
  </si>
  <si>
    <t>['50th Worst career bowling average (without qualification) (66.00)', '46th Highest partnership for the ninth wicket (26*)']</t>
  </si>
  <si>
    <t>['6th Best figures in a innings by a captain (4)', '5th Best figures in a innings when on the losing side (4)', '31st Oldest captains on captaincy debut (31y 212d)']</t>
  </si>
  <si>
    <t>['19th Highest partnership for the sixth wicket (52)', '23rd Most byes conceded in an innings (5)']</t>
  </si>
  <si>
    <t>['24th Worst career bowling average (without qualification) (75.00)', '24th Oldest captains on captaincy debut (32y 180d)']</t>
  </si>
  <si>
    <t>['28th Oldest players on debut (39y 203d)', '33rd Oldest players (39y 271d)']</t>
  </si>
  <si>
    <t>['1st Longest intervals between appearances (11y 80d)']</t>
  </si>
  <si>
    <t>['14th Most runs in an innings (by batting position) (37)', '33rd Highest partnership for the ninth wicket (29)']</t>
  </si>
  <si>
    <t>['7th Most runs in an innings (by batting position) (23*)', '9th Highest partnership for the tenth wicket (27*)']</t>
  </si>
  <si>
    <t>['7th Most runs in an innings (by batting position) (23*)', '18th Worst career bowling average (without qualification) (84.00)', '9th Highest partnership for the tenth wicket (27*)']</t>
  </si>
  <si>
    <t>['15th Outstanding bowling analyses in an innings (4/10)', '31st Best strike rate in an innings (4.5)']</t>
  </si>
  <si>
    <t>['5th Highest career strike rate (117.06)']</t>
  </si>
  <si>
    <t>['5th Highest career strike rate (117.06)', '25th Worst career bowling average (without qualification) (129.00)']</t>
  </si>
  <si>
    <t>['9th Shortest lived players (30y 348d)']</t>
  </si>
  <si>
    <t>['4th Best strike rate in an innings (2.8)']</t>
  </si>
  <si>
    <t>['27th Best figures in an innings (5/18)', '16th Best career bowling average (without qualification) (6.00)', '4th Best strike rate in an innings (2.8)', '15th Most catches in an innings (3)']</t>
  </si>
  <si>
    <t>['3rd Oldest player to score a maiden hundred (38y 149d)']</t>
  </si>
  <si>
    <t>['7th Oldest player to score a hundred (38y 149d)', '3rd Oldest player to score a maiden hundred (38y 149d)', '34th Worst career bowling average (without qualification) (119.00)']</t>
  </si>
  <si>
    <t>['20th Oldest living players (50y 127d)']</t>
  </si>
  <si>
    <t>['39th Worst economy rate in an innings (11.00)']</t>
  </si>
  <si>
    <t>['32nd Youngest players (17y 138d)']</t>
  </si>
  <si>
    <t>['7th Oldest player to take a maiden five-wickets-in-an-innings (35y 123d)']</t>
  </si>
  <si>
    <t>['14th Best figures in a innings when on the losing side (5)', '12th Oldest player to take five-wickets-in-an-innings (35y 123d)', '7th Oldest player to take a maiden five-wickets-in-an-innings (35y 123d)', '19th Most runs conceded in an innings (96)']</t>
  </si>
  <si>
    <t>['25th Oldest living players (49y 244d)']</t>
  </si>
  <si>
    <t>['5th Highest partnership for the ninth wicket (45*)']</t>
  </si>
  <si>
    <t>['35th Most runs in an innings (by batting position) (43*)', '5th Highest partnership for the ninth wicket (45*)']</t>
  </si>
  <si>
    <t>[' Opening the batting and bowling in the same match ', '2nd Longest intervals between appearances (11y 13d)']</t>
  </si>
  <si>
    <t>['2nd Longest intervals between appearances (11y 13d)']</t>
  </si>
  <si>
    <t>['20th Oldest player to score a maiden hundred (34y 13d)', '25th Highest partnership for the sixth wicket (134*)', '45th Oldest captains (36y 243d)', '44th Oldest captains on captaincy debut (34y 11d)']</t>
  </si>
  <si>
    <t>['6th Outstanding bowling analyses in an innings (2/2)', '40th Oldest living players (48y 219d)', '40th Oldest captains on captaincy debut (35y 361d)']</t>
  </si>
  <si>
    <t>['21st Most runs in debut match (63)', '15th Most catches in an innings (3)']</t>
  </si>
  <si>
    <t>['10th Worst career bowling average (without qualification) (170.00)']</t>
  </si>
  <si>
    <t>['45th Oldest captains on captaincy debut (35y 68d)']</t>
  </si>
  <si>
    <t>['16th Oldest players on debut (44y 218d)', '18th Oldest players (44y 225d)']</t>
  </si>
  <si>
    <t>['2nd Longest intervals between appearances (11y 13d)', '4th Youngest captains (20y 332d)']</t>
  </si>
  <si>
    <t>['48th Most runs in a career without a hundred (1023)']</t>
  </si>
  <si>
    <t>['23rd Worst career bowling average (without qualification) (130.00)']</t>
  </si>
  <si>
    <t>['3rd Most catches in an innings (3)', '12th Most maidens in an innings (2)']</t>
  </si>
  <si>
    <t>['2nd Fewest ducks in career (99)']</t>
  </si>
  <si>
    <t>['17th Most runs in an innings (by batting position) (100*)', '33rd Highest maiden hundred (141)', '11th Most consecutive innings without a duck (86*)', '2nd Fewest ducks in career (99)', '12th Highest partnership for the ninth wicket (91*)', '45th Most player-of-the-series awards (3)']</t>
  </si>
  <si>
    <t>['8th No ducks in career (37)', '29th Most consecutive innings without a duck (37*)', '12th Highest partnership for the sixth wicket (80*)']</t>
  </si>
  <si>
    <t>['8th Most wickets on a single ground (83)', ' 1000 runs and 100 wickets ', '4th Most runs in a career without a hundred (2943)', '8th Outstanding bowling analyses in an innings (4/8)', ' 1000 runs and 100 wickets ', '3rd Most wickets on a single ground (126)']</t>
  </si>
  <si>
    <t>['14th Most runs in an innings (by batting position) (127*)', '8th Most wickets on a single ground (83)', '11th Worst economy rate in an innings (6.92)', '27th Youngest player to take five-wickets-in-an-innings (19y 268d)', '47th Bowler/fielder combinations (39)', '48th Most wickets taken caught by a wicketkeeper (51)', '41st Fastest to 50 wickets (11)', '14th Highest partnership for the eighth wicket (168)', '24th Most player-of-the-series awards (4)']</t>
  </si>
  <si>
    <t>['10th Most runs in an innings (by batting position) (79*)', '4th Most runs in a career without a hundred (2943)', '29th Most wickets in career (239)', '8th Outstanding bowling analyses in an innings (4/8)', '21st Most wickets on a single ground (43)', '26th Best figures in a innings by a captain (4)', '48th Best economy rate in an innings (1.00)', '43rd Most four-wickets-in-an-innings in a career (8)', '27th Most balls bowled in career (9468)', '24th Most runs conceded in career (7129)', '13th Bowler/fielder combinations (39)', '24th Most wickets taken bowled (57)', '35th Most wickets taken caught (139)', '14th Most wickets taken caught by a wicketkeeper (55)', '17th Most wickets taken lbw (42)', '46th Fastest to 150 wickets (122)', '26th Fastest to 200 wickets (162)', '38th Highest partnership for the eighth wicket (78*)', '39th Most matches as captain (68)', '41st Most consecutive matches as captain of a team (34)']</t>
  </si>
  <si>
    <t>['38th Most runs on a single ground (1153)', '34th Most nineties in career (4)', '6th Most consecutive ducks (3)', '28th Longest individual innings (by balls) (162)']</t>
  </si>
  <si>
    <t>['26th Best figures in an innings (6/20)', '14th Outstanding bowling analyses in an innings (6/20)', '15th Best figures in a innings on debut (4)']</t>
  </si>
  <si>
    <t>['5th Best figures in a innings when on the losing side (8)', ' A hundred and five wickets in an innings ']</t>
  </si>
  <si>
    <t>['5th Best figures in a innings when on the losing side (8)', '40th Best figures in a match when on the losing side (10)', '23rd Most runs conceded in an innings (212)']</t>
  </si>
  <si>
    <t>['43rd Most five-wickets-in-an-innings in a career (2)']</t>
  </si>
  <si>
    <t>['6th Highest partnership for the tenth wicket (29)']</t>
  </si>
  <si>
    <t>['14th Best figures in a innings when on the losing side (5)', '35th Worst career economy rate (5.73)']</t>
  </si>
  <si>
    <t>[' Representing two countries ', '3rd Oldest player to take a maiden five-wickets-in-an-innings (45y 154d)', '2nd Oldest players (45y 312d)', '9th Oldest captains on captaincy debut (40y 146d)', '5th Worst career strike rate (80.2)', ' Representing two countries ']</t>
  </si>
  <si>
    <t>['3rd Oldest player to take five-wickets-in-an-innings (45y 154d)', '3rd Oldest player to take a maiden five-wickets-in-an-innings (45y 154d)', '12th Oldest players (45y 304d)', '6th Longest careers (23y 40d)', '1st Longest intervals between appearances (22y 222d)']</t>
  </si>
  <si>
    <t>['38th Best career economy rate (3.88)', '21st Worst career bowling average (51.94)', '5th Worst career strike rate (80.2)', '2nd Oldest players (45y 312d)', '13th Oldest captains (40y 166d)', '9th Oldest captains on captaincy debut (40y 146d)']</t>
  </si>
  <si>
    <t>[' Hundred in each innings of a match ', '9th Most runs in a series by a wicketkeeper (433)', '6th Most ducks in a series (3)', ' 200 runs and 10 wicketkeeping dismissals in a series ', '4th Longest careers (14y 148d)', '8th Captains who have kept wicket (11)', '6th Most runs on a single ground (3232)']</t>
  </si>
  <si>
    <t>['40th Most runs in a match on the losing side (216)', '49th Youngest players (18y 90d)', '36th Youngest captains (25y 179d)', '27th Captains who have kept wicket (1)']</t>
  </si>
  <si>
    <t>['24th Most runs in a match on the losing side (145*)', '9th Most runs on a single ground (2067)', '37th Most runs in an innings by a captain (138)', '9th Most runs in a series by a wicketkeeper (433)', '27th Most runs in an innings by a wicketkeeper (138)', '41st Most hundreds in a career (11)', '44th Fifties in consecutive innings (4)', '45th Most ducks in career (15)', '6th Most ducks in a series (3)', '37th Most sixes in career (104)', '49th Most fours in career (580)', '44th Most sixes in an innings (8)', '25th Most fours in an innings (20)', '39th Highest percentage of runs in a completed innings (55.41)', '33rd Fastest to 6000 runs (184)', '33rd Highest partnership for the fifth wicket (156)', '33rd Highest partnership for the eighth wicket (81)', '43rd Most consecutive matches for a team (77)', '30th Longest careers (16y 197d)', '14th Captains who have kept wicket (17)', '25th Most dismissals in career (131)', '16th Most dismissals in an innings (5)', '28th Most catches in career (102)', '11th Most catches in an innings (5)', '15th Most stumpings in career (29)']</t>
  </si>
  <si>
    <t>['49th Most runs in an innings by a captain (75*)', '48th Most fifties in career (6)', '32nd Most ducks in career (5)', '43rd Highest partnership for the second wicket (107)', '4th Longest careers (14y 148d)', '38th Most matches as captain (18)', '40th Youngest captains (25y 222d)', '8th Captains who have kept wicket (11)', '20th Most catches in career (17)', '13th Most catches in an innings (3)']</t>
  </si>
  <si>
    <t>['2nd Youngest captains (20y 358d)', '3rd Highest innings total without conceding a bye (713/3d)', '4th Youngest captains (20y 342d)', '7th Most stumpings in a series (5)', '6th Most consecutive ducks (3)', ' 2000 runs and 100 wicketkeeping dismissals ', '4th Highest partnership for the sixth wicket (188)', '3rd Most stumpings in an innings (3)']</t>
  </si>
  <si>
    <t>['41st Most runs in a series by a wicketkeeper (330)', '36th Most runs in an innings by a wicketkeeper (153)', '46th Youngest players (18y 66d)', '2nd Youngest captains (20y 358d)', '13th Captains who have kept wicket (10)', '3rd Highest innings total without conceding a bye (713/3d)']</t>
  </si>
  <si>
    <t>['32nd Most runs on a single ground (1206)', '37th Most ducks in career (16)', '6th Most ducks in a series (3)', '6th Most consecutive ducks (3)', '4th Highest partnership for the sixth wicket (188)', '50th Most consecutive matches for a team (71)', '4th Youngest captains (20y 342d)', '11th Captains who have kept wicket (29)', '22nd Most dismissals in career (145)', '23rd Most catches in career (112)', '11th Most stumpings in career (33)', '7th Most stumpings in a series (5)']</t>
  </si>
  <si>
    <t>['24th Most stumpings in career (5)', '3rd Most stumpings in an innings (3)']</t>
  </si>
  <si>
    <t>['5th Youngest captains (21y 125d)', '6th Most consecutive ducks (3)', ' 1000 runs and 100 wickets ', ' 1000 runs, 50 wickets and 50 catches ', '7th Youngest captains (21y 247d)', '2nd Worst career strike rate (28.8)']</t>
  </si>
  <si>
    <t>['41st Longest intervals between appearances (8y 316d)']</t>
  </si>
  <si>
    <t>['44th Most runs in a career without a hundred (1406)', '37th Most ducks in career (16)', '6th Most consecutive ducks (3)', '14th Most wickets on a single ground (52)', '26th Best figures in a innings by a captain (4)', '14th Best figures in a innings when on the losing side (5)', '46th Worst career bowling average (46.90)', '25th Worst career strike rate (64.4)', '32nd Most balls bowled in career (8571)', '38th Most runs conceded in career (6239)', '35th Most wickets taken caught and bowled (10)', '21st Most wickets taken stumped (16)', '29th Highest partnership for the seventh wicket (107)', '39th Most matches as captain (68)', '48th Most consecutive matches as captain of a team (32)', '5th Youngest captains (21y 125d)']</t>
  </si>
  <si>
    <t>['20th Best figures in a innings by a captain (3)', '30th Best career economy rate (6.87)', '9th Worst career bowling average (33.00)', '2nd Worst career strike rate (28.8)', '7th Youngest captains (21y 247d)', '48th Most consecutive matches as captain of a team (32)']</t>
  </si>
  <si>
    <t>['3rd Best figures in a innings on debut (5)', '2nd Most consecutive five-wickets-in-an-innings (2)', '6th Most runs conceded in an innings (105)']</t>
  </si>
  <si>
    <t>['31st Worst career economy rate (5.77)', '17th Worst economy rate in an innings (11.66)', '3rd Best figures in a innings on debut (5)', '43rd Most five-wickets-in-an-innings in a career (2)', '2nd Most consecutive five-wickets-in-an-innings (2)', '13th Most consecutive four-wickets-in-an-innings (2)', '27th Youngest player to take five-wickets-in-an-innings (21y 171d)', '6th Most runs conceded in an innings (105)']</t>
  </si>
  <si>
    <t>['21st Worst career bowling average (without qualification) (80.75)']</t>
  </si>
  <si>
    <t>['23rd Longest intervals between appearances (10y 84d)']</t>
  </si>
  <si>
    <t>[' 99 not out (and 199, 299 etc) (99*)', '6th Most ducks in a series (3)', '10th Most runs in an innings (by batting position) (68)']</t>
  </si>
  <si>
    <t>['24th Most runs in an innings (by batting position) (92)', '6th Most ducks in a series (3)', '25th Highest partnership for the ninth wicket (76)']</t>
  </si>
  <si>
    <t>['10th Most runs in an innings (by batting position) (68)', '47th Highest career strike rate (138.37)', '36th Highest partnership for the tenth wicket (17*)']</t>
  </si>
  <si>
    <t>['6th Most runs in a career without a hundred (2705)', '2nd Most catches in an innings (4)']</t>
  </si>
  <si>
    <t>['13th Most runs in an innings (by batting position) (188*)']</t>
  </si>
  <si>
    <t>['30th Worst career bowling average (50.02)', '17th Worst career strike rate (68.5)']</t>
  </si>
  <si>
    <t>['46th Oldest players on debut (37y 84d)']</t>
  </si>
  <si>
    <t>['10th Highest partnership for the eighth wicket (187)', ' 1000 runs, 50 wickets and 50 catches ', '4th Longest careers (14y 148d)', '9th Worst career strike rate (25.5)']</t>
  </si>
  <si>
    <t>['45th Hundred in last match (151*)', '21st Hundreds in consecutive matches (3)', '14th No ducks in career (27)', '39th Worst career bowling average (51.04)', '10th Highest partnership for the eighth wicket (187)']</t>
  </si>
  <si>
    <t>['44th Most runs on a single ground (1046)', '14th Hundred in last match (118*)', '17th Highest percentage of runs in a completed innings (59.30)', '37th Worst career bowling average (47.90)', '50th Highest partnership for the fifth wicket (145*)', '43rd Highest partnership for the ninth wicket (67)', '46th Longest careers (15y 252d)']</t>
  </si>
  <si>
    <t>['38th Highest strike rate in an innings (283.33)', '48th Most fifties in career (6)', '20th Best figures in a innings by a captain (3)', '16th Worst career bowling average (31.03)', '9th Worst career strike rate (25.5)', '49th Most balls bowled in career (816)', '4th Longest careers (14y 148d)', '16th Longest intervals between appearances (6y 164d)']</t>
  </si>
  <si>
    <t>['44th Most runs in an innings (172*)']</t>
  </si>
  <si>
    <t>['8th Longest intervals between appearances (9y 140d)', '8th Outstanding bowling analyses in an innings (1/1)', '1st Best career bowling average (without qualification) (1.00)']</t>
  </si>
  <si>
    <t>['8th Longest intervals between appearances (9y 140d)', '16th Most consecutive matches missed for a team between appearances (166)']</t>
  </si>
  <si>
    <t>['8th Outstanding bowling analyses in an innings (1/1)', '1st Best career bowling average (without qualification) (1.00)', '32nd Most consecutive matches missed for a team between appearances (42)', '13th Longest intervals between appearances (6y 289d)']</t>
  </si>
  <si>
    <t>['21st Most runs in an innings (by batting position) (27)', '1st Most consecutive ducks (3)', '17th Bowler/batters combinations (3)']</t>
  </si>
  <si>
    <t>['36th Fastest to 1000 runs (28)']</t>
  </si>
  <si>
    <t>['2nd Outstanding bowling analyses in an innings (5/6)', ' Opening the batting and bowling in the same match ']</t>
  </si>
  <si>
    <t>['2nd Outstanding bowling analyses in an innings (5/6)', '29th Best strike rate in an innings (6.2)', '22nd Youngest player to take five-wickets-in-an-innings (20y 330d)']</t>
  </si>
  <si>
    <t>['39th Most runs in an innings (by batting position) (30*)', '30th Most wickets on a single ground (12)', '42nd Longest intervals between appearances (5y 89d)']</t>
  </si>
  <si>
    <t>['18th Longest intervals between appearances (7y 282d)']</t>
  </si>
  <si>
    <t>['29th Oldest player to take five-wickets-in-an-innings (33y 146d)', '18th Oldest player to take a maiden five-wickets-in-an-innings (33y 146d)']</t>
  </si>
  <si>
    <t>['27th Most runs conceded in an innings (95)', '19th Highest partnership for the tenth wicket (60)']</t>
  </si>
  <si>
    <t>['6th Most runs in an innings by a wicketkeeper (75*)']</t>
  </si>
  <si>
    <t>['46th Most runs in a calendar year (355)', '6th Most runs in an innings by a wicketkeeper (75*)', '13th No ducks in career (13)', '14th Highest partnership for the third wicket (107*)', '23rd Most byes conceded in an innings (5)']</t>
  </si>
  <si>
    <t>[' Carrying bat through a completed innings (163*)']</t>
  </si>
  <si>
    <t>['10th Most runs in a career without a hundred (2651)']</t>
  </si>
  <si>
    <t>['20th Worst career bowling average (without qualification) (172.50)']</t>
  </si>
  <si>
    <t>['12th Most runs in a career without a hundred (2224)']</t>
  </si>
  <si>
    <t>['16th Worst career bowling average (without qualification) (157.00)']</t>
  </si>
  <si>
    <t>['30th Outstanding bowling analyses in an innings (4/9)', '13th Most four-wickets-in-an-innings in a career (2)']</t>
  </si>
  <si>
    <t>['7th Most pairs in career (3)', '1st Best figures in a innings when on the losing side (6)', '2nd Most runs in an innings (by batting position) (17*)', '5th Worst career economy rate (8.94)', '4th Most consecutive ducks (4)']</t>
  </si>
  <si>
    <t>['38th Most wickets on a single ground (35)', '1st Best figures in a innings when on the losing side (6)']</t>
  </si>
  <si>
    <t>['2nd Most runs in an innings (by batting position) (17*)', '15th Worst career bowling average (31.36)', '5th Worst career economy rate (8.94)', '48th Most runs conceded in career (1035)', '26th Most runs conceded in an innings (59)', '43rd Most wickets taken caught by a fielder (26)', '49th Longest careers (11y 153d)']</t>
  </si>
  <si>
    <t>['2nd Most maidens in an innings (3)']</t>
  </si>
  <si>
    <t>['11th Most wickets in a calendar year (23)', '26th Outstanding bowling analyses in an innings (2/3)', '30th Best career bowling average (without qualification) (6.21)', '27th Most maidens in career (6)', '2nd Most maidens in an innings (3)']</t>
  </si>
  <si>
    <t>[' Hundred on debut (119)', '4th Youngest player to score a hundred (17y 352d)', '10th Most runs on a single ground (1892)', ' 5000 runs and 50 fielding dismissals ', '5th Highest partnership for the eighth wicket (104)', '1st Most innings before first duck (61)', '8th Most runs on a single ground (3058)']</t>
  </si>
  <si>
    <t>['31st Most runs in a match on the losing side (219)', '4th Youngest player to score a hundred (17y 352d)', '35th Youngest players (17y 352d)']</t>
  </si>
  <si>
    <t>['29th Most runs in an innings (178*)', '10th Most runs on a single ground (1892)', '45th Most ducks in career (15)', '47th Most fours in career (585)', '13th Longest individual innings (by balls) (167)', '26th Highest partnership for the first wicket (224)', '5th Highest partnership for the eighth wicket (104)', '18th Longest careers (17y 287d)', '30th Youngest captains (24y 171d)']</t>
  </si>
  <si>
    <t>['25th Most runs in career (1662)', '36th Most runs in a calendar year (411)', '40th Most runs in a match on the losing side (79)', '50th Most runs on a single ground (266)', '20th Most fifties in career (11)', '1st Most innings before first duck (61)', '7th Most consecutive innings without a duck (61)', '4th Fewest ducks in career (66)', '27th Most sixes in career (65)', '21st Most fours in career (151)', '29th Longest individual innings (by balls) (63)', '19th Fastest to 1000 runs (38)', '40th Most catches in career (25)', '15th Most catches in an innings (3)', '14th Highest partnership for the sixth wicket (77)', '42nd Most matches in career (66)', '22nd Most consecutive matches for a team (38)', '19th Longest careers (12y 296d)', '35th Most matches as captain (19)']</t>
  </si>
  <si>
    <t>['4th Most runs in an innings (by batting position) (25)']</t>
  </si>
  <si>
    <t>['4th Most runs in an innings (by batting position) (25)', '19th Highest partnership for the tenth wicket (22)']</t>
  </si>
  <si>
    <t>['6th Most consecutive ducks (3)', '1st Most wickets taken hit wicket (1)']</t>
  </si>
  <si>
    <t>['17th Bowler/batters combinations (3)', '33rd Most wickets taken caught by a wicketkeeper (6)', '1st Most wickets taken hit wicket (1)']</t>
  </si>
  <si>
    <t>['31st No ducks in career (19)', '11th Highest partnership for the eighth wicket (53)']</t>
  </si>
  <si>
    <t>['5th Shortest lived players (24y 201d)']</t>
  </si>
  <si>
    <t>['4th Shortest lived players (24y 201d)']</t>
  </si>
  <si>
    <t>['25th Most runs in an innings (by batting position) (60)', '22nd No ducks in career (11)', '49th Highest partnership for the fifth wicket (50)', '33rd Most matches as captain (14)']</t>
  </si>
  <si>
    <t>['4th Most consecutive ducks (4)', '1st Worst career strike rate (124.4)', '4th Most consecutive ducks (4)']</t>
  </si>
  <si>
    <t>['1st Worst career bowling average (103.63)', '1st Worst career strike rate (124.4)', '50th Worst career bowling average (without qualification) (103.63)']</t>
  </si>
  <si>
    <t>['19th Most runs in an innings (by batting position) (28)', '43rd Worst career bowling average (without qualification) (68.00)']</t>
  </si>
  <si>
    <t>['34th Outstanding bowling analyses in an innings (3/5)', '41st Most maidens in career (5)', '12th Most maidens in an innings (2)']</t>
  </si>
  <si>
    <t>['4th Most runs in an innings (by batting position) (56*)']</t>
  </si>
  <si>
    <t>['6th Most ducks in a series (3)', '24th Fastest to 50 wickets (28)']</t>
  </si>
  <si>
    <t>['11th Worst career bowling average (without qualification) (94.00)']</t>
  </si>
  <si>
    <t>['36th Worst economy rate in an innings (11.14)']</t>
  </si>
  <si>
    <t>['40th Highest partnership for the second wicket (93)']</t>
  </si>
  <si>
    <t>['12th Worst career bowling average (61.83)', '29th Worst career strike rate (119.6)', '25th Youngest captains (24y 342d)']</t>
  </si>
  <si>
    <t>['40th Youngest captains (24y 329d)']</t>
  </si>
  <si>
    <t>['36th Highest partnership for the eighth wicket (80)']</t>
  </si>
  <si>
    <t>[' Opening the batting and bowling in the same match ', '3rd Worst career bowling average (without qualification) (115.00)']</t>
  </si>
  <si>
    <t>['12th Most runs in a match on the losing side (94)', '29th Longest individual innings (by balls) (63)', '29th Highest percentage of runs in a completed innings (58.02)', '3rd Worst career bowling average (without qualification) (115.00)']</t>
  </si>
  <si>
    <t>['5th Most dismissals in an innings (4)', '3rd Most catches in an innings (4)', '3rd Most stumpings in an innings (3)', '8th Most byes conceded in an innings (8)', '6th Highest partnership for the eighth wicket (58)']</t>
  </si>
  <si>
    <t>['13th Most runs in an innings (by batting position) (54)', '45th Highest partnership for the sixth wicket (62)', '6th Highest partnership for the eighth wicket (58)', '23rd Most dismissals in career (20)', '5th Most dismissals in an innings (4)', '25th Most catches in career (16)', '3rd Most catches in an innings (4)', '3rd Most stumpings in an innings (3)', '8th Most byes conceded in an innings (8)']</t>
  </si>
  <si>
    <t>['19th Most runs conceded in an innings (96)']</t>
  </si>
  <si>
    <t>['33rd Most wickets taken caught by a wicketkeeper (6)']</t>
  </si>
  <si>
    <t>['3rd Worst career bowling average (71.36)']</t>
  </si>
  <si>
    <t>['3rd Worst career bowling average (71.36)', '14th Worst career economy rate (5.95)', '10th Worst career strike rate (71.9)', '36th Youngest players (17y 179d)']</t>
  </si>
  <si>
    <t>['41st Worst career bowling average (without qualification) (138.50)']</t>
  </si>
  <si>
    <t>['16th Worst career bowling average (without qualification) (90.00)']</t>
  </si>
  <si>
    <t>['39th Worst career economy rate (3.49)']</t>
  </si>
  <si>
    <t>['1st Most consecutive ducks (4)', '24th Best figures in an innings (6/19)', '12th Outstanding bowling analyses in an innings (6/19)', '32nd Worst career economy rate (5.76)', '43rd Most five-wickets-in-an-innings in a career (2)', '45th Highest partnership for the tenth wicket (47)']</t>
  </si>
  <si>
    <t>['4th Most matches as a match referee (80)']</t>
  </si>
  <si>
    <t>['6th Most matches as a match referee (181)']</t>
  </si>
  <si>
    <t>['4th Most matches as a match referee (97)']</t>
  </si>
  <si>
    <t>['6th Most consecutive ducks (3)', '8th Best figures in a innings when on the losing side (4)']</t>
  </si>
  <si>
    <t>['45th Longest intervals between appearances (8y 228d)']</t>
  </si>
  <si>
    <t>['6th Most ducks in a series (3)', '6th Most consecutive ducks (3)', '49th Worst career bowling average (46.52)']</t>
  </si>
  <si>
    <t>['14th Most balls bowled in an innings (474)', '36th Most runs conceded in an innings (199)']</t>
  </si>
  <si>
    <t>['46th Most wickets in a calendar year (44)', '14th Best economy rate in an innings (0.70)', '32nd Most wickets taken stumped (11)']</t>
  </si>
  <si>
    <t>['10th Most maidens in career (4)', '1st Most maidens in an innings (2)']</t>
  </si>
  <si>
    <t>['43rd Most five-wickets-in-an-innings in a career (2)', '23rd Oldest player to take five-wickets-in-an-innings (33y 328d)', '14th Oldest player to take a maiden five-wickets-in-an-innings (33y 304d)']</t>
  </si>
  <si>
    <t>['19th Most runs in an innings (by batting position) (57*)', '24th No ducks in career (21)', '11th Highest partnership for the sixth wicket (81*)']</t>
  </si>
  <si>
    <t>['36th Most sixes in an innings (6)', '14th Worst career economy rate (3.71)', '33rd Best figures in a match on debut (8)']</t>
  </si>
  <si>
    <t>['18th Highest career strike rate (106.28)', '19th Most runs conceded in an innings (96)']</t>
  </si>
  <si>
    <t>['16th Highest partnership for the fourth wicket (202)']</t>
  </si>
  <si>
    <t>['8th Most runs in a career without a hundred (2418)', '1st Dismissed for 99 (and 199, 299 etc) (99)', '9th Unusual dismissals (handled the bal)', ' Opening the batting and bowling in the same match ', '7th Longest careers (13y 348d)', '3rd Most catches by a substitute in an innings (2)', '2nd Most runs in a career without a hundred (3209)']</t>
  </si>
  <si>
    <t>['28th Worst career bowling average (without qualification) (162.00)']</t>
  </si>
  <si>
    <t>['8th Most runs in a career without a hundred (2418)', '1st Dismissed for 99 (and 199, 299 etc) (99)', '9th Unusual dismissals (handled the bal)', '48th Worst career bowling average (46.60)', '26th Worst career economy rate (5.82)']</t>
  </si>
  <si>
    <t>['27th Most runs on a single ground (311)', '29th Most innings before first duck (20)', '43rd Most runs conceded in an innings (56)', '3rd Most catches by a substitute in an innings (2)', '7th Longest careers (13y 348d)']</t>
  </si>
  <si>
    <t>['1st Outstanding bowling analyses in an innings (4/4)']</t>
  </si>
  <si>
    <t>['1st Outstanding bowling analyses in an innings (4/4)', '21st Best figures in a match by a captain (9)', '28th Best strike rate in an innings (8.0)', '18th Worst career economy rate (3.70)', '19th Most runs conceded in a match (275)']</t>
  </si>
  <si>
    <t>['39th Most wickets on a single ground (34)', '6th Best figures in a innings by a captain (5)', '14th Best figures in a innings when on the losing side (5)', '25th Most five-wickets-in-an-innings in a career (3)', '26th Most wickets taken stumped (13)', '38th Most consecutive matches as captain of a team (35)']</t>
  </si>
  <si>
    <t>['17th Best career bowling average (18.85)', '38th Best career economy rate (6.94)', '23rd Best career strike rate (16.2)', '24th Most wickets taken lbw (6)', '37th Most consecutive matches as captain of a team (35)']</t>
  </si>
  <si>
    <t>['1st Most runs in a match on the losing side (194*)', '1st Highest maiden hundred (194*)', '8th Highest percentage of runs in a completed innings (62.17)', '8th Most byes conceded in an innings (8)']</t>
  </si>
  <si>
    <t>['9th Most runs in an innings (194*)', '9th Most runs in an innings (progressive record holder) (194*)', '1st Most runs in an innings (by batting position) (194*)', '1st Most runs in a match on the losing side (194*)', '1st Highest maiden hundred (194*)', '38th Most runs from fours and sixes in an innings (106)', '8th Highest percentage of runs in a completed innings (62.17)']</t>
  </si>
  <si>
    <t>['16th Most dismissals in an innings (5)', '11th Most catches in an innings (5)', '1st Most stumpings in an innings (3)']</t>
  </si>
  <si>
    <t>['38th Most runs in an innings (by batting position) (42*)', '32nd Most ducks in career (5)', '49th Highest partnership for the seventh wicket (45)', '24th Longest careers (12y 195d)']</t>
  </si>
  <si>
    <t>['2nd Most catches in an innings (4)', ' 1000 runs and 100 wickets ', ' 1000 runs, 50 wickets and 50 catches ', '4th Highest partnership for the eighth wicket (115)', '7th Longest careers (13y 348d)', '8th Best figures in a innings when on the losing side (4)']</t>
  </si>
  <si>
    <t>['11th Youngest player to take five-wickets-in-an-innings (18y 298d)', '45th Youngest players (18y 53d)']</t>
  </si>
  <si>
    <t>['26th Most runs on a single ground (1286)', '30th Most ducks in career (17)', '36th Most sixes in career (106)', '48th Highest percentage of runs in a completed innings (54.54)', '19th Worst career economy rate (5.91)', '42nd Most runs conceded in an innings (92)', '2nd Most catches in an innings (4)', '16th Highest partnership for the seventh wicket (114)', '4th Highest partnership for the eighth wicket (115)', '49th Highest partnership for the tenth wicket (46)', '50th Most consecutive matches for a team (71)', '43rd Most matches as captain (62)', '27th Youngest captains (24y 75d)']</t>
  </si>
  <si>
    <t>['12th Most runs in an innings (by batting position) (54*)', '34th Most runs on a single ground (297)', '36th Highest career strike rate (140.62)', '29th Most innings before first duck (20)', '13th Most ducks in career (6)', '37th Most sixes in career (53)', '42nd Most sixes in an innings (7)', '8th Best figures in a innings when on the losing side (4)', '28th Highest partnership for the ninth wicket (31)', '7th Longest careers (13y 348d)', '38th Most matches as captain (18)', '25th Youngest captains (24y 90d)']</t>
  </si>
  <si>
    <t>['9th Most consecutive matches for a team (121)', '5th Most consecutive matches as captain of a team (76)', ' 99 not out (and 199, 299 etc) (99*)', ' 5000 runs and 50 fielding dismissals ', '5th Most consecutive matches as captain of a team (76)', '5th Most consecutive matches for a team (159)', '4th Most consecutive matches as captain of a team (95)']</t>
  </si>
  <si>
    <t>['46th Dismissed for 99 (and 199, 299 etc) (99)', '45th Most consecutive matches for a team (56)', '17th Youngest captains (23y 354d)']</t>
  </si>
  <si>
    <t>['50th Highest maiden hundred (131*)', '9th Most consecutive matches for a team (121)', '27th Most matches as captain (86)', '5th Most consecutive matches as captain of a team (76)', '22nd Youngest captains (23y 338d)']</t>
  </si>
  <si>
    <t>['5th Most consecutive matches as captain of a team (76)']</t>
  </si>
  <si>
    <t>[' Carrying bat through a completed innings (68*)']</t>
  </si>
  <si>
    <t>['35th Most runs in debut match (79)', '20th No ducks in career (22)']</t>
  </si>
  <si>
    <t>['23rd Youngest captains (23y 342d)']</t>
  </si>
  <si>
    <t>['49th Worst career bowling average (without qualification) (130.00)']</t>
  </si>
  <si>
    <t>[' 250 runs and 10 wickets in a series ']</t>
  </si>
  <si>
    <t>['31st Youngest player to score a hundred (21y 49d)', '40th Worst career economy rate (5.67)']</t>
  </si>
  <si>
    <t>['38th Hundred in last match (107)']</t>
  </si>
  <si>
    <t>['2nd Most catches in an innings (4)', '24th Most catches in a series (8)']</t>
  </si>
  <si>
    <t>['15th Most catches in an innings (3)', '24th Highest partnership for the third wicket (111*)']</t>
  </si>
  <si>
    <t>['33rd Most runs in a career without a hundred (1225)']</t>
  </si>
  <si>
    <t>['37th Youngest player to score a hundred (21y 110d)']</t>
  </si>
  <si>
    <t>['5th Captains who have kept wicket (16)', '1st Most runs in an innings by a wicketkeeper (232*)', ' Hundred in each innings of a match ', ' 99 not out (and 199, 299 etc) (199*)', '1st Fifties in consecutive innings (7)', ' 2000 runs and 100 wicketkeeping dismissals ', '2nd Most consecutive matches for a team (172)', '2nd Captains who have kept wicket and opened the batting (12)', ' Hundred on debut (115*)', ' 99 not out (and 199, 299 etc) (99*)', ' 2000 runs and 100 wicketkeeping dismissals ', '3rd Highest partnership for the seventh wicket (130)', '2nd Most consecutive matches for a team (224)']</t>
  </si>
  <si>
    <t>['19th Most runs in a match (341)', '11th Most runs in an innings (by batting position) (232*)', '2nd Most runs in a match on the losing side (341)', '13th Most runs on a single ground (1535)', '2nd Most runs in a series by a wicketkeeper (540)', '1st Most runs in an innings by a wicketkeeper (232*)', '33rd Highest career batting average (51.54)', '1st Fifties in consecutive innings (7)', '48th Fastest to 4000 runs (93)', '31st Highest partnership for the tenth wicket (97*)', '38th Youngest captains (25y 217d)', '5th Captains who have kept wicket (16)', '31st Most dismissals in career (151)', '30th Most catches in career (142)', '14th Highest innings total without conceding a bye (609/6d)']</t>
  </si>
  <si>
    <t>['48th Most runs in career (6786)', '17th Most runs in an innings (by batting position) (142*)', '23rd Most runs in a match on the losing side (145)', '24th Most runs on a single ground (1291)', '15th Most runs in a series by a wicketkeeper (375)', '17th Most runs in an innings by a wicketkeeper (145)', '6th Most runs in debut match (115*)', '32nd Most fifties in career (59)', '11th Fifties in consecutive innings (5)', '21st Longest individual innings (by balls) (164)', '42nd Fastest to 6000 runs (193)', '37th Highest partnership for the fifth wicket (153*)', '3rd Highest partnership for the seventh wicket (130)', '2nd Most consecutive matches for a team (172)', '25th Winning all tosses in a series (6)', '3rd Captains who have kept wicket (46)', '2nd Captains who have kept wicket and opened the batting (12)', '18th Most dismissals in career (165)', '16th Most dismissals in an innings (5)', '19th Most catches in career (133)', '11th Most catches in an innings (5)', '12th Most stumpings in career (32)']</t>
  </si>
  <si>
    <t>['26th Best figures in a innings by a captain (4)', '15th Best figures in a innings on debut (4)', '34th Oldest captains on captaincy debut (34y 255d)']</t>
  </si>
  <si>
    <t>['35th Worst career bowling average (48.08)']</t>
  </si>
  <si>
    <t>[' Hundred in each innings of a match ', ' Carrying bat through a completed innings (156*)', '5th Most runs in an innings (by batting position) (142*)', '2nd Most nineties in career (9)', ' Carrying bat through a completed innings (84*)', ' 1000 runs and 100 wickets ', ' 1000 runs, 50 wickets and 50 catches ', ' 5000 runs and 50 fielding dismissals ']</t>
  </si>
  <si>
    <t>['46th Most runs on a single ground (1218)', '33rd Highest maiden hundred (201*)', '34th Longest individual innings (by balls) (523)', '13th Worst career bowling average (61.48)', '14th Worst career strike rate (135.1)', '30th Highest partnership for the fourth wicket (269)', '40th Highest partnership for the fifth wicket (233*)']</t>
  </si>
  <si>
    <t>['5th Most runs in an innings (by batting position) (142*)', '41st Most runs on a single ground (1099)', '2nd Most nineties in career (9)', '24th Most ducks in career (18)', '47th Fastest to 3000 runs (90)', '44th Fastest to 6000 runs (196)', '19th Most wickets taken caught and bowled (12)', '43rd Most catches in career (86)', '49th Highest partnership for the tenth wicket (46)', '14th Longest careers (17y 357d)', '43rd Longest intervals between appearances (6y 215d)', '45th Most consecutive matches missed for a team between appearances (124)']</t>
  </si>
  <si>
    <t>[' Hundred and a duck in a match ', '9th Highest partnership for the fifth wicket (186*)']</t>
  </si>
  <si>
    <t>['27th Hundred in last match (148*)', '19th Highest partnership for the fifth wicket (277*)']</t>
  </si>
  <si>
    <t>['6th Fewest ducks in career (70)', '9th Highest partnership for the fifth wicket (186*)', '50th Most consecutive matches for a team (71)']</t>
  </si>
  <si>
    <t>['16th Best career bowling average (without qualification) (4.88)', '12th Best figures in a innings on debut (3)', '2nd Most maidens in an innings (3)']</t>
  </si>
  <si>
    <t>['29th Best economy rate in an innings (0.85)']</t>
  </si>
  <si>
    <t>[' Hundred on debut (121)', '5th No ducks in career (36)', '3rd Highest partnership for the eighth wicket (117)']</t>
  </si>
  <si>
    <t>['35th Most runs in debut match (162)', '23rd Oldest player to score a maiden hundred (35y 117d)', '5th No ducks in career (36)', '38th Longest individual innings (by minutes) (675)', '25th Longest individual innings (by balls) (541)']</t>
  </si>
  <si>
    <t>['28th Most runs in a match on the losing side (142)', '22nd Most runs in an innings by a wicketkeeper (142)', '31st Highest maiden hundred (142)', '15th Highest percentage of runs in a completed innings (59.41)', '3rd Highest partnership for the eighth wicket (117)', '41st Oldest players (40y 104d)', '36th Oldest captains on captaincy debut (34y 245d)']</t>
  </si>
  <si>
    <t>['50th Most runs conceded in a match (255)']</t>
  </si>
  <si>
    <t>['10th Outstanding bowling analyses in an innings (2/1)', '19th Best economy rate in an innings (0.33)', '33rd Best strike rate in an innings (4.0)', '12th Most maidens in an innings (2)']</t>
  </si>
  <si>
    <t>['8th Oldest players on debut (42y 284d)']</t>
  </si>
  <si>
    <t>['8th Oldest players on debut (42y 284d)', '11th Oldest players (42y 284d)']</t>
  </si>
  <si>
    <t>['10th Worst career bowling average (without qualification) (102.00)']</t>
  </si>
  <si>
    <t>['11th Most runs in an innings (by batting position) (46*)', '27th Oldest players on debut (34y 161d)']</t>
  </si>
  <si>
    <t>['34th Oldest players on debut (33y 158d)']</t>
  </si>
  <si>
    <t>['22nd Highest percentage of runs in a completed innings (58.88)']</t>
  </si>
  <si>
    <t>['8th Outstanding bowling analyses in an innings (3/5)', '1st Most maidens in an innings (2)']</t>
  </si>
  <si>
    <t>['8th Outstanding bowling analyses in an innings (3/5)', '45th Best career bowling average (without qualification) (8.75)', '1st Most maidens in an innings (2)']</t>
  </si>
  <si>
    <t>['33rd Worst career bowling average (without qualification) (120.00)', '41st Highest partnership for the tenth wicket (49*)', '45th Oldest players on debut (37y 33d)']</t>
  </si>
  <si>
    <t>['35th Most runs in an innings (by batting position) (31)']</t>
  </si>
  <si>
    <t>['18th Oldest players on debut (40y 25d)', '46th Oldest players (40y 28d)']</t>
  </si>
  <si>
    <t>['16th Oldest players on debut (40y 318d)', '30th Oldest players (40y 321d)']</t>
  </si>
  <si>
    <t>[' Representing two countries ', '6th Most runs in an innings (by batting position) (157*)', '9th Most sixes in an innings (12)', '10th Unusual dismissals (obstructing the)', ' Representing two countries ']</t>
  </si>
  <si>
    <t>['6th Most runs in an innings (by batting position) (157*)', '14th Highest maiden hundred (157*)', '9th Most sixes in an innings (12)', '22nd Most runs from fours and sixes in an innings (116)', '10th Unusual dismissals (obstructing the)', '5th Longest intervals between appearances (10y 110d)']</t>
  </si>
  <si>
    <t>['4th Longest intervals between appearances (9y 269d)']</t>
  </si>
  <si>
    <t>['42nd Most wickets in a series (18)', '6th Best figures in a innings by a captain (5)']</t>
  </si>
  <si>
    <t>['35th Oldest players on debut (38y 84d)']</t>
  </si>
  <si>
    <t>['8th Best figures in a innings when on the losing side (4)', '47th Highest partnership for the tenth wicket (15*)']</t>
  </si>
  <si>
    <t>['9th Oldest players on debut (42y 154d)']</t>
  </si>
  <si>
    <t>['9th Oldest players on debut (42y 154d)', '16th Oldest players (42y 157d)']</t>
  </si>
  <si>
    <t>['15th Most runs in debut match (47*)', '35th Oldest players on debut (38y 257d)', '42nd Oldest players (39y 5d)']</t>
  </si>
  <si>
    <t>['28th Worst career economy rate (3.56)']</t>
  </si>
  <si>
    <t>['6th Highest strike rate in an innings (357.14)']</t>
  </si>
  <si>
    <t>['6th Captains who have kept wicket (8)']</t>
  </si>
  <si>
    <t>['19th Highest partnership for the fifth wicket (65)', '6th Captains who have kept wicket (8)', '38th Oldest captains on captaincy debut (30y 273d)', '23rd Most byes conceded in an innings (5)']</t>
  </si>
  <si>
    <t>['30th Oldest captains on captaincy debut (34y 290d)']</t>
  </si>
  <si>
    <t>['13th Most runs in debut match (72)']</t>
  </si>
  <si>
    <t>[' Representing two countries ', '6th Most ducks in a series (3)', '9th Most runs in an innings (by batting position) (31*)', ' Representing two countries ']</t>
  </si>
  <si>
    <t>['6th Most ducks in a series (3)', '10th Longest intervals between appearances (8y 315d)']</t>
  </si>
  <si>
    <t>['9th Most runs in an innings (by batting position) (31*)']</t>
  </si>
  <si>
    <t>['1st Longest lived players (2019y ?d)']</t>
  </si>
  <si>
    <t>['32nd Oldest living players (79y 119d)']</t>
  </si>
  <si>
    <t>['22nd Oldest living players (80y ?d)']</t>
  </si>
  <si>
    <t>['12th Most maidens in an innings (2)']</t>
  </si>
  <si>
    <t>['15th Most wickets on a single ground (16)', '17th Bowler/batters combinations (3)', '45th Bowler/fielder combinations (6)', '17th Most wickets taken stumped (5)']</t>
  </si>
  <si>
    <t>['4th Most runs on a single ground (464)']</t>
  </si>
  <si>
    <t>['33rd Most runs in a calendar year (415)', '4th Most runs on a single ground (464)', '28th Highest career batting average (32.04)', '48th Most fifties in career (6)', '20th Outstanding bowling analyses in an innings (2/4)', '26th Highest partnership for the sixth wicket (69*)']</t>
  </si>
  <si>
    <t>['43rd Most wickets on a single ground (11)', '17th Bowler/batters combinations (3)']</t>
  </si>
  <si>
    <t>['1st Youngest captains (20y 190d)', '10th Most runs on a single ground (381)']</t>
  </si>
  <si>
    <t>['19th Most runs in an innings (by batting position) (87)', '26th Most runs in a match on the losing side (87)', '10th Most runs on a single ground (381)', '48th Highest partnership for the eighth wicket (34)', '1st Youngest captains (20y 190d)', '33rd Captains who have kept wicket (1)', '9th Captains who have kept wicket and opened the batting (1)']</t>
  </si>
  <si>
    <t>['37th Highest partnership for the fifth wicket (55*)']</t>
  </si>
  <si>
    <t>['28th Most runs on a single ground (310)', '40th Most innings before first duck (17)', '29th Most matches as captain (22)', '25th Winning all tosses in a series (4)']</t>
  </si>
  <si>
    <t>['32nd Most ducks in career (5)']</t>
  </si>
  <si>
    <t>['9th Most wickets taken lbw (8)']</t>
  </si>
  <si>
    <t>['17th Outstanding bowling analyses in an innings (3/7)', '9th Most wickets taken lbw (8)']</t>
  </si>
  <si>
    <t>['8th Most runs in an innings (by batting position) (37*)']</t>
  </si>
  <si>
    <t>['21st Best figures in a innings by a captain (3)', '22nd Best economy rate in an innings (0.50)', '49th Highest partnership for the second wicket (84)', '25th Most matches as captain (18)']</t>
  </si>
  <si>
    <t>['21st Best figures in a innings by a captain (3)', '20th Oldest captains on captaincy debut (33y 30d)']</t>
  </si>
  <si>
    <t>['47th No ducks in career (14)', '11th Most wickets on a single ground (17)']</t>
  </si>
  <si>
    <t>['27th Outstanding bowling analyses in an innings (1/2)']</t>
  </si>
  <si>
    <t>['3rd Outstanding bowling analyses in an innings (5/4)', '2nd Best strike rate in an innings (2.4)', '1st Best figures in a innings on debut (5)']</t>
  </si>
  <si>
    <t>['8th Best figures in an innings (5/4)', '3rd Outstanding bowling analyses in an innings (5/4)', '2nd Best strike rate in an innings (2.4)', '1st Best figures in a innings on debut (5)', '29th Most runs conceded in an innings (58)']</t>
  </si>
  <si>
    <t>['21st Oldest players on debut (43y 258d)', '23rd Oldest players (43y 291d)']</t>
  </si>
  <si>
    <t>['35th Most runs in an innings (by batting position) (52*)']</t>
  </si>
  <si>
    <t>['2nd Outstanding bowling analyses in an innings (6/3)', '1st Most wickets taken hit wicket (1)']</t>
  </si>
  <si>
    <t>['2nd Best figures in an innings (6/3)', '2nd Outstanding bowling analyses in an innings (6/3)', '19th Most wickets on a single ground (10)', '33rd Best strike rate in an innings (4.0)', '1st Most wickets taken hit wicket (1)', '29th Highest partnership for the sixth wicket (46)']</t>
  </si>
  <si>
    <t>['17th Outstanding bowling analyses in an innings (3/7)']</t>
  </si>
  <si>
    <t>['2nd Worst career bowling average (without qualification) (116.00)']</t>
  </si>
  <si>
    <t>['2nd Worst career bowling average (without qualification) (116.00)', '12th Most runs conceded in an innings (63)']</t>
  </si>
  <si>
    <t>['22nd Most wickets on a single ground (14)', '17th Bowler/batters combinations (3)', '15th Most catches in an innings (3)']</t>
  </si>
  <si>
    <t>['5th Oldest players on debut (43y 112d)']</t>
  </si>
  <si>
    <t>['26th Worst career bowling average (without qualification) (128.50)', '5th Oldest players on debut (43y 112d)', '7th Oldest players (43y 129d)']</t>
  </si>
  <si>
    <t>['1st Best figures in a innings when on the losing side (5)', '3rd Best career strike rate (13.0)', '6th Highest partnership for the tenth wicket (29)']</t>
  </si>
  <si>
    <t>['29th Best figures in an innings (5/19)', '1st Best figures in a innings when on the losing side (5)', '6th Best career bowling average (16.59)', '3rd Best career strike rate (13.0)', '48th Worst career economy rate (7.61)', '16th Most four-wickets-in-an-innings in a career (2)', '17th Bowler/batters combinations (3)', '26th Bowler/fielder combinations (7)', '37th Most wickets taken caught (33)', '14th Most wickets taken caught and bowled (3)', '27th Most wickets taken caught by a fielder (30)', '6th Highest partnership for the tenth wicket (29)']</t>
  </si>
  <si>
    <t>['4th Worst career bowling average (without qualification) (137.00)']</t>
  </si>
  <si>
    <t>['30th Oldest players on debut (38y 182d)']</t>
  </si>
  <si>
    <t>['1st Worst career strike rate (87.0)']</t>
  </si>
  <si>
    <t>['11th Best figures in a innings when on the losing side (4)', '9th Worst career bowling average (43.66)', '1st Worst career strike rate (87.0)']</t>
  </si>
  <si>
    <t>['7th Most byes conceded in an innings (13)']</t>
  </si>
  <si>
    <t>['1st Most stumpings in a series (7)', ' 200 runs and 10 wicketkeeping dismissals in a series ', '5th Most dismissals in an innings (4)', '3rd Most catches in an innings (4)']</t>
  </si>
  <si>
    <t>['29th Most runs in an innings by a wicketkeeper (137*)', '41st Highest maiden hundred (137*)', '17th Most dismissals in a series (17)', '1st Most stumpings in a series (7)']</t>
  </si>
  <si>
    <t>['26th Most runs in an innings by a wicketkeeper (75*)', '45th Most consecutive innings without a duck (32*)', '27th Most consecutive matches for a team (35)', '16th Most dismissals in career (27)', '5th Most dismissals in an innings (4)', '9th Most catches in career (26)', '3rd Most catches in an innings (4)', '32nd Most byes conceded in an innings (5)']</t>
  </si>
  <si>
    <t>['6th Best career bowling average (without qualification) (5.50)']</t>
  </si>
  <si>
    <t>['6th Best career bowling average (without qualification) (5.50)', '16th Youngest players (17y 113d)']</t>
  </si>
  <si>
    <t>['36th Youngest players (16y 138d)']</t>
  </si>
  <si>
    <t>['7th Winning all tosses in a series (4)', '1st Worst career strike rate (29.2)', '1st Most catches in an innings (4)']</t>
  </si>
  <si>
    <t>['26th Best figures in a innings by a captain (4)', '33rd Most runs conceded in an innings (94)', '24th Most catches in a series (8)']</t>
  </si>
  <si>
    <t>['29th Most innings before first duck (20)', '30th Best career economy rate (6.87)', '7th Worst career bowling average (33.50)', '1st Worst career strike rate (29.2)', '34th Most catches in career (28)', '1st Most catches in an innings (4)', '39th Highest partnership for the fifth wicket (70)', '33rd Highest partnership for the ninth wicket (29)', '11th Most matches as captain (37)', '8th Most consecutive matches as captain of a team (27)', '7th Winning all tosses in a series (4)']</t>
  </si>
  <si>
    <t>['1st Oldest players (47y 257d)']</t>
  </si>
  <si>
    <t>['1st Oldest players on debut (47y 240d)', '1st Oldest players (47y 257d)']</t>
  </si>
  <si>
    <t>['6th Most runs in a calendar year (637)']</t>
  </si>
  <si>
    <t>['42nd Most runs in debut match (74)']</t>
  </si>
  <si>
    <t>['6th Most runs in a calendar year (637)', '17th Most runs in an innings (by batting position) (91*)', '29th Most fifties in career (9)', '13th Most ducks in career (6)', '45th Most fours in career (116)', '42nd Most sixes in an innings (7)', '17th Most catches in career (35)', '15th Most catches in an innings (3)']</t>
  </si>
  <si>
    <t>['15th Highest career batting average (48.80)', '34th Most runs in debut match (80*)', '20th No ducks in career (22)']</t>
  </si>
  <si>
    <t>['21st Most runs in an innings (by batting position) (72*)', '21st Highest strike rate in an innings (300.00)']</t>
  </si>
  <si>
    <t>['45th Longest intervals between appearances (6y 195d)']</t>
  </si>
  <si>
    <t>['2nd Best career bowling average (without qualification) (2.00)']</t>
  </si>
  <si>
    <t>['5th Oldest players on debut (41y 77d)']</t>
  </si>
  <si>
    <t>['5th Oldest players on debut (41y 77d)', '9th Oldest players (41y 80d)']</t>
  </si>
  <si>
    <t>['13th Most innings before first duck (25)', '13th Fewest ducks in career (32)', '10th Oldest players (42y 58d)', '14th Longest careers (16y 359d)', '22nd Longest intervals between appearances (6y 231d)']</t>
  </si>
  <si>
    <t>['15th Oldest players on debut (42y 50d)', '3rd Oldest players (52y 61d)']</t>
  </si>
  <si>
    <t>['6th Most dismissals in an innings (4)', '5th Most catches in an innings (3)', '9th Most byes conceded in an innings (7)']</t>
  </si>
  <si>
    <t>['42nd Highest percentage of runs in a completed innings (55.55)', '22nd Most dismissals in career (20)', '6th Most dismissals in an innings (4)', '5th Most catches in an innings (3)', '22nd Most stumpings in career (11)', '9th Most byes conceded in an innings (7)']</t>
  </si>
  <si>
    <t>['26th Most runs in an innings (by batting position) (81*)', '15th Most catches in an innings (3)']</t>
  </si>
  <si>
    <t>['50th Highest career strike rate (137.20)', '14th Most dismissals in career (29)', '11th Most catches in career (25)', '13th Most catches in an innings (3)']</t>
  </si>
  <si>
    <t>['2nd Most wickets in a calendar year (28)', '1st Most wickets taken hit wicket (1)']</t>
  </si>
  <si>
    <t>['2nd Most wickets in a calendar year (28)', '31st Best strike rate in an innings (4.5)', '16th Most four-wickets-in-an-innings in a career (2)', '12th Bowler/fielder combinations (8)', '13th Most wickets taken caught by a wicketkeeper (8)', '1st Most wickets taken hit wicket (1)']</t>
  </si>
  <si>
    <t>['2nd Most pairs in career (1)', '15th Best figures in a innings when on the losing side (4)', '14th Best figures in a innings on debut (4)']</t>
  </si>
  <si>
    <t>['40th Most ducks in career (8)', '50th Longest careers (13y 121d)']</t>
  </si>
  <si>
    <t>['17th Youngest players (16y 296d)']</t>
  </si>
  <si>
    <t>['9th Worst career bowling average (without qualification) (106.00)']</t>
  </si>
  <si>
    <t>['42nd Best economy rate in an innings (0.44)']</t>
  </si>
  <si>
    <t>['2nd Most runs in an innings (by batting position) (126*)', '3rd Most runs in debut match (88*)', '8th Highest percentage of runs in a completed innings (64.28)', '5th Highest partnership for the second wicket (144)']</t>
  </si>
  <si>
    <t>['3rd Most runs in an innings (126*)', '6th Most runs in an innings (progressive record holder) (126*)', '2nd Most runs in an innings (by batting position) (126*)', '4th Most runs in a match on the losing side (88*)', '49th Most runs on a single ground (175)', '3rd Most runs in debut match (88*)', '34th Most fifties in career (3)', '47th Most innings before first duck (12)', '8th Highest percentage of runs in a completed innings (64.28)', '18th Highest partnerships for any wicket (144)', '5th Highest partnership for the second wicket (144)']</t>
  </si>
  <si>
    <t>['40th Most ducks in career (8)', '41st Highest partnership for the sixth wicket (66)']</t>
  </si>
  <si>
    <t>['4th Hundred in last match (121)', ' A hundred and four wickets in an innings ']</t>
  </si>
  <si>
    <t>['4th Hundred in last match (121)', '16th Highest partnership for the second wicket (228)']</t>
  </si>
  <si>
    <t>['1st Most consecutive ducks (7)']</t>
  </si>
  <si>
    <t>['21st Most ducks in career (9)', '1st Most consecutive ducks (7)', '47th Most runs conceded in an innings (70)', '39th Youngest players (16y 189d)', '39th Youngest captains (24y 183d)']</t>
  </si>
  <si>
    <t>['7th Oldest players on debut (42y 330d)', '4th Oldest captains on captaincy debut (42y 330d)']</t>
  </si>
  <si>
    <t>['7th Oldest players on debut (42y 330d)', '10th Oldest players (42y 347d)', '5th Oldest captains (42y 347d)', '4th Oldest captains on captaincy debut (42y 330d)']</t>
  </si>
  <si>
    <t>['44th Outstanding bowling analyses in an innings (2/4)', '43rd Most runs conceded in an innings (44)']</t>
  </si>
  <si>
    <t>['48th Oldest players (40y 21d)', '44th Longest intervals between appearances (6y 199d)', '14th Oldest captains (40y 21d)']</t>
  </si>
  <si>
    <t>['12th Most runs in an innings (by batting position) (55)', '20th Worst career bowling average (without qualification) (80.50)']</t>
  </si>
  <si>
    <t>['13th Most ducks in career (6)', '42nd Most sixes in an innings (7)', '40th Highest partnership for the sixth wicket (63*)']</t>
  </si>
  <si>
    <t>[' Opening the batting and bowling in the same match ', '5th Outstanding bowling analyses in an innings (4/7)', '1st Most consecutive four-wickets-in-an-innings (2)', '1st Most maidens in an innings (2)']</t>
  </si>
  <si>
    <t>['5th Outstanding bowling analyses in an innings (4/7)', '13th Best career bowling average (18.13)', '19th Best career economy rate (6.64)', '24th Best career strike rate (16.3)', '7th Most four-wickets-in-an-innings in a career (3)', '1st Most consecutive four-wickets-in-an-innings (2)', '26th Bowler/fielder combinations (7)', '30th Most wickets taken bowled (12)', '22nd Most wickets taken caught by a wicketkeeper (7)', '28th Most player-of-the-match awards (5)', '10th Most maidens in career (4)', '1st Most maidens in an innings (2)']</t>
  </si>
  <si>
    <t>['23rd Best career bowling average (without qualification) (10.33)']</t>
  </si>
  <si>
    <t>['29th Highest partnership for the fifth wicket (60)']</t>
  </si>
  <si>
    <t>['3rd Most runs in a calendar year (702)', '6th No ducks in career (39)', '2nd Most fours in an innings (15)', '2nd Longest individual innings (by balls) (73)', '8th Highest partnership for the second wicket (144)', '2nd No ducks in career (44)']</t>
  </si>
  <si>
    <t>['25th Most runs in debut match (86*)']</t>
  </si>
  <si>
    <t>['5th Most runs in an innings (133*)', '3rd Most runs in a calendar year (702)', '5th Most runs in an innings (by batting position) (133*)', '41st Most fifties in career (7)', '6th No ducks in career (39)', '26th Most consecutive innings without a duck (39*)', '2nd Most fours in an innings (15)', '9th Most runs from fours and sixes in an innings (96)', '2nd Longest individual innings (by balls) (73)', '4th Highest percentage of runs in a completed innings (69.63)', '16th Fastest to 1000 runs (37)', '24th Highest partnerships for any wicket (144)', '38th Highest partnership for the first wicket (123)', '8th Highest partnership for the second wicket (144)', '11th Highest partnership for the third wicket (125*)']</t>
  </si>
  <si>
    <t>['3rd Youngest player to take five-wickets-in-an-innings (17y 210d)']</t>
  </si>
  <si>
    <t>['3rd Youngest player to take five-wickets-in-an-innings (17y 210d)', '12th Youngest players (15y 75d)', '38th Longest careers (14y 18d)']</t>
  </si>
  <si>
    <t>['42nd Most stumpings in career (5)']</t>
  </si>
  <si>
    <t>['30th Most runs conceded in an innings (74)', '49th Longest careers (13y 122d)', '31st Most matches as captain (25)']</t>
  </si>
  <si>
    <t>['14th Worst career bowling average (without qualification) (92.00)', '25th Highest partnership for the seventh wicket (38*)', '43rd Most matches as captain (10)']</t>
  </si>
  <si>
    <t>['25th Outstanding bowling analyses in an innings (3/8)', '1st Most wickets taken hit wicket (1)', '49th Highest partnership for the third wicket (93)']</t>
  </si>
  <si>
    <t>['37th Most innings before first duck (13)']</t>
  </si>
  <si>
    <t>['25th Oldest player to score a maiden hundred (33y 255d)']</t>
  </si>
  <si>
    <t>['49th Oldest living players (47y 293d)']</t>
  </si>
  <si>
    <t>['46th Highest partnership for the ninth wicket (66)', '35th Oldest captains (37y 72d)', '14th Captains who have kept wicket (17)', '32nd Oldest captains on captaincy debut (34y 274d)']</t>
  </si>
  <si>
    <t>['38th Oldest living players (48y 267d)', '42nd Oldest captains (36y 353d)', '13th Captains who have kept wicket (6)', '38th Oldest captains on captaincy debut (36y 42d)']</t>
  </si>
  <si>
    <t>['31st Youngest captains (21y 270d)']</t>
  </si>
  <si>
    <t>['48th Most runs conceded in an innings (91)', '44th Highest partnership for the eighth wicket (76)', '46th Oldest players on debut (37y 4d)']</t>
  </si>
  <si>
    <t>['3rd Most consecutive matches as captain of a team (35*)', '10th Most runs in an innings (by batting position) (96*)']</t>
  </si>
  <si>
    <t>['41st Best strike rate in an innings (7.0)']</t>
  </si>
  <si>
    <t>['10th Most runs in an innings (by batting position) (96*)', '11th Most runs in a match on the losing side (96*)', '13th Most runs in an innings by a captain (96*)', '21st Most consecutive innings without a duck (43*)', '13th Fewest ducks in career (44)', '25th Most wickets in career (56)', '23rd Most wickets in a calendar year (22)', '18th Most wickets on a single ground (15)', '20th Best figures in a innings by a captain (3)', '30th Best career economy rate (6.87)', '22nd Most balls bowled in career (1107)', '21st Most runs conceded in career (1268)', '17th Bowler/batters combinations (3)', '38th Most wickets taken bowled (11)', '21st Most wickets taken caught (38)', '15th Most wickets taken caught by a fielder (36)', '21st Most catches in career (32)', '12th Highest partnership for the eighth wicket (52*)', '32nd Most matches in career (74)', '17th Most consecutive matches for a team (41*)', '21st Longest careers (12y 265d)', '13th Most matches as captain (35)', '3rd Most consecutive matches as captain of a team (35*)', '19th Most maidens in career (3)']</t>
  </si>
  <si>
    <t>['45th Most runs in a match on the losing side (89)', '45th Most runs in a career without a hundred (894)', '24th Most wickets on a single ground (13)', '31st Best career bowling average (18.67)', '43rd Best career economy rate (2.89)', '47th Most catches in a series (6)', '33rd Highest partnership for the tenth wicket (28)', '19th Longest careers (16y 28d)', '45th Most matches as captain (17)', '38th Most consecutive matches as captain of a team (17)']</t>
  </si>
  <si>
    <t>['1st Most ducks in a series (5)', '21st Worst career bowling average (without qualification) (95.00)']</t>
  </si>
  <si>
    <t>['1st Highest career batting average (67.00)', '7th Hundred in last match (106)', '8th Fastest to 1000 runs (23)', '7th Longest intervals between appearances (8y 166d)', '4th Highest career batting average (44.41)']</t>
  </si>
  <si>
    <t>['1st Highest career batting average (67.00)', '7th Hundred in last match (106)', '8th Fastest to 1000 runs (23)', '47th Best career bowling average (24.12)', '14th Best career strike rate (28.7)', '24th Fastest to 50 wickets (28)', '26th Highest partnership for the fourth wicket (186*)']</t>
  </si>
  <si>
    <t>['4th Highest career batting average (44.41)', '32nd Most runs in debut match (56)', '38th Most consecutive matches missed for a team between appearances (39)', '50th Longest careers (11y 92d)', '7th Longest intervals between appearances (8y 166d)']</t>
  </si>
  <si>
    <t>['9th Most consecutive matches for a team (61)', '2nd Captains who have kept wicket and opened the batting (1)', '9th Most byes conceded in an innings (10)', '10th Most runs in an innings (by batting position) (142)', '5th Most hundreds in a calendar year (2)', '4th Most ducks in a series (4)', '4th Most catches in an innings (3)', '7th Highest partnership for the third wicket (201)']</t>
  </si>
  <si>
    <t>['27th Most runs in an innings (142)', '10th Most runs in an innings (by batting position) (142)', '50th Most runs on a single ground (283)', '25th Most hundreds in a career (2)', '6th Most hundreds in a series (2)', '5th Most hundreds in a calendar year (2)', '10th Highest maiden hundred (138)', '17th Oldest player to score a hundred (33y 160d)', '10th Oldest player to score a maiden hundred (33y 158d)', '24th Most consecutive innings without a duck (38)', '4th Most ducks in a series (4)', '4th Most catches in an innings (3)', '26th Most catches in a series (7)', '24th Highest partnerships for any wicket (201)', '7th Highest partnership for the third wicket (201)', '9th Most consecutive matches for a team (61)', '40th Oldest players (38y 11d)', '10th Longest careers (17y 221d)', '22nd Most matches as captain (29)', '29th Most consecutive matches as captain of a team (21)', '8th Captains who have kept wicket (5)', '2nd Captains who have kept wicket and opened the batting (1)', '9th Most byes conceded in an innings (10)']</t>
  </si>
  <si>
    <t>[' Pair on debut ', '3rd Highest percentage of runs in a completed innings (60.29)', '3rd Best figures in a innings when on the losing side (5)', '8th Oldest player to take a maiden five-wickets-in-an-innings (29y 171d)', '3rd Worst career bowling average (without qualification) (138.00)']</t>
  </si>
  <si>
    <t>['3rd Highest percentage of runs in a completed innings (60.29)', '3rd Best figures in a innings when on the losing side (5)', '8th Oldest player to take a maiden five-wickets-in-an-innings (29y 171d)']</t>
  </si>
  <si>
    <t>['3rd Worst career bowling average (without qualification) (138.00)', '25th Worst economy rate in an innings (15.00)', '43rd Most runs conceded in an innings (44)']</t>
  </si>
  <si>
    <t>['17th Highest percentage of runs in a completed innings (55.00)', '11th Best figures in a innings when on the losing side (4)', '35th Best career bowling average (19.33)', '28th Best career economy rate (2.70)']</t>
  </si>
  <si>
    <t>['15th Worst career bowling average (without qualification) (116.50)']</t>
  </si>
  <si>
    <t>['5th Shortest lived players (25y 136d)']</t>
  </si>
  <si>
    <t>['44th Highest partnership for the tenth wicket (25*)']</t>
  </si>
  <si>
    <t>[' Representing two countries ', '6th Most runs in an innings (by batting position) (75*)', '7th Outstanding bowling analyses in an innings (2/3)', '7th Best career economy rate (6.28)', '4th Most wickets taken lbw (13)', '9th Highest partnership for the eighth wicket (56*)', ' Representing two countries ']</t>
  </si>
  <si>
    <t>['9th Longest intervals between appearances (9y 16d)']</t>
  </si>
  <si>
    <t>['6th Most runs in an innings (by batting position) (75*)', '30th Most wickets in career (54)', '17th Most wickets in a calendar year (23)', '7th Outstanding bowling analyses in an innings (2/3)', '11th Best career bowling average (17.37)', '7th Best career economy rate (6.28)', '27th Best career strike rate (16.5)', '42nd Most balls bowled in career (895)', '12th Most wickets taken bowled (17)', '4th Most wickets taken lbw (13)', '12th Fastest to 50 wickets (40)', '9th Highest partnership for the eighth wicket (56*)', '19th Most player-of-the-match awards (6)', '44th Longest intervals between appearances (5y 45d)']</t>
  </si>
  <si>
    <t>['27th Youngest players (15y 346d)']</t>
  </si>
  <si>
    <t>['38th Most runs in a match on the losing side (60)']</t>
  </si>
  <si>
    <t>['1st Most runs in an innings (by batting position) (18)', '7th Most wickets in a calendar year (27)', '6th Best strike rate in an innings (3.0)', '1st Bowler/batters combinations (4)']</t>
  </si>
  <si>
    <t>['1st Most runs in an innings (by batting position) (18)', '41st Most wickets in career (47)', '7th Most wickets in a calendar year (27)', '8th Best figures in a innings when on the losing side (4)', '6th Best strike rate in an innings (3.0)', '16th Most four-wickets-in-an-innings in a career (2)', '43rd Most balls bowled in career (889)', '45th Most runs conceded in career (1061)', '1st Bowler/batters combinations (4)', '45th Bowler/fielder combinations (6)', '48th Most wickets taken bowled (10)', '29th Most wickets taken caught (35)', '3rd Most wickets taken caught by a wicketkeeper (11)']</t>
  </si>
  <si>
    <t>['40th Most innings before first duck (15)', '36th Highest partnership for the tenth wicket (27)']</t>
  </si>
  <si>
    <t>['33rd Oldest captains (37y 80d)']</t>
  </si>
  <si>
    <t>['38th Worst career bowling average (32.17)', '13th Worst career strike rate (64.3)']</t>
  </si>
  <si>
    <t>['45th Most runs in a match on the losing side (78)', '40th Most runs on a single ground (285)', '20th Most runs in an innings by a wicketkeeper (78)', '18th Highest career strike rate (146.31)', '32nd Most ducks in career (5)', '12th Most fours in an innings (12)', '45th Highest partnership for the first wicket (116)']</t>
  </si>
  <si>
    <t>['5th Hundred in last match (134*)']</t>
  </si>
  <si>
    <t>['5th Hundred in last match (134*)', '45th Highest maiden hundred (134*)', '33rd Oldest player to score a maiden hundred (32y 236d)', '32nd Longest intervals between appearances (6y 348d)']</t>
  </si>
  <si>
    <t>['34th Most runs conceded in an innings (72)']</t>
  </si>
  <si>
    <t>['33rd Most catches in career (12)']</t>
  </si>
  <si>
    <t>['22nd No ducks in career (11)']</t>
  </si>
  <si>
    <t>['6th Worst career bowling average (without qualification) (195.00)']</t>
  </si>
  <si>
    <t>['33rd Worst economy rate in an innings (14.50)', '34th Most runs conceded in an innings (46)']</t>
  </si>
  <si>
    <t>['2nd Oldest living players (87y 290d)']</t>
  </si>
  <si>
    <t>['38th Worst career bowling average (without qualification) (116.00)', '13th Oldest players on debut (41y 294d)', '22nd Oldest players (41y 301d)', '2nd Oldest living players (87y 290d)']</t>
  </si>
  <si>
    <t>['9th Oldest living players (83y 39d)']</t>
  </si>
  <si>
    <t>['43rd Oldest players on debut (37y 43d)', '9th Oldest living players (83y 39d)']</t>
  </si>
  <si>
    <t>['6th Oldest players on debut (43y 41d)']</t>
  </si>
  <si>
    <t>['6th Oldest players on debut (43y 41d)', '9th Oldest players (43y 44d)', '24th Shortest lived players (43y 156d)']</t>
  </si>
  <si>
    <t>['26th Oldest living players (79y 272d)']</t>
  </si>
  <si>
    <t>['40th Most ducks in career (8)', '11th Best figures in a innings when on the losing side (4)', '48th Worst career strike rate (52.0)', '23rd Most runs conceded in an innings (77)']</t>
  </si>
  <si>
    <t>['4th Best figures in a innings by a captain (4)', '4th Best figures in a innings on debut (4)']</t>
  </si>
  <si>
    <t>['4th Best figures in a innings by a captain (4)', '8th Best figures in a innings when on the losing side (4)', '4th Best figures in a innings on debut (4)', '15th Most catches in an innings (3)']</t>
  </si>
  <si>
    <t>['20th Highest partnership for the seventh wicket (57)']</t>
  </si>
  <si>
    <t>['2nd Most byes conceded in an innings (13)']</t>
  </si>
  <si>
    <t>['35th Highest partnership for the eighth wicket (46)', '17th Most dismissals in an innings (4)', '21st Most catches in an innings (3)', '2nd Most byes conceded in an innings (13)']</t>
  </si>
  <si>
    <t>['11th Most runs in an innings (by batting position) (45*)']</t>
  </si>
  <si>
    <t>['29th Most stumpings in career (9)']</t>
  </si>
  <si>
    <t>['11th Best figures in a innings when on the losing side (4)', '34th Best career economy rate (2.78)', '37th Worst career strike rate (53.4)', '4th Most catches in an innings (3)', '25th Most matches as captain (28)']</t>
  </si>
  <si>
    <t>['2nd Worst career bowling average (without qualification) (163.00)']</t>
  </si>
  <si>
    <t>['9th Youngest players (15y 266d)']</t>
  </si>
  <si>
    <t>['28th Worst career bowling average (without qualification) (83.00)']</t>
  </si>
  <si>
    <t>['42nd Oldest living players (48y 140d)']</t>
  </si>
  <si>
    <t>['29th Most runs in an innings by a wicketkeeper (137*)', '41st Highest maiden hundred (137*)', '33rd Fewest ducks in career (30)', '7th Longest individual innings (by balls) (172)', '13th Captains who have kept wicket (24)', '42nd Most dismissals in career (67)', '43rd Most catches in career (58)']</t>
  </si>
  <si>
    <t>['50th Most runs in an innings by a wicketkeeper (67*)', '18th Captains who have kept wicket (4)', '17th Most stumpings in career (6)', '20th Most byes conceded in an innings (6)']</t>
  </si>
  <si>
    <t>['31st Oldest players (40y 319d)', '49th Longest careers (15y 122d)', '2nd Longest intervals between appearances (11y 30d)']</t>
  </si>
  <si>
    <t>['10th Oldest captains on captaincy debut (40y 0d)']</t>
  </si>
  <si>
    <t>['26th Best figures in a innings by a captain (4)', '21st Oldest players on debut (39y 172d)', '40th Oldest players (40y 112d)', '15th Oldest captains (40y 5d)', '10th Oldest captains on captaincy debut (40y 0d)']</t>
  </si>
  <si>
    <t>['24th No ducks in career (21)']</t>
  </si>
  <si>
    <t>[' Opening the batting and bowling in the same match ', '4th Most consecutive ducks (4)']</t>
  </si>
  <si>
    <t>['24th Highest career strike rate (104.17)', '31st Oldest player to score a maiden hundred (32y 290d)', '45th Highest percentage of runs in a completed innings (54.95)', '32nd Oldest players (40y 311d)', '43rd Oldest captains (36y 317d)', '22nd Oldest captains on captaincy debut (36y 7d)']</t>
  </si>
  <si>
    <t>['14th Oldest living players (50y 310d)']</t>
  </si>
  <si>
    <t>['44th Longest intervals between appearances (5y 45d)']</t>
  </si>
  <si>
    <t>['33rd Highest partnership for the second wicket (111)', '42nd Highest partnership for the third wicket (95*)']</t>
  </si>
  <si>
    <t>['1st Best strike rate in an innings (4.2)', '1st Oldest player to take a maiden five-wickets-in-an-innings (39y 256d)', ' A fifty and five wickets in an innings ', '6th Oldest living players (52y 149d)']</t>
  </si>
  <si>
    <t>['15th Outstanding bowling analyses in an innings (4/10)', '14th Best figures in a innings when on the losing side (5)', '1st Best strike rate in an innings (4.2)', '1st Oldest player to take five-wickets-in-an-innings (39y 256d)', '1st Oldest player to take a maiden five-wickets-in-an-innings (39y 256d)', '40th Oldest players on debut (37y 211d)', '23rd Oldest players (41y 261d)', '17th Oldest captains (39y 312d)', '11th Oldest captains on captaincy debut (39y 1d)']</t>
  </si>
  <si>
    <t>['50th Oldest players (41y 116d)', '6th Oldest living players (52y 149d)', '20th Oldest captains (39y 362d)', '17th Oldest captains on captaincy debut (39y 359d)']</t>
  </si>
  <si>
    <t>['21st Youngest players (16y 347d)']</t>
  </si>
  <si>
    <t>['12th Highest partnership for the third wicket (125)']</t>
  </si>
  <si>
    <t>['22nd Longest intervals between appearances (5y 328d)']</t>
  </si>
  <si>
    <t>['28th Most runs in an innings (by batting position) (33)', '25th Longest intervals between appearances (5y 265d)', '34th Most catches in career (12)', '13th Most catches in an innings (3)']</t>
  </si>
  <si>
    <t>['41st Oldest players on debut (37y 179d)', '30th Oldest captains (37y 199d)', '16th Oldest captains on captaincy debut (37y 179d)']</t>
  </si>
  <si>
    <t>['42nd Most wickets in a calendar year (19)', '31st Best strike rate in an innings (4.5)', '16th Most four-wickets-in-an-innings in a career (2)', '45th Bowler/fielder combinations (6)', '33rd Most wickets taken caught by a wicketkeeper (6)']</t>
  </si>
  <si>
    <t>['25th Longest intervals between appearances (5y 265d)']</t>
  </si>
  <si>
    <t>['38th Oldest player to score a hundred (35y 205d)', '11th Oldest player to score a maiden hundred (35y 205d)']</t>
  </si>
  <si>
    <t>['20th Oldest players on debut (39y 195d)']</t>
  </si>
  <si>
    <t>['1st Most consecutive four-wickets-in-an-innings (3)', '5th Worst career bowling average (without qualification) (106.00)']</t>
  </si>
  <si>
    <t>['14th Best figures in a innings when on the losing side (5)', '1st Most consecutive four-wickets-in-an-innings (3)', '22nd Oldest player to take five-wickets-in-an-innings (33y 335d)', '13th Oldest player to take a maiden five-wickets-in-an-innings (33y 335d)']</t>
  </si>
  <si>
    <t>['5th Worst career bowling average (without qualification) (106.00)']</t>
  </si>
  <si>
    <t>['4th Youngest players (15y 273d)', '3rd Fifties in consecutive innings (3)']</t>
  </si>
  <si>
    <t>['4th Youngest players (15y 273d)']</t>
  </si>
  <si>
    <t>['34th Most runs in an innings (by batting position) (83)', '3rd Fifties in consecutive innings (3)', '44th Highest partnership for the seventh wicket (47)', '17th Longest intervals between appearances (6y 155d)']</t>
  </si>
  <si>
    <t>['32nd Best career bowling average (without qualification) (11.75)', '15th Best figures in a innings on debut (4)']</t>
  </si>
  <si>
    <t>['28th Captains who have kept wicket (3)']</t>
  </si>
  <si>
    <t>['7th Youngest players (16y 248d)', '2nd Most consecutive ducks (4)', ' Opening the batting and bowling in the same match ', '6th Oldest captains on captaincy debut (37y 278d)']</t>
  </si>
  <si>
    <t>['23rd Worst career bowling average (without qualification) (75.00)', '7th Youngest players (16y 248d)']</t>
  </si>
  <si>
    <t>['2nd Most consecutive ducks (4)', '44th Youngest players (16y 242d)']</t>
  </si>
  <si>
    <t>['43rd Oldest players on debut (37y 278d)', '9th Oldest captains (37y 280d)', '6th Oldest captains on captaincy debut (37y 278d)']</t>
  </si>
  <si>
    <t>['7th Most runs in debut match (88*)']</t>
  </si>
  <si>
    <t>['7th Most runs in debut match (88*)', '44th Longest individual innings (by balls) (61)']</t>
  </si>
  <si>
    <t>['6th Most runs in an innings (by batting position) (101)', '2nd Most runs in debut match (101)', '7th Most sixes in an innings (10)']</t>
  </si>
  <si>
    <t>['6th Most runs in an innings (by batting position) (101)', '2nd Most runs in debut match (101)', '7th Most sixes in an innings (10)', '19th Most runs from fours and sixes in an innings (84)']</t>
  </si>
  <si>
    <t>['11th Highest career strike rate (111.53)', '39th Oldest captains on captaincy debut (34y 208d)']</t>
  </si>
  <si>
    <t>['32nd Most ducks in career (5)', '1st Most consecutive ducks (3)', '30th Most sixes in an innings (8)', '25th Longest intervals between appearances (5y 265d)']</t>
  </si>
  <si>
    <t>['48th Most runs in debut match (70)', '27th Worst career bowling average (without qualification) (128.00)', '2nd Most catches in an innings (4)']</t>
  </si>
  <si>
    <t>['18th Highest partnership for the third wicket (217)']</t>
  </si>
  <si>
    <t>['1st Outstanding bowling analyses in an innings (5/2)', '6th Best career bowling average (14.54)']</t>
  </si>
  <si>
    <t>['18th Best figures in an innings (5/2)', '1st Outstanding bowling analyses in an innings (5/2)', '3rd Best figures in a innings by a captain (5)', '11th Best figures in a innings when on the losing side (4)', '6th Best career bowling average (14.54)', '27th Best career economy rate (2.69)', '17th Best career strike rate (32.4)', '12th Best economy rate in an innings (0.21)', '13th Oldest player to take a maiden five-wickets-in-an-innings (28y 33d)', '48th Most wickets taken bowled (16)', '47th Most catches in a series (6)']</t>
  </si>
  <si>
    <t>['26th Oldest players on debut (38y 363d)', '16th Oldest living players (80y 357d)']</t>
  </si>
  <si>
    <t>['9th Oldest living players (51y 185d)']</t>
  </si>
  <si>
    <t>['9th Oldest living players (51y 185d)', '23rd Oldest captains (38y 329d)', '18th Oldest captains on captaincy debut (38y 326d)']</t>
  </si>
  <si>
    <t>['5th Best career bowling average (without qualification) (3.00)']</t>
  </si>
  <si>
    <t>['43rd Most runs in debut match (52)']</t>
  </si>
  <si>
    <t>['3rd Youngest captains (20y 315d)']</t>
  </si>
  <si>
    <t>['28th Highest maiden hundred (143*)', '14th Youngest player to score a hundred (20y 33d)', '34th Best career bowling average (without qualification) (11.92)', '37th Highest partnership for the fourth wicket (170)', '24th Youngest players (17y 3d)', '3rd Youngest captains (20y 315d)']</t>
  </si>
  <si>
    <t>['1st Most stumpings in an innings (3)', '3rd Winning all tosses in a series (3)']</t>
  </si>
  <si>
    <t>['48th Youngest players (17y 306d)', '19th Youngest captains (23y 251d)', '26th Captains who have kept wicket (4)', '1st Most stumpings in an innings (3)']</t>
  </si>
  <si>
    <t>['19th Youngest captains (23y 205d)', '18th Captains who have kept wicket (4)', '3rd Winning all tosses in a series (3)', '29th Most catches in career (14)', '13th Most catches in an innings (3)']</t>
  </si>
  <si>
    <t>['32nd Most runs in an innings (by batting position) (31*)', '46th Most wickets in career (46)', '20th Outstanding bowling analyses in an innings (2/4)', '31st Best career bowling average (20.28)', '43rd Best career economy rate (6.99)', '38th Best career strike rate (17.3)', '17th Bowler/batters combinations (3)', '48th Most wickets taken bowled (10)', '37th Most wickets taken caught (33)', '43rd Most wickets taken caught by a fielder (26)', '22nd Most wickets taken caught by a wicketkeeper (7)', '50th Most matches as captain (16)']</t>
  </si>
  <si>
    <t>['2nd Most runs in a match on the losing side (122)', '3rd Highest percentage of runs in a completed innings (69.71)', '1st Most catches in an innings (4)', '9th Highest partnership for the third wicket (127*)']</t>
  </si>
  <si>
    <t>['38th Youngest captains (24y 247d)']</t>
  </si>
  <si>
    <t>['12th Most runs in an innings (122)', '2nd Most runs in an innings (by batting position) (122)', '2nd Most runs in a match on the losing side (122)', '42nd Most sixes in an innings (7)', '29th Most runs from fours and sixes in an innings (78)', '3rd Highest percentage of runs in a completed innings (69.71)', '1st Most catches in an innings (4)', '9th Highest partnership for the third wicket (127*)', '28th Youngest captains (24y 244d)']</t>
  </si>
  <si>
    <t>['13th Best figures in an innings (5/7)', '11th Most wickets in a calendar year (23)', '7th Outstanding bowling analyses in an innings (5/7)', '19th Most wickets on a single ground (10)', '1st Best figures in a innings by a captain (5)', '43rd Best career bowling average (without qualification) (7.26)', '41st Best economy rate in an innings (0.66)', '45th Highest partnership for the fourth wicket (61*)', '40th Youngest captains (22y 190d)', '20th Most maidens in career (7)']</t>
  </si>
  <si>
    <t>['17th Oldest players on debut (44y 30d)', '19th Oldest players (44y 34d)', '32nd Oldest living players (49y 36d)']</t>
  </si>
  <si>
    <t>['23rd Most byes conceded in an innings (5)']</t>
  </si>
  <si>
    <t>['38th Most runs in an innings (by batting position) (42*)']</t>
  </si>
  <si>
    <t>['34th Most ducks in career (5)', '3rd Most catches in an innings (3)', '41st Most matches as captain (11)', '48th Youngest captains (23y 53d)']</t>
  </si>
  <si>
    <t>['8th Best figures in a innings when on the losing side (4)', '6th Best strike rate in an innings (3.0)', '1st Most consecutive four-wickets-in-an-innings (2)']</t>
  </si>
  <si>
    <t>['29th Most runs in an innings (by batting position) (68)', '40th No ducks in career (15)', '23rd Best figures in an innings (5/16)', '8th Best figures in a innings when on the losing side (4)', '6th Best strike rate in an innings (3.0)', '16th Most four-wickets-in-an-innings in a career (2)', '1st Most consecutive four-wickets-in-an-innings (2)', '21st Highest partnership for the sixth wicket (72)']</t>
  </si>
  <si>
    <t>['11th Most runs in an innings (by batting position) (40*)', '40th Highest partnership for the ninth wicket (27*)', '24th Most stumpings in career (5)', '32nd Most byes conceded in an innings (5)']</t>
  </si>
  <si>
    <t>['16th Youngest players (16y 294d)']</t>
  </si>
  <si>
    <t>['11th Most runs in an innings (by batting position) (10)', '19th Most maidens in career (3)']</t>
  </si>
  <si>
    <t>['26th No ducks in career (20)']</t>
  </si>
  <si>
    <t>['32nd Most ducks in career (5)', '19th Most consecutive matches for a team (40*)']</t>
  </si>
  <si>
    <t>['36th Youngest players (17y 24d)']</t>
  </si>
  <si>
    <t>['31st Oldest players on debut (42y 172d)', '36th Oldest players (42y 172d)', '27th Oldest living players (49y 171d)']</t>
  </si>
  <si>
    <t>['49th Highest partnership for the seventh wicket (30)']</t>
  </si>
  <si>
    <t>['8th Best strike rate in an innings (5.0)']</t>
  </si>
  <si>
    <t>['15th Outstanding bowling analyses in an innings (4/10)', '29th Best career bowling average (without qualification) (11.28)', '8th Best strike rate in an innings (5.0)']</t>
  </si>
  <si>
    <t>['43rd Most runs in a match on the losing side (79)', '32nd Most ducks in career (5)', '15th Most catches in an innings (3)', '26th Highest partnership for the fourth wicket (98)', '20th Youngest captains (23y 300d)']</t>
  </si>
  <si>
    <t>['34th Outstanding bowling analyses in an innings (3/5)', '12th Most maidens in an innings (2)']</t>
  </si>
  <si>
    <t>['6th Highest partnership for the eighth wicket (101)', '9th Winning all tosses in a series (3)', '9th Most runs in an innings (by batting position) (56)']</t>
  </si>
  <si>
    <t>['6th Highest partnership for the eighth wicket (101)']</t>
  </si>
  <si>
    <t>['9th Most runs in an innings (by batting position) (56)', '42nd Most sixes in an innings (7)', '49th Highest partnership for the seventh wicket (45)', '17th Highest partnership for the ninth wicket (37)', '50th Most matches as captain (16)', '9th Winning all tosses in a series (3)']</t>
  </si>
  <si>
    <t>['15th Highest partnership for the seventh wicket (61)']</t>
  </si>
  <si>
    <t>['8th Youngest players (15y 259d)']</t>
  </si>
  <si>
    <t>['13th Youngest players (16y 253d)']</t>
  </si>
  <si>
    <t>['34th Highest partnership for the fifth wicket (73)', '8th Youngest players (15y 259d)']</t>
  </si>
  <si>
    <t>['1st Most consecutive ducks (3)', '1st Outstanding bowling analyses in an innings (3/0)', '2nd Best strike rate in an innings (2.0)']</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</si>
</sst>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 #,##0.00_ ;_ * \-#,##0.00_ ;_ * &quot;-&quot;??_ ;_ @_ "/>
    <numFmt numFmtId="179" formatCode="_ &quot;₹&quot;* #,##0_ ;_ &quot;₹&quot;* \-#,##0_ ;_ &quot;₹&quot;* &quot;-&quot;_ ;_ @_ "/>
  </numFmts>
  <fonts count="22">
    <font>
      <sz val="10"/>
      <color rgb="FF000000"/>
      <name val="Arial"/>
      <charset val="134"/>
    </font>
    <font>
      <sz val="10"/>
      <name val="Arial"/>
      <charset val="134"/>
    </font>
    <font>
      <b/>
      <sz val="11"/>
      <color theme="3"/>
      <name val="Calibri"/>
      <charset val="134"/>
      <scheme val="minor"/>
    </font>
    <font>
      <u/>
      <sz val="11"/>
      <color rgb="FF0000FF"/>
      <name val="Calibri"/>
      <charset val="0"/>
      <scheme val="minor"/>
    </font>
    <font>
      <sz val="11"/>
      <color theme="1"/>
      <name val="Calibri"/>
      <charset val="134"/>
      <scheme val="minor"/>
    </font>
    <font>
      <sz val="11"/>
      <color theme="1"/>
      <name val="Calibri"/>
      <charset val="0"/>
      <scheme val="minor"/>
    </font>
    <font>
      <sz val="11"/>
      <color rgb="FF9C6500"/>
      <name val="Calibri"/>
      <charset val="0"/>
      <scheme val="minor"/>
    </font>
    <font>
      <b/>
      <sz val="11"/>
      <color rgb="FFFA7D00"/>
      <name val="Calibri"/>
      <charset val="0"/>
      <scheme val="minor"/>
    </font>
    <font>
      <i/>
      <sz val="11"/>
      <color rgb="FF7F7F7F"/>
      <name val="Calibri"/>
      <charset val="0"/>
      <scheme val="minor"/>
    </font>
    <font>
      <sz val="11"/>
      <color theme="0"/>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sz val="11"/>
      <color rgb="FF3F3F76"/>
      <name val="Calibri"/>
      <charset val="0"/>
      <scheme val="minor"/>
    </font>
    <font>
      <b/>
      <sz val="18"/>
      <color theme="3"/>
      <name val="Calibri"/>
      <charset val="134"/>
      <scheme val="minor"/>
    </font>
    <font>
      <b/>
      <sz val="15"/>
      <color theme="3"/>
      <name val="Calibri"/>
      <charset val="134"/>
      <scheme val="minor"/>
    </font>
    <font>
      <sz val="11"/>
      <color rgb="FF9C0006"/>
      <name val="Calibri"/>
      <charset val="0"/>
      <scheme val="minor"/>
    </font>
    <font>
      <b/>
      <sz val="11"/>
      <color rgb="FF3F3F3F"/>
      <name val="Calibri"/>
      <charset val="0"/>
      <scheme val="minor"/>
    </font>
    <font>
      <sz val="11"/>
      <color rgb="FFFA7D00"/>
      <name val="Calibri"/>
      <charset val="0"/>
      <scheme val="minor"/>
    </font>
    <font>
      <sz val="11"/>
      <color rgb="FF006100"/>
      <name val="Calibri"/>
      <charset val="0"/>
      <scheme val="minor"/>
    </font>
    <font>
      <b/>
      <sz val="11"/>
      <color theme="1"/>
      <name val="Calibri"/>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5" fillId="3" borderId="0" applyNumberFormat="0" applyBorder="0" applyAlignment="0" applyProtection="0">
      <alignment vertical="center"/>
    </xf>
    <xf numFmtId="178" fontId="4" fillId="0" borderId="0" applyFont="0" applyFill="0" applyBorder="0" applyAlignment="0" applyProtection="0">
      <alignment vertical="center"/>
    </xf>
    <xf numFmtId="177" fontId="4" fillId="0" borderId="0" applyFont="0" applyFill="0" applyBorder="0" applyAlignment="0" applyProtection="0">
      <alignment vertical="center"/>
    </xf>
    <xf numFmtId="179"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0" fontId="3" fillId="0" borderId="0" applyNumberFormat="0" applyFill="0" applyBorder="0" applyAlignment="0" applyProtection="0">
      <alignment vertical="center"/>
    </xf>
    <xf numFmtId="0" fontId="9" fillId="7" borderId="0" applyNumberFormat="0" applyBorder="0" applyAlignment="0" applyProtection="0">
      <alignment vertical="center"/>
    </xf>
    <xf numFmtId="0" fontId="11" fillId="0" borderId="0" applyNumberFormat="0" applyFill="0" applyBorder="0" applyAlignment="0" applyProtection="0">
      <alignment vertical="center"/>
    </xf>
    <xf numFmtId="0" fontId="10" fillId="9" borderId="4" applyNumberFormat="0" applyAlignment="0" applyProtection="0">
      <alignment vertical="center"/>
    </xf>
    <xf numFmtId="0" fontId="12" fillId="0" borderId="5" applyNumberFormat="0" applyFill="0" applyAlignment="0" applyProtection="0">
      <alignment vertical="center"/>
    </xf>
    <xf numFmtId="0" fontId="4" fillId="6" borderId="2" applyNumberFormat="0" applyFont="0" applyAlignment="0" applyProtection="0">
      <alignment vertical="center"/>
    </xf>
    <xf numFmtId="0" fontId="5" fillId="13" borderId="0" applyNumberFormat="0" applyBorder="0" applyAlignment="0" applyProtection="0">
      <alignment vertical="center"/>
    </xf>
    <xf numFmtId="0" fontId="13" fillId="0" borderId="0" applyNumberFormat="0" applyFill="0" applyBorder="0" applyAlignment="0" applyProtection="0">
      <alignment vertical="center"/>
    </xf>
    <xf numFmtId="0" fontId="5" fillId="16" borderId="0" applyNumberFormat="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5" applyNumberFormat="0" applyFill="0" applyAlignment="0" applyProtection="0">
      <alignment vertical="center"/>
    </xf>
    <xf numFmtId="0" fontId="2" fillId="0" borderId="3" applyNumberFormat="0" applyFill="0" applyAlignment="0" applyProtection="0">
      <alignment vertical="center"/>
    </xf>
    <xf numFmtId="0" fontId="2" fillId="0" borderId="0" applyNumberFormat="0" applyFill="0" applyBorder="0" applyAlignment="0" applyProtection="0">
      <alignment vertical="center"/>
    </xf>
    <xf numFmtId="0" fontId="14" fillId="15" borderId="1" applyNumberFormat="0" applyAlignment="0" applyProtection="0">
      <alignment vertical="center"/>
    </xf>
    <xf numFmtId="0" fontId="9" fillId="21" borderId="0" applyNumberFormat="0" applyBorder="0" applyAlignment="0" applyProtection="0">
      <alignment vertical="center"/>
    </xf>
    <xf numFmtId="0" fontId="20" fillId="22" borderId="0" applyNumberFormat="0" applyBorder="0" applyAlignment="0" applyProtection="0">
      <alignment vertical="center"/>
    </xf>
    <xf numFmtId="0" fontId="18" fillId="5" borderId="6" applyNumberFormat="0" applyAlignment="0" applyProtection="0">
      <alignment vertical="center"/>
    </xf>
    <xf numFmtId="0" fontId="5" fillId="20" borderId="0" applyNumberFormat="0" applyBorder="0" applyAlignment="0" applyProtection="0">
      <alignment vertical="center"/>
    </xf>
    <xf numFmtId="0" fontId="7" fillId="5" borderId="1" applyNumberFormat="0" applyAlignment="0" applyProtection="0">
      <alignment vertical="center"/>
    </xf>
    <xf numFmtId="0" fontId="19" fillId="0" borderId="7" applyNumberFormat="0" applyFill="0" applyAlignment="0" applyProtection="0">
      <alignment vertical="center"/>
    </xf>
    <xf numFmtId="0" fontId="21" fillId="0" borderId="8" applyNumberFormat="0" applyFill="0" applyAlignment="0" applyProtection="0">
      <alignment vertical="center"/>
    </xf>
    <xf numFmtId="0" fontId="17" fillId="19" borderId="0" applyNumberFormat="0" applyBorder="0" applyAlignment="0" applyProtection="0">
      <alignment vertical="center"/>
    </xf>
    <xf numFmtId="0" fontId="6" fillId="4" borderId="0" applyNumberFormat="0" applyBorder="0" applyAlignment="0" applyProtection="0">
      <alignment vertical="center"/>
    </xf>
    <xf numFmtId="0" fontId="9" fillId="8" borderId="0" applyNumberFormat="0" applyBorder="0" applyAlignment="0" applyProtection="0">
      <alignment vertical="center"/>
    </xf>
    <xf numFmtId="0" fontId="5" fillId="12" borderId="0" applyNumberFormat="0" applyBorder="0" applyAlignment="0" applyProtection="0">
      <alignment vertical="center"/>
    </xf>
    <xf numFmtId="0" fontId="9" fillId="27" borderId="0" applyNumberFormat="0" applyBorder="0" applyAlignment="0" applyProtection="0">
      <alignment vertical="center"/>
    </xf>
    <xf numFmtId="0" fontId="9" fillId="29" borderId="0" applyNumberFormat="0" applyBorder="0" applyAlignment="0" applyProtection="0">
      <alignment vertical="center"/>
    </xf>
    <xf numFmtId="0" fontId="5" fillId="31" borderId="0" applyNumberFormat="0" applyBorder="0" applyAlignment="0" applyProtection="0">
      <alignment vertical="center"/>
    </xf>
    <xf numFmtId="0" fontId="5" fillId="30" borderId="0" applyNumberFormat="0" applyBorder="0" applyAlignment="0" applyProtection="0">
      <alignment vertical="center"/>
    </xf>
    <xf numFmtId="0" fontId="9" fillId="23" borderId="0" applyNumberFormat="0" applyBorder="0" applyAlignment="0" applyProtection="0">
      <alignment vertical="center"/>
    </xf>
    <xf numFmtId="0" fontId="9" fillId="28" borderId="0" applyNumberFormat="0" applyBorder="0" applyAlignment="0" applyProtection="0">
      <alignment vertical="center"/>
    </xf>
    <xf numFmtId="0" fontId="5" fillId="11" borderId="0" applyNumberFormat="0" applyBorder="0" applyAlignment="0" applyProtection="0">
      <alignment vertical="center"/>
    </xf>
    <xf numFmtId="0" fontId="9" fillId="26" borderId="0" applyNumberFormat="0" applyBorder="0" applyAlignment="0" applyProtection="0">
      <alignment vertical="center"/>
    </xf>
    <xf numFmtId="0" fontId="5" fillId="2" borderId="0" applyNumberFormat="0" applyBorder="0" applyAlignment="0" applyProtection="0">
      <alignment vertical="center"/>
    </xf>
    <xf numFmtId="0" fontId="5" fillId="25" borderId="0" applyNumberFormat="0" applyBorder="0" applyAlignment="0" applyProtection="0">
      <alignment vertical="center"/>
    </xf>
    <xf numFmtId="0" fontId="9" fillId="24" borderId="0" applyNumberFormat="0" applyBorder="0" applyAlignment="0" applyProtection="0">
      <alignment vertical="center"/>
    </xf>
    <xf numFmtId="0" fontId="5" fillId="14" borderId="0" applyNumberFormat="0" applyBorder="0" applyAlignment="0" applyProtection="0">
      <alignment vertical="center"/>
    </xf>
    <xf numFmtId="0" fontId="9" fillId="18" borderId="0" applyNumberFormat="0" applyBorder="0" applyAlignment="0" applyProtection="0">
      <alignment vertical="center"/>
    </xf>
    <xf numFmtId="0" fontId="9" fillId="32" borderId="0" applyNumberFormat="0" applyBorder="0" applyAlignment="0" applyProtection="0">
      <alignment vertical="center"/>
    </xf>
    <xf numFmtId="0" fontId="5" fillId="10" borderId="0" applyNumberFormat="0" applyBorder="0" applyAlignment="0" applyProtection="0">
      <alignment vertical="center"/>
    </xf>
    <xf numFmtId="0" fontId="9" fillId="17" borderId="0" applyNumberFormat="0" applyBorder="0" applyAlignment="0" applyProtection="0">
      <alignment vertical="center"/>
    </xf>
  </cellStyleXfs>
  <cellXfs count="4">
    <xf numFmtId="0" fontId="0" fillId="0" borderId="0" xfId="0" applyFont="1" applyAlignment="1"/>
    <xf numFmtId="0" fontId="0" fillId="0" borderId="0" xfId="0" applyFont="1" applyAlignment="1">
      <alignment horizontal="fill"/>
    </xf>
    <xf numFmtId="0" fontId="1" fillId="0" borderId="0" xfId="0" applyFont="1" applyAlignment="1">
      <alignment horizontal="fill"/>
    </xf>
    <xf numFmtId="0" fontId="1" fillId="0" borderId="0" xfId="0" applyFont="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53"/>
  <sheetViews>
    <sheetView tabSelected="1" workbookViewId="0">
      <selection activeCell="J6" sqref="J6"/>
    </sheetView>
  </sheetViews>
  <sheetFormatPr defaultColWidth="14.4285714285714" defaultRowHeight="15.75" customHeight="1"/>
  <cols>
    <col min="1" max="8" width="14.4285714285714" style="1"/>
  </cols>
  <sheetData>
    <row r="1" customHeight="1" spans="1:9">
      <c r="A1" s="2" t="s">
        <v>0</v>
      </c>
      <c r="B1" s="2" t="s">
        <v>1</v>
      </c>
      <c r="C1" s="2" t="s">
        <v>2</v>
      </c>
      <c r="D1" s="2" t="s">
        <v>3</v>
      </c>
      <c r="E1" s="2" t="s">
        <v>4</v>
      </c>
      <c r="F1" s="2" t="s">
        <v>5</v>
      </c>
      <c r="G1" s="2" t="s">
        <v>6</v>
      </c>
      <c r="H1" s="2" t="s">
        <v>7</v>
      </c>
      <c r="I1" s="3"/>
    </row>
    <row r="2" customHeight="1" spans="1:9">
      <c r="A2" s="2"/>
      <c r="B2" s="2" t="str">
        <f>IFERROR(__xludf.DUMMYFUNCTION("IF(A2&lt;&gt;"""", GOOGLETRANSLATE(A2, ""en"", ""te""),"""")"),"")</f>
        <v/>
      </c>
      <c r="C2" s="2"/>
      <c r="D2" s="2" t="str">
        <f>IFERROR(__xludf.DUMMYFUNCTION("IF(C2&lt;&gt;"""", GOOGLETRANSLATE(C2, ""en"", ""te""),"""")"),"")</f>
        <v/>
      </c>
      <c r="E2" s="2"/>
      <c r="F2" s="2" t="str">
        <f>IFERROR(__xludf.DUMMYFUNCTION("IF(E2&lt;&gt;"""", GOOGLETRANSLATE(E2, ""en"", ""te""),"""")"),"")</f>
        <v/>
      </c>
      <c r="G2" s="2"/>
      <c r="H2" s="2" t="str">
        <f>IFERROR(__xludf.DUMMYFUNCTION("IF(G2&lt;&gt;"""", GOOGLETRANSLATE(G2, ""en"", ""te""),"""")"),"")</f>
        <v/>
      </c>
      <c r="I2" s="3"/>
    </row>
    <row r="3" customHeight="1" spans="1:9">
      <c r="A3" s="2"/>
      <c r="B3" s="2" t="str">
        <f>IFERROR(__xludf.DUMMYFUNCTION("IF(A3&lt;&gt;"""", GOOGLETRANSLATE(A3, ""en"", ""te""),"""")"),"")</f>
        <v/>
      </c>
      <c r="C3" s="2"/>
      <c r="D3" s="2" t="str">
        <f>IFERROR(__xludf.DUMMYFUNCTION("IF(C3&lt;&gt;"""", GOOGLETRANSLATE(C3, ""en"", ""te""),"""")"),"")</f>
        <v/>
      </c>
      <c r="E3" s="2"/>
      <c r="F3" s="2" t="str">
        <f>IFERROR(__xludf.DUMMYFUNCTION("IF(E3&lt;&gt;"""", GOOGLETRANSLATE(E3, ""en"", ""te""),"""")"),"")</f>
        <v/>
      </c>
      <c r="G3" s="2"/>
      <c r="H3" s="2" t="str">
        <f>IFERROR(__xludf.DUMMYFUNCTION("IF(G3&lt;&gt;"""", GOOGLETRANSLATE(G3, ""en"", ""te""),"""")"),"")</f>
        <v/>
      </c>
      <c r="I3" s="3"/>
    </row>
    <row r="4" customHeight="1" spans="1:9">
      <c r="A4" s="2"/>
      <c r="B4" s="2" t="str">
        <f>IFERROR(__xludf.DUMMYFUNCTION("IF(A4&lt;&gt;"""", GOOGLETRANSLATE(A4, ""en"", ""te""),"""")"),"")</f>
        <v/>
      </c>
      <c r="C4" s="2"/>
      <c r="D4" s="2" t="str">
        <f>IFERROR(__xludf.DUMMYFUNCTION("IF(C4&lt;&gt;"""", GOOGLETRANSLATE(C4, ""en"", ""te""),"""")"),"")</f>
        <v/>
      </c>
      <c r="E4" s="2"/>
      <c r="F4" s="2" t="str">
        <f>IFERROR(__xludf.DUMMYFUNCTION("IF(E4&lt;&gt;"""", GOOGLETRANSLATE(E4, ""en"", ""te""),"""")"),"")</f>
        <v/>
      </c>
      <c r="G4" s="2"/>
      <c r="H4" s="2" t="str">
        <f>IFERROR(__xludf.DUMMYFUNCTION("IF(G4&lt;&gt;"""", GOOGLETRANSLATE(G4, ""en"", ""te""),"""")"),"")</f>
        <v/>
      </c>
      <c r="I4" s="3"/>
    </row>
    <row r="5" customHeight="1" spans="1:9">
      <c r="A5" s="2"/>
      <c r="B5" s="2" t="str">
        <f>IFERROR(__xludf.DUMMYFUNCTION("IF(A5&lt;&gt;"""", GOOGLETRANSLATE(A5, ""en"", ""te""),"""")"),"")</f>
        <v/>
      </c>
      <c r="C5" s="2" t="s">
        <v>8</v>
      </c>
      <c r="D5" s="2" t="str">
        <f>IFERROR(__xludf.DUMMYFUNCTION("IF(C5&lt;&gt;"""", GOOGLETRANSLATE(C5, ""en"", ""te""),"""")"),"[ '17 వ ప్రవేశం (9) ఒక మ్యాచ్లో బెస్ట్ ఫిగర్స్']")</f>
        <v>[ '17 వ ప్రవేశం (9) ఒక మ్యాచ్లో బెస్ట్ ఫిగర్స్']</v>
      </c>
      <c r="E5" s="2"/>
      <c r="F5" s="2" t="str">
        <f>IFERROR(__xludf.DUMMYFUNCTION("IF(E5&lt;&gt;"""", GOOGLETRANSLATE(E5, ""en"", ""te""),"""")"),"")</f>
        <v/>
      </c>
      <c r="G5" s="2"/>
      <c r="H5" s="2" t="str">
        <f>IFERROR(__xludf.DUMMYFUNCTION("IF(G5&lt;&gt;"""", GOOGLETRANSLATE(G5, ""en"", ""te""),"""")"),"")</f>
        <v/>
      </c>
      <c r="I5" s="3"/>
    </row>
    <row r="6" customHeight="1" spans="1:9">
      <c r="A6" s="2"/>
      <c r="B6" s="2" t="str">
        <f>IFERROR(__xludf.DUMMYFUNCTION("IF(A6&lt;&gt;"""", GOOGLETRANSLATE(A6, ""en"", ""te""),"""")"),"")</f>
        <v/>
      </c>
      <c r="C6" s="2"/>
      <c r="D6" s="2" t="str">
        <f>IFERROR(__xludf.DUMMYFUNCTION("IF(C6&lt;&gt;"""", GOOGLETRANSLATE(C6, ""en"", ""te""),"""")"),"")</f>
        <v/>
      </c>
      <c r="E6" s="2"/>
      <c r="F6" s="2" t="str">
        <f>IFERROR(__xludf.DUMMYFUNCTION("IF(E6&lt;&gt;"""", GOOGLETRANSLATE(E6, ""en"", ""te""),"""")"),"")</f>
        <v/>
      </c>
      <c r="G6" s="2"/>
      <c r="H6" s="2" t="str">
        <f>IFERROR(__xludf.DUMMYFUNCTION("IF(G6&lt;&gt;"""", GOOGLETRANSLATE(G6, ""en"", ""te""),"""")"),"")</f>
        <v/>
      </c>
      <c r="I6" s="3"/>
    </row>
    <row r="7" customHeight="1" spans="1:9">
      <c r="A7" s="2" t="s">
        <v>9</v>
      </c>
      <c r="B7" s="2" t="str">
        <f>IFERROR(__xludf.DUMMYFUNCTION("IF(A7&lt;&gt;"""", GOOGLETRANSLATE(A7, ""en"", ""te""),"""")"),"[ 'హండ్రెడ్ మరియు ఒక మ్యాచ్లో ఒక డక్']")</f>
        <v>[ 'హండ్రెడ్ మరియు ఒక మ్యాచ్లో ఒక డక్']</v>
      </c>
      <c r="C7" s="2"/>
      <c r="D7" s="2" t="str">
        <f>IFERROR(__xludf.DUMMYFUNCTION("IF(C7&lt;&gt;"""", GOOGLETRANSLATE(C7, ""en"", ""te""),"""")"),"")</f>
        <v/>
      </c>
      <c r="E7" s="2"/>
      <c r="F7" s="2" t="str">
        <f>IFERROR(__xludf.DUMMYFUNCTION("IF(E7&lt;&gt;"""", GOOGLETRANSLATE(E7, ""en"", ""te""),"""")"),"")</f>
        <v/>
      </c>
      <c r="G7" s="2"/>
      <c r="H7" s="2" t="str">
        <f>IFERROR(__xludf.DUMMYFUNCTION("IF(G7&lt;&gt;"""", GOOGLETRANSLATE(G7, ""en"", ""te""),"""")"),"")</f>
        <v/>
      </c>
      <c r="I7" s="3"/>
    </row>
    <row r="8" customHeight="1" spans="1:9">
      <c r="A8" s="2"/>
      <c r="B8" s="2" t="str">
        <f>IFERROR(__xludf.DUMMYFUNCTION("IF(A8&lt;&gt;"""", GOOGLETRANSLATE(A8, ""en"", ""te""),"""")"),"")</f>
        <v/>
      </c>
      <c r="C8" s="2"/>
      <c r="D8" s="2" t="str">
        <f>IFERROR(__xludf.DUMMYFUNCTION("IF(C8&lt;&gt;"""", GOOGLETRANSLATE(C8, ""en"", ""te""),"""")"),"")</f>
        <v/>
      </c>
      <c r="E8" s="2"/>
      <c r="F8" s="2" t="str">
        <f>IFERROR(__xludf.DUMMYFUNCTION("IF(E8&lt;&gt;"""", GOOGLETRANSLATE(E8, ""en"", ""te""),"""")"),"")</f>
        <v/>
      </c>
      <c r="G8" s="2"/>
      <c r="H8" s="2" t="str">
        <f>IFERROR(__xludf.DUMMYFUNCTION("IF(G8&lt;&gt;"""", GOOGLETRANSLATE(G8, ""en"", ""te""),"""")"),"")</f>
        <v/>
      </c>
      <c r="I8" s="3"/>
    </row>
    <row r="9" customHeight="1" spans="1:9">
      <c r="A9" s="2"/>
      <c r="B9" s="2" t="str">
        <f>IFERROR(__xludf.DUMMYFUNCTION("IF(A9&lt;&gt;"""", GOOGLETRANSLATE(A9, ""en"", ""te""),"""")"),"")</f>
        <v/>
      </c>
      <c r="C9" s="2"/>
      <c r="D9" s="2" t="str">
        <f>IFERROR(__xludf.DUMMYFUNCTION("IF(C9&lt;&gt;"""", GOOGLETRANSLATE(C9, ""en"", ""te""),"""")"),"")</f>
        <v/>
      </c>
      <c r="E9" s="2"/>
      <c r="F9" s="2" t="str">
        <f>IFERROR(__xludf.DUMMYFUNCTION("IF(E9&lt;&gt;"""", GOOGLETRANSLATE(E9, ""en"", ""te""),"""")"),"")</f>
        <v/>
      </c>
      <c r="G9" s="2"/>
      <c r="H9" s="2" t="str">
        <f>IFERROR(__xludf.DUMMYFUNCTION("IF(G9&lt;&gt;"""", GOOGLETRANSLATE(G9, ""en"", ""te""),"""")"),"")</f>
        <v/>
      </c>
      <c r="I9" s="3"/>
    </row>
    <row r="10" customHeight="1" spans="1:9">
      <c r="A10" s="2"/>
      <c r="B10" s="2" t="str">
        <f>IFERROR(__xludf.DUMMYFUNCTION("IF(A10&lt;&gt;"""", GOOGLETRANSLATE(A10, ""en"", ""te""),"""")"),"")</f>
        <v/>
      </c>
      <c r="C10" s="2"/>
      <c r="D10" s="2" t="str">
        <f>IFERROR(__xludf.DUMMYFUNCTION("IF(C10&lt;&gt;"""", GOOGLETRANSLATE(C10, ""en"", ""te""),"""")"),"")</f>
        <v/>
      </c>
      <c r="E10" s="2"/>
      <c r="F10" s="2" t="str">
        <f>IFERROR(__xludf.DUMMYFUNCTION("IF(E10&lt;&gt;"""", GOOGLETRANSLATE(E10, ""en"", ""te""),"""")"),"")</f>
        <v/>
      </c>
      <c r="G10" s="2"/>
      <c r="H10" s="2" t="str">
        <f>IFERROR(__xludf.DUMMYFUNCTION("IF(G10&lt;&gt;"""", GOOGLETRANSLATE(G10, ""en"", ""te""),"""")"),"")</f>
        <v/>
      </c>
      <c r="I10" s="3"/>
    </row>
    <row r="11" customHeight="1" spans="1:9">
      <c r="A11" s="2"/>
      <c r="B11" s="2" t="str">
        <f>IFERROR(__xludf.DUMMYFUNCTION("IF(A11&lt;&gt;"""", GOOGLETRANSLATE(A11, ""en"", ""te""),"""")"),"")</f>
        <v/>
      </c>
      <c r="C11" s="2"/>
      <c r="D11" s="2" t="str">
        <f>IFERROR(__xludf.DUMMYFUNCTION("IF(C11&lt;&gt;"""", GOOGLETRANSLATE(C11, ""en"", ""te""),"""")"),"")</f>
        <v/>
      </c>
      <c r="E11" s="2"/>
      <c r="F11" s="2" t="str">
        <f>IFERROR(__xludf.DUMMYFUNCTION("IF(E11&lt;&gt;"""", GOOGLETRANSLATE(E11, ""en"", ""te""),"""")"),"")</f>
        <v/>
      </c>
      <c r="G11" s="2"/>
      <c r="H11" s="2" t="str">
        <f>IFERROR(__xludf.DUMMYFUNCTION("IF(G11&lt;&gt;"""", GOOGLETRANSLATE(G11, ""en"", ""te""),"""")"),"")</f>
        <v/>
      </c>
      <c r="I11" s="3"/>
    </row>
    <row r="12" customHeight="1" spans="1:9">
      <c r="A12" s="2" t="s">
        <v>10</v>
      </c>
      <c r="B12" s="2" t="str">
        <f>IFERROR(__xludf.DUMMYFUNCTION("IF(A12&lt;&gt;"""", GOOGLETRANSLATE(A12, ""en"", ""te""),"""")"),"[ 'ఇన్నింగ్స్ లో 9 వ అత్యధిక పరుగులు (బ్యాటింగ్ స్థానంలో ప్రకారం) (59)', '6 వ అత్యధిక వికెట్లు సాధించిన వికెట్కీపర్గా (8) పట్టుకుంటే తీసుకున్న', '2 వ అత్యుత్తమ బౌలింగ్ ఇన్నింగ్స్ లో విశ్లేషించడం (7/8)', '3 వ అత్యంత వరుసగా నాలుగు వికెట్లు-ఇన్-ఒక-ఇన్నింగ్స్"&amp;" (2) ',' ఇన్నింగ్స్ లో 4 వ అత్యధిక క్యాచ్లు (3) ']")</f>
        <v>[ 'ఇన్నింగ్స్ లో 9 వ అత్యధిక పరుగులు (బ్యాటింగ్ స్థానంలో ప్రకారం) (59)', '6 వ అత్యధిక వికెట్లు సాధించిన వికెట్కీపర్గా (8) పట్టుకుంటే తీసుకున్న', '2 వ అత్యుత్తమ బౌలింగ్ ఇన్నింగ్స్ లో విశ్లేషించడం (7/8)', '3 వ అత్యంత వరుసగా నాలుగు వికెట్లు-ఇన్-ఒక-ఇన్నింగ్స్ (2) ',' ఇన్నింగ్స్ లో 4 వ అత్యధిక క్యాచ్లు (3) ']</v>
      </c>
      <c r="C12" s="2" t="s">
        <v>11</v>
      </c>
      <c r="D12" s="2" t="str">
        <f>IFERROR(__xludf.DUMMYFUNCTION("IF(C12&lt;&gt;"""", GOOGLETRANSLATE(C12, ""en"", ""te""),"""")"),"[ '9 వ అత్యంత ఇన్నింగ్స్ లో నడుస్తుంది (బ్యాటింగ్ స్థానం) (59)', సగటు, '46 వ ఉత్తమ కెరీర్ బౌలింగ్' ఒక మ్యాచ్ (8) లో 26 వ బెస్ట్ ఫిగర్స్ '' కెరీర్లో 28 వ అత్యధిక వికెట్లు (28) ', (24.75) ',' 23 వ ఉత్తమ కెరీర్ సమ్మె రేటు (65.7) ',' ఇన్నింగ్స్ లో 27 చెత్త సమ"&amp;"్మె రేటు (210.0) ',' 11 వ అత్యంత ఐదు-వికెట్ల లో-ఒక-ఇన్నింగ్స్ కెరీర్లో (2) ',' 14 వ పిన్న ఆటగాడు ఐదు వికెట్లు-ఇన్-ఒక-ఇన్నింగ్స్ పడుతుంది (22y 287d) ',' 40 వ కెరీర్ (1840) లో బౌల్డ్ చాలా బంతుల్లో ',' 15 వ అత్యధిక వికెట్లు తీసుకున్న బౌల్డ్ వరకు (12) ',' 6 వ"&amp;" అత్యధిక వికెట్లు ఒక వికెట్ కీపర్ చే కాట్ తీసుకోకూడదు ( 8) ']")</f>
        <v>[ '9 వ అత్యంత ఇన్నింగ్స్ లో నడుస్తుంది (బ్యాటింగ్ స్థానం) (59)', సగటు, '46 వ ఉత్తమ కెరీర్ బౌలింగ్' ఒక మ్యాచ్ (8) లో 26 వ బెస్ట్ ఫిగర్స్ '' కెరీర్లో 28 వ అత్యధిక వికెట్లు (28) ', (24.75) ',' 23 వ ఉత్తమ కెరీర్ సమ్మె రేటు (65.7) ',' ఇన్నింగ్స్ లో 27 చెత్త సమ్మె రేటు (210.0) ',' 11 వ అత్యంత ఐదు-వికెట్ల లో-ఒక-ఇన్నింగ్స్ కెరీర్లో (2) ',' 14 వ పిన్న ఆటగాడు ఐదు వికెట్లు-ఇన్-ఒక-ఇన్నింగ్స్ పడుతుంది (22y 287d) ',' 40 వ కెరీర్ (1840) లో బౌల్డ్ చాలా బంతుల్లో ',' 15 వ అత్యధిక వికెట్లు తీసుకున్న బౌల్డ్ వరకు (12) ',' 6 వ అత్యధిక వికెట్లు ఒక వికెట్ కీపర్ చే కాట్ తీసుకోకూడదు ( 8) ']</v>
      </c>
      <c r="E12" s="2" t="s">
        <v>12</v>
      </c>
      <c r="F12" s="2" t="str">
        <f>IFERROR(__xludf.DUMMYFUNCTION("IF(E12&lt;&gt;"""", GOOGLETRANSLATE(E12, ""en"", ""te""),"""")"),"[ 'ఇన్నింగ్స్ లో 2 వ బెస్ట్ ఫిగర్స్ (7/8)', '2 వ అత్యుత్తమ బౌలింగ్ ఇన్నింగ్స్ లో విశ్లేషించడం (7/8)', '33 వ ఒకే మైదానంలో అత్యధిక వికెట్లు (12)', '11 వ ఉత్తమ ఇన్నింగ్స్ లో సంఖ్యలు ఉన్నప్పుడు పరాజయం వైపు (4) ',' 12 వ ఉత్తమ కెరీర్ సగటు (16.42) ', '21 వ ఉత్"&amp;"తమ కెరీర్ ఎకానమీ రేట్ బౌలింగ్ (2.50)', 'ఇన్నింగ్స్ 28 వ ఉత్తమ సమ్మె రేటు (7.7)', '7 వ అత్యంత ఐదు- వికెట్ల లో-ఒక-ఇన్నింగ్స్ కెరీర్లో (2) ',' 25 వ అత్యంత నాలుగు వికెట్లు-ఇన్-ఒక-ఇన్నింగ్స్ కెరీర్లో (4) ',' 3 వ వరుస నాలుగు వికెట్లు-ఇన్-ఒక-ఇన్నింగ్స్ (2 ) ',' "&amp;"ఐదు వికెట్ల లో-ఒక-ఇన్నింగ్స్ (20y 87d) 21 వ అత్యధిక వికెట్లు తీసుకున్న బౌల్డ్ (24) ',' 4 వ అత్యధిక క్యాచ్లు ఒక ఇన్నింగ్స్ లో (పడుతుంది 15 పిన్న ఆటగాడు ',' 3) ',' 22 వ అత్యధిక ఏడవ వికెట్ కొరకు చేసిన భాగస్వామ్యం (65) ']")</f>
        <v>[ 'ఇన్నింగ్స్ లో 2 వ బెస్ట్ ఫిగర్స్ (7/8)', '2 వ అత్యుత్తమ బౌలింగ్ ఇన్నింగ్స్ లో విశ్లేషించడం (7/8)', '33 వ ఒకే మైదానంలో అత్యధిక వికెట్లు (12)', '11 వ ఉత్తమ ఇన్నింగ్స్ లో సంఖ్యలు ఉన్నప్పుడు పరాజయం వైపు (4) ',' 12 వ ఉత్తమ కెరీర్ సగటు (16.42) ', '21 వ ఉత్తమ కెరీర్ ఎకానమీ రేట్ బౌలింగ్ (2.50)', 'ఇన్నింగ్స్ 28 వ ఉత్తమ సమ్మె రేటు (7.7)', '7 వ అత్యంత ఐదు- వికెట్ల లో-ఒక-ఇన్నింగ్స్ కెరీర్లో (2) ',' 25 వ అత్యంత నాలుగు వికెట్లు-ఇన్-ఒక-ఇన్నింగ్స్ కెరీర్లో (4) ',' 3 వ వరుస నాలుగు వికెట్లు-ఇన్-ఒక-ఇన్నింగ్స్ (2 ) ',' ఐదు వికెట్ల లో-ఒక-ఇన్నింగ్స్ (20y 87d) 21 వ అత్యధిక వికెట్లు తీసుకున్న బౌల్డ్ (24) ',' 4 వ అత్యధిక క్యాచ్లు ఒక ఇన్నింగ్స్ లో (పడుతుంది 15 పిన్న ఆటగాడు ',' 3) ',' 22 వ అత్యధిక ఏడవ వికెట్ కొరకు చేసిన భాగస్వామ్యం (65) ']</v>
      </c>
      <c r="G12" s="2"/>
      <c r="H12" s="2" t="str">
        <f>IFERROR(__xludf.DUMMYFUNCTION("IF(G12&lt;&gt;"""", GOOGLETRANSLATE(G12, ""en"", ""te""),"""")"),"")</f>
        <v/>
      </c>
      <c r="I12" s="3"/>
    </row>
    <row r="13" customHeight="1" spans="1:9">
      <c r="A13" s="2" t="s">
        <v>13</v>
      </c>
      <c r="B13" s="2" t="str">
        <f>IFERROR(__xludf.DUMMYFUNCTION("IF(A13&lt;&gt;"""", GOOGLETRANSLATE(A13, ""en"", ""te""),"""")"),"[ '1st చాలా జట్టుకు వరుస మ్యాచ్లు (159)', '4 వ అత్యధిక వరుస ఒక జట్టు కెప్టెన్గా మ్యాచ్లు (57)', '5 వ అత్యధిక పరుగులు కెరీర్లో (12472)', 'తొలి హండ్రెడ్ (104 *)', 'ఒక వృత్తిలో 10 వ అత్యధిక వందలు (33)', 'హండ్రెడ్ మరియు ఒక మ్యాచ్లో తొంభై', 'కెరీర్ లో 6 వ అత్"&amp;"యంత అర్ధ (90)', 'హండ్రెడ్ మరియు ఒక మ్యాచ్లో ఒక డక్', 'కెరీర్ లో 7 వ అత్యంత ఫోర్లు ( 1442) ',' ఒక ఇన్నింగ్స్లో ద్వారా బ్యాట్ నిదర్శన (244 *) ',' 6 వ వేగవంతమైన వరకు 12000 పరుగులు (275) ',' 4 వ ఒక సిరీస్లో అత్యధిక క్యాచ్లు (13) ',' 5000 పరుగులు మరియు 50 ఫీల"&amp;"్డింగ్ వికెట్లు ',' వరుస ఇన్నింగ్స్లో 10 వ యాభైల్లో (6) ']")</f>
        <v>[ '1st చాలా జట్టుకు వరుస మ్యాచ్లు (159)', '4 వ అత్యధిక వరుస ఒక జట్టు కెప్టెన్గా మ్యాచ్లు (57)', '5 వ అత్యధిక పరుగులు కెరీర్లో (12472)', 'తొలి హండ్రెడ్ (104 *)', 'ఒక వృత్తిలో 10 వ అత్యధిక వందలు (33)', 'హండ్రెడ్ మరియు ఒక మ్యాచ్లో తొంభై', 'కెరీర్ లో 6 వ అత్యంత అర్ధ (90)', 'హండ్రెడ్ మరియు ఒక మ్యాచ్లో ఒక డక్', 'కెరీర్ లో 7 వ అత్యంత ఫోర్లు ( 1442) ',' ఒక ఇన్నింగ్స్లో ద్వారా బ్యాట్ నిదర్శన (244 *) ',' 6 వ వేగవంతమైన వరకు 12000 పరుగులు (275) ',' 4 వ ఒక సిరీస్లో అత్యధిక క్యాచ్లు (13) ',' 5000 పరుగులు మరియు 50 ఫీల్డింగ్ వికెట్లు ',' వరుస ఇన్నింగ్స్లో 10 వ యాభైల్లో (6) ']</v>
      </c>
      <c r="C13" s="2" t="s">
        <v>14</v>
      </c>
      <c r="D13" s="2" t="str">
        <f>IFERROR(__xludf.DUMMYFUNCTION("IF(C13&lt;&gt;"""", GOOGLETRANSLATE(C13, ""en"", ""te""),"""")"),"[ 'కెరీర్లో 5 వ అత్యధిక పరుగులు (12472)', '34 వ ఇన్నింగ్స్ (294) అత్యధిక పరుగులు' 'వరుస 15 వ అత్యధిక పరుగులు (766)', '24th ఒక క్యాలెండర్ సంవత్సరంలో అత్యధిక పరుగులు (1364)', ' పరాజయం వైపు ఒక మ్యాచ్లో 37 వ అత్యధిక పరుగులు (217) ',' 6 వ ఒకే మైదానంలో అత్యధి"&amp;"క పరుగులు (1937) ',' 28th ఒక కెప్టెన్ ద్వారా ఒక సిరీస్లో అత్యధిక పరుగులు (562) ',' 14 వ అత్యంత ఇన్నింగ్స్ లో పరుగులు ఒక కెప్టెన్తో (263) ',' (164) ',' గత మ్యాచ్లో 36 వ హండ్రెడ్ ఒక వృత్తిలో (147) ',' 10 వ అత్యధిక వందలు తొలి మ్యాచ్లో 31 అత్యధిక పరుగులు (33)"&amp;" ',' 13 వ అత్యధిక డబుల్ ఒక లో వందల కెరీర్ (5) ',' 19 ఒక క్యాలెండర్ సంవత్సరంలో అత్యధిక వందలు (5) ',' 33 వ ఒక జట్టు వ్యతిరేకంగా అత్యధిక వందలు (7) ',' వరుస మ్యాచ్లలో 21 వందల (3) ',' 8 వ కెరీర్ తొంభైల (7 ) ',' కెరీర్ లో 6 వ అత్యంత అర్ధ (90) ',' వరుస ఇన్నింగ్"&amp;"స్లో (మొదటి డక్ ముందు 6) ',' 23 వ ఇన్నింగ్స్లో 7 వ యాభైల్లో (39) ',' ఒక డక్ లేకుండా 22 వరుస ఇన్నింగ్స్ (64) ', 'కెరీర్ లో 20 వ అతి తక్కువ బాతులు (32.33)', '7 వ అత్యంత ఫోర్లు కెరీర్లో (1442)', '3 వ లాంగెస్ట్ వ్యక్తిగత ఇన్నింగ్స్ (నిమిషాలు) (836)', '24th ల"&amp;"ాంగెస్ట్ individ ALU లు ఇన్నింగ్స్ (బంతులతో) (545) ',' 36 వ 5000 పరుగులు (115) ',' 27 వ వేగంగా వేగంగా చేయడానికి 6000 పరుగులు (131) ',' 7000 పరుగులు (151) ',' 22 వ వేగవంతమైన 8000 పరుగులు 22 వేగవంతమైన (181) ',' 11 వ 9000 పరుగులు (204) ',' 10000 పరుగులు (2"&amp;"29) ',' 11000 పరుగులు (252) ',' 6 వ వేగవంతమైన 8 వ వేగవంతమైన 12000 పరుగులు (275) ',' కు 10 వ వేగంగా వేగంగా కెరీర్లో బౌలింగ్ సరాసరి (అర్హత లేకుండా) (7.00) ',' 6 వ అత్యధిక క్యాచ్లు 15 ఉత్తమ కెరీర్ (175) ',' 8 వ ఒక మ్యాచ్లో అత్యధిక క్యాచ్లు (6) ',' 4 వ ఒక స"&amp;"ిరీస్లో అత్యధిక క్యాచ్లు (13) ',' తొలి వికెట్కు 47 వ అత్యధిక భాగస్వామ్యం (231) ',' రెండవ వికెట్ (329 *) మూడో వికెట్కు ',' 44 వ అత్యధిక భాగస్వామ్యం 13 అత్యధిక భాగస్వామ్యం (259) ',' తొమ్మిదవ వికెట్కు 50 వ అత్యధిక భాగస్వామ్యం (100) ',' కెరీర్ లో 7 వ అత్యధిక "&amp;"మ్యాచ్లు (161) ',' బృందం కోసం 1 వ వరుస మ్యాచ్లు (159) ',' 32 వ అత్యంత ప్లేయర్ ఆఫ్ ది మ్యాచ్ అవార్డులు (9) ',' 44 వ అత్యంత ప్లేయర్ ఆఫ్ -series అవార్డులు (3) ',' 8 వ కెప్టెన్గా అత్యధిక మ్యాచ్లు (59) ',' ఒక జట్టు కెప్టెన్గా 4 వ వరుస మ్యాచ్లు (57) ',' 29th పి"&amp;"న్న కెప్టెన్లు (25y 77d) ']")</f>
        <v>[ 'కెరీర్లో 5 వ అత్యధిక పరుగులు (12472)', '34 వ ఇన్నింగ్స్ (294) అత్యధిక పరుగులు' 'వరుస 15 వ అత్యధిక పరుగులు (766)', '24th ఒక క్యాలెండర్ సంవత్సరంలో అత్యధిక పరుగులు (1364)', ' పరాజయం వైపు ఒక మ్యాచ్లో 37 వ అత్యధిక పరుగులు (217) ',' 6 వ ఒకే మైదానంలో అత్యధిక పరుగులు (1937) ',' 28th ఒక కెప్టెన్ ద్వారా ఒక సిరీస్లో అత్యధిక పరుగులు (562) ',' 14 వ అత్యంత ఇన్నింగ్స్ లో పరుగులు ఒక కెప్టెన్తో (263) ',' (164) ',' గత మ్యాచ్లో 36 వ హండ్రెడ్ ఒక వృత్తిలో (147) ',' 10 వ అత్యధిక వందలు తొలి మ్యాచ్లో 31 అత్యధిక పరుగులు (33) ',' 13 వ అత్యధిక డబుల్ ఒక లో వందల కెరీర్ (5) ',' 19 ఒక క్యాలెండర్ సంవత్సరంలో అత్యధిక వందలు (5) ',' 33 వ ఒక జట్టు వ్యతిరేకంగా అత్యధిక వందలు (7) ',' వరుస మ్యాచ్లలో 21 వందల (3) ',' 8 వ కెరీర్ తొంభైల (7 ) ',' కెరీర్ లో 6 వ అత్యంత అర్ధ (90) ',' వరుస ఇన్నింగ్స్లో (మొదటి డక్ ముందు 6) ',' 23 వ ఇన్నింగ్స్లో 7 వ యాభైల్లో (39) ',' ఒక డక్ లేకుండా 22 వరుస ఇన్నింగ్స్ (64) ', 'కెరీర్ లో 20 వ అతి తక్కువ బాతులు (32.33)', '7 వ అత్యంత ఫోర్లు కెరీర్లో (1442)', '3 వ లాంగెస్ట్ వ్యక్తిగత ఇన్నింగ్స్ (నిమిషాలు) (836)', '24th లాంగెస్ట్ individ ALU లు ఇన్నింగ్స్ (బంతులతో) (545) ',' 36 వ 5000 పరుగులు (115) ',' 27 వ వేగంగా వేగంగా చేయడానికి 6000 పరుగులు (131) ',' 7000 పరుగులు (151) ',' 22 వ వేగవంతమైన 8000 పరుగులు 22 వేగవంతమైన (181) ',' 11 వ 9000 పరుగులు (204) ',' 10000 పరుగులు (229) ',' 11000 పరుగులు (252) ',' 6 వ వేగవంతమైన 8 వ వేగవంతమైన 12000 పరుగులు (275) ',' కు 10 వ వేగంగా వేగంగా కెరీర్లో బౌలింగ్ సరాసరి (అర్హత లేకుండా) (7.00) ',' 6 వ అత్యధిక క్యాచ్లు 15 ఉత్తమ కెరీర్ (175) ',' 8 వ ఒక మ్యాచ్లో అత్యధిక క్యాచ్లు (6) ',' 4 వ ఒక సిరీస్లో అత్యధిక క్యాచ్లు (13) ',' తొలి వికెట్కు 47 వ అత్యధిక భాగస్వామ్యం (231) ',' రెండవ వికెట్ (329 *) మూడో వికెట్కు ',' 44 వ అత్యధిక భాగస్వామ్యం 13 అత్యధిక భాగస్వామ్యం (259) ',' తొమ్మిదవ వికెట్కు 50 వ అత్యధిక భాగస్వామ్యం (100) ',' కెరీర్ లో 7 వ అత్యధిక మ్యాచ్లు (161) ',' బృందం కోసం 1 వ వరుస మ్యాచ్లు (159) ',' 32 వ అత్యంత ప్లేయర్ ఆఫ్ ది మ్యాచ్ అవార్డులు (9) ',' 44 వ అత్యంత ప్లేయర్ ఆఫ్ -series అవార్డులు (3) ',' 8 వ కెప్టెన్గా అత్యధిక మ్యాచ్లు (59) ',' ఒక జట్టు కెప్టెన్గా 4 వ వరుస మ్యాచ్లు (57) ',' 29th పిన్న కెప్టెన్లు (25y 77d) ']</v>
      </c>
      <c r="E13" s="2" t="s">
        <v>15</v>
      </c>
      <c r="F13" s="2" t="str">
        <f>IFERROR(__xludf.DUMMYFUNCTION("IF(E13&lt;&gt;"""", GOOGLETRANSLATE(E13, ""en"", ""te""),"""")"),"[ '38 వ అత్యంత ఒక కెప్టెన్తో ఇన్నింగ్స్ లో పరుగులు (137)', 'వరుస ఇన్నింగ్స్ (4) లో 44 వ యాభైల్లో' '1000 పరుగులు 45 వ వేగవంతమైన (29)', '14 వ 2000 పరుగులు వేగంగా (51)', ' 31 వేగవంతమైన 3000 పరుగులు (84) ',' 37 వ కెప్టెన్గా అత్యధిక మ్యాచ్లు (69) ',' 23 వ వ"&amp;"రుస మ్యాచ్లు ఒక జట్టు కెప్టెన్గా (41) ',' 45 వ పిన్న కాప్టెన్ (25y 65d) ']")</f>
        <v>[ '38 వ అత్యంత ఒక కెప్టెన్తో ఇన్నింగ్స్ లో పరుగులు (137)', 'వరుస ఇన్నింగ్స్ (4) లో 44 వ యాభైల్లో' '1000 పరుగులు 45 వ వేగవంతమైన (29)', '14 వ 2000 పరుగులు వేగంగా (51)', ' 31 వేగవంతమైన 3000 పరుగులు (84) ',' 37 వ కెప్టెన్గా అత్యధిక మ్యాచ్లు (69) ',' 23 వ వరుస మ్యాచ్లు ఒక జట్టు కెప్టెన్గా (41) ',' 45 వ పిన్న కాప్టెన్ (25y 65d) ']</v>
      </c>
      <c r="G13" s="2" t="s">
        <v>16</v>
      </c>
      <c r="H13" s="2" t="str">
        <f>IFERROR(__xludf.DUMMYFUNCTION("IF(G13&lt;&gt;"""", GOOGLETRANSLATE(G13, ""en"", ""te""),"""")"),"[ '30 వ పిన్న కాప్టెన్ (24y 325d)', '23 వ వరుస మ్యాచ్లు ఒక జట్టు కెప్టెన్గా (41)']")</f>
        <v>[ '30 వ పిన్న కాప్టెన్ (24y 325d)', '23 వ వరుస మ్యాచ్లు ఒక జట్టు కెప్టెన్గా (41)']</v>
      </c>
      <c r="I13" s="3"/>
    </row>
    <row r="14" customHeight="1" spans="1:9">
      <c r="A14" s="2" t="s">
        <v>17</v>
      </c>
      <c r="B14" s="2" t="str">
        <f>IFERROR(__xludf.DUMMYFUNCTION("IF(A14&lt;&gt;"""", GOOGLETRANSLATE(A14, ""en"", ""te""),"""")"),"[ 'వందవ మ్యాచ్లో 1st హండ్రెడ్ (104)', 'హండ్రెడ్ మరియు ఒక మ్యాచ్లో తొంభై', 'హండ్రెడ్ మరియు ఒక మ్యాచ్లో ఒక డక్', 'ఒక మ్యాచ్లో 8 వ అత్యధిక క్యాచ్లు (6)', '5000 పరుగులు మరియు 50 ఫీల్డింగ్ తొలగింపులకు ',' తొమ్మిదవ వికెట్కు 5 వ అత్యధిక భాగస్వామ్యం (163 *) ']")</f>
        <v>[ 'వందవ మ్యాచ్లో 1st హండ్రెడ్ (104)', 'హండ్రెడ్ మరియు ఒక మ్యాచ్లో తొంభై', 'హండ్రెడ్ మరియు ఒక మ్యాచ్లో ఒక డక్', 'ఒక మ్యాచ్లో 8 వ అత్యధిక క్యాచ్లు (6)', '5000 పరుగులు మరియు 50 ఫీల్డింగ్ తొలగింపులకు ',' తొమ్మిదవ వికెట్కు 5 వ అత్యధిక భాగస్వామ్యం (163 *) ']</v>
      </c>
      <c r="C14" s="2" t="s">
        <v>18</v>
      </c>
      <c r="D14" s="2" t="str">
        <f>IFERROR(__xludf.DUMMYFUNCTION("IF(C14&lt;&gt;"""", GOOGLETRANSLATE(C14, ""en"", ""te""),"""")"),"[ '35 వ అత్యధిక కెరీర్ లో పరుగులు (7624)', '11 వ ఇన్నింగ్స్ లో అత్యధిక పరుగులు (బ్యాటింగ్ స్థానంలో ప్రకారం) (128 *)', 'ఆమె ఒక సిరీస్లో ఒక కెప్టెన్తో 40 వ అత్యధిక పరుగులు (534)', '32 వ అత్యధిక వందలు లో ఒక కెరీర్ (22) ',' 1st హండ్రెడ్ వందవ మ్యాచ్లో (104) ',"&amp;"' 27 వ కెరీర్ అర్ధ (60) ',' 50th 5000 పరుగులు (120) ',' 38 వ వేగంగా వేగంగా చేయడానికి 6000 పరుగులు (140) ' '33 వ 7000 పరుగులు (165) వేగంగా', '24 వ అత్యధిక క్యాచ్లు కెరీర్లో (120)', 'ఒక మ్యాచ్లో 8 వ అత్యధిక క్యాచ్లు (6)', '42 వ ఒక సిరీస్లో అత్యధిక క్యాచ్లు "&amp;"(10)', '33 వ అత్యధిక ఏడవ వికెట్ కొరకు చేసిన భాగస్వామ్యం (174) ',' తొమ్మిదవ వికెట్ (163 *) 5 వ అత్యధిక భాగస్వామ్యం ',' 39 వ కెరీర్ లో అత్యధిక మ్యాచ్లు (114) ',' 46 వ ఓల్డెస్ట్ క్రీడాకారులు (42y 51d) ',' 15 వ లాంగెస్ట్ కెరీర్లు ( 20y 79d) ',' 14 వ వరుస (5 అ"&amp;"న్ని టాస్ గెలిచిన జట్టు) ']")</f>
        <v>[ '35 వ అత్యధిక కెరీర్ లో పరుగులు (7624)', '11 వ ఇన్నింగ్స్ లో అత్యధిక పరుగులు (బ్యాటింగ్ స్థానంలో ప్రకారం) (128 *)', 'ఆమె ఒక సిరీస్లో ఒక కెప్టెన్తో 40 వ అత్యధిక పరుగులు (534)', '32 వ అత్యధిక వందలు లో ఒక కెరీర్ (22) ',' 1st హండ్రెడ్ వందవ మ్యాచ్లో (104) ',' 27 వ కెరీర్ అర్ధ (60) ',' 50th 5000 పరుగులు (120) ',' 38 వ వేగంగా వేగంగా చేయడానికి 6000 పరుగులు (140) ' '33 వ 7000 పరుగులు (165) వేగంగా', '24 వ అత్యధిక క్యాచ్లు కెరీర్లో (120)', 'ఒక మ్యాచ్లో 8 వ అత్యధిక క్యాచ్లు (6)', '42 వ ఒక సిరీస్లో అత్యధిక క్యాచ్లు (10)', '33 వ అత్యధిక ఏడవ వికెట్ కొరకు చేసిన భాగస్వామ్యం (174) ',' తొమ్మిదవ వికెట్ (163 *) 5 వ అత్యధిక భాగస్వామ్యం ',' 39 వ కెరీర్ లో అత్యధిక మ్యాచ్లు (114) ',' 46 వ ఓల్డెస్ట్ క్రీడాకారులు (42y 51d) ',' 15 వ లాంగెస్ట్ కెరీర్లు ( 20y 79d) ',' 14 వ వరుస (5 అన్ని టాస్ గెలిచిన జట్టు) ']</v>
      </c>
      <c r="E14" s="2" t="s">
        <v>19</v>
      </c>
      <c r="F14" s="2" t="str">
        <f>IFERROR(__xludf.DUMMYFUNCTION("IF(E14&lt;&gt;"""", GOOGLETRANSLATE(E14, ""en"", ""te""),"""")"),"[ '36 వ తొలి ఓల్డెస్ట్ క్రీడాకారులు (38y 12D)', '22 వ లాంగెస్ట్ క్రీడాకారులు నివసించారు (67y 346d)']")</f>
        <v>[ '36 వ తొలి ఓల్డెస్ట్ క్రీడాకారులు (38y 12D)', '22 వ లాంగెస్ట్ క్రీడాకారులు నివసించారు (67y 346d)']</v>
      </c>
      <c r="G14" s="2"/>
      <c r="H14" s="2" t="str">
        <f>IFERROR(__xludf.DUMMYFUNCTION("IF(G14&lt;&gt;"""", GOOGLETRANSLATE(G14, ""en"", ""te""),"""")"),"")</f>
        <v/>
      </c>
      <c r="I14" s="3"/>
    </row>
    <row r="15" customHeight="1" spans="1:9">
      <c r="A15" s="2" t="s">
        <v>20</v>
      </c>
      <c r="B15" s="2" t="str">
        <f>IFERROR(__xludf.DUMMYFUNCTION("IF(A15&lt;&gt;"""", GOOGLETRANSLATE(A15, ""en"", ""te""),"""")"),"[ '5 వ చెత్త కెరీర్లో సమ్మె రేటు (159.5)']")</f>
        <v>[ '5 వ చెత్త కెరీర్లో సమ్మె రేటు (159.5)']</v>
      </c>
      <c r="C15" s="2" t="s">
        <v>21</v>
      </c>
      <c r="D15" s="2" t="str">
        <f>IFERROR(__xludf.DUMMYFUNCTION("IF(C15&lt;&gt;"""", GOOGLETRANSLATE(C15, ""en"", ""te""),"""")"),"[ 'మొదటి డక్ ముందు 16 వ ఇన్నింగ్స్ (10)', '5 వ చెత్త కెరీర్ బౌలింగ్ సరాసరి (50.62)', '5 వ చెత్త కెరీర్లో సమ్మె రేటు (159.5)', 'ఇన్నింగ్స్ లో 21 వ చెత్త ఆర్థిక రేటు (4.31)', '22 వ పదవ వికెట్కు అత్యధిక భాగస్వామ్యం (30) ',' 24th పిన్న క్రీడాకారులు (17y 307d)"&amp;" ']")</f>
        <v>[ 'మొదటి డక్ ముందు 16 వ ఇన్నింగ్స్ (10)', '5 వ చెత్త కెరీర్ బౌలింగ్ సరాసరి (50.62)', '5 వ చెత్త కెరీర్లో సమ్మె రేటు (159.5)', 'ఇన్నింగ్స్ లో 21 వ చెత్త ఆర్థిక రేటు (4.31)', '22 వ పదవ వికెట్కు అత్యధిక భాగస్వామ్యం (30) ',' 24th పిన్న క్రీడాకారులు (17y 307d) ']</v>
      </c>
      <c r="E15" s="2" t="s">
        <v>22</v>
      </c>
      <c r="F15" s="2" t="str">
        <f>IFERROR(__xludf.DUMMYFUNCTION("IF(E15&lt;&gt;"""", GOOGLETRANSLATE(E15, ""en"", ""te""),"""")"),"[ '13 వ పిన్న ఆటగాడు ఐదు వికెట్ల లో-ఒక-ఇన్నింగ్స్ తీసుకోవాలని (20y 58d)']")</f>
        <v>[ '13 వ పిన్న ఆటగాడు ఐదు వికెట్ల లో-ఒక-ఇన్నింగ్స్ తీసుకోవాలని (20y 58d)']</v>
      </c>
      <c r="G15" s="2"/>
      <c r="H15" s="2" t="str">
        <f>IFERROR(__xludf.DUMMYFUNCTION("IF(G15&lt;&gt;"""", GOOGLETRANSLATE(G15, ""en"", ""te""),"""")"),"")</f>
        <v/>
      </c>
      <c r="I15" s="3"/>
    </row>
    <row r="16" customHeight="1" spans="1:9">
      <c r="A16" s="2"/>
      <c r="B16" s="2" t="str">
        <f>IFERROR(__xludf.DUMMYFUNCTION("IF(A16&lt;&gt;"""", GOOGLETRANSLATE(A16, ""en"", ""te""),"""")"),"")</f>
        <v/>
      </c>
      <c r="C16" s="2"/>
      <c r="D16" s="2" t="str">
        <f>IFERROR(__xludf.DUMMYFUNCTION("IF(C16&lt;&gt;"""", GOOGLETRANSLATE(C16, ""en"", ""te""),"""")"),"")</f>
        <v/>
      </c>
      <c r="E16" s="2"/>
      <c r="F16" s="2" t="str">
        <f>IFERROR(__xludf.DUMMYFUNCTION("IF(E16&lt;&gt;"""", GOOGLETRANSLATE(E16, ""en"", ""te""),"""")"),"")</f>
        <v/>
      </c>
      <c r="G16" s="2"/>
      <c r="H16" s="2" t="str">
        <f>IFERROR(__xludf.DUMMYFUNCTION("IF(G16&lt;&gt;"""", GOOGLETRANSLATE(G16, ""en"", ""te""),"""")"),"")</f>
        <v/>
      </c>
      <c r="I16" s="3"/>
    </row>
    <row r="17" customHeight="1" spans="1:9">
      <c r="A17" s="2"/>
      <c r="B17" s="2" t="str">
        <f>IFERROR(__xludf.DUMMYFUNCTION("IF(A17&lt;&gt;"""", GOOGLETRANSLATE(A17, ""en"", ""te""),"""")"),"")</f>
        <v/>
      </c>
      <c r="C17" s="2"/>
      <c r="D17" s="2" t="str">
        <f>IFERROR(__xludf.DUMMYFUNCTION("IF(C17&lt;&gt;"""", GOOGLETRANSLATE(C17, ""en"", ""te""),"""")"),"")</f>
        <v/>
      </c>
      <c r="E17" s="2"/>
      <c r="F17" s="2" t="str">
        <f>IFERROR(__xludf.DUMMYFUNCTION("IF(E17&lt;&gt;"""", GOOGLETRANSLATE(E17, ""en"", ""te""),"""")"),"")</f>
        <v/>
      </c>
      <c r="G17" s="2"/>
      <c r="H17" s="2" t="str">
        <f>IFERROR(__xludf.DUMMYFUNCTION("IF(G17&lt;&gt;"""", GOOGLETRANSLATE(G17, ""en"", ""te""),"""")"),"")</f>
        <v/>
      </c>
      <c r="I17" s="3"/>
    </row>
    <row r="18" customHeight="1" spans="1:9">
      <c r="A18" s="2"/>
      <c r="B18" s="2" t="str">
        <f>IFERROR(__xludf.DUMMYFUNCTION("IF(A18&lt;&gt;"""", GOOGLETRANSLATE(A18, ""en"", ""te""),"""")"),"")</f>
        <v/>
      </c>
      <c r="C18" s="2"/>
      <c r="D18" s="2" t="str">
        <f>IFERROR(__xludf.DUMMYFUNCTION("IF(C18&lt;&gt;"""", GOOGLETRANSLATE(C18, ""en"", ""te""),"""")"),"")</f>
        <v/>
      </c>
      <c r="E18" s="2"/>
      <c r="F18" s="2" t="str">
        <f>IFERROR(__xludf.DUMMYFUNCTION("IF(E18&lt;&gt;"""", GOOGLETRANSLATE(E18, ""en"", ""te""),"""")"),"")</f>
        <v/>
      </c>
      <c r="G18" s="2"/>
      <c r="H18" s="2" t="str">
        <f>IFERROR(__xludf.DUMMYFUNCTION("IF(G18&lt;&gt;"""", GOOGLETRANSLATE(G18, ""en"", ""te""),"""")"),"")</f>
        <v/>
      </c>
      <c r="I18" s="3"/>
    </row>
    <row r="19" customHeight="1" spans="1:9">
      <c r="A19" s="2"/>
      <c r="B19" s="2" t="str">
        <f>IFERROR(__xludf.DUMMYFUNCTION("IF(A19&lt;&gt;"""", GOOGLETRANSLATE(A19, ""en"", ""te""),"""")"),"")</f>
        <v/>
      </c>
      <c r="C19" s="2"/>
      <c r="D19" s="2" t="str">
        <f>IFERROR(__xludf.DUMMYFUNCTION("IF(C19&lt;&gt;"""", GOOGLETRANSLATE(C19, ""en"", ""te""),"""")"),"")</f>
        <v/>
      </c>
      <c r="E19" s="2"/>
      <c r="F19" s="2" t="str">
        <f>IFERROR(__xludf.DUMMYFUNCTION("IF(E19&lt;&gt;"""", GOOGLETRANSLATE(E19, ""en"", ""te""),"""")"),"")</f>
        <v/>
      </c>
      <c r="G19" s="2"/>
      <c r="H19" s="2" t="str">
        <f>IFERROR(__xludf.DUMMYFUNCTION("IF(G19&lt;&gt;"""", GOOGLETRANSLATE(G19, ""en"", ""te""),"""")"),"")</f>
        <v/>
      </c>
      <c r="I19" s="3"/>
    </row>
    <row r="20" customHeight="1" spans="1:9">
      <c r="A20" s="2"/>
      <c r="B20" s="2" t="str">
        <f>IFERROR(__xludf.DUMMYFUNCTION("IF(A20&lt;&gt;"""", GOOGLETRANSLATE(A20, ""en"", ""te""),"""")"),"")</f>
        <v/>
      </c>
      <c r="C20" s="2"/>
      <c r="D20" s="2" t="str">
        <f>IFERROR(__xludf.DUMMYFUNCTION("IF(C20&lt;&gt;"""", GOOGLETRANSLATE(C20, ""en"", ""te""),"""")"),"")</f>
        <v/>
      </c>
      <c r="E20" s="2"/>
      <c r="F20" s="2" t="str">
        <f>IFERROR(__xludf.DUMMYFUNCTION("IF(E20&lt;&gt;"""", GOOGLETRANSLATE(E20, ""en"", ""te""),"""")"),"")</f>
        <v/>
      </c>
      <c r="G20" s="2"/>
      <c r="H20" s="2" t="str">
        <f>IFERROR(__xludf.DUMMYFUNCTION("IF(G20&lt;&gt;"""", GOOGLETRANSLATE(G20, ""en"", ""te""),"""")"),"")</f>
        <v/>
      </c>
      <c r="I20" s="3"/>
    </row>
    <row r="21" customHeight="1" spans="1:9">
      <c r="A21" s="2"/>
      <c r="B21" s="2" t="str">
        <f>IFERROR(__xludf.DUMMYFUNCTION("IF(A21&lt;&gt;"""", GOOGLETRANSLATE(A21, ""en"", ""te""),"""")"),"")</f>
        <v/>
      </c>
      <c r="C21" s="2" t="s">
        <v>23</v>
      </c>
      <c r="D21" s="2" t="str">
        <f>IFERROR(__xludf.DUMMYFUNCTION("IF(C21&lt;&gt;"""", GOOGLETRANSLATE(C21, ""en"", ""te""),"""")"),"[ '41 వ చెత్త కెరీర్లో ఆర్థిక రేటు (3.48)']")</f>
        <v>[ '41 వ చెత్త కెరీర్లో ఆర్థిక రేటు (3.48)']</v>
      </c>
      <c r="E21" s="2"/>
      <c r="F21" s="2" t="str">
        <f>IFERROR(__xludf.DUMMYFUNCTION("IF(E21&lt;&gt;"""", GOOGLETRANSLATE(E21, ""en"", ""te""),"""")"),"")</f>
        <v/>
      </c>
      <c r="G21" s="2"/>
      <c r="H21" s="2" t="str">
        <f>IFERROR(__xludf.DUMMYFUNCTION("IF(G21&lt;&gt;"""", GOOGLETRANSLATE(G21, ""en"", ""te""),"""")"),"")</f>
        <v/>
      </c>
      <c r="I21" s="3"/>
    </row>
    <row r="22" customHeight="1" spans="1:9">
      <c r="A22" s="2"/>
      <c r="B22" s="2" t="str">
        <f>IFERROR(__xludf.DUMMYFUNCTION("IF(A22&lt;&gt;"""", GOOGLETRANSLATE(A22, ""en"", ""te""),"""")"),"")</f>
        <v/>
      </c>
      <c r="C22" s="2"/>
      <c r="D22" s="2" t="str">
        <f>IFERROR(__xludf.DUMMYFUNCTION("IF(C22&lt;&gt;"""", GOOGLETRANSLATE(C22, ""en"", ""te""),"""")"),"")</f>
        <v/>
      </c>
      <c r="E22" s="2"/>
      <c r="F22" s="2" t="str">
        <f>IFERROR(__xludf.DUMMYFUNCTION("IF(E22&lt;&gt;"""", GOOGLETRANSLATE(E22, ""en"", ""te""),"""")"),"")</f>
        <v/>
      </c>
      <c r="G22" s="2"/>
      <c r="H22" s="2" t="str">
        <f>IFERROR(__xludf.DUMMYFUNCTION("IF(G22&lt;&gt;"""", GOOGLETRANSLATE(G22, ""en"", ""te""),"""")"),"")</f>
        <v/>
      </c>
      <c r="I22" s="3"/>
    </row>
    <row r="23" customHeight="1" spans="1:9">
      <c r="A23" s="2" t="s">
        <v>24</v>
      </c>
      <c r="B23" s="2" t="str">
        <f>IFERROR(__xludf.DUMMYFUNCTION("IF(A23&lt;&gt;"""", GOOGLETRANSLATE(A23, ""en"", ""te""),"""")"),"[ '4 వ అత్యంత వంద (577) లేకుండా ఒక వృత్తిలో పరుగులు', 'బౌలింగ్ సరాసరి (61.25) 2 వ చెత్త జీవితం' 'ఇన్నింగ్స్ లో 4 వ అత్యధిక క్యాచ్లు (3)']")</f>
        <v>[ '4 వ అత్యంత వంద (577) లేకుండా ఒక వృత్తిలో పరుగులు', 'బౌలింగ్ సరాసరి (61.25) 2 వ చెత్త జీవితం' 'ఇన్నింగ్స్ లో 4 వ అత్యధిక క్యాచ్లు (3)']</v>
      </c>
      <c r="C23" s="2" t="s">
        <v>25</v>
      </c>
      <c r="D23" s="2" t="str">
        <f>IFERROR(__xludf.DUMMYFUNCTION("IF(C23&lt;&gt;"""", GOOGLETRANSLATE(C23, ""en"", ""te""),"""")"),"[ '30 వ కెరీర్ లో అత్యధిక పరుగులు (577)', 'వంద (577) లేకుండా ఒక వృత్తిలో 4 వ అత్యధిక పరుగులు' '18 వ కెరీర్ లో అతి తక్కువ బాతులు (15)', '2 వ చెత్త కెరీర్ బౌలింగ్ సరాసరి (61.25)', ' 3 వ చెత్త కెరీర్లో ఆర్థిక రేటు (2.91) ',' 9 వ చెత్త కెరీర్లో సమ్మె రేటు (12"&amp;"5.8) ',' కెరీర్ లో బౌలింగ్ సరాసరి (అర్హత లేకుండా) (61.25) ',' 19 వ అత్యధిక క్యాచ్లు 46 వ చెత్త కెరీర్ (11) ',' 11 వ అత్యంత కెరీర్లో మ్యాచ్లు (17) ',' బృందం (13) 18 వ వరుస మ్యాచ్లు ']")</f>
        <v>[ '30 వ కెరీర్ లో అత్యధిక పరుగులు (577)', 'వంద (577) లేకుండా ఒక వృత్తిలో 4 వ అత్యధిక పరుగులు' '18 వ కెరీర్ లో అతి తక్కువ బాతులు (15)', '2 వ చెత్త కెరీర్ బౌలింగ్ సరాసరి (61.25)', ' 3 వ చెత్త కెరీర్లో ఆర్థిక రేటు (2.91) ',' 9 వ చెత్త కెరీర్లో సమ్మె రేటు (125.8) ',' కెరీర్ లో బౌలింగ్ సరాసరి (అర్హత లేకుండా) (61.25) ',' 19 వ అత్యధిక క్యాచ్లు 46 వ చెత్త కెరీర్ (11) ',' 11 వ అత్యంత కెరీర్లో మ్యాచ్లు (17) ',' బృందం (13) 18 వ వరుస మ్యాచ్లు ']</v>
      </c>
      <c r="E23" s="2" t="s">
        <v>26</v>
      </c>
      <c r="F23" s="2" t="str">
        <f>IFERROR(__xludf.DUMMYFUNCTION("IF(E23&lt;&gt;"""", GOOGLETRANSLATE(E23, ""en"", ""te""),"""")"),"[ 'ఇన్నింగ్స్ లో 4 వ అత్యధిక క్యాచ్లు (3)', '37 వ లాంగెస్ట్ కెరీర్లు (14y 32d)']")</f>
        <v>[ 'ఇన్నింగ్స్ లో 4 వ అత్యధిక క్యాచ్లు (3)', '37 వ లాంగెస్ట్ కెరీర్లు (14y 32d)']</v>
      </c>
      <c r="G23" s="2"/>
      <c r="H23" s="2" t="str">
        <f>IFERROR(__xludf.DUMMYFUNCTION("IF(G23&lt;&gt;"""", GOOGLETRANSLATE(G23, ""en"", ""te""),"""")"),"")</f>
        <v/>
      </c>
      <c r="I23" s="3"/>
    </row>
    <row r="24" customHeight="1" spans="1:9">
      <c r="A24" s="2"/>
      <c r="B24" s="2" t="str">
        <f>IFERROR(__xludf.DUMMYFUNCTION("IF(A24&lt;&gt;"""", GOOGLETRANSLATE(A24, ""en"", ""te""),"""")"),"")</f>
        <v/>
      </c>
      <c r="C24" s="2"/>
      <c r="D24" s="2" t="str">
        <f>IFERROR(__xludf.DUMMYFUNCTION("IF(C24&lt;&gt;"""", GOOGLETRANSLATE(C24, ""en"", ""te""),"""")"),"")</f>
        <v/>
      </c>
      <c r="E24" s="2"/>
      <c r="F24" s="2" t="str">
        <f>IFERROR(__xludf.DUMMYFUNCTION("IF(E24&lt;&gt;"""", GOOGLETRANSLATE(E24, ""en"", ""te""),"""")"),"")</f>
        <v/>
      </c>
      <c r="G24" s="2"/>
      <c r="H24" s="2" t="str">
        <f>IFERROR(__xludf.DUMMYFUNCTION("IF(G24&lt;&gt;"""", GOOGLETRANSLATE(G24, ""en"", ""te""),"""")"),"")</f>
        <v/>
      </c>
      <c r="I24" s="3"/>
    </row>
    <row r="25" customHeight="1" spans="1:9">
      <c r="A25" s="2"/>
      <c r="B25" s="2" t="str">
        <f>IFERROR(__xludf.DUMMYFUNCTION("IF(A25&lt;&gt;"""", GOOGLETRANSLATE(A25, ""en"", ""te""),"""")"),"")</f>
        <v/>
      </c>
      <c r="C25" s="2"/>
      <c r="D25" s="2" t="str">
        <f>IFERROR(__xludf.DUMMYFUNCTION("IF(C25&lt;&gt;"""", GOOGLETRANSLATE(C25, ""en"", ""te""),"""")"),"")</f>
        <v/>
      </c>
      <c r="E25" s="2"/>
      <c r="F25" s="2" t="str">
        <f>IFERROR(__xludf.DUMMYFUNCTION("IF(E25&lt;&gt;"""", GOOGLETRANSLATE(E25, ""en"", ""te""),"""")"),"")</f>
        <v/>
      </c>
      <c r="G25" s="2"/>
      <c r="H25" s="2" t="str">
        <f>IFERROR(__xludf.DUMMYFUNCTION("IF(G25&lt;&gt;"""", GOOGLETRANSLATE(G25, ""en"", ""te""),"""")"),"")</f>
        <v/>
      </c>
      <c r="I25" s="3"/>
    </row>
    <row r="26" customHeight="1" spans="1:9">
      <c r="A26" s="2"/>
      <c r="B26" s="2" t="str">
        <f>IFERROR(__xludf.DUMMYFUNCTION("IF(A26&lt;&gt;"""", GOOGLETRANSLATE(A26, ""en"", ""te""),"""")"),"")</f>
        <v/>
      </c>
      <c r="C26" s="2"/>
      <c r="D26" s="2" t="str">
        <f>IFERROR(__xludf.DUMMYFUNCTION("IF(C26&lt;&gt;"""", GOOGLETRANSLATE(C26, ""en"", ""te""),"""")"),"")</f>
        <v/>
      </c>
      <c r="E26" s="2"/>
      <c r="F26" s="2" t="str">
        <f>IFERROR(__xludf.DUMMYFUNCTION("IF(E26&lt;&gt;"""", GOOGLETRANSLATE(E26, ""en"", ""te""),"""")"),"")</f>
        <v/>
      </c>
      <c r="G26" s="2"/>
      <c r="H26" s="2" t="str">
        <f>IFERROR(__xludf.DUMMYFUNCTION("IF(G26&lt;&gt;"""", GOOGLETRANSLATE(G26, ""en"", ""te""),"""")"),"")</f>
        <v/>
      </c>
      <c r="I26" s="3"/>
    </row>
    <row r="27" customHeight="1" spans="1:9">
      <c r="A27" s="2"/>
      <c r="B27" s="2" t="str">
        <f>IFERROR(__xludf.DUMMYFUNCTION("IF(A27&lt;&gt;"""", GOOGLETRANSLATE(A27, ""en"", ""te""),"""")"),"")</f>
        <v/>
      </c>
      <c r="C27" s="2"/>
      <c r="D27" s="2" t="str">
        <f>IFERROR(__xludf.DUMMYFUNCTION("IF(C27&lt;&gt;"""", GOOGLETRANSLATE(C27, ""en"", ""te""),"""")"),"")</f>
        <v/>
      </c>
      <c r="E27" s="2"/>
      <c r="F27" s="2" t="str">
        <f>IFERROR(__xludf.DUMMYFUNCTION("IF(E27&lt;&gt;"""", GOOGLETRANSLATE(E27, ""en"", ""te""),"""")"),"")</f>
        <v/>
      </c>
      <c r="G27" s="2"/>
      <c r="H27" s="2" t="str">
        <f>IFERROR(__xludf.DUMMYFUNCTION("IF(G27&lt;&gt;"""", GOOGLETRANSLATE(G27, ""en"", ""te""),"""")"),"")</f>
        <v/>
      </c>
      <c r="I27" s="3"/>
    </row>
    <row r="28" customHeight="1" spans="1:9">
      <c r="A28" s="2"/>
      <c r="B28" s="2" t="str">
        <f>IFERROR(__xludf.DUMMYFUNCTION("IF(A28&lt;&gt;"""", GOOGLETRANSLATE(A28, ""en"", ""te""),"""")"),"")</f>
        <v/>
      </c>
      <c r="C28" s="2"/>
      <c r="D28" s="2" t="str">
        <f>IFERROR(__xludf.DUMMYFUNCTION("IF(C28&lt;&gt;"""", GOOGLETRANSLATE(C28, ""en"", ""te""),"""")"),"")</f>
        <v/>
      </c>
      <c r="E28" s="2"/>
      <c r="F28" s="2" t="str">
        <f>IFERROR(__xludf.DUMMYFUNCTION("IF(E28&lt;&gt;"""", GOOGLETRANSLATE(E28, ""en"", ""te""),"""")"),"")</f>
        <v/>
      </c>
      <c r="G28" s="2"/>
      <c r="H28" s="2" t="str">
        <f>IFERROR(__xludf.DUMMYFUNCTION("IF(G28&lt;&gt;"""", GOOGLETRANSLATE(G28, ""en"", ""te""),"""")"),"")</f>
        <v/>
      </c>
      <c r="I28" s="3"/>
    </row>
    <row r="29" customHeight="1" spans="1:9">
      <c r="A29" s="2"/>
      <c r="B29" s="2" t="str">
        <f>IFERROR(__xludf.DUMMYFUNCTION("IF(A29&lt;&gt;"""", GOOGLETRANSLATE(A29, ""en"", ""te""),"""")"),"")</f>
        <v/>
      </c>
      <c r="C29" s="2"/>
      <c r="D29" s="2" t="str">
        <f>IFERROR(__xludf.DUMMYFUNCTION("IF(C29&lt;&gt;"""", GOOGLETRANSLATE(C29, ""en"", ""te""),"""")"),"")</f>
        <v/>
      </c>
      <c r="E29" s="2"/>
      <c r="F29" s="2" t="str">
        <f>IFERROR(__xludf.DUMMYFUNCTION("IF(E29&lt;&gt;"""", GOOGLETRANSLATE(E29, ""en"", ""te""),"""")"),"")</f>
        <v/>
      </c>
      <c r="G29" s="2"/>
      <c r="H29" s="2" t="str">
        <f>IFERROR(__xludf.DUMMYFUNCTION("IF(G29&lt;&gt;"""", GOOGLETRANSLATE(G29, ""en"", ""te""),"""")"),"")</f>
        <v/>
      </c>
      <c r="I29" s="3"/>
    </row>
    <row r="30" customHeight="1" spans="1:9">
      <c r="A30" s="2"/>
      <c r="B30" s="2" t="str">
        <f>IFERROR(__xludf.DUMMYFUNCTION("IF(A30&lt;&gt;"""", GOOGLETRANSLATE(A30, ""en"", ""te""),"""")"),"")</f>
        <v/>
      </c>
      <c r="C30" s="2"/>
      <c r="D30" s="2" t="str">
        <f>IFERROR(__xludf.DUMMYFUNCTION("IF(C30&lt;&gt;"""", GOOGLETRANSLATE(C30, ""en"", ""te""),"""")"),"")</f>
        <v/>
      </c>
      <c r="E30" s="2"/>
      <c r="F30" s="2" t="str">
        <f>IFERROR(__xludf.DUMMYFUNCTION("IF(E30&lt;&gt;"""", GOOGLETRANSLATE(E30, ""en"", ""te""),"""")"),"")</f>
        <v/>
      </c>
      <c r="G30" s="2"/>
      <c r="H30" s="2" t="str">
        <f>IFERROR(__xludf.DUMMYFUNCTION("IF(G30&lt;&gt;"""", GOOGLETRANSLATE(G30, ""en"", ""te""),"""")"),"")</f>
        <v/>
      </c>
      <c r="I30" s="3"/>
    </row>
    <row r="31" customHeight="1" spans="1:9">
      <c r="A31" s="2"/>
      <c r="B31" s="2" t="str">
        <f>IFERROR(__xludf.DUMMYFUNCTION("IF(A31&lt;&gt;"""", GOOGLETRANSLATE(A31, ""en"", ""te""),"""")"),"")</f>
        <v/>
      </c>
      <c r="C31" s="2"/>
      <c r="D31" s="2" t="str">
        <f>IFERROR(__xludf.DUMMYFUNCTION("IF(C31&lt;&gt;"""", GOOGLETRANSLATE(C31, ""en"", ""te""),"""")"),"")</f>
        <v/>
      </c>
      <c r="E31" s="2"/>
      <c r="F31" s="2" t="str">
        <f>IFERROR(__xludf.DUMMYFUNCTION("IF(E31&lt;&gt;"""", GOOGLETRANSLATE(E31, ""en"", ""te""),"""")"),"")</f>
        <v/>
      </c>
      <c r="G31" s="2"/>
      <c r="H31" s="2" t="str">
        <f>IFERROR(__xludf.DUMMYFUNCTION("IF(G31&lt;&gt;"""", GOOGLETRANSLATE(G31, ""en"", ""te""),"""")"),"")</f>
        <v/>
      </c>
      <c r="I31" s="3"/>
    </row>
    <row r="32" customHeight="1" spans="1:9">
      <c r="A32" s="2"/>
      <c r="B32" s="2" t="str">
        <f>IFERROR(__xludf.DUMMYFUNCTION("IF(A32&lt;&gt;"""", GOOGLETRANSLATE(A32, ""en"", ""te""),"""")"),"")</f>
        <v/>
      </c>
      <c r="C32" s="2"/>
      <c r="D32" s="2" t="str">
        <f>IFERROR(__xludf.DUMMYFUNCTION("IF(C32&lt;&gt;"""", GOOGLETRANSLATE(C32, ""en"", ""te""),"""")"),"")</f>
        <v/>
      </c>
      <c r="E32" s="2"/>
      <c r="F32" s="2" t="str">
        <f>IFERROR(__xludf.DUMMYFUNCTION("IF(E32&lt;&gt;"""", GOOGLETRANSLATE(E32, ""en"", ""te""),"""")"),"")</f>
        <v/>
      </c>
      <c r="G32" s="2"/>
      <c r="H32" s="2" t="str">
        <f>IFERROR(__xludf.DUMMYFUNCTION("IF(G32&lt;&gt;"""", GOOGLETRANSLATE(G32, ""en"", ""te""),"""")"),"")</f>
        <v/>
      </c>
      <c r="I32" s="3"/>
    </row>
    <row r="33" customHeight="1" spans="1:9">
      <c r="A33" s="2"/>
      <c r="B33" s="2" t="str">
        <f>IFERROR(__xludf.DUMMYFUNCTION("IF(A33&lt;&gt;"""", GOOGLETRANSLATE(A33, ""en"", ""te""),"""")"),"")</f>
        <v/>
      </c>
      <c r="C33" s="2"/>
      <c r="D33" s="2" t="str">
        <f>IFERROR(__xludf.DUMMYFUNCTION("IF(C33&lt;&gt;"""", GOOGLETRANSLATE(C33, ""en"", ""te""),"""")"),"")</f>
        <v/>
      </c>
      <c r="E33" s="2"/>
      <c r="F33" s="2" t="str">
        <f>IFERROR(__xludf.DUMMYFUNCTION("IF(E33&lt;&gt;"""", GOOGLETRANSLATE(E33, ""en"", ""te""),"""")"),"")</f>
        <v/>
      </c>
      <c r="G33" s="2"/>
      <c r="H33" s="2" t="str">
        <f>IFERROR(__xludf.DUMMYFUNCTION("IF(G33&lt;&gt;"""", GOOGLETRANSLATE(G33, ""en"", ""te""),"""")"),"")</f>
        <v/>
      </c>
      <c r="I33" s="3"/>
    </row>
    <row r="34" customHeight="1" spans="1:9">
      <c r="A34" s="2"/>
      <c r="B34" s="2" t="str">
        <f>IFERROR(__xludf.DUMMYFUNCTION("IF(A34&lt;&gt;"""", GOOGLETRANSLATE(A34, ""en"", ""te""),"""")"),"")</f>
        <v/>
      </c>
      <c r="C34" s="2"/>
      <c r="D34" s="2" t="str">
        <f>IFERROR(__xludf.DUMMYFUNCTION("IF(C34&lt;&gt;"""", GOOGLETRANSLATE(C34, ""en"", ""te""),"""")"),"")</f>
        <v/>
      </c>
      <c r="E34" s="2"/>
      <c r="F34" s="2" t="str">
        <f>IFERROR(__xludf.DUMMYFUNCTION("IF(E34&lt;&gt;"""", GOOGLETRANSLATE(E34, ""en"", ""te""),"""")"),"")</f>
        <v/>
      </c>
      <c r="G34" s="2"/>
      <c r="H34" s="2" t="str">
        <f>IFERROR(__xludf.DUMMYFUNCTION("IF(G34&lt;&gt;"""", GOOGLETRANSLATE(G34, ""en"", ""te""),"""")"),"")</f>
        <v/>
      </c>
      <c r="I34" s="3"/>
    </row>
    <row r="35" customHeight="1" spans="1:9">
      <c r="A35" s="2"/>
      <c r="B35" s="2" t="str">
        <f>IFERROR(__xludf.DUMMYFUNCTION("IF(A35&lt;&gt;"""", GOOGLETRANSLATE(A35, ""en"", ""te""),"""")"),"")</f>
        <v/>
      </c>
      <c r="C35" s="2"/>
      <c r="D35" s="2" t="str">
        <f>IFERROR(__xludf.DUMMYFUNCTION("IF(C35&lt;&gt;"""", GOOGLETRANSLATE(C35, ""en"", ""te""),"""")"),"")</f>
        <v/>
      </c>
      <c r="E35" s="2"/>
      <c r="F35" s="2" t="str">
        <f>IFERROR(__xludf.DUMMYFUNCTION("IF(E35&lt;&gt;"""", GOOGLETRANSLATE(E35, ""en"", ""te""),"""")"),"")</f>
        <v/>
      </c>
      <c r="G35" s="2"/>
      <c r="H35" s="2" t="str">
        <f>IFERROR(__xludf.DUMMYFUNCTION("IF(G35&lt;&gt;"""", GOOGLETRANSLATE(G35, ""en"", ""te""),"""")"),"")</f>
        <v/>
      </c>
      <c r="I35" s="3"/>
    </row>
    <row r="36" customHeight="1" spans="1:9">
      <c r="A36" s="2"/>
      <c r="B36" s="2" t="str">
        <f>IFERROR(__xludf.DUMMYFUNCTION("IF(A36&lt;&gt;"""", GOOGLETRANSLATE(A36, ""en"", ""te""),"""")"),"")</f>
        <v/>
      </c>
      <c r="C36" s="2" t="s">
        <v>27</v>
      </c>
      <c r="D36" s="2" t="str">
        <f>IFERROR(__xludf.DUMMYFUNCTION("IF(C36&lt;&gt;"""", GOOGLETRANSLATE(C36, ""en"", ""te""),"""")"),"[ 'పదవ వికెట్కు 39 వ అత్యధిక భాగస్వామ్యం (89)']")</f>
        <v>[ 'పదవ వికెట్కు 39 వ అత్యధిక భాగస్వామ్యం (89)']</v>
      </c>
      <c r="E36" s="2"/>
      <c r="F36" s="2" t="str">
        <f>IFERROR(__xludf.DUMMYFUNCTION("IF(E36&lt;&gt;"""", GOOGLETRANSLATE(E36, ""en"", ""te""),"""")"),"")</f>
        <v/>
      </c>
      <c r="G36" s="2"/>
      <c r="H36" s="2" t="str">
        <f>IFERROR(__xludf.DUMMYFUNCTION("IF(G36&lt;&gt;"""", GOOGLETRANSLATE(G36, ""en"", ""te""),"""")"),"")</f>
        <v/>
      </c>
      <c r="I36" s="3"/>
    </row>
    <row r="37" customHeight="1" spans="1:9">
      <c r="A37" s="2"/>
      <c r="B37" s="2" t="str">
        <f>IFERROR(__xludf.DUMMYFUNCTION("IF(A37&lt;&gt;"""", GOOGLETRANSLATE(A37, ""en"", ""te""),"""")"),"")</f>
        <v/>
      </c>
      <c r="C37" s="2"/>
      <c r="D37" s="2" t="str">
        <f>IFERROR(__xludf.DUMMYFUNCTION("IF(C37&lt;&gt;"""", GOOGLETRANSLATE(C37, ""en"", ""te""),"""")"),"")</f>
        <v/>
      </c>
      <c r="E37" s="2"/>
      <c r="F37" s="2" t="str">
        <f>IFERROR(__xludf.DUMMYFUNCTION("IF(E37&lt;&gt;"""", GOOGLETRANSLATE(E37, ""en"", ""te""),"""")"),"")</f>
        <v/>
      </c>
      <c r="G37" s="2"/>
      <c r="H37" s="2" t="str">
        <f>IFERROR(__xludf.DUMMYFUNCTION("IF(G37&lt;&gt;"""", GOOGLETRANSLATE(G37, ""en"", ""te""),"""")"),"")</f>
        <v/>
      </c>
      <c r="I37" s="3"/>
    </row>
    <row r="38" customHeight="1" spans="1:9">
      <c r="A38" s="2"/>
      <c r="B38" s="2" t="str">
        <f>IFERROR(__xludf.DUMMYFUNCTION("IF(A38&lt;&gt;"""", GOOGLETRANSLATE(A38, ""en"", ""te""),"""")"),"")</f>
        <v/>
      </c>
      <c r="C38" s="2"/>
      <c r="D38" s="2" t="str">
        <f>IFERROR(__xludf.DUMMYFUNCTION("IF(C38&lt;&gt;"""", GOOGLETRANSLATE(C38, ""en"", ""te""),"""")"),"")</f>
        <v/>
      </c>
      <c r="E38" s="2"/>
      <c r="F38" s="2" t="str">
        <f>IFERROR(__xludf.DUMMYFUNCTION("IF(E38&lt;&gt;"""", GOOGLETRANSLATE(E38, ""en"", ""te""),"""")"),"")</f>
        <v/>
      </c>
      <c r="G38" s="2"/>
      <c r="H38" s="2" t="str">
        <f>IFERROR(__xludf.DUMMYFUNCTION("IF(G38&lt;&gt;"""", GOOGLETRANSLATE(G38, ""en"", ""te""),"""")"),"")</f>
        <v/>
      </c>
      <c r="I38" s="3"/>
    </row>
    <row r="39" customHeight="1" spans="1:9">
      <c r="A39" s="2"/>
      <c r="B39" s="2" t="str">
        <f>IFERROR(__xludf.DUMMYFUNCTION("IF(A39&lt;&gt;"""", GOOGLETRANSLATE(A39, ""en"", ""te""),"""")"),"")</f>
        <v/>
      </c>
      <c r="C39" s="2"/>
      <c r="D39" s="2" t="str">
        <f>IFERROR(__xludf.DUMMYFUNCTION("IF(C39&lt;&gt;"""", GOOGLETRANSLATE(C39, ""en"", ""te""),"""")"),"")</f>
        <v/>
      </c>
      <c r="E39" s="2"/>
      <c r="F39" s="2" t="str">
        <f>IFERROR(__xludf.DUMMYFUNCTION("IF(E39&lt;&gt;"""", GOOGLETRANSLATE(E39, ""en"", ""te""),"""")"),"")</f>
        <v/>
      </c>
      <c r="G39" s="2"/>
      <c r="H39" s="2" t="str">
        <f>IFERROR(__xludf.DUMMYFUNCTION("IF(G39&lt;&gt;"""", GOOGLETRANSLATE(G39, ""en"", ""te""),"""")"),"")</f>
        <v/>
      </c>
      <c r="I39" s="3"/>
    </row>
    <row r="40" customHeight="1" spans="1:9">
      <c r="A40" s="2" t="s">
        <v>28</v>
      </c>
      <c r="B40" s="2" t="str">
        <f>IFERROR(__xludf.DUMMYFUNCTION("IF(A40&lt;&gt;"""", GOOGLETRANSLATE(A40, ""en"", ""te""),"""")"),"[ 'ఇన్నింగ్స్ లో 5 వ అత్యధిక పరుగులు (బ్యాటింగ్ స్థానంలో ప్రకారం) (42)', '8 వ కన్య ఐదు వికెట్ల లో-ఒక-ఇన్నింగ్స్ (32y 6d) తీసుకోవాలని అత్యంత వృద్ధ ఆటగాడు']")</f>
        <v>[ 'ఇన్నింగ్స్ లో 5 వ అత్యధిక పరుగులు (బ్యాటింగ్ స్థానంలో ప్రకారం) (42)', '8 వ కన్య ఐదు వికెట్ల లో-ఒక-ఇన్నింగ్స్ (32y 6d) తీసుకోవాలని అత్యంత వృద్ధ ఆటగాడు']</v>
      </c>
      <c r="C40" s="2" t="s">
        <v>29</v>
      </c>
      <c r="D40" s="2" t="str">
        <f>IFERROR(__xludf.DUMMYFUNCTION("IF(C40&lt;&gt;"""", GOOGLETRANSLATE(C40, ""en"", ""te""),"""")"),"[ 'ఇన్నింగ్స్ లో 5 వ అత్యధిక పరుగులు (బ్యాటింగ్ స్థానంలో ప్రకారం) (42)', '49 వ అత్యధిక కెరీర్ బ్యాటింగ్ సగటు (30.50)', '21 వ చెత్త కెరీర్ బౌలింగ్ సరాసరి (35.07) ',' 20 వ చెత్త కెరీర్లో సమ్మె రేటు (106.1) ' 'ఐదు వికెట్ల లో-ఒక-ఇన్నింగ్స్ (32y 6d) కన్య తీసుక"&amp;"ోవాలని 8 వ అత్యంత వృద్ధ ఆటగాడు' '(32y 6d) ఐదు వికెట్లు-ఇన్-ఒక-ఇన్నింగ్స్ పడుతుంది 13 వ ఓల్డెస్ట్ ఆటగాడు',]")</f>
        <v>[ 'ఇన్నింగ్స్ లో 5 వ అత్యధిక పరుగులు (బ్యాటింగ్ స్థానంలో ప్రకారం) (42)', '49 వ అత్యధిక కెరీర్ బ్యాటింగ్ సగటు (30.50)', '21 వ చెత్త కెరీర్ బౌలింగ్ సరాసరి (35.07) ',' 20 వ చెత్త కెరీర్లో సమ్మె రేటు (106.1) ' 'ఐదు వికెట్ల లో-ఒక-ఇన్నింగ్స్ (32y 6d) కన్య తీసుకోవాలని 8 వ అత్యంత వృద్ధ ఆటగాడు' '(32y 6d) ఐదు వికెట్లు-ఇన్-ఒక-ఇన్నింగ్స్ పడుతుంది 13 వ ఓల్డెస్ట్ ఆటగాడు',]</v>
      </c>
      <c r="E40" s="2" t="s">
        <v>30</v>
      </c>
      <c r="F40" s="2" t="str">
        <f>IFERROR(__xludf.DUMMYFUNCTION("IF(E40&lt;&gt;"""", GOOGLETRANSLATE(E40, ""en"", ""te""),"""")"),"[ 'తొలి ఇన్నింగ్స్ 15 వ బెస్ట్ ఫిగర్స్ (3)', 'ప్రవేశం (36y 155d) న 13 వ ఓల్డెస్ట్ క్రీడాకారుల]")</f>
        <v>[ 'తొలి ఇన్నింగ్స్ 15 వ బెస్ట్ ఫిగర్స్ (3)', 'ప్రవేశం (36y 155d) న 13 వ ఓల్డెస్ట్ క్రీడాకారుల]</v>
      </c>
      <c r="G40" s="2"/>
      <c r="H40" s="2" t="str">
        <f>IFERROR(__xludf.DUMMYFUNCTION("IF(G40&lt;&gt;"""", GOOGLETRANSLATE(G40, ""en"", ""te""),"""")"),"")</f>
        <v/>
      </c>
      <c r="I40" s="3"/>
    </row>
    <row r="41" customHeight="1" spans="1:9">
      <c r="A41" s="2"/>
      <c r="B41" s="2" t="str">
        <f>IFERROR(__xludf.DUMMYFUNCTION("IF(A41&lt;&gt;"""", GOOGLETRANSLATE(A41, ""en"", ""te""),"""")"),"")</f>
        <v/>
      </c>
      <c r="C41" s="2"/>
      <c r="D41" s="2" t="str">
        <f>IFERROR(__xludf.DUMMYFUNCTION("IF(C41&lt;&gt;"""", GOOGLETRANSLATE(C41, ""en"", ""te""),"""")"),"")</f>
        <v/>
      </c>
      <c r="E41" s="2"/>
      <c r="F41" s="2" t="str">
        <f>IFERROR(__xludf.DUMMYFUNCTION("IF(E41&lt;&gt;"""", GOOGLETRANSLATE(E41, ""en"", ""te""),"""")"),"")</f>
        <v/>
      </c>
      <c r="G41" s="2"/>
      <c r="H41" s="2" t="str">
        <f>IFERROR(__xludf.DUMMYFUNCTION("IF(G41&lt;&gt;"""", GOOGLETRANSLATE(G41, ""en"", ""te""),"""")"),"")</f>
        <v/>
      </c>
      <c r="I41" s="3"/>
    </row>
    <row r="42" customHeight="1" spans="1:9">
      <c r="A42" s="2"/>
      <c r="B42" s="2" t="str">
        <f>IFERROR(__xludf.DUMMYFUNCTION("IF(A42&lt;&gt;"""", GOOGLETRANSLATE(A42, ""en"", ""te""),"""")"),"")</f>
        <v/>
      </c>
      <c r="C42" s="2"/>
      <c r="D42" s="2" t="str">
        <f>IFERROR(__xludf.DUMMYFUNCTION("IF(C42&lt;&gt;"""", GOOGLETRANSLATE(C42, ""en"", ""te""),"""")"),"")</f>
        <v/>
      </c>
      <c r="E42" s="2"/>
      <c r="F42" s="2" t="str">
        <f>IFERROR(__xludf.DUMMYFUNCTION("IF(E42&lt;&gt;"""", GOOGLETRANSLATE(E42, ""en"", ""te""),"""")"),"")</f>
        <v/>
      </c>
      <c r="G42" s="2"/>
      <c r="H42" s="2" t="str">
        <f>IFERROR(__xludf.DUMMYFUNCTION("IF(G42&lt;&gt;"""", GOOGLETRANSLATE(G42, ""en"", ""te""),"""")"),"")</f>
        <v/>
      </c>
      <c r="I42" s="3"/>
    </row>
    <row r="43" customHeight="1" spans="1:9">
      <c r="A43" s="2"/>
      <c r="B43" s="2" t="str">
        <f>IFERROR(__xludf.DUMMYFUNCTION("IF(A43&lt;&gt;"""", GOOGLETRANSLATE(A43, ""en"", ""te""),"""")"),"")</f>
        <v/>
      </c>
      <c r="C43" s="2"/>
      <c r="D43" s="2" t="str">
        <f>IFERROR(__xludf.DUMMYFUNCTION("IF(C43&lt;&gt;"""", GOOGLETRANSLATE(C43, ""en"", ""te""),"""")"),"")</f>
        <v/>
      </c>
      <c r="E43" s="2"/>
      <c r="F43" s="2" t="str">
        <f>IFERROR(__xludf.DUMMYFUNCTION("IF(E43&lt;&gt;"""", GOOGLETRANSLATE(E43, ""en"", ""te""),"""")"),"")</f>
        <v/>
      </c>
      <c r="G43" s="2"/>
      <c r="H43" s="2" t="str">
        <f>IFERROR(__xludf.DUMMYFUNCTION("IF(G43&lt;&gt;"""", GOOGLETRANSLATE(G43, ""en"", ""te""),"""")"),"")</f>
        <v/>
      </c>
      <c r="I43" s="3"/>
    </row>
    <row r="44" customHeight="1" spans="1:9">
      <c r="A44" s="2"/>
      <c r="B44" s="2" t="str">
        <f>IFERROR(__xludf.DUMMYFUNCTION("IF(A44&lt;&gt;"""", GOOGLETRANSLATE(A44, ""en"", ""te""),"""")"),"")</f>
        <v/>
      </c>
      <c r="C44" s="2"/>
      <c r="D44" s="2" t="str">
        <f>IFERROR(__xludf.DUMMYFUNCTION("IF(C44&lt;&gt;"""", GOOGLETRANSLATE(C44, ""en"", ""te""),"""")"),"")</f>
        <v/>
      </c>
      <c r="E44" s="2"/>
      <c r="F44" s="2" t="str">
        <f>IFERROR(__xludf.DUMMYFUNCTION("IF(E44&lt;&gt;"""", GOOGLETRANSLATE(E44, ""en"", ""te""),"""")"),"")</f>
        <v/>
      </c>
      <c r="G44" s="2"/>
      <c r="H44" s="2" t="str">
        <f>IFERROR(__xludf.DUMMYFUNCTION("IF(G44&lt;&gt;"""", GOOGLETRANSLATE(G44, ""en"", ""te""),"""")"),"")</f>
        <v/>
      </c>
      <c r="I44" s="3"/>
    </row>
    <row r="45" customHeight="1" spans="1:9">
      <c r="A45" s="2"/>
      <c r="B45" s="2" t="str">
        <f>IFERROR(__xludf.DUMMYFUNCTION("IF(A45&lt;&gt;"""", GOOGLETRANSLATE(A45, ""en"", ""te""),"""")"),"")</f>
        <v/>
      </c>
      <c r="C45" s="2"/>
      <c r="D45" s="2" t="str">
        <f>IFERROR(__xludf.DUMMYFUNCTION("IF(C45&lt;&gt;"""", GOOGLETRANSLATE(C45, ""en"", ""te""),"""")"),"")</f>
        <v/>
      </c>
      <c r="E45" s="2"/>
      <c r="F45" s="2" t="str">
        <f>IFERROR(__xludf.DUMMYFUNCTION("IF(E45&lt;&gt;"""", GOOGLETRANSLATE(E45, ""en"", ""te""),"""")"),"")</f>
        <v/>
      </c>
      <c r="G45" s="2"/>
      <c r="H45" s="2" t="str">
        <f>IFERROR(__xludf.DUMMYFUNCTION("IF(G45&lt;&gt;"""", GOOGLETRANSLATE(G45, ""en"", ""te""),"""")"),"")</f>
        <v/>
      </c>
      <c r="I45" s="3"/>
    </row>
    <row r="46" customHeight="1" spans="1:9">
      <c r="A46" s="2" t="s">
        <v>31</v>
      </c>
      <c r="B46" s="2" t="str">
        <f>IFERROR(__xludf.DUMMYFUNCTION("IF(A46&lt;&gt;"""", GOOGLETRANSLATE(A46, ""en"", ""te""),"""")"),"[ 'ఇన్నింగ్స్ లో ఒక ఏబది ఐదు వికెట్లు' '1 వ ఉత్తమ సమ్మె ఇన్నింగ్స్ లో రేటు (4.2)', '1000 పరుగులు, 50 వికెట్లు, 50 క్యాచ్లు', '5000 పరుగులు మరియు 50 ఫీల్డింగ్ వికెట్లు', '8 వ ఉత్తమ బొమ్మలు పరాజయం వైపు ఉన్నప్పుడు ఒక ఇన్నింగ్స్ (4) ',' ఏడవ వికెట్కు 2 వ అత్య"&amp;"ధిక భాగస్వామ్యం (91) ']")</f>
        <v>[ 'ఇన్నింగ్స్ లో ఒక ఏబది ఐదు వికెట్లు' '1 వ ఉత్తమ సమ్మె ఇన్నింగ్స్ లో రేటు (4.2)', '1000 పరుగులు, 50 వికెట్లు, 50 క్యాచ్లు', '5000 పరుగులు మరియు 50 ఫీల్డింగ్ వికెట్లు', '8 వ ఉత్తమ బొమ్మలు పరాజయం వైపు ఉన్నప్పుడు ఒక ఇన్నింగ్స్ (4) ',' ఏడవ వికెట్కు 2 వ అత్యధిక భాగస్వామ్యం (91) ']</v>
      </c>
      <c r="C46" s="2" t="s">
        <v>32</v>
      </c>
      <c r="D46" s="2" t="str">
        <f>IFERROR(__xludf.DUMMYFUNCTION("IF(C46&lt;&gt;"""", GOOGLETRANSLATE(C46, ""en"", ""te""),"""")"),"[ '23 వ పరాజయం వైపు ఒక మ్యాచ్లో అత్యధిక పరుగులు (228)' 'ముందు 11 వ అత్యంత ఇన్నింగ్స్ తొలి డక్ (45)', 'కెరీర్లో 43 వ అత్యధిక క్యాచ్లు (95)', నాలుగో వికెట్కు '16 వ అత్యధిక భాగస్వామ్యం (310 ) ',' ఐదవ వికెట్కు 48 వ అత్యధిక భాగస్వామ్యం (219) ',' ఏడవ వికెట్ (1"&amp;"69 37 వ అత్యధిక భాగస్వామ్యం) ']")</f>
        <v>[ '23 వ పరాజయం వైపు ఒక మ్యాచ్లో అత్యధిక పరుగులు (228)' 'ముందు 11 వ అత్యంత ఇన్నింగ్స్ తొలి డక్ (45)', 'కెరీర్లో 43 వ అత్యధిక క్యాచ్లు (95)', నాలుగో వికెట్కు '16 వ అత్యధిక భాగస్వామ్యం (310 ) ',' ఐదవ వికెట్కు 48 వ అత్యధిక భాగస్వామ్యం (219) ',' ఏడవ వికెట్ (169 37 వ అత్యధిక భాగస్వామ్యం) ']</v>
      </c>
      <c r="E46" s="2" t="s">
        <v>33</v>
      </c>
      <c r="F46" s="2" t="str">
        <f>IFERROR(__xludf.DUMMYFUNCTION("IF(E46&lt;&gt;"""", GOOGLETRANSLATE(E46, ""en"", ""te""),"""")"),"[ '34 వ కెరీర్ తొంభైల (4)', 'ఒక కెప్టెన్తో ఒక ఇన్నింగ్స్ లో 26 వ బెస్ట్ ఫిగర్స్ (4)', '1 వ ఉత్తమ సమ్మె ఇన్నింగ్స్ లో రేటు (4.2)', '22 వ కెరీర్ (108) లో అత్యధిక క్యాచ్లు' '24th ఒక సిరీస్లో అత్యధిక క్యాచ్లు (8)', 'ఏడవ వికెట్ (110) కోసం 22 అత్యధిక భాగస్వామ్"&amp;"యం']")</f>
        <v>[ '34 వ కెరీర్ తొంభైల (4)', 'ఒక కెప్టెన్తో ఒక ఇన్నింగ్స్ లో 26 వ బెస్ట్ ఫిగర్స్ (4)', '1 వ ఉత్తమ సమ్మె ఇన్నింగ్స్ లో రేటు (4.2)', '22 వ కెరీర్ (108) లో అత్యధిక క్యాచ్లు' '24th ఒక సిరీస్లో అత్యధిక క్యాచ్లు (8)', 'ఏడవ వికెట్ (110) కోసం 22 అత్యధిక భాగస్వామ్యం']</v>
      </c>
      <c r="G46" s="2" t="s">
        <v>34</v>
      </c>
      <c r="H46" s="2" t="str">
        <f>IFERROR(__xludf.DUMMYFUNCTION("IF(G46&lt;&gt;"""", GOOGLETRANSLATE(G46, ""en"", ""te""),"""")"),"[ '13 వ ఇన్నింగ్స్ లో అత్యధిక పరుగులు (బ్యాటింగ్ స్థానంలో ప్రకారం) (79)', '38 వ అత్యధిక పరుగులు పరాజయం వైపు ఒక మ్యాచ్లో (79)', 'ఒక కెప్టెన్తో ఇన్నింగ్స్ లో 41 వ అత్యధిక పరుగులు (79)', ' ఒక ఇన్నింగ్స్ లో 8 వ బెస్ట్ ఫిగర్స్ ఉన్నప్పుడు పరాజయం వైపు (4) నాలు"&amp;"గో వికెట్కు ',' 26th అత్యధిక భాగస్వామ్యం (98) ',' ఐదో వికెట్కు (102) 4 వ అత్యధిక భాగస్వామ్యం ',' ఏడవ వికెట్కు 2 వ అత్యధిక భాగస్వామ్యం (91) ',' 27th లాంగెస్ట్ కెరీర్లు (12y 92d) ',' 14 వ లాంగెస్ట్ వ్యవధిలో ప్రదర్శనల మధ్య (6y 242d) ',' 14 వ అత్యధిక మ్యాచ్లు"&amp;" కెప్టెన్గా (30) ']")</f>
        <v>[ '13 వ ఇన్నింగ్స్ లో అత్యధిక పరుగులు (బ్యాటింగ్ స్థానంలో ప్రకారం) (79)', '38 వ అత్యధిక పరుగులు పరాజయం వైపు ఒక మ్యాచ్లో (79)', 'ఒక కెప్టెన్తో ఇన్నింగ్స్ లో 41 వ అత్యధిక పరుగులు (79)', ' ఒక ఇన్నింగ్స్ లో 8 వ బెస్ట్ ఫిగర్స్ ఉన్నప్పుడు పరాజయం వైపు (4) నాలుగో వికెట్కు ',' 26th అత్యధిక భాగస్వామ్యం (98) ',' ఐదో వికెట్కు (102) 4 వ అత్యధిక భాగస్వామ్యం ',' ఏడవ వికెట్కు 2 వ అత్యధిక భాగస్వామ్యం (91) ',' 27th లాంగెస్ట్ కెరీర్లు (12y 92d) ',' 14 వ లాంగెస్ట్ వ్యవధిలో ప్రదర్శనల మధ్య (6y 242d) ',' 14 వ అత్యధిక మ్యాచ్లు కెప్టెన్గా (30) ']</v>
      </c>
      <c r="I46" s="3"/>
    </row>
    <row r="47" customHeight="1" spans="1:9">
      <c r="A47" s="2"/>
      <c r="B47" s="2" t="str">
        <f>IFERROR(__xludf.DUMMYFUNCTION("IF(A47&lt;&gt;"""", GOOGLETRANSLATE(A47, ""en"", ""te""),"""")"),"")</f>
        <v/>
      </c>
      <c r="C47" s="2"/>
      <c r="D47" s="2" t="str">
        <f>IFERROR(__xludf.DUMMYFUNCTION("IF(C47&lt;&gt;"""", GOOGLETRANSLATE(C47, ""en"", ""te""),"""")"),"")</f>
        <v/>
      </c>
      <c r="E47" s="2"/>
      <c r="F47" s="2" t="str">
        <f>IFERROR(__xludf.DUMMYFUNCTION("IF(E47&lt;&gt;"""", GOOGLETRANSLATE(E47, ""en"", ""te""),"""")"),"")</f>
        <v/>
      </c>
      <c r="G47" s="2"/>
      <c r="H47" s="2" t="str">
        <f>IFERROR(__xludf.DUMMYFUNCTION("IF(G47&lt;&gt;"""", GOOGLETRANSLATE(G47, ""en"", ""te""),"""")"),"")</f>
        <v/>
      </c>
      <c r="I47" s="3"/>
    </row>
    <row r="48" customHeight="1" spans="1:9">
      <c r="A48" s="2"/>
      <c r="B48" s="2" t="str">
        <f>IFERROR(__xludf.DUMMYFUNCTION("IF(A48&lt;&gt;"""", GOOGLETRANSLATE(A48, ""en"", ""te""),"""")"),"")</f>
        <v/>
      </c>
      <c r="C48" s="2"/>
      <c r="D48" s="2" t="str">
        <f>IFERROR(__xludf.DUMMYFUNCTION("IF(C48&lt;&gt;"""", GOOGLETRANSLATE(C48, ""en"", ""te""),"""")"),"")</f>
        <v/>
      </c>
      <c r="E48" s="2"/>
      <c r="F48" s="2" t="str">
        <f>IFERROR(__xludf.DUMMYFUNCTION("IF(E48&lt;&gt;"""", GOOGLETRANSLATE(E48, ""en"", ""te""),"""")"),"")</f>
        <v/>
      </c>
      <c r="G48" s="2"/>
      <c r="H48" s="2" t="str">
        <f>IFERROR(__xludf.DUMMYFUNCTION("IF(G48&lt;&gt;"""", GOOGLETRANSLATE(G48, ""en"", ""te""),"""")"),"")</f>
        <v/>
      </c>
      <c r="I48" s="3"/>
    </row>
    <row r="49" customHeight="1" spans="1:9">
      <c r="A49" s="2"/>
      <c r="B49" s="2" t="str">
        <f>IFERROR(__xludf.DUMMYFUNCTION("IF(A49&lt;&gt;"""", GOOGLETRANSLATE(A49, ""en"", ""te""),"""")"),"")</f>
        <v/>
      </c>
      <c r="C49" s="2"/>
      <c r="D49" s="2" t="str">
        <f>IFERROR(__xludf.DUMMYFUNCTION("IF(C49&lt;&gt;"""", GOOGLETRANSLATE(C49, ""en"", ""te""),"""")"),"")</f>
        <v/>
      </c>
      <c r="E49" s="2"/>
      <c r="F49" s="2" t="str">
        <f>IFERROR(__xludf.DUMMYFUNCTION("IF(E49&lt;&gt;"""", GOOGLETRANSLATE(E49, ""en"", ""te""),"""")"),"")</f>
        <v/>
      </c>
      <c r="G49" s="2"/>
      <c r="H49" s="2" t="str">
        <f>IFERROR(__xludf.DUMMYFUNCTION("IF(G49&lt;&gt;"""", GOOGLETRANSLATE(G49, ""en"", ""te""),"""")"),"")</f>
        <v/>
      </c>
      <c r="I49" s="3"/>
    </row>
    <row r="50" customHeight="1" spans="1:9">
      <c r="A50" s="2"/>
      <c r="B50" s="2" t="str">
        <f>IFERROR(__xludf.DUMMYFUNCTION("IF(A50&lt;&gt;"""", GOOGLETRANSLATE(A50, ""en"", ""te""),"""")"),"")</f>
        <v/>
      </c>
      <c r="C50" s="2"/>
      <c r="D50" s="2" t="str">
        <f>IFERROR(__xludf.DUMMYFUNCTION("IF(C50&lt;&gt;"""", GOOGLETRANSLATE(C50, ""en"", ""te""),"""")"),"")</f>
        <v/>
      </c>
      <c r="E50" s="2"/>
      <c r="F50" s="2" t="str">
        <f>IFERROR(__xludf.DUMMYFUNCTION("IF(E50&lt;&gt;"""", GOOGLETRANSLATE(E50, ""en"", ""te""),"""")"),"")</f>
        <v/>
      </c>
      <c r="G50" s="2"/>
      <c r="H50" s="2" t="str">
        <f>IFERROR(__xludf.DUMMYFUNCTION("IF(G50&lt;&gt;"""", GOOGLETRANSLATE(G50, ""en"", ""te""),"""")"),"")</f>
        <v/>
      </c>
      <c r="I50" s="3"/>
    </row>
    <row r="51" customHeight="1" spans="1:9">
      <c r="A51" s="2"/>
      <c r="B51" s="2" t="str">
        <f>IFERROR(__xludf.DUMMYFUNCTION("IF(A51&lt;&gt;"""", GOOGLETRANSLATE(A51, ""en"", ""te""),"""")"),"")</f>
        <v/>
      </c>
      <c r="C51" s="2"/>
      <c r="D51" s="2" t="str">
        <f>IFERROR(__xludf.DUMMYFUNCTION("IF(C51&lt;&gt;"""", GOOGLETRANSLATE(C51, ""en"", ""te""),"""")"),"")</f>
        <v/>
      </c>
      <c r="E51" s="2"/>
      <c r="F51" s="2" t="str">
        <f>IFERROR(__xludf.DUMMYFUNCTION("IF(E51&lt;&gt;"""", GOOGLETRANSLATE(E51, ""en"", ""te""),"""")"),"")</f>
        <v/>
      </c>
      <c r="G51" s="2"/>
      <c r="H51" s="2" t="str">
        <f>IFERROR(__xludf.DUMMYFUNCTION("IF(G51&lt;&gt;"""", GOOGLETRANSLATE(G51, ""en"", ""te""),"""")"),"")</f>
        <v/>
      </c>
      <c r="I51" s="3"/>
    </row>
    <row r="52" customHeight="1" spans="1:9">
      <c r="A52" s="2"/>
      <c r="B52" s="2" t="str">
        <f>IFERROR(__xludf.DUMMYFUNCTION("IF(A52&lt;&gt;"""", GOOGLETRANSLATE(A52, ""en"", ""te""),"""")"),"")</f>
        <v/>
      </c>
      <c r="C52" s="2"/>
      <c r="D52" s="2" t="str">
        <f>IFERROR(__xludf.DUMMYFUNCTION("IF(C52&lt;&gt;"""", GOOGLETRANSLATE(C52, ""en"", ""te""),"""")"),"")</f>
        <v/>
      </c>
      <c r="E52" s="2"/>
      <c r="F52" s="2" t="str">
        <f>IFERROR(__xludf.DUMMYFUNCTION("IF(E52&lt;&gt;"""", GOOGLETRANSLATE(E52, ""en"", ""te""),"""")"),"")</f>
        <v/>
      </c>
      <c r="G52" s="2"/>
      <c r="H52" s="2" t="str">
        <f>IFERROR(__xludf.DUMMYFUNCTION("IF(G52&lt;&gt;"""", GOOGLETRANSLATE(G52, ""en"", ""te""),"""")"),"")</f>
        <v/>
      </c>
      <c r="I52" s="3"/>
    </row>
    <row r="53" customHeight="1" spans="1:9">
      <c r="A53" s="2"/>
      <c r="B53" s="2" t="str">
        <f>IFERROR(__xludf.DUMMYFUNCTION("IF(A53&lt;&gt;"""", GOOGLETRANSLATE(A53, ""en"", ""te""),"""")"),"")</f>
        <v/>
      </c>
      <c r="C53" s="2"/>
      <c r="D53" s="2" t="str">
        <f>IFERROR(__xludf.DUMMYFUNCTION("IF(C53&lt;&gt;"""", GOOGLETRANSLATE(C53, ""en"", ""te""),"""")"),"")</f>
        <v/>
      </c>
      <c r="E53" s="2"/>
      <c r="F53" s="2" t="str">
        <f>IFERROR(__xludf.DUMMYFUNCTION("IF(E53&lt;&gt;"""", GOOGLETRANSLATE(E53, ""en"", ""te""),"""")"),"")</f>
        <v/>
      </c>
      <c r="G53" s="2"/>
      <c r="H53" s="2" t="str">
        <f>IFERROR(__xludf.DUMMYFUNCTION("IF(G53&lt;&gt;"""", GOOGLETRANSLATE(G53, ""en"", ""te""),"""")"),"")</f>
        <v/>
      </c>
      <c r="I53" s="3"/>
    </row>
    <row r="54" customHeight="1" spans="1:9">
      <c r="A54" s="2"/>
      <c r="B54" s="2" t="str">
        <f>IFERROR(__xludf.DUMMYFUNCTION("IF(A54&lt;&gt;"""", GOOGLETRANSLATE(A54, ""en"", ""te""),"""")"),"")</f>
        <v/>
      </c>
      <c r="C54" s="2" t="s">
        <v>35</v>
      </c>
      <c r="D54" s="2" t="str">
        <f>IFERROR(__xludf.DUMMYFUNCTION("IF(C54&lt;&gt;"""", GOOGLETRANSLATE(C54, ""en"", ""te""),"""")"),"[ '27 కెరీర్ బాతులు (19)', '11 వ ఒక సిరీస్లో అత్యధిక బాతులు (4)', '15 వ అత్యుత్తమ బౌలింగ్ ఇన్నింగ్స్ లో విశ్లేషించడం (5/14)', '46 వ అత్యంత ఐదు-వికెట్ల ఇన్ an- ఒక వృత్తిలో ఇన్నింగ్స్ (13) ',' పది వికెట్ల లో ఒక మ్యాచ్ పడుతుంది 34 వ ఓల్డెస్ట్ ఆటగాడు (34y 42d"&amp;") ',' 41 వ బౌలర్ / ఫీల్డర్ కలయికలు (41) ',' 47 వ అత్యధిక వికెట్లు ఆకర్షించింది తీసుకున్న (155) ',' 48 వ అత్యధిక వికెట్లు సాధించిన వికెట్కీపర్గా (51) పట్టుకుంటే తీసుకున్న ']")</f>
        <v>[ '27 కెరీర్ బాతులు (19)', '11 వ ఒక సిరీస్లో అత్యధిక బాతులు (4)', '15 వ అత్యుత్తమ బౌలింగ్ ఇన్నింగ్స్ లో విశ్లేషించడం (5/14)', '46 వ అత్యంత ఐదు-వికెట్ల ఇన్ an- ఒక వృత్తిలో ఇన్నింగ్స్ (13) ',' పది వికెట్ల లో ఒక మ్యాచ్ పడుతుంది 34 వ ఓల్డెస్ట్ ఆటగాడు (34y 42d) ',' 41 వ బౌలర్ / ఫీల్డర్ కలయికలు (41) ',' 47 వ అత్యధిక వికెట్లు ఆకర్షించింది తీసుకున్న (155) ',' 48 వ అత్యధిక వికెట్లు సాధించిన వికెట్కీపర్గా (51) పట్టుకుంటే తీసుకున్న ']</v>
      </c>
      <c r="E54" s="2" t="s">
        <v>36</v>
      </c>
      <c r="F54" s="2" t="str">
        <f>IFERROR(__xludf.DUMMYFUNCTION("IF(E54&lt;&gt;"""", GOOGLETRANSLATE(E54, ""en"", ""te""),"""")"),"[ '32 వ ఉత్తమ ఇన్నింగ్స్ లో ఆర్థిక రేటు (0.87)']")</f>
        <v>[ '32 వ ఉత్తమ ఇన్నింగ్స్ లో ఆర్థిక రేటు (0.87)']</v>
      </c>
      <c r="G54" s="2"/>
      <c r="H54" s="2" t="str">
        <f>IFERROR(__xludf.DUMMYFUNCTION("IF(G54&lt;&gt;"""", GOOGLETRANSLATE(G54, ""en"", ""te""),"""")"),"")</f>
        <v/>
      </c>
      <c r="I54" s="3"/>
    </row>
    <row r="55" customHeight="1" spans="1:9">
      <c r="A55" s="2"/>
      <c r="B55" s="2" t="str">
        <f>IFERROR(__xludf.DUMMYFUNCTION("IF(A55&lt;&gt;"""", GOOGLETRANSLATE(A55, ""en"", ""te""),"""")"),"")</f>
        <v/>
      </c>
      <c r="C55" s="2"/>
      <c r="D55" s="2" t="str">
        <f>IFERROR(__xludf.DUMMYFUNCTION("IF(C55&lt;&gt;"""", GOOGLETRANSLATE(C55, ""en"", ""te""),"""")"),"")</f>
        <v/>
      </c>
      <c r="E55" s="2"/>
      <c r="F55" s="2" t="str">
        <f>IFERROR(__xludf.DUMMYFUNCTION("IF(E55&lt;&gt;"""", GOOGLETRANSLATE(E55, ""en"", ""te""),"""")"),"")</f>
        <v/>
      </c>
      <c r="G55" s="2"/>
      <c r="H55" s="2" t="str">
        <f>IFERROR(__xludf.DUMMYFUNCTION("IF(G55&lt;&gt;"""", GOOGLETRANSLATE(G55, ""en"", ""te""),"""")"),"")</f>
        <v/>
      </c>
      <c r="I55" s="3"/>
    </row>
    <row r="56" customHeight="1" spans="1:9">
      <c r="A56" s="2"/>
      <c r="B56" s="2" t="str">
        <f>IFERROR(__xludf.DUMMYFUNCTION("IF(A56&lt;&gt;"""", GOOGLETRANSLATE(A56, ""en"", ""te""),"""")"),"")</f>
        <v/>
      </c>
      <c r="C56" s="2"/>
      <c r="D56" s="2" t="str">
        <f>IFERROR(__xludf.DUMMYFUNCTION("IF(C56&lt;&gt;"""", GOOGLETRANSLATE(C56, ""en"", ""te""),"""")"),"")</f>
        <v/>
      </c>
      <c r="E56" s="2"/>
      <c r="F56" s="2" t="str">
        <f>IFERROR(__xludf.DUMMYFUNCTION("IF(E56&lt;&gt;"""", GOOGLETRANSLATE(E56, ""en"", ""te""),"""")"),"")</f>
        <v/>
      </c>
      <c r="G56" s="2"/>
      <c r="H56" s="2" t="str">
        <f>IFERROR(__xludf.DUMMYFUNCTION("IF(G56&lt;&gt;"""", GOOGLETRANSLATE(G56, ""en"", ""te""),"""")"),"")</f>
        <v/>
      </c>
      <c r="I56" s="3"/>
    </row>
    <row r="57" customHeight="1" spans="1:9">
      <c r="A57" s="2"/>
      <c r="B57" s="2" t="str">
        <f>IFERROR(__xludf.DUMMYFUNCTION("IF(A57&lt;&gt;"""", GOOGLETRANSLATE(A57, ""en"", ""te""),"""")"),"")</f>
        <v/>
      </c>
      <c r="C57" s="2" t="s">
        <v>37</v>
      </c>
      <c r="D57" s="2" t="str">
        <f>IFERROR(__xludf.DUMMYFUNCTION("IF(C57&lt;&gt;"""", GOOGLETRANSLATE(C57, ""en"", ""te""),"""")"),"[ 'తొలి 38 వ ఓల్డెస్ట్ క్రీడాకారులు (37y 229d)', 'కెప్టెన్సీ తొలి 20 వ ఓల్డెస్ట్ కాప్టెన్ (37y 229d)']")</f>
        <v>[ 'తొలి 38 వ ఓల్డెస్ట్ క్రీడాకారులు (37y 229d)', 'కెప్టెన్సీ తొలి 20 వ ఓల్డెస్ట్ కాప్టెన్ (37y 229d)']</v>
      </c>
      <c r="E57" s="2"/>
      <c r="F57" s="2" t="str">
        <f>IFERROR(__xludf.DUMMYFUNCTION("IF(E57&lt;&gt;"""", GOOGLETRANSLATE(E57, ""en"", ""te""),"""")"),"")</f>
        <v/>
      </c>
      <c r="G57" s="2"/>
      <c r="H57" s="2" t="str">
        <f>IFERROR(__xludf.DUMMYFUNCTION("IF(G57&lt;&gt;"""", GOOGLETRANSLATE(G57, ""en"", ""te""),"""")"),"")</f>
        <v/>
      </c>
      <c r="I57" s="3"/>
    </row>
    <row r="58" customHeight="1" spans="1:9">
      <c r="A58" s="2" t="s">
        <v>38</v>
      </c>
      <c r="B58" s="2" t="str">
        <f>IFERROR(__xludf.DUMMYFUNCTION("IF(A58&lt;&gt;"""", GOOGLETRANSLATE(A58, ""en"", ""te""),"""")"),"[ '2nd లాంగెస్ట్ కెరీర్లు (26y 356d)', 'కెప్టెన్సీ తొలి 7th ఓల్డెస్ట్ కాప్టెన్ (41y 182d)', '2 వ లాంగెస్ట్ కెరీర్లు (26y 356d)']")</f>
        <v>[ '2nd లాంగెస్ట్ కెరీర్లు (26y 356d)', 'కెప్టెన్సీ తొలి 7th ఓల్డెస్ట్ కాప్టెన్ (41y 182d)', '2 వ లాంగెస్ట్ కెరీర్లు (26y 356d)']</v>
      </c>
      <c r="C58" s="2" t="s">
        <v>39</v>
      </c>
      <c r="D58" s="2" t="str">
        <f>IFERROR(__xludf.DUMMYFUNCTION("IF(C58&lt;&gt;"""", GOOGLETRANSLATE(C58, ""en"", ""te""),"""")"),"[ 'ప్రదర్శనల మధ్య 44 వ లాంగెస్ట్ వ్యవధిలో (8y 280d)' '16 వ ఓల్డెస్ట్ క్రీడాకారులు (45y 140d)', '2 వ లాంగెస్ట్ కెరీర్లు (26y 356d)', '18 వ వరుస మ్యాచ్లు ప్రదర్శనల మధ్య బృందం (75) కోసం తప్పిన']")</f>
        <v>[ 'ప్రదర్శనల మధ్య 44 వ లాంగెస్ట్ వ్యవధిలో (8y 280d)' '16 వ ఓల్డెస్ట్ క్రీడాకారులు (45y 140d)', '2 వ లాంగెస్ట్ కెరీర్లు (26y 356d)', '18 వ వరుస మ్యాచ్లు ప్రదర్శనల మధ్య బృందం (75) కోసం తప్పిన']</v>
      </c>
      <c r="E58" s="2" t="s">
        <v>40</v>
      </c>
      <c r="F58" s="2" t="str">
        <f>IFERROR(__xludf.DUMMYFUNCTION("IF(E58&lt;&gt;"""", GOOGLETRANSLATE(E58, ""en"", ""te""),"""")"),"[ 'తొలి 14 వ ఓల్డెస్ట్ క్రీడాకారులు (41y 182d)', '24 వ ఓల్డెస్ట్ క్రీడాకారులు (41y 186d)', 7 వ ఓల్డెస్ట్ కెప్టెన్లు కెప్టెన్సీ న '2 వ లాంగెస్ట్ క్రీడాకారులు నివసించారు (84y 202d)', '8 వ ఓల్డెస్ట్ కాప్టెన్ (41y 186d)', ' ప్రవేశం (41y 182d) ']")</f>
        <v>[ 'తొలి 14 వ ఓల్డెస్ట్ క్రీడాకారులు (41y 182d)', '24 వ ఓల్డెస్ట్ క్రీడాకారులు (41y 186d)', 7 వ ఓల్డెస్ట్ కెప్టెన్లు కెప్టెన్సీ న '2 వ లాంగెస్ట్ క్రీడాకారులు నివసించారు (84y 202d)', '8 వ ఓల్డెస్ట్ కాప్టెన్ (41y 186d)', ' ప్రవేశం (41y 182d) ']</v>
      </c>
      <c r="G58" s="2"/>
      <c r="H58" s="2" t="str">
        <f>IFERROR(__xludf.DUMMYFUNCTION("IF(G58&lt;&gt;"""", GOOGLETRANSLATE(G58, ""en"", ""te""),"""")"),"")</f>
        <v/>
      </c>
      <c r="I58" s="3"/>
    </row>
    <row r="59" customHeight="1" spans="1:9">
      <c r="A59" s="2" t="s">
        <v>41</v>
      </c>
      <c r="B59" s="2" t="str">
        <f>IFERROR(__xludf.DUMMYFUNCTION("IF(A59&lt;&gt;"""", GOOGLETRANSLATE(A59, ""en"", ""te""),"""")"),"[ '4 వ పిన్న క్రీడాకారులు (15y 336d)', 'ఇన్నింగ్స్ లో 5 వ చెత్త ఆర్థిక రేటు (4.84)', 'పదవ వికెట్కు 5 వ అత్యధిక భాగస్వామ్యం (59)', '2 వ అత్యంత ఆకర్షించింది తీసుకోబడిన వికెట్ల మరియు బౌల్డ్ (13)', 'ఇన్నింగ్స్ లో 7 వ అత్యధిక పరుగులు (బ్యాటింగ్ స్థానంలో ప్రకార"&amp;"ం) (18 *)', '1 వ అత్యధిక వికెట్లు తీసుకున్న క్యాచ్ మరియు బౌల్డ్ (9)']")</f>
        <v>[ '4 వ పిన్న క్రీడాకారులు (15y 336d)', 'ఇన్నింగ్స్ లో 5 వ చెత్త ఆర్థిక రేటు (4.84)', 'పదవ వికెట్కు 5 వ అత్యధిక భాగస్వామ్యం (59)', '2 వ అత్యంత ఆకర్షించింది తీసుకోబడిన వికెట్ల మరియు బౌల్డ్ (13)', 'ఇన్నింగ్స్ లో 7 వ అత్యధిక పరుగులు (బ్యాటింగ్ స్థానంలో ప్రకారం) (18 *)', '1 వ అత్యధిక వికెట్లు తీసుకున్న క్యాచ్ మరియు బౌల్డ్ (9)']</v>
      </c>
      <c r="C59" s="2" t="s">
        <v>42</v>
      </c>
      <c r="D59" s="2" t="str">
        <f>IFERROR(__xludf.DUMMYFUNCTION("IF(C59&lt;&gt;"""", GOOGLETRANSLATE(C59, ""en"", ""te""),"""")"),"[ '5 వ చెత్త ఆర్థిక వ్యవస్థ ఇన్నింగ్స్లో రేటు (4.84)', 'పదవ వికెట్కు 5 వ అత్యధిక భాగస్వామ్యం (59)', '4 వ పిన్న క్రీడాకారులు (15y 336d)']")</f>
        <v>[ '5 వ చెత్త ఆర్థిక వ్యవస్థ ఇన్నింగ్స్లో రేటు (4.84)', 'పదవ వికెట్కు 5 వ అత్యధిక భాగస్వామ్యం (59)', '4 వ పిన్న క్రీడాకారులు (15y 336d)']</v>
      </c>
      <c r="E59" s="2" t="s">
        <v>43</v>
      </c>
      <c r="F59" s="2" t="str">
        <f>IFERROR(__xludf.DUMMYFUNCTION("IF(E59&lt;&gt;"""", GOOGLETRANSLATE(E59, ""en"", ""te""),"""")"),"[ '22 వ కెరీర్ లో అత్యధిక వికెట్లు (98)', '27 ఒక క్యాలెండర్ సంవత్సరంలో అత్యధిక వికెట్లు (23)', '11 వ ఒక ఇన్నింగ్స్ లోని బెస్ట్ ఫిగర్స్ కూడా ఓడిపోయింది వైపు (4)', '49 వ ఉత్తమ కెరీర్ సమ్మె రేటు (36.5 ) ',' 38 వ అత్యంత నాలుగు వికెట్లు-ఇన్-ఒక-ఇన్నింగ్స్ కెరీ"&amp;"ర్లో (3) ',' 26th కెరీర్ (3577) ',' 30 వ కెరీర్ లో సాధించిన అత్యధిక పరుగులు (2137) ',' 12 వ బౌలర్ బౌల్ అత్యంత బంతుల్లో / బ్యాట్స్ కలయికలు (6) ',' 13 వ బౌలర్ / ఫీల్డర్ కలయికలు (16) ',' 42 వ అత్యధిక వికెట్లు బౌల్డ్ తీసుకున్న (17) ',' 15 వ అత్యధిక వికెట్లు ("&amp;"62) ',' 2 వ అత్యంత ఆకర్షించింది తీసుకున్న క్యాచ్ వికెట్లు తీసుకున్న మరియు బౌల్డ్ ( 13) ',' 9 వ అత్యధిక వికెట్లు తీసుకున్న ఫీల్డర్ చేత క్యాచ్ (56) ',' 14 వ అత్యధిక వికెట్లు తీసుకున్న స్టంప్ (12) ',' తొమ్మిదవ వికెట్కు 50 వ అత్యధిక భాగస్వామ్యం (34) ',' 23 వ "&amp;"ఎత్తైన పదవ వికెట్కు భాగస్వామ్యానికి (31) ']")</f>
        <v>[ '22 వ కెరీర్ లో అత్యధిక వికెట్లు (98)', '27 ఒక క్యాలెండర్ సంవత్సరంలో అత్యధిక వికెట్లు (23)', '11 వ ఒక ఇన్నింగ్స్ లోని బెస్ట్ ఫిగర్స్ కూడా ఓడిపోయింది వైపు (4)', '49 వ ఉత్తమ కెరీర్ సమ్మె రేటు (36.5 ) ',' 38 వ అత్యంత నాలుగు వికెట్లు-ఇన్-ఒక-ఇన్నింగ్స్ కెరీర్లో (3) ',' 26th కెరీర్ (3577) ',' 30 వ కెరీర్ లో సాధించిన అత్యధిక పరుగులు (2137) ',' 12 వ బౌలర్ బౌల్ అత్యంత బంతుల్లో / బ్యాట్స్ కలయికలు (6) ',' 13 వ బౌలర్ / ఫీల్డర్ కలయికలు (16) ',' 42 వ అత్యధిక వికెట్లు బౌల్డ్ తీసుకున్న (17) ',' 15 వ అత్యధిక వికెట్లు (62) ',' 2 వ అత్యంత ఆకర్షించింది తీసుకున్న క్యాచ్ వికెట్లు తీసుకున్న మరియు బౌల్డ్ ( 13) ',' 9 వ అత్యధిక వికెట్లు తీసుకున్న ఫీల్డర్ చేత క్యాచ్ (56) ',' 14 వ అత్యధిక వికెట్లు తీసుకున్న స్టంప్ (12) ',' తొమ్మిదవ వికెట్కు 50 వ అత్యధిక భాగస్వామ్యం (34) ',' 23 వ ఎత్తైన పదవ వికెట్కు భాగస్వామ్యానికి (31) ']</v>
      </c>
      <c r="G59" s="2" t="s">
        <v>44</v>
      </c>
      <c r="H59" s="2" t="str">
        <f>IFERROR(__xludf.DUMMYFUNCTION("IF(G59&lt;&gt;"""", GOOGLETRANSLATE(G59, ""en"", ""te""),"""")"),"[ 'ఇన్నింగ్స్ లో 7 వ అత్యధిక పరుగులు (బ్యాటింగ్ స్థానంలో ప్రకారం) (18 *)', '21 వ కెరీర్ లో అత్యధిక వికెట్లు (63) ',' 22 వ ఒక క్యాలెండర్ సంవత్సరంలో అత్యధిక వికెట్లు (20) ',' 30 వ అత్యుత్తమ బౌలింగ్ ఇన్ విశ్లేషణలు ఇన్నింగ్స్ (4/9) ',' 19 ఒకే క్రీడా (10) ',' "&amp;"12 వ సగటు (15.41) ',' 13 వ ఉత్తమ కెరీర్ ఎకానమీ రేట్ బౌలింగ్ ఉత్తమ కెరీర్ (5.19) ',' 16 వ ఉత్తమ కెరీర్ సమ్మె రేటు ఎక్కువ వికెట్లు ( 17.7) ',' 31 కెరీర్లో బౌల్డ్ చాలా బంతుల్లో (1121) ',' 41 వ అత్యధిక పరుగులు కెరీర్లో సాధించిన (971) ',' 5 వ బౌలర్ / బ్యాట్స్ "&amp;"కలయికలు (6) ', '21 వ బౌలర్ / ఫీల్డర్ కలయికలు (9)', '35 వ అత్యధిక వికెట్లు బౌల్డ్ తీసుకున్న (12)', '18 వ అత్యధిక వికెట్లు తీసుకున్న ఆకర్షించింది (39)', '1 వ అత్యధిక వికెట్లు తీసుకున్న క్యాచ్ మరియు బౌల్డ్ (9)', '16 వ అత్యధిక వికెట్లు ఒక ఫీల్డర్ చేత క్యాచ్ త"&amp;"ీసుకున్న (36)', ' 24 వ అత్యంత తీసుకున్న ఎల్బిడబ్ల్యు వికెట్స్ (7) ',' 43 వ అత్యధిక వికెట్లు స్టంప్ (5) ',' 44 వ కెరీర్ లో అత్యధిక క్యాచ్లు (19) ',' తొమ్మిదవ వికెట్కు 25 అత్యధిక భాగస్వామ్యం (18 *) 'తీసిన]")</f>
        <v>[ 'ఇన్నింగ్స్ లో 7 వ అత్యధిక పరుగులు (బ్యాటింగ్ స్థానంలో ప్రకారం) (18 *)', '21 వ కెరీర్ లో అత్యధిక వికెట్లు (63) ',' 22 వ ఒక క్యాలెండర్ సంవత్సరంలో అత్యధిక వికెట్లు (20) ',' 30 వ అత్యుత్తమ బౌలింగ్ ఇన్ విశ్లేషణలు ఇన్నింగ్స్ (4/9) ',' 19 ఒకే క్రీడా (10) ',' 12 వ సగటు (15.41) ',' 13 వ ఉత్తమ కెరీర్ ఎకానమీ రేట్ బౌలింగ్ ఉత్తమ కెరీర్ (5.19) ',' 16 వ ఉత్తమ కెరీర్ సమ్మె రేటు ఎక్కువ వికెట్లు ( 17.7) ',' 31 కెరీర్లో బౌల్డ్ చాలా బంతుల్లో (1121) ',' 41 వ అత్యధిక పరుగులు కెరీర్లో సాధించిన (971) ',' 5 వ బౌలర్ / బ్యాట్స్ కలయికలు (6) ', '21 వ బౌలర్ / ఫీల్డర్ కలయికలు (9)', '35 వ అత్యధిక వికెట్లు బౌల్డ్ తీసుకున్న (12)', '18 వ అత్యధిక వికెట్లు తీసుకున్న ఆకర్షించింది (39)', '1 వ అత్యధిక వికెట్లు తీసుకున్న క్యాచ్ మరియు బౌల్డ్ (9)', '16 వ అత్యధిక వికెట్లు ఒక ఫీల్డర్ చేత క్యాచ్ తీసుకున్న (36)', ' 24 వ అత్యంత తీసుకున్న ఎల్బిడబ్ల్యు వికెట్స్ (7) ',' 43 వ అత్యధిక వికెట్లు స్టంప్ (5) ',' 44 వ కెరీర్ లో అత్యధిక క్యాచ్లు (19) ',' తొమ్మిదవ వికెట్కు 25 అత్యధిక భాగస్వామ్యం (18 *) 'తీసిన]</v>
      </c>
      <c r="I59" s="3"/>
    </row>
    <row r="60" customHeight="1" spans="1:9">
      <c r="A60" s="2"/>
      <c r="B60" s="2" t="str">
        <f>IFERROR(__xludf.DUMMYFUNCTION("IF(A60&lt;&gt;"""", GOOGLETRANSLATE(A60, ""en"", ""te""),"""")"),"")</f>
        <v/>
      </c>
      <c r="C60" s="2"/>
      <c r="D60" s="2" t="str">
        <f>IFERROR(__xludf.DUMMYFUNCTION("IF(C60&lt;&gt;"""", GOOGLETRANSLATE(C60, ""en"", ""te""),"""")"),"")</f>
        <v/>
      </c>
      <c r="E60" s="2"/>
      <c r="F60" s="2" t="str">
        <f>IFERROR(__xludf.DUMMYFUNCTION("IF(E60&lt;&gt;"""", GOOGLETRANSLATE(E60, ""en"", ""te""),"""")"),"")</f>
        <v/>
      </c>
      <c r="G60" s="2"/>
      <c r="H60" s="2" t="str">
        <f>IFERROR(__xludf.DUMMYFUNCTION("IF(G60&lt;&gt;"""", GOOGLETRANSLATE(G60, ""en"", ""te""),"""")"),"")</f>
        <v/>
      </c>
      <c r="I60" s="3"/>
    </row>
    <row r="61" customHeight="1" spans="1:9">
      <c r="A61" s="2"/>
      <c r="B61" s="2" t="str">
        <f>IFERROR(__xludf.DUMMYFUNCTION("IF(A61&lt;&gt;"""", GOOGLETRANSLATE(A61, ""en"", ""te""),"""")"),"")</f>
        <v/>
      </c>
      <c r="C61" s="2"/>
      <c r="D61" s="2" t="str">
        <f>IFERROR(__xludf.DUMMYFUNCTION("IF(C61&lt;&gt;"""", GOOGLETRANSLATE(C61, ""en"", ""te""),"""")"),"")</f>
        <v/>
      </c>
      <c r="E61" s="2"/>
      <c r="F61" s="2" t="str">
        <f>IFERROR(__xludf.DUMMYFUNCTION("IF(E61&lt;&gt;"""", GOOGLETRANSLATE(E61, ""en"", ""te""),"""")"),"")</f>
        <v/>
      </c>
      <c r="G61" s="2"/>
      <c r="H61" s="2" t="str">
        <f>IFERROR(__xludf.DUMMYFUNCTION("IF(G61&lt;&gt;"""", GOOGLETRANSLATE(G61, ""en"", ""te""),"""")"),"")</f>
        <v/>
      </c>
      <c r="I61" s="3"/>
    </row>
    <row r="62" customHeight="1" spans="1:9">
      <c r="A62" s="2"/>
      <c r="B62" s="2" t="str">
        <f>IFERROR(__xludf.DUMMYFUNCTION("IF(A62&lt;&gt;"""", GOOGLETRANSLATE(A62, ""en"", ""te""),"""")"),"")</f>
        <v/>
      </c>
      <c r="C62" s="2" t="s">
        <v>45</v>
      </c>
      <c r="D62" s="2" t="str">
        <f>IFERROR(__xludf.DUMMYFUNCTION("IF(C62&lt;&gt;"""", GOOGLETRANSLATE(C62, ""en"", ""te""),"""")"),"[ '15 మ్యాచ్లో ఉత్తమ సంఖ్యలు ఉన్నప్పుడు పరాజయం వైపు (11)', '33 వ ప్రవేశం (8) ఒక మ్యాచ్లో బెస్ట్ ఫిగర్స్']")</f>
        <v>[ '15 మ్యాచ్లో ఉత్తమ సంఖ్యలు ఉన్నప్పుడు పరాజయం వైపు (11)', '33 వ ప్రవేశం (8) ఒక మ్యాచ్లో బెస్ట్ ఫిగర్స్']</v>
      </c>
      <c r="E62" s="2"/>
      <c r="F62" s="2" t="str">
        <f>IFERROR(__xludf.DUMMYFUNCTION("IF(E62&lt;&gt;"""", GOOGLETRANSLATE(E62, ""en"", ""te""),"""")"),"")</f>
        <v/>
      </c>
      <c r="G62" s="2"/>
      <c r="H62" s="2" t="str">
        <f>IFERROR(__xludf.DUMMYFUNCTION("IF(G62&lt;&gt;"""", GOOGLETRANSLATE(G62, ""en"", ""te""),"""")"),"")</f>
        <v/>
      </c>
      <c r="I62" s="3"/>
    </row>
    <row r="63" customHeight="1" spans="1:9">
      <c r="A63" s="2"/>
      <c r="B63" s="2" t="str">
        <f>IFERROR(__xludf.DUMMYFUNCTION("IF(A63&lt;&gt;"""", GOOGLETRANSLATE(A63, ""en"", ""te""),"""")"),"")</f>
        <v/>
      </c>
      <c r="C63" s="2"/>
      <c r="D63" s="2" t="str">
        <f>IFERROR(__xludf.DUMMYFUNCTION("IF(C63&lt;&gt;"""", GOOGLETRANSLATE(C63, ""en"", ""te""),"""")"),"")</f>
        <v/>
      </c>
      <c r="E63" s="2"/>
      <c r="F63" s="2" t="str">
        <f>IFERROR(__xludf.DUMMYFUNCTION("IF(E63&lt;&gt;"""", GOOGLETRANSLATE(E63, ""en"", ""te""),"""")"),"")</f>
        <v/>
      </c>
      <c r="G63" s="2"/>
      <c r="H63" s="2" t="str">
        <f>IFERROR(__xludf.DUMMYFUNCTION("IF(G63&lt;&gt;"""", GOOGLETRANSLATE(G63, ""en"", ""te""),"""")"),"")</f>
        <v/>
      </c>
      <c r="I63" s="3"/>
    </row>
    <row r="64" customHeight="1" spans="1:9">
      <c r="A64" s="2"/>
      <c r="B64" s="2" t="str">
        <f>IFERROR(__xludf.DUMMYFUNCTION("IF(A64&lt;&gt;"""", GOOGLETRANSLATE(A64, ""en"", ""te""),"""")"),"")</f>
        <v/>
      </c>
      <c r="C64" s="2"/>
      <c r="D64" s="2" t="str">
        <f>IFERROR(__xludf.DUMMYFUNCTION("IF(C64&lt;&gt;"""", GOOGLETRANSLATE(C64, ""en"", ""te""),"""")"),"")</f>
        <v/>
      </c>
      <c r="E64" s="2"/>
      <c r="F64" s="2" t="str">
        <f>IFERROR(__xludf.DUMMYFUNCTION("IF(E64&lt;&gt;"""", GOOGLETRANSLATE(E64, ""en"", ""te""),"""")"),"")</f>
        <v/>
      </c>
      <c r="G64" s="2"/>
      <c r="H64" s="2" t="str">
        <f>IFERROR(__xludf.DUMMYFUNCTION("IF(G64&lt;&gt;"""", GOOGLETRANSLATE(G64, ""en"", ""te""),"""")"),"")</f>
        <v/>
      </c>
      <c r="I64" s="3"/>
    </row>
    <row r="65" customHeight="1" spans="1:9">
      <c r="A65" s="2"/>
      <c r="B65" s="2" t="str">
        <f>IFERROR(__xludf.DUMMYFUNCTION("IF(A65&lt;&gt;"""", GOOGLETRANSLATE(A65, ""en"", ""te""),"""")"),"")</f>
        <v/>
      </c>
      <c r="C65" s="2"/>
      <c r="D65" s="2" t="str">
        <f>IFERROR(__xludf.DUMMYFUNCTION("IF(C65&lt;&gt;"""", GOOGLETRANSLATE(C65, ""en"", ""te""),"""")"),"")</f>
        <v/>
      </c>
      <c r="E65" s="2"/>
      <c r="F65" s="2" t="str">
        <f>IFERROR(__xludf.DUMMYFUNCTION("IF(E65&lt;&gt;"""", GOOGLETRANSLATE(E65, ""en"", ""te""),"""")"),"")</f>
        <v/>
      </c>
      <c r="G65" s="2"/>
      <c r="H65" s="2" t="str">
        <f>IFERROR(__xludf.DUMMYFUNCTION("IF(G65&lt;&gt;"""", GOOGLETRANSLATE(G65, ""en"", ""te""),"""")"),"")</f>
        <v/>
      </c>
      <c r="I65" s="3"/>
    </row>
    <row r="66" customHeight="1" spans="1:9">
      <c r="A66" s="2"/>
      <c r="B66" s="2" t="str">
        <f>IFERROR(__xludf.DUMMYFUNCTION("IF(A66&lt;&gt;"""", GOOGLETRANSLATE(A66, ""en"", ""te""),"""")"),"")</f>
        <v/>
      </c>
      <c r="C66" s="2" t="s">
        <v>46</v>
      </c>
      <c r="D66" s="2" t="str">
        <f>IFERROR(__xludf.DUMMYFUNCTION("IF(C66&lt;&gt;"""", GOOGLETRANSLATE(C66, ""en"", ""te""),"""")"),"[18 వ అత్యంత బంతుల్లో ఇన్నింగ్స్ (462) లో బౌల్డ్ ']")</f>
        <v>[18 వ అత్యంత బంతుల్లో ఇన్నింగ్స్ (462) లో బౌల్డ్ ']</v>
      </c>
      <c r="E66" s="2"/>
      <c r="F66" s="2" t="str">
        <f>IFERROR(__xludf.DUMMYFUNCTION("IF(E66&lt;&gt;"""", GOOGLETRANSLATE(E66, ""en"", ""te""),"""")"),"")</f>
        <v/>
      </c>
      <c r="G66" s="2"/>
      <c r="H66" s="2" t="str">
        <f>IFERROR(__xludf.DUMMYFUNCTION("IF(G66&lt;&gt;"""", GOOGLETRANSLATE(G66, ""en"", ""te""),"""")"),"")</f>
        <v/>
      </c>
      <c r="I66" s="3"/>
    </row>
    <row r="67" customHeight="1" spans="1:9">
      <c r="A67" s="2"/>
      <c r="B67" s="2" t="str">
        <f>IFERROR(__xludf.DUMMYFUNCTION("IF(A67&lt;&gt;"""", GOOGLETRANSLATE(A67, ""en"", ""te""),"""")"),"")</f>
        <v/>
      </c>
      <c r="C67" s="2"/>
      <c r="D67" s="2" t="str">
        <f>IFERROR(__xludf.DUMMYFUNCTION("IF(C67&lt;&gt;"""", GOOGLETRANSLATE(C67, ""en"", ""te""),"""")"),"")</f>
        <v/>
      </c>
      <c r="E67" s="2"/>
      <c r="F67" s="2" t="str">
        <f>IFERROR(__xludf.DUMMYFUNCTION("IF(E67&lt;&gt;"""", GOOGLETRANSLATE(E67, ""en"", ""te""),"""")"),"")</f>
        <v/>
      </c>
      <c r="G67" s="2"/>
      <c r="H67" s="2" t="str">
        <f>IFERROR(__xludf.DUMMYFUNCTION("IF(G67&lt;&gt;"""", GOOGLETRANSLATE(G67, ""en"", ""te""),"""")"),"")</f>
        <v/>
      </c>
      <c r="I67" s="3"/>
    </row>
    <row r="68" customHeight="1" spans="1:9">
      <c r="A68" s="2"/>
      <c r="B68" s="2" t="str">
        <f>IFERROR(__xludf.DUMMYFUNCTION("IF(A68&lt;&gt;"""", GOOGLETRANSLATE(A68, ""en"", ""te""),"""")"),"")</f>
        <v/>
      </c>
      <c r="C68" s="2" t="s">
        <v>47</v>
      </c>
      <c r="D68" s="2" t="str">
        <f>IFERROR(__xludf.DUMMYFUNCTION("IF(C68&lt;&gt;"""", GOOGLETRANSLATE(C68, ""en"", ""te""),"""")"),"[ '15 వ అత్యధిక పరుగులు సాధించిన తొలి ఐదు వికెట్ల లో-ఒక-ఇన్నింగ్స్ (37y 145d) తీసుకోవాలని 17 వ అత్యంత వృద్ధ ఆటగాడు' '37 వ అత్యంత వృద్ధ ఆటగాడు (37y 145d) ఐదు వికెట్లు-ఇన్-ఒక-ఇన్నింగ్స్ తీసుకోవాలని', ఒక మ్యాచ్లో (282) ',' తొలి 44 వ ఓల్డెస్ట్ క్రీడాకారులు (3"&amp;"7y 145d) ']")</f>
        <v>[ '15 వ అత్యధిక పరుగులు సాధించిన తొలి ఐదు వికెట్ల లో-ఒక-ఇన్నింగ్స్ (37y 145d) తీసుకోవాలని 17 వ అత్యంత వృద్ధ ఆటగాడు' '37 వ అత్యంత వృద్ధ ఆటగాడు (37y 145d) ఐదు వికెట్లు-ఇన్-ఒక-ఇన్నింగ్స్ తీసుకోవాలని', ఒక మ్యాచ్లో (282) ',' తొలి 44 వ ఓల్డెస్ట్ క్రీడాకారులు (37y 145d) ']</v>
      </c>
      <c r="E68" s="2"/>
      <c r="F68" s="2" t="str">
        <f>IFERROR(__xludf.DUMMYFUNCTION("IF(E68&lt;&gt;"""", GOOGLETRANSLATE(E68, ""en"", ""te""),"""")"),"")</f>
        <v/>
      </c>
      <c r="G68" s="2"/>
      <c r="H68" s="2" t="str">
        <f>IFERROR(__xludf.DUMMYFUNCTION("IF(G68&lt;&gt;"""", GOOGLETRANSLATE(G68, ""en"", ""te""),"""")"),"")</f>
        <v/>
      </c>
      <c r="I68" s="3"/>
    </row>
    <row r="69" customHeight="1" spans="1:9">
      <c r="A69" s="2"/>
      <c r="B69" s="2" t="str">
        <f>IFERROR(__xludf.DUMMYFUNCTION("IF(A69&lt;&gt;"""", GOOGLETRANSLATE(A69, ""en"", ""te""),"""")"),"")</f>
        <v/>
      </c>
      <c r="C69" s="2"/>
      <c r="D69" s="2" t="str">
        <f>IFERROR(__xludf.DUMMYFUNCTION("IF(C69&lt;&gt;"""", GOOGLETRANSLATE(C69, ""en"", ""te""),"""")"),"")</f>
        <v/>
      </c>
      <c r="E69" s="2"/>
      <c r="F69" s="2" t="str">
        <f>IFERROR(__xludf.DUMMYFUNCTION("IF(E69&lt;&gt;"""", GOOGLETRANSLATE(E69, ""en"", ""te""),"""")"),"")</f>
        <v/>
      </c>
      <c r="G69" s="2"/>
      <c r="H69" s="2" t="str">
        <f>IFERROR(__xludf.DUMMYFUNCTION("IF(G69&lt;&gt;"""", GOOGLETRANSLATE(G69, ""en"", ""te""),"""")"),"")</f>
        <v/>
      </c>
      <c r="I69" s="3"/>
    </row>
    <row r="70" customHeight="1" spans="1:9">
      <c r="A70" s="2"/>
      <c r="B70" s="2" t="str">
        <f>IFERROR(__xludf.DUMMYFUNCTION("IF(A70&lt;&gt;"""", GOOGLETRANSLATE(A70, ""en"", ""te""),"""")"),"")</f>
        <v/>
      </c>
      <c r="C70" s="2" t="s">
        <v>48</v>
      </c>
      <c r="D70" s="2" t="str">
        <f>IFERROR(__xludf.DUMMYFUNCTION("IF(C70&lt;&gt;"""", GOOGLETRANSLATE(C70, ""en"", ""te""),"""")"),"[ '11 వ చెత్త కెరీర్ (193.00) (అర్హత లేకుండా) సగటు బౌలింగ్', '47 వ ఇన్నింగ్స్ (193) లో సాధించిన అత్యధిక పరుగులు']")</f>
        <v>[ '11 వ చెత్త కెరీర్ (193.00) (అర్హత లేకుండా) సగటు బౌలింగ్', '47 వ ఇన్నింగ్స్ (193) లో సాధించిన అత్యధిక పరుగులు']</v>
      </c>
      <c r="E70" s="2"/>
      <c r="F70" s="2" t="str">
        <f>IFERROR(__xludf.DUMMYFUNCTION("IF(E70&lt;&gt;"""", GOOGLETRANSLATE(E70, ""en"", ""te""),"""")"),"")</f>
        <v/>
      </c>
      <c r="G70" s="2"/>
      <c r="H70" s="2" t="str">
        <f>IFERROR(__xludf.DUMMYFUNCTION("IF(G70&lt;&gt;"""", GOOGLETRANSLATE(G70, ""en"", ""te""),"""")"),"")</f>
        <v/>
      </c>
      <c r="I70" s="3"/>
    </row>
    <row r="71" customHeight="1" spans="1:9">
      <c r="A71" s="2"/>
      <c r="B71" s="2" t="str">
        <f>IFERROR(__xludf.DUMMYFUNCTION("IF(A71&lt;&gt;"""", GOOGLETRANSLATE(A71, ""en"", ""te""),"""")"),"")</f>
        <v/>
      </c>
      <c r="C71" s="2"/>
      <c r="D71" s="2" t="str">
        <f>IFERROR(__xludf.DUMMYFUNCTION("IF(C71&lt;&gt;"""", GOOGLETRANSLATE(C71, ""en"", ""te""),"""")"),"")</f>
        <v/>
      </c>
      <c r="E71" s="2"/>
      <c r="F71" s="2" t="str">
        <f>IFERROR(__xludf.DUMMYFUNCTION("IF(E71&lt;&gt;"""", GOOGLETRANSLATE(E71, ""en"", ""te""),"""")"),"")</f>
        <v/>
      </c>
      <c r="G71" s="2"/>
      <c r="H71" s="2" t="str">
        <f>IFERROR(__xludf.DUMMYFUNCTION("IF(G71&lt;&gt;"""", GOOGLETRANSLATE(G71, ""en"", ""te""),"""")"),"")</f>
        <v/>
      </c>
      <c r="I71" s="3"/>
    </row>
    <row r="72" customHeight="1" spans="1:9">
      <c r="A72" s="2"/>
      <c r="B72" s="2" t="str">
        <f>IFERROR(__xludf.DUMMYFUNCTION("IF(A72&lt;&gt;"""", GOOGLETRANSLATE(A72, ""en"", ""te""),"""")"),"")</f>
        <v/>
      </c>
      <c r="C72" s="2"/>
      <c r="D72" s="2" t="str">
        <f>IFERROR(__xludf.DUMMYFUNCTION("IF(C72&lt;&gt;"""", GOOGLETRANSLATE(C72, ""en"", ""te""),"""")"),"")</f>
        <v/>
      </c>
      <c r="E72" s="2"/>
      <c r="F72" s="2" t="str">
        <f>IFERROR(__xludf.DUMMYFUNCTION("IF(E72&lt;&gt;"""", GOOGLETRANSLATE(E72, ""en"", ""te""),"""")"),"")</f>
        <v/>
      </c>
      <c r="G72" s="2"/>
      <c r="H72" s="2" t="str">
        <f>IFERROR(__xludf.DUMMYFUNCTION("IF(G72&lt;&gt;"""", GOOGLETRANSLATE(G72, ""en"", ""te""),"""")"),"")</f>
        <v/>
      </c>
      <c r="I72" s="3"/>
    </row>
    <row r="73" customHeight="1" spans="1:9">
      <c r="A73" s="2"/>
      <c r="B73" s="2" t="str">
        <f>IFERROR(__xludf.DUMMYFUNCTION("IF(A73&lt;&gt;"""", GOOGLETRANSLATE(A73, ""en"", ""te""),"""")"),"")</f>
        <v/>
      </c>
      <c r="C73" s="2"/>
      <c r="D73" s="2" t="str">
        <f>IFERROR(__xludf.DUMMYFUNCTION("IF(C73&lt;&gt;"""", GOOGLETRANSLATE(C73, ""en"", ""te""),"""")"),"")</f>
        <v/>
      </c>
      <c r="E73" s="2"/>
      <c r="F73" s="2" t="str">
        <f>IFERROR(__xludf.DUMMYFUNCTION("IF(E73&lt;&gt;"""", GOOGLETRANSLATE(E73, ""en"", ""te""),"""")"),"")</f>
        <v/>
      </c>
      <c r="G73" s="2"/>
      <c r="H73" s="2" t="str">
        <f>IFERROR(__xludf.DUMMYFUNCTION("IF(G73&lt;&gt;"""", GOOGLETRANSLATE(G73, ""en"", ""te""),"""")"),"")</f>
        <v/>
      </c>
      <c r="I73" s="3"/>
    </row>
    <row r="74" customHeight="1" spans="1:9">
      <c r="A74" s="2"/>
      <c r="B74" s="2" t="str">
        <f>IFERROR(__xludf.DUMMYFUNCTION("IF(A74&lt;&gt;"""", GOOGLETRANSLATE(A74, ""en"", ""te""),"""")"),"")</f>
        <v/>
      </c>
      <c r="C74" s="2" t="s">
        <v>49</v>
      </c>
      <c r="D74" s="2" t="str">
        <f>IFERROR(__xludf.DUMMYFUNCTION("IF(C74&lt;&gt;"""", GOOGLETRANSLATE(C74, ""en"", ""te""),"""")"),"[ '27 పిన్న కాప్టెన్ (25y 40D)', '24 వ అత్యధిక మ్యాచ్లు ఒక మ్యాచ్ రిఫరీ (9) గా']")</f>
        <v>[ '27 పిన్న కాప్టెన్ (25y 40D)', '24 వ అత్యధిక మ్యాచ్లు ఒక మ్యాచ్ రిఫరీ (9) గా']</v>
      </c>
      <c r="E74" s="2" t="s">
        <v>50</v>
      </c>
      <c r="F74" s="2" t="str">
        <f>IFERROR(__xludf.DUMMYFUNCTION("IF(E74&lt;&gt;"""", GOOGLETRANSLATE(E74, ""en"", ""te""),"""")"),"[ '29 ఒక మ్యాచ్ రిఫరీ గా అత్యధిక మ్యాచ్లు (19)']")</f>
        <v>[ '29 ఒక మ్యాచ్ రిఫరీ గా అత్యధిక మ్యాచ్లు (19)']</v>
      </c>
      <c r="G74" s="2"/>
      <c r="H74" s="2" t="str">
        <f>IFERROR(__xludf.DUMMYFUNCTION("IF(G74&lt;&gt;"""", GOOGLETRANSLATE(G74, ""en"", ""te""),"""")"),"")</f>
        <v/>
      </c>
      <c r="I74" s="3"/>
    </row>
    <row r="75" customHeight="1" spans="1:9">
      <c r="A75" s="2"/>
      <c r="B75" s="2" t="str">
        <f>IFERROR(__xludf.DUMMYFUNCTION("IF(A75&lt;&gt;"""", GOOGLETRANSLATE(A75, ""en"", ""te""),"""")"),"")</f>
        <v/>
      </c>
      <c r="C75" s="2" t="s">
        <v>51</v>
      </c>
      <c r="D75" s="2" t="str">
        <f>IFERROR(__xludf.DUMMYFUNCTION("IF(C75&lt;&gt;"""", GOOGLETRANSLATE(C75, ""en"", ""te""),"""")"),"[ '41 వ ఉత్తమ కెరీర్ బౌలింగ్ సరాసరి (అర్హత లేకుండా) (12.16)', 'ఇన్నింగ్స్ లో 50 వ ఉత్తమ ఆర్థిక రేటు (0.63)']")</f>
        <v>[ '41 వ ఉత్తమ కెరీర్ బౌలింగ్ సరాసరి (అర్హత లేకుండా) (12.16)', 'ఇన్నింగ్స్ లో 50 వ ఉత్తమ ఆర్థిక రేటు (0.63)']</v>
      </c>
      <c r="E75" s="2"/>
      <c r="F75" s="2" t="str">
        <f>IFERROR(__xludf.DUMMYFUNCTION("IF(E75&lt;&gt;"""", GOOGLETRANSLATE(E75, ""en"", ""te""),"""")"),"")</f>
        <v/>
      </c>
      <c r="G75" s="2"/>
      <c r="H75" s="2" t="str">
        <f>IFERROR(__xludf.DUMMYFUNCTION("IF(G75&lt;&gt;"""", GOOGLETRANSLATE(G75, ""en"", ""te""),"""")"),"")</f>
        <v/>
      </c>
      <c r="I75" s="3"/>
    </row>
    <row r="76" customHeight="1" spans="1:9">
      <c r="A76" s="2"/>
      <c r="B76" s="2" t="str">
        <f>IFERROR(__xludf.DUMMYFUNCTION("IF(A76&lt;&gt;"""", GOOGLETRANSLATE(A76, ""en"", ""te""),"""")"),"")</f>
        <v/>
      </c>
      <c r="C76" s="2"/>
      <c r="D76" s="2" t="str">
        <f>IFERROR(__xludf.DUMMYFUNCTION("IF(C76&lt;&gt;"""", GOOGLETRANSLATE(C76, ""en"", ""te""),"""")"),"")</f>
        <v/>
      </c>
      <c r="E76" s="2"/>
      <c r="F76" s="2" t="str">
        <f>IFERROR(__xludf.DUMMYFUNCTION("IF(E76&lt;&gt;"""", GOOGLETRANSLATE(E76, ""en"", ""te""),"""")"),"")</f>
        <v/>
      </c>
      <c r="G76" s="2"/>
      <c r="H76" s="2" t="str">
        <f>IFERROR(__xludf.DUMMYFUNCTION("IF(G76&lt;&gt;"""", GOOGLETRANSLATE(G76, ""en"", ""te""),"""")"),"")</f>
        <v/>
      </c>
      <c r="I76" s="3"/>
    </row>
    <row r="77" customHeight="1" spans="1:9">
      <c r="A77" s="2"/>
      <c r="B77" s="2" t="str">
        <f>IFERROR(__xludf.DUMMYFUNCTION("IF(A77&lt;&gt;"""", GOOGLETRANSLATE(A77, ""en"", ""te""),"""")"),"")</f>
        <v/>
      </c>
      <c r="C77" s="2"/>
      <c r="D77" s="2" t="str">
        <f>IFERROR(__xludf.DUMMYFUNCTION("IF(C77&lt;&gt;"""", GOOGLETRANSLATE(C77, ""en"", ""te""),"""")"),"")</f>
        <v/>
      </c>
      <c r="E77" s="2"/>
      <c r="F77" s="2" t="str">
        <f>IFERROR(__xludf.DUMMYFUNCTION("IF(E77&lt;&gt;"""", GOOGLETRANSLATE(E77, ""en"", ""te""),"""")"),"")</f>
        <v/>
      </c>
      <c r="G77" s="2"/>
      <c r="H77" s="2" t="str">
        <f>IFERROR(__xludf.DUMMYFUNCTION("IF(G77&lt;&gt;"""", GOOGLETRANSLATE(G77, ""en"", ""te""),"""")"),"")</f>
        <v/>
      </c>
      <c r="I77" s="3"/>
    </row>
    <row r="78" customHeight="1" spans="1:9">
      <c r="A78" s="2" t="s">
        <v>52</v>
      </c>
      <c r="B78" s="2" t="str">
        <f>IFERROR(__xludf.DUMMYFUNCTION("IF(A78&lt;&gt;"""", GOOGLETRANSLATE(A78, ""en"", ""te""),"""")"),"[ '7 వ అత్యధిక తొలి వంద (267)', 'ఐదవ వికెట్కు 4 వ అత్యధిక భాగస్వామ్యం (359)']")</f>
        <v>[ '7 వ అత్యధిక తొలి వంద (267)', 'ఐదవ వికెట్కు 4 వ అత్యధిక భాగస్వామ్యం (359)']</v>
      </c>
      <c r="C78" s="2" t="s">
        <v>53</v>
      </c>
      <c r="D78" s="2" t="str">
        <f>IFERROR(__xludf.DUMMYFUNCTION("IF(C78&lt;&gt;"""", GOOGLETRANSLATE(C78, ""en"", ""te""),"""")"),"[ '7 వ అత్యధిక తొలి వంద (267)', '13 వ పిన్న ఆటగాడు డబుల్ సెంచరీ (200d 22y) స్కోర్' 'ఏ వికెట్కు 36 వ అత్యధిక భాగస్వామ్యాల (359)', 'ఐదవ వికెట్ (359) 4 వ అత్యధిక భాగస్వామ్యం' ]")</f>
        <v>[ '7 వ అత్యధిక తొలి వంద (267)', '13 వ పిన్న ఆటగాడు డబుల్ సెంచరీ (200d 22y) స్కోర్' 'ఏ వికెట్కు 36 వ అత్యధిక భాగస్వామ్యాల (359)', 'ఐదవ వికెట్ (359) 4 వ అత్యధిక భాగస్వామ్యం' ]</v>
      </c>
      <c r="E78" s="2"/>
      <c r="F78" s="2" t="str">
        <f>IFERROR(__xludf.DUMMYFUNCTION("IF(E78&lt;&gt;"""", GOOGLETRANSLATE(E78, ""en"", ""te""),"""")"),"")</f>
        <v/>
      </c>
      <c r="G78" s="2"/>
      <c r="H78" s="2" t="str">
        <f>IFERROR(__xludf.DUMMYFUNCTION("IF(G78&lt;&gt;"""", GOOGLETRANSLATE(G78, ""en"", ""te""),"""")"),"")</f>
        <v/>
      </c>
      <c r="I78" s="3"/>
    </row>
    <row r="79" customHeight="1" spans="1:9">
      <c r="A79" s="2" t="s">
        <v>54</v>
      </c>
      <c r="B79" s="2" t="str">
        <f>IFERROR(__xludf.DUMMYFUNCTION("IF(A79&lt;&gt;"""", GOOGLETRANSLATE(A79, ""en"", ""te""),"""")"),"[ 'బృందం కోసం 8 వ వరుస మ్యాచ్లు (15)', 'ఒక జట్టు కెప్టెన్గా (11) 4 వ వరుస మ్యాచ్లు', 'వంద (502) లేకుండా ఒక వృత్తిలో 7 వ అత్యధిక పరుగులు', '5 వ ఉత్తమ ఒక లో సంఖ్యలు ఒక కెప్టెన్ జట్టు కెప్టెన్గా (5) ',' 7 వ వరుస మ్యాచ్లు ద్వారా ఇన్నింగ్స్ (43) ',' 3 వ ఒక ఇన్"&amp;"నింగ్స్ లోని బెస్ట్ ఫిగర్స్ కూడా ఓడిపోయింది వైపు (5) ',' 4 వ ఉత్తమ ఆర్థిక వ్యవస్థ ఇన్నింగ్స్లో రేటు ( 0.14) ',' ఐదో వికెట్కు (128 5 వ అత్యధిక భాగస్వామ్యం) ']")</f>
        <v>[ 'బృందం కోసం 8 వ వరుస మ్యాచ్లు (15)', 'ఒక జట్టు కెప్టెన్గా (11) 4 వ వరుస మ్యాచ్లు', 'వంద (502) లేకుండా ఒక వృత్తిలో 7 వ అత్యధిక పరుగులు', '5 వ ఉత్తమ ఒక లో సంఖ్యలు ఒక కెప్టెన్ జట్టు కెప్టెన్గా (5) ',' 7 వ వరుస మ్యాచ్లు ద్వారా ఇన్నింగ్స్ (43) ',' 3 వ ఒక ఇన్నింగ్స్ లోని బెస్ట్ ఫిగర్స్ కూడా ఓడిపోయింది వైపు (5) ',' 4 వ ఉత్తమ ఆర్థిక వ్యవస్థ ఇన్నింగ్స్లో రేటు ( 0.14) ',' ఐదో వికెట్కు (128 5 వ అత్యధిక భాగస్వామ్యం) ']</v>
      </c>
      <c r="C79" s="2" t="s">
        <v>55</v>
      </c>
      <c r="D79" s="2" t="str">
        <f>IFERROR(__xludf.DUMMYFUNCTION("IF(C79&lt;&gt;"""", GOOGLETRANSLATE(C79, ""en"", ""te""),"""")"),"[ '36 వ కెరీర్ లో అత్యధిక పరుగులు (502)', 'వంద (502) లేకుండా ఒక వృత్తిలో 7 వ అత్యధిక పరుగులు', '20 వ కెరీర్ లో అతి తక్కువ బాతులు (13)' '14 వ తొలి డక్ (11) ముందు చాలా ఇన్నింగ్స్, '37 వ కెరీర్ లో అత్యధిక వికెట్లు (24)', 'ఒక కెప్టెన్తో ఒక ఇన్నింగ్స్ లో 5 వ ఉ"&amp;"త్తమ బొమ్మలు (5)', 'ఒక కెప్టెన్తో ఒక మ్యాచ్లో 11 వ బెస్ట్ ఫిగర్స్ (5)' ఒక ఇన్నింగ్స్ లో, '8 వ ఉత్తమ సంఖ్యలపై ఉన్నప్పుడు పరాజయం వైపు (5) ',' 17 వ ఉత్తమ ఒక మ్యాచ్లో గణాంకాలు పరాజయం వైపు (5) ',' 27 వ బంతుల్లో కెరీర్లో అత్యుత్తమంగా బౌల్ చేసి (2061) ',' నాల"&amp;"ుగవ వికెట్కు 25 అత్యధిక భాగస్వామ్యం (84) ', 'కెప్టెన్ 4 వ అత్యధిక మ్యాచ్లు (11)' 'కెరీర్లో 13 వ అత్యధిక మ్యాచ్లు (16)', '8 వ వరుస మ్యాచ్లు బృందం (15)', '4 వ అత్యధిక వరుస ఒక జట్టు కెప్టెన్గా మ్యాచ్లు (11)', '15 వ పిన్న కాప్టెన్ (24y 296d)']")</f>
        <v>[ '36 వ కెరీర్ లో అత్యధిక పరుగులు (502)', 'వంద (502) లేకుండా ఒక వృత్తిలో 7 వ అత్యధిక పరుగులు', '20 వ కెరీర్ లో అతి తక్కువ బాతులు (13)' '14 వ తొలి డక్ (11) ముందు చాలా ఇన్నింగ్స్, '37 వ కెరీర్ లో అత్యధిక వికెట్లు (24)', 'ఒక కెప్టెన్తో ఒక ఇన్నింగ్స్ లో 5 వ ఉత్తమ బొమ్మలు (5)', 'ఒక కెప్టెన్తో ఒక మ్యాచ్లో 11 వ బెస్ట్ ఫిగర్స్ (5)' ఒక ఇన్నింగ్స్ లో, '8 వ ఉత్తమ సంఖ్యలపై ఉన్నప్పుడు పరాజయం వైపు (5) ',' 17 వ ఉత్తమ ఒక మ్యాచ్లో గణాంకాలు పరాజయం వైపు (5) ',' 27 వ బంతుల్లో కెరీర్లో అత్యుత్తమంగా బౌల్ చేసి (2061) ',' నాలుగవ వికెట్కు 25 అత్యధిక భాగస్వామ్యం (84) ', 'కెప్టెన్ 4 వ అత్యధిక మ్యాచ్లు (11)' 'కెరీర్లో 13 వ అత్యధిక మ్యాచ్లు (16)', '8 వ వరుస మ్యాచ్లు బృందం (15)', '4 వ అత్యధిక వరుస ఒక జట్టు కెప్టెన్గా మ్యాచ్లు (11)', '15 వ పిన్న కాప్టెన్ (24y 296d)']</v>
      </c>
      <c r="E79" s="2" t="s">
        <v>56</v>
      </c>
      <c r="F79" s="2" t="str">
        <f>IFERROR(__xludf.DUMMYFUNCTION("IF(E79&lt;&gt;"""", GOOGLETRANSLATE(E79, ""en"", ""te""),"""")"),"[ '26 వ అధిక వంద (1087) లేకుండా ఒక వృత్తిలో పరుగులు' '21 వ కెరీర్ బాతులు (9) ',' 31 కెరీర్లో అత్యధిక వికెట్లు (80) ',' ఇన్నింగ్స్ లో 5 వ అత్యుత్తమ బౌలింగ్ విశ్లేషణలు (2/1 ) ',' ఒక కెప్టెన్తో ఒక ఇన్నింగ్స్ లో 9 వ బెస్ట్ ఫిగర్స్ (4) ',' 3 వ ఒక ఇన్నింగ్స్ లో"&amp;"ని బెస్ట్ ఫిగర్స్ ఉన్నప్పుడు పరాజయం వైపు (5) ',' ఇన్నింగ్స్ లో 4 వ ఉత్తమ ఆర్థిక రేటు (0.14) ',' 24 వ ఐదు వికెట్లు-ఇన్-ఒక-ఇన్నింగ్స్ ',' 25th కెరీర్లో బౌల్డ్ చాలా బంతుల్లో తీసుకోవాలని పిన్న వయస్కుడిగా నిలిచాడు (22y 311d) (3580) ',' 33 వ కెరీర్ లో సాధించిన"&amp;" అత్యధిక పరుగులు (2081) ',' 29 వ అత్యధిక వికెట్లు బౌల్డ్ తీసుకున్న ( 21) ',' 44 వ అత్యధిక వికెట్లు తీసుకున్న ఆకర్షించింది (41) ',' 24 వ అత్యధిక వికెట్లు తీసుకున్న క్యాచ్ మరియు బౌల్డ్ (6) ',' 31 అత్యధిక వికెట్లు ఒక ఫీల్డర్ చేత క్యాచ్ తీసుకున్న (38) ',' 43 "&amp;"వ అత్యధిక వికెట్లు తీసుకున్న ఎల్బిడబ్ల్యు (11 ) ',' ఐదవ వికెట్కు 5 వ అత్యధిక భాగస్వామ్యం (128) ',' 47 వ కెరీర్ లో అత్యధిక మ్యాచ్లు (93) ',' ఒక జట్టుకు 32 వ వరుస మ్యాచ్లు (43) ',' 7 వ అత్యధిక మ్యాచ్లు కెప్టెన్గా (66) ' 'ఒక జట్టు కెప్టెన్గా 7 వ వరుస మ్యాచ్ల"&amp;"ు (43)', '32 వ పిన్న కాప్టెన్ (23y 164)']")</f>
        <v>[ '26 వ అధిక వంద (1087) లేకుండా ఒక వృత్తిలో పరుగులు' '21 వ కెరీర్ బాతులు (9) ',' 31 కెరీర్లో అత్యధిక వికెట్లు (80) ',' ఇన్నింగ్స్ లో 5 వ అత్యుత్తమ బౌలింగ్ విశ్లేషణలు (2/1 ) ',' ఒక కెప్టెన్తో ఒక ఇన్నింగ్స్ లో 9 వ బెస్ట్ ఫిగర్స్ (4) ',' 3 వ ఒక ఇన్నింగ్స్ లోని బెస్ట్ ఫిగర్స్ ఉన్నప్పుడు పరాజయం వైపు (5) ',' ఇన్నింగ్స్ లో 4 వ ఉత్తమ ఆర్థిక రేటు (0.14) ',' 24 వ ఐదు వికెట్లు-ఇన్-ఒక-ఇన్నింగ్స్ ',' 25th కెరీర్లో బౌల్డ్ చాలా బంతుల్లో తీసుకోవాలని పిన్న వయస్కుడిగా నిలిచాడు (22y 311d) (3580) ',' 33 వ కెరీర్ లో సాధించిన అత్యధిక పరుగులు (2081) ',' 29 వ అత్యధిక వికెట్లు బౌల్డ్ తీసుకున్న ( 21) ',' 44 వ అత్యధిక వికెట్లు తీసుకున్న ఆకర్షించింది (41) ',' 24 వ అత్యధిక వికెట్లు తీసుకున్న క్యాచ్ మరియు బౌల్డ్ (6) ',' 31 అత్యధిక వికెట్లు ఒక ఫీల్డర్ చేత క్యాచ్ తీసుకున్న (38) ',' 43 వ అత్యధిక వికెట్లు తీసుకున్న ఎల్బిడబ్ల్యు (11 ) ',' ఐదవ వికెట్కు 5 వ అత్యధిక భాగస్వామ్యం (128) ',' 47 వ కెరీర్ లో అత్యధిక మ్యాచ్లు (93) ',' ఒక జట్టుకు 32 వ వరుస మ్యాచ్లు (43) ',' 7 వ అత్యధిక మ్యాచ్లు కెప్టెన్గా (66) ' 'ఒక జట్టు కెప్టెన్గా 7 వ వరుస మ్యాచ్లు (43)', '32 వ పిన్న కాప్టెన్ (23y 164)']</v>
      </c>
      <c r="G79" s="2"/>
      <c r="H79" s="2" t="str">
        <f>IFERROR(__xludf.DUMMYFUNCTION("IF(G79&lt;&gt;"""", GOOGLETRANSLATE(G79, ""en"", ""te""),"""")"),"")</f>
        <v/>
      </c>
      <c r="I79" s="3"/>
    </row>
    <row r="80" customHeight="1" spans="1:9">
      <c r="A80" s="2" t="s">
        <v>57</v>
      </c>
      <c r="B80" s="2" t="str">
        <f>IFERROR(__xludf.DUMMYFUNCTION("IF(A80&lt;&gt;"""", GOOGLETRANSLATE(A80, ""en"", ""te""),"""")"),"[ 'ఒక మ్యాచ్లో 9 వ బెస్ట్ ఫిగర్స్ పరాజయం వైపు ఉన్నప్పుడు (6)']")</f>
        <v>[ 'ఒక మ్యాచ్లో 9 వ బెస్ట్ ఫిగర్స్ పరాజయం వైపు ఉన్నప్పుడు (6)']</v>
      </c>
      <c r="C80" s="2" t="s">
        <v>58</v>
      </c>
      <c r="D80" s="2" t="str">
        <f>IFERROR(__xludf.DUMMYFUNCTION("IF(C80&lt;&gt;"""", GOOGLETRANSLATE(C80, ""en"", ""te""),"""")"),"[ 'ఒక మ్యాచ్లో 9 వ బెస్ట్ ఫిగర్స్ పరాజయం వైపు (6) ఉన్నప్పుడు', '46 వ ఉత్తమ కెరీర్ బౌలింగ్ సరాసరి (అర్హత లేకుండా) (14.92)', 'ప్రవేశం (6) ఒక మ్యాచ్లో 15 వ బెస్ట్ ఫిగర్స్']")</f>
        <v>[ 'ఒక మ్యాచ్లో 9 వ బెస్ట్ ఫిగర్స్ పరాజయం వైపు (6) ఉన్నప్పుడు', '46 వ ఉత్తమ కెరీర్ బౌలింగ్ సరాసరి (అర్హత లేకుండా) (14.92)', 'ప్రవేశం (6) ఒక మ్యాచ్లో 15 వ బెస్ట్ ఫిగర్స్']</v>
      </c>
      <c r="E80" s="2" t="s">
        <v>59</v>
      </c>
      <c r="F80" s="2" t="str">
        <f>IFERROR(__xludf.DUMMYFUNCTION("IF(E80&lt;&gt;"""", GOOGLETRANSLATE(E80, ""en"", ""te""),"""")"),"[ '34 వ ఉత్తమ కెరీర్ సమ్మె రేటు (34.6)', '30 వ చెత్త కెరీర్లో ఆర్థిక రేటు (4.26)', '38 వ అత్యంత నాలుగు వికెట్లు-ఇన్-ఒక-ఇన్నింగ్స్ కెరీర్లో (3)', 'ఐదు తీసుకోవాలని 32 వ పిన్న ఆటగాడు -wickets-ఇన్-ఒక-ఇన్నింగ్స్ (23y 146d) ',' 44 వ వరుస మ్యాచ్లు ప్రదర్శనల మధ్య"&amp;" బృందం (30) కోసం తప్పిన ']")</f>
        <v>[ '34 వ ఉత్తమ కెరీర్ సమ్మె రేటు (34.6)', '30 వ చెత్త కెరీర్లో ఆర్థిక రేటు (4.26)', '38 వ అత్యంత నాలుగు వికెట్లు-ఇన్-ఒక-ఇన్నింగ్స్ కెరీర్లో (3)', 'ఐదు తీసుకోవాలని 32 వ పిన్న ఆటగాడు -wickets-ఇన్-ఒక-ఇన్నింగ్స్ (23y 146d) ',' 44 వ వరుస మ్యాచ్లు ప్రదర్శనల మధ్య బృందం (30) కోసం తప్పిన ']</v>
      </c>
      <c r="G80" s="2"/>
      <c r="H80" s="2" t="str">
        <f>IFERROR(__xludf.DUMMYFUNCTION("IF(G80&lt;&gt;"""", GOOGLETRANSLATE(G80, ""en"", ""te""),"""")"),"")</f>
        <v/>
      </c>
      <c r="I80" s="3"/>
    </row>
    <row r="81" customHeight="1" spans="1:9">
      <c r="A81" s="2"/>
      <c r="B81" s="2" t="str">
        <f>IFERROR(__xludf.DUMMYFUNCTION("IF(A81&lt;&gt;"""", GOOGLETRANSLATE(A81, ""en"", ""te""),"""")"),"")</f>
        <v/>
      </c>
      <c r="C81" s="2"/>
      <c r="D81" s="2" t="str">
        <f>IFERROR(__xludf.DUMMYFUNCTION("IF(C81&lt;&gt;"""", GOOGLETRANSLATE(C81, ""en"", ""te""),"""")"),"")</f>
        <v/>
      </c>
      <c r="E81" s="2"/>
      <c r="F81" s="2" t="str">
        <f>IFERROR(__xludf.DUMMYFUNCTION("IF(E81&lt;&gt;"""", GOOGLETRANSLATE(E81, ""en"", ""te""),"""")"),"")</f>
        <v/>
      </c>
      <c r="G81" s="2"/>
      <c r="H81" s="2" t="str">
        <f>IFERROR(__xludf.DUMMYFUNCTION("IF(G81&lt;&gt;"""", GOOGLETRANSLATE(G81, ""en"", ""te""),"""")"),"")</f>
        <v/>
      </c>
      <c r="I81" s="3"/>
    </row>
    <row r="82" customHeight="1" spans="1:9">
      <c r="A82" s="2"/>
      <c r="B82" s="2" t="str">
        <f>IFERROR(__xludf.DUMMYFUNCTION("IF(A82&lt;&gt;"""", GOOGLETRANSLATE(A82, ""en"", ""te""),"""")"),"")</f>
        <v/>
      </c>
      <c r="C82" s="2" t="s">
        <v>60</v>
      </c>
      <c r="D82" s="2" t="str">
        <f>IFERROR(__xludf.DUMMYFUNCTION("IF(C82&lt;&gt;"""", GOOGLETRANSLATE(C82, ""en"", ""te""),"""")"),"[ '50 వ పిన్న కాప్టెన్ (25y 345d)']")</f>
        <v>[ '50 వ పిన్న కాప్టెన్ (25y 345d)']</v>
      </c>
      <c r="E82" s="2"/>
      <c r="F82" s="2" t="str">
        <f>IFERROR(__xludf.DUMMYFUNCTION("IF(E82&lt;&gt;"""", GOOGLETRANSLATE(E82, ""en"", ""te""),"""")"),"")</f>
        <v/>
      </c>
      <c r="G82" s="2"/>
      <c r="H82" s="2" t="str">
        <f>IFERROR(__xludf.DUMMYFUNCTION("IF(G82&lt;&gt;"""", GOOGLETRANSLATE(G82, ""en"", ""te""),"""")"),"")</f>
        <v/>
      </c>
      <c r="I82" s="3"/>
    </row>
    <row r="83" customHeight="1" spans="1:9">
      <c r="A83" s="2" t="s">
        <v>61</v>
      </c>
      <c r="B83" s="2" t="str">
        <f>IFERROR(__xludf.DUMMYFUNCTION("IF(A83&lt;&gt;"""", GOOGLETRANSLATE(A83, ""en"", ""te""),"""")"),"[ '1st ఇన్నింగ్స్ లో అత్యధిక పరుగులు (బ్యాటింగ్ స్థానంలో ప్రకారం) (95 *)']")</f>
        <v>[ '1st ఇన్నింగ్స్ లో అత్యధిక పరుగులు (బ్యాటింగ్ స్థానంలో ప్రకారం) (95 *)']</v>
      </c>
      <c r="C83" s="2" t="s">
        <v>62</v>
      </c>
      <c r="D83" s="2" t="str">
        <f>IFERROR(__xludf.DUMMYFUNCTION("IF(C83&lt;&gt;"""", GOOGLETRANSLATE(C83, ""en"", ""te""),"""")"),"[ '36 వ ఇన్నింగ్స్ లో వచ్చిన ఎక్కువ సిక్స్ (6)']")</f>
        <v>[ '36 వ ఇన్నింగ్స్ లో వచ్చిన ఎక్కువ సిక్స్ (6)']</v>
      </c>
      <c r="E83" s="2" t="s">
        <v>61</v>
      </c>
      <c r="F83" s="2" t="str">
        <f>IFERROR(__xludf.DUMMYFUNCTION("IF(E83&lt;&gt;"""", GOOGLETRANSLATE(E83, ""en"", ""te""),"""")"),"[ '1st ఇన్నింగ్స్ లో అత్యధిక పరుగులు (బ్యాటింగ్ స్థానంలో ప్రకారం) (95 *)']")</f>
        <v>[ '1st ఇన్నింగ్స్ లో అత్యధిక పరుగులు (బ్యాటింగ్ స్థానంలో ప్రకారం) (95 *)']</v>
      </c>
      <c r="G83" s="2"/>
      <c r="H83" s="2" t="str">
        <f>IFERROR(__xludf.DUMMYFUNCTION("IF(G83&lt;&gt;"""", GOOGLETRANSLATE(G83, ""en"", ""te""),"""")"),"")</f>
        <v/>
      </c>
      <c r="I83" s="3"/>
    </row>
    <row r="84" customHeight="1" spans="1:9">
      <c r="A84" s="2" t="s">
        <v>63</v>
      </c>
      <c r="B84" s="2" t="str">
        <f>IFERROR(__xludf.DUMMYFUNCTION("IF(A84&lt;&gt;"""", GOOGLETRANSLATE(A84, ""en"", ""te""),"""")"),"[ 'తొలి ఇన్నింగ్స్లో 9 వ బెస్ట్ ఫిగర్స్ (7)']")</f>
        <v>[ 'తొలి ఇన్నింగ్స్లో 9 వ బెస్ట్ ఫిగర్స్ (7)']</v>
      </c>
      <c r="C84" s="2" t="s">
        <v>64</v>
      </c>
      <c r="D84" s="2" t="str">
        <f>IFERROR(__xludf.DUMMYFUNCTION("IF(C84&lt;&gt;"""", GOOGLETRANSLATE(C84, ""en"", ""te""),"""")"),"[ 'తొలి ఇన్నింగ్స్లో 9 వ బెస్ట్ ఫిగర్స్ (7)', '33 వ అరంగేట్రంలోనే మ్యాచ్లో బెస్ట్ ఫిగర్స్ (8)', '41 వ 50 వికెట్లు (11) వేగంగా']")</f>
        <v>[ 'తొలి ఇన్నింగ్స్లో 9 వ బెస్ట్ ఫిగర్స్ (7)', '33 వ అరంగేట్రంలోనే మ్యాచ్లో బెస్ట్ ఫిగర్స్ (8)', '41 వ 50 వికెట్లు (11) వేగంగా']</v>
      </c>
      <c r="E84" s="2"/>
      <c r="F84" s="2" t="str">
        <f>IFERROR(__xludf.DUMMYFUNCTION("IF(E84&lt;&gt;"""", GOOGLETRANSLATE(E84, ""en"", ""te""),"""")"),"")</f>
        <v/>
      </c>
      <c r="G84" s="2"/>
      <c r="H84" s="2" t="str">
        <f>IFERROR(__xludf.DUMMYFUNCTION("IF(G84&lt;&gt;"""", GOOGLETRANSLATE(G84, ""en"", ""te""),"""")"),"")</f>
        <v/>
      </c>
      <c r="I84" s="3"/>
    </row>
    <row r="85" customHeight="1" spans="1:9">
      <c r="A85" s="2"/>
      <c r="B85" s="2" t="str">
        <f>IFERROR(__xludf.DUMMYFUNCTION("IF(A85&lt;&gt;"""", GOOGLETRANSLATE(A85, ""en"", ""te""),"""")"),"")</f>
        <v/>
      </c>
      <c r="C85" s="2"/>
      <c r="D85" s="2" t="str">
        <f>IFERROR(__xludf.DUMMYFUNCTION("IF(C85&lt;&gt;"""", GOOGLETRANSLATE(C85, ""en"", ""te""),"""")"),"")</f>
        <v/>
      </c>
      <c r="E85" s="2"/>
      <c r="F85" s="2" t="str">
        <f>IFERROR(__xludf.DUMMYFUNCTION("IF(E85&lt;&gt;"""", GOOGLETRANSLATE(E85, ""en"", ""te""),"""")"),"")</f>
        <v/>
      </c>
      <c r="G85" s="2"/>
      <c r="H85" s="2" t="str">
        <f>IFERROR(__xludf.DUMMYFUNCTION("IF(G85&lt;&gt;"""", GOOGLETRANSLATE(G85, ""en"", ""te""),"""")"),"")</f>
        <v/>
      </c>
      <c r="I85" s="3"/>
    </row>
    <row r="86" customHeight="1" spans="1:9">
      <c r="A86" s="2"/>
      <c r="B86" s="2" t="str">
        <f>IFERROR(__xludf.DUMMYFUNCTION("IF(A86&lt;&gt;"""", GOOGLETRANSLATE(A86, ""en"", ""te""),"""")"),"")</f>
        <v/>
      </c>
      <c r="C86" s="2"/>
      <c r="D86" s="2" t="str">
        <f>IFERROR(__xludf.DUMMYFUNCTION("IF(C86&lt;&gt;"""", GOOGLETRANSLATE(C86, ""en"", ""te""),"""")"),"")</f>
        <v/>
      </c>
      <c r="E86" s="2"/>
      <c r="F86" s="2" t="str">
        <f>IFERROR(__xludf.DUMMYFUNCTION("IF(E86&lt;&gt;"""", GOOGLETRANSLATE(E86, ""en"", ""te""),"""")"),"")</f>
        <v/>
      </c>
      <c r="G86" s="2"/>
      <c r="H86" s="2" t="str">
        <f>IFERROR(__xludf.DUMMYFUNCTION("IF(G86&lt;&gt;"""", GOOGLETRANSLATE(G86, ""en"", ""te""),"""")"),"")</f>
        <v/>
      </c>
      <c r="I86" s="3"/>
    </row>
    <row r="87" customHeight="1" spans="1:9">
      <c r="A87" s="2"/>
      <c r="B87" s="2" t="str">
        <f>IFERROR(__xludf.DUMMYFUNCTION("IF(A87&lt;&gt;"""", GOOGLETRANSLATE(A87, ""en"", ""te""),"""")"),"")</f>
        <v/>
      </c>
      <c r="C87" s="2"/>
      <c r="D87" s="2" t="str">
        <f>IFERROR(__xludf.DUMMYFUNCTION("IF(C87&lt;&gt;"""", GOOGLETRANSLATE(C87, ""en"", ""te""),"""")"),"")</f>
        <v/>
      </c>
      <c r="E87" s="2"/>
      <c r="F87" s="2" t="str">
        <f>IFERROR(__xludf.DUMMYFUNCTION("IF(E87&lt;&gt;"""", GOOGLETRANSLATE(E87, ""en"", ""te""),"""")"),"")</f>
        <v/>
      </c>
      <c r="G87" s="2"/>
      <c r="H87" s="2" t="str">
        <f>IFERROR(__xludf.DUMMYFUNCTION("IF(G87&lt;&gt;"""", GOOGLETRANSLATE(G87, ""en"", ""te""),"""")"),"")</f>
        <v/>
      </c>
      <c r="I87" s="3"/>
    </row>
    <row r="88" customHeight="1" spans="1:9">
      <c r="A88" s="2"/>
      <c r="B88" s="2" t="str">
        <f>IFERROR(__xludf.DUMMYFUNCTION("IF(A88&lt;&gt;"""", GOOGLETRANSLATE(A88, ""en"", ""te""),"""")"),"")</f>
        <v/>
      </c>
      <c r="C88" s="2"/>
      <c r="D88" s="2" t="str">
        <f>IFERROR(__xludf.DUMMYFUNCTION("IF(C88&lt;&gt;"""", GOOGLETRANSLATE(C88, ""en"", ""te""),"""")"),"")</f>
        <v/>
      </c>
      <c r="E88" s="2"/>
      <c r="F88" s="2" t="str">
        <f>IFERROR(__xludf.DUMMYFUNCTION("IF(E88&lt;&gt;"""", GOOGLETRANSLATE(E88, ""en"", ""te""),"""")"),"")</f>
        <v/>
      </c>
      <c r="G88" s="2"/>
      <c r="H88" s="2" t="str">
        <f>IFERROR(__xludf.DUMMYFUNCTION("IF(G88&lt;&gt;"""", GOOGLETRANSLATE(G88, ""en"", ""te""),"""")"),"")</f>
        <v/>
      </c>
      <c r="I88" s="3"/>
    </row>
    <row r="89" customHeight="1" spans="1:9">
      <c r="A89" s="2"/>
      <c r="B89" s="2" t="str">
        <f>IFERROR(__xludf.DUMMYFUNCTION("IF(A89&lt;&gt;"""", GOOGLETRANSLATE(A89, ""en"", ""te""),"""")"),"")</f>
        <v/>
      </c>
      <c r="C89" s="2"/>
      <c r="D89" s="2" t="str">
        <f>IFERROR(__xludf.DUMMYFUNCTION("IF(C89&lt;&gt;"""", GOOGLETRANSLATE(C89, ""en"", ""te""),"""")"),"")</f>
        <v/>
      </c>
      <c r="E89" s="2"/>
      <c r="F89" s="2" t="str">
        <f>IFERROR(__xludf.DUMMYFUNCTION("IF(E89&lt;&gt;"""", GOOGLETRANSLATE(E89, ""en"", ""te""),"""")"),"")</f>
        <v/>
      </c>
      <c r="G89" s="2"/>
      <c r="H89" s="2" t="str">
        <f>IFERROR(__xludf.DUMMYFUNCTION("IF(G89&lt;&gt;"""", GOOGLETRANSLATE(G89, ""en"", ""te""),"""")"),"")</f>
        <v/>
      </c>
      <c r="I89" s="3"/>
    </row>
    <row r="90" customHeight="1" spans="1:9">
      <c r="A90" s="2"/>
      <c r="B90" s="2" t="str">
        <f>IFERROR(__xludf.DUMMYFUNCTION("IF(A90&lt;&gt;"""", GOOGLETRANSLATE(A90, ""en"", ""te""),"""")"),"")</f>
        <v/>
      </c>
      <c r="C90" s="2"/>
      <c r="D90" s="2" t="str">
        <f>IFERROR(__xludf.DUMMYFUNCTION("IF(C90&lt;&gt;"""", GOOGLETRANSLATE(C90, ""en"", ""te""),"""")"),"")</f>
        <v/>
      </c>
      <c r="E90" s="2"/>
      <c r="F90" s="2" t="str">
        <f>IFERROR(__xludf.DUMMYFUNCTION("IF(E90&lt;&gt;"""", GOOGLETRANSLATE(E90, ""en"", ""te""),"""")"),"")</f>
        <v/>
      </c>
      <c r="G90" s="2"/>
      <c r="H90" s="2" t="str">
        <f>IFERROR(__xludf.DUMMYFUNCTION("IF(G90&lt;&gt;"""", GOOGLETRANSLATE(G90, ""en"", ""te""),"""")"),"")</f>
        <v/>
      </c>
      <c r="I90" s="3"/>
    </row>
    <row r="91" customHeight="1" spans="1:9">
      <c r="A91" s="2" t="s">
        <v>65</v>
      </c>
      <c r="B91" s="2" t="str">
        <f>IFERROR(__xludf.DUMMYFUNCTION("IF(A91&lt;&gt;"""", GOOGLETRANSLATE(A91, ""en"", ""te""),"""")"),"[ 'ఒక రోజు లో 4 వ అత్యధిక పరుగులు (273)', 'హండ్రెడ్ ఒక మ్యాచ్లో ప్రతి ఇన్నింగ్స్లో', 'హండ్రెడ్ మరియు ఒక మ్యాచ్లో ఒక డక్', '10th 3000 పరుగులు (57) వేగంగా', 'వరుస ఇన్నింగ్స్లో 6 వ వందల (3) ']")</f>
        <v>[ 'ఒక రోజు లో 4 వ అత్యధిక పరుగులు (273)', 'హండ్రెడ్ ఒక మ్యాచ్లో ప్రతి ఇన్నింగ్స్లో', 'హండ్రెడ్ మరియు ఒక మ్యాచ్లో ఒక డక్', '10th 3000 పరుగులు (57) వేగంగా', 'వరుస ఇన్నింగ్స్లో 6 వ వందల (3) ']</v>
      </c>
      <c r="C91" s="2" t="s">
        <v>66</v>
      </c>
      <c r="D91" s="2" t="str">
        <f>IFERROR(__xludf.DUMMYFUNCTION("IF(C91&lt;&gt;"""", GOOGLETRANSLATE(C91, ""en"", ""te""),"""")"),"[ '45 వ ఇన్నింగ్స్ లో అత్యధిక పరుగులు (278)', '19 వ ఒక సిరీస్లో అత్యధిక పరుగులు (753)', '8 వ ఇన్నింగ్స్ లో అత్యధిక పరుగులు (బ్యాటింగ్ స్థానంలో ప్రకారం) (278)', '22 న ఒక మ్యాచ్లో అత్యధిక పరుగులు పరాజయం వైపు (229) ',' 4 వ ఒక రోజు లో అత్యధిక పరుగులు (273) '"&amp;",' 42 వ అత్యధిక కెరీర్ బ్యాటింగ్ సగటు (50.06) ',' 2 వ అత్యధిక వందలు వరుస (4) ',' 6 వ అత్యంత ఒక క్యాలెండర్ లో వందల సంవత్సరం (6) ',' 33 వ ఒక జట్టు వ్యతిరేకంగా అత్యధిక వందలు (7) ',' వరుస ఇన్నింగ్స్లో 5 వ వందల (3) ',' వరుస మ్యాచ్లలో 21 వందల (3) ',' వంద (20y స"&amp;"్కోర్ 23 పిన్న ఆటగాడు 18d) ',' ఫాస్టెస్ట్ 2000 పరుగులు (11 వ 37) ',' 10th 3000 పరుగులు (వేగంగా 57) ',' 33 వ 5000 పరుగులు (113 నుండి వేగంగా) ',' ఇన్నింగ్స్ లో 24 వ ఉత్తమ ఆర్థిక రేటు (0.51) ', 'సగటు (56.40) బౌలింగ్ 25th చెత్త జీవితం' '46 వ చెత్త కెరీర్లో సమ"&amp;"్మె రేటు (108.4)', 'ఐదవ వికెట్కు 35 వ అత్యధిక భాగస్వామ్యం (237)', '24th లాంగెస్ట్ కెరీర్లు (19y 203d)']")</f>
        <v>[ '45 వ ఇన్నింగ్స్ లో అత్యధిక పరుగులు (278)', '19 వ ఒక సిరీస్లో అత్యధిక పరుగులు (753)', '8 వ ఇన్నింగ్స్ లో అత్యధిక పరుగులు (బ్యాటింగ్ స్థానంలో ప్రకారం) (278)', '22 న ఒక మ్యాచ్లో అత్యధిక పరుగులు పరాజయం వైపు (229) ',' 4 వ ఒక రోజు లో అత్యధిక పరుగులు (273) ',' 42 వ అత్యధిక కెరీర్ బ్యాటింగ్ సగటు (50.06) ',' 2 వ అత్యధిక వందలు వరుస (4) ',' 6 వ అత్యంత ఒక క్యాలెండర్ లో వందల సంవత్సరం (6) ',' 33 వ ఒక జట్టు వ్యతిరేకంగా అత్యధిక వందలు (7) ',' వరుస ఇన్నింగ్స్లో 5 వ వందల (3) ',' వరుస మ్యాచ్లలో 21 వందల (3) ',' వంద (20y స్కోర్ 23 పిన్న ఆటగాడు 18d) ',' ఫాస్టెస్ట్ 2000 పరుగులు (11 వ 37) ',' 10th 3000 పరుగులు (వేగంగా 57) ',' 33 వ 5000 పరుగులు (113 నుండి వేగంగా) ',' ఇన్నింగ్స్ లో 24 వ ఉత్తమ ఆర్థిక రేటు (0.51) ', 'సగటు (56.40) బౌలింగ్ 25th చెత్త జీవితం' '46 వ చెత్త కెరీర్లో సమ్మె రేటు (108.4)', 'ఐదవ వికెట్కు 35 వ అత్యధిక భాగస్వామ్యం (237)', '24th లాంగెస్ట్ కెరీర్లు (19y 203d)']</v>
      </c>
      <c r="E91" s="2"/>
      <c r="F91" s="2" t="str">
        <f>IFERROR(__xludf.DUMMYFUNCTION("IF(E91&lt;&gt;"""", GOOGLETRANSLATE(E91, ""en"", ""te""),"""")"),"")</f>
        <v/>
      </c>
      <c r="G91" s="2"/>
      <c r="H91" s="2" t="str">
        <f>IFERROR(__xludf.DUMMYFUNCTION("IF(G91&lt;&gt;"""", GOOGLETRANSLATE(G91, ""en"", ""te""),"""")"),"")</f>
        <v/>
      </c>
      <c r="I91" s="3"/>
    </row>
    <row r="92" customHeight="1" spans="1:9">
      <c r="A92" s="2"/>
      <c r="B92" s="2" t="str">
        <f>IFERROR(__xludf.DUMMYFUNCTION("IF(A92&lt;&gt;"""", GOOGLETRANSLATE(A92, ""en"", ""te""),"""")"),"")</f>
        <v/>
      </c>
      <c r="C92" s="2"/>
      <c r="D92" s="2" t="str">
        <f>IFERROR(__xludf.DUMMYFUNCTION("IF(C92&lt;&gt;"""", GOOGLETRANSLATE(C92, ""en"", ""te""),"""")"),"")</f>
        <v/>
      </c>
      <c r="E92" s="2"/>
      <c r="F92" s="2" t="str">
        <f>IFERROR(__xludf.DUMMYFUNCTION("IF(E92&lt;&gt;"""", GOOGLETRANSLATE(E92, ""en"", ""te""),"""")"),"")</f>
        <v/>
      </c>
      <c r="G92" s="2"/>
      <c r="H92" s="2" t="str">
        <f>IFERROR(__xludf.DUMMYFUNCTION("IF(G92&lt;&gt;"""", GOOGLETRANSLATE(G92, ""en"", ""te""),"""")"),"")</f>
        <v/>
      </c>
      <c r="I92" s="3"/>
    </row>
    <row r="93" customHeight="1" spans="1:9">
      <c r="A93" s="2" t="s">
        <v>67</v>
      </c>
      <c r="B93" s="2" t="str">
        <f>IFERROR(__xludf.DUMMYFUNCTION("IF(A93&lt;&gt;"""", GOOGLETRANSLATE(A93, ""en"", ""te""),"""")"),"[ '4 వ చెత్త కెరీర్లో ఆర్థిక రేటు (6.12)']")</f>
        <v>[ '4 వ చెత్త కెరీర్లో ఆర్థిక రేటు (6.12)']</v>
      </c>
      <c r="C93" s="2"/>
      <c r="D93" s="2" t="str">
        <f>IFERROR(__xludf.DUMMYFUNCTION("IF(C93&lt;&gt;"""", GOOGLETRANSLATE(C93, ""en"", ""te""),"""")"),"")</f>
        <v/>
      </c>
      <c r="E93" s="2" t="s">
        <v>68</v>
      </c>
      <c r="F93" s="2" t="str">
        <f>IFERROR(__xludf.DUMMYFUNCTION("IF(E93&lt;&gt;"""", GOOGLETRANSLATE(E93, ""en"", ""te""),"""")"),"[ '4 వ చెత్త కెరీర్లో ఆర్థిక రేటు (6.12)', 'ఐదు వికెట్ల లో-ఒక-ఇన్నింగ్స్ తీసుకోవాలని 50 వ పిన్న వయస్కుడిగా నిలిచాడు (22y 322d)', 'తొమ్మిదవ వికెట్కు 25 అత్యధిక భాగస్వామ్యం (76)']")</f>
        <v>[ '4 వ చెత్త కెరీర్లో ఆర్థిక రేటు (6.12)', 'ఐదు వికెట్ల లో-ఒక-ఇన్నింగ్స్ తీసుకోవాలని 50 వ పిన్న వయస్కుడిగా నిలిచాడు (22y 322d)', 'తొమ్మిదవ వికెట్కు 25 అత్యధిక భాగస్వామ్యం (76)']</v>
      </c>
      <c r="G93" s="2" t="s">
        <v>69</v>
      </c>
      <c r="H93" s="2" t="str">
        <f>IFERROR(__xludf.DUMMYFUNCTION("IF(G93&lt;&gt;"""", GOOGLETRANSLATE(G93, ""en"", ""te""),"""")"),"[ '12 వ చెత్త కెరీర్ బౌలింగ్ సరాసరి (32.23)', '3 వ చెత్త కెరీర్లో ఆర్థిక రేటు (వర్క్స 9.31)']")</f>
        <v>[ '12 వ చెత్త కెరీర్ బౌలింగ్ సరాసరి (32.23)', '3 వ చెత్త కెరీర్లో ఆర్థిక రేటు (వర్క్స 9.31)']</v>
      </c>
      <c r="I93" s="3"/>
    </row>
    <row r="94" customHeight="1" spans="1:9">
      <c r="A94" s="2"/>
      <c r="B94" s="2" t="str">
        <f>IFERROR(__xludf.DUMMYFUNCTION("IF(A94&lt;&gt;"""", GOOGLETRANSLATE(A94, ""en"", ""te""),"""")"),"")</f>
        <v/>
      </c>
      <c r="C94" s="2"/>
      <c r="D94" s="2" t="str">
        <f>IFERROR(__xludf.DUMMYFUNCTION("IF(C94&lt;&gt;"""", GOOGLETRANSLATE(C94, ""en"", ""te""),"""")"),"")</f>
        <v/>
      </c>
      <c r="E94" s="2"/>
      <c r="F94" s="2" t="str">
        <f>IFERROR(__xludf.DUMMYFUNCTION("IF(E94&lt;&gt;"""", GOOGLETRANSLATE(E94, ""en"", ""te""),"""")"),"")</f>
        <v/>
      </c>
      <c r="G94" s="2"/>
      <c r="H94" s="2" t="str">
        <f>IFERROR(__xludf.DUMMYFUNCTION("IF(G94&lt;&gt;"""", GOOGLETRANSLATE(G94, ""en"", ""te""),"""")"),"")</f>
        <v/>
      </c>
      <c r="I94" s="3"/>
    </row>
    <row r="95" customHeight="1" spans="1:9">
      <c r="A95" s="2"/>
      <c r="B95" s="2" t="str">
        <f>IFERROR(__xludf.DUMMYFUNCTION("IF(A95&lt;&gt;"""", GOOGLETRANSLATE(A95, ""en"", ""te""),"""")"),"")</f>
        <v/>
      </c>
      <c r="C95" s="2"/>
      <c r="D95" s="2" t="str">
        <f>IFERROR(__xludf.DUMMYFUNCTION("IF(C95&lt;&gt;"""", GOOGLETRANSLATE(C95, ""en"", ""te""),"""")"),"")</f>
        <v/>
      </c>
      <c r="E95" s="2"/>
      <c r="F95" s="2" t="str">
        <f>IFERROR(__xludf.DUMMYFUNCTION("IF(E95&lt;&gt;"""", GOOGLETRANSLATE(E95, ""en"", ""te""),"""")"),"")</f>
        <v/>
      </c>
      <c r="G95" s="2"/>
      <c r="H95" s="2" t="str">
        <f>IFERROR(__xludf.DUMMYFUNCTION("IF(G95&lt;&gt;"""", GOOGLETRANSLATE(G95, ""en"", ""te""),"""")"),"")</f>
        <v/>
      </c>
      <c r="I95" s="3"/>
    </row>
    <row r="96" customHeight="1" spans="1:9">
      <c r="A96" s="2"/>
      <c r="B96" s="2" t="str">
        <f>IFERROR(__xludf.DUMMYFUNCTION("IF(A96&lt;&gt;"""", GOOGLETRANSLATE(A96, ""en"", ""te""),"""")"),"")</f>
        <v/>
      </c>
      <c r="C96" s="2"/>
      <c r="D96" s="2" t="str">
        <f>IFERROR(__xludf.DUMMYFUNCTION("IF(C96&lt;&gt;"""", GOOGLETRANSLATE(C96, ""en"", ""te""),"""")"),"")</f>
        <v/>
      </c>
      <c r="E96" s="2"/>
      <c r="F96" s="2" t="str">
        <f>IFERROR(__xludf.DUMMYFUNCTION("IF(E96&lt;&gt;"""", GOOGLETRANSLATE(E96, ""en"", ""te""),"""")"),"")</f>
        <v/>
      </c>
      <c r="G96" s="2"/>
      <c r="H96" s="2" t="str">
        <f>IFERROR(__xludf.DUMMYFUNCTION("IF(G96&lt;&gt;"""", GOOGLETRANSLATE(G96, ""en"", ""te""),"""")"),"")</f>
        <v/>
      </c>
      <c r="I96" s="3"/>
    </row>
    <row r="97" customHeight="1" spans="1:9">
      <c r="A97" s="2"/>
      <c r="B97" s="2" t="str">
        <f>IFERROR(__xludf.DUMMYFUNCTION("IF(A97&lt;&gt;"""", GOOGLETRANSLATE(A97, ""en"", ""te""),"""")"),"")</f>
        <v/>
      </c>
      <c r="C97" s="2" t="s">
        <v>70</v>
      </c>
      <c r="D97" s="2" t="str">
        <f>IFERROR(__xludf.DUMMYFUNCTION("IF(C97&lt;&gt;"""", GOOGLETRANSLATE(C97, ""en"", ""te""),"""")"),"[ 'తొలి ఇన్నింగ్స్లో 22 బెస్ట్ ఫిగర్స్ (6)', '17 వ ప్రవేశం (9) ఒక మ్యాచ్లో బెస్ట్ ఫిగర్స్']")</f>
        <v>[ 'తొలి ఇన్నింగ్స్లో 22 బెస్ట్ ఫిగర్స్ (6)', '17 వ ప్రవేశం (9) ఒక మ్యాచ్లో బెస్ట్ ఫిగర్స్']</v>
      </c>
      <c r="E97" s="2"/>
      <c r="F97" s="2" t="str">
        <f>IFERROR(__xludf.DUMMYFUNCTION("IF(E97&lt;&gt;"""", GOOGLETRANSLATE(E97, ""en"", ""te""),"""")"),"")</f>
        <v/>
      </c>
      <c r="G97" s="2"/>
      <c r="H97" s="2" t="str">
        <f>IFERROR(__xludf.DUMMYFUNCTION("IF(G97&lt;&gt;"""", GOOGLETRANSLATE(G97, ""en"", ""te""),"""")"),"")</f>
        <v/>
      </c>
      <c r="I97" s="3"/>
    </row>
    <row r="98" customHeight="1" spans="1:9">
      <c r="A98" s="2"/>
      <c r="B98" s="2" t="str">
        <f>IFERROR(__xludf.DUMMYFUNCTION("IF(A98&lt;&gt;"""", GOOGLETRANSLATE(A98, ""en"", ""te""),"""")"),"")</f>
        <v/>
      </c>
      <c r="C98" s="2"/>
      <c r="D98" s="2" t="str">
        <f>IFERROR(__xludf.DUMMYFUNCTION("IF(C98&lt;&gt;"""", GOOGLETRANSLATE(C98, ""en"", ""te""),"""")"),"")</f>
        <v/>
      </c>
      <c r="E98" s="2"/>
      <c r="F98" s="2" t="str">
        <f>IFERROR(__xludf.DUMMYFUNCTION("IF(E98&lt;&gt;"""", GOOGLETRANSLATE(E98, ""en"", ""te""),"""")"),"")</f>
        <v/>
      </c>
      <c r="G98" s="2"/>
      <c r="H98" s="2" t="str">
        <f>IFERROR(__xludf.DUMMYFUNCTION("IF(G98&lt;&gt;"""", GOOGLETRANSLATE(G98, ""en"", ""te""),"""")"),"")</f>
        <v/>
      </c>
      <c r="I98" s="3"/>
    </row>
    <row r="99" customHeight="1" spans="1:9">
      <c r="A99" s="2"/>
      <c r="B99" s="2" t="str">
        <f>IFERROR(__xludf.DUMMYFUNCTION("IF(A99&lt;&gt;"""", GOOGLETRANSLATE(A99, ""en"", ""te""),"""")"),"")</f>
        <v/>
      </c>
      <c r="C99" s="2"/>
      <c r="D99" s="2" t="str">
        <f>IFERROR(__xludf.DUMMYFUNCTION("IF(C99&lt;&gt;"""", GOOGLETRANSLATE(C99, ""en"", ""te""),"""")"),"")</f>
        <v/>
      </c>
      <c r="E99" s="2"/>
      <c r="F99" s="2" t="str">
        <f>IFERROR(__xludf.DUMMYFUNCTION("IF(E99&lt;&gt;"""", GOOGLETRANSLATE(E99, ""en"", ""te""),"""")"),"")</f>
        <v/>
      </c>
      <c r="G99" s="2"/>
      <c r="H99" s="2" t="str">
        <f>IFERROR(__xludf.DUMMYFUNCTION("IF(G99&lt;&gt;"""", GOOGLETRANSLATE(G99, ""en"", ""te""),"""")"),"")</f>
        <v/>
      </c>
      <c r="I99" s="3"/>
    </row>
    <row r="100" customHeight="1" spans="1:9">
      <c r="A100" s="2"/>
      <c r="B100" s="2" t="str">
        <f>IFERROR(__xludf.DUMMYFUNCTION("IF(A100&lt;&gt;"""", GOOGLETRANSLATE(A100, ""en"", ""te""),"""")"),"")</f>
        <v/>
      </c>
      <c r="C100" s="2"/>
      <c r="D100" s="2" t="str">
        <f>IFERROR(__xludf.DUMMYFUNCTION("IF(C100&lt;&gt;"""", GOOGLETRANSLATE(C100, ""en"", ""te""),"""")"),"")</f>
        <v/>
      </c>
      <c r="E100" s="2"/>
      <c r="F100" s="2" t="str">
        <f>IFERROR(__xludf.DUMMYFUNCTION("IF(E100&lt;&gt;"""", GOOGLETRANSLATE(E100, ""en"", ""te""),"""")"),"")</f>
        <v/>
      </c>
      <c r="G100" s="2"/>
      <c r="H100" s="2" t="str">
        <f>IFERROR(__xludf.DUMMYFUNCTION("IF(G100&lt;&gt;"""", GOOGLETRANSLATE(G100, ""en"", ""te""),"""")"),"")</f>
        <v/>
      </c>
      <c r="I100" s="3"/>
    </row>
    <row r="101" customHeight="1" spans="1:9">
      <c r="A101" s="2"/>
      <c r="B101" s="2" t="str">
        <f>IFERROR(__xludf.DUMMYFUNCTION("IF(A101&lt;&gt;"""", GOOGLETRANSLATE(A101, ""en"", ""te""),"""")"),"")</f>
        <v/>
      </c>
      <c r="C101" s="2"/>
      <c r="D101" s="2" t="str">
        <f>IFERROR(__xludf.DUMMYFUNCTION("IF(C101&lt;&gt;"""", GOOGLETRANSLATE(C101, ""en"", ""te""),"""")"),"")</f>
        <v/>
      </c>
      <c r="E101" s="2"/>
      <c r="F101" s="2" t="str">
        <f>IFERROR(__xludf.DUMMYFUNCTION("IF(E101&lt;&gt;"""", GOOGLETRANSLATE(E101, ""en"", ""te""),"""")"),"")</f>
        <v/>
      </c>
      <c r="G101" s="2"/>
      <c r="H101" s="2" t="str">
        <f>IFERROR(__xludf.DUMMYFUNCTION("IF(G101&lt;&gt;"""", GOOGLETRANSLATE(G101, ""en"", ""te""),"""")"),"")</f>
        <v/>
      </c>
      <c r="I101" s="3"/>
    </row>
    <row r="102" customHeight="1" spans="1:9">
      <c r="A102" s="2"/>
      <c r="B102" s="2" t="str">
        <f>IFERROR(__xludf.DUMMYFUNCTION("IF(A102&lt;&gt;"""", GOOGLETRANSLATE(A102, ""en"", ""te""),"""")"),"")</f>
        <v/>
      </c>
      <c r="C102" s="2"/>
      <c r="D102" s="2" t="str">
        <f>IFERROR(__xludf.DUMMYFUNCTION("IF(C102&lt;&gt;"""", GOOGLETRANSLATE(C102, ""en"", ""te""),"""")"),"")</f>
        <v/>
      </c>
      <c r="E102" s="2"/>
      <c r="F102" s="2" t="str">
        <f>IFERROR(__xludf.DUMMYFUNCTION("IF(E102&lt;&gt;"""", GOOGLETRANSLATE(E102, ""en"", ""te""),"""")"),"")</f>
        <v/>
      </c>
      <c r="G102" s="2"/>
      <c r="H102" s="2" t="str">
        <f>IFERROR(__xludf.DUMMYFUNCTION("IF(G102&lt;&gt;"""", GOOGLETRANSLATE(G102, ""en"", ""te""),"""")"),"")</f>
        <v/>
      </c>
      <c r="I102" s="3"/>
    </row>
    <row r="103" customHeight="1" spans="1:9">
      <c r="A103" s="2" t="s">
        <v>71</v>
      </c>
      <c r="B103" s="2" t="str">
        <f>IFERROR(__xludf.DUMMYFUNCTION("IF(A103&lt;&gt;"""", GOOGLETRANSLATE(A103, ""en"", ""te""),"""")"),"[ '1st అత్యుత్తమ బౌలింగ్ ఇన్నింగ్స్ లో విశ్లేషించడం (1/0)', ​​'బ్యాటింగ్ తెరవడం మరియు అదే మ్యాచ్ లో బౌలింగ్']")</f>
        <v>[ '1st అత్యుత్తమ బౌలింగ్ ఇన్నింగ్స్ లో విశ్లేషించడం (1/0)', ​​'బ్యాటింగ్ తెరవడం మరియు అదే మ్యాచ్ లో బౌలింగ్']</v>
      </c>
      <c r="C103" s="2" t="s">
        <v>72</v>
      </c>
      <c r="D103" s="2" t="str">
        <f>IFERROR(__xludf.DUMMYFUNCTION("IF(C103&lt;&gt;"""", GOOGLETRANSLATE(C103, ""en"", ""te""),"""")"),"[ '1st అత్యుత్తమ ఇన్నింగ్స్ లో బౌలింగ్ విశ్లేషణలు (1/0)', ​​'ఎనిమిదవ వికెట్ (130) కోసం 38 వ అత్యధిక భాగస్వామ్యం']")</f>
        <v>[ '1st అత్యుత్తమ ఇన్నింగ్స్ లో బౌలింగ్ విశ్లేషణలు (1/0)', ​​'ఎనిమిదవ వికెట్ (130) కోసం 38 వ అత్యధిక భాగస్వామ్యం']</v>
      </c>
      <c r="E103" s="2"/>
      <c r="F103" s="2" t="str">
        <f>IFERROR(__xludf.DUMMYFUNCTION("IF(E103&lt;&gt;"""", GOOGLETRANSLATE(E103, ""en"", ""te""),"""")"),"")</f>
        <v/>
      </c>
      <c r="G103" s="2"/>
      <c r="H103" s="2" t="str">
        <f>IFERROR(__xludf.DUMMYFUNCTION("IF(G103&lt;&gt;"""", GOOGLETRANSLATE(G103, ""en"", ""te""),"""")"),"")</f>
        <v/>
      </c>
      <c r="I103" s="3"/>
    </row>
    <row r="104" customHeight="1" spans="1:9">
      <c r="A104" s="2"/>
      <c r="B104" s="2" t="str">
        <f>IFERROR(__xludf.DUMMYFUNCTION("IF(A104&lt;&gt;"""", GOOGLETRANSLATE(A104, ""en"", ""te""),"""")"),"")</f>
        <v/>
      </c>
      <c r="C104" s="2" t="s">
        <v>73</v>
      </c>
      <c r="D104" s="2" t="str">
        <f>IFERROR(__xludf.DUMMYFUNCTION("IF(C104&lt;&gt;"""", GOOGLETRANSLATE(C104, ""en"", ""te""),"""")"),"[ '27 పరాజయం వైపు (221) ఒక మ్యాచ్లో అత్యధిక పరుగులు']")</f>
        <v>[ '27 పరాజయం వైపు (221) ఒక మ్యాచ్లో అత్యధిక పరుగులు']</v>
      </c>
      <c r="E104" s="2"/>
      <c r="F104" s="2" t="str">
        <f>IFERROR(__xludf.DUMMYFUNCTION("IF(E104&lt;&gt;"""", GOOGLETRANSLATE(E104, ""en"", ""te""),"""")"),"")</f>
        <v/>
      </c>
      <c r="G104" s="2"/>
      <c r="H104" s="2" t="str">
        <f>IFERROR(__xludf.DUMMYFUNCTION("IF(G104&lt;&gt;"""", GOOGLETRANSLATE(G104, ""en"", ""te""),"""")"),"")</f>
        <v/>
      </c>
      <c r="I104" s="3"/>
    </row>
    <row r="105" customHeight="1" spans="1:9">
      <c r="A105" s="2"/>
      <c r="B105" s="2" t="str">
        <f>IFERROR(__xludf.DUMMYFUNCTION("IF(A105&lt;&gt;"""", GOOGLETRANSLATE(A105, ""en"", ""te""),"""")"),"")</f>
        <v/>
      </c>
      <c r="C105" s="2"/>
      <c r="D105" s="2" t="str">
        <f>IFERROR(__xludf.DUMMYFUNCTION("IF(C105&lt;&gt;"""", GOOGLETRANSLATE(C105, ""en"", ""te""),"""")"),"")</f>
        <v/>
      </c>
      <c r="E105" s="2"/>
      <c r="F105" s="2" t="str">
        <f>IFERROR(__xludf.DUMMYFUNCTION("IF(E105&lt;&gt;"""", GOOGLETRANSLATE(E105, ""en"", ""te""),"""")"),"")</f>
        <v/>
      </c>
      <c r="G105" s="2"/>
      <c r="H105" s="2" t="str">
        <f>IFERROR(__xludf.DUMMYFUNCTION("IF(G105&lt;&gt;"""", GOOGLETRANSLATE(G105, ""en"", ""te""),"""")"),"")</f>
        <v/>
      </c>
      <c r="I105" s="3"/>
    </row>
    <row r="106" customHeight="1" spans="1:9">
      <c r="A106" s="2"/>
      <c r="B106" s="2" t="str">
        <f>IFERROR(__xludf.DUMMYFUNCTION("IF(A106&lt;&gt;"""", GOOGLETRANSLATE(A106, ""en"", ""te""),"""")"),"")</f>
        <v/>
      </c>
      <c r="C106" s="2"/>
      <c r="D106" s="2" t="str">
        <f>IFERROR(__xludf.DUMMYFUNCTION("IF(C106&lt;&gt;"""", GOOGLETRANSLATE(C106, ""en"", ""te""),"""")"),"")</f>
        <v/>
      </c>
      <c r="E106" s="2"/>
      <c r="F106" s="2" t="str">
        <f>IFERROR(__xludf.DUMMYFUNCTION("IF(E106&lt;&gt;"""", GOOGLETRANSLATE(E106, ""en"", ""te""),"""")"),"")</f>
        <v/>
      </c>
      <c r="G106" s="2"/>
      <c r="H106" s="2" t="str">
        <f>IFERROR(__xludf.DUMMYFUNCTION("IF(G106&lt;&gt;"""", GOOGLETRANSLATE(G106, ""en"", ""te""),"""")"),"")</f>
        <v/>
      </c>
      <c r="I106" s="3"/>
    </row>
    <row r="107" customHeight="1" spans="1:9">
      <c r="A107" s="2" t="s">
        <v>74</v>
      </c>
      <c r="B107" s="2" t="str">
        <f>IFERROR(__xludf.DUMMYFUNCTION("IF(A107&lt;&gt;"""", GOOGLETRANSLATE(A107, ""en"", ""te""),"""")"),"[ '99 పరుగుల 1st (మరియు 199, 299 etc) (99)', 'వరుస ఇన్నింగ్స్లో 7 వ యాభైల్లో (6)']")</f>
        <v>[ '99 పరుగుల 1st (మరియు 199, 299 etc) (99)', 'వరుస ఇన్నింగ్స్లో 7 వ యాభైల్లో (6)']</v>
      </c>
      <c r="C107" s="2" t="s">
        <v>75</v>
      </c>
      <c r="D107" s="2" t="str">
        <f>IFERROR(__xludf.DUMMYFUNCTION("IF(C107&lt;&gt;"""", GOOGLETRANSLATE(C107, ""en"", ""te""),"""")"),"[ 'ఫాస్టెస్ట్ 3000 పరుగులు 23' ఒక డక్ (54) లేకుండా 43 వ వరుస ఇన్నింగ్స్ '' 99 పరుగుల 1st (మరియు 199, 299 etc) (99) ',' వరుస ఇన్నింగ్స్లో 7 వ యాభైల్లో (6) ', (64 ) ',' 27th 4000 పరుగులు (89) ',' 13 వ అత్యుత్తమ బౌలింగ్ ఇన్నింగ్స్ విశ్లేషణలలో వేగంగా (4/10) "&amp;"',' 50th పురాతన దేశం ఆటగాళ్ళు (86y 17d) ',' 49 వ అత్యధిక మ్యాచ్లు కెప్టెన్గా (30) ' ]")</f>
        <v>[ 'ఫాస్టెస్ట్ 3000 పరుగులు 23' ఒక డక్ (54) లేకుండా 43 వ వరుస ఇన్నింగ్స్ '' 99 పరుగుల 1st (మరియు 199, 299 etc) (99) ',' వరుస ఇన్నింగ్స్లో 7 వ యాభైల్లో (6) ', (64 ) ',' 27th 4000 పరుగులు (89) ',' 13 వ అత్యుత్తమ బౌలింగ్ ఇన్నింగ్స్ విశ్లేషణలలో వేగంగా (4/10) ',' 50th పురాతన దేశం ఆటగాళ్ళు (86y 17d) ',' 49 వ అత్యధిక మ్యాచ్లు కెప్టెన్గా (30) ' ]</v>
      </c>
      <c r="E107" s="2"/>
      <c r="F107" s="2" t="str">
        <f>IFERROR(__xludf.DUMMYFUNCTION("IF(E107&lt;&gt;"""", GOOGLETRANSLATE(E107, ""en"", ""te""),"""")"),"")</f>
        <v/>
      </c>
      <c r="G107" s="2"/>
      <c r="H107" s="2" t="str">
        <f>IFERROR(__xludf.DUMMYFUNCTION("IF(G107&lt;&gt;"""", GOOGLETRANSLATE(G107, ""en"", ""te""),"""")"),"")</f>
        <v/>
      </c>
      <c r="I107" s="3"/>
    </row>
    <row r="108" customHeight="1" spans="1:9">
      <c r="A108" s="2"/>
      <c r="B108" s="2" t="str">
        <f>IFERROR(__xludf.DUMMYFUNCTION("IF(A108&lt;&gt;"""", GOOGLETRANSLATE(A108, ""en"", ""te""),"""")"),"")</f>
        <v/>
      </c>
      <c r="C108" s="2"/>
      <c r="D108" s="2" t="str">
        <f>IFERROR(__xludf.DUMMYFUNCTION("IF(C108&lt;&gt;"""", GOOGLETRANSLATE(C108, ""en"", ""te""),"""")"),"")</f>
        <v/>
      </c>
      <c r="E108" s="2"/>
      <c r="F108" s="2" t="str">
        <f>IFERROR(__xludf.DUMMYFUNCTION("IF(E108&lt;&gt;"""", GOOGLETRANSLATE(E108, ""en"", ""te""),"""")"),"")</f>
        <v/>
      </c>
      <c r="G108" s="2"/>
      <c r="H108" s="2" t="str">
        <f>IFERROR(__xludf.DUMMYFUNCTION("IF(G108&lt;&gt;"""", GOOGLETRANSLATE(G108, ""en"", ""te""),"""")"),"")</f>
        <v/>
      </c>
      <c r="I108" s="3"/>
    </row>
    <row r="109" customHeight="1" spans="1:9">
      <c r="A109" s="2"/>
      <c r="B109" s="2" t="str">
        <f>IFERROR(__xludf.DUMMYFUNCTION("IF(A109&lt;&gt;"""", GOOGLETRANSLATE(A109, ""en"", ""te""),"""")"),"")</f>
        <v/>
      </c>
      <c r="C109" s="2"/>
      <c r="D109" s="2" t="str">
        <f>IFERROR(__xludf.DUMMYFUNCTION("IF(C109&lt;&gt;"""", GOOGLETRANSLATE(C109, ""en"", ""te""),"""")"),"")</f>
        <v/>
      </c>
      <c r="E109" s="2"/>
      <c r="F109" s="2" t="str">
        <f>IFERROR(__xludf.DUMMYFUNCTION("IF(E109&lt;&gt;"""", GOOGLETRANSLATE(E109, ""en"", ""te""),"""")"),"")</f>
        <v/>
      </c>
      <c r="G109" s="2"/>
      <c r="H109" s="2" t="str">
        <f>IFERROR(__xludf.DUMMYFUNCTION("IF(G109&lt;&gt;"""", GOOGLETRANSLATE(G109, ""en"", ""te""),"""")"),"")</f>
        <v/>
      </c>
      <c r="I109" s="3"/>
    </row>
    <row r="110" customHeight="1" spans="1:9">
      <c r="A110" s="2"/>
      <c r="B110" s="2" t="str">
        <f>IFERROR(__xludf.DUMMYFUNCTION("IF(A110&lt;&gt;"""", GOOGLETRANSLATE(A110, ""en"", ""te""),"""")"),"")</f>
        <v/>
      </c>
      <c r="C110" s="2"/>
      <c r="D110" s="2" t="str">
        <f>IFERROR(__xludf.DUMMYFUNCTION("IF(C110&lt;&gt;"""", GOOGLETRANSLATE(C110, ""en"", ""te""),"""")"),"")</f>
        <v/>
      </c>
      <c r="E110" s="2"/>
      <c r="F110" s="2" t="str">
        <f>IFERROR(__xludf.DUMMYFUNCTION("IF(E110&lt;&gt;"""", GOOGLETRANSLATE(E110, ""en"", ""te""),"""")"),"")</f>
        <v/>
      </c>
      <c r="G110" s="2"/>
      <c r="H110" s="2" t="str">
        <f>IFERROR(__xludf.DUMMYFUNCTION("IF(G110&lt;&gt;"""", GOOGLETRANSLATE(G110, ""en"", ""te""),"""")"),"")</f>
        <v/>
      </c>
      <c r="I110" s="3"/>
    </row>
    <row r="111" customHeight="1" spans="1:9">
      <c r="A111" s="2" t="s">
        <v>76</v>
      </c>
      <c r="B111" s="2" t="str">
        <f>IFERROR(__xludf.DUMMYFUNCTION("IF(A111&lt;&gt;"""", GOOGLETRANSLATE(A111, ""en"", ""te""),"""")"),"[ '3 వ వరుస మ్యాచ్లు ఆడి మధ్య జట్టు (9) తప్పిన', 'కెప్టెన్సీ ప్రవేశం (39y 110d) 7 వ ఓల్డెస్ట్ కెప్టెన్లు']")</f>
        <v>[ '3 వ వరుస మ్యాచ్లు ఆడి మధ్య జట్టు (9) తప్పిన', 'కెప్టెన్సీ ప్రవేశం (39y 110d) 7 వ ఓల్డెస్ట్ కెప్టెన్లు']</v>
      </c>
      <c r="C111" s="2" t="s">
        <v>77</v>
      </c>
      <c r="D111" s="2" t="str">
        <f>IFERROR(__xludf.DUMMYFUNCTION("IF(C111&lt;&gt;"""", GOOGLETRANSLATE(C111, ""en"", ""te""),"""")"),"[ '38 వ చెత్త కెరీర్ (65.00) (అర్హత లేకుండా) సగటు బౌలింగ్', 'ప్రదర్శనల మధ్య 15 వ లాంగెస్ట్ వ్యవధిలో (8y 135d)', '3 వ వరుస మ్యాచ్లు ఆడి మధ్య జట్టు (9) తప్పిన']")</f>
        <v>[ '38 వ చెత్త కెరీర్ (65.00) (అర్హత లేకుండా) సగటు బౌలింగ్', 'ప్రదర్శనల మధ్య 15 వ లాంగెస్ట్ వ్యవధిలో (8y 135d)', '3 వ వరుస మ్యాచ్లు ఆడి మధ్య జట్టు (9) తప్పిన']</v>
      </c>
      <c r="E111" s="2" t="s">
        <v>78</v>
      </c>
      <c r="F111" s="2" t="str">
        <f>IFERROR(__xludf.DUMMYFUNCTION("IF(E111&lt;&gt;"""", GOOGLETRANSLATE(E111, ""en"", ""te""),"""")"),"[ 'తొలి 6 వ ఓల్డెస్ట్ క్రీడాకారులు (39y 110d)', '24 వ ఓల్డెస్ట్ క్రీడాకారులు (39y 138d)', '8 వ ఓల్డెస్ట్ కాప్టెన్ (39y 138d)', 'కెప్టెన్సీ తొలి 7th ఓల్డెస్ట్ కాప్టెన్ (39y 110d)']")</f>
        <v>[ 'తొలి 6 వ ఓల్డెస్ట్ క్రీడాకారులు (39y 110d)', '24 వ ఓల్డెస్ట్ క్రీడాకారులు (39y 138d)', '8 వ ఓల్డెస్ట్ కాప్టెన్ (39y 138d)', 'కెప్టెన్సీ తొలి 7th ఓల్డెస్ట్ కాప్టెన్ (39y 110d)']</v>
      </c>
      <c r="G111" s="2"/>
      <c r="H111" s="2" t="str">
        <f>IFERROR(__xludf.DUMMYFUNCTION("IF(G111&lt;&gt;"""", GOOGLETRANSLATE(G111, ""en"", ""te""),"""")"),"")</f>
        <v/>
      </c>
      <c r="I111" s="3"/>
    </row>
    <row r="112" customHeight="1" spans="1:9">
      <c r="A112" s="2"/>
      <c r="B112" s="2" t="str">
        <f>IFERROR(__xludf.DUMMYFUNCTION("IF(A112&lt;&gt;"""", GOOGLETRANSLATE(A112, ""en"", ""te""),"""")"),"")</f>
        <v/>
      </c>
      <c r="C112" s="2"/>
      <c r="D112" s="2" t="str">
        <f>IFERROR(__xludf.DUMMYFUNCTION("IF(C112&lt;&gt;"""", GOOGLETRANSLATE(C112, ""en"", ""te""),"""")"),"")</f>
        <v/>
      </c>
      <c r="E112" s="2"/>
      <c r="F112" s="2" t="str">
        <f>IFERROR(__xludf.DUMMYFUNCTION("IF(E112&lt;&gt;"""", GOOGLETRANSLATE(E112, ""en"", ""te""),"""")"),"")</f>
        <v/>
      </c>
      <c r="G112" s="2"/>
      <c r="H112" s="2" t="str">
        <f>IFERROR(__xludf.DUMMYFUNCTION("IF(G112&lt;&gt;"""", GOOGLETRANSLATE(G112, ""en"", ""te""),"""")"),"")</f>
        <v/>
      </c>
      <c r="I112" s="3"/>
    </row>
    <row r="113" customHeight="1" spans="1:9">
      <c r="A113" s="2"/>
      <c r="B113" s="2" t="str">
        <f>IFERROR(__xludf.DUMMYFUNCTION("IF(A113&lt;&gt;"""", GOOGLETRANSLATE(A113, ""en"", ""te""),"""")"),"")</f>
        <v/>
      </c>
      <c r="C113" s="2"/>
      <c r="D113" s="2" t="str">
        <f>IFERROR(__xludf.DUMMYFUNCTION("IF(C113&lt;&gt;"""", GOOGLETRANSLATE(C113, ""en"", ""te""),"""")"),"")</f>
        <v/>
      </c>
      <c r="E113" s="2" t="s">
        <v>79</v>
      </c>
      <c r="F113" s="2" t="str">
        <f>IFERROR(__xludf.DUMMYFUNCTION("IF(E113&lt;&gt;"""", GOOGLETRANSLATE(E113, ""en"", ""te""),"""")"),"[ '32 వ ఉత్తమ కెరీర్ ఆర్థిక రేటు (3.79)']")</f>
        <v>[ '32 వ ఉత్తమ కెరీర్ ఆర్థిక రేటు (3.79)']</v>
      </c>
      <c r="G113" s="2"/>
      <c r="H113" s="2" t="str">
        <f>IFERROR(__xludf.DUMMYFUNCTION("IF(G113&lt;&gt;"""", GOOGLETRANSLATE(G113, ""en"", ""te""),"""")"),"")</f>
        <v/>
      </c>
      <c r="I113" s="3"/>
    </row>
    <row r="114" customHeight="1" spans="1:9">
      <c r="A114" s="2"/>
      <c r="B114" s="2" t="str">
        <f>IFERROR(__xludf.DUMMYFUNCTION("IF(A114&lt;&gt;"""", GOOGLETRANSLATE(A114, ""en"", ""te""),"""")"),"")</f>
        <v/>
      </c>
      <c r="C114" s="2"/>
      <c r="D114" s="2" t="str">
        <f>IFERROR(__xludf.DUMMYFUNCTION("IF(C114&lt;&gt;"""", GOOGLETRANSLATE(C114, ""en"", ""te""),"""")"),"")</f>
        <v/>
      </c>
      <c r="E114" s="2"/>
      <c r="F114" s="2" t="str">
        <f>IFERROR(__xludf.DUMMYFUNCTION("IF(E114&lt;&gt;"""", GOOGLETRANSLATE(E114, ""en"", ""te""),"""")"),"")</f>
        <v/>
      </c>
      <c r="G114" s="2"/>
      <c r="H114" s="2" t="str">
        <f>IFERROR(__xludf.DUMMYFUNCTION("IF(G114&lt;&gt;"""", GOOGLETRANSLATE(G114, ""en"", ""te""),"""")"),"")</f>
        <v/>
      </c>
      <c r="I114" s="3"/>
    </row>
    <row r="115" customHeight="1" spans="1:9">
      <c r="A115" s="2"/>
      <c r="B115" s="2" t="str">
        <f>IFERROR(__xludf.DUMMYFUNCTION("IF(A115&lt;&gt;"""", GOOGLETRANSLATE(A115, ""en"", ""te""),"""")"),"")</f>
        <v/>
      </c>
      <c r="C115" s="2"/>
      <c r="D115" s="2" t="str">
        <f>IFERROR(__xludf.DUMMYFUNCTION("IF(C115&lt;&gt;"""", GOOGLETRANSLATE(C115, ""en"", ""te""),"""")"),"")</f>
        <v/>
      </c>
      <c r="E115" s="2"/>
      <c r="F115" s="2" t="str">
        <f>IFERROR(__xludf.DUMMYFUNCTION("IF(E115&lt;&gt;"""", GOOGLETRANSLATE(E115, ""en"", ""te""),"""")"),"")</f>
        <v/>
      </c>
      <c r="G115" s="2"/>
      <c r="H115" s="2" t="str">
        <f>IFERROR(__xludf.DUMMYFUNCTION("IF(G115&lt;&gt;"""", GOOGLETRANSLATE(G115, ""en"", ""te""),"""")"),"")</f>
        <v/>
      </c>
      <c r="I115" s="3"/>
    </row>
    <row r="116" customHeight="1" spans="1:9">
      <c r="A116" s="2"/>
      <c r="B116" s="2" t="str">
        <f>IFERROR(__xludf.DUMMYFUNCTION("IF(A116&lt;&gt;"""", GOOGLETRANSLATE(A116, ""en"", ""te""),"""")"),"")</f>
        <v/>
      </c>
      <c r="C116" s="2" t="s">
        <v>80</v>
      </c>
      <c r="D116" s="2" t="str">
        <f>IFERROR(__xludf.DUMMYFUNCTION("IF(C116&lt;&gt;"""", GOOGLETRANSLATE(C116, ""en"", ""te""),"""")"),"[ 'నాలుగవ వికెట్కు 33 వ అత్యధిక భాగస్వామ్యం (266)', '21 వ ఒక మ్యాచ్ రిఫరీ గా అత్యధిక మ్యాచ్లు (14) ']")</f>
        <v>[ 'నాలుగవ వికెట్కు 33 వ అత్యధిక భాగస్వామ్యం (266)', '21 వ ఒక మ్యాచ్ రిఫరీ గా అత్యధిక మ్యాచ్లు (14) ']</v>
      </c>
      <c r="E116" s="2" t="s">
        <v>81</v>
      </c>
      <c r="F116" s="2" t="str">
        <f>IFERROR(__xludf.DUMMYFUNCTION("IF(E116&lt;&gt;"""", GOOGLETRANSLATE(E116, ""en"", ""te""),"""")"),"[ 'ఒక మ్యాచ్ రిఫరీ (35) గా 24 వ అత్యధిక మ్యాచ్లు' '14 వ లాంగెస్ట్ క్రీడాకారులు నివసించారు (72y 139d)',]")</f>
        <v>[ 'ఒక మ్యాచ్ రిఫరీ (35) గా 24 వ అత్యధిక మ్యాచ్లు' '14 వ లాంగెస్ట్ క్రీడాకారులు నివసించారు (72y 139d)',]</v>
      </c>
      <c r="G116" s="2"/>
      <c r="H116" s="2" t="str">
        <f>IFERROR(__xludf.DUMMYFUNCTION("IF(G116&lt;&gt;"""", GOOGLETRANSLATE(G116, ""en"", ""te""),"""")"),"")</f>
        <v/>
      </c>
      <c r="I116" s="3"/>
    </row>
    <row r="117" customHeight="1" spans="1:9">
      <c r="A117" s="2" t="s">
        <v>82</v>
      </c>
      <c r="B117" s="2" t="str">
        <f>IFERROR(__xludf.DUMMYFUNCTION("IF(A117&lt;&gt;"""", GOOGLETRANSLATE(A117, ""en"", ""te""),"""")"),"[ 'ఇన్నింగ్స్ లో 6 వ అత్యధిక పరుగులు (బ్యాటింగ్ స్థానంలో ప్రకారం) (160)', '7 వ అత్యంత వృద్ధ ఆటగాడు తొలి వంద (31y 190d) స్కోర్', 'ఆరవ వికెట్కు 2 వ అత్యధిక భాగస్వామ్యం (132)', '9 వ అత్యధిక పరుగులు ఒక ఇన్నింగ్స్ లో మొదటి డక్ (27) ',' 4 వ అత్యధిక క్యాచ్లు ముం"&amp;"దు ఒక ఇన్నింగ్స్ (బ్యాటింగ్ స్థానంలో ప్రకారం) (142 *) ',' 7 వ అత్యధిక తొలి వంద (142 *) ',' 10 వ అత్యంత ఇన్నింగ్స్లో (3) ']")</f>
        <v>[ 'ఇన్నింగ్స్ లో 6 వ అత్యధిక పరుగులు (బ్యాటింగ్ స్థానంలో ప్రకారం) (160)', '7 వ అత్యంత వృద్ధ ఆటగాడు తొలి వంద (31y 190d) స్కోర్', 'ఆరవ వికెట్కు 2 వ అత్యధిక భాగస్వామ్యం (132)', '9 వ అత్యధిక పరుగులు ఒక ఇన్నింగ్స్ లో మొదటి డక్ (27) ',' 4 వ అత్యధిక క్యాచ్లు ముందు ఒక ఇన్నింగ్స్ (బ్యాటింగ్ స్థానంలో ప్రకారం) (142 *) ',' 7 వ అత్యధిక తొలి వంద (142 *) ',' 10 వ అత్యంత ఇన్నింగ్స్లో (3) ']</v>
      </c>
      <c r="C117" s="2" t="s">
        <v>83</v>
      </c>
      <c r="D117" s="2" t="str">
        <f>IFERROR(__xludf.DUMMYFUNCTION("IF(C117&lt;&gt;"""", GOOGLETRANSLATE(C117, ""en"", ""te""),"""")"),"[ '33 వ మ్యాచ్ లో అత్యధిక పరుగులు (160)', 'ఇన్నింగ్స్ లో 6 వ అత్యధిక పరుగులు (బ్యాటింగ్ స్థానంలో ప్రకారం) (160)', '46 వ అత్యధిక కెరీర్ బ్యాటింగ్ సగటు 17 ఇన్నింగ్స్ (160) అత్యధిక పరుగులు' (31,50 ) ',' 12 వ అత్యధిక తొలి వంద (160) ',' 15 వ అత్యంత వృద్ధ ఆటగాడ"&amp;"ు వంద (31y 190d 7 వ అత్యంత వృద్ధ ఆటగాడు తొలి వంద (31y 190d) స్కోర్ ',' 2 వ అత్యధిక భాగస్వామ్యం ఆరవ వికెట్కు స్కోర్) ',' (132) ']")</f>
        <v>[ '33 వ మ్యాచ్ లో అత్యధిక పరుగులు (160)', 'ఇన్నింగ్స్ లో 6 వ అత్యధిక పరుగులు (బ్యాటింగ్ స్థానంలో ప్రకారం) (160)', '46 వ అత్యధిక కెరీర్ బ్యాటింగ్ సగటు 17 ఇన్నింగ్స్ (160) అత్యధిక పరుగులు' (31,50 ) ',' 12 వ అత్యధిక తొలి వంద (160) ',' 15 వ అత్యంత వృద్ధ ఆటగాడు వంద (31y 190d 7 వ అత్యంత వృద్ధ ఆటగాడు తొలి వంద (31y 190d) స్కోర్ ',' 2 వ అత్యధిక భాగస్వామ్యం ఆరవ వికెట్కు స్కోర్) ',' (132) ']</v>
      </c>
      <c r="E117" s="2" t="s">
        <v>84</v>
      </c>
      <c r="F117" s="2" t="str">
        <f>IFERROR(__xludf.DUMMYFUNCTION("IF(E117&lt;&gt;"""", GOOGLETRANSLATE(E117, ""en"", ""te""),"""")"),"[ '26 ఇన్నింగ్స్ (142 *) లో అత్యధిక పరుగులు' 'ఇన్నింగ్స్ లో 9 వ అత్యధిక పరుగులు (బ్యాటింగ్ స్థానంలో ప్రకారం) (142 *)', '19 వ తొలి మ్యాచ్ (60 *) లో అత్యధిక పరుగులు', '7 వ అత్యధిక తొలి వందల (142 *) ', '21 వ అత్యంత వృద్ధ ఆటగాడు', 'మొదటి డక్ (27) ముందు తొలి వ"&amp;"ంద (32y 360d)', '10 వ అత్యంత ఇన్నింగ్స్ స్కోర్', '13 వ అత్యంత వృద్ధ ఆటగాడు వంద (360d 32y) స్కోర్ 4 వ అత్యంత ఒక ఇన్నింగ్స్ లో క్యాచ్లు (3) ']")</f>
        <v>[ '26 ఇన్నింగ్స్ (142 *) లో అత్యధిక పరుగులు' 'ఇన్నింగ్స్ లో 9 వ అత్యధిక పరుగులు (బ్యాటింగ్ స్థానంలో ప్రకారం) (142 *)', '19 వ తొలి మ్యాచ్ (60 *) లో అత్యధిక పరుగులు', '7 వ అత్యధిక తొలి వందల (142 *) ', '21 వ అత్యంత వృద్ధ ఆటగాడు', 'మొదటి డక్ (27) ముందు తొలి వంద (32y 360d)', '10 వ అత్యంత ఇన్నింగ్స్ స్కోర్', '13 వ అత్యంత వృద్ధ ఆటగాడు వంద (360d 32y) స్కోర్ 4 వ అత్యంత ఒక ఇన్నింగ్స్ లో క్యాచ్లు (3) ']</v>
      </c>
      <c r="G117" s="2"/>
      <c r="H117" s="2" t="str">
        <f>IFERROR(__xludf.DUMMYFUNCTION("IF(G117&lt;&gt;"""", GOOGLETRANSLATE(G117, ""en"", ""te""),"""")"),"")</f>
        <v/>
      </c>
      <c r="I117" s="3"/>
    </row>
    <row r="118" customHeight="1" spans="1:9">
      <c r="A118" s="2"/>
      <c r="B118" s="2" t="str">
        <f>IFERROR(__xludf.DUMMYFUNCTION("IF(A118&lt;&gt;"""", GOOGLETRANSLATE(A118, ""en"", ""te""),"""")"),"")</f>
        <v/>
      </c>
      <c r="C118" s="2"/>
      <c r="D118" s="2" t="str">
        <f>IFERROR(__xludf.DUMMYFUNCTION("IF(C118&lt;&gt;"""", GOOGLETRANSLATE(C118, ""en"", ""te""),"""")"),"")</f>
        <v/>
      </c>
      <c r="E118" s="2"/>
      <c r="F118" s="2" t="str">
        <f>IFERROR(__xludf.DUMMYFUNCTION("IF(E118&lt;&gt;"""", GOOGLETRANSLATE(E118, ""en"", ""te""),"""")"),"")</f>
        <v/>
      </c>
      <c r="G118" s="2"/>
      <c r="H118" s="2" t="str">
        <f>IFERROR(__xludf.DUMMYFUNCTION("IF(G118&lt;&gt;"""", GOOGLETRANSLATE(G118, ""en"", ""te""),"""")"),"")</f>
        <v/>
      </c>
      <c r="I118" s="3"/>
    </row>
    <row r="119" customHeight="1" spans="1:9">
      <c r="A119" s="2"/>
      <c r="B119" s="2" t="str">
        <f>IFERROR(__xludf.DUMMYFUNCTION("IF(A119&lt;&gt;"""", GOOGLETRANSLATE(A119, ""en"", ""te""),"""")"),"")</f>
        <v/>
      </c>
      <c r="C119" s="2"/>
      <c r="D119" s="2" t="str">
        <f>IFERROR(__xludf.DUMMYFUNCTION("IF(C119&lt;&gt;"""", GOOGLETRANSLATE(C119, ""en"", ""te""),"""")"),"")</f>
        <v/>
      </c>
      <c r="E119" s="2"/>
      <c r="F119" s="2" t="str">
        <f>IFERROR(__xludf.DUMMYFUNCTION("IF(E119&lt;&gt;"""", GOOGLETRANSLATE(E119, ""en"", ""te""),"""")"),"")</f>
        <v/>
      </c>
      <c r="G119" s="2"/>
      <c r="H119" s="2" t="str">
        <f>IFERROR(__xludf.DUMMYFUNCTION("IF(G119&lt;&gt;"""", GOOGLETRANSLATE(G119, ""en"", ""te""),"""")"),"")</f>
        <v/>
      </c>
      <c r="I119" s="3"/>
    </row>
    <row r="120" customHeight="1" spans="1:9">
      <c r="A120" s="2"/>
      <c r="B120" s="2" t="str">
        <f>IFERROR(__xludf.DUMMYFUNCTION("IF(A120&lt;&gt;"""", GOOGLETRANSLATE(A120, ""en"", ""te""),"""")"),"")</f>
        <v/>
      </c>
      <c r="C120" s="2" t="s">
        <v>85</v>
      </c>
      <c r="D120" s="2" t="str">
        <f>IFERROR(__xludf.DUMMYFUNCTION("IF(C120&lt;&gt;"""", GOOGLETRANSLATE(C120, ""en"", ""te""),"""")"),"[ '47 వ ఒక సిరీస్లో అత్యధిక వికెట్లు (20)']")</f>
        <v>[ '47 వ ఒక సిరీస్లో అత్యధిక వికెట్లు (20)']</v>
      </c>
      <c r="E120" s="2" t="s">
        <v>86</v>
      </c>
      <c r="F120" s="2" t="str">
        <f>IFERROR(__xludf.DUMMYFUNCTION("IF(E120&lt;&gt;"""", GOOGLETRANSLATE(E120, ""en"", ""te""),"""")"),"[ 'ప్రదర్శనలు (6y 348d) మధ్య 31 లాంగెస్ట్ వ్యవధిలో']")</f>
        <v>[ 'ప్రదర్శనలు (6y 348d) మధ్య 31 లాంగెస్ట్ వ్యవధిలో']</v>
      </c>
      <c r="G120" s="2"/>
      <c r="H120" s="2" t="str">
        <f>IFERROR(__xludf.DUMMYFUNCTION("IF(G120&lt;&gt;"""", GOOGLETRANSLATE(G120, ""en"", ""te""),"""")"),"")</f>
        <v/>
      </c>
      <c r="I120" s="3"/>
    </row>
    <row r="121" customHeight="1" spans="1:9">
      <c r="A121" s="2"/>
      <c r="B121" s="2" t="str">
        <f>IFERROR(__xludf.DUMMYFUNCTION("IF(A121&lt;&gt;"""", GOOGLETRANSLATE(A121, ""en"", ""te""),"""")"),"")</f>
        <v/>
      </c>
      <c r="C121" s="2"/>
      <c r="D121" s="2" t="str">
        <f>IFERROR(__xludf.DUMMYFUNCTION("IF(C121&lt;&gt;"""", GOOGLETRANSLATE(C121, ""en"", ""te""),"""")"),"")</f>
        <v/>
      </c>
      <c r="E121" s="2"/>
      <c r="F121" s="2" t="str">
        <f>IFERROR(__xludf.DUMMYFUNCTION("IF(E121&lt;&gt;"""", GOOGLETRANSLATE(E121, ""en"", ""te""),"""")"),"")</f>
        <v/>
      </c>
      <c r="G121" s="2"/>
      <c r="H121" s="2" t="str">
        <f>IFERROR(__xludf.DUMMYFUNCTION("IF(G121&lt;&gt;"""", GOOGLETRANSLATE(G121, ""en"", ""te""),"""")"),"")</f>
        <v/>
      </c>
      <c r="I121" s="3"/>
    </row>
    <row r="122" customHeight="1" spans="1:9">
      <c r="A122" s="2"/>
      <c r="B122" s="2" t="str">
        <f>IFERROR(__xludf.DUMMYFUNCTION("IF(A122&lt;&gt;"""", GOOGLETRANSLATE(A122, ""en"", ""te""),"""")"),"")</f>
        <v/>
      </c>
      <c r="C122" s="2"/>
      <c r="D122" s="2" t="str">
        <f>IFERROR(__xludf.DUMMYFUNCTION("IF(C122&lt;&gt;"""", GOOGLETRANSLATE(C122, ""en"", ""te""),"""")"),"")</f>
        <v/>
      </c>
      <c r="E122" s="2"/>
      <c r="F122" s="2" t="str">
        <f>IFERROR(__xludf.DUMMYFUNCTION("IF(E122&lt;&gt;"""", GOOGLETRANSLATE(E122, ""en"", ""te""),"""")"),"")</f>
        <v/>
      </c>
      <c r="G122" s="2"/>
      <c r="H122" s="2" t="str">
        <f>IFERROR(__xludf.DUMMYFUNCTION("IF(G122&lt;&gt;"""", GOOGLETRANSLATE(G122, ""en"", ""te""),"""")"),"")</f>
        <v/>
      </c>
      <c r="I122" s="3"/>
    </row>
    <row r="123" customHeight="1" spans="1:9">
      <c r="A123" s="2"/>
      <c r="B123" s="2" t="str">
        <f>IFERROR(__xludf.DUMMYFUNCTION("IF(A123&lt;&gt;"""", GOOGLETRANSLATE(A123, ""en"", ""te""),"""")"),"")</f>
        <v/>
      </c>
      <c r="C123" s="2"/>
      <c r="D123" s="2" t="str">
        <f>IFERROR(__xludf.DUMMYFUNCTION("IF(C123&lt;&gt;"""", GOOGLETRANSLATE(C123, ""en"", ""te""),"""")"),"")</f>
        <v/>
      </c>
      <c r="E123" s="2"/>
      <c r="F123" s="2" t="str">
        <f>IFERROR(__xludf.DUMMYFUNCTION("IF(E123&lt;&gt;"""", GOOGLETRANSLATE(E123, ""en"", ""te""),"""")"),"")</f>
        <v/>
      </c>
      <c r="G123" s="2"/>
      <c r="H123" s="2" t="str">
        <f>IFERROR(__xludf.DUMMYFUNCTION("IF(G123&lt;&gt;"""", GOOGLETRANSLATE(G123, ""en"", ""te""),"""")"),"")</f>
        <v/>
      </c>
      <c r="I123" s="3"/>
    </row>
    <row r="124" customHeight="1" spans="1:9">
      <c r="A124" s="2"/>
      <c r="B124" s="2" t="str">
        <f>IFERROR(__xludf.DUMMYFUNCTION("IF(A124&lt;&gt;"""", GOOGLETRANSLATE(A124, ""en"", ""te""),"""")"),"")</f>
        <v/>
      </c>
      <c r="C124" s="2"/>
      <c r="D124" s="2" t="str">
        <f>IFERROR(__xludf.DUMMYFUNCTION("IF(C124&lt;&gt;"""", GOOGLETRANSLATE(C124, ""en"", ""te""),"""")"),"")</f>
        <v/>
      </c>
      <c r="E124" s="2"/>
      <c r="F124" s="2" t="str">
        <f>IFERROR(__xludf.DUMMYFUNCTION("IF(E124&lt;&gt;"""", GOOGLETRANSLATE(E124, ""en"", ""te""),"""")"),"")</f>
        <v/>
      </c>
      <c r="G124" s="2"/>
      <c r="H124" s="2" t="str">
        <f>IFERROR(__xludf.DUMMYFUNCTION("IF(G124&lt;&gt;"""", GOOGLETRANSLATE(G124, ""en"", ""te""),"""")"),"")</f>
        <v/>
      </c>
      <c r="I124" s="3"/>
    </row>
    <row r="125" customHeight="1" spans="1:9">
      <c r="A125" s="2"/>
      <c r="B125" s="2" t="str">
        <f>IFERROR(__xludf.DUMMYFUNCTION("IF(A125&lt;&gt;"""", GOOGLETRANSLATE(A125, ""en"", ""te""),"""")"),"")</f>
        <v/>
      </c>
      <c r="C125" s="2"/>
      <c r="D125" s="2" t="str">
        <f>IFERROR(__xludf.DUMMYFUNCTION("IF(C125&lt;&gt;"""", GOOGLETRANSLATE(C125, ""en"", ""te""),"""")"),"")</f>
        <v/>
      </c>
      <c r="E125" s="2"/>
      <c r="F125" s="2" t="str">
        <f>IFERROR(__xludf.DUMMYFUNCTION("IF(E125&lt;&gt;"""", GOOGLETRANSLATE(E125, ""en"", ""te""),"""")"),"")</f>
        <v/>
      </c>
      <c r="G125" s="2"/>
      <c r="H125" s="2" t="str">
        <f>IFERROR(__xludf.DUMMYFUNCTION("IF(G125&lt;&gt;"""", GOOGLETRANSLATE(G125, ""en"", ""te""),"""")"),"")</f>
        <v/>
      </c>
      <c r="I125" s="3"/>
    </row>
    <row r="126" customHeight="1" spans="1:9">
      <c r="A126" s="2"/>
      <c r="B126" s="2" t="str">
        <f>IFERROR(__xludf.DUMMYFUNCTION("IF(A126&lt;&gt;"""", GOOGLETRANSLATE(A126, ""en"", ""te""),"""")"),"")</f>
        <v/>
      </c>
      <c r="C126" s="2"/>
      <c r="D126" s="2" t="str">
        <f>IFERROR(__xludf.DUMMYFUNCTION("IF(C126&lt;&gt;"""", GOOGLETRANSLATE(C126, ""en"", ""te""),"""")"),"")</f>
        <v/>
      </c>
      <c r="E126" s="2"/>
      <c r="F126" s="2" t="str">
        <f>IFERROR(__xludf.DUMMYFUNCTION("IF(E126&lt;&gt;"""", GOOGLETRANSLATE(E126, ""en"", ""te""),"""")"),"")</f>
        <v/>
      </c>
      <c r="G126" s="2"/>
      <c r="H126" s="2" t="str">
        <f>IFERROR(__xludf.DUMMYFUNCTION("IF(G126&lt;&gt;"""", GOOGLETRANSLATE(G126, ""en"", ""te""),"""")"),"")</f>
        <v/>
      </c>
      <c r="I126" s="3"/>
    </row>
    <row r="127" customHeight="1" spans="1:9">
      <c r="A127" s="2" t="s">
        <v>87</v>
      </c>
      <c r="B127" s="2" t="str">
        <f>IFERROR(__xludf.DUMMYFUNCTION("IF(A127&lt;&gt;"""", GOOGLETRANSLATE(A127, ""en"", ""te""),"""")"),"[ 'వరుస చాలా 5 వ స్టంపింగ్లు (7)']")</f>
        <v>[ 'వరుస చాలా 5 వ స్టంపింగ్లు (7)']</v>
      </c>
      <c r="C127" s="2" t="s">
        <v>88</v>
      </c>
      <c r="D127" s="2" t="str">
        <f>IFERROR(__xludf.DUMMYFUNCTION("IF(C127&lt;&gt;"""", GOOGLETRANSLATE(C127, ""en"", ""te""),"""")"),"[ '29 కెరీర్ స్టంపింగ్లు (15)', '12 వ మ్యాచ్లో (3) అత్యంత స్టంపింగ్లు' 'వరుస (7) లో 5 వ అత్యంత స్టంపింగ్లు']")</f>
        <v>[ '29 కెరీర్ స్టంపింగ్లు (15)', '12 వ మ్యాచ్లో (3) అత్యంత స్టంపింగ్లు' 'వరుస (7) లో 5 వ అత్యంత స్టంపింగ్లు']</v>
      </c>
      <c r="E127" s="2"/>
      <c r="F127" s="2" t="str">
        <f>IFERROR(__xludf.DUMMYFUNCTION("IF(E127&lt;&gt;"""", GOOGLETRANSLATE(E127, ""en"", ""te""),"""")"),"")</f>
        <v/>
      </c>
      <c r="G127" s="2"/>
      <c r="H127" s="2" t="str">
        <f>IFERROR(__xludf.DUMMYFUNCTION("IF(G127&lt;&gt;"""", GOOGLETRANSLATE(G127, ""en"", ""te""),"""")"),"")</f>
        <v/>
      </c>
      <c r="I127" s="3"/>
    </row>
    <row r="128" customHeight="1" spans="1:9">
      <c r="A128" s="2" t="s">
        <v>89</v>
      </c>
      <c r="B128" s="2" t="str">
        <f>IFERROR(__xludf.DUMMYFUNCTION("IF(A128&lt;&gt;"""", GOOGLETRANSLATE(A128, ""en"", ""te""),"""")"),"[ '5 వ వరుస మ్యాచ్లు ఆడి మధ్య జట్టు (204) కోసం తప్పిన']")</f>
        <v>[ '5 వ వరుస మ్యాచ్లు ఆడి మధ్య జట్టు (204) కోసం తప్పిన']</v>
      </c>
      <c r="C128" s="2" t="s">
        <v>90</v>
      </c>
      <c r="D128" s="2" t="str">
        <f>IFERROR(__xludf.DUMMYFUNCTION("IF(C128&lt;&gt;"""", GOOGLETRANSLATE(C128, ""en"", ""te""),"""")"),"[ 'కెరీర్లో 12 వ లేవు బాతులు (28)']")</f>
        <v>[ 'కెరీర్లో 12 వ లేవు బాతులు (28)']</v>
      </c>
      <c r="E128" s="2" t="s">
        <v>91</v>
      </c>
      <c r="F128" s="2" t="str">
        <f>IFERROR(__xludf.DUMMYFUNCTION("IF(E128&lt;&gt;"""", GOOGLETRANSLATE(E128, ""en"", ""te""),"""")"),"[ 'ప్రదర్శనలు (9y 213d) మధ్య 7 వ లాంగెస్ట్ వ్యవధిలో' '5 వ వరుస మ్యాచ్లు ఆడి మధ్య జట్టు (204) కోసం తప్పిన']")</f>
        <v>[ 'ప్రదర్శనలు (9y 213d) మధ్య 7 వ లాంగెస్ట్ వ్యవధిలో' '5 వ వరుస మ్యాచ్లు ఆడి మధ్య జట్టు (204) కోసం తప్పిన']</v>
      </c>
      <c r="G128" s="2" t="s">
        <v>92</v>
      </c>
      <c r="H128" s="2" t="str">
        <f>IFERROR(__xludf.DUMMYFUNCTION("IF(G128&lt;&gt;"""", GOOGLETRANSLATE(G128, ""en"", ""te""),"""")"),"[ '2 వ వరుస మ్యాచ్లు ఆడి మధ్య జట్టుకు దూరమయ్యాడు (79)', 'ప్రదర్శనలు (8y 249d) మధ్య 6 వ లాంగెస్ట్ వ్యవధిలో']")</f>
        <v>[ '2 వ వరుస మ్యాచ్లు ఆడి మధ్య జట్టుకు దూరమయ్యాడు (79)', 'ప్రదర్శనలు (8y 249d) మధ్య 6 వ లాంగెస్ట్ వ్యవధిలో']</v>
      </c>
      <c r="I128" s="3"/>
    </row>
    <row r="129" customHeight="1" spans="1:9">
      <c r="A129" s="2"/>
      <c r="B129" s="2" t="str">
        <f>IFERROR(__xludf.DUMMYFUNCTION("IF(A129&lt;&gt;"""", GOOGLETRANSLATE(A129, ""en"", ""te""),"""")"),"")</f>
        <v/>
      </c>
      <c r="C129" s="2"/>
      <c r="D129" s="2" t="str">
        <f>IFERROR(__xludf.DUMMYFUNCTION("IF(C129&lt;&gt;"""", GOOGLETRANSLATE(C129, ""en"", ""te""),"""")"),"")</f>
        <v/>
      </c>
      <c r="E129" s="2"/>
      <c r="F129" s="2" t="str">
        <f>IFERROR(__xludf.DUMMYFUNCTION("IF(E129&lt;&gt;"""", GOOGLETRANSLATE(E129, ""en"", ""te""),"""")"),"")</f>
        <v/>
      </c>
      <c r="G129" s="2"/>
      <c r="H129" s="2" t="str">
        <f>IFERROR(__xludf.DUMMYFUNCTION("IF(G129&lt;&gt;"""", GOOGLETRANSLATE(G129, ""en"", ""te""),"""")"),"")</f>
        <v/>
      </c>
      <c r="I129" s="3"/>
    </row>
    <row r="130" customHeight="1" spans="1:9">
      <c r="A130" s="2"/>
      <c r="B130" s="2" t="str">
        <f>IFERROR(__xludf.DUMMYFUNCTION("IF(A130&lt;&gt;"""", GOOGLETRANSLATE(A130, ""en"", ""te""),"""")"),"")</f>
        <v/>
      </c>
      <c r="C130" s="2"/>
      <c r="D130" s="2" t="str">
        <f>IFERROR(__xludf.DUMMYFUNCTION("IF(C130&lt;&gt;"""", GOOGLETRANSLATE(C130, ""en"", ""te""),"""")"),"")</f>
        <v/>
      </c>
      <c r="E130" s="2"/>
      <c r="F130" s="2" t="str">
        <f>IFERROR(__xludf.DUMMYFUNCTION("IF(E130&lt;&gt;"""", GOOGLETRANSLATE(E130, ""en"", ""te""),"""")"),"")</f>
        <v/>
      </c>
      <c r="G130" s="2"/>
      <c r="H130" s="2" t="str">
        <f>IFERROR(__xludf.DUMMYFUNCTION("IF(G130&lt;&gt;"""", GOOGLETRANSLATE(G130, ""en"", ""te""),"""")"),"")</f>
        <v/>
      </c>
      <c r="I130" s="3"/>
    </row>
    <row r="131" customHeight="1" spans="1:9">
      <c r="A131" s="2"/>
      <c r="B131" s="2" t="str">
        <f>IFERROR(__xludf.DUMMYFUNCTION("IF(A131&lt;&gt;"""", GOOGLETRANSLATE(A131, ""en"", ""te""),"""")"),"")</f>
        <v/>
      </c>
      <c r="C131" s="2"/>
      <c r="D131" s="2" t="str">
        <f>IFERROR(__xludf.DUMMYFUNCTION("IF(C131&lt;&gt;"""", GOOGLETRANSLATE(C131, ""en"", ""te""),"""")"),"")</f>
        <v/>
      </c>
      <c r="E131" s="2"/>
      <c r="F131" s="2" t="str">
        <f>IFERROR(__xludf.DUMMYFUNCTION("IF(E131&lt;&gt;"""", GOOGLETRANSLATE(E131, ""en"", ""te""),"""")"),"")</f>
        <v/>
      </c>
      <c r="G131" s="2" t="s">
        <v>93</v>
      </c>
      <c r="H131" s="2" t="str">
        <f>IFERROR(__xludf.DUMMYFUNCTION("IF(G131&lt;&gt;"""", GOOGLETRANSLATE(G131, ""en"", ""te""),"""")"),"[ '31 ఇన్నింగ్స్ లో అత్యధిక పరుగులు (బ్యాటింగ్ స్థానంలో ప్రకారం) (32)']")</f>
        <v>[ '31 ఇన్నింగ్స్ లో అత్యధిక పరుగులు (బ్యాటింగ్ స్థానంలో ప్రకారం) (32)']</v>
      </c>
      <c r="I131" s="3"/>
    </row>
    <row r="132" customHeight="1" spans="1:9">
      <c r="A132" s="2"/>
      <c r="B132" s="2" t="str">
        <f>IFERROR(__xludf.DUMMYFUNCTION("IF(A132&lt;&gt;"""", GOOGLETRANSLATE(A132, ""en"", ""te""),"""")"),"")</f>
        <v/>
      </c>
      <c r="C132" s="2"/>
      <c r="D132" s="2" t="str">
        <f>IFERROR(__xludf.DUMMYFUNCTION("IF(C132&lt;&gt;"""", GOOGLETRANSLATE(C132, ""en"", ""te""),"""")"),"")</f>
        <v/>
      </c>
      <c r="E132" s="2"/>
      <c r="F132" s="2" t="str">
        <f>IFERROR(__xludf.DUMMYFUNCTION("IF(E132&lt;&gt;"""", GOOGLETRANSLATE(E132, ""en"", ""te""),"""")"),"")</f>
        <v/>
      </c>
      <c r="G132" s="2"/>
      <c r="H132" s="2" t="str">
        <f>IFERROR(__xludf.DUMMYFUNCTION("IF(G132&lt;&gt;"""", GOOGLETRANSLATE(G132, ""en"", ""te""),"""")"),"")</f>
        <v/>
      </c>
      <c r="I132" s="3"/>
    </row>
    <row r="133" customHeight="1" spans="1:9">
      <c r="A133" s="2"/>
      <c r="B133" s="2" t="str">
        <f>IFERROR(__xludf.DUMMYFUNCTION("IF(A133&lt;&gt;"""", GOOGLETRANSLATE(A133, ""en"", ""te""),"""")"),"")</f>
        <v/>
      </c>
      <c r="C133" s="2"/>
      <c r="D133" s="2" t="str">
        <f>IFERROR(__xludf.DUMMYFUNCTION("IF(C133&lt;&gt;"""", GOOGLETRANSLATE(C133, ""en"", ""te""),"""")"),"")</f>
        <v/>
      </c>
      <c r="E133" s="2"/>
      <c r="F133" s="2" t="str">
        <f>IFERROR(__xludf.DUMMYFUNCTION("IF(E133&lt;&gt;"""", GOOGLETRANSLATE(E133, ""en"", ""te""),"""")"),"")</f>
        <v/>
      </c>
      <c r="G133" s="2"/>
      <c r="H133" s="2" t="str">
        <f>IFERROR(__xludf.DUMMYFUNCTION("IF(G133&lt;&gt;"""", GOOGLETRANSLATE(G133, ""en"", ""te""),"""")"),"")</f>
        <v/>
      </c>
      <c r="I133" s="3"/>
    </row>
    <row r="134" customHeight="1" spans="1:9">
      <c r="A134" s="2"/>
      <c r="B134" s="2" t="str">
        <f>IFERROR(__xludf.DUMMYFUNCTION("IF(A134&lt;&gt;"""", GOOGLETRANSLATE(A134, ""en"", ""te""),"""")"),"")</f>
        <v/>
      </c>
      <c r="C134" s="2"/>
      <c r="D134" s="2" t="str">
        <f>IFERROR(__xludf.DUMMYFUNCTION("IF(C134&lt;&gt;"""", GOOGLETRANSLATE(C134, ""en"", ""te""),"""")"),"")</f>
        <v/>
      </c>
      <c r="E134" s="2"/>
      <c r="F134" s="2" t="str">
        <f>IFERROR(__xludf.DUMMYFUNCTION("IF(E134&lt;&gt;"""", GOOGLETRANSLATE(E134, ""en"", ""te""),"""")"),"")</f>
        <v/>
      </c>
      <c r="G134" s="2"/>
      <c r="H134" s="2" t="str">
        <f>IFERROR(__xludf.DUMMYFUNCTION("IF(G134&lt;&gt;"""", GOOGLETRANSLATE(G134, ""en"", ""te""),"""")"),"")</f>
        <v/>
      </c>
      <c r="I134" s="3"/>
    </row>
    <row r="135" customHeight="1" spans="1:9">
      <c r="A135" s="2" t="s">
        <v>94</v>
      </c>
      <c r="B135" s="2" t="str">
        <f>IFERROR(__xludf.DUMMYFUNCTION("IF(A135&lt;&gt;"""", GOOGLETRANSLATE(A135, ""en"", ""te""),"""")"),"[ '10 వ ఓల్డెస్ట్ కాప్టెన్ (41y 330d)']")</f>
        <v>[ '10 వ ఓల్డెస్ట్ కాప్టెన్ (41y 330d)']</v>
      </c>
      <c r="C135" s="2" t="s">
        <v>95</v>
      </c>
      <c r="D135" s="2" t="str">
        <f>IFERROR(__xludf.DUMMYFUNCTION("IF(C135&lt;&gt;"""", GOOGLETRANSLATE(C135, ""en"", ""te""),"""")"),"[ '37 వ ఉత్తమ ఇన్నింగ్స్ లో సమ్మె రేటు (8.5)', '39 వ ఓల్డెస్ట్ క్రీడాకారులు (42y 127d)', '10 వ ఓల్డెస్ట్ కాప్టెన్ (41y 330d)']")</f>
        <v>[ '37 వ ఉత్తమ ఇన్నింగ్స్ లో సమ్మె రేటు (8.5)', '39 వ ఓల్డెస్ట్ క్రీడాకారులు (42y 127d)', '10 వ ఓల్డెస్ట్ కాప్టెన్ (41y 330d)']</v>
      </c>
      <c r="E135" s="2"/>
      <c r="F135" s="2" t="str">
        <f>IFERROR(__xludf.DUMMYFUNCTION("IF(E135&lt;&gt;"""", GOOGLETRANSLATE(E135, ""en"", ""te""),"""")"),"")</f>
        <v/>
      </c>
      <c r="G135" s="2"/>
      <c r="H135" s="2" t="str">
        <f>IFERROR(__xludf.DUMMYFUNCTION("IF(G135&lt;&gt;"""", GOOGLETRANSLATE(G135, ""en"", ""te""),"""")"),"")</f>
        <v/>
      </c>
      <c r="I135" s="3"/>
    </row>
    <row r="136" customHeight="1" spans="1:9">
      <c r="A136" s="2" t="s">
        <v>96</v>
      </c>
      <c r="B136" s="2" t="str">
        <f>IFERROR(__xludf.DUMMYFUNCTION("IF(A136&lt;&gt;"""", GOOGLETRANSLATE(A136, ""en"", ""te""),"""")"),"[ '2 వ చెత్త కెరీర్లో ఆర్థిక రేటు (6.35)', '8 వ ఇన్నింగ్స్ లో అత్యధిక పరుగులు (బ్యాటింగ్ స్థానంలో ద్వారా) (12)', '9 వ చెత్త కెరీర్లో ఆర్థిక రేటు (8.71)']")</f>
        <v>[ '2 వ చెత్త కెరీర్లో ఆర్థిక రేటు (6.35)', '8 వ ఇన్నింగ్స్ లో అత్యధిక పరుగులు (బ్యాటింగ్ స్థానంలో ద్వారా) (12)', '9 వ చెత్త కెరీర్లో ఆర్థిక రేటు (8.71)']</v>
      </c>
      <c r="C136" s="2"/>
      <c r="D136" s="2" t="str">
        <f>IFERROR(__xludf.DUMMYFUNCTION("IF(C136&lt;&gt;"""", GOOGLETRANSLATE(C136, ""en"", ""te""),"""")"),"")</f>
        <v/>
      </c>
      <c r="E136" s="2" t="s">
        <v>97</v>
      </c>
      <c r="F136" s="2" t="str">
        <f>IFERROR(__xludf.DUMMYFUNCTION("IF(E136&lt;&gt;"""", GOOGLETRANSLATE(E136, ""en"", ""te""),"""")"),"[ '2 వ చెత్త కెరీర్లో ఆర్థిక రేటు (6.35)']")</f>
        <v>[ '2 వ చెత్త కెరీర్లో ఆర్థిక రేటు (6.35)']</v>
      </c>
      <c r="G136" s="2" t="s">
        <v>98</v>
      </c>
      <c r="H136" s="2" t="str">
        <f>IFERROR(__xludf.DUMMYFUNCTION("IF(G136&lt;&gt;"""", GOOGLETRANSLATE(G136, ""en"", ""te""),"""")"),"[ 'ఇన్నింగ్స్ లో 8 వ అత్యధిక పరుగులు (బ్యాటింగ్ స్థానంలో ద్వారా) (12)', '45 వ ఉత్తమ కెరీర్ సమ్మె రేటు (18.0)', '9 వ చెత్త కెరీర్లో ఆర్థిక రేటు (8.71)', '49 వ కెరీర్ లో సాధించిన అత్యధిక పరుగులు (1020) ',' 17 వ బౌలర్ / బ్యాట్స్ కలయికలు (3) ',' 48 వ అత్యధిక "&amp;"వికెట్లు ఆకర్షించింది అత్యధిక వికెట్లు తీసిన (5) ']")</f>
        <v>[ 'ఇన్నింగ్స్ లో 8 వ అత్యధిక పరుగులు (బ్యాటింగ్ స్థానంలో ద్వారా) (12)', '45 వ ఉత్తమ కెరీర్ సమ్మె రేటు (18.0)', '9 వ చెత్త కెరీర్లో ఆర్థిక రేటు (8.71)', '49 వ కెరీర్ లో సాధించిన అత్యధిక పరుగులు (1020) ',' 17 వ బౌలర్ / బ్యాట్స్ కలయికలు (3) ',' 48 వ అత్యధిక వికెట్లు ఆకర్షించింది అత్యధిక వికెట్లు తీసిన (5) ']</v>
      </c>
      <c r="I136" s="3"/>
    </row>
    <row r="137" customHeight="1" spans="1:9">
      <c r="A137" s="2"/>
      <c r="B137" s="2" t="str">
        <f>IFERROR(__xludf.DUMMYFUNCTION("IF(A137&lt;&gt;"""", GOOGLETRANSLATE(A137, ""en"", ""te""),"""")"),"")</f>
        <v/>
      </c>
      <c r="C137" s="2"/>
      <c r="D137" s="2" t="str">
        <f>IFERROR(__xludf.DUMMYFUNCTION("IF(C137&lt;&gt;"""", GOOGLETRANSLATE(C137, ""en"", ""te""),"""")"),"")</f>
        <v/>
      </c>
      <c r="E137" s="2"/>
      <c r="F137" s="2" t="str">
        <f>IFERROR(__xludf.DUMMYFUNCTION("IF(E137&lt;&gt;"""", GOOGLETRANSLATE(E137, ""en"", ""te""),"""")"),"")</f>
        <v/>
      </c>
      <c r="G137" s="2"/>
      <c r="H137" s="2" t="str">
        <f>IFERROR(__xludf.DUMMYFUNCTION("IF(G137&lt;&gt;"""", GOOGLETRANSLATE(G137, ""en"", ""te""),"""")"),"")</f>
        <v/>
      </c>
      <c r="I137" s="3"/>
    </row>
    <row r="138" customHeight="1" spans="1:9">
      <c r="A138" s="2"/>
      <c r="B138" s="2" t="str">
        <f>IFERROR(__xludf.DUMMYFUNCTION("IF(A138&lt;&gt;"""", GOOGLETRANSLATE(A138, ""en"", ""te""),"""")"),"")</f>
        <v/>
      </c>
      <c r="C138" s="2"/>
      <c r="D138" s="2" t="str">
        <f>IFERROR(__xludf.DUMMYFUNCTION("IF(C138&lt;&gt;"""", GOOGLETRANSLATE(C138, ""en"", ""te""),"""")"),"")</f>
        <v/>
      </c>
      <c r="E138" s="2"/>
      <c r="F138" s="2" t="str">
        <f>IFERROR(__xludf.DUMMYFUNCTION("IF(E138&lt;&gt;"""", GOOGLETRANSLATE(E138, ""en"", ""te""),"""")"),"")</f>
        <v/>
      </c>
      <c r="G138" s="2"/>
      <c r="H138" s="2" t="str">
        <f>IFERROR(__xludf.DUMMYFUNCTION("IF(G138&lt;&gt;"""", GOOGLETRANSLATE(G138, ""en"", ""te""),"""")"),"")</f>
        <v/>
      </c>
      <c r="I138" s="3"/>
    </row>
    <row r="139" customHeight="1" spans="1:9">
      <c r="A139" s="2"/>
      <c r="B139" s="2" t="str">
        <f>IFERROR(__xludf.DUMMYFUNCTION("IF(A139&lt;&gt;"""", GOOGLETRANSLATE(A139, ""en"", ""te""),"""")"),"")</f>
        <v/>
      </c>
      <c r="C139" s="2"/>
      <c r="D139" s="2" t="str">
        <f>IFERROR(__xludf.DUMMYFUNCTION("IF(C139&lt;&gt;"""", GOOGLETRANSLATE(C139, ""en"", ""te""),"""")"),"")</f>
        <v/>
      </c>
      <c r="E139" s="2"/>
      <c r="F139" s="2" t="str">
        <f>IFERROR(__xludf.DUMMYFUNCTION("IF(E139&lt;&gt;"""", GOOGLETRANSLATE(E139, ""en"", ""te""),"""")"),"")</f>
        <v/>
      </c>
      <c r="G139" s="2"/>
      <c r="H139" s="2" t="str">
        <f>IFERROR(__xludf.DUMMYFUNCTION("IF(G139&lt;&gt;"""", GOOGLETRANSLATE(G139, ""en"", ""te""),"""")"),"")</f>
        <v/>
      </c>
      <c r="I139" s="3"/>
    </row>
    <row r="140" customHeight="1" spans="1:9">
      <c r="A140" s="2"/>
      <c r="B140" s="2" t="str">
        <f>IFERROR(__xludf.DUMMYFUNCTION("IF(A140&lt;&gt;"""", GOOGLETRANSLATE(A140, ""en"", ""te""),"""")"),"")</f>
        <v/>
      </c>
      <c r="C140" s="2"/>
      <c r="D140" s="2" t="str">
        <f>IFERROR(__xludf.DUMMYFUNCTION("IF(C140&lt;&gt;"""", GOOGLETRANSLATE(C140, ""en"", ""te""),"""")"),"")</f>
        <v/>
      </c>
      <c r="E140" s="2"/>
      <c r="F140" s="2" t="str">
        <f>IFERROR(__xludf.DUMMYFUNCTION("IF(E140&lt;&gt;"""", GOOGLETRANSLATE(E140, ""en"", ""te""),"""")"),"")</f>
        <v/>
      </c>
      <c r="G140" s="2"/>
      <c r="H140" s="2" t="str">
        <f>IFERROR(__xludf.DUMMYFUNCTION("IF(G140&lt;&gt;"""", GOOGLETRANSLATE(G140, ""en"", ""te""),"""")"),"")</f>
        <v/>
      </c>
      <c r="I140" s="3"/>
    </row>
    <row r="141" customHeight="1" spans="1:9">
      <c r="A141" s="2"/>
      <c r="B141" s="2" t="str">
        <f>IFERROR(__xludf.DUMMYFUNCTION("IF(A141&lt;&gt;"""", GOOGLETRANSLATE(A141, ""en"", ""te""),"""")"),"")</f>
        <v/>
      </c>
      <c r="C141" s="2"/>
      <c r="D141" s="2" t="str">
        <f>IFERROR(__xludf.DUMMYFUNCTION("IF(C141&lt;&gt;"""", GOOGLETRANSLATE(C141, ""en"", ""te""),"""")"),"")</f>
        <v/>
      </c>
      <c r="E141" s="2"/>
      <c r="F141" s="2" t="str">
        <f>IFERROR(__xludf.DUMMYFUNCTION("IF(E141&lt;&gt;"""", GOOGLETRANSLATE(E141, ""en"", ""te""),"""")"),"")</f>
        <v/>
      </c>
      <c r="G141" s="2"/>
      <c r="H141" s="2" t="str">
        <f>IFERROR(__xludf.DUMMYFUNCTION("IF(G141&lt;&gt;"""", GOOGLETRANSLATE(G141, ""en"", ""te""),"""")"),"")</f>
        <v/>
      </c>
      <c r="I141" s="3"/>
    </row>
    <row r="142" customHeight="1" spans="1:9">
      <c r="A142" s="2"/>
      <c r="B142" s="2" t="str">
        <f>IFERROR(__xludf.DUMMYFUNCTION("IF(A142&lt;&gt;"""", GOOGLETRANSLATE(A142, ""en"", ""te""),"""")"),"")</f>
        <v/>
      </c>
      <c r="C142" s="2"/>
      <c r="D142" s="2" t="str">
        <f>IFERROR(__xludf.DUMMYFUNCTION("IF(C142&lt;&gt;"""", GOOGLETRANSLATE(C142, ""en"", ""te""),"""")"),"")</f>
        <v/>
      </c>
      <c r="E142" s="2"/>
      <c r="F142" s="2" t="str">
        <f>IFERROR(__xludf.DUMMYFUNCTION("IF(E142&lt;&gt;"""", GOOGLETRANSLATE(E142, ""en"", ""te""),"""")"),"")</f>
        <v/>
      </c>
      <c r="G142" s="2"/>
      <c r="H142" s="2" t="str">
        <f>IFERROR(__xludf.DUMMYFUNCTION("IF(G142&lt;&gt;"""", GOOGLETRANSLATE(G142, ""en"", ""te""),"""")"),"")</f>
        <v/>
      </c>
      <c r="I142" s="3"/>
    </row>
    <row r="143" customHeight="1" spans="1:9">
      <c r="A143" s="2"/>
      <c r="B143" s="2" t="str">
        <f>IFERROR(__xludf.DUMMYFUNCTION("IF(A143&lt;&gt;"""", GOOGLETRANSLATE(A143, ""en"", ""te""),"""")"),"")</f>
        <v/>
      </c>
      <c r="C143" s="2"/>
      <c r="D143" s="2" t="str">
        <f>IFERROR(__xludf.DUMMYFUNCTION("IF(C143&lt;&gt;"""", GOOGLETRANSLATE(C143, ""en"", ""te""),"""")"),"")</f>
        <v/>
      </c>
      <c r="E143" s="2"/>
      <c r="F143" s="2" t="str">
        <f>IFERROR(__xludf.DUMMYFUNCTION("IF(E143&lt;&gt;"""", GOOGLETRANSLATE(E143, ""en"", ""te""),"""")"),"")</f>
        <v/>
      </c>
      <c r="G143" s="2"/>
      <c r="H143" s="2" t="str">
        <f>IFERROR(__xludf.DUMMYFUNCTION("IF(G143&lt;&gt;"""", GOOGLETRANSLATE(G143, ""en"", ""te""),"""")"),"")</f>
        <v/>
      </c>
      <c r="I143" s="3"/>
    </row>
    <row r="144" customHeight="1" spans="1:9">
      <c r="A144" s="2"/>
      <c r="B144" s="2" t="str">
        <f>IFERROR(__xludf.DUMMYFUNCTION("IF(A144&lt;&gt;"""", GOOGLETRANSLATE(A144, ""en"", ""te""),"""")"),"")</f>
        <v/>
      </c>
      <c r="C144" s="2"/>
      <c r="D144" s="2" t="str">
        <f>IFERROR(__xludf.DUMMYFUNCTION("IF(C144&lt;&gt;"""", GOOGLETRANSLATE(C144, ""en"", ""te""),"""")"),"")</f>
        <v/>
      </c>
      <c r="E144" s="2"/>
      <c r="F144" s="2" t="str">
        <f>IFERROR(__xludf.DUMMYFUNCTION("IF(E144&lt;&gt;"""", GOOGLETRANSLATE(E144, ""en"", ""te""),"""")"),"")</f>
        <v/>
      </c>
      <c r="G144" s="2"/>
      <c r="H144" s="2" t="str">
        <f>IFERROR(__xludf.DUMMYFUNCTION("IF(G144&lt;&gt;"""", GOOGLETRANSLATE(G144, ""en"", ""te""),"""")"),"")</f>
        <v/>
      </c>
      <c r="I144" s="3"/>
    </row>
    <row r="145" customHeight="1" spans="1:9">
      <c r="A145" s="2"/>
      <c r="B145" s="2" t="str">
        <f>IFERROR(__xludf.DUMMYFUNCTION("IF(A145&lt;&gt;"""", GOOGLETRANSLATE(A145, ""en"", ""te""),"""")"),"")</f>
        <v/>
      </c>
      <c r="C145" s="2"/>
      <c r="D145" s="2" t="str">
        <f>IFERROR(__xludf.DUMMYFUNCTION("IF(C145&lt;&gt;"""", GOOGLETRANSLATE(C145, ""en"", ""te""),"""")"),"")</f>
        <v/>
      </c>
      <c r="E145" s="2"/>
      <c r="F145" s="2" t="str">
        <f>IFERROR(__xludf.DUMMYFUNCTION("IF(E145&lt;&gt;"""", GOOGLETRANSLATE(E145, ""en"", ""te""),"""")"),"")</f>
        <v/>
      </c>
      <c r="G145" s="2"/>
      <c r="H145" s="2" t="str">
        <f>IFERROR(__xludf.DUMMYFUNCTION("IF(G145&lt;&gt;"""", GOOGLETRANSLATE(G145, ""en"", ""te""),"""")"),"")</f>
        <v/>
      </c>
      <c r="I145" s="3"/>
    </row>
    <row r="146" customHeight="1" spans="1:9">
      <c r="A146" s="2"/>
      <c r="B146" s="2" t="str">
        <f>IFERROR(__xludf.DUMMYFUNCTION("IF(A146&lt;&gt;"""", GOOGLETRANSLATE(A146, ""en"", ""te""),"""")"),"")</f>
        <v/>
      </c>
      <c r="C146" s="2"/>
      <c r="D146" s="2" t="str">
        <f>IFERROR(__xludf.DUMMYFUNCTION("IF(C146&lt;&gt;"""", GOOGLETRANSLATE(C146, ""en"", ""te""),"""")"),"")</f>
        <v/>
      </c>
      <c r="E146" s="2"/>
      <c r="F146" s="2" t="str">
        <f>IFERROR(__xludf.DUMMYFUNCTION("IF(E146&lt;&gt;"""", GOOGLETRANSLATE(E146, ""en"", ""te""),"""")"),"")</f>
        <v/>
      </c>
      <c r="G146" s="2"/>
      <c r="H146" s="2" t="str">
        <f>IFERROR(__xludf.DUMMYFUNCTION("IF(G146&lt;&gt;"""", GOOGLETRANSLATE(G146, ""en"", ""te""),"""")"),"")</f>
        <v/>
      </c>
      <c r="I146" s="3"/>
    </row>
    <row r="147" customHeight="1" spans="1:9">
      <c r="A147" s="2"/>
      <c r="B147" s="2" t="str">
        <f>IFERROR(__xludf.DUMMYFUNCTION("IF(A147&lt;&gt;"""", GOOGLETRANSLATE(A147, ""en"", ""te""),"""")"),"")</f>
        <v/>
      </c>
      <c r="C147" s="2" t="s">
        <v>99</v>
      </c>
      <c r="D147" s="2" t="str">
        <f>IFERROR(__xludf.DUMMYFUNCTION("IF(C147&lt;&gt;"""", GOOGLETRANSLATE(C147, ""en"", ""te""),"""")"),"[ '21 వ అత్యంత వృద్ధ ఆటగాడు తొలి వంద (35y 237d) స్కోర్']")</f>
        <v>[ '21 వ అత్యంత వృద్ధ ఆటగాడు తొలి వంద (35y 237d) స్కోర్']</v>
      </c>
      <c r="E147" s="2"/>
      <c r="F147" s="2" t="str">
        <f>IFERROR(__xludf.DUMMYFUNCTION("IF(E147&lt;&gt;"""", GOOGLETRANSLATE(E147, ""en"", ""te""),"""")"),"")</f>
        <v/>
      </c>
      <c r="G147" s="2"/>
      <c r="H147" s="2" t="str">
        <f>IFERROR(__xludf.DUMMYFUNCTION("IF(G147&lt;&gt;"""", GOOGLETRANSLATE(G147, ""en"", ""te""),"""")"),"")</f>
        <v/>
      </c>
      <c r="I147" s="3"/>
    </row>
    <row r="148" customHeight="1" spans="1:9">
      <c r="A148" s="2"/>
      <c r="B148" s="2" t="str">
        <f>IFERROR(__xludf.DUMMYFUNCTION("IF(A148&lt;&gt;"""", GOOGLETRANSLATE(A148, ""en"", ""te""),"""")"),"")</f>
        <v/>
      </c>
      <c r="C148" s="2"/>
      <c r="D148" s="2" t="str">
        <f>IFERROR(__xludf.DUMMYFUNCTION("IF(C148&lt;&gt;"""", GOOGLETRANSLATE(C148, ""en"", ""te""),"""")"),"")</f>
        <v/>
      </c>
      <c r="E148" s="2"/>
      <c r="F148" s="2" t="str">
        <f>IFERROR(__xludf.DUMMYFUNCTION("IF(E148&lt;&gt;"""", GOOGLETRANSLATE(E148, ""en"", ""te""),"""")"),"")</f>
        <v/>
      </c>
      <c r="G148" s="2"/>
      <c r="H148" s="2" t="str">
        <f>IFERROR(__xludf.DUMMYFUNCTION("IF(G148&lt;&gt;"""", GOOGLETRANSLATE(G148, ""en"", ""te""),"""")"),"")</f>
        <v/>
      </c>
      <c r="I148" s="3"/>
    </row>
    <row r="149" customHeight="1" spans="1:9">
      <c r="A149" s="2"/>
      <c r="B149" s="2" t="str">
        <f>IFERROR(__xludf.DUMMYFUNCTION("IF(A149&lt;&gt;"""", GOOGLETRANSLATE(A149, ""en"", ""te""),"""")"),"")</f>
        <v/>
      </c>
      <c r="C149" s="2"/>
      <c r="D149" s="2" t="str">
        <f>IFERROR(__xludf.DUMMYFUNCTION("IF(C149&lt;&gt;"""", GOOGLETRANSLATE(C149, ""en"", ""te""),"""")"),"")</f>
        <v/>
      </c>
      <c r="E149" s="2"/>
      <c r="F149" s="2" t="str">
        <f>IFERROR(__xludf.DUMMYFUNCTION("IF(E149&lt;&gt;"""", GOOGLETRANSLATE(E149, ""en"", ""te""),"""")"),"")</f>
        <v/>
      </c>
      <c r="G149" s="2"/>
      <c r="H149" s="2" t="str">
        <f>IFERROR(__xludf.DUMMYFUNCTION("IF(G149&lt;&gt;"""", GOOGLETRANSLATE(G149, ""en"", ""te""),"""")"),"")</f>
        <v/>
      </c>
      <c r="I149" s="3"/>
    </row>
    <row r="150" customHeight="1" spans="1:9">
      <c r="A150" s="2"/>
      <c r="B150" s="2" t="str">
        <f>IFERROR(__xludf.DUMMYFUNCTION("IF(A150&lt;&gt;"""", GOOGLETRANSLATE(A150, ""en"", ""te""),"""")"),"")</f>
        <v/>
      </c>
      <c r="C150" s="2"/>
      <c r="D150" s="2" t="str">
        <f>IFERROR(__xludf.DUMMYFUNCTION("IF(C150&lt;&gt;"""", GOOGLETRANSLATE(C150, ""en"", ""te""),"""")"),"")</f>
        <v/>
      </c>
      <c r="E150" s="2"/>
      <c r="F150" s="2" t="str">
        <f>IFERROR(__xludf.DUMMYFUNCTION("IF(E150&lt;&gt;"""", GOOGLETRANSLATE(E150, ""en"", ""te""),"""")"),"")</f>
        <v/>
      </c>
      <c r="G150" s="2"/>
      <c r="H150" s="2" t="str">
        <f>IFERROR(__xludf.DUMMYFUNCTION("IF(G150&lt;&gt;"""", GOOGLETRANSLATE(G150, ""en"", ""te""),"""")"),"")</f>
        <v/>
      </c>
      <c r="I150" s="3"/>
    </row>
    <row r="151" customHeight="1" spans="1:9">
      <c r="A151" s="2"/>
      <c r="B151" s="2" t="str">
        <f>IFERROR(__xludf.DUMMYFUNCTION("IF(A151&lt;&gt;"""", GOOGLETRANSLATE(A151, ""en"", ""te""),"""")"),"")</f>
        <v/>
      </c>
      <c r="C151" s="2"/>
      <c r="D151" s="2" t="str">
        <f>IFERROR(__xludf.DUMMYFUNCTION("IF(C151&lt;&gt;"""", GOOGLETRANSLATE(C151, ""en"", ""te""),"""")"),"")</f>
        <v/>
      </c>
      <c r="E151" s="2"/>
      <c r="F151" s="2" t="str">
        <f>IFERROR(__xludf.DUMMYFUNCTION("IF(E151&lt;&gt;"""", GOOGLETRANSLATE(E151, ""en"", ""te""),"""")"),"")</f>
        <v/>
      </c>
      <c r="G151" s="2"/>
      <c r="H151" s="2" t="str">
        <f>IFERROR(__xludf.DUMMYFUNCTION("IF(G151&lt;&gt;"""", GOOGLETRANSLATE(G151, ""en"", ""te""),"""")"),"")</f>
        <v/>
      </c>
      <c r="I151" s="3"/>
    </row>
    <row r="152" customHeight="1" spans="1:9">
      <c r="A152" s="2" t="s">
        <v>100</v>
      </c>
      <c r="B152" s="2" t="str">
        <f>IFERROR(__xludf.DUMMYFUNCTION("IF(A152&lt;&gt;"""", GOOGLETRANSLATE(A152, ""en"", ""te""),"""")"),"[ '4 వ లాంగెస్ట్ క్రీడాకారులు (80y 46d) నివసించారు']")</f>
        <v>[ '4 వ లాంగెస్ట్ క్రీడాకారులు (80y 46d) నివసించారు']</v>
      </c>
      <c r="C152" s="2" t="s">
        <v>101</v>
      </c>
      <c r="D152" s="2" t="str">
        <f>IFERROR(__xludf.DUMMYFUNCTION("IF(C152&lt;&gt;"""", GOOGLETRANSLATE(C152, ""en"", ""te""),"""")"),"[ '19 అత్యంత వృద్ధ ఆటగాడు తొలి వంద (35y 247d) స్కోర్' '24 వ ఉత్తమ కెరీర్ ఆర్థిక రేటు (1.95)', '25 వ చెత్త కెరీర్లో సమ్మె రేటు (121.4)']")</f>
        <v>[ '19 అత్యంత వృద్ధ ఆటగాడు తొలి వంద (35y 247d) స్కోర్' '24 వ ఉత్తమ కెరీర్ ఆర్థిక రేటు (1.95)', '25 వ చెత్త కెరీర్లో సమ్మె రేటు (121.4)']</v>
      </c>
      <c r="E152" s="2" t="s">
        <v>102</v>
      </c>
      <c r="F152" s="2" t="str">
        <f>IFERROR(__xludf.DUMMYFUNCTION("IF(E152&lt;&gt;"""", GOOGLETRANSLATE(E152, ""en"", ""te""),"""")"),"[ 'తొలి 23 వ ఓల్డెస్ట్ క్రీడాకారులు (39y 93d)', '29th ఓల్డెస్ట్ క్రీడాకారులు (40y 329d)', '4 వ లాంగెస్ట్ క్రీడాకారులు (80y 46d) నివసించారు']")</f>
        <v>[ 'తొలి 23 వ ఓల్డెస్ట్ క్రీడాకారులు (39y 93d)', '29th ఓల్డెస్ట్ క్రీడాకారులు (40y 329d)', '4 వ లాంగెస్ట్ క్రీడాకారులు (80y 46d) నివసించారు']</v>
      </c>
      <c r="G152" s="2"/>
      <c r="H152" s="2" t="str">
        <f>IFERROR(__xludf.DUMMYFUNCTION("IF(G152&lt;&gt;"""", GOOGLETRANSLATE(G152, ""en"", ""te""),"""")"),"")</f>
        <v/>
      </c>
      <c r="I152" s="3"/>
    </row>
    <row r="153" customHeight="1" spans="1:9">
      <c r="A153" s="2"/>
      <c r="B153" s="2" t="str">
        <f>IFERROR(__xludf.DUMMYFUNCTION("IF(A153&lt;&gt;"""", GOOGLETRANSLATE(A153, ""en"", ""te""),"""")"),"")</f>
        <v/>
      </c>
      <c r="C153" s="2"/>
      <c r="D153" s="2" t="str">
        <f>IFERROR(__xludf.DUMMYFUNCTION("IF(C153&lt;&gt;"""", GOOGLETRANSLATE(C153, ""en"", ""te""),"""")"),"")</f>
        <v/>
      </c>
      <c r="E153" s="2"/>
      <c r="F153" s="2" t="str">
        <f>IFERROR(__xludf.DUMMYFUNCTION("IF(E153&lt;&gt;"""", GOOGLETRANSLATE(E153, ""en"", ""te""),"""")"),"")</f>
        <v/>
      </c>
      <c r="G153" s="2"/>
      <c r="H153" s="2" t="str">
        <f>IFERROR(__xludf.DUMMYFUNCTION("IF(G153&lt;&gt;"""", GOOGLETRANSLATE(G153, ""en"", ""te""),"""")"),"")</f>
        <v/>
      </c>
      <c r="I153" s="3"/>
    </row>
    <row r="154" customHeight="1" spans="1:9">
      <c r="A154" s="2"/>
      <c r="B154" s="2" t="str">
        <f>IFERROR(__xludf.DUMMYFUNCTION("IF(A154&lt;&gt;"""", GOOGLETRANSLATE(A154, ""en"", ""te""),"""")"),"")</f>
        <v/>
      </c>
      <c r="C154" s="2"/>
      <c r="D154" s="2" t="str">
        <f>IFERROR(__xludf.DUMMYFUNCTION("IF(C154&lt;&gt;"""", GOOGLETRANSLATE(C154, ""en"", ""te""),"""")"),"")</f>
        <v/>
      </c>
      <c r="E154" s="2"/>
      <c r="F154" s="2" t="str">
        <f>IFERROR(__xludf.DUMMYFUNCTION("IF(E154&lt;&gt;"""", GOOGLETRANSLATE(E154, ""en"", ""te""),"""")"),"")</f>
        <v/>
      </c>
      <c r="G154" s="2"/>
      <c r="H154" s="2" t="str">
        <f>IFERROR(__xludf.DUMMYFUNCTION("IF(G154&lt;&gt;"""", GOOGLETRANSLATE(G154, ""en"", ""te""),"""")"),"")</f>
        <v/>
      </c>
      <c r="I154" s="3"/>
    </row>
    <row r="155" customHeight="1" spans="1:9">
      <c r="A155" s="2"/>
      <c r="B155" s="2" t="str">
        <f>IFERROR(__xludf.DUMMYFUNCTION("IF(A155&lt;&gt;"""", GOOGLETRANSLATE(A155, ""en"", ""te""),"""")"),"")</f>
        <v/>
      </c>
      <c r="C155" s="2"/>
      <c r="D155" s="2" t="str">
        <f>IFERROR(__xludf.DUMMYFUNCTION("IF(C155&lt;&gt;"""", GOOGLETRANSLATE(C155, ""en"", ""te""),"""")"),"")</f>
        <v/>
      </c>
      <c r="E155" s="2"/>
      <c r="F155" s="2" t="str">
        <f>IFERROR(__xludf.DUMMYFUNCTION("IF(E155&lt;&gt;"""", GOOGLETRANSLATE(E155, ""en"", ""te""),"""")"),"")</f>
        <v/>
      </c>
      <c r="G155" s="2"/>
      <c r="H155" s="2" t="str">
        <f>IFERROR(__xludf.DUMMYFUNCTION("IF(G155&lt;&gt;"""", GOOGLETRANSLATE(G155, ""en"", ""te""),"""")"),"")</f>
        <v/>
      </c>
      <c r="I155" s="3"/>
    </row>
    <row r="156" customHeight="1" spans="1:9">
      <c r="A156" s="2"/>
      <c r="B156" s="2" t="str">
        <f>IFERROR(__xludf.DUMMYFUNCTION("IF(A156&lt;&gt;"""", GOOGLETRANSLATE(A156, ""en"", ""te""),"""")"),"")</f>
        <v/>
      </c>
      <c r="C156" s="2" t="s">
        <v>103</v>
      </c>
      <c r="D156" s="2" t="str">
        <f>IFERROR(__xludf.DUMMYFUNCTION("IF(C156&lt;&gt;"""", GOOGLETRANSLATE(C156, ""en"", ""te""),"""")"),"[ '15 వ చెత్త కెరీర్ బౌలింగ్ సరాసరి (అర్హత లేకుండా) (83.00)']")</f>
        <v>[ '15 వ చెత్త కెరీర్ బౌలింగ్ సరాసరి (అర్హత లేకుండా) (83.00)']</v>
      </c>
      <c r="E156" s="2" t="s">
        <v>104</v>
      </c>
      <c r="F156" s="2" t="str">
        <f>IFERROR(__xludf.DUMMYFUNCTION("IF(E156&lt;&gt;"""", GOOGLETRANSLATE(E156, ""en"", ""te""),"""")"),"[ 'మొదటి డక్ (22) ముందు 18 వ అత్యంత ఇన్నింగ్స్]")</f>
        <v>[ 'మొదటి డక్ (22) ముందు 18 వ అత్యంత ఇన్నింగ్స్]</v>
      </c>
      <c r="G156" s="2"/>
      <c r="H156" s="2" t="str">
        <f>IFERROR(__xludf.DUMMYFUNCTION("IF(G156&lt;&gt;"""", GOOGLETRANSLATE(G156, ""en"", ""te""),"""")"),"")</f>
        <v/>
      </c>
      <c r="I156" s="3"/>
    </row>
    <row r="157" customHeight="1" spans="1:9">
      <c r="A157" s="2"/>
      <c r="B157" s="2" t="str">
        <f>IFERROR(__xludf.DUMMYFUNCTION("IF(A157&lt;&gt;"""", GOOGLETRANSLATE(A157, ""en"", ""te""),"""")"),"")</f>
        <v/>
      </c>
      <c r="C157" s="2"/>
      <c r="D157" s="2" t="str">
        <f>IFERROR(__xludf.DUMMYFUNCTION("IF(C157&lt;&gt;"""", GOOGLETRANSLATE(C157, ""en"", ""te""),"""")"),"")</f>
        <v/>
      </c>
      <c r="E157" s="2"/>
      <c r="F157" s="2" t="str">
        <f>IFERROR(__xludf.DUMMYFUNCTION("IF(E157&lt;&gt;"""", GOOGLETRANSLATE(E157, ""en"", ""te""),"""")"),"")</f>
        <v/>
      </c>
      <c r="G157" s="2"/>
      <c r="H157" s="2" t="str">
        <f>IFERROR(__xludf.DUMMYFUNCTION("IF(G157&lt;&gt;"""", GOOGLETRANSLATE(G157, ""en"", ""te""),"""")"),"")</f>
        <v/>
      </c>
      <c r="I157" s="3"/>
    </row>
    <row r="158" customHeight="1" spans="1:9">
      <c r="A158" s="2"/>
      <c r="B158" s="2" t="str">
        <f>IFERROR(__xludf.DUMMYFUNCTION("IF(A158&lt;&gt;"""", GOOGLETRANSLATE(A158, ""en"", ""te""),"""")"),"")</f>
        <v/>
      </c>
      <c r="C158" s="2"/>
      <c r="D158" s="2" t="str">
        <f>IFERROR(__xludf.DUMMYFUNCTION("IF(C158&lt;&gt;"""", GOOGLETRANSLATE(C158, ""en"", ""te""),"""")"),"")</f>
        <v/>
      </c>
      <c r="E158" s="2" t="s">
        <v>105</v>
      </c>
      <c r="F158" s="2" t="str">
        <f>IFERROR(__xludf.DUMMYFUNCTION("IF(E158&lt;&gt;"""", GOOGLETRANSLATE(E158, ""en"", ""te""),"""")"),"[ 'ఒక కెరీర్ (2) లో 43 వ అత్యంత అయిదు వికెట్లు-ఇన్-ఒక-ఇన్నింగ్స్ 18 వ అత్యుత్తమ ఇన్నింగ్స్ లో విశ్లేషణలు బౌలింగ్ (5/15)',]")</f>
        <v>[ 'ఒక కెరీర్ (2) లో 43 వ అత్యంత అయిదు వికెట్లు-ఇన్-ఒక-ఇన్నింగ్స్ 18 వ అత్యుత్తమ ఇన్నింగ్స్ లో విశ్లేషణలు బౌలింగ్ (5/15)',]</v>
      </c>
      <c r="G158" s="2"/>
      <c r="H158" s="2" t="str">
        <f>IFERROR(__xludf.DUMMYFUNCTION("IF(G158&lt;&gt;"""", GOOGLETRANSLATE(G158, ""en"", ""te""),"""")"),"")</f>
        <v/>
      </c>
      <c r="I158" s="3"/>
    </row>
    <row r="159" customHeight="1" spans="1:9">
      <c r="A159" s="2"/>
      <c r="B159" s="2" t="str">
        <f>IFERROR(__xludf.DUMMYFUNCTION("IF(A159&lt;&gt;"""", GOOGLETRANSLATE(A159, ""en"", ""te""),"""")"),"")</f>
        <v/>
      </c>
      <c r="C159" s="2"/>
      <c r="D159" s="2" t="str">
        <f>IFERROR(__xludf.DUMMYFUNCTION("IF(C159&lt;&gt;"""", GOOGLETRANSLATE(C159, ""en"", ""te""),"""")"),"")</f>
        <v/>
      </c>
      <c r="E159" s="2"/>
      <c r="F159" s="2" t="str">
        <f>IFERROR(__xludf.DUMMYFUNCTION("IF(E159&lt;&gt;"""", GOOGLETRANSLATE(E159, ""en"", ""te""),"""")"),"")</f>
        <v/>
      </c>
      <c r="G159" s="2"/>
      <c r="H159" s="2" t="str">
        <f>IFERROR(__xludf.DUMMYFUNCTION("IF(G159&lt;&gt;"""", GOOGLETRANSLATE(G159, ""en"", ""te""),"""")"),"")</f>
        <v/>
      </c>
      <c r="I159" s="3"/>
    </row>
    <row r="160" customHeight="1" spans="1:9">
      <c r="A160" s="2" t="s">
        <v>106</v>
      </c>
      <c r="B160" s="2" t="str">
        <f>IFERROR(__xludf.DUMMYFUNCTION("IF(A160&lt;&gt;"""", GOOGLETRANSLATE(A160, ""en"", ""te""),"""")"),"[ '10 వ అత్యంత ఇన్నింగ్స్ లో సాధించిన పరుగులు (107)', '10 వ ఇన్నింగ్స్ లో అత్యధిక పరుగులు (బ్యాటింగ్ స్థానంలో ప్రకారం) (27)', '3 వ వరుస నాలుగు వికెట్లు-ఇన్-ఒక-ఇన్నింగ్స్ (2)', ' 4 వ ఉత్తమ కెరీర్ సమ్మె రేటు (15.4) ',' 5 వ అత్యధిక వికెట్లు బౌల్డ్ తీసుకున్న "&amp;"(26) ']")</f>
        <v>[ '10 వ అత్యంత ఇన్నింగ్స్ లో సాధించిన పరుగులు (107)', '10 వ ఇన్నింగ్స్ లో అత్యధిక పరుగులు (బ్యాటింగ్ స్థానంలో ప్రకారం) (27)', '3 వ వరుస నాలుగు వికెట్లు-ఇన్-ఒక-ఇన్నింగ్స్ (2)', ' 4 వ ఉత్తమ కెరీర్ సమ్మె రేటు (15.4) ',' 5 వ అత్యధిక వికెట్లు బౌల్డ్ తీసుకున్న (26) ']</v>
      </c>
      <c r="C160" s="2" t="s">
        <v>107</v>
      </c>
      <c r="D160" s="2" t="str">
        <f>IFERROR(__xludf.DUMMYFUNCTION("IF(C160&lt;&gt;"""", GOOGLETRANSLATE(C160, ""en"", ""te""),"""")"),"[ '10 వ అత్యధిక పరుగులు ఇన్నింగ్స్ (107) లో సాధించిన]")</f>
        <v>[ '10 వ అత్యధిక పరుగులు ఇన్నింగ్స్ (107) లో సాధించిన]</v>
      </c>
      <c r="E160" s="2" t="s">
        <v>108</v>
      </c>
      <c r="F160" s="2" t="str">
        <f>IFERROR(__xludf.DUMMYFUNCTION("IF(E160&lt;&gt;"""", GOOGLETRANSLATE(E160, ""en"", ""te""),"""")"),"[ '10 వ ఇన్నింగ్స్ లో అత్యధిక పరుగులు (బ్యాటింగ్ స్థానంలో ప్రకారం) (27)', '25 వ ఒక సిరీస్లో అత్యధిక వికెట్లు (22)', '11 వ ఒక ఇన్నింగ్స్ లోని బెస్ట్ ఫిగర్స్ ఉన్నప్పుడు పరాజయం వైపు (4)', '50 వ ఉత్తమ వృత్తి సమ్మె రేటు (36.6) ',' 3 వ వరుస నాలుగు వికెట్లు-ఇన్"&amp;"-ఒక-ఇన్నింగ్స్ (2) ',' 25 వ అత్యధిక వికెట్లు తీసుకున్న ఎల్బిడబ్ల్యు (15) ']")</f>
        <v>[ '10 వ ఇన్నింగ్స్ లో అత్యధిక పరుగులు (బ్యాటింగ్ స్థానంలో ప్రకారం) (27)', '25 వ ఒక సిరీస్లో అత్యధిక వికెట్లు (22)', '11 వ ఒక ఇన్నింగ్స్ లోని బెస్ట్ ఫిగర్స్ ఉన్నప్పుడు పరాజయం వైపు (4)', '50 వ ఉత్తమ వృత్తి సమ్మె రేటు (36.6) ',' 3 వ వరుస నాలుగు వికెట్లు-ఇన్-ఒక-ఇన్నింగ్స్ (2) ',' 25 వ అత్యధిక వికెట్లు తీసుకున్న ఎల్బిడబ్ల్యు (15) ']</v>
      </c>
      <c r="G160" s="2" t="s">
        <v>109</v>
      </c>
      <c r="H160" s="2" t="str">
        <f>IFERROR(__xludf.DUMMYFUNCTION("IF(G160&lt;&gt;"""", GOOGLETRANSLATE(G160, ""en"", ""te""),"""")"),"[ '14 వ ఇన్నింగ్స్ లో అత్యధిక పరుగులు (బ్యాటింగ్ స్థానంలో ప్రకారం) (17 *)', 'కెరీర్లో 13 వ లేవు బాతులు (13)', '24 వ కెరీర్ లో అత్యధిక వికెట్లు (61)', '37 వ అత్యధిక వికెట్లు ఒక క్యాలెండర్ సంవత్సరంలో ( 19) ',' 10 వ ఉత్తమ కెరీర్ బౌలింగ్ సరాసరి (15.03) ',' 4 "&amp;"వ ఉత్తమ కెరీర్ సమ్మె రేటు (15.4) ',' 41 వ కెరీర్ లో బౌల్డ్ చాలా బంతుల్లో (945) ',' 45 వ అత్యధిక పరుగులు కెరీర్లో సాధించిన (917) ', 'తీసిన 5 వ అత్యధిక వికెట్లు బౌల్డ్ (26)', '20 వ అత్యధిక వికెట్లు తీసుకున్న క్యాచ్ మరియు బౌల్డ్ (3)', '6 వ అత్యధిక వికెట్లు త"&amp;"ీసుకున్న ఎల్బిడబ్ల్యు (12)', '25 వ అత్యధిక వికెట్లు తీసుకున్న స్టంప్ (7)', '41 వ అత్యంత పనికత్తెలయొద్ద కెరీర్లో (5) ']")</f>
        <v>[ '14 వ ఇన్నింగ్స్ లో అత్యధిక పరుగులు (బ్యాటింగ్ స్థానంలో ప్రకారం) (17 *)', 'కెరీర్లో 13 వ లేవు బాతులు (13)', '24 వ కెరీర్ లో అత్యధిక వికెట్లు (61)', '37 వ అత్యధిక వికెట్లు ఒక క్యాలెండర్ సంవత్సరంలో ( 19) ',' 10 వ ఉత్తమ కెరీర్ బౌలింగ్ సరాసరి (15.03) ',' 4 వ ఉత్తమ కెరీర్ సమ్మె రేటు (15.4) ',' 41 వ కెరీర్ లో బౌల్డ్ చాలా బంతుల్లో (945) ',' 45 వ అత్యధిక పరుగులు కెరీర్లో సాధించిన (917) ', 'తీసిన 5 వ అత్యధిక వికెట్లు బౌల్డ్ (26)', '20 వ అత్యధిక వికెట్లు తీసుకున్న క్యాచ్ మరియు బౌల్డ్ (3)', '6 వ అత్యధిక వికెట్లు తీసుకున్న ఎల్బిడబ్ల్యు (12)', '25 వ అత్యధిక వికెట్లు తీసుకున్న స్టంప్ (7)', '41 వ అత్యంత పనికత్తెలయొద్ద కెరీర్లో (5) ']</v>
      </c>
      <c r="I160" s="3"/>
    </row>
    <row r="161" customHeight="1" spans="1:9">
      <c r="A161" s="2" t="s">
        <v>110</v>
      </c>
      <c r="B161" s="2" t="str">
        <f>IFERROR(__xludf.DUMMYFUNCTION("IF(A161&lt;&gt;"""", GOOGLETRANSLATE(A161, ""en"", ""te""),"""")"),"[ 'ఒక వృత్తిలో 5 వ అత్యధిక ట్రిపుల్ సెంచరీలు (1)', 'వరుస మ్యాచ్లలో 7 వ యాభైల్లో (10)', 'ఇన్నింగ్స్ లో ఫోర్లు, సిక్సర్లు నుండి 1 వ అత్యధిక పరుగులు (238) రెండో వికెట్కు,' 7 వ అత్యధిక భాగస్వామ్యం ( 369) ',' 3 వ లాంగెస్ట్ నివసించారు వరుస మ్యాచ్లలో ఇన్నింగ్స్"&amp;" ఆటగాళ్లు (83y 185d) ',' 1 వ అత్యధిక పరుగులు (ప్రగతిశీల రికార్డు హోల్డర్) (82) ',' 2 వ యాభైల్లో (11) ']")</f>
        <v>[ 'ఒక వృత్తిలో 5 వ అత్యధిక ట్రిపుల్ సెంచరీలు (1)', 'వరుస మ్యాచ్లలో 7 వ యాభైల్లో (10)', 'ఇన్నింగ్స్ లో ఫోర్లు, సిక్సర్లు నుండి 1 వ అత్యధిక పరుగులు (238) రెండో వికెట్కు,' 7 వ అత్యధిక భాగస్వామ్యం ( 369) ',' 3 వ లాంగెస్ట్ నివసించారు వరుస మ్యాచ్లలో ఇన్నింగ్స్ ఆటగాళ్లు (83y 185d) ',' 1 వ అత్యధిక పరుగులు (ప్రగతిశీల రికార్డు హోల్డర్) (82) ',' 2 వ యాభైల్లో (11) ']</v>
      </c>
      <c r="C161" s="2" t="s">
        <v>111</v>
      </c>
      <c r="D161" s="2" t="str">
        <f>IFERROR(__xludf.DUMMYFUNCTION("IF(C161&lt;&gt;"""", GOOGLETRANSLATE(C161, ""en"", ""te""),"""")"),"[ '13 వ ఇన్నింగ్స్ లో అత్యధిక పరుగులు (బ్యాటింగ్ స్థానంలో ప్రకారం) (310 *)', '5 వ అత్యధిక ట్రిపుల్ వందల ఒక మ్యాచ్ (310) లో 41 వ అత్యధిక పరుగులు', '24 వ ఇన్నింగ్స్ (310 *) లో అత్యధిక పరుగులు' ఒక కెరీర్ (1) ',' 33 వ ఒక జట్టు వ్యతిరేకంగా అత్యధిక వందలు (7) ',"&amp;"' వరుస ఇన్నింగ్స్ (5) ',' వరుస మ్యాచ్లు ఇన్నింగ్స్ లో (10) ',' 1 వ అత్యంత ఫోర్లు 7 వ యాభైల్లో 32 వ యాభైల్లో (52 ) ',' ఇన్నింగ్స్ 1000 పరుగులు (238) ',' ఫాస్టెస్ట్ 50 వ లో ఫోర్లు, సిక్సర్లు నుండి 1 వ అత్యధిక పరుగులు (22) ',' 48 వ 2000 పరుగులు (వేగంగా 46)"&amp;" ',' 34 వ 3000 పరుగులు వేగంగా (67) ',' ఏ వికెట్కు 29 అత్యధిక భాగస్వామ్యాల (369) ',' రెండవ వికెట్కు 7 వ అత్యధిక భాగస్వామ్యం కెప్టెన్సీ తొలి (369) ', '21 వ ఓల్డెస్ట్ కాప్టెన్ (37y 197d)']")</f>
        <v>[ '13 వ ఇన్నింగ్స్ లో అత్యధిక పరుగులు (బ్యాటింగ్ స్థానంలో ప్రకారం) (310 *)', '5 వ అత్యధిక ట్రిపుల్ వందల ఒక మ్యాచ్ (310) లో 41 వ అత్యధిక పరుగులు', '24 వ ఇన్నింగ్స్ (310 *) లో అత్యధిక పరుగులు' ఒక కెరీర్ (1) ',' 33 వ ఒక జట్టు వ్యతిరేకంగా అత్యధిక వందలు (7) ',' వరుస ఇన్నింగ్స్ (5) ',' వరుస మ్యాచ్లు ఇన్నింగ్స్ లో (10) ',' 1 వ అత్యంత ఫోర్లు 7 వ యాభైల్లో 32 వ యాభైల్లో (52 ) ',' ఇన్నింగ్స్ 1000 పరుగులు (238) ',' ఫాస్టెస్ట్ 50 వ లో ఫోర్లు, సిక్సర్లు నుండి 1 వ అత్యధిక పరుగులు (22) ',' 48 వ 2000 పరుగులు (వేగంగా 46) ',' 34 వ 3000 పరుగులు వేగంగా (67) ',' ఏ వికెట్కు 29 అత్యధిక భాగస్వామ్యాల (369) ',' రెండవ వికెట్కు 7 వ అత్యధిక భాగస్వామ్యం కెప్టెన్సీ తొలి (369) ', '21 వ ఓల్డెస్ట్ కాప్టెన్ (37y 197d)']</v>
      </c>
      <c r="E161" s="2" t="s">
        <v>112</v>
      </c>
      <c r="F161" s="2" t="str">
        <f>IFERROR(__xludf.DUMMYFUNCTION("IF(E161&lt;&gt;"""", GOOGLETRANSLATE(E161, ""en"", ""te""),"""")"),"[ 'ఇన్నింగ్స్ లో 1 వ అత్యధిక పరుగులు (ప్రగతిశీల రికార్డు హోల్డర్) (82)', '27th తొలి మ్యాచ్లో అత్యధిక పరుగులు (82)', '3 వ లాంగెస్ట్ క్రీడాకారులు నివసించారు (83y 185d)', '27 వ ఓల్డెస్ట్ కాప్టెన్ (37y 260d)' '13 వ కెప్టెన్సీ తొలి ఓల్డెస్ట్ కాప్టెన్ (37y 260d"&amp;")']")</f>
        <v>[ 'ఇన్నింగ్స్ లో 1 వ అత్యధిక పరుగులు (ప్రగతిశీల రికార్డు హోల్డర్) (82)', '27th తొలి మ్యాచ్లో అత్యధిక పరుగులు (82)', '3 వ లాంగెస్ట్ క్రీడాకారులు నివసించారు (83y 185d)', '27 వ ఓల్డెస్ట్ కాప్టెన్ (37y 260d)' '13 వ కెప్టెన్సీ తొలి ఓల్డెస్ట్ కాప్టెన్ (37y 260d)']</v>
      </c>
      <c r="G161" s="2"/>
      <c r="H161" s="2" t="str">
        <f>IFERROR(__xludf.DUMMYFUNCTION("IF(G161&lt;&gt;"""", GOOGLETRANSLATE(G161, ""en"", ""te""),"""")"),"")</f>
        <v/>
      </c>
      <c r="I161" s="3"/>
    </row>
    <row r="162" customHeight="1" spans="1:9">
      <c r="A162" s="2"/>
      <c r="B162" s="2" t="str">
        <f>IFERROR(__xludf.DUMMYFUNCTION("IF(A162&lt;&gt;"""", GOOGLETRANSLATE(A162, ""en"", ""te""),"""")"),"")</f>
        <v/>
      </c>
      <c r="C162" s="2" t="s">
        <v>113</v>
      </c>
      <c r="D162" s="2" t="str">
        <f>IFERROR(__xludf.DUMMYFUNCTION("IF(C162&lt;&gt;"""", GOOGLETRANSLATE(C162, ""en"", ""te""),"""")"),"[ '24 ఒక ఇన్నింగ్స్ లోని బెస్ట్ ఫిగర్స్ ఉన్నప్పుడు పరాజయం వైపు (7)', ఒక ఐదు మైడెన్-వికెట్లు తీసుకోవాలని 'అయిదు వికెట్లు-ఇన్-ఒక-ఇన్నింగ్స్ (37y 121d) పడుతుంది 39 వ ఓల్డెస్ట్ ఆటగాడు', '18 వ అత్యంత వృద్ధ ఆటగాడు -ఇన్-ఒక-ఇన్నింగ్స్ (37y 121d) ']")</f>
        <v>[ '24 ఒక ఇన్నింగ్స్ లోని బెస్ట్ ఫిగర్స్ ఉన్నప్పుడు పరాజయం వైపు (7)', ఒక ఐదు మైడెన్-వికెట్లు తీసుకోవాలని 'అయిదు వికెట్లు-ఇన్-ఒక-ఇన్నింగ్స్ (37y 121d) పడుతుంది 39 వ ఓల్డెస్ట్ ఆటగాడు', '18 వ అత్యంత వృద్ధ ఆటగాడు -ఇన్-ఒక-ఇన్నింగ్స్ (37y 121d) ']</v>
      </c>
      <c r="E162" s="2"/>
      <c r="F162" s="2" t="str">
        <f>IFERROR(__xludf.DUMMYFUNCTION("IF(E162&lt;&gt;"""", GOOGLETRANSLATE(E162, ""en"", ""te""),"""")"),"")</f>
        <v/>
      </c>
      <c r="G162" s="2"/>
      <c r="H162" s="2" t="str">
        <f>IFERROR(__xludf.DUMMYFUNCTION("IF(G162&lt;&gt;"""", GOOGLETRANSLATE(G162, ""en"", ""te""),"""")"),"")</f>
        <v/>
      </c>
      <c r="I162" s="3"/>
    </row>
    <row r="163" customHeight="1" spans="1:9">
      <c r="A163" s="2"/>
      <c r="B163" s="2" t="str">
        <f>IFERROR(__xludf.DUMMYFUNCTION("IF(A163&lt;&gt;"""", GOOGLETRANSLATE(A163, ""en"", ""te""),"""")"),"")</f>
        <v/>
      </c>
      <c r="C163" s="2" t="s">
        <v>114</v>
      </c>
      <c r="D163" s="2" t="str">
        <f>IFERROR(__xludf.DUMMYFUNCTION("IF(C163&lt;&gt;"""", GOOGLETRANSLATE(C163, ""en"", ""te""),"""")"),"[ '41 వ ఓల్డెస్ట్ క్రీడాకారులు (42y 103d)']")</f>
        <v>[ '41 వ ఓల్డెస్ట్ క్రీడాకారులు (42y 103d)']</v>
      </c>
      <c r="E163" s="2"/>
      <c r="F163" s="2" t="str">
        <f>IFERROR(__xludf.DUMMYFUNCTION("IF(E163&lt;&gt;"""", GOOGLETRANSLATE(E163, ""en"", ""te""),"""")"),"")</f>
        <v/>
      </c>
      <c r="G163" s="2"/>
      <c r="H163" s="2" t="str">
        <f>IFERROR(__xludf.DUMMYFUNCTION("IF(G163&lt;&gt;"""", GOOGLETRANSLATE(G163, ""en"", ""te""),"""")"),"")</f>
        <v/>
      </c>
      <c r="I163" s="3"/>
    </row>
    <row r="164" customHeight="1" spans="1:9">
      <c r="A164" s="2" t="s">
        <v>115</v>
      </c>
      <c r="B164" s="2" t="str">
        <f>IFERROR(__xludf.DUMMYFUNCTION("IF(A164&lt;&gt;"""", GOOGLETRANSLATE(A164, ""en"", ""te""),"""")"),"[ '7th చాలా లేకుండా ఒక కెరీర్లో నడుస్తుంది వంద (1713)', '1000 పరుగులు మరియు 100 వికెట్లు']")</f>
        <v>[ '7th చాలా లేకుండా ఒక కెరీర్లో నడుస్తుంది వంద (1713)', '1000 పరుగులు మరియు 100 వికెట్లు']</v>
      </c>
      <c r="C164" s="2" t="s">
        <v>116</v>
      </c>
      <c r="D164" s="2" t="str">
        <f>IFERROR(__xludf.DUMMYFUNCTION("IF(C164&lt;&gt;"""", GOOGLETRANSLATE(C164, ""en"", ""te""),"""")"),"[ 'వంద (1713) లేకుండా ఒక వృత్తిలో 7 వ అత్యధిక పరుగులు' 'వరుస 11 వ ముఖ్య బాతులు (4)', '24th ఒక ఇన్నింగ్స్ లోని బెస్ట్ ఫిగర్స్ ఉన్నప్పుడు పరాజయం వైపు (7)', '43 వ చెత్త సమ్మె రేటు ఒక ఇన్నింగ్స్ లో (342.0) ',' 49 వ కెరీర్ లో బౌల్డ్ చాలా బంతుల్లో (15391) ',' "&amp;"28th ఓల్డెస్ట్ క్రీడాకారులు (42y 344d) ',' కెప్టెన్సీ తొలి 43 వ ఓల్డెస్ట్ కాప్టెన్ (35y 301d) ']")</f>
        <v>[ 'వంద (1713) లేకుండా ఒక వృత్తిలో 7 వ అత్యధిక పరుగులు' 'వరుస 11 వ ముఖ్య బాతులు (4)', '24th ఒక ఇన్నింగ్స్ లోని బెస్ట్ ఫిగర్స్ ఉన్నప్పుడు పరాజయం వైపు (7)', '43 వ చెత్త సమ్మె రేటు ఒక ఇన్నింగ్స్ లో (342.0) ',' 49 వ కెరీర్ లో బౌల్డ్ చాలా బంతుల్లో (15391) ',' 28th ఓల్డెస్ట్ క్రీడాకారులు (42y 344d) ',' కెప్టెన్సీ తొలి 43 వ ఓల్డెస్ట్ కాప్టెన్ (35y 301d) ']</v>
      </c>
      <c r="E164" s="2" t="s">
        <v>117</v>
      </c>
      <c r="F164" s="2" t="str">
        <f>IFERROR(__xludf.DUMMYFUNCTION("IF(E164&lt;&gt;"""", GOOGLETRANSLATE(E164, ""en"", ""te""),"""")"),"[ '49 వ ఒక క్యాలెండర్ సంవత్సరంలో అత్యధిక వికెట్లు (43)', '36 వ ఓల్డెస్ట్ క్రీడాకారులు (40y 212d)', 'కెప్టెన్సీ తొలి 38 వ ఓల్డెస్ట్ కాప్టెన్ (34y 225d)']")</f>
        <v>[ '49 వ ఒక క్యాలెండర్ సంవత్సరంలో అత్యధిక వికెట్లు (43)', '36 వ ఓల్డెస్ట్ క్రీడాకారులు (40y 212d)', 'కెప్టెన్సీ తొలి 38 వ ఓల్డెస్ట్ కాప్టెన్ (34y 225d)']</v>
      </c>
      <c r="G164" s="2"/>
      <c r="H164" s="2" t="str">
        <f>IFERROR(__xludf.DUMMYFUNCTION("IF(G164&lt;&gt;"""", GOOGLETRANSLATE(G164, ""en"", ""te""),"""")"),"")</f>
        <v/>
      </c>
      <c r="I164" s="3"/>
    </row>
    <row r="165" customHeight="1" spans="1:9">
      <c r="A165" s="2"/>
      <c r="B165" s="2" t="str">
        <f>IFERROR(__xludf.DUMMYFUNCTION("IF(A165&lt;&gt;"""", GOOGLETRANSLATE(A165, ""en"", ""te""),"""")"),"")</f>
        <v/>
      </c>
      <c r="C165" s="2"/>
      <c r="D165" s="2" t="str">
        <f>IFERROR(__xludf.DUMMYFUNCTION("IF(C165&lt;&gt;"""", GOOGLETRANSLATE(C165, ""en"", ""te""),"""")"),"")</f>
        <v/>
      </c>
      <c r="E165" s="2"/>
      <c r="F165" s="2" t="str">
        <f>IFERROR(__xludf.DUMMYFUNCTION("IF(E165&lt;&gt;"""", GOOGLETRANSLATE(E165, ""en"", ""te""),"""")"),"")</f>
        <v/>
      </c>
      <c r="G165" s="2"/>
      <c r="H165" s="2" t="str">
        <f>IFERROR(__xludf.DUMMYFUNCTION("IF(G165&lt;&gt;"""", GOOGLETRANSLATE(G165, ""en"", ""te""),"""")"),"")</f>
        <v/>
      </c>
      <c r="I165" s="3"/>
    </row>
    <row r="166" customHeight="1" spans="1:9">
      <c r="A166" s="2"/>
      <c r="B166" s="2" t="str">
        <f>IFERROR(__xludf.DUMMYFUNCTION("IF(A166&lt;&gt;"""", GOOGLETRANSLATE(A166, ""en"", ""te""),"""")"),"")</f>
        <v/>
      </c>
      <c r="C166" s="2"/>
      <c r="D166" s="2" t="str">
        <f>IFERROR(__xludf.DUMMYFUNCTION("IF(C166&lt;&gt;"""", GOOGLETRANSLATE(C166, ""en"", ""te""),"""")"),"")</f>
        <v/>
      </c>
      <c r="E166" s="2"/>
      <c r="F166" s="2" t="str">
        <f>IFERROR(__xludf.DUMMYFUNCTION("IF(E166&lt;&gt;"""", GOOGLETRANSLATE(E166, ""en"", ""te""),"""")"),"")</f>
        <v/>
      </c>
      <c r="G166" s="2"/>
      <c r="H166" s="2" t="str">
        <f>IFERROR(__xludf.DUMMYFUNCTION("IF(G166&lt;&gt;"""", GOOGLETRANSLATE(G166, ""en"", ""te""),"""")"),"")</f>
        <v/>
      </c>
      <c r="I166" s="3"/>
    </row>
    <row r="167" customHeight="1" spans="1:9">
      <c r="A167" s="2"/>
      <c r="B167" s="2" t="str">
        <f>IFERROR(__xludf.DUMMYFUNCTION("IF(A167&lt;&gt;"""", GOOGLETRANSLATE(A167, ""en"", ""te""),"""")"),"")</f>
        <v/>
      </c>
      <c r="C167" s="2"/>
      <c r="D167" s="2" t="str">
        <f>IFERROR(__xludf.DUMMYFUNCTION("IF(C167&lt;&gt;"""", GOOGLETRANSLATE(C167, ""en"", ""te""),"""")"),"")</f>
        <v/>
      </c>
      <c r="E167" s="2"/>
      <c r="F167" s="2" t="str">
        <f>IFERROR(__xludf.DUMMYFUNCTION("IF(E167&lt;&gt;"""", GOOGLETRANSLATE(E167, ""en"", ""te""),"""")"),"")</f>
        <v/>
      </c>
      <c r="G167" s="2"/>
      <c r="H167" s="2" t="str">
        <f>IFERROR(__xludf.DUMMYFUNCTION("IF(G167&lt;&gt;"""", GOOGLETRANSLATE(G167, ""en"", ""te""),"""")"),"")</f>
        <v/>
      </c>
      <c r="I167" s="3"/>
    </row>
    <row r="168" customHeight="1" spans="1:9">
      <c r="A168" s="2"/>
      <c r="B168" s="2" t="str">
        <f>IFERROR(__xludf.DUMMYFUNCTION("IF(A168&lt;&gt;"""", GOOGLETRANSLATE(A168, ""en"", ""te""),"""")"),"")</f>
        <v/>
      </c>
      <c r="C168" s="2"/>
      <c r="D168" s="2" t="str">
        <f>IFERROR(__xludf.DUMMYFUNCTION("IF(C168&lt;&gt;"""", GOOGLETRANSLATE(C168, ""en"", ""te""),"""")"),"")</f>
        <v/>
      </c>
      <c r="E168" s="2"/>
      <c r="F168" s="2" t="str">
        <f>IFERROR(__xludf.DUMMYFUNCTION("IF(E168&lt;&gt;"""", GOOGLETRANSLATE(E168, ""en"", ""te""),"""")"),"")</f>
        <v/>
      </c>
      <c r="G168" s="2"/>
      <c r="H168" s="2" t="str">
        <f>IFERROR(__xludf.DUMMYFUNCTION("IF(G168&lt;&gt;"""", GOOGLETRANSLATE(G168, ""en"", ""te""),"""")"),"")</f>
        <v/>
      </c>
      <c r="I168" s="3"/>
    </row>
    <row r="169" customHeight="1" spans="1:9">
      <c r="A169" s="2"/>
      <c r="B169" s="2" t="str">
        <f>IFERROR(__xludf.DUMMYFUNCTION("IF(A169&lt;&gt;"""", GOOGLETRANSLATE(A169, ""en"", ""te""),"""")"),"")</f>
        <v/>
      </c>
      <c r="C169" s="2"/>
      <c r="D169" s="2" t="str">
        <f>IFERROR(__xludf.DUMMYFUNCTION("IF(C169&lt;&gt;"""", GOOGLETRANSLATE(C169, ""en"", ""te""),"""")"),"")</f>
        <v/>
      </c>
      <c r="E169" s="2"/>
      <c r="F169" s="2" t="str">
        <f>IFERROR(__xludf.DUMMYFUNCTION("IF(E169&lt;&gt;"""", GOOGLETRANSLATE(E169, ""en"", ""te""),"""")"),"")</f>
        <v/>
      </c>
      <c r="G169" s="2"/>
      <c r="H169" s="2" t="str">
        <f>IFERROR(__xludf.DUMMYFUNCTION("IF(G169&lt;&gt;"""", GOOGLETRANSLATE(G169, ""en"", ""te""),"""")"),"")</f>
        <v/>
      </c>
      <c r="I169" s="3"/>
    </row>
    <row r="170" customHeight="1" spans="1:9">
      <c r="A170" s="2"/>
      <c r="B170" s="2" t="str">
        <f>IFERROR(__xludf.DUMMYFUNCTION("IF(A170&lt;&gt;"""", GOOGLETRANSLATE(A170, ""en"", ""te""),"""")"),"")</f>
        <v/>
      </c>
      <c r="C170" s="2"/>
      <c r="D170" s="2" t="str">
        <f>IFERROR(__xludf.DUMMYFUNCTION("IF(C170&lt;&gt;"""", GOOGLETRANSLATE(C170, ""en"", ""te""),"""")"),"")</f>
        <v/>
      </c>
      <c r="E170" s="2"/>
      <c r="F170" s="2" t="str">
        <f>IFERROR(__xludf.DUMMYFUNCTION("IF(E170&lt;&gt;"""", GOOGLETRANSLATE(E170, ""en"", ""te""),"""")"),"")</f>
        <v/>
      </c>
      <c r="G170" s="2"/>
      <c r="H170" s="2" t="str">
        <f>IFERROR(__xludf.DUMMYFUNCTION("IF(G170&lt;&gt;"""", GOOGLETRANSLATE(G170, ""en"", ""te""),"""")"),"")</f>
        <v/>
      </c>
      <c r="I170" s="3"/>
    </row>
    <row r="171" customHeight="1" spans="1:9">
      <c r="A171" s="2" t="s">
        <v>118</v>
      </c>
      <c r="B171" s="2" t="str">
        <f>IFERROR(__xludf.DUMMYFUNCTION("IF(A171&lt;&gt;"""", GOOGLETRANSLATE(A171, ""en"", ""te""),"""")"),"[ 'కెరీర్లో 2 వ అత్యంత స్టంపింగ్లు (46)', '7 వ అత్యధిక ఇన్నింగ్స్ బై (659 / 8D) గూడా ఇవ్వకుండా మొత్తం', '2000 పరుగులు మరియు 100 వికెట్ కీపింగ్ తొలగింపులకు']")</f>
        <v>[ 'కెరీర్లో 2 వ అత్యంత స్టంపింగ్లు (46)', '7 వ అత్యధిక ఇన్నింగ్స్ బై (659 / 8D) గూడా ఇవ్వకుండా మొత్తం', '2000 పరుగులు మరియు 100 వికెట్ కీపింగ్ తొలగింపులకు']</v>
      </c>
      <c r="C171" s="2" t="s">
        <v>119</v>
      </c>
      <c r="D171" s="2" t="str">
        <f>IFERROR(__xludf.DUMMYFUNCTION("IF(C171&lt;&gt;"""", GOOGLETRANSLATE(C171, ""en"", ""te""),"""")"),"[ '39 వ కెరీర్ బాతులు (17)', '13 వ అత్యధిక వికెట్లు కెరీర్లో (219)', '47 వ ఒక సిరీస్లో అత్యధిక వికెట్లు (20)', '19 వ కెరీర్ లో అత్యధిక క్యాచ్లు (173)', '2 వ అత్యంత స్టంపింగ్లు కెరీర్లో (46) ',' 12 వ మ్యాచ్ లో అత్యంత స్టంపింగ్లు (3) ',' 12 వ వరుస (6) ',' 7"&amp;" వ అత్యధిక ఇన్నింగ్స్ బై (659 / 8D) గూడా ఇవ్వకుండా మొత్తం ',' ది మోస్ట్ స్టంపింగ్లు 9 వ అత్యంత ఒక ఇన్నింగ్స్ లో సాధించిన బైస్ (30) ']")</f>
        <v>[ '39 వ కెరీర్ బాతులు (17)', '13 వ అత్యధిక వికెట్లు కెరీర్లో (219)', '47 వ ఒక సిరీస్లో అత్యధిక వికెట్లు (20)', '19 వ కెరీర్ లో అత్యధిక క్యాచ్లు (173)', '2 వ అత్యంత స్టంపింగ్లు కెరీర్లో (46) ',' 12 వ మ్యాచ్ లో అత్యంత స్టంపింగ్లు (3) ',' 12 వ వరుస (6) ',' 7 వ అత్యధిక ఇన్నింగ్స్ బై (659 / 8D) గూడా ఇవ్వకుండా మొత్తం ',' ది మోస్ట్ స్టంపింగ్లు 9 వ అత్యంత ఒక ఇన్నింగ్స్ లో సాధించిన బైస్ (30) ']</v>
      </c>
      <c r="E171" s="2"/>
      <c r="F171" s="2" t="str">
        <f>IFERROR(__xludf.DUMMYFUNCTION("IF(E171&lt;&gt;"""", GOOGLETRANSLATE(E171, ""en"", ""te""),"""")"),"")</f>
        <v/>
      </c>
      <c r="G171" s="2"/>
      <c r="H171" s="2" t="str">
        <f>IFERROR(__xludf.DUMMYFUNCTION("IF(G171&lt;&gt;"""", GOOGLETRANSLATE(G171, ""en"", ""te""),"""")"),"")</f>
        <v/>
      </c>
      <c r="I171" s="3"/>
    </row>
    <row r="172" customHeight="1" spans="1:9">
      <c r="A172" s="2"/>
      <c r="B172" s="2" t="str">
        <f>IFERROR(__xludf.DUMMYFUNCTION("IF(A172&lt;&gt;"""", GOOGLETRANSLATE(A172, ""en"", ""te""),"""")"),"")</f>
        <v/>
      </c>
      <c r="C172" s="2"/>
      <c r="D172" s="2" t="str">
        <f>IFERROR(__xludf.DUMMYFUNCTION("IF(C172&lt;&gt;"""", GOOGLETRANSLATE(C172, ""en"", ""te""),"""")"),"")</f>
        <v/>
      </c>
      <c r="E172" s="2"/>
      <c r="F172" s="2" t="str">
        <f>IFERROR(__xludf.DUMMYFUNCTION("IF(E172&lt;&gt;"""", GOOGLETRANSLATE(E172, ""en"", ""te""),"""")"),"")</f>
        <v/>
      </c>
      <c r="G172" s="2"/>
      <c r="H172" s="2" t="str">
        <f>IFERROR(__xludf.DUMMYFUNCTION("IF(G172&lt;&gt;"""", GOOGLETRANSLATE(G172, ""en"", ""te""),"""")"),"")</f>
        <v/>
      </c>
      <c r="I172" s="3"/>
    </row>
    <row r="173" customHeight="1" spans="1:9">
      <c r="A173" s="2" t="s">
        <v>120</v>
      </c>
      <c r="B173" s="2" t="str">
        <f>IFERROR(__xludf.DUMMYFUNCTION("IF(A173&lt;&gt;"""", GOOGLETRANSLATE(A173, ""en"", ""te""),"""")"),"[ 'మూడో వికెట్కు (370) కోసం 7 వ అత్యధిక భాగస్వామ్యం' 'బ్యాటింగ్ తెరవడం మరియు అదే మ్యాచ్ లో బౌలింగ్',]")</f>
        <v>[ 'మూడో వికెట్కు (370) కోసం 7 వ అత్యధిక భాగస్వామ్యం' 'బ్యాటింగ్ తెరవడం మరియు అదే మ్యాచ్ లో బౌలింగ్',]</v>
      </c>
      <c r="C173" s="2" t="s">
        <v>121</v>
      </c>
      <c r="D173" s="2" t="str">
        <f>IFERROR(__xludf.DUMMYFUNCTION("IF(C173&lt;&gt;"""", GOOGLETRANSLATE(C173, ""en"", ""te""),"""")"),"[ '17 వ అత్యధిక తొలి వంద (219)', 'ఒక డక్ లేకుండా 48 వ వరుస ఇన్నింగ్స్ (53)', '16 వ పిన్న ఆటగాడు డబుల్ సెంచరీ (342d 22y) స్కోర్', '41 వ 2000 పరుగులు (45) వేగంగా', 'ఏ వికెట్కు 27 అత్యధిక భాగస్వామ్యాల (370)', 'మూడో వికెట్ (370) కోసం 7 వ అత్యధిక భాగస్వామ్యం']")</f>
        <v>[ '17 వ అత్యధిక తొలి వంద (219)', 'ఒక డక్ లేకుండా 48 వ వరుస ఇన్నింగ్స్ (53)', '16 వ పిన్న ఆటగాడు డబుల్ సెంచరీ (342d 22y) స్కోర్', '41 వ 2000 పరుగులు (45) వేగంగా', 'ఏ వికెట్కు 27 అత్యధిక భాగస్వామ్యాల (370)', 'మూడో వికెట్ (370) కోసం 7 వ అత్యధిక భాగస్వామ్యం']</v>
      </c>
      <c r="E173" s="2"/>
      <c r="F173" s="2" t="str">
        <f>IFERROR(__xludf.DUMMYFUNCTION("IF(E173&lt;&gt;"""", GOOGLETRANSLATE(E173, ""en"", ""te""),"""")"),"")</f>
        <v/>
      </c>
      <c r="G173" s="2"/>
      <c r="H173" s="2" t="str">
        <f>IFERROR(__xludf.DUMMYFUNCTION("IF(G173&lt;&gt;"""", GOOGLETRANSLATE(G173, ""en"", ""te""),"""")"),"")</f>
        <v/>
      </c>
      <c r="I173" s="3"/>
    </row>
    <row r="174" customHeight="1" spans="1:9">
      <c r="A174" s="2" t="s">
        <v>122</v>
      </c>
      <c r="B174" s="2" t="str">
        <f>IFERROR(__xludf.DUMMYFUNCTION("IF(A174&lt;&gt;"""", GOOGLETRANSLATE(A174, ""en"", ""te""),"""")"),"[ 'వరుస 5 వ అత్యధిక వికెట్లు (11)', '5 వ ఒక సిరీస్లో అత్యధిక క్యాచ్లు (9)', ఒక సిరీస్లో అత్యధిక వికెట్లు '6 వ అత్యంత ఇన్నింగ్స్ లో సాధించిన బైస్ (17)' '9 వ అత్యధిక పరుగులు (180 ) ']")</f>
        <v>[ 'వరుస 5 వ అత్యధిక వికెట్లు (11)', '5 వ ఒక సిరీస్లో అత్యధిక క్యాచ్లు (9)', ఒక సిరీస్లో అత్యధిక వికెట్లు '6 వ అత్యంత ఇన్నింగ్స్ లో సాధించిన బైస్ (17)' '9 వ అత్యధిక పరుగులు (180 ) ']</v>
      </c>
      <c r="C174" s="2" t="s">
        <v>123</v>
      </c>
      <c r="D174" s="2" t="str">
        <f>IFERROR(__xludf.DUMMYFUNCTION("IF(C174&lt;&gt;"""", GOOGLETRANSLATE(C174, ""en"", ""te""),"""")"),"[ 'ఒక వికెట్ కీపర్ సిరీస్లో 9 వ అత్యధిక పరుగులు (180)', 'వరుస 5 వ అత్యధిక వికెట్లు (11)', '13 వ అత్యధిక క్యాచ్లు కెరీర్లో (11)', '5 వ ఒక సిరీస్లో అత్యధిక క్యాచ్లు (9)' '17 వ అత్యధిక ఇన్నింగ్స్ బై (225 / 6d) గూడా ఇవ్వకుండా మొత్తం', '6 వ అత్యంత ఇన్నింగ్స్ "&amp;"లో సాధించిన బైస్ (17)']")</f>
        <v>[ 'ఒక వికెట్ కీపర్ సిరీస్లో 9 వ అత్యధిక పరుగులు (180)', 'వరుస 5 వ అత్యధిక వికెట్లు (11)', '13 వ అత్యధిక క్యాచ్లు కెరీర్లో (11)', '5 వ ఒక సిరీస్లో అత్యధిక క్యాచ్లు (9)' '17 వ అత్యధిక ఇన్నింగ్స్ బై (225 / 6d) గూడా ఇవ్వకుండా మొత్తం', '6 వ అత్యంత ఇన్నింగ్స్ లో సాధించిన బైస్ (17)']</v>
      </c>
      <c r="E174" s="2"/>
      <c r="F174" s="2" t="str">
        <f>IFERROR(__xludf.DUMMYFUNCTION("IF(E174&lt;&gt;"""", GOOGLETRANSLATE(E174, ""en"", ""te""),"""")"),"")</f>
        <v/>
      </c>
      <c r="G174" s="2"/>
      <c r="H174" s="2" t="str">
        <f>IFERROR(__xludf.DUMMYFUNCTION("IF(G174&lt;&gt;"""", GOOGLETRANSLATE(G174, ""en"", ""te""),"""")"),"")</f>
        <v/>
      </c>
      <c r="I174" s="3"/>
    </row>
    <row r="175" customHeight="1" spans="1:9">
      <c r="A175" s="2"/>
      <c r="B175" s="2" t="str">
        <f>IFERROR(__xludf.DUMMYFUNCTION("IF(A175&lt;&gt;"""", GOOGLETRANSLATE(A175, ""en"", ""te""),"""")"),"")</f>
        <v/>
      </c>
      <c r="C175" s="2"/>
      <c r="D175" s="2" t="str">
        <f>IFERROR(__xludf.DUMMYFUNCTION("IF(C175&lt;&gt;"""", GOOGLETRANSLATE(C175, ""en"", ""te""),"""")"),"")</f>
        <v/>
      </c>
      <c r="E175" s="2"/>
      <c r="F175" s="2" t="str">
        <f>IFERROR(__xludf.DUMMYFUNCTION("IF(E175&lt;&gt;"""", GOOGLETRANSLATE(E175, ""en"", ""te""),"""")"),"")</f>
        <v/>
      </c>
      <c r="G175" s="2"/>
      <c r="H175" s="2" t="str">
        <f>IFERROR(__xludf.DUMMYFUNCTION("IF(G175&lt;&gt;"""", GOOGLETRANSLATE(G175, ""en"", ""te""),"""")"),"")</f>
        <v/>
      </c>
      <c r="I175" s="3"/>
    </row>
    <row r="176" customHeight="1" spans="1:9">
      <c r="A176" s="2"/>
      <c r="B176" s="2" t="str">
        <f>IFERROR(__xludf.DUMMYFUNCTION("IF(A176&lt;&gt;"""", GOOGLETRANSLATE(A176, ""en"", ""te""),"""")"),"")</f>
        <v/>
      </c>
      <c r="C176" s="2"/>
      <c r="D176" s="2" t="str">
        <f>IFERROR(__xludf.DUMMYFUNCTION("IF(C176&lt;&gt;"""", GOOGLETRANSLATE(C176, ""en"", ""te""),"""")"),"")</f>
        <v/>
      </c>
      <c r="E176" s="2"/>
      <c r="F176" s="2" t="str">
        <f>IFERROR(__xludf.DUMMYFUNCTION("IF(E176&lt;&gt;"""", GOOGLETRANSLATE(E176, ""en"", ""te""),"""")"),"")</f>
        <v/>
      </c>
      <c r="G176" s="2"/>
      <c r="H176" s="2" t="str">
        <f>IFERROR(__xludf.DUMMYFUNCTION("IF(G176&lt;&gt;"""", GOOGLETRANSLATE(G176, ""en"", ""te""),"""")"),"")</f>
        <v/>
      </c>
      <c r="I176" s="3"/>
    </row>
    <row r="177" customHeight="1" spans="1:9">
      <c r="A177" s="2"/>
      <c r="B177" s="2" t="str">
        <f>IFERROR(__xludf.DUMMYFUNCTION("IF(A177&lt;&gt;"""", GOOGLETRANSLATE(A177, ""en"", ""te""),"""")"),"")</f>
        <v/>
      </c>
      <c r="C177" s="2"/>
      <c r="D177" s="2" t="str">
        <f>IFERROR(__xludf.DUMMYFUNCTION("IF(C177&lt;&gt;"""", GOOGLETRANSLATE(C177, ""en"", ""te""),"""")"),"")</f>
        <v/>
      </c>
      <c r="E177" s="2"/>
      <c r="F177" s="2" t="str">
        <f>IFERROR(__xludf.DUMMYFUNCTION("IF(E177&lt;&gt;"""", GOOGLETRANSLATE(E177, ""en"", ""te""),"""")"),"")</f>
        <v/>
      </c>
      <c r="G177" s="2"/>
      <c r="H177" s="2" t="str">
        <f>IFERROR(__xludf.DUMMYFUNCTION("IF(G177&lt;&gt;"""", GOOGLETRANSLATE(G177, ""en"", ""te""),"""")"),"")</f>
        <v/>
      </c>
      <c r="I177" s="3"/>
    </row>
    <row r="178" customHeight="1" spans="1:9">
      <c r="A178" s="2" t="s">
        <v>124</v>
      </c>
      <c r="B178" s="2" t="str">
        <f>IFERROR(__xludf.DUMMYFUNCTION("IF(A178&lt;&gt;"""", GOOGLETRANSLATE(A178, ""en"", ""te""),"""")"),"[ '4 వ అత్యుత్తమ ఇన్నింగ్స్ (4/6) విశ్లేషణలలో బౌలింగ్']")</f>
        <v>[ '4 వ అత్యుత్తమ ఇన్నింగ్స్ (4/6) విశ్లేషణలలో బౌలింగ్']</v>
      </c>
      <c r="C178" s="2" t="s">
        <v>125</v>
      </c>
      <c r="D178" s="2" t="str">
        <f>IFERROR(__xludf.DUMMYFUNCTION("IF(C178&lt;&gt;"""", GOOGLETRANSLATE(C178, ""en"", ""te""),"""")"),"[ '4 వ అత్యుత్తమ బౌలింగ్ ఇన్నింగ్స్ లో విశ్లేషించడం (4/6)', 'ఇన్నింగ్స్ లో 32 వ ఉత్తమ ఆర్థిక రేటు (0.58)']")</f>
        <v>[ '4 వ అత్యుత్తమ బౌలింగ్ ఇన్నింగ్స్ లో విశ్లేషించడం (4/6)', 'ఇన్నింగ్స్ లో 32 వ ఉత్తమ ఆర్థిక రేటు (0.58)']</v>
      </c>
      <c r="E178" s="2" t="s">
        <v>126</v>
      </c>
      <c r="F178" s="2" t="str">
        <f>IFERROR(__xludf.DUMMYFUNCTION("IF(E178&lt;&gt;"""", GOOGLETRANSLATE(E178, ""en"", ""te""),"""")"),"[ '31 ఉత్తమ కెరీర్ ఆర్థిక రేటు (3.77)']")</f>
        <v>[ '31 ఉత్తమ కెరీర్ ఆర్థిక రేటు (3.77)']</v>
      </c>
      <c r="G178" s="2"/>
      <c r="H178" s="2" t="str">
        <f>IFERROR(__xludf.DUMMYFUNCTION("IF(G178&lt;&gt;"""", GOOGLETRANSLATE(G178, ""en"", ""te""),"""")"),"")</f>
        <v/>
      </c>
      <c r="I178" s="3"/>
    </row>
    <row r="179" customHeight="1" spans="1:9">
      <c r="A179" s="2"/>
      <c r="B179" s="2" t="str">
        <f>IFERROR(__xludf.DUMMYFUNCTION("IF(A179&lt;&gt;"""", GOOGLETRANSLATE(A179, ""en"", ""te""),"""")"),"")</f>
        <v/>
      </c>
      <c r="C179" s="2"/>
      <c r="D179" s="2" t="str">
        <f>IFERROR(__xludf.DUMMYFUNCTION("IF(C179&lt;&gt;"""", GOOGLETRANSLATE(C179, ""en"", ""te""),"""")"),"")</f>
        <v/>
      </c>
      <c r="E179" s="2"/>
      <c r="F179" s="2" t="str">
        <f>IFERROR(__xludf.DUMMYFUNCTION("IF(E179&lt;&gt;"""", GOOGLETRANSLATE(E179, ""en"", ""te""),"""")"),"")</f>
        <v/>
      </c>
      <c r="G179" s="2"/>
      <c r="H179" s="2" t="str">
        <f>IFERROR(__xludf.DUMMYFUNCTION("IF(G179&lt;&gt;"""", GOOGLETRANSLATE(G179, ""en"", ""te""),"""")"),"")</f>
        <v/>
      </c>
      <c r="I179" s="3"/>
    </row>
    <row r="180" customHeight="1" spans="1:9">
      <c r="A180" s="2" t="s">
        <v>127</v>
      </c>
      <c r="B180" s="2" t="str">
        <f>IFERROR(__xludf.DUMMYFUNCTION("IF(A180&lt;&gt;"""", GOOGLETRANSLATE(A180, ""en"", ""te""),"""")"),"[ 'కెరీర్లో 2 వ అత్యధిక మ్యాచ్లు (23)', 'ఒక జట్టు కెప్టెన్గా 6 వ వరుస మ్యాచ్లు (10)', '1 వ పరాజయం వైపు ఒక మ్యాచ్లో అత్యధిక పరుగులు (142)', 'స్కోర్ 2 వ పిన్న ఆటగాడు ఒక వందల (19y 210d) ',' కెరీర్ లో 2 వ పెద్ద అర్ధ కెరీర్లో (13) ',' 1 వ అతి తక్కువ బాతులు ',"&amp;"' ఒక ఇన్నింగ్స్లో పరుగుల 7 వ అత్యధిక శాతం (55.07) ',' 1st చెత్త కెరీర్లో ఆర్థిక రేటు (3.09) ',' తొలి వికెట్కు (163) 5 వ అత్యధిక భాగస్వామ్యం ',' కెరీర్ లో 2 వ అత్యధిక మ్యాచ్లు (191) ',' ఒక జట్టు కెప్టెన్గా 2 వ వరుస మ్యాచ్లు (57) ',' కెరీర్ లో 2 వ అత్యధిక ప"&amp;"రుగులు (5992) ఒక జట్టు వ్యతిరేకంగా ',' 2 వ అత్యధిక వందలు (3) ',' 1 వ 99 (199, 299 etc) (99) అవుటయ్యాడు ',' వరుస ఇన్నింగ్స్లో 2 వ యాభైల్లో (6) ',' కెరీర్ లో 2 వ పెద్ద బాతులు (16 ) ',' ఒక కెప్టెన్తో ఒక ఇన్నింగ్స్ లో 9 వ బెస్ట్ ఫిగర్స్ (4) ',' 6 వ ఉత్తమ కెర"&amp;"ీర్ సమ్మె రేటు (30.1) ',' 6 వ కెరీర్లో అత్యధిక క్యాచ్లు (52) ',' 1000 పరుగులు, 50 వికెట్లు, 50 క్యాచ్లు ' '5000 పరుగులు మరియు 50 ఫీల్డింగ్ వికెట్లు', 'ఐదవ వికెట్కు 8 వ అత్యధిక భాగస్వామ్యం (113)', '1st ఎక్కువగా మ్యాచ్లు కెప్టెన్ (93) ',' 4 వ కెరీర్ లో అత్య"&amp;"ధిక పరుగులు (2605) ',' 5 వ అత్యధిక కెరీర్ బ్యాటింగ్ సగటు (32.97) ',' 10 వ కెరీర్ లో చాలా అర్ధ (12) ',' ఒక డక్ లేకుండా 7 వ అత్యధిక వరుస ఇన్నింగ్స్ (54) ',' ఒక ఇన్నింగ్స్లో పరుగుల 6 వ అత్యధిక శాతం (65.51) ',' 1st 1000 వేగవంతమైన పరుగులు (35) ']")</f>
        <v>[ 'కెరీర్లో 2 వ అత్యధిక మ్యాచ్లు (23)', 'ఒక జట్టు కెప్టెన్గా 6 వ వరుస మ్యాచ్లు (10)', '1 వ పరాజయం వైపు ఒక మ్యాచ్లో అత్యధిక పరుగులు (142)', 'స్కోర్ 2 వ పిన్న ఆటగాడు ఒక వందల (19y 210d) ',' కెరీర్ లో 2 వ పెద్ద అర్ధ కెరీర్లో (13) ',' 1 వ అతి తక్కువ బాతులు ',' ఒక ఇన్నింగ్స్లో పరుగుల 7 వ అత్యధిక శాతం (55.07) ',' 1st చెత్త కెరీర్లో ఆర్థిక రేటు (3.09) ',' తొలి వికెట్కు (163) 5 వ అత్యధిక భాగస్వామ్యం ',' కెరీర్ లో 2 వ అత్యధిక మ్యాచ్లు (191) ',' ఒక జట్టు కెప్టెన్గా 2 వ వరుస మ్యాచ్లు (57) ',' కెరీర్ లో 2 వ అత్యధిక పరుగులు (5992) ఒక జట్టు వ్యతిరేకంగా ',' 2 వ అత్యధిక వందలు (3) ',' 1 వ 99 (199, 299 etc) (99) అవుటయ్యాడు ',' వరుస ఇన్నింగ్స్లో 2 వ యాభైల్లో (6) ',' కెరీర్ లో 2 వ పెద్ద బాతులు (16 ) ',' ఒక కెప్టెన్తో ఒక ఇన్నింగ్స్ లో 9 వ బెస్ట్ ఫిగర్స్ (4) ',' 6 వ ఉత్తమ కెరీర్ సమ్మె రేటు (30.1) ',' 6 వ కెరీర్లో అత్యధిక క్యాచ్లు (52) ',' 1000 పరుగులు, 50 వికెట్లు, 50 క్యాచ్లు ' '5000 పరుగులు మరియు 50 ఫీల్డింగ్ వికెట్లు', 'ఐదవ వికెట్కు 8 వ అత్యధిక భాగస్వామ్యం (113)', '1st ఎక్కువగా మ్యాచ్లు కెప్టెన్ (93) ',' 4 వ కెరీర్ లో అత్యధిక పరుగులు (2605) ',' 5 వ అత్యధిక కెరీర్ బ్యాటింగ్ సగటు (32.97) ',' 10 వ కెరీర్ లో చాలా అర్ధ (12) ',' ఒక డక్ లేకుండా 7 వ అత్యధిక వరుస ఇన్నింగ్స్ (54) ',' ఒక ఇన్నింగ్స్లో పరుగుల 6 వ అత్యధిక శాతం (65.51) ',' 1st 1000 వేగవంతమైన పరుగులు (35) ']</v>
      </c>
      <c r="C180" s="2" t="s">
        <v>128</v>
      </c>
      <c r="D180" s="2" t="str">
        <f>IFERROR(__xludf.DUMMYFUNCTION("IF(C180&lt;&gt;"""", GOOGLETRANSLATE(C180, ""en"", ""te""),"""")"),"[ '2 వ అత్యధిక కెరీర్ (1676) లో నడుస్తుంది', '18 వ అత్యధిక పరుగులు వరుస (319)', '21 వ ఒక క్యాలెండర్ సంవత్సరంలో అత్యధిక పరుగులు (319) ',' 12 వ ఇన్నింగ్స్ లో అత్యధిక పరుగులు (బ్యాటింగ్ స్థానంలో ప్రకారం) ( 114 *) ',' 1 వ పరాజయం వైపు ఒక మ్యాచ్లో అత్యధిక పరుగ"&amp;"ులు (142) ',' ఒక కెప్టెన్తో ఇన్నింగ్స్ లో 11 వ అత్యధిక పరుగులు (114 *) ',' 16 వ అత్యధిక కెరీర్ బ్యాటింగ్ సగటు (44.10) ',' 2nd ఒక వృత్తిలో అత్యధిక వందలు (4) ',' ఒక జట్టు (2) ',' 44 వ అత్యధిక తొలి వంద (108) ',' 2 వ పిన్న ఆటగాడు వ్యతిరేకంగా 3 వ అత్యధిక వందలు"&amp;" వంద (19y 210d) స్కోర్ ',' 16 వ అత్యంత వృద్ధ ఆటగాడు వంద (31y 36d) ',' కెరీర్ లో 2 వ పెద్ద అర్ధ (13) ',' వరుస మ్యాచ్లలో 3 వ యాభైల్లో స్కోర్ (4) ',' 1st లేవు బాతులు కెరీర్లో లేకుండా (43) ',' 1 వ వరుస ఇన్నింగ్స్ డక్ (43 *) ',' ఒక ఇన్నింగ్స్లో పరుగుల 7 వ అత్"&amp;"యధిక శాతం (55.07) ',' 6 వ చెత్త కెరీర్ సగటు (48.08) ',' 1st చెత్త కెరీర్లో ఎకానమీ రేట్ బౌలింగ్ (3.09) ',' 32 వ చెత్త కెరీర్లో సమ్మె రేటు (93.1) ',' 23 వ అత్యధిక క్యాచ్లు కెరీర్లో (10) ',' ఏ వికెట్కు 19 అత్యధిక భాగస్వామ్యాల (163) ',' 5 వ అత్యధిక భాగం తొలి "&amp;"వికెట్కు nership (163) రెండవ వికెట్కు ',' 9 వ అత్యధిక భాగస్వామ్యం (134) ',' తొమ్మిదవ వికెట్కు 16 అత్యధిక భాగస్వామ్యం (49) ',' కెరీర్ లో 2 వ అత్యధిక మ్యాచ్లు (23) ',' చాలా 5 వ ఒక జట్టు వరుస మ్యాచ్లు (18) ',' 6 వ పిన్న క్రీడాకారులు (16y 208d) ',' 4 వ లాంగెస"&amp;"్ట్ కెరీర్లు (19y 33d) ',' 7 వ కెప్టెన్గా అత్యధిక మ్యాచ్లు ఒక కెప్టెన్గా (10) ',' 6 వ వరుస మ్యాచ్లు జట్టు (10) ',' 18 వ పిన్న కాప్టెన్ (25y 339d) ',' 13 వ ఓల్డెస్ట్ కాప్టెన్ (35y 240d) ']")</f>
        <v>[ '2 వ అత్యధిక కెరీర్ (1676) లో నడుస్తుంది', '18 వ అత్యధిక పరుగులు వరుస (319)', '21 వ ఒక క్యాలెండర్ సంవత్సరంలో అత్యధిక పరుగులు (319) ',' 12 వ ఇన్నింగ్స్ లో అత్యధిక పరుగులు (బ్యాటింగ్ స్థానంలో ప్రకారం) ( 114 *) ',' 1 వ పరాజయం వైపు ఒక మ్యాచ్లో అత్యధిక పరుగులు (142) ',' ఒక కెప్టెన్తో ఇన్నింగ్స్ లో 11 వ అత్యధిక పరుగులు (114 *) ',' 16 వ అత్యధిక కెరీర్ బ్యాటింగ్ సగటు (44.10) ',' 2nd ఒక వృత్తిలో అత్యధిక వందలు (4) ',' ఒక జట్టు (2) ',' 44 వ అత్యధిక తొలి వంద (108) ',' 2 వ పిన్న ఆటగాడు వ్యతిరేకంగా 3 వ అత్యధిక వందలు వంద (19y 210d) స్కోర్ ',' 16 వ అత్యంత వృద్ధ ఆటగాడు వంద (31y 36d) ',' కెరీర్ లో 2 వ పెద్ద అర్ధ (13) ',' వరుస మ్యాచ్లలో 3 వ యాభైల్లో స్కోర్ (4) ',' 1st లేవు బాతులు కెరీర్లో లేకుండా (43) ',' 1 వ వరుస ఇన్నింగ్స్ డక్ (43 *) ',' ఒక ఇన్నింగ్స్లో పరుగుల 7 వ అత్యధిక శాతం (55.07) ',' 6 వ చెత్త కెరీర్ సగటు (48.08) ',' 1st చెత్త కెరీర్లో ఎకానమీ రేట్ బౌలింగ్ (3.09) ',' 32 వ చెత్త కెరీర్లో సమ్మె రేటు (93.1) ',' 23 వ అత్యధిక క్యాచ్లు కెరీర్లో (10) ',' ఏ వికెట్కు 19 అత్యధిక భాగస్వామ్యాల (163) ',' 5 వ అత్యధిక భాగం తొలి వికెట్కు nership (163) రెండవ వికెట్కు ',' 9 వ అత్యధిక భాగస్వామ్యం (134) ',' తొమ్మిదవ వికెట్కు 16 అత్యధిక భాగస్వామ్యం (49) ',' కెరీర్ లో 2 వ అత్యధిక మ్యాచ్లు (23) ',' చాలా 5 వ ఒక జట్టు వరుస మ్యాచ్లు (18) ',' 6 వ పిన్న క్రీడాకారులు (16y 208d) ',' 4 వ లాంగెస్ట్ కెరీర్లు (19y 33d) ',' 7 వ కెప్టెన్గా అత్యధిక మ్యాచ్లు ఒక కెప్టెన్గా (10) ',' 6 వ వరుస మ్యాచ్లు జట్టు (10) ',' 18 వ పిన్న కాప్టెన్ (25y 339d) ',' 13 వ ఓల్డెస్ట్ కాప్టెన్ (35y 240d) ']</v>
      </c>
      <c r="E180" s="2" t="s">
        <v>129</v>
      </c>
      <c r="F180" s="2" t="str">
        <f>IFERROR(__xludf.DUMMYFUNCTION("IF(E180&lt;&gt;"""", GOOGLETRANSLATE(E180, ""en"", ""te""),"""")"),"[ 'వరుస 43 వ అత్యధిక పరుగులు (476)', 'ఇన్నింగ్స్ (173 *) లో 5 వ అత్యధిక పరుగులు' 'కెరీర్లో 2 వ అత్యధిక పరుగులు (5992)', 'ఒక క్యాలెండర్ సంవత్సరంలో 31 అత్యధిక పరుగులు (586)', 'ఇన్నింగ్స్ లో 4 వ అత్యధిక పరుగులు (బ్యాటింగ్ స్థానంలో ప్రకారం) (173 *)', 'పరాజయం "&amp;"వైపు ఒక మ్యాచ్లో 16 వ అత్యధిక పరుగులు (102)', '6 వ ఒకే మైదానంలో అత్యధిక పరుగులు (667)', '10 వ అత్యంత ఒక కెప్టెన్ ద్వారా ఒక సిరీస్లో పరుగులు (476) ',' ఒక కెప్టెన్తో ఇన్నింగ్స్ లో 6 వ అత్యధిక పరుగులు (138) ',' 30 వ అత్యధిక కెరీర్ బ్యాటింగ్ సగటు (38.16) ',"&amp;"' 3 వ అత్యంత జీవితంలో వందల (9) ', 'ఒక సిరీస్లో 6 వ అత్యధిక వందలు (2)', '5 వ ఒక క్యాలెండర్ సంవత్సరంలో అత్యధిక వందలు (2)', 'ఒక జట్టు (3) వ్యతిరేకంగా 2nd అత్యధిక వందలు' '3 వ పిన్న ఆటగాడు వంద (17y 243d) స్కోర్' 'వంద (34y 249d) స్కోర్ 7 వ అత్యంత వృద్ధ ఆటగాడు',"&amp;" '3 వ అత్యంత తొంభైల కెరీర్లో (4)', '1 వ 99 పరుగుల (199, 299 etc) (99)', 'కెరీర్ లో 2 వ పెద్ద అర్ధ ( 55) ',' వరుస ఇన్నింగ్స్లో 2 వ యాభైల్లో (పరుగులు 6) ',' ఒక డక్ లేకుండా 14 వరుస ఇన్నింగ్స్ కెరీర్లో (44) ',' 2 వ అత్యంత బాతులు (16) ',' 22 వ అత్యధిక శాతం ఒ"&amp;"క ఇన్నింగ్స్లో (54.29) ',' 10 వ అత్యుత్తమ బౌలింగ్ ఇన్నింగ్స్ లో విశ్లేషించడం (2/2) ',' ఒక ఇన్నింగ్స్ లో 9 వ బెస్ట్ ఫిగర్స్ ఒక కెప్టెన్తో (4) ',' 6 వ ఉత్తమ కెరీర్ సమ్మె రేటు (30.1) ',' 28 చెత్త కెరీర్లో ఆర్థిక రేటు (4.32) ',' 12 వ బౌలర్ / బ్యాట్స్ కలయికలు "&amp;"ఏ వికెట్కు (184) ',' 50 వ అత్యధిక భాగస్వామ్యం (6) ',' 6 వ అత్యధిక క్యాచ్లు కెరీర్లో (52) ',' 32 వ అత్యధిక భాగస్వామ్యాలు తొలి వికెట్కు (142) ',' రెండవ వికెట్ (184) ',' నాలుగవ వికెట్కు (131 *) కోసం 14 అత్యధిక భాగస్వామ్యం ',' ఐదవ వికెట్కు 8 వ అత్యధిక భాగస్వా"&amp;"మ్యం (113) ', '21 వ అత్యధిక కోసం 8 వ అత్యధిక భాగస్వామ్యం ఆరవ వికెట్కు భాగస్వామ్యం (81) ',' కెరీర్ లో 2 వ అత్యధిక మ్యాచ్లు (191) ',' ఒక జట్టుకు 15 వ వరుస మ్యాచ్లు (57) ',' 8 వ లాంగెస్ట్ కెరీర్లు (18y 183d) ',' 2 వ అత్యంత కెప్టెన్గా మ్యాచ్లు (117) ',' ఒక జట"&amp;"్టు కెప్టెన్గా 2 వ వరుస మ్యాచ్లు (57) ',' 18 వ ఓల్డెస్ట్ కాప్టెన్ (36y 59d) ']")</f>
        <v>[ 'వరుస 43 వ అత్యధిక పరుగులు (476)', 'ఇన్నింగ్స్ (173 *) లో 5 వ అత్యధిక పరుగులు' 'కెరీర్లో 2 వ అత్యధిక పరుగులు (5992)', 'ఒక క్యాలెండర్ సంవత్సరంలో 31 అత్యధిక పరుగులు (586)', 'ఇన్నింగ్స్ లో 4 వ అత్యధిక పరుగులు (బ్యాటింగ్ స్థానంలో ప్రకారం) (173 *)', 'పరాజయం వైపు ఒక మ్యాచ్లో 16 వ అత్యధిక పరుగులు (102)', '6 వ ఒకే మైదానంలో అత్యధిక పరుగులు (667)', '10 వ అత్యంత ఒక కెప్టెన్ ద్వారా ఒక సిరీస్లో పరుగులు (476) ',' ఒక కెప్టెన్తో ఇన్నింగ్స్ లో 6 వ అత్యధిక పరుగులు (138) ',' 30 వ అత్యధిక కెరీర్ బ్యాటింగ్ సగటు (38.16) ',' 3 వ అత్యంత జీవితంలో వందల (9) ', 'ఒక సిరీస్లో 6 వ అత్యధిక వందలు (2)', '5 వ ఒక క్యాలెండర్ సంవత్సరంలో అత్యధిక వందలు (2)', 'ఒక జట్టు (3) వ్యతిరేకంగా 2nd అత్యధిక వందలు' '3 వ పిన్న ఆటగాడు వంద (17y 243d) స్కోర్' 'వంద (34y 249d) స్కోర్ 7 వ అత్యంత వృద్ధ ఆటగాడు', '3 వ అత్యంత తొంభైల కెరీర్లో (4)', '1 వ 99 పరుగుల (199, 299 etc) (99)', 'కెరీర్ లో 2 వ పెద్ద అర్ధ ( 55) ',' వరుస ఇన్నింగ్స్లో 2 వ యాభైల్లో (పరుగులు 6) ',' ఒక డక్ లేకుండా 14 వరుస ఇన్నింగ్స్ కెరీర్లో (44) ',' 2 వ అత్యంత బాతులు (16) ',' 22 వ అత్యధిక శాతం ఒక ఇన్నింగ్స్లో (54.29) ',' 10 వ అత్యుత్తమ బౌలింగ్ ఇన్నింగ్స్ లో విశ్లేషించడం (2/2) ',' ఒక ఇన్నింగ్స్ లో 9 వ బెస్ట్ ఫిగర్స్ ఒక కెప్టెన్తో (4) ',' 6 వ ఉత్తమ కెరీర్ సమ్మె రేటు (30.1) ',' 28 చెత్త కెరీర్లో ఆర్థిక రేటు (4.32) ',' 12 వ బౌలర్ / బ్యాట్స్ కలయికలు ఏ వికెట్కు (184) ',' 50 వ అత్యధిక భాగస్వామ్యం (6) ',' 6 వ అత్యధిక క్యాచ్లు కెరీర్లో (52) ',' 32 వ అత్యధిక భాగస్వామ్యాలు తొలి వికెట్కు (142) ',' రెండవ వికెట్ (184) ',' నాలుగవ వికెట్కు (131 *) కోసం 14 అత్యధిక భాగస్వామ్యం ',' ఐదవ వికెట్కు 8 వ అత్యధిక భాగస్వామ్యం (113) ', '21 వ అత్యధిక కోసం 8 వ అత్యధిక భాగస్వామ్యం ఆరవ వికెట్కు భాగస్వామ్యం (81) ',' కెరీర్ లో 2 వ అత్యధిక మ్యాచ్లు (191) ',' ఒక జట్టుకు 15 వ వరుస మ్యాచ్లు (57) ',' 8 వ లాంగెస్ట్ కెరీర్లు (18y 183d) ',' 2 వ అత్యంత కెప్టెన్గా మ్యాచ్లు (117) ',' ఒక జట్టు కెప్టెన్గా 2 వ వరుస మ్యాచ్లు (57) ',' 18 వ ఓల్డెస్ట్ కాప్టెన్ (36y 59d) ']</v>
      </c>
      <c r="G180" s="2" t="s">
        <v>130</v>
      </c>
      <c r="H180" s="2" t="str">
        <f>IFERROR(__xludf.DUMMYFUNCTION("IF(G180&lt;&gt;"""", GOOGLETRANSLATE(G180, ""en"", ""te""),"""")"),"[ 'కెరీర్లో 4 వ అత్యధిక పరుగులు (2605)', '33 వ ఇన్నింగ్స్ (92 *) లో అత్యధిక పరుగులు' 'ఒక క్యాలెండర్ సంవత్సరంలో 16 వ అత్యధిక పరుగులు (473)', '22 వ ఇన్నింగ్స్ లో అత్యధిక పరుగులు (బ్యాటింగ్ స్థానంలో ద్వారా) (92 *) ',' ఒకే మైదానంలో 8 వ అత్యధిక పరుగులు (246) "&amp;"',' ఒక కెప్టెన్తో ఇన్నింగ్స్ లో 11 వ అత్యధిక పరుగులు (92 *) ',' 5 వ అత్యధిక కెరీర్ బ్యాటింగ్ సగటు (32.97) ',' 10 వ అత్యంత అర్ధ కెరీర్లో (12) ',' ఒక డక్ లేకుండా 7 వ అత్యధిక వరుస ఇన్నింగ్స్ (54) ',' 16 వ అతి తక్కువ బాతులు కెరీర్ లో (31) ',' ఒక ఇన్నింగ్స్లో "&amp;"పరుగుల 6 వ అత్యధిక శాతం (65.51) ',' వేగంగా చేయడానికి 1st 1000 పరుగులు (35) ',' 4 వ 2000 వరకు వేగంగా పరుగులు (73) ',' ఒక కెప్టెన్తో ఒక ఇన్నింగ్స్ లో 21 వ బెస్ట్ ఫిగర్స్ (3) ',' మొదటి వికెట్కు 40 వ అత్యధిక భాగస్వామ్యం (102) ',' 13 వ అత్యధిక భాగస్వామ్యం రెండ"&amp;"ో వికెట్కు (114 *) నాలుగో వికెట్కు ',' 33 వ అత్యధిక భాగస్వామ్యం (67) ',' 20 వ కెరీర్ లో అత్యధిక మ్యాచ్లు (95) ',' ఒక జట్టుకు 42 వ వరుస మ్యాచ్లు కోసం (38) ',' 1st చాలా కెప్టెన్గా మ్యాచ్లు (93) ',' 11 వ ఓల్డెస్ట్ కాప్టెన్ (36y 104d) ']")</f>
        <v>[ 'కెరీర్లో 4 వ అత్యధిక పరుగులు (2605)', '33 వ ఇన్నింగ్స్ (92 *) లో అత్యధిక పరుగులు' 'ఒక క్యాలెండర్ సంవత్సరంలో 16 వ అత్యధిక పరుగులు (473)', '22 వ ఇన్నింగ్స్ లో అత్యధిక పరుగులు (బ్యాటింగ్ స్థానంలో ద్వారా) (92 *) ',' ఒకే మైదానంలో 8 వ అత్యధిక పరుగులు (246) ',' ఒక కెప్టెన్తో ఇన్నింగ్స్ లో 11 వ అత్యధిక పరుగులు (92 *) ',' 5 వ అత్యధిక కెరీర్ బ్యాటింగ్ సగటు (32.97) ',' 10 వ అత్యంత అర్ధ కెరీర్లో (12) ',' ఒక డక్ లేకుండా 7 వ అత్యధిక వరుస ఇన్నింగ్స్ (54) ',' 16 వ అతి తక్కువ బాతులు కెరీర్ లో (31) ',' ఒక ఇన్నింగ్స్లో పరుగుల 6 వ అత్యధిక శాతం (65.51) ',' వేగంగా చేయడానికి 1st 1000 పరుగులు (35) ',' 4 వ 2000 వరకు వేగంగా పరుగులు (73) ',' ఒక కెప్టెన్తో ఒక ఇన్నింగ్స్ లో 21 వ బెస్ట్ ఫిగర్స్ (3) ',' మొదటి వికెట్కు 40 వ అత్యధిక భాగస్వామ్యం (102) ',' 13 వ అత్యధిక భాగస్వామ్యం రెండో వికెట్కు (114 *) నాలుగో వికెట్కు ',' 33 వ అత్యధిక భాగస్వామ్యం (67) ',' 20 వ కెరీర్ లో అత్యధిక మ్యాచ్లు (95) ',' ఒక జట్టుకు 42 వ వరుస మ్యాచ్లు కోసం (38) ',' 1st చాలా కెప్టెన్గా మ్యాచ్లు (93) ',' 11 వ ఓల్డెస్ట్ కాప్టెన్ (36y 104d) ']</v>
      </c>
      <c r="I180" s="3"/>
    </row>
    <row r="181" customHeight="1" spans="1:9">
      <c r="A181" s="2"/>
      <c r="B181" s="2" t="str">
        <f>IFERROR(__xludf.DUMMYFUNCTION("IF(A181&lt;&gt;"""", GOOGLETRANSLATE(A181, ""en"", ""te""),"""")"),"")</f>
        <v/>
      </c>
      <c r="C181" s="2"/>
      <c r="D181" s="2" t="str">
        <f>IFERROR(__xludf.DUMMYFUNCTION("IF(C181&lt;&gt;"""", GOOGLETRANSLATE(C181, ""en"", ""te""),"""")"),"")</f>
        <v/>
      </c>
      <c r="E181" s="2"/>
      <c r="F181" s="2" t="str">
        <f>IFERROR(__xludf.DUMMYFUNCTION("IF(E181&lt;&gt;"""", GOOGLETRANSLATE(E181, ""en"", ""te""),"""")"),"")</f>
        <v/>
      </c>
      <c r="G181" s="2"/>
      <c r="H181" s="2" t="str">
        <f>IFERROR(__xludf.DUMMYFUNCTION("IF(G181&lt;&gt;"""", GOOGLETRANSLATE(G181, ""en"", ""te""),"""")"),"")</f>
        <v/>
      </c>
      <c r="I181" s="3"/>
    </row>
    <row r="182" customHeight="1" spans="1:9">
      <c r="A182" s="2"/>
      <c r="B182" s="2" t="str">
        <f>IFERROR(__xludf.DUMMYFUNCTION("IF(A182&lt;&gt;"""", GOOGLETRANSLATE(A182, ""en"", ""te""),"""")"),"")</f>
        <v/>
      </c>
      <c r="C182" s="2"/>
      <c r="D182" s="2" t="str">
        <f>IFERROR(__xludf.DUMMYFUNCTION("IF(C182&lt;&gt;"""", GOOGLETRANSLATE(C182, ""en"", ""te""),"""")"),"")</f>
        <v/>
      </c>
      <c r="E182" s="2"/>
      <c r="F182" s="2" t="str">
        <f>IFERROR(__xludf.DUMMYFUNCTION("IF(E182&lt;&gt;"""", GOOGLETRANSLATE(E182, ""en"", ""te""),"""")"),"")</f>
        <v/>
      </c>
      <c r="G182" s="2"/>
      <c r="H182" s="2" t="str">
        <f>IFERROR(__xludf.DUMMYFUNCTION("IF(G182&lt;&gt;"""", GOOGLETRANSLATE(G182, ""en"", ""te""),"""")"),"")</f>
        <v/>
      </c>
      <c r="I182" s="3"/>
    </row>
    <row r="183" customHeight="1" spans="1:9">
      <c r="A183" s="2"/>
      <c r="B183" s="2" t="str">
        <f>IFERROR(__xludf.DUMMYFUNCTION("IF(A183&lt;&gt;"""", GOOGLETRANSLATE(A183, ""en"", ""te""),"""")"),"")</f>
        <v/>
      </c>
      <c r="C183" s="2"/>
      <c r="D183" s="2" t="str">
        <f>IFERROR(__xludf.DUMMYFUNCTION("IF(C183&lt;&gt;"""", GOOGLETRANSLATE(C183, ""en"", ""te""),"""")"),"")</f>
        <v/>
      </c>
      <c r="E183" s="2"/>
      <c r="F183" s="2" t="str">
        <f>IFERROR(__xludf.DUMMYFUNCTION("IF(E183&lt;&gt;"""", GOOGLETRANSLATE(E183, ""en"", ""te""),"""")"),"")</f>
        <v/>
      </c>
      <c r="G183" s="2"/>
      <c r="H183" s="2" t="str">
        <f>IFERROR(__xludf.DUMMYFUNCTION("IF(G183&lt;&gt;"""", GOOGLETRANSLATE(G183, ""en"", ""te""),"""")"),"")</f>
        <v/>
      </c>
      <c r="I183" s="3"/>
    </row>
    <row r="184" customHeight="1" spans="1:9">
      <c r="A184" s="2"/>
      <c r="B184" s="2" t="str">
        <f>IFERROR(__xludf.DUMMYFUNCTION("IF(A184&lt;&gt;"""", GOOGLETRANSLATE(A184, ""en"", ""te""),"""")"),"")</f>
        <v/>
      </c>
      <c r="C184" s="2"/>
      <c r="D184" s="2" t="str">
        <f>IFERROR(__xludf.DUMMYFUNCTION("IF(C184&lt;&gt;"""", GOOGLETRANSLATE(C184, ""en"", ""te""),"""")"),"")</f>
        <v/>
      </c>
      <c r="E184" s="2" t="s">
        <v>131</v>
      </c>
      <c r="F184" s="2" t="str">
        <f>IFERROR(__xludf.DUMMYFUNCTION("IF(E184&lt;&gt;"""", GOOGLETRANSLATE(E184, ""en"", ""te""),"""")"),"[ '13 వ షార్టేస్ట్ నివసించారు క్రీడాకారులు (33y 270d)']")</f>
        <v>[ '13 వ షార్టేస్ట్ నివసించారు క్రీడాకారులు (33y 270d)']</v>
      </c>
      <c r="G184" s="2"/>
      <c r="H184" s="2" t="str">
        <f>IFERROR(__xludf.DUMMYFUNCTION("IF(G184&lt;&gt;"""", GOOGLETRANSLATE(G184, ""en"", ""te""),"""")"),"")</f>
        <v/>
      </c>
      <c r="I184" s="3"/>
    </row>
    <row r="185" customHeight="1" spans="1:9">
      <c r="A185" s="2"/>
      <c r="B185" s="2" t="str">
        <f>IFERROR(__xludf.DUMMYFUNCTION("IF(A185&lt;&gt;"""", GOOGLETRANSLATE(A185, ""en"", ""te""),"""")"),"")</f>
        <v/>
      </c>
      <c r="C185" s="2"/>
      <c r="D185" s="2" t="str">
        <f>IFERROR(__xludf.DUMMYFUNCTION("IF(C185&lt;&gt;"""", GOOGLETRANSLATE(C185, ""en"", ""te""),"""")"),"")</f>
        <v/>
      </c>
      <c r="E185" s="2"/>
      <c r="F185" s="2" t="str">
        <f>IFERROR(__xludf.DUMMYFUNCTION("IF(E185&lt;&gt;"""", GOOGLETRANSLATE(E185, ""en"", ""te""),"""")"),"")</f>
        <v/>
      </c>
      <c r="G185" s="2"/>
      <c r="H185" s="2" t="str">
        <f>IFERROR(__xludf.DUMMYFUNCTION("IF(G185&lt;&gt;"""", GOOGLETRANSLATE(G185, ""en"", ""te""),"""")"),"")</f>
        <v/>
      </c>
      <c r="I185" s="3"/>
    </row>
    <row r="186" customHeight="1" spans="1:9">
      <c r="A186" s="2"/>
      <c r="B186" s="2" t="str">
        <f>IFERROR(__xludf.DUMMYFUNCTION("IF(A186&lt;&gt;"""", GOOGLETRANSLATE(A186, ""en"", ""te""),"""")"),"")</f>
        <v/>
      </c>
      <c r="C186" s="2"/>
      <c r="D186" s="2" t="str">
        <f>IFERROR(__xludf.DUMMYFUNCTION("IF(C186&lt;&gt;"""", GOOGLETRANSLATE(C186, ""en"", ""te""),"""")"),"")</f>
        <v/>
      </c>
      <c r="E186" s="2"/>
      <c r="F186" s="2" t="str">
        <f>IFERROR(__xludf.DUMMYFUNCTION("IF(E186&lt;&gt;"""", GOOGLETRANSLATE(E186, ""en"", ""te""),"""")"),"")</f>
        <v/>
      </c>
      <c r="G186" s="2"/>
      <c r="H186" s="2" t="str">
        <f>IFERROR(__xludf.DUMMYFUNCTION("IF(G186&lt;&gt;"""", GOOGLETRANSLATE(G186, ""en"", ""te""),"""")"),"")</f>
        <v/>
      </c>
      <c r="I186" s="3"/>
    </row>
    <row r="187" customHeight="1" spans="1:9">
      <c r="A187" s="2" t="s">
        <v>132</v>
      </c>
      <c r="B187" s="2" t="str">
        <f>IFERROR(__xludf.DUMMYFUNCTION("IF(A187&lt;&gt;"""", GOOGLETRANSLATE(A187, ""en"", ""te""),"""")"),"[ 'హండ్రెడ్ ఒక మ్యాచ్లో ప్రతి ఇన్నింగ్స్లో', 'కెరీర్ లో 2 వ అతి తక్కువ బాతులు (74)', 'పరాజయం వైపు (265) ఒక మ్యాచ్లో 4 వ అత్యధిక పరుగులు' '9 వ వేగవంతమైన 3000 పరుగులు (56)', ' వరుస మ్యాచ్లలో 4 వ వందల (4) ',' వరుస మ్యాచ్లలో 5 వ యాభైల్లో (8) ',' కెరీర్ లో "&amp;"2 వ అతి తక్కువ బాతులు (74) ']")</f>
        <v>[ 'హండ్రెడ్ ఒక మ్యాచ్లో ప్రతి ఇన్నింగ్స్లో', 'కెరీర్ లో 2 వ అతి తక్కువ బాతులు (74)', 'పరాజయం వైపు (265) ఒక మ్యాచ్లో 4 వ అత్యధిక పరుగులు' '9 వ వేగవంతమైన 3000 పరుగులు (56)', ' వరుస మ్యాచ్లలో 4 వ వందల (4) ',' వరుస మ్యాచ్లలో 5 వ యాభైల్లో (8) ',' కెరీర్ లో 2 వ అతి తక్కువ బాతులు (74) ']</v>
      </c>
      <c r="C187" s="2" t="s">
        <v>133</v>
      </c>
      <c r="D187" s="2" t="str">
        <f>IFERROR(__xludf.DUMMYFUNCTION("IF(C187&lt;&gt;"""", GOOGLETRANSLATE(C187, ""en"", ""te""),"""")"),"[ 'ఒక సిరీస్లో 6 వ అత్యధిక పరుగులు (827)', 'పరాజయం వైపు ఒక మ్యాచ్లో 4 వ అత్యధిక పరుగులు (265)', 'ఒక వికెట్ కీపర్ సిరీస్లో 8 వ అత్యధిక పరుగులు (452)', '21 వ చాల వరకు ఒక లో పరుగులు వికెట్కీపర్గా (168 *) ద్వారా ఇన్నింగ్స్ ',' 15 వ అత్యధిక కెరీర్ బ్యాటింగ్ స"&amp;"గటు (56.68) ',' 1 వ అత్యధిక వందలు వరుస (5) ',' 19 ఒక క్యాలెండర్ సంవత్సరంలో అత్యధిక వందలు లో (5) ',' 5 వ వందల వరుస పోటీలలో (4) ',' వరుస ఇన్నింగ్స్లో 32 వ యాభైల్లో (5) ',' వరుస మ్యాచ్లలో 15 వ యాభైల్లో (8) ',' ఒక డక్ లేకుండా 49 వ వరుస ఇన్నింగ్స్ (53 *) ','"&amp;" కెరీర్ లో 2 వ అతి తక్కువ బాతులు ( 74) ',' ఒక ఇన్నింగ్స్లో పరుగుల 39 వ అత్యధిక శాతం (57.44) ',' ఫాస్టెస్ట్ 2000 పరుగులు 29 (43) ',' 3000 పరుగులు వేగంగా 9 వ (56) ',' నాలుగవ వికెట్కు 31 అత్యధిక భాగస్వామ్యం ( 267) ',' ఆరవ వికెట్కు 38 వ అత్యధిక భాగస్వామ్యం (2"&amp;"11) ',' 43 వ కెరీర్ స్టంపింగ్లు (11) ',' 12 వ మ్యాచ్ లో అత్యంత స్టంపింగ్లు (3) ',' 18 వ ఒక సిరీస్లో అత్యధిక స్టంపింగ్లు (5) ']")</f>
        <v>[ 'ఒక సిరీస్లో 6 వ అత్యధిక పరుగులు (827)', 'పరాజయం వైపు ఒక మ్యాచ్లో 4 వ అత్యధిక పరుగులు (265)', 'ఒక వికెట్ కీపర్ సిరీస్లో 8 వ అత్యధిక పరుగులు (452)', '21 వ చాల వరకు ఒక లో పరుగులు వికెట్కీపర్గా (168 *) ద్వారా ఇన్నింగ్స్ ',' 15 వ అత్యధిక కెరీర్ బ్యాటింగ్ సగటు (56.68) ',' 1 వ అత్యధిక వందలు వరుస (5) ',' 19 ఒక క్యాలెండర్ సంవత్సరంలో అత్యధిక వందలు లో (5) ',' 5 వ వందల వరుస పోటీలలో (4) ',' వరుస ఇన్నింగ్స్లో 32 వ యాభైల్లో (5) ',' వరుస మ్యాచ్లలో 15 వ యాభైల్లో (8) ',' ఒక డక్ లేకుండా 49 వ వరుస ఇన్నింగ్స్ (53 *) ',' కెరీర్ లో 2 వ అతి తక్కువ బాతులు ( 74) ',' ఒక ఇన్నింగ్స్లో పరుగుల 39 వ అత్యధిక శాతం (57.44) ',' ఫాస్టెస్ట్ 2000 పరుగులు 29 (43) ',' 3000 పరుగులు వేగంగా 9 వ (56) ',' నాలుగవ వికెట్కు 31 అత్యధిక భాగస్వామ్యం ( 267) ',' ఆరవ వికెట్కు 38 వ అత్యధిక భాగస్వామ్యం (211) ',' 43 వ కెరీర్ స్టంపింగ్లు (11) ',' 12 వ మ్యాచ్ లో అత్యంత స్టంపింగ్లు (3) ',' 18 వ ఒక సిరీస్లో అత్యధిక స్టంపింగ్లు (5) ']</v>
      </c>
      <c r="E187" s="2"/>
      <c r="F187" s="2" t="str">
        <f>IFERROR(__xludf.DUMMYFUNCTION("IF(E187&lt;&gt;"""", GOOGLETRANSLATE(E187, ""en"", ""te""),"""")"),"")</f>
        <v/>
      </c>
      <c r="G187" s="2"/>
      <c r="H187" s="2" t="str">
        <f>IFERROR(__xludf.DUMMYFUNCTION("IF(G187&lt;&gt;"""", GOOGLETRANSLATE(G187, ""en"", ""te""),"""")"),"")</f>
        <v/>
      </c>
      <c r="I187" s="3"/>
    </row>
    <row r="188" customHeight="1" spans="1:9">
      <c r="A188" s="2" t="s">
        <v>134</v>
      </c>
      <c r="B188" s="2" t="str">
        <f>IFERROR(__xludf.DUMMYFUNCTION("IF(A188&lt;&gt;"""", GOOGLETRANSLATE(A188, ""en"", ""te""),"""")"),"[ 'తొలి 4 వ ఓల్డెస్ట్ క్రీడాకారులు (41y 159d)', 'కెప్టెన్సీ తొలి 3 వ ఓల్డెస్ట్ కాప్టెన్ (41y 147d)']")</f>
        <v>[ 'తొలి 4 వ ఓల్డెస్ట్ క్రీడాకారులు (41y 159d)', 'కెప్టెన్సీ తొలి 3 వ ఓల్డెస్ట్ కాప్టెన్ (41y 147d)']</v>
      </c>
      <c r="C188" s="2" t="s">
        <v>135</v>
      </c>
      <c r="D188" s="2" t="str">
        <f>IFERROR(__xludf.DUMMYFUNCTION("IF(C188&lt;&gt;"""", GOOGLETRANSLATE(C188, ""en"", ""te""),"""")"),"[ 'తొలి 4 వ ఓల్డెస్ట్ క్రీడాకారులు (41y 159d)', '7 వ ఓల్డెస్ట్ క్రీడాకారులు (41y 162d)']")</f>
        <v>[ 'తొలి 4 వ ఓల్డెస్ట్ క్రీడాకారులు (41y 159d)', '7 వ ఓల్డెస్ట్ క్రీడాకారులు (41y 162d)']</v>
      </c>
      <c r="E188" s="2" t="s">
        <v>136</v>
      </c>
      <c r="F188" s="2" t="str">
        <f>IFERROR(__xludf.DUMMYFUNCTION("IF(E188&lt;&gt;"""", GOOGLETRANSLATE(E188, ""en"", ""te""),"""")"),"[ '25 వ కెరీర్ లో బాతులు (16)', '45 వ ఉత్తమ కెరీర్ ఆర్థిక రేటు (2.91)', '24th చెత్త కెరీర్లో సమ్మె రేటు (58.1)', 'తొలి 20 వ ఓల్డెస్ట్ క్రీడాకారులు (35y 64d)', '6 వ ఓల్డెస్ట్ క్రీడాకారులు (42y 183d) ',' 4 వ ఓల్డెస్ట్ కాప్టెన్ (41y 147d) ',' కెప్టెన్సీ తొలి"&amp;" 3 వ ఓల్డెస్ట్ కాప్టెన్ (41y 147d) ']")</f>
        <v>[ '25 వ కెరీర్ లో బాతులు (16)', '45 వ ఉత్తమ కెరీర్ ఆర్థిక రేటు (2.91)', '24th చెత్త కెరీర్లో సమ్మె రేటు (58.1)', 'తొలి 20 వ ఓల్డెస్ట్ క్రీడాకారులు (35y 64d)', '6 వ ఓల్డెస్ట్ క్రీడాకారులు (42y 183d) ',' 4 వ ఓల్డెస్ట్ కాప్టెన్ (41y 147d) ',' కెప్టెన్సీ తొలి 3 వ ఓల్డెస్ట్ కాప్టెన్ (41y 147d) ']</v>
      </c>
      <c r="G188" s="2"/>
      <c r="H188" s="2" t="str">
        <f>IFERROR(__xludf.DUMMYFUNCTION("IF(G188&lt;&gt;"""", GOOGLETRANSLATE(G188, ""en"", ""te""),"""")"),"")</f>
        <v/>
      </c>
      <c r="I188" s="3"/>
    </row>
    <row r="189" customHeight="1" spans="1:9">
      <c r="A189" s="2"/>
      <c r="B189" s="2" t="str">
        <f>IFERROR(__xludf.DUMMYFUNCTION("IF(A189&lt;&gt;"""", GOOGLETRANSLATE(A189, ""en"", ""te""),"""")"),"")</f>
        <v/>
      </c>
      <c r="C189" s="2"/>
      <c r="D189" s="2" t="str">
        <f>IFERROR(__xludf.DUMMYFUNCTION("IF(C189&lt;&gt;"""", GOOGLETRANSLATE(C189, ""en"", ""te""),"""")"),"")</f>
        <v/>
      </c>
      <c r="E189" s="2"/>
      <c r="F189" s="2" t="str">
        <f>IFERROR(__xludf.DUMMYFUNCTION("IF(E189&lt;&gt;"""", GOOGLETRANSLATE(E189, ""en"", ""te""),"""")"),"")</f>
        <v/>
      </c>
      <c r="G189" s="2"/>
      <c r="H189" s="2" t="str">
        <f>IFERROR(__xludf.DUMMYFUNCTION("IF(G189&lt;&gt;"""", GOOGLETRANSLATE(G189, ""en"", ""te""),"""")"),"")</f>
        <v/>
      </c>
      <c r="I189" s="3"/>
    </row>
    <row r="190" customHeight="1" spans="1:9">
      <c r="A190" s="2" t="s">
        <v>137</v>
      </c>
      <c r="B190" s="2" t="str">
        <f>IFERROR(__xludf.DUMMYFUNCTION("IF(A190&lt;&gt;"""", GOOGLETRANSLATE(A190, ""en"", ""te""),"""")"),"[ '4 వ ఉత్తమ కెరీర్ సమ్మె రేటు (13.4)']")</f>
        <v>[ '4 వ ఉత్తమ కెరీర్ సమ్మె రేటు (13.4)']</v>
      </c>
      <c r="C190" s="2"/>
      <c r="D190" s="2" t="str">
        <f>IFERROR(__xludf.DUMMYFUNCTION("IF(C190&lt;&gt;"""", GOOGLETRANSLATE(C190, ""en"", ""te""),"""")"),"")</f>
        <v/>
      </c>
      <c r="E190" s="2"/>
      <c r="F190" s="2" t="str">
        <f>IFERROR(__xludf.DUMMYFUNCTION("IF(E190&lt;&gt;"""", GOOGLETRANSLATE(E190, ""en"", ""te""),"""")"),"")</f>
        <v/>
      </c>
      <c r="G190" s="2" t="s">
        <v>138</v>
      </c>
      <c r="H190" s="2" t="str">
        <f>IFERROR(__xludf.DUMMYFUNCTION("IF(G190&lt;&gt;"""", GOOGLETRANSLATE(G190, ""en"", ""te""),"""")"),"[ '50 వ ఒక క్యాలెండర్ సంవత్సరంలో అత్యధిక వికెట్లు (18)', '30th ఒకే మైదానంలో అత్యధిక వికెట్లు (12)', '4 వ ఉత్తమ కెరీర్ సమ్మె రేటు (13.4)' '24 వ ఉత్తమ కెరీర్ సగటు (19.63) బౌలింగ్', ' 8 వ చెత్త కెరీర్లో ఆర్థిక రేటు (8.76) ',' 22 వ ఇన్నింగ్స్ లో సాధించిన అత్"&amp;"యధిక పరుగులు (60) ',' 17 వ బౌలర్ / బ్యాట్స్ కలయికలు (3) ',' 42 వ అత్యధిక వికెట్లు తీసుకున్న ఆకర్షించింది (32) ',' 13 వ అత్యధిక వికెట్లు తీసుకున్న ఒక వికెట్ కీపర్ చే కాట్ (8) ']")</f>
        <v>[ '50 వ ఒక క్యాలెండర్ సంవత్సరంలో అత్యధిక వికెట్లు (18)', '30th ఒకే మైదానంలో అత్యధిక వికెట్లు (12)', '4 వ ఉత్తమ కెరీర్ సమ్మె రేటు (13.4)' '24 వ ఉత్తమ కెరీర్ సగటు (19.63) బౌలింగ్', ' 8 వ చెత్త కెరీర్లో ఆర్థిక రేటు (8.76) ',' 22 వ ఇన్నింగ్స్ లో సాధించిన అత్యధిక పరుగులు (60) ',' 17 వ బౌలర్ / బ్యాట్స్ కలయికలు (3) ',' 42 వ అత్యధిక వికెట్లు తీసుకున్న ఆకర్షించింది (32) ',' 13 వ అత్యధిక వికెట్లు తీసుకున్న ఒక వికెట్ కీపర్ చే కాట్ (8) ']</v>
      </c>
      <c r="I190" s="3"/>
    </row>
    <row r="191" customHeight="1" spans="1:9">
      <c r="A191" s="2"/>
      <c r="B191" s="2" t="str">
        <f>IFERROR(__xludf.DUMMYFUNCTION("IF(A191&lt;&gt;"""", GOOGLETRANSLATE(A191, ""en"", ""te""),"""")"),"")</f>
        <v/>
      </c>
      <c r="C191" s="2"/>
      <c r="D191" s="2" t="str">
        <f>IFERROR(__xludf.DUMMYFUNCTION("IF(C191&lt;&gt;"""", GOOGLETRANSLATE(C191, ""en"", ""te""),"""")"),"")</f>
        <v/>
      </c>
      <c r="E191" s="2"/>
      <c r="F191" s="2" t="str">
        <f>IFERROR(__xludf.DUMMYFUNCTION("IF(E191&lt;&gt;"""", GOOGLETRANSLATE(E191, ""en"", ""te""),"""")"),"")</f>
        <v/>
      </c>
      <c r="G191" s="2"/>
      <c r="H191" s="2" t="str">
        <f>IFERROR(__xludf.DUMMYFUNCTION("IF(G191&lt;&gt;"""", GOOGLETRANSLATE(G191, ""en"", ""te""),"""")"),"")</f>
        <v/>
      </c>
      <c r="I191" s="3"/>
    </row>
    <row r="192" customHeight="1" spans="1:9">
      <c r="A192" s="2"/>
      <c r="B192" s="2" t="str">
        <f>IFERROR(__xludf.DUMMYFUNCTION("IF(A192&lt;&gt;"""", GOOGLETRANSLATE(A192, ""en"", ""te""),"""")"),"")</f>
        <v/>
      </c>
      <c r="C192" s="2"/>
      <c r="D192" s="2" t="str">
        <f>IFERROR(__xludf.DUMMYFUNCTION("IF(C192&lt;&gt;"""", GOOGLETRANSLATE(C192, ""en"", ""te""),"""")"),"")</f>
        <v/>
      </c>
      <c r="E192" s="2"/>
      <c r="F192" s="2" t="str">
        <f>IFERROR(__xludf.DUMMYFUNCTION("IF(E192&lt;&gt;"""", GOOGLETRANSLATE(E192, ""en"", ""te""),"""")"),"")</f>
        <v/>
      </c>
      <c r="G192" s="2"/>
      <c r="H192" s="2" t="str">
        <f>IFERROR(__xludf.DUMMYFUNCTION("IF(G192&lt;&gt;"""", GOOGLETRANSLATE(G192, ""en"", ""te""),"""")"),"")</f>
        <v/>
      </c>
      <c r="I192" s="3"/>
    </row>
    <row r="193" customHeight="1" spans="1:9">
      <c r="A193" s="2"/>
      <c r="B193" s="2" t="str">
        <f>IFERROR(__xludf.DUMMYFUNCTION("IF(A193&lt;&gt;"""", GOOGLETRANSLATE(A193, ""en"", ""te""),"""")"),"")</f>
        <v/>
      </c>
      <c r="C193" s="2"/>
      <c r="D193" s="2" t="str">
        <f>IFERROR(__xludf.DUMMYFUNCTION("IF(C193&lt;&gt;"""", GOOGLETRANSLATE(C193, ""en"", ""te""),"""")"),"")</f>
        <v/>
      </c>
      <c r="E193" s="2"/>
      <c r="F193" s="2" t="str">
        <f>IFERROR(__xludf.DUMMYFUNCTION("IF(E193&lt;&gt;"""", GOOGLETRANSLATE(E193, ""en"", ""te""),"""")"),"")</f>
        <v/>
      </c>
      <c r="G193" s="2"/>
      <c r="H193" s="2" t="str">
        <f>IFERROR(__xludf.DUMMYFUNCTION("IF(G193&lt;&gt;"""", GOOGLETRANSLATE(G193, ""en"", ""te""),"""")"),"")</f>
        <v/>
      </c>
      <c r="I193" s="3"/>
    </row>
    <row r="194" customHeight="1" spans="1:9">
      <c r="A194" s="2"/>
      <c r="B194" s="2" t="str">
        <f>IFERROR(__xludf.DUMMYFUNCTION("IF(A194&lt;&gt;"""", GOOGLETRANSLATE(A194, ""en"", ""te""),"""")"),"")</f>
        <v/>
      </c>
      <c r="C194" s="2"/>
      <c r="D194" s="2" t="str">
        <f>IFERROR(__xludf.DUMMYFUNCTION("IF(C194&lt;&gt;"""", GOOGLETRANSLATE(C194, ""en"", ""te""),"""")"),"")</f>
        <v/>
      </c>
      <c r="E194" s="2"/>
      <c r="F194" s="2" t="str">
        <f>IFERROR(__xludf.DUMMYFUNCTION("IF(E194&lt;&gt;"""", GOOGLETRANSLATE(E194, ""en"", ""te""),"""")"),"")</f>
        <v/>
      </c>
      <c r="G194" s="2"/>
      <c r="H194" s="2" t="str">
        <f>IFERROR(__xludf.DUMMYFUNCTION("IF(G194&lt;&gt;"""", GOOGLETRANSLATE(G194, ""en"", ""te""),"""")"),"")</f>
        <v/>
      </c>
      <c r="I194" s="3"/>
    </row>
    <row r="195" customHeight="1" spans="1:9">
      <c r="A195" s="2"/>
      <c r="B195" s="2" t="str">
        <f>IFERROR(__xludf.DUMMYFUNCTION("IF(A195&lt;&gt;"""", GOOGLETRANSLATE(A195, ""en"", ""te""),"""")"),"")</f>
        <v/>
      </c>
      <c r="C195" s="2"/>
      <c r="D195" s="2" t="str">
        <f>IFERROR(__xludf.DUMMYFUNCTION("IF(C195&lt;&gt;"""", GOOGLETRANSLATE(C195, ""en"", ""te""),"""")"),"")</f>
        <v/>
      </c>
      <c r="E195" s="2"/>
      <c r="F195" s="2" t="str">
        <f>IFERROR(__xludf.DUMMYFUNCTION("IF(E195&lt;&gt;"""", GOOGLETRANSLATE(E195, ""en"", ""te""),"""")"),"")</f>
        <v/>
      </c>
      <c r="G195" s="2"/>
      <c r="H195" s="2" t="str">
        <f>IFERROR(__xludf.DUMMYFUNCTION("IF(G195&lt;&gt;"""", GOOGLETRANSLATE(G195, ""en"", ""te""),"""")"),"")</f>
        <v/>
      </c>
      <c r="I195" s="3"/>
    </row>
    <row r="196" customHeight="1" spans="1:9">
      <c r="A196" s="2"/>
      <c r="B196" s="2" t="str">
        <f>IFERROR(__xludf.DUMMYFUNCTION("IF(A196&lt;&gt;"""", GOOGLETRANSLATE(A196, ""en"", ""te""),"""")"),"")</f>
        <v/>
      </c>
      <c r="C196" s="2"/>
      <c r="D196" s="2" t="str">
        <f>IFERROR(__xludf.DUMMYFUNCTION("IF(C196&lt;&gt;"""", GOOGLETRANSLATE(C196, ""en"", ""te""),"""")"),"")</f>
        <v/>
      </c>
      <c r="E196" s="2"/>
      <c r="F196" s="2" t="str">
        <f>IFERROR(__xludf.DUMMYFUNCTION("IF(E196&lt;&gt;"""", GOOGLETRANSLATE(E196, ""en"", ""te""),"""")"),"")</f>
        <v/>
      </c>
      <c r="G196" s="2"/>
      <c r="H196" s="2" t="str">
        <f>IFERROR(__xludf.DUMMYFUNCTION("IF(G196&lt;&gt;"""", GOOGLETRANSLATE(G196, ""en"", ""te""),"""")"),"")</f>
        <v/>
      </c>
      <c r="I196" s="3"/>
    </row>
    <row r="197" customHeight="1" spans="1:9">
      <c r="A197" s="2" t="s">
        <v>139</v>
      </c>
      <c r="B197" s="2" t="str">
        <f>IFERROR(__xludf.DUMMYFUNCTION("IF(A197&lt;&gt;"""", GOOGLETRANSLATE(A197, ""en"", ""te""),"""")"),"[ 'మొదటి డక్ ముందు 4 వ అత్యంత ఇన్నింగ్స్ (16)', '6 వ అత్యుత్తమ బౌలింగ్ ఇన్నింగ్స్ లో విశ్లేషించడం (3/9)', '6 వ ఉత్తమ కెరీర్ సమ్మె రేటు (50.4)']")</f>
        <v>[ 'మొదటి డక్ ముందు 4 వ అత్యంత ఇన్నింగ్స్ (16)', '6 వ అత్యుత్తమ బౌలింగ్ ఇన్నింగ్స్ లో విశ్లేషించడం (3/9)', '6 వ ఉత్తమ కెరీర్ సమ్మె రేటు (50.4)']</v>
      </c>
      <c r="C197" s="2" t="s">
        <v>140</v>
      </c>
      <c r="D197" s="2" t="str">
        <f>IFERROR(__xludf.DUMMYFUNCTION("IF(C197&lt;&gt;"""", GOOGLETRANSLATE(C197, ""en"", ""te""),"""")"),"[ '26 ఒక క్యాలెండర్ సంవత్సరంలో అత్యధిక పరుగులు (307)', 'వంద (472) లేకుండా ఒక వృత్తిలో 11 వ అత్యధిక పరుగులు' 'మొదటి డక్ ముందు 4 వ అత్యంత ఇన్నింగ్స్ (16)', '32 వ కెరీర్ లో అత్యధిక వికెట్లు (25) ',' 19 ఒక క్యాలెండర్ సంవత్సరంలో అత్యధిక వికెట్లు (16) ',' 6 వ అ"&amp;"త్యుత్తమ బౌలింగ్ ఇన్నింగ్స్ లో విశ్లేషించడం (3/9) ',' ఒక కెప్టెన్తో ఒక ఇన్నింగ్స్ లో 10 వ బెస్ట్ ఫిగర్స్ (4) ',' 23 వ ఉత్తమ కెరీర్ బౌలింగ్ సగటు (19.36) ',' 6 వ ఉత్తమ కెరీర్ సమ్మె రేటు (50.4) ',' ఇన్నింగ్స్ లో 19 ఉత్తమ సమ్మె రేటు (16.0) ']")</f>
        <v>[ '26 ఒక క్యాలెండర్ సంవత్సరంలో అత్యధిక పరుగులు (307)', 'వంద (472) లేకుండా ఒక వృత్తిలో 11 వ అత్యధిక పరుగులు' 'మొదటి డక్ ముందు 4 వ అత్యంత ఇన్నింగ్స్ (16)', '32 వ కెరీర్ లో అత్యధిక వికెట్లు (25) ',' 19 ఒక క్యాలెండర్ సంవత్సరంలో అత్యధిక వికెట్లు (16) ',' 6 వ అత్యుత్తమ బౌలింగ్ ఇన్నింగ్స్ లో విశ్లేషించడం (3/9) ',' ఒక కెప్టెన్తో ఒక ఇన్నింగ్స్ లో 10 వ బెస్ట్ ఫిగర్స్ (4) ',' 23 వ ఉత్తమ కెరీర్ బౌలింగ్ సగటు (19.36) ',' 6 వ ఉత్తమ కెరీర్ సమ్మె రేటు (50.4) ',' ఇన్నింగ్స్ లో 19 ఉత్తమ సమ్మె రేటు (16.0) ']</v>
      </c>
      <c r="E197" s="2" t="s">
        <v>141</v>
      </c>
      <c r="F197" s="2" t="str">
        <f>IFERROR(__xludf.DUMMYFUNCTION("IF(E197&lt;&gt;"""", GOOGLETRANSLATE(E197, ""en"", ""te""),"""")"),"[ 'ప్రవేశం (3) ఒక ఇన్నింగ్స్ లో 15 వ బెస్ట్ ఫిగర్స్' '28 ఉత్తమ కెరీర్ (12.00) (అర్హత లేకుండా) సగటు బౌలింగ్',]")</f>
        <v>[ 'ప్రవేశం (3) ఒక ఇన్నింగ్స్ లో 15 వ బెస్ట్ ఫిగర్స్' '28 ఉత్తమ కెరీర్ (12.00) (అర్హత లేకుండా) సగటు బౌలింగ్',]</v>
      </c>
      <c r="G197" s="2"/>
      <c r="H197" s="2" t="str">
        <f>IFERROR(__xludf.DUMMYFUNCTION("IF(G197&lt;&gt;"""", GOOGLETRANSLATE(G197, ""en"", ""te""),"""")"),"")</f>
        <v/>
      </c>
      <c r="I197" s="3"/>
    </row>
    <row r="198" customHeight="1" spans="1:9">
      <c r="A198" s="2"/>
      <c r="B198" s="2" t="str">
        <f>IFERROR(__xludf.DUMMYFUNCTION("IF(A198&lt;&gt;"""", GOOGLETRANSLATE(A198, ""en"", ""te""),"""")"),"")</f>
        <v/>
      </c>
      <c r="C198" s="2"/>
      <c r="D198" s="2" t="str">
        <f>IFERROR(__xludf.DUMMYFUNCTION("IF(C198&lt;&gt;"""", GOOGLETRANSLATE(C198, ""en"", ""te""),"""")"),"")</f>
        <v/>
      </c>
      <c r="E198" s="2" t="s">
        <v>142</v>
      </c>
      <c r="F198" s="2" t="str">
        <f>IFERROR(__xludf.DUMMYFUNCTION("IF(E198&lt;&gt;"""", GOOGLETRANSLATE(E198, ""en"", ""te""),"""")"),"[ '46 వ ఒక సిరీస్లో అత్యధిక వికెట్లు (14)', '37 వ కెరీర్ (10) అత్యంత స్టంపింగ్లు']")</f>
        <v>[ '46 వ ఒక సిరీస్లో అత్యధిక వికెట్లు (14)', '37 వ కెరీర్ (10) అత్యంత స్టంపింగ్లు']</v>
      </c>
      <c r="G198" s="2"/>
      <c r="H198" s="2" t="str">
        <f>IFERROR(__xludf.DUMMYFUNCTION("IF(G198&lt;&gt;"""", GOOGLETRANSLATE(G198, ""en"", ""te""),"""")"),"")</f>
        <v/>
      </c>
      <c r="I198" s="3"/>
    </row>
    <row r="199" customHeight="1" spans="1:9">
      <c r="A199" s="2"/>
      <c r="B199" s="2" t="str">
        <f>IFERROR(__xludf.DUMMYFUNCTION("IF(A199&lt;&gt;"""", GOOGLETRANSLATE(A199, ""en"", ""te""),"""")"),"")</f>
        <v/>
      </c>
      <c r="C199" s="2"/>
      <c r="D199" s="2" t="str">
        <f>IFERROR(__xludf.DUMMYFUNCTION("IF(C199&lt;&gt;"""", GOOGLETRANSLATE(C199, ""en"", ""te""),"""")"),"")</f>
        <v/>
      </c>
      <c r="E199" s="2"/>
      <c r="F199" s="2" t="str">
        <f>IFERROR(__xludf.DUMMYFUNCTION("IF(E199&lt;&gt;"""", GOOGLETRANSLATE(E199, ""en"", ""te""),"""")"),"")</f>
        <v/>
      </c>
      <c r="G199" s="2"/>
      <c r="H199" s="2" t="str">
        <f>IFERROR(__xludf.DUMMYFUNCTION("IF(G199&lt;&gt;"""", GOOGLETRANSLATE(G199, ""en"", ""te""),"""")"),"")</f>
        <v/>
      </c>
      <c r="I199" s="3"/>
    </row>
    <row r="200" customHeight="1" spans="1:9">
      <c r="A200" s="2"/>
      <c r="B200" s="2" t="str">
        <f>IFERROR(__xludf.DUMMYFUNCTION("IF(A200&lt;&gt;"""", GOOGLETRANSLATE(A200, ""en"", ""te""),"""")"),"")</f>
        <v/>
      </c>
      <c r="C200" s="2"/>
      <c r="D200" s="2" t="str">
        <f>IFERROR(__xludf.DUMMYFUNCTION("IF(C200&lt;&gt;"""", GOOGLETRANSLATE(C200, ""en"", ""te""),"""")"),"")</f>
        <v/>
      </c>
      <c r="E200" s="2" t="s">
        <v>143</v>
      </c>
      <c r="F200" s="2" t="str">
        <f>IFERROR(__xludf.DUMMYFUNCTION("IF(E200&lt;&gt;"""", GOOGLETRANSLATE(E200, ""en"", ""te""),"""")"),"[ '(3) 15 వ ఉత్తమ తొలి ఇన్నింగ్స్లో బొమ్మల' కెరీర్లో 15 వ అతి తక్కువ బాతులు (30) ',]")</f>
        <v>[ '(3) 15 వ ఉత్తమ తొలి ఇన్నింగ్స్లో బొమ్మల' కెరీర్లో 15 వ అతి తక్కువ బాతులు (30) ',]</v>
      </c>
      <c r="G200" s="2"/>
      <c r="H200" s="2" t="str">
        <f>IFERROR(__xludf.DUMMYFUNCTION("IF(G200&lt;&gt;"""", GOOGLETRANSLATE(G200, ""en"", ""te""),"""")"),"")</f>
        <v/>
      </c>
      <c r="I200" s="3"/>
    </row>
    <row r="201" customHeight="1" spans="1:9">
      <c r="A201" s="2" t="s">
        <v>144</v>
      </c>
      <c r="B201" s="2" t="str">
        <f>IFERROR(__xludf.DUMMYFUNCTION("IF(A201&lt;&gt;"""", GOOGLETRANSLATE(A201, ""en"", ""te""),"""")"),"[ 'ఒక కెప్టెన్తో పెయిర్', '1st ఒక కెప్టెన్తో ఒక మ్యాచ్లో ఉత్తమ బొమ్మలు (13)', 'పది వికెట్లు లో ఒక మ్యాచ్ తీసుకోవాలని 10 వ అత్యంత వృద్ధ ఆటగాడు (37y 243d)', 'చాలా 5 వ బంతుల్లో బౌల్డ్ కెరీర్ (30019) ',' 9 వ కెరీర్ లో సాధించిన అత్యధిక పరుగులు (12688) ',' 3 వ "&amp;"బౌలర్ / బ్యాటర్ కలయికలు (17) ',' 5 వ 500 వికెట్లు (129) ',' 1 వ అత్యుత్తమ బౌలింగ్ ఇన్నింగ్స్ విశ్లేషణలలో వేగంగా (5 / 1) ',' ఇన్నింగ్స్ లో 10 వ ఉత్తమ సమ్మె రేటు (5.4) ',' 1 వ అత్యధిక వికెట్లు తీసిన హిట్ వికెట్ (3) ',' కెరీర్ లో 2 వ పెద్ద బాతులు (54) ',' కె"&amp;"రీర్ లో బౌల్డ్ 8 వ అత్యంత బంతుల్లో (40841 ) ',' 1 వ అత్యధిక వికెట్లు తీసిన హిట్ వికెట్ (5) ']")</f>
        <v>[ 'ఒక కెప్టెన్తో పెయిర్', '1st ఒక కెప్టెన్తో ఒక మ్యాచ్లో ఉత్తమ బొమ్మలు (13)', 'పది వికెట్లు లో ఒక మ్యాచ్ తీసుకోవాలని 10 వ అత్యంత వృద్ధ ఆటగాడు (37y 243d)', 'చాలా 5 వ బంతుల్లో బౌల్డ్ కెరీర్ (30019) ',' 9 వ కెరీర్ లో సాధించిన అత్యధిక పరుగులు (12688) ',' 3 వ బౌలర్ / బ్యాటర్ కలయికలు (17) ',' 5 వ 500 వికెట్లు (129) ',' 1 వ అత్యుత్తమ బౌలింగ్ ఇన్నింగ్స్ విశ్లేషణలలో వేగంగా (5 / 1) ',' ఇన్నింగ్స్ లో 10 వ ఉత్తమ సమ్మె రేటు (5.4) ',' 1 వ అత్యధిక వికెట్లు తీసిన హిట్ వికెట్ (3) ',' కెరీర్ లో 2 వ పెద్ద బాతులు (54) ',' కెరీర్ లో బౌల్డ్ 8 వ అత్యంత బంతుల్లో (40841 ) ',' 1 వ అత్యధిక వికెట్లు తీసిన హిట్ వికెట్ (5) ']</v>
      </c>
      <c r="C201" s="2" t="s">
        <v>145</v>
      </c>
      <c r="D201" s="2" t="str">
        <f>IFERROR(__xludf.DUMMYFUNCTION("IF(C201&lt;&gt;"""", GOOGLETRANSLATE(C201, ""en"", ""te""),"""")"),"[ 'కెరీర్లో 1st చాలా బాతులు (43)' 'వరుస 11 వ ముఖ్య బాతులు (4)', 'కెరీర్ లో 2 వ పెద్ద జతల (4)', '6 వ కెరీర్ లో అత్యధిక వికెట్లు (519)', '25 వ బెస్ట్ ఫిగర్స్ ఒక మ్యాచ్లో (13) ',' 22 వ ఒక సిరీస్లో అత్యధిక వికెట్లు (34) ',' 26 ఒక క్యాలెండర్ సంవత్సరంలో అత్యధిక"&amp;" వికెట్లు (66) ',' 8 వ అత్యుత్తమ బౌలింగ్ ఇన్నింగ్స్ లో విశ్లేషించడం (2/2) ',' 26 ఒకే మైదానంలో అత్యధిక వికెట్లు (57) ',' ఒక కెప్టెన్తో ఒక ఇన్నింగ్స్ లో 5 వ ఉత్తమ బొమ్మలు (7) ',' ఒక కెప్టెన్తో ఒక మ్యాచ్లో 1st బెస్ట్ ఫిగర్స్ (13) ',' 40 వ ఉత్తమ ఒక మ్యాచ్లో "&amp;"సంఖ్యలపై ఉన్నప్పుడు పరాజయం వైపు (10) ',' ఇన్నింగ్స్ లో 27 ఉత్తమ సమ్మె రేటు (7.7) ',' 17 వ అత్యంత ఐదు-వికెట్ల లో-ఒక-ఇన్నింగ్స్ కెరీర్లో (22) ',' 29 వ అత్యధిక పది వికెట్ల తేడాతో in- ఒక వృత్తిలో ఒక మ్యాచ్ (3) ',' ఐదు వికెట్ల లో-ఒక-ఇన్నింగ్స్ తీసుకోవాలని 24"&amp;" వ అత్యంత వృద్ధ ఆటగాడు (38y 138d) ',' 10 వ అత్యంత వృద్ధ ఆటగాడు పది వికెట్లు లో ఒక మ్యాచ్ (37y 243d తీసుకోవాలని ) ',' 5 వ కెరీర్ లో బౌల్డ్ చాలా బంతుల్లో (30019) ',' 9 వ కెరీర్ లో సాధించిన అత్యధిక పరుగులు (12688) ',' 3 వ బౌలర్ / బ్యాటర్ కలయికలు (17) ',' 12 "&amp;"వ అత్యధిక వికెట్లు తీసుకున్న బౌల్డ్ (91) ',' 5 వ అత్యధిక వికెట్లు ఆకర్షించింది తీసుకున్న (349) ',' 7 వ అత్యధిక వికెట్లు ఒక ఫీల్డర్ చేత క్యాచ్ తీసుకున్న (238) ',' 4 వ అత్యధిక వికెట్లు ఒక వికెట్ కీపర్ చే కాట్ తీసుకోకూడదు (111) ',' 17 వ అత్యధిక వికెట్లు తీసు"&amp;"కున్న ఎల్బిడబ్ల్యు (77) ',' 37 వ 250 వికెట్లు వేగంగా (70) ',' 26th 300 వికెట్లు వేగంగా (80) ',' 22 వ 350 వికెట్లు వేగంగా (96) ',' 14 వ 400 వికెట్లు (107) ',' 6 వ వేగంగా వేగంగా 450 వికెట్లు (118) ',' 5 వ వేగవంతమైన 500 వికెట్లు (129) ',' 18 వ కెరీర్ (132) "&amp;"లో అత్యధిక మ్యాచ్లు ']")</f>
        <v>[ 'కెరీర్లో 1st చాలా బాతులు (43)' 'వరుస 11 వ ముఖ్య బాతులు (4)', 'కెరీర్ లో 2 వ పెద్ద జతల (4)', '6 వ కెరీర్ లో అత్యధిక వికెట్లు (519)', '25 వ బెస్ట్ ఫిగర్స్ ఒక మ్యాచ్లో (13) ',' 22 వ ఒక సిరీస్లో అత్యధిక వికెట్లు (34) ',' 26 ఒక క్యాలెండర్ సంవత్సరంలో అత్యధిక వికెట్లు (66) ',' 8 వ అత్యుత్తమ బౌలింగ్ ఇన్నింగ్స్ లో విశ్లేషించడం (2/2) ',' 26 ఒకే మైదానంలో అత్యధిక వికెట్లు (57) ',' ఒక కెప్టెన్తో ఒక ఇన్నింగ్స్ లో 5 వ ఉత్తమ బొమ్మలు (7) ',' ఒక కెప్టెన్తో ఒక మ్యాచ్లో 1st బెస్ట్ ఫిగర్స్ (13) ',' 40 వ ఉత్తమ ఒక మ్యాచ్లో సంఖ్యలపై ఉన్నప్పుడు పరాజయం వైపు (10) ',' ఇన్నింగ్స్ లో 27 ఉత్తమ సమ్మె రేటు (7.7) ',' 17 వ అత్యంత ఐదు-వికెట్ల లో-ఒక-ఇన్నింగ్స్ కెరీర్లో (22) ',' 29 వ అత్యధిక పది వికెట్ల తేడాతో in- ఒక వృత్తిలో ఒక మ్యాచ్ (3) ',' ఐదు వికెట్ల లో-ఒక-ఇన్నింగ్స్ తీసుకోవాలని 24 వ అత్యంత వృద్ధ ఆటగాడు (38y 138d) ',' 10 వ అత్యంత వృద్ధ ఆటగాడు పది వికెట్లు లో ఒక మ్యాచ్ (37y 243d తీసుకోవాలని ) ',' 5 వ కెరీర్ లో బౌల్డ్ చాలా బంతుల్లో (30019) ',' 9 వ కెరీర్ లో సాధించిన అత్యధిక పరుగులు (12688) ',' 3 వ బౌలర్ / బ్యాటర్ కలయికలు (17) ',' 12 వ అత్యధిక వికెట్లు తీసుకున్న బౌల్డ్ (91) ',' 5 వ అత్యధిక వికెట్లు ఆకర్షించింది తీసుకున్న (349) ',' 7 వ అత్యధిక వికెట్లు ఒక ఫీల్డర్ చేత క్యాచ్ తీసుకున్న (238) ',' 4 వ అత్యధిక వికెట్లు ఒక వికెట్ కీపర్ చే కాట్ తీసుకోకూడదు (111) ',' 17 వ అత్యధిక వికెట్లు తీసుకున్న ఎల్బిడబ్ల్యు (77) ',' 37 వ 250 వికెట్లు వేగంగా (70) ',' 26th 300 వికెట్లు వేగంగా (80) ',' 22 వ 350 వికెట్లు వేగంగా (96) ',' 14 వ 400 వికెట్లు (107) ',' 6 వ వేగంగా వేగంగా 450 వికెట్లు (118) ',' 5 వ వేగవంతమైన 500 వికెట్లు (129) ',' 18 వ కెరీర్ (132) లో అత్యధిక మ్యాచ్లు ']</v>
      </c>
      <c r="E201" s="2" t="s">
        <v>146</v>
      </c>
      <c r="F201" s="2" t="str">
        <f>IFERROR(__xludf.DUMMYFUNCTION("IF(E201&lt;&gt;"""", GOOGLETRANSLATE(E201, ""en"", ""te""),"""")"),"[ '32 వ కెరీర్ లో అత్యధిక వికెట్లు (227)', '1 వ అత్యుత్తమ బౌలింగ్ ఇన్నింగ్స్ లో విశ్లేషించడం (5/1)', '33 వ ఉత్తమ కెరీర్ ఆర్థిక రేటు (3.83)', 'ఇన్నింగ్స్ లో 48 వ బెస్ట్ ఆర్థిక రేటు (1.00)' '10 వ ఉత్తమ ఇన్నింగ్స్ లో సమ్మె రేటు (5.4)', '19 వ కెరీర్ (10822) ల"&amp;"ో బౌల్డ్ చాలా బంతుల్లో', '28th కెరీర్ (6918) లో సాధించిన అత్యధిక పరుగులు', '37 వ బౌలర్ / ఫీల్డర్ కలయికలు (27)', ' 34 వ అత్యంత బౌల్డ్ వికెట్లు తీసుకున్నారు (52) ',' 24 వ అత్యధిక వికెట్లు తీసుకున్న ఆకర్షించింది (154) ',' 39 వ అత్యధిక వికెట్లు ఒక ఫీల్డర్ చేత"&amp;" క్యాచ్ తీసుకున్న (95) ',' 12 వ అత్యధిక వికెట్లు ఒక వికెట్ కీపర్ చే కాట్ తీసుకోకూడదు (59) ',' 1 వ అత్యంత తీసుకున్న హిట్ వికెట్ వికెట్లు (3) ',' ఫాస్టెస్ట్ 200 వికెట్లు (180) కు 30 వ ']")</f>
        <v>[ '32 వ కెరీర్ లో అత్యధిక వికెట్లు (227)', '1 వ అత్యుత్తమ బౌలింగ్ ఇన్నింగ్స్ లో విశ్లేషించడం (5/1)', '33 వ ఉత్తమ కెరీర్ ఆర్థిక రేటు (3.83)', 'ఇన్నింగ్స్ లో 48 వ బెస్ట్ ఆర్థిక రేటు (1.00)' '10 వ ఉత్తమ ఇన్నింగ్స్ లో సమ్మె రేటు (5.4)', '19 వ కెరీర్ (10822) లో బౌల్డ్ చాలా బంతుల్లో', '28th కెరీర్ (6918) లో సాధించిన అత్యధిక పరుగులు', '37 వ బౌలర్ / ఫీల్డర్ కలయికలు (27)', ' 34 వ అత్యంత బౌల్డ్ వికెట్లు తీసుకున్నారు (52) ',' 24 వ అత్యధిక వికెట్లు తీసుకున్న ఆకర్షించింది (154) ',' 39 వ అత్యధిక వికెట్లు ఒక ఫీల్డర్ చేత క్యాచ్ తీసుకున్న (95) ',' 12 వ అత్యధిక వికెట్లు ఒక వికెట్ కీపర్ చే కాట్ తీసుకోకూడదు (59) ',' 1 వ అత్యంత తీసుకున్న హిట్ వికెట్ వికెట్లు (3) ',' ఫాస్టెస్ట్ 200 వికెట్లు (180) కు 30 వ ']</v>
      </c>
      <c r="G201" s="2"/>
      <c r="H201" s="2" t="str">
        <f>IFERROR(__xludf.DUMMYFUNCTION("IF(G201&lt;&gt;"""", GOOGLETRANSLATE(G201, ""en"", ""te""),"""")"),"")</f>
        <v/>
      </c>
      <c r="I201" s="3"/>
    </row>
    <row r="202" customHeight="1" spans="1:9">
      <c r="A202" s="2"/>
      <c r="B202" s="2" t="str">
        <f>IFERROR(__xludf.DUMMYFUNCTION("IF(A202&lt;&gt;"""", GOOGLETRANSLATE(A202, ""en"", ""te""),"""")"),"")</f>
        <v/>
      </c>
      <c r="C202" s="2"/>
      <c r="D202" s="2" t="str">
        <f>IFERROR(__xludf.DUMMYFUNCTION("IF(C202&lt;&gt;"""", GOOGLETRANSLATE(C202, ""en"", ""te""),"""")"),"")</f>
        <v/>
      </c>
      <c r="E202" s="2"/>
      <c r="F202" s="2" t="str">
        <f>IFERROR(__xludf.DUMMYFUNCTION("IF(E202&lt;&gt;"""", GOOGLETRANSLATE(E202, ""en"", ""te""),"""")"),"")</f>
        <v/>
      </c>
      <c r="G202" s="2"/>
      <c r="H202" s="2" t="str">
        <f>IFERROR(__xludf.DUMMYFUNCTION("IF(G202&lt;&gt;"""", GOOGLETRANSLATE(G202, ""en"", ""te""),"""")"),"")</f>
        <v/>
      </c>
      <c r="I202" s="3"/>
    </row>
    <row r="203" customHeight="1" spans="1:9">
      <c r="A203" s="2" t="s">
        <v>147</v>
      </c>
      <c r="B203" s="2" t="str">
        <f>IFERROR(__xludf.DUMMYFUNCTION("IF(A203&lt;&gt;"""", GOOGLETRANSLATE(A203, ""en"", ""te""),"""")"),"[ 'ప్రవేశం (100) పై వంద']")</f>
        <v>[ 'ప్రవేశం (100) పై వంద']</v>
      </c>
      <c r="C203" s="2"/>
      <c r="D203" s="2" t="str">
        <f>IFERROR(__xludf.DUMMYFUNCTION("IF(C203&lt;&gt;"""", GOOGLETRANSLATE(C203, ""en"", ""te""),"""")"),"")</f>
        <v/>
      </c>
      <c r="E203" s="2"/>
      <c r="F203" s="2" t="str">
        <f>IFERROR(__xludf.DUMMYFUNCTION("IF(E203&lt;&gt;"""", GOOGLETRANSLATE(E203, ""en"", ""te""),"""")"),"")</f>
        <v/>
      </c>
      <c r="G203" s="2"/>
      <c r="H203" s="2" t="str">
        <f>IFERROR(__xludf.DUMMYFUNCTION("IF(G203&lt;&gt;"""", GOOGLETRANSLATE(G203, ""en"", ""te""),"""")"),"")</f>
        <v/>
      </c>
      <c r="I203" s="3"/>
    </row>
    <row r="204" customHeight="1" spans="1:9">
      <c r="A204" s="2"/>
      <c r="B204" s="2" t="str">
        <f>IFERROR(__xludf.DUMMYFUNCTION("IF(A204&lt;&gt;"""", GOOGLETRANSLATE(A204, ""en"", ""te""),"""")"),"")</f>
        <v/>
      </c>
      <c r="C204" s="2"/>
      <c r="D204" s="2" t="str">
        <f>IFERROR(__xludf.DUMMYFUNCTION("IF(C204&lt;&gt;"""", GOOGLETRANSLATE(C204, ""en"", ""te""),"""")"),"")</f>
        <v/>
      </c>
      <c r="E204" s="2"/>
      <c r="F204" s="2" t="str">
        <f>IFERROR(__xludf.DUMMYFUNCTION("IF(E204&lt;&gt;"""", GOOGLETRANSLATE(E204, ""en"", ""te""),"""")"),"")</f>
        <v/>
      </c>
      <c r="G204" s="2"/>
      <c r="H204" s="2" t="str">
        <f>IFERROR(__xludf.DUMMYFUNCTION("IF(G204&lt;&gt;"""", GOOGLETRANSLATE(G204, ""en"", ""te""),"""")"),"")</f>
        <v/>
      </c>
      <c r="I204" s="3"/>
    </row>
    <row r="205" customHeight="1" spans="1:9">
      <c r="A205" s="2"/>
      <c r="B205" s="2" t="str">
        <f>IFERROR(__xludf.DUMMYFUNCTION("IF(A205&lt;&gt;"""", GOOGLETRANSLATE(A205, ""en"", ""te""),"""")"),"")</f>
        <v/>
      </c>
      <c r="C205" s="2"/>
      <c r="D205" s="2" t="str">
        <f>IFERROR(__xludf.DUMMYFUNCTION("IF(C205&lt;&gt;"""", GOOGLETRANSLATE(C205, ""en"", ""te""),"""")"),"")</f>
        <v/>
      </c>
      <c r="E205" s="2"/>
      <c r="F205" s="2" t="str">
        <f>IFERROR(__xludf.DUMMYFUNCTION("IF(E205&lt;&gt;"""", GOOGLETRANSLATE(E205, ""en"", ""te""),"""")"),"")</f>
        <v/>
      </c>
      <c r="G205" s="2"/>
      <c r="H205" s="2" t="str">
        <f>IFERROR(__xludf.DUMMYFUNCTION("IF(G205&lt;&gt;"""", GOOGLETRANSLATE(G205, ""en"", ""te""),"""")"),"")</f>
        <v/>
      </c>
      <c r="I205" s="3"/>
    </row>
    <row r="206" customHeight="1" spans="1:9">
      <c r="A206" s="2"/>
      <c r="B206" s="2" t="str">
        <f>IFERROR(__xludf.DUMMYFUNCTION("IF(A206&lt;&gt;"""", GOOGLETRANSLATE(A206, ""en"", ""te""),"""")"),"")</f>
        <v/>
      </c>
      <c r="C206" s="2"/>
      <c r="D206" s="2" t="str">
        <f>IFERROR(__xludf.DUMMYFUNCTION("IF(C206&lt;&gt;"""", GOOGLETRANSLATE(C206, ""en"", ""te""),"""")"),"")</f>
        <v/>
      </c>
      <c r="E206" s="2"/>
      <c r="F206" s="2" t="str">
        <f>IFERROR(__xludf.DUMMYFUNCTION("IF(E206&lt;&gt;"""", GOOGLETRANSLATE(E206, ""en"", ""te""),"""")"),"")</f>
        <v/>
      </c>
      <c r="G206" s="2"/>
      <c r="H206" s="2" t="str">
        <f>IFERROR(__xludf.DUMMYFUNCTION("IF(G206&lt;&gt;"""", GOOGLETRANSLATE(G206, ""en"", ""te""),"""")"),"")</f>
        <v/>
      </c>
      <c r="I206" s="3"/>
    </row>
    <row r="207" customHeight="1" spans="1:9">
      <c r="A207" s="2"/>
      <c r="B207" s="2" t="str">
        <f>IFERROR(__xludf.DUMMYFUNCTION("IF(A207&lt;&gt;"""", GOOGLETRANSLATE(A207, ""en"", ""te""),"""")"),"")</f>
        <v/>
      </c>
      <c r="C207" s="2"/>
      <c r="D207" s="2" t="str">
        <f>IFERROR(__xludf.DUMMYFUNCTION("IF(C207&lt;&gt;"""", GOOGLETRANSLATE(C207, ""en"", ""te""),"""")"),"")</f>
        <v/>
      </c>
      <c r="E207" s="2"/>
      <c r="F207" s="2" t="str">
        <f>IFERROR(__xludf.DUMMYFUNCTION("IF(E207&lt;&gt;"""", GOOGLETRANSLATE(E207, ""en"", ""te""),"""")"),"")</f>
        <v/>
      </c>
      <c r="G207" s="2"/>
      <c r="H207" s="2" t="str">
        <f>IFERROR(__xludf.DUMMYFUNCTION("IF(G207&lt;&gt;"""", GOOGLETRANSLATE(G207, ""en"", ""te""),"""")"),"")</f>
        <v/>
      </c>
      <c r="I207" s="3"/>
    </row>
    <row r="208" customHeight="1" spans="1:9">
      <c r="A208" s="2"/>
      <c r="B208" s="2" t="str">
        <f>IFERROR(__xludf.DUMMYFUNCTION("IF(A208&lt;&gt;"""", GOOGLETRANSLATE(A208, ""en"", ""te""),"""")"),"")</f>
        <v/>
      </c>
      <c r="C208" s="2"/>
      <c r="D208" s="2" t="str">
        <f>IFERROR(__xludf.DUMMYFUNCTION("IF(C208&lt;&gt;"""", GOOGLETRANSLATE(C208, ""en"", ""te""),"""")"),"")</f>
        <v/>
      </c>
      <c r="E208" s="2"/>
      <c r="F208" s="2" t="str">
        <f>IFERROR(__xludf.DUMMYFUNCTION("IF(E208&lt;&gt;"""", GOOGLETRANSLATE(E208, ""en"", ""te""),"""")"),"")</f>
        <v/>
      </c>
      <c r="G208" s="2"/>
      <c r="H208" s="2" t="str">
        <f>IFERROR(__xludf.DUMMYFUNCTION("IF(G208&lt;&gt;"""", GOOGLETRANSLATE(G208, ""en"", ""te""),"""")"),"")</f>
        <v/>
      </c>
      <c r="I208" s="3"/>
    </row>
    <row r="209" customHeight="1" spans="1:9">
      <c r="A209" s="2"/>
      <c r="B209" s="2" t="str">
        <f>IFERROR(__xludf.DUMMYFUNCTION("IF(A209&lt;&gt;"""", GOOGLETRANSLATE(A209, ""en"", ""te""),"""")"),"")</f>
        <v/>
      </c>
      <c r="C209" s="2"/>
      <c r="D209" s="2" t="str">
        <f>IFERROR(__xludf.DUMMYFUNCTION("IF(C209&lt;&gt;"""", GOOGLETRANSLATE(C209, ""en"", ""te""),"""")"),"")</f>
        <v/>
      </c>
      <c r="E209" s="2"/>
      <c r="F209" s="2" t="str">
        <f>IFERROR(__xludf.DUMMYFUNCTION("IF(E209&lt;&gt;"""", GOOGLETRANSLATE(E209, ""en"", ""te""),"""")"),"")</f>
        <v/>
      </c>
      <c r="G209" s="2"/>
      <c r="H209" s="2" t="str">
        <f>IFERROR(__xludf.DUMMYFUNCTION("IF(G209&lt;&gt;"""", GOOGLETRANSLATE(G209, ""en"", ""te""),"""")"),"")</f>
        <v/>
      </c>
      <c r="I209" s="3"/>
    </row>
    <row r="210" customHeight="1" spans="1:9">
      <c r="A210" s="2" t="s">
        <v>148</v>
      </c>
      <c r="B210" s="2" t="str">
        <f>IFERROR(__xludf.DUMMYFUNCTION("IF(A210&lt;&gt;"""", GOOGLETRANSLATE(A210, ""en"", ""te""),"""")"),"[ '10 వ లాంగెస్ట్ క్రీడాకారులు నివసించారు (95y 126d)', '10 వ అత్యధిక కెరీర్ బ్యాటింగ్ సగటు (58.61)', 'హండ్రెడ్ ఒక మ్యాచ్లో ప్రతి ఇన్నింగ్స్లో', 'వరుస ఇన్నింగ్స్లో 1st యాభైల్లో (7)', 'ఫాస్టెస్ట్ 1000 పరుగులు 1st (12) ',' వరుస ఇన్నింగ్స్లో 1st వందల (5) ','"&amp;" వరుస ఇన్నింగ్స్లో 2 వ యాభైల్లో (7) ']")</f>
        <v>[ '10 వ లాంగెస్ట్ క్రీడాకారులు నివసించారు (95y 126d)', '10 వ అత్యధిక కెరీర్ బ్యాటింగ్ సగటు (58.61)', 'హండ్రెడ్ ఒక మ్యాచ్లో ప్రతి ఇన్నింగ్స్లో', 'వరుస ఇన్నింగ్స్లో 1st యాభైల్లో (7)', 'ఫాస్టెస్ట్ 1000 పరుగులు 1st (12) ',' వరుస ఇన్నింగ్స్లో 1st వందల (5) ',' వరుస ఇన్నింగ్స్లో 2 వ యాభైల్లో (7) ']</v>
      </c>
      <c r="C210" s="2" t="s">
        <v>149</v>
      </c>
      <c r="D210" s="2" t="str">
        <f>IFERROR(__xludf.DUMMYFUNCTION("IF(C210&lt;&gt;"""", GOOGLETRANSLATE(C210, ""en"", ""te""),"""")"),"[ '11 వ ఒక సిరీస్లో అత్యధిక పరుగులు (779)', '10 వ అత్యధిక కెరీర్ బ్యాటింగ్ సగటు (58.61)', '2 వ అత్యధిక వందలు వరుస (4)', '33 వ ఒక జట్టు వ్యతిరేకంగా అత్యధిక వందలు (7)', '1st వరుస ఇన్నింగ్స్లో వందల (5) ',' వరుస మ్యాచ్లలో 5 వ వందల (4) ',' వరుస ఇన్నింగ్స్ (7) "&amp;"',' వరుస మ్యాచ్లలో 9 వ యాభైల్లో (9) ',' 1st 1000 పరుగులు వేగంగా లో 1 వ యాభైల్లో (12 ) ',' ఫాస్టెస్ట్ 2000 పరుగులు 4000 పరుగులు (71) ',' 24 వ అత్యధిక క్యాచ్లు పొందడానికి ఒక సిరీస్లోని 7 వ (36) ',' 2nd 3000 వేగవంతమైన పరుగులు (51) ',' 3 వ అత్యంత వేగంగా (1"&amp;"1) ',' 13 వ మూడో వికెట్కు అత్యధిక భాగస్వామ్యం (338) ',' ఐదవ వికెట్కు 48 వ అత్యధిక భాగస్వామ్యం (219) ',' 10 వ లాంగెస్ట్ క్రీడాకారులు నివసించారు (95y 126d) ']")</f>
        <v>[ '11 వ ఒక సిరీస్లో అత్యధిక పరుగులు (779)', '10 వ అత్యధిక కెరీర్ బ్యాటింగ్ సగటు (58.61)', '2 వ అత్యధిక వందలు వరుస (4)', '33 వ ఒక జట్టు వ్యతిరేకంగా అత్యధిక వందలు (7)', '1st వరుస ఇన్నింగ్స్లో వందల (5) ',' వరుస మ్యాచ్లలో 5 వ వందల (4) ',' వరుస ఇన్నింగ్స్ (7) ',' వరుస మ్యాచ్లలో 9 వ యాభైల్లో (9) ',' 1st 1000 పరుగులు వేగంగా లో 1 వ యాభైల్లో (12 ) ',' ఫాస్టెస్ట్ 2000 పరుగులు 4000 పరుగులు (71) ',' 24 వ అత్యధిక క్యాచ్లు పొందడానికి ఒక సిరీస్లోని 7 వ (36) ',' 2nd 3000 వేగవంతమైన పరుగులు (51) ',' 3 వ అత్యంత వేగంగా (11) ',' 13 వ మూడో వికెట్కు అత్యధిక భాగస్వామ్యం (338) ',' ఐదవ వికెట్కు 48 వ అత్యధిక భాగస్వామ్యం (219) ',' 10 వ లాంగెస్ట్ క్రీడాకారులు నివసించారు (95y 126d) ']</v>
      </c>
      <c r="E210" s="2"/>
      <c r="F210" s="2" t="str">
        <f>IFERROR(__xludf.DUMMYFUNCTION("IF(E210&lt;&gt;"""", GOOGLETRANSLATE(E210, ""en"", ""te""),"""")"),"")</f>
        <v/>
      </c>
      <c r="G210" s="2"/>
      <c r="H210" s="2" t="str">
        <f>IFERROR(__xludf.DUMMYFUNCTION("IF(G210&lt;&gt;"""", GOOGLETRANSLATE(G210, ""en"", ""te""),"""")"),"")</f>
        <v/>
      </c>
      <c r="I210" s="3"/>
    </row>
    <row r="211" customHeight="1" spans="1:9">
      <c r="A211" s="2" t="s">
        <v>150</v>
      </c>
      <c r="B211" s="2" t="str">
        <f>IFERROR(__xludf.DUMMYFUNCTION("IF(A211&lt;&gt;"""", GOOGLETRANSLATE(A211, ""en"", ""te""),"""")"),"[ 'ఒక మ్యాచ్లో 2nd అత్యధిక క్యాచ్లు (4)']")</f>
        <v>[ 'ఒక మ్యాచ్లో 2nd అత్యధిక క్యాచ్లు (4)']</v>
      </c>
      <c r="C211" s="2" t="s">
        <v>151</v>
      </c>
      <c r="D211" s="2" t="str">
        <f>IFERROR(__xludf.DUMMYFUNCTION("IF(C211&lt;&gt;"""", GOOGLETRANSLATE(C211, ""en"", ""te""),"""")"),"[ '11 వ ఇన్నింగ్స్ లో అత్యధిక పరుగులు (బ్యాటింగ్ స్థానంలో ప్రకారం) (56)', 'ఒక మ్యాచ్లో 2nd అత్యధిక క్యాచ్లు (4)', '19 వ ఒక సిరీస్లో అత్యధిక క్యాచ్లు (5)']")</f>
        <v>[ '11 వ ఇన్నింగ్స్ లో అత్యధిక పరుగులు (బ్యాటింగ్ స్థానంలో ప్రకారం) (56)', 'ఒక మ్యాచ్లో 2nd అత్యధిక క్యాచ్లు (4)', '19 వ ఒక సిరీస్లో అత్యధిక క్యాచ్లు (5)']</v>
      </c>
      <c r="E211" s="2" t="s">
        <v>152</v>
      </c>
      <c r="F211" s="2" t="str">
        <f>IFERROR(__xludf.DUMMYFUNCTION("IF(E211&lt;&gt;"""", GOOGLETRANSLATE(E211, ""en"", ""te""),"""")"),"[ '11 వ ఒక ఇన్నింగ్స్ లోని బెస్ట్ ఫిగర్స్ ఉన్నప్పుడు పరాజయం వైపు (4)']")</f>
        <v>[ '11 వ ఒక ఇన్నింగ్స్ లోని బెస్ట్ ఫిగర్స్ ఉన్నప్పుడు పరాజయం వైపు (4)']</v>
      </c>
      <c r="G211" s="2"/>
      <c r="H211" s="2" t="str">
        <f>IFERROR(__xludf.DUMMYFUNCTION("IF(G211&lt;&gt;"""", GOOGLETRANSLATE(G211, ""en"", ""te""),"""")"),"")</f>
        <v/>
      </c>
      <c r="I211" s="3"/>
    </row>
    <row r="212" customHeight="1" spans="1:9">
      <c r="A212" s="2" t="s">
        <v>153</v>
      </c>
      <c r="B212" s="2" t="str">
        <f>IFERROR(__xludf.DUMMYFUNCTION("IF(A212&lt;&gt;"""", GOOGLETRANSLATE(A212, ""en"", ""te""),"""")"),"[ 'రెండు దేశాలకు ప్రాతినిధ్యం']")</f>
        <v>[ 'రెండు దేశాలకు ప్రాతినిధ్యం']</v>
      </c>
      <c r="C212" s="2"/>
      <c r="D212" s="2" t="str">
        <f>IFERROR(__xludf.DUMMYFUNCTION("IF(C212&lt;&gt;"""", GOOGLETRANSLATE(C212, ""en"", ""te""),"""")"),"")</f>
        <v/>
      </c>
      <c r="E212" s="2"/>
      <c r="F212" s="2" t="str">
        <f>IFERROR(__xludf.DUMMYFUNCTION("IF(E212&lt;&gt;"""", GOOGLETRANSLATE(E212, ""en"", ""te""),"""")"),"")</f>
        <v/>
      </c>
      <c r="G212" s="2" t="s">
        <v>154</v>
      </c>
      <c r="H212" s="2" t="str">
        <f>IFERROR(__xludf.DUMMYFUNCTION("IF(G212&lt;&gt;"""", GOOGLETRANSLATE(G212, ""en"", ""te""),"""")"),"[ 'ఏడవ వికెట్కు 38 వ అత్యధిక భాగస్వామ్యం (49)']")</f>
        <v>[ 'ఏడవ వికెట్కు 38 వ అత్యధిక భాగస్వామ్యం (49)']</v>
      </c>
      <c r="I212" s="3"/>
    </row>
    <row r="213" customHeight="1" spans="1:9">
      <c r="A213" s="2"/>
      <c r="B213" s="2" t="str">
        <f>IFERROR(__xludf.DUMMYFUNCTION("IF(A213&lt;&gt;"""", GOOGLETRANSLATE(A213, ""en"", ""te""),"""")"),"")</f>
        <v/>
      </c>
      <c r="C213" s="2"/>
      <c r="D213" s="2" t="str">
        <f>IFERROR(__xludf.DUMMYFUNCTION("IF(C213&lt;&gt;"""", GOOGLETRANSLATE(C213, ""en"", ""te""),"""")"),"")</f>
        <v/>
      </c>
      <c r="E213" s="2"/>
      <c r="F213" s="2" t="str">
        <f>IFERROR(__xludf.DUMMYFUNCTION("IF(E213&lt;&gt;"""", GOOGLETRANSLATE(E213, ""en"", ""te""),"""")"),"")</f>
        <v/>
      </c>
      <c r="G213" s="2"/>
      <c r="H213" s="2" t="str">
        <f>IFERROR(__xludf.DUMMYFUNCTION("IF(G213&lt;&gt;"""", GOOGLETRANSLATE(G213, ""en"", ""te""),"""")"),"")</f>
        <v/>
      </c>
      <c r="I213" s="3"/>
    </row>
    <row r="214" customHeight="1" spans="1:9">
      <c r="A214" s="2"/>
      <c r="B214" s="2" t="str">
        <f>IFERROR(__xludf.DUMMYFUNCTION("IF(A214&lt;&gt;"""", GOOGLETRANSLATE(A214, ""en"", ""te""),"""")"),"")</f>
        <v/>
      </c>
      <c r="C214" s="2"/>
      <c r="D214" s="2" t="str">
        <f>IFERROR(__xludf.DUMMYFUNCTION("IF(C214&lt;&gt;"""", GOOGLETRANSLATE(C214, ""en"", ""te""),"""")"),"")</f>
        <v/>
      </c>
      <c r="E214" s="2" t="s">
        <v>155</v>
      </c>
      <c r="F214" s="2" t="str">
        <f>IFERROR(__xludf.DUMMYFUNCTION("IF(E214&lt;&gt;"""", GOOGLETRANSLATE(E214, ""en"", ""te""),"""")"),"[ 'తొలి వికెట్కు 44 వ అత్యధిక భాగస్వామ్యం (200 *)']")</f>
        <v>[ 'తొలి వికెట్కు 44 వ అత్యధిక భాగస్వామ్యం (200 *)']</v>
      </c>
      <c r="G214" s="2"/>
      <c r="H214" s="2" t="str">
        <f>IFERROR(__xludf.DUMMYFUNCTION("IF(G214&lt;&gt;"""", GOOGLETRANSLATE(G214, ""en"", ""te""),"""")"),"")</f>
        <v/>
      </c>
      <c r="I214" s="3"/>
    </row>
    <row r="215" customHeight="1" spans="1:9">
      <c r="A215" s="2" t="s">
        <v>156</v>
      </c>
      <c r="B215" s="2" t="str">
        <f>IFERROR(__xludf.DUMMYFUNCTION("IF(A215&lt;&gt;"""", GOOGLETRANSLATE(A215, ""en"", ""te""),"""")"),"[ 'ఒక రోజు (239) లో 9 వ అత్యధిక పరుగులు' 'తొలి 9 వ తొంభై (97)', 'ఒక ఇన్నింగ్స్లో ద్వారా బ్యాట్ నిదర్శన (191 *)' 'ఒక కెప్టెన్తో పెయిర్', '6 వ వేగవంతమైన 1000 పరుగులు ( 16) ',' బ్యాటింగ్ తెరవడం మరియు అదే మ్యాచ్ లో బౌలింగ్ ']")</f>
        <v>[ 'ఒక రోజు (239) లో 9 వ అత్యధిక పరుగులు' 'తొలి 9 వ తొంభై (97)', 'ఒక ఇన్నింగ్స్లో ద్వారా బ్యాట్ నిదర్శన (191 *)' 'ఒక కెప్టెన్తో పెయిర్', '6 వ వేగవంతమైన 1000 పరుగులు ( 16) ',' బ్యాటింగ్ తెరవడం మరియు అదే మ్యాచ్ లో బౌలింగ్ ']</v>
      </c>
      <c r="C215" s="2" t="s">
        <v>157</v>
      </c>
      <c r="D215" s="2" t="str">
        <f>IFERROR(__xludf.DUMMYFUNCTION("IF(C215&lt;&gt;"""", GOOGLETRANSLATE(C215, ""en"", ""te""),"""")"),"[ 'ఒక రోజు లో 9 వ అత్యధిక పరుగులు (239)', '45 వ అత్యధిక కెరీర్ బ్యాటింగ్ సగటు (49.48)', '9 వ తొంభై తొలి (97)', '45 వ అత్యంత ఇన్నింగ్స్ తొలి డక్ ముందు (31)', '36 వ అత్యంత ఫోర్లు ఒక ఇన్నింగ్స్ లో (35) ',' ఇన్నింగ్స్ లో ఫోర్లు, సిక్సర్లు నుండి 34 వ అత్యధిక "&amp;"పరుగులు (152) ',' 35 వ లాంగెస్ట్ వ్యక్తిగత ఇన్నింగ్స్ (నిమిషాలు) (682) ',' 1000 పరుగులు 6 వ వేగవంతమైన (16) ',' 7 వ వేగవంతమైన 2000 పరుగులు (36) ',' ఫాస్టెస్ట్ 3000 పరుగులు (63) ',' 24th ఒక ఇన్నింగ్స్ లోని బెస్ట్ ఫిగర్స్ కూడా ఓడిపోయింది వైపు (7) ',' ఇన్న"&amp;"ింగ్స్ లో 36 వ ఉత్తమ ఆర్థిక రేటు (0.59) '17 , 'నాలుగవ వికెట్కు 25 అత్యధిక భాగస్వామ్యం (283)', 'పదవ వికెట్ను (98 *) 28 అత్యధిక భాగస్వామ్యం', '33 వ ఓల్డెస్ట్ కాప్టెన్ (39y 25d)', 'కెప్టెన్సీ తొలి 36 వ ఓల్డెస్ట్ కాప్టెన్ (36y 130d)' ]")</f>
        <v>[ 'ఒక రోజు లో 9 వ అత్యధిక పరుగులు (239)', '45 వ అత్యధిక కెరీర్ బ్యాటింగ్ సగటు (49.48)', '9 వ తొంభై తొలి (97)', '45 వ అత్యంత ఇన్నింగ్స్ తొలి డక్ ముందు (31)', '36 వ అత్యంత ఫోర్లు ఒక ఇన్నింగ్స్ లో (35) ',' ఇన్నింగ్స్ లో ఫోర్లు, సిక్సర్లు నుండి 34 వ అత్యధిక పరుగులు (152) ',' 35 వ లాంగెస్ట్ వ్యక్తిగత ఇన్నింగ్స్ (నిమిషాలు) (682) ',' 1000 పరుగులు 6 వ వేగవంతమైన (16) ',' 7 వ వేగవంతమైన 2000 పరుగులు (36) ',' ఫాస్టెస్ట్ 3000 పరుగులు (63) ',' 24th ఒక ఇన్నింగ్స్ లోని బెస్ట్ ఫిగర్స్ కూడా ఓడిపోయింది వైపు (7) ',' ఇన్నింగ్స్ లో 36 వ ఉత్తమ ఆర్థిక రేటు (0.59) '17 , 'నాలుగవ వికెట్కు 25 అత్యధిక భాగస్వామ్యం (283)', 'పదవ వికెట్ను (98 *) 28 అత్యధిక భాగస్వామ్యం', '33 వ ఓల్డెస్ట్ కాప్టెన్ (39y 25d)', 'కెప్టెన్సీ తొలి 36 వ ఓల్డెస్ట్ కాప్టెన్ (36y 130d)' ]</v>
      </c>
      <c r="E215" s="2"/>
      <c r="F215" s="2" t="str">
        <f>IFERROR(__xludf.DUMMYFUNCTION("IF(E215&lt;&gt;"""", GOOGLETRANSLATE(E215, ""en"", ""te""),"""")"),"")</f>
        <v/>
      </c>
      <c r="G215" s="2"/>
      <c r="H215" s="2" t="str">
        <f>IFERROR(__xludf.DUMMYFUNCTION("IF(G215&lt;&gt;"""", GOOGLETRANSLATE(G215, ""en"", ""te""),"""")"),"")</f>
        <v/>
      </c>
      <c r="I215" s="3"/>
    </row>
    <row r="216" customHeight="1" spans="1:9">
      <c r="A216" s="2"/>
      <c r="B216" s="2" t="str">
        <f>IFERROR(__xludf.DUMMYFUNCTION("IF(A216&lt;&gt;"""", GOOGLETRANSLATE(A216, ""en"", ""te""),"""")"),"")</f>
        <v/>
      </c>
      <c r="C216" s="2"/>
      <c r="D216" s="2" t="str">
        <f>IFERROR(__xludf.DUMMYFUNCTION("IF(C216&lt;&gt;"""", GOOGLETRANSLATE(C216, ""en"", ""te""),"""")"),"")</f>
        <v/>
      </c>
      <c r="E216" s="2"/>
      <c r="F216" s="2" t="str">
        <f>IFERROR(__xludf.DUMMYFUNCTION("IF(E216&lt;&gt;"""", GOOGLETRANSLATE(E216, ""en"", ""te""),"""")"),"")</f>
        <v/>
      </c>
      <c r="G216" s="2" t="s">
        <v>158</v>
      </c>
      <c r="H216" s="2" t="str">
        <f>IFERROR(__xludf.DUMMYFUNCTION("IF(G216&lt;&gt;"""", GOOGLETRANSLATE(G216, ""en"", ""te""),"""")"),"[ '32 వ కెరీర్ బాతులు (5)', '40 వ కెరీర్ లో అత్యధిక క్యాచ్లు (10)', '13 వ అత్యంత ఇన్నింగ్స్ లో క్యాచ్లు (3)']")</f>
        <v>[ '32 వ కెరీర్ బాతులు (5)', '40 వ కెరీర్ లో అత్యధిక క్యాచ్లు (10)', '13 వ అత్యంత ఇన్నింగ్స్ లో క్యాచ్లు (3)']</v>
      </c>
      <c r="I216" s="3"/>
    </row>
    <row r="217" customHeight="1" spans="1:9">
      <c r="A217" s="2"/>
      <c r="B217" s="2" t="str">
        <f>IFERROR(__xludf.DUMMYFUNCTION("IF(A217&lt;&gt;"""", GOOGLETRANSLATE(A217, ""en"", ""te""),"""")"),"")</f>
        <v/>
      </c>
      <c r="C217" s="2"/>
      <c r="D217" s="2" t="str">
        <f>IFERROR(__xludf.DUMMYFUNCTION("IF(C217&lt;&gt;"""", GOOGLETRANSLATE(C217, ""en"", ""te""),"""")"),"")</f>
        <v/>
      </c>
      <c r="E217" s="2"/>
      <c r="F217" s="2" t="str">
        <f>IFERROR(__xludf.DUMMYFUNCTION("IF(E217&lt;&gt;"""", GOOGLETRANSLATE(E217, ""en"", ""te""),"""")"),"")</f>
        <v/>
      </c>
      <c r="G217" s="2"/>
      <c r="H217" s="2" t="str">
        <f>IFERROR(__xludf.DUMMYFUNCTION("IF(G217&lt;&gt;"""", GOOGLETRANSLATE(G217, ""en"", ""te""),"""")"),"")</f>
        <v/>
      </c>
      <c r="I217" s="3"/>
    </row>
    <row r="218" customHeight="1" spans="1:9">
      <c r="A218" s="2"/>
      <c r="B218" s="2" t="str">
        <f>IFERROR(__xludf.DUMMYFUNCTION("IF(A218&lt;&gt;"""", GOOGLETRANSLATE(A218, ""en"", ""te""),"""")"),"")</f>
        <v/>
      </c>
      <c r="C218" s="2"/>
      <c r="D218" s="2" t="str">
        <f>IFERROR(__xludf.DUMMYFUNCTION("IF(C218&lt;&gt;"""", GOOGLETRANSLATE(C218, ""en"", ""te""),"""")"),"")</f>
        <v/>
      </c>
      <c r="E218" s="2"/>
      <c r="F218" s="2" t="str">
        <f>IFERROR(__xludf.DUMMYFUNCTION("IF(E218&lt;&gt;"""", GOOGLETRANSLATE(E218, ""en"", ""te""),"""")"),"")</f>
        <v/>
      </c>
      <c r="G218" s="2"/>
      <c r="H218" s="2" t="str">
        <f>IFERROR(__xludf.DUMMYFUNCTION("IF(G218&lt;&gt;"""", GOOGLETRANSLATE(G218, ""en"", ""te""),"""")"),"")</f>
        <v/>
      </c>
      <c r="I218" s="3"/>
    </row>
    <row r="219" customHeight="1" spans="1:9">
      <c r="A219" s="2"/>
      <c r="B219" s="2" t="str">
        <f>IFERROR(__xludf.DUMMYFUNCTION("IF(A219&lt;&gt;"""", GOOGLETRANSLATE(A219, ""en"", ""te""),"""")"),"")</f>
        <v/>
      </c>
      <c r="C219" s="2"/>
      <c r="D219" s="2" t="str">
        <f>IFERROR(__xludf.DUMMYFUNCTION("IF(C219&lt;&gt;"""", GOOGLETRANSLATE(C219, ""en"", ""te""),"""")"),"")</f>
        <v/>
      </c>
      <c r="E219" s="2"/>
      <c r="F219" s="2" t="str">
        <f>IFERROR(__xludf.DUMMYFUNCTION("IF(E219&lt;&gt;"""", GOOGLETRANSLATE(E219, ""en"", ""te""),"""")"),"")</f>
        <v/>
      </c>
      <c r="G219" s="2"/>
      <c r="H219" s="2" t="str">
        <f>IFERROR(__xludf.DUMMYFUNCTION("IF(G219&lt;&gt;"""", GOOGLETRANSLATE(G219, ""en"", ""te""),"""")"),"")</f>
        <v/>
      </c>
      <c r="I219" s="3"/>
    </row>
    <row r="220" customHeight="1" spans="1:9">
      <c r="A220" s="2"/>
      <c r="B220" s="2" t="str">
        <f>IFERROR(__xludf.DUMMYFUNCTION("IF(A220&lt;&gt;"""", GOOGLETRANSLATE(A220, ""en"", ""te""),"""")"),"")</f>
        <v/>
      </c>
      <c r="C220" s="2"/>
      <c r="D220" s="2" t="str">
        <f>IFERROR(__xludf.DUMMYFUNCTION("IF(C220&lt;&gt;"""", GOOGLETRANSLATE(C220, ""en"", ""te""),"""")"),"")</f>
        <v/>
      </c>
      <c r="E220" s="2"/>
      <c r="F220" s="2" t="str">
        <f>IFERROR(__xludf.DUMMYFUNCTION("IF(E220&lt;&gt;"""", GOOGLETRANSLATE(E220, ""en"", ""te""),"""")"),"")</f>
        <v/>
      </c>
      <c r="G220" s="2"/>
      <c r="H220" s="2" t="str">
        <f>IFERROR(__xludf.DUMMYFUNCTION("IF(G220&lt;&gt;"""", GOOGLETRANSLATE(G220, ""en"", ""te""),"""")"),"")</f>
        <v/>
      </c>
      <c r="I220" s="3"/>
    </row>
    <row r="221" customHeight="1" spans="1:9">
      <c r="A221" s="2"/>
      <c r="B221" s="2" t="str">
        <f>IFERROR(__xludf.DUMMYFUNCTION("IF(A221&lt;&gt;"""", GOOGLETRANSLATE(A221, ""en"", ""te""),"""")"),"")</f>
        <v/>
      </c>
      <c r="C221" s="2"/>
      <c r="D221" s="2" t="str">
        <f>IFERROR(__xludf.DUMMYFUNCTION("IF(C221&lt;&gt;"""", GOOGLETRANSLATE(C221, ""en"", ""te""),"""")"),"")</f>
        <v/>
      </c>
      <c r="E221" s="2"/>
      <c r="F221" s="2" t="str">
        <f>IFERROR(__xludf.DUMMYFUNCTION("IF(E221&lt;&gt;"""", GOOGLETRANSLATE(E221, ""en"", ""te""),"""")"),"")</f>
        <v/>
      </c>
      <c r="G221" s="2"/>
      <c r="H221" s="2" t="str">
        <f>IFERROR(__xludf.DUMMYFUNCTION("IF(G221&lt;&gt;"""", GOOGLETRANSLATE(G221, ""en"", ""te""),"""")"),"")</f>
        <v/>
      </c>
      <c r="I221" s="3"/>
    </row>
    <row r="222" customHeight="1" spans="1:9">
      <c r="A222" s="2"/>
      <c r="B222" s="2" t="str">
        <f>IFERROR(__xludf.DUMMYFUNCTION("IF(A222&lt;&gt;"""", GOOGLETRANSLATE(A222, ""en"", ""te""),"""")"),"")</f>
        <v/>
      </c>
      <c r="C222" s="2"/>
      <c r="D222" s="2" t="str">
        <f>IFERROR(__xludf.DUMMYFUNCTION("IF(C222&lt;&gt;"""", GOOGLETRANSLATE(C222, ""en"", ""te""),"""")"),"")</f>
        <v/>
      </c>
      <c r="E222" s="2"/>
      <c r="F222" s="2" t="str">
        <f>IFERROR(__xludf.DUMMYFUNCTION("IF(E222&lt;&gt;"""", GOOGLETRANSLATE(E222, ""en"", ""te""),"""")"),"")</f>
        <v/>
      </c>
      <c r="G222" s="2"/>
      <c r="H222" s="2" t="str">
        <f>IFERROR(__xludf.DUMMYFUNCTION("IF(G222&lt;&gt;"""", GOOGLETRANSLATE(G222, ""en"", ""te""),"""")"),"")</f>
        <v/>
      </c>
      <c r="I222" s="3"/>
    </row>
    <row r="223" customHeight="1" spans="1:9">
      <c r="A223" s="2"/>
      <c r="B223" s="2" t="str">
        <f>IFERROR(__xludf.DUMMYFUNCTION("IF(A223&lt;&gt;"""", GOOGLETRANSLATE(A223, ""en"", ""te""),"""")"),"")</f>
        <v/>
      </c>
      <c r="C223" s="2"/>
      <c r="D223" s="2" t="str">
        <f>IFERROR(__xludf.DUMMYFUNCTION("IF(C223&lt;&gt;"""", GOOGLETRANSLATE(C223, ""en"", ""te""),"""")"),"")</f>
        <v/>
      </c>
      <c r="E223" s="2"/>
      <c r="F223" s="2" t="str">
        <f>IFERROR(__xludf.DUMMYFUNCTION("IF(E223&lt;&gt;"""", GOOGLETRANSLATE(E223, ""en"", ""te""),"""")"),"")</f>
        <v/>
      </c>
      <c r="G223" s="2"/>
      <c r="H223" s="2" t="str">
        <f>IFERROR(__xludf.DUMMYFUNCTION("IF(G223&lt;&gt;"""", GOOGLETRANSLATE(G223, ""en"", ""te""),"""")"),"")</f>
        <v/>
      </c>
      <c r="I223" s="3"/>
    </row>
    <row r="224" customHeight="1" spans="1:9">
      <c r="A224" s="2" t="s">
        <v>159</v>
      </c>
      <c r="B224" s="2" t="str">
        <f>IFERROR(__xludf.DUMMYFUNCTION("IF(A224&lt;&gt;"""", GOOGLETRANSLATE(A224, ""en"", ""te""),"""")"),"[ '10 వ పిన్న క్రీడాకారులు (14y 322d)', '4 వ అత్యధిక పరుగులు ఇన్నింగ్స్ లో (బ్యాటింగ్ స్థానం) (31 *)', '10 వ కెరీర్ లో చాలా బాతులు (11)', '1 వ అత్యుత్తమ బౌలింగ్ ఇన్నింగ్స్ లో విశ్లేషించడం (1 / 0) ',' 1 వ వరుస ఐదు వికెట్ల లో-ఒక-ఇన్నింగ్స్ (2) ',' 8 వ కెరీర"&amp;"్ లో బౌల్డ్ చాలా బంతుల్లో (5368) ',' 1 వ అత్యధిక వికెట్లు తీసుకున్న ఫీల్డర్ చేత క్యాచ్ (87) ',' ఒక ఇన్నింగ్స్ లో 4 వ అత్యధిక క్యాచ్లు కెరీర్లో (3) ',' 7 వ అత్యధిక మ్యాచ్లు (111) ',' 7 వ ఇన్నింగ్స్ లో అత్యధిక పరుగులు (బ్యాటింగ్ స్థానంలో ప్రకారం) (20 *) ','"&amp;" 1 వ అత్యధిక వికెట్లు కెరీర్లో (120) ' '1 వ వరుస నాలుగు వికెట్లు-ఇన్-ఒక-ఇన్నింగ్స్ (2)', 'కెరీర్ (2241) లో బౌల్డ్ 3 వ అత్యంత బంతుల్లో', '3 వ అత్యధిక కెరీర్ లో సాధించిన పరుగులు (2077)', '1 వ అత్యధిక వికెట్లు పట్టుకుంటే తీసుకున్న ఒక ఫీల్డర్ (78) ']")</f>
        <v>[ '10 వ పిన్న క్రీడాకారులు (14y 322d)', '4 వ అత్యధిక పరుగులు ఇన్నింగ్స్ లో (బ్యాటింగ్ స్థానం) (31 *)', '10 వ కెరీర్ లో చాలా బాతులు (11)', '1 వ అత్యుత్తమ బౌలింగ్ ఇన్నింగ్స్ లో విశ్లేషించడం (1 / 0) ',' 1 వ వరుస ఐదు వికెట్ల లో-ఒక-ఇన్నింగ్స్ (2) ',' 8 వ కెరీర్ లో బౌల్డ్ చాలా బంతుల్లో (5368) ',' 1 వ అత్యధిక వికెట్లు తీసుకున్న ఫీల్డర్ చేత క్యాచ్ (87) ',' ఒక ఇన్నింగ్స్ లో 4 వ అత్యధిక క్యాచ్లు కెరీర్లో (3) ',' 7 వ అత్యధిక మ్యాచ్లు (111) ',' 7 వ ఇన్నింగ్స్ లో అత్యధిక పరుగులు (బ్యాటింగ్ స్థానంలో ప్రకారం) (20 *) ',' 1 వ అత్యధిక వికెట్లు కెరీర్లో (120) ' '1 వ వరుస నాలుగు వికెట్లు-ఇన్-ఒక-ఇన్నింగ్స్ (2)', 'కెరీర్ (2241) లో బౌల్డ్ 3 వ అత్యంత బంతుల్లో', '3 వ అత్యధిక కెరీర్ లో సాధించిన పరుగులు (2077)', '1 వ అత్యధిక వికెట్లు పట్టుకుంటే తీసుకున్న ఒక ఫీల్డర్ (78) ']</v>
      </c>
      <c r="C224" s="2"/>
      <c r="D224" s="2" t="str">
        <f>IFERROR(__xludf.DUMMYFUNCTION("IF(C224&lt;&gt;"""", GOOGLETRANSLATE(C224, ""en"", ""te""),"""")"),"")</f>
        <v/>
      </c>
      <c r="E224" s="2" t="s">
        <v>160</v>
      </c>
      <c r="F224" s="2" t="str">
        <f>IFERROR(__xludf.DUMMYFUNCTION("IF(E224&lt;&gt;"""", GOOGLETRANSLATE(E224, ""en"", ""te""),"""")"),"[ 'ఇన్నింగ్స్ లో 4 వ అత్యధిక పరుగులు (బ్యాటింగ్ స్థానంలో ప్రకారం) (31 *)', '10 వ కెరీర్ లో చాలా బాతులు (11)', '5 వ కెరీర్ లో అత్యధిక వికెట్లు (151)', '3 వ ఇన్నింగ్స్ లో బెస్ట్ ఫిగర్స్ (7 / 14) ',' 8 వ ఒక సిరీస్లో అత్యధిక వికెట్లు (27) ',' 1st ఒక క్యాలెండర"&amp;"్ సంవత్సరంలో అత్యధిక వికెట్లు (37) ',' 1 వ అత్యుత్తమ బౌలింగ్ ఇన్నింగ్స్ లో విశ్లేషించడం (1/0) ',' 4 న అత్యధిక వికెట్లు ఒకే క్రీడా (21) ',' 11 వ ఒక ఇన్నింగ్స్ లోని బెస్ట్ ఫిగర్స్ ఉన్నప్పుడు పరాజయం వైపు (4) ',' 40 వ ఉత్తమ కెరీర్ సమ్మె రేటు (35.5) ',' ఇన్ని"&amp;"ంగ్స్ లో 26 వ ఉత్తమ ఆర్థిక రేటు (0.40) ',' ఒక ఇన్నింగ్స్ లో 18 వ ఉత్తమ సమ్మె రేటు (7.2) ',' 1 వ అత్యంత ఐదు-వికెట్ల లో-ఒక-ఇన్నింగ్స్ కెరీర్లో (6) ',' 1 వ అత్యంత నాలుగు వికెట్లు-ఇన్-ఒక-ఇన్నింగ్స్ కెరీర్లో (12) ',' 1 వ వరుస ఐదు వికెట్ల లో-ఒక-ఇన్నింగ్స్ (2) '"&amp;",' 3 వ వరుస నాలుగు వికెట్లు-ఇన్-ఒక-ఇన్నింగ్స్ (2) ',' ఐదు వికెట్ల తేడాతో in- తీసుకోవాలని 27 పిన్న ఆటగాడు ఒక-ఇన్నింగ్స్ (22y 355d) ',' ఐదు వికెట్ల లో-ఒక-ఇన్నింగ్స్ (31y 55d) 8 వ కెరీర్ లో బౌల్డ్ చాలా బంతుల్లో (5368) ',' 11 వ కెరీర్ లో సాధించిన అత్యధిక పరుగ"&amp;"ులు (తీసుకోవాలని 8 వ అత్యంత వృద్ధ ఆటగాడు ',' 3098) ',' 31 బౌలర్ / బ్యాట్స్ కలయికలు (5) ',' 10 వ బౌలర్ / ఫీల్డర్ కలయికలు (17) ',' 25 వ అత్యధిక వికెట్లు బౌల్డ్ తీసుకున్న (22) ',' 1 వ అత్యధిక వికెట్లు (96) ',' 3 వ అత్యంత ఆకర్షించింది తీసుకున్న క్యాచ్ వికెట్ల"&amp;"ు తీసుకున్న మరియు బౌల్డ్ ( 12) ',' 1 వ అత్యధిక వికెట్లు ఒక ఫీల్డర్ చేత క్యాచ్ తీసుకున్న (87) ',' 11 వ అత్యధిక వికెట్లు తీసుకున్న ఎల్బిడబ్ల్యు (20) ',' 10 వ అత్యధిక వికెట్లు కెరీర్ (37 స్టంప్ (13) ',' 20 వ అత్యంత క్యాచ్ లు తీసుకున్న) ' '4 వ ఇన్నింగ్స్ లో అ"&amp;"త్యధిక క్యాచ్లు (3)', '47 వ ఒక సిరీస్లో అత్యధిక క్యాచ్లు (6)', 'తొమ్మిదవ వికెట్కు 30 వ అత్యధిక భాగస్వామ్యం (37)', 'పదవ వికెట్ను (28) కోసం 33 వ అత్యధిక భాగస్వామ్యం' 'కెరీర్లో 19 వ అత్యధిక మ్యాచ్లు (122)', 'ఒక జట్టుకు 40 వ వరుస మ్యాచ్లు (40)', '10 వ పిన్న క"&amp;"్రీడాకారులు (14y 322d)', '18 వ లాంగెస్ట్ కెరీర్లు (16y 103d)', '11 వ పిన్న కాప్టెన్ ( 21y 225d) ']")</f>
        <v>[ 'ఇన్నింగ్స్ లో 4 వ అత్యధిక పరుగులు (బ్యాటింగ్ స్థానంలో ప్రకారం) (31 *)', '10 వ కెరీర్ లో చాలా బాతులు (11)', '5 వ కెరీర్ లో అత్యధిక వికెట్లు (151)', '3 వ ఇన్నింగ్స్ లో బెస్ట్ ఫిగర్స్ (7 / 14) ',' 8 వ ఒక సిరీస్లో అత్యధిక వికెట్లు (27) ',' 1st ఒక క్యాలెండర్ సంవత్సరంలో అత్యధిక వికెట్లు (37) ',' 1 వ అత్యుత్తమ బౌలింగ్ ఇన్నింగ్స్ లో విశ్లేషించడం (1/0) ',' 4 న అత్యధిక వికెట్లు ఒకే క్రీడా (21) ',' 11 వ ఒక ఇన్నింగ్స్ లోని బెస్ట్ ఫిగర్స్ ఉన్నప్పుడు పరాజయం వైపు (4) ',' 40 వ ఉత్తమ కెరీర్ సమ్మె రేటు (35.5) ',' ఇన్నింగ్స్ లో 26 వ ఉత్తమ ఆర్థిక రేటు (0.40) ',' ఒక ఇన్నింగ్స్ లో 18 వ ఉత్తమ సమ్మె రేటు (7.2) ',' 1 వ అత్యంత ఐదు-వికెట్ల లో-ఒక-ఇన్నింగ్స్ కెరీర్లో (6) ',' 1 వ అత్యంత నాలుగు వికెట్లు-ఇన్-ఒక-ఇన్నింగ్స్ కెరీర్లో (12) ',' 1 వ వరుస ఐదు వికెట్ల లో-ఒక-ఇన్నింగ్స్ (2) ',' 3 వ వరుస నాలుగు వికెట్లు-ఇన్-ఒక-ఇన్నింగ్స్ (2) ',' ఐదు వికెట్ల తేడాతో in- తీసుకోవాలని 27 పిన్న ఆటగాడు ఒక-ఇన్నింగ్స్ (22y 355d) ',' ఐదు వికెట్ల లో-ఒక-ఇన్నింగ్స్ (31y 55d) 8 వ కెరీర్ లో బౌల్డ్ చాలా బంతుల్లో (5368) ',' 11 వ కెరీర్ లో సాధించిన అత్యధిక పరుగులు (తీసుకోవాలని 8 వ అత్యంత వృద్ధ ఆటగాడు ',' 3098) ',' 31 బౌలర్ / బ్యాట్స్ కలయికలు (5) ',' 10 వ బౌలర్ / ఫీల్డర్ కలయికలు (17) ',' 25 వ అత్యధిక వికెట్లు బౌల్డ్ తీసుకున్న (22) ',' 1 వ అత్యధిక వికెట్లు (96) ',' 3 వ అత్యంత ఆకర్షించింది తీసుకున్న క్యాచ్ వికెట్లు తీసుకున్న మరియు బౌల్డ్ ( 12) ',' 1 వ అత్యధిక వికెట్లు ఒక ఫీల్డర్ చేత క్యాచ్ తీసుకున్న (87) ',' 11 వ అత్యధిక వికెట్లు తీసుకున్న ఎల్బిడబ్ల్యు (20) ',' 10 వ అత్యధిక వికెట్లు కెరీర్ (37 స్టంప్ (13) ',' 20 వ అత్యంత క్యాచ్ లు తీసుకున్న) ' '4 వ ఇన్నింగ్స్ లో అత్యధిక క్యాచ్లు (3)', '47 వ ఒక సిరీస్లో అత్యధిక క్యాచ్లు (6)', 'తొమ్మిదవ వికెట్కు 30 వ అత్యధిక భాగస్వామ్యం (37)', 'పదవ వికెట్ను (28) కోసం 33 వ అత్యధిక భాగస్వామ్యం' 'కెరీర్లో 19 వ అత్యధిక మ్యాచ్లు (122)', 'ఒక జట్టుకు 40 వ వరుస మ్యాచ్లు (40)', '10 వ పిన్న క్రీడాకారులు (14y 322d)', '18 వ లాంగెస్ట్ కెరీర్లు (16y 103d)', '11 వ పిన్న కాప్టెన్ ( 21y 225d) ']</v>
      </c>
      <c r="G224" s="2" t="s">
        <v>161</v>
      </c>
      <c r="H224" s="2" t="str">
        <f>IFERROR(__xludf.DUMMYFUNCTION("IF(G224&lt;&gt;"""", GOOGLETRANSLATE(G224, ""en"", ""te""),"""")"),"[ '7th ఎక్కువ (బ్యాటింగ్ స్థానంలో ద్వారా) ఒక ఇన్నింగ్స్ లో నడుస్తుంది (20 *)', '16 వ కెరీర్ బాతులు (6)', '1st కెరీర్లో అత్యధిక వికెట్లు (120)', '18 వ ఇన్నింగ్స్ లో బెస్ట్ ఫిగర్స్ (5 / 10) ',' 22 వ ఒక క్యాలెండర్ సంవత్సరంలో అత్యధిక వికెట్లు (20) ',' ఇన్నింగ"&amp;"్స్ లో 12 వ అత్యుత్తమ బౌలింగ్ విశ్లేషణలు (5/10) ',' 19 ఒకే మైదానంలో అత్యధిక వికెట్లు (10) ',' 6 వ ఉత్తమ బొమ్మలు ఒక కెప్టెన్తో ఒక ఇన్నింగ్స్ లో (4) ', '21 వ ఉత్తమ కెరీర్ బౌలింగ్ సరాసరి (17.30)', '34 వ ఉత్తమ కెరీర్ ఆర్థిక రేటు (5.56)', '24 వ ఉత్తమ కెరీర్ స"&amp;"మ్మె రేటు (18.6)', '1 వ అత్యంత నాలుగు వికెట్లు -ఇన్-ఒక-ఇన్నింగ్స్ కెరీర్లో (7) ',' 1 వ వరుస నాలుగు వికెట్లు-ఇన్-ఒక-ఇన్నింగ్స్ (2) ',' కెరీర్ (2241) లో బౌల్డ్ 3 వ అత్యంత బంతుల్లో ',' 3 వ అత్యంత పోగొట్టబడిన పరుగులను కెరీర్ (2077) ',' 6 వ బౌలర్ / బ్యాట్స్ కల"&amp;"యికలు (5) ', '21 వ బౌలర్ / ఫీల్డర్ కలయికలు (9)', '19 వ అత్యధిక వికెట్లు తీసుకున్న బౌల్డ్ (17)', '1 వ అత్యధిక వికెట్లు తీసుకున్న ఆకర్షించింది (79)', '(6) 4 వ అత్యధిక వికెట్లు ఆకర్షించింది తీసుకున్న మరియు బౌల్డ్', '1 వ అత్యధిక వికెట్లు ఒక ఫీల్డర్ చేత క్యాచ్"&amp;" తీసుకున్న (78)', '18 వ అత్యధిక వికెట్లు తీసుకున్న ఎల్బిడబ్ల్యు (8)', '3 వ అత్యంత తీసుకోబడిన వికెట్ల స్టంప్డ్ (16) ',' 23 వ కెరీర్ లో అత్యధిక క్యాచ్లు (26) ',' తొమ్మిదవ వికెట్ (18 *) ',' పదవ వికెట్కు 20 వ అత్యధిక భాగస్వామ్యం (13 *) 25 వ అత్యధిక భాగస్వామ్య"&amp;"ం ',' 7 వ అత్యధిక మ్యాచ్లు లో కెరీర్ (111) ',' ఒక జట్టుకు 23 వ వరుస మ్యాచ్లు (45) ',' 29th పిన్న కాప్టెన్ (21y 229d) ',' 27 వ కెరీర్ పనికత్తెలయొద్ద (6) ',' 12 వ ఇన్నింగ్స్ లో వచ్చిన ఎక్కువ పనికత్తెలయొద్ద (2) ']")</f>
        <v>[ '7th ఎక్కువ (బ్యాటింగ్ స్థానంలో ద్వారా) ఒక ఇన్నింగ్స్ లో నడుస్తుంది (20 *)', '16 వ కెరీర్ బాతులు (6)', '1st కెరీర్లో అత్యధిక వికెట్లు (120)', '18 వ ఇన్నింగ్స్ లో బెస్ట్ ఫిగర్స్ (5 / 10) ',' 22 వ ఒక క్యాలెండర్ సంవత్సరంలో అత్యధిక వికెట్లు (20) ',' ఇన్నింగ్స్ లో 12 వ అత్యుత్తమ బౌలింగ్ విశ్లేషణలు (5/10) ',' 19 ఒకే మైదానంలో అత్యధిక వికెట్లు (10) ',' 6 వ ఉత్తమ బొమ్మలు ఒక కెప్టెన్తో ఒక ఇన్నింగ్స్ లో (4) ', '21 వ ఉత్తమ కెరీర్ బౌలింగ్ సరాసరి (17.30)', '34 వ ఉత్తమ కెరీర్ ఆర్థిక రేటు (5.56)', '24 వ ఉత్తమ కెరీర్ సమ్మె రేటు (18.6)', '1 వ అత్యంత నాలుగు వికెట్లు -ఇన్-ఒక-ఇన్నింగ్స్ కెరీర్లో (7) ',' 1 వ వరుస నాలుగు వికెట్లు-ఇన్-ఒక-ఇన్నింగ్స్ (2) ',' కెరీర్ (2241) లో బౌల్డ్ 3 వ అత్యంత బంతుల్లో ',' 3 వ అత్యంత పోగొట్టబడిన పరుగులను కెరీర్ (2077) ',' 6 వ బౌలర్ / బ్యాట్స్ కలయికలు (5) ', '21 వ బౌలర్ / ఫీల్డర్ కలయికలు (9)', '19 వ అత్యధిక వికెట్లు తీసుకున్న బౌల్డ్ (17)', '1 వ అత్యధిక వికెట్లు తీసుకున్న ఆకర్షించింది (79)', '(6) 4 వ అత్యధిక వికెట్లు ఆకర్షించింది తీసుకున్న మరియు బౌల్డ్', '1 వ అత్యధిక వికెట్లు ఒక ఫీల్డర్ చేత క్యాచ్ తీసుకున్న (78)', '18 వ అత్యధిక వికెట్లు తీసుకున్న ఎల్బిడబ్ల్యు (8)', '3 వ అత్యంత తీసుకోబడిన వికెట్ల స్టంప్డ్ (16) ',' 23 వ కెరీర్ లో అత్యధిక క్యాచ్లు (26) ',' తొమ్మిదవ వికెట్ (18 *) ',' పదవ వికెట్కు 20 వ అత్యధిక భాగస్వామ్యం (13 *) 25 వ అత్యధిక భాగస్వామ్యం ',' 7 వ అత్యధిక మ్యాచ్లు లో కెరీర్ (111) ',' ఒక జట్టుకు 23 వ వరుస మ్యాచ్లు (45) ',' 29th పిన్న కాప్టెన్ (21y 229d) ',' 27 వ కెరీర్ పనికత్తెలయొద్ద (6) ',' 12 వ ఇన్నింగ్స్ లో వచ్చిన ఎక్కువ పనికత్తెలయొద్ద (2) ']</v>
      </c>
      <c r="I224" s="3"/>
    </row>
    <row r="225" customHeight="1" spans="1:9">
      <c r="A225" s="2"/>
      <c r="B225" s="2" t="str">
        <f>IFERROR(__xludf.DUMMYFUNCTION("IF(A225&lt;&gt;"""", GOOGLETRANSLATE(A225, ""en"", ""te""),"""")"),"")</f>
        <v/>
      </c>
      <c r="C225" s="2"/>
      <c r="D225" s="2" t="str">
        <f>IFERROR(__xludf.DUMMYFUNCTION("IF(C225&lt;&gt;"""", GOOGLETRANSLATE(C225, ""en"", ""te""),"""")"),"")</f>
        <v/>
      </c>
      <c r="E225" s="2"/>
      <c r="F225" s="2" t="str">
        <f>IFERROR(__xludf.DUMMYFUNCTION("IF(E225&lt;&gt;"""", GOOGLETRANSLATE(E225, ""en"", ""te""),"""")"),"")</f>
        <v/>
      </c>
      <c r="G225" s="2"/>
      <c r="H225" s="2" t="str">
        <f>IFERROR(__xludf.DUMMYFUNCTION("IF(G225&lt;&gt;"""", GOOGLETRANSLATE(G225, ""en"", ""te""),"""")"),"")</f>
        <v/>
      </c>
      <c r="I225" s="3"/>
    </row>
    <row r="226" customHeight="1" spans="1:9">
      <c r="A226" s="2"/>
      <c r="B226" s="2" t="str">
        <f>IFERROR(__xludf.DUMMYFUNCTION("IF(A226&lt;&gt;"""", GOOGLETRANSLATE(A226, ""en"", ""te""),"""")"),"")</f>
        <v/>
      </c>
      <c r="C226" s="2"/>
      <c r="D226" s="2" t="str">
        <f>IFERROR(__xludf.DUMMYFUNCTION("IF(C226&lt;&gt;"""", GOOGLETRANSLATE(C226, ""en"", ""te""),"""")"),"")</f>
        <v/>
      </c>
      <c r="E226" s="2"/>
      <c r="F226" s="2" t="str">
        <f>IFERROR(__xludf.DUMMYFUNCTION("IF(E226&lt;&gt;"""", GOOGLETRANSLATE(E226, ""en"", ""te""),"""")"),"")</f>
        <v/>
      </c>
      <c r="G226" s="2"/>
      <c r="H226" s="2" t="str">
        <f>IFERROR(__xludf.DUMMYFUNCTION("IF(G226&lt;&gt;"""", GOOGLETRANSLATE(G226, ""en"", ""te""),"""")"),"")</f>
        <v/>
      </c>
      <c r="I226" s="3"/>
    </row>
    <row r="227" customHeight="1" spans="1:9">
      <c r="A227" s="2"/>
      <c r="B227" s="2" t="str">
        <f>IFERROR(__xludf.DUMMYFUNCTION("IF(A227&lt;&gt;"""", GOOGLETRANSLATE(A227, ""en"", ""te""),"""")"),"")</f>
        <v/>
      </c>
      <c r="C227" s="2"/>
      <c r="D227" s="2" t="str">
        <f>IFERROR(__xludf.DUMMYFUNCTION("IF(C227&lt;&gt;"""", GOOGLETRANSLATE(C227, ""en"", ""te""),"""")"),"")</f>
        <v/>
      </c>
      <c r="E227" s="2"/>
      <c r="F227" s="2" t="str">
        <f>IFERROR(__xludf.DUMMYFUNCTION("IF(E227&lt;&gt;"""", GOOGLETRANSLATE(E227, ""en"", ""te""),"""")"),"")</f>
        <v/>
      </c>
      <c r="G227" s="2"/>
      <c r="H227" s="2" t="str">
        <f>IFERROR(__xludf.DUMMYFUNCTION("IF(G227&lt;&gt;"""", GOOGLETRANSLATE(G227, ""en"", ""te""),"""")"),"")</f>
        <v/>
      </c>
      <c r="I227" s="3"/>
    </row>
    <row r="228" customHeight="1" spans="1:9">
      <c r="A228" s="2"/>
      <c r="B228" s="2" t="str">
        <f>IFERROR(__xludf.DUMMYFUNCTION("IF(A228&lt;&gt;"""", GOOGLETRANSLATE(A228, ""en"", ""te""),"""")"),"")</f>
        <v/>
      </c>
      <c r="C228" s="2"/>
      <c r="D228" s="2" t="str">
        <f>IFERROR(__xludf.DUMMYFUNCTION("IF(C228&lt;&gt;"""", GOOGLETRANSLATE(C228, ""en"", ""te""),"""")"),"")</f>
        <v/>
      </c>
      <c r="E228" s="2"/>
      <c r="F228" s="2" t="str">
        <f>IFERROR(__xludf.DUMMYFUNCTION("IF(E228&lt;&gt;"""", GOOGLETRANSLATE(E228, ""en"", ""te""),"""")"),"")</f>
        <v/>
      </c>
      <c r="G228" s="2"/>
      <c r="H228" s="2" t="str">
        <f>IFERROR(__xludf.DUMMYFUNCTION("IF(G228&lt;&gt;"""", GOOGLETRANSLATE(G228, ""en"", ""te""),"""")"),"")</f>
        <v/>
      </c>
      <c r="I228" s="3"/>
    </row>
    <row r="229" customHeight="1" spans="1:9">
      <c r="A229" s="2"/>
      <c r="B229" s="2" t="str">
        <f>IFERROR(__xludf.DUMMYFUNCTION("IF(A229&lt;&gt;"""", GOOGLETRANSLATE(A229, ""en"", ""te""),"""")"),"")</f>
        <v/>
      </c>
      <c r="C229" s="2"/>
      <c r="D229" s="2" t="str">
        <f>IFERROR(__xludf.DUMMYFUNCTION("IF(C229&lt;&gt;"""", GOOGLETRANSLATE(C229, ""en"", ""te""),"""")"),"")</f>
        <v/>
      </c>
      <c r="E229" s="2"/>
      <c r="F229" s="2" t="str">
        <f>IFERROR(__xludf.DUMMYFUNCTION("IF(E229&lt;&gt;"""", GOOGLETRANSLATE(E229, ""en"", ""te""),"""")"),"")</f>
        <v/>
      </c>
      <c r="G229" s="2"/>
      <c r="H229" s="2" t="str">
        <f>IFERROR(__xludf.DUMMYFUNCTION("IF(G229&lt;&gt;"""", GOOGLETRANSLATE(G229, ""en"", ""te""),"""")"),"")</f>
        <v/>
      </c>
      <c r="I229" s="3"/>
    </row>
    <row r="230" customHeight="1" spans="1:9">
      <c r="A230" s="2" t="s">
        <v>162</v>
      </c>
      <c r="B230" s="2" t="str">
        <f>IFERROR(__xludf.DUMMYFUNCTION("IF(A230&lt;&gt;"""", GOOGLETRANSLATE(A230, ""en"", ""te""),"""")"),"[ 'లేకుండా కెరీర్లో 4 వ అత్యధిక పరుగులు వంద (1993)', '300 పరుగులు మరియు ఒక సిరీస్లో 15 వికెట్కీపింగ్ తొలగింపులకు', '10 వ అత్యంత ఇన్నింగ్స్ లో (12) సాధించిన బైస్']")</f>
        <v>[ 'లేకుండా కెరీర్లో 4 వ అత్యధిక పరుగులు వంద (1993)', '300 పరుగులు మరియు ఒక సిరీస్లో 15 వికెట్కీపింగ్ తొలగింపులకు', '10 వ అత్యంత ఇన్నింగ్స్ లో (12) సాధించిన బైస్']</v>
      </c>
      <c r="C230" s="2" t="s">
        <v>163</v>
      </c>
      <c r="D230" s="2" t="str">
        <f>IFERROR(__xludf.DUMMYFUNCTION("IF(C230&lt;&gt;"""", GOOGLETRANSLATE(C230, ""en"", ""te""),"""")"),"[ '33 వ అత్యంత వికెట్కీపర్ శ్రేణిలో పరుగులు (342)', 'వికెట్ను కాపాడుకున్నాడు చేసిన 27 కెప్టెన్ల (1)' పై '33 వ ఓల్డెస్ట్ కెప్టెన్లు కెప్టెన్సీ తొలి' ఒక వృత్తిలో 4 వ అత్యధిక పరుగులు వంద (1993) లేకుండా ' (36y 195d) ',' 20 వ కెరీర్ లో అత్యధిక వికెట్లు (189) "&amp;"',' 15 వ ఒక సిరీస్లో అత్యధిక వికెట్లు (24) ',' 18 వ కెరీర్ లో అత్యధిక క్యాచ్లు (181) ',' 29th ఒక సిరీస్లో అత్యధిక క్యాచ్లు (22) ',' 13 వ అత్యంత బైలు ఇన్నింగ్స్ (29) లో సాధించిన]")</f>
        <v>[ '33 వ అత్యంత వికెట్కీపర్ శ్రేణిలో పరుగులు (342)', 'వికెట్ను కాపాడుకున్నాడు చేసిన 27 కెప్టెన్ల (1)' పై '33 వ ఓల్డెస్ట్ కెప్టెన్లు కెప్టెన్సీ తొలి' ఒక వృత్తిలో 4 వ అత్యధిక పరుగులు వంద (1993) లేకుండా ' (36y 195d) ',' 20 వ కెరీర్ లో అత్యధిక వికెట్లు (189) ',' 15 వ ఒక సిరీస్లో అత్యధిక వికెట్లు (24) ',' 18 వ కెరీర్ లో అత్యధిక క్యాచ్లు (181) ',' 29th ఒక సిరీస్లో అత్యధిక క్యాచ్లు (22) ',' 13 వ అత్యంత బైలు ఇన్నింగ్స్ (29) లో సాధించిన]</v>
      </c>
      <c r="E230" s="2" t="s">
        <v>164</v>
      </c>
      <c r="F230" s="2" t="str">
        <f>IFERROR(__xludf.DUMMYFUNCTION("IF(E230&lt;&gt;"""", GOOGLETRANSLATE(E230, ""en"", ""te""),"""")"),"[ 'పదవ వికెట్కు 12 వ అత్యధిక భాగస్వామ్యం (64 *)', '40 వ పురాతన దేశం ఆటగాళ్ళు (78y 12D)', '46 వ ఓల్డెస్ట్ కాప్టెన్ (36y 203d)', 'వికెట్ను కాపాడుకున్నాడు చేసిన 29 కెప్టెన్ల (2)', '31 కెప్టెన్సీ ప్రవేశం (34y 278d) అతిపురాతన కెప్టెన్లు ',' 10 వ అత్యంత బైలు ఇ"&amp;"న్నింగ్స్ లో సాధించిన (12) ']")</f>
        <v>[ 'పదవ వికెట్కు 12 వ అత్యధిక భాగస్వామ్యం (64 *)', '40 వ పురాతన దేశం ఆటగాళ్ళు (78y 12D)', '46 వ ఓల్డెస్ట్ కాప్టెన్ (36y 203d)', 'వికెట్ను కాపాడుకున్నాడు చేసిన 29 కెప్టెన్ల (2)', '31 కెప్టెన్సీ ప్రవేశం (34y 278d) అతిపురాతన కెప్టెన్లు ',' 10 వ అత్యంత బైలు ఇన్నింగ్స్ లో సాధించిన (12) ']</v>
      </c>
      <c r="G230" s="2"/>
      <c r="H230" s="2" t="str">
        <f>IFERROR(__xludf.DUMMYFUNCTION("IF(G230&lt;&gt;"""", GOOGLETRANSLATE(G230, ""en"", ""te""),"""")"),"")</f>
        <v/>
      </c>
      <c r="I230" s="3"/>
    </row>
    <row r="231" customHeight="1" spans="1:9">
      <c r="A231" s="2" t="s">
        <v>165</v>
      </c>
      <c r="B231" s="2" t="str">
        <f>IFERROR(__xludf.DUMMYFUNCTION("IF(A231&lt;&gt;"""", GOOGLETRANSLATE(A231, ""en"", ""te""),"""")"),"[ 'హండ్రెడ్ తొలి (210 *)']")</f>
        <v>[ 'హండ్రెడ్ తొలి (210 *)']</v>
      </c>
      <c r="C231" s="2" t="s">
        <v>166</v>
      </c>
      <c r="D231" s="2" t="str">
        <f>IFERROR(__xludf.DUMMYFUNCTION("IF(C231&lt;&gt;"""", GOOGLETRANSLATE(C231, ""en"", ""te""),"""")"),"[ 'తొలి మ్యాచ్లో 4 వ అత్యధిక పరుగులు (250)', '25 వ అత్యధిక తొలి వంద (210 *)', '19 వ అత్యంత ఇన్నింగ్స్ లో సిక్సర్లు (7)']")</f>
        <v>[ 'తొలి మ్యాచ్లో 4 వ అత్యధిక పరుగులు (250)', '25 వ అత్యధిక తొలి వంద (210 *)', '19 వ అత్యంత ఇన్నింగ్స్ లో సిక్సర్లు (7)']</v>
      </c>
      <c r="E231" s="2"/>
      <c r="F231" s="2" t="str">
        <f>IFERROR(__xludf.DUMMYFUNCTION("IF(E231&lt;&gt;"""", GOOGLETRANSLATE(E231, ""en"", ""te""),"""")"),"")</f>
        <v/>
      </c>
      <c r="G231" s="2"/>
      <c r="H231" s="2" t="str">
        <f>IFERROR(__xludf.DUMMYFUNCTION("IF(G231&lt;&gt;"""", GOOGLETRANSLATE(G231, ""en"", ""te""),"""")"),"")</f>
        <v/>
      </c>
      <c r="I231" s="3"/>
    </row>
    <row r="232" customHeight="1" spans="1:9">
      <c r="A232" s="2"/>
      <c r="B232" s="2" t="str">
        <f>IFERROR(__xludf.DUMMYFUNCTION("IF(A232&lt;&gt;"""", GOOGLETRANSLATE(A232, ""en"", ""te""),"""")"),"")</f>
        <v/>
      </c>
      <c r="C232" s="2"/>
      <c r="D232" s="2" t="str">
        <f>IFERROR(__xludf.DUMMYFUNCTION("IF(C232&lt;&gt;"""", GOOGLETRANSLATE(C232, ""en"", ""te""),"""")"),"")</f>
        <v/>
      </c>
      <c r="E232" s="2"/>
      <c r="F232" s="2" t="str">
        <f>IFERROR(__xludf.DUMMYFUNCTION("IF(E232&lt;&gt;"""", GOOGLETRANSLATE(E232, ""en"", ""te""),"""")"),"")</f>
        <v/>
      </c>
      <c r="G232" s="2"/>
      <c r="H232" s="2" t="str">
        <f>IFERROR(__xludf.DUMMYFUNCTION("IF(G232&lt;&gt;"""", GOOGLETRANSLATE(G232, ""en"", ""te""),"""")"),"")</f>
        <v/>
      </c>
      <c r="I232" s="3"/>
    </row>
    <row r="233" customHeight="1" spans="1:9">
      <c r="A233" s="2"/>
      <c r="B233" s="2" t="str">
        <f>IFERROR(__xludf.DUMMYFUNCTION("IF(A233&lt;&gt;"""", GOOGLETRANSLATE(A233, ""en"", ""te""),"""")"),"")</f>
        <v/>
      </c>
      <c r="C233" s="2"/>
      <c r="D233" s="2" t="str">
        <f>IFERROR(__xludf.DUMMYFUNCTION("IF(C233&lt;&gt;"""", GOOGLETRANSLATE(C233, ""en"", ""te""),"""")"),"")</f>
        <v/>
      </c>
      <c r="E233" s="2"/>
      <c r="F233" s="2" t="str">
        <f>IFERROR(__xludf.DUMMYFUNCTION("IF(E233&lt;&gt;"""", GOOGLETRANSLATE(E233, ""en"", ""te""),"""")"),"")</f>
        <v/>
      </c>
      <c r="G233" s="2"/>
      <c r="H233" s="2" t="str">
        <f>IFERROR(__xludf.DUMMYFUNCTION("IF(G233&lt;&gt;"""", GOOGLETRANSLATE(G233, ""en"", ""te""),"""")"),"")</f>
        <v/>
      </c>
      <c r="I233" s="3"/>
    </row>
    <row r="234" customHeight="1" spans="1:9">
      <c r="A234" s="2"/>
      <c r="B234" s="2" t="str">
        <f>IFERROR(__xludf.DUMMYFUNCTION("IF(A234&lt;&gt;"""", GOOGLETRANSLATE(A234, ""en"", ""te""),"""")"),"")</f>
        <v/>
      </c>
      <c r="C234" s="2"/>
      <c r="D234" s="2" t="str">
        <f>IFERROR(__xludf.DUMMYFUNCTION("IF(C234&lt;&gt;"""", GOOGLETRANSLATE(C234, ""en"", ""te""),"""")"),"")</f>
        <v/>
      </c>
      <c r="E234" s="2"/>
      <c r="F234" s="2" t="str">
        <f>IFERROR(__xludf.DUMMYFUNCTION("IF(E234&lt;&gt;"""", GOOGLETRANSLATE(E234, ""en"", ""te""),"""")"),"")</f>
        <v/>
      </c>
      <c r="G234" s="2"/>
      <c r="H234" s="2" t="str">
        <f>IFERROR(__xludf.DUMMYFUNCTION("IF(G234&lt;&gt;"""", GOOGLETRANSLATE(G234, ""en"", ""te""),"""")"),"")</f>
        <v/>
      </c>
      <c r="I234" s="3"/>
    </row>
    <row r="235" customHeight="1" spans="1:9">
      <c r="A235" s="2"/>
      <c r="B235" s="2" t="str">
        <f>IFERROR(__xludf.DUMMYFUNCTION("IF(A235&lt;&gt;"""", GOOGLETRANSLATE(A235, ""en"", ""te""),"""")"),"")</f>
        <v/>
      </c>
      <c r="C235" s="2"/>
      <c r="D235" s="2" t="str">
        <f>IFERROR(__xludf.DUMMYFUNCTION("IF(C235&lt;&gt;"""", GOOGLETRANSLATE(C235, ""en"", ""te""),"""")"),"")</f>
        <v/>
      </c>
      <c r="E235" s="2" t="s">
        <v>167</v>
      </c>
      <c r="F235" s="2" t="str">
        <f>IFERROR(__xludf.DUMMYFUNCTION("IF(E235&lt;&gt;"""", GOOGLETRANSLATE(E235, ""en"", ""te""),"""")"),"[ '35 వ చెత్త కెరీర్ బౌలింగ్ సరాసరి (అర్హత లేకుండా) (76.00)']")</f>
        <v>[ '35 వ చెత్త కెరీర్ బౌలింగ్ సరాసరి (అర్హత లేకుండా) (76.00)']</v>
      </c>
      <c r="G235" s="2"/>
      <c r="H235" s="2" t="str">
        <f>IFERROR(__xludf.DUMMYFUNCTION("IF(G235&lt;&gt;"""", GOOGLETRANSLATE(G235, ""en"", ""te""),"""")"),"")</f>
        <v/>
      </c>
      <c r="I235" s="3"/>
    </row>
    <row r="236" customHeight="1" spans="1:9">
      <c r="A236" s="2"/>
      <c r="B236" s="2" t="str">
        <f>IFERROR(__xludf.DUMMYFUNCTION("IF(A236&lt;&gt;"""", GOOGLETRANSLATE(A236, ""en"", ""te""),"""")"),"")</f>
        <v/>
      </c>
      <c r="C236" s="2" t="s">
        <v>168</v>
      </c>
      <c r="D236" s="2" t="str">
        <f>IFERROR(__xludf.DUMMYFUNCTION("IF(C236&lt;&gt;"""", GOOGLETRANSLATE(C236, ""en"", ""te""),"""")"),"[ 'రెండవ వికెట్కు 45 వ అత్యధిక భాగస్వామ్యం (255)', '49 వ పురాతన దేశం ఆటగాళ్ళు (86y 58d)']")</f>
        <v>[ 'రెండవ వికెట్కు 45 వ అత్యధిక భాగస్వామ్యం (255)', '49 వ పురాతన దేశం ఆటగాళ్ళు (86y 58d)']</v>
      </c>
      <c r="E236" s="2"/>
      <c r="F236" s="2" t="str">
        <f>IFERROR(__xludf.DUMMYFUNCTION("IF(E236&lt;&gt;"""", GOOGLETRANSLATE(E236, ""en"", ""te""),"""")"),"")</f>
        <v/>
      </c>
      <c r="G236" s="2"/>
      <c r="H236" s="2" t="str">
        <f>IFERROR(__xludf.DUMMYFUNCTION("IF(G236&lt;&gt;"""", GOOGLETRANSLATE(G236, ""en"", ""te""),"""")"),"")</f>
        <v/>
      </c>
      <c r="I236" s="3"/>
    </row>
    <row r="237" customHeight="1" spans="1:9">
      <c r="A237" s="2"/>
      <c r="B237" s="2" t="str">
        <f>IFERROR(__xludf.DUMMYFUNCTION("IF(A237&lt;&gt;"""", GOOGLETRANSLATE(A237, ""en"", ""te""),"""")"),"")</f>
        <v/>
      </c>
      <c r="C237" s="2"/>
      <c r="D237" s="2" t="str">
        <f>IFERROR(__xludf.DUMMYFUNCTION("IF(C237&lt;&gt;"""", GOOGLETRANSLATE(C237, ""en"", ""te""),"""")"),"")</f>
        <v/>
      </c>
      <c r="E237" s="2"/>
      <c r="F237" s="2" t="str">
        <f>IFERROR(__xludf.DUMMYFUNCTION("IF(E237&lt;&gt;"""", GOOGLETRANSLATE(E237, ""en"", ""te""),"""")"),"")</f>
        <v/>
      </c>
      <c r="G237" s="2"/>
      <c r="H237" s="2" t="str">
        <f>IFERROR(__xludf.DUMMYFUNCTION("IF(G237&lt;&gt;"""", GOOGLETRANSLATE(G237, ""en"", ""te""),"""")"),"")</f>
        <v/>
      </c>
      <c r="I237" s="3"/>
    </row>
    <row r="238" customHeight="1" spans="1:9">
      <c r="A238" s="2" t="s">
        <v>169</v>
      </c>
      <c r="B238" s="2" t="str">
        <f>IFERROR(__xludf.DUMMYFUNCTION("IF(A238&lt;&gt;"""", GOOGLETRANSLATE(A238, ""en"", ""te""),"""")"),"[ '9 వ అత్యంత ప్లేయర్ ఆఫ్ ది సిరీస్ అవార్డులు (6)', 'ఒక వృత్తిలో 5 వ అత్యధిక పరుగులు వంద (1810) లేకుండా', '5 వ అత్యుత్తమ బౌలింగ్ ఇన్నింగ్స్ లో విశ్లేషించడం (7/22)', 'చాలా 5 వ వరుసగా ఐదు వికెట్లు-ఇన్-ఒక-ఇన్నింగ్స్ (4) ',' 5 వ బౌలర్ / బ్యాటర్ కలయికలు (16) '"&amp;",' 4 వ వేగవంతమైన 300 వికెట్లు (61) ',' 1000 పరుగులు మరియు 100 వికెట్లు ',' 5 వ అత్యధిక పరుగులు వంద (2765) ',' 5 వ లేకుండా ఒక వృత్తి అత్యధిక వరుస ఐదు వికెట్ల లో-ఒక-ఇన్నింగ్స్ (4) ',' 2 వ బౌలర్ / బ్యాట్స్మన్ కలయికలు (20) ']")</f>
        <v>[ '9 వ అత్యంత ప్లేయర్ ఆఫ్ ది సిరీస్ అవార్డులు (6)', 'ఒక వృత్తిలో 5 వ అత్యధిక పరుగులు వంద (1810) లేకుండా', '5 వ అత్యుత్తమ బౌలింగ్ ఇన్నింగ్స్ లో విశ్లేషించడం (7/22)', 'చాలా 5 వ వరుసగా ఐదు వికెట్లు-ఇన్-ఒక-ఇన్నింగ్స్ (4) ',' 5 వ బౌలర్ / బ్యాటర్ కలయికలు (16) ',' 4 వ వేగవంతమైన 300 వికెట్లు (61) ',' 1000 పరుగులు మరియు 100 వికెట్లు ',' 5 వ అత్యధిక పరుగులు వంద (2765) ',' 5 వ లేకుండా ఒక వృత్తి అత్యధిక వరుస ఐదు వికెట్ల లో-ఒక-ఇన్నింగ్స్ (4) ',' 2 వ బౌలర్ / బ్యాట్స్మన్ కలయికలు (20) ']</v>
      </c>
      <c r="C238" s="2" t="s">
        <v>170</v>
      </c>
      <c r="D238" s="2" t="str">
        <f>IFERROR(__xludf.DUMMYFUNCTION("IF(C238&lt;&gt;"""", GOOGLETRANSLATE(C238, ""en"", ""te""),"""")"),"[ 'వంద (1810) లేకుండా ఒక వృత్తిలో 5 వ అత్యధిక పరుగులు' '20 వ కెరీర్ లో అత్యధిక వికెట్లు (376)', '19 వ ఒక సిరీస్లో అత్యధిక వికెట్లు (35)', ఒక క్యాలెండర్ సంవత్సరంలో '12 వ అత్యధిక వికెట్లు (73) ',' 5 వ అత్యుత్తమ బౌలింగ్ ఇన్నింగ్స్ లో విశ్లేషించడం (7/22) ',' "&amp;"18 వ బౌలింగ్ ఉత్తమ కెరీర్ సగటు (20.94) ',' 20 వ ఉత్తమ కెరీర్ సమ్మె రేటు (46.7) ',' ఇన్నింగ్స్ లో 12 వ ఉత్తమ సమ్మె రేటు (6.5) ',' 17 వ అత్యంత ఐదు-వికెట్ల లో-ఒక-ఇన్నింగ్స్ కెరీర్లో (22) ',' 19 వ అత్యంత పది వికెట్లు లో ఒక మ్యాచ్ ఒక వృత్తిలో (4) ',' 5 వ అత్యధ"&amp;"ిక వరుస ఐదు wickets- లో-ఒక-ఇన్నింగ్స్ (4) ',' 34 వ కెరీర్ లో బౌల్డ్ చాలా బంతుల్లో (17584) ',' 38 వ కెరీర్ లో సాధించిన అత్యధిక పరుగులు (7876) ',' 5 వ బౌలర్ / బ్యాటర్ కలయికలు (16) ',' 8 వ బౌలర్ / ఫీల్డర్ కలయికలు (71) ',' 23 వ అత్యధిక వికెట్లు తీసుకున్న బౌల్"&amp;"డ్ (73) ', '21 వ అత్యధిక వికెట్లు తీసుకున్న ఆకర్షించింది (227)', '25 వ అత్యధిక వికెట్లు ఒక ఫీల్డర్ చేత క్యాచ్ తీసుకున్న (144)', '17 వ అత్యధిక వికెట్లు ఒక పట్టుకుంటే తీసుకున్న వికెట్కీపర్గా (83) ',' 18 వ అత్యధిక వికెట్లు తీసుకున్న ఎల్బిడబ్ల్యు (76) ',' 18 "&amp;"వ 150 వికెట్లు వేగంగా (34) ',' 200 వికెట్లు వేగవంతమైన 9 వ (42) ',' 7 వ వేగవంతమైన 250 వికెట్లు (53) ',' 4 వ 300 వికెట్లు వేగంగా (61) ',' 7th 350 వికెట్లు (75) ',' 25 వ అత్యంత ప్లేయర్ ఆఫ్ ది మ్యాచ్ అవార్డులు (10) ',' 9 వ అత్యంత ఆటగాడు వేగంగా -of-సిరీస్ అవ"&amp;"ార్డులు (6) ']")</f>
        <v>[ 'వంద (1810) లేకుండా ఒక వృత్తిలో 5 వ అత్యధిక పరుగులు' '20 వ కెరీర్ లో అత్యధిక వికెట్లు (376)', '19 వ ఒక సిరీస్లో అత్యధిక వికెట్లు (35)', ఒక క్యాలెండర్ సంవత్సరంలో '12 వ అత్యధిక వికెట్లు (73) ',' 5 వ అత్యుత్తమ బౌలింగ్ ఇన్నింగ్స్ లో విశ్లేషించడం (7/22) ',' 18 వ బౌలింగ్ ఉత్తమ కెరీర్ సగటు (20.94) ',' 20 వ ఉత్తమ కెరీర్ సమ్మె రేటు (46.7) ',' ఇన్నింగ్స్ లో 12 వ ఉత్తమ సమ్మె రేటు (6.5) ',' 17 వ అత్యంత ఐదు-వికెట్ల లో-ఒక-ఇన్నింగ్స్ కెరీర్లో (22) ',' 19 వ అత్యంత పది వికెట్లు లో ఒక మ్యాచ్ ఒక వృత్తిలో (4) ',' 5 వ అత్యధిక వరుస ఐదు wickets- లో-ఒక-ఇన్నింగ్స్ (4) ',' 34 వ కెరీర్ లో బౌల్డ్ చాలా బంతుల్లో (17584) ',' 38 వ కెరీర్ లో సాధించిన అత్యధిక పరుగులు (7876) ',' 5 వ బౌలర్ / బ్యాటర్ కలయికలు (16) ',' 8 వ బౌలర్ / ఫీల్డర్ కలయికలు (71) ',' 23 వ అత్యధిక వికెట్లు తీసుకున్న బౌల్డ్ (73) ', '21 వ అత్యధిక వికెట్లు తీసుకున్న ఆకర్షించింది (227)', '25 వ అత్యధిక వికెట్లు ఒక ఫీల్డర్ చేత క్యాచ్ తీసుకున్న (144)', '17 వ అత్యధిక వికెట్లు ఒక పట్టుకుంటే తీసుకున్న వికెట్కీపర్గా (83) ',' 18 వ అత్యధిక వికెట్లు తీసుకున్న ఎల్బిడబ్ల్యు (76) ',' 18 వ 150 వికెట్లు వేగంగా (34) ',' 200 వికెట్లు వేగవంతమైన 9 వ (42) ',' 7 వ వేగవంతమైన 250 వికెట్లు (53) ',' 4 వ 300 వికెట్లు వేగంగా (61) ',' 7th 350 వికెట్లు (75) ',' 25 వ అత్యంత ప్లేయర్ ఆఫ్ ది మ్యాచ్ అవార్డులు (10) ',' 9 వ అత్యంత ఆటగాడు వేగంగా -of-సిరీస్ అవార్డులు (6) ']</v>
      </c>
      <c r="E238" s="2" t="s">
        <v>171</v>
      </c>
      <c r="F238" s="2" t="str">
        <f>IFERROR(__xludf.DUMMYFUNCTION("IF(E238&lt;&gt;"""", GOOGLETRANSLATE(E238, ""en"", ""te""),"""")"),"[ '14 వ ఉత్తమ కెరీర్ ఆర్థిక రేటు (3.53)', 'ఇన్నింగ్స్ లో 22 వ ఉత్తమ ఆర్థిక రేటు (0.83)', '33 వ బౌలర్ / ఫీల్డర్ కలయికలు (28)', '38 వ అత్యధిక వికెట్లు తీసుకున్న బౌల్డ్ (49)', '49 వ వేగంగా 150 వికెట్లు (125) ',' 19 షార్టేస్ట్ క్రీడాకారులు నివసించారు (41y 200"&amp;"d) ']")</f>
        <v>[ '14 వ ఉత్తమ కెరీర్ ఆర్థిక రేటు (3.53)', 'ఇన్నింగ్స్ లో 22 వ ఉత్తమ ఆర్థిక రేటు (0.83)', '33 వ బౌలర్ / ఫీల్డర్ కలయికలు (28)', '38 వ అత్యధిక వికెట్లు తీసుకున్న బౌల్డ్ (49)', '49 వ వేగంగా 150 వికెట్లు (125) ',' 19 షార్టేస్ట్ క్రీడాకారులు నివసించారు (41y 200d) ']</v>
      </c>
      <c r="G238" s="2"/>
      <c r="H238" s="2" t="str">
        <f>IFERROR(__xludf.DUMMYFUNCTION("IF(G238&lt;&gt;"""", GOOGLETRANSLATE(G238, ""en"", ""te""),"""")"),"")</f>
        <v/>
      </c>
      <c r="I238" s="3"/>
    </row>
    <row r="239" customHeight="1" spans="1:9">
      <c r="A239" s="2"/>
      <c r="B239" s="2" t="str">
        <f>IFERROR(__xludf.DUMMYFUNCTION("IF(A239&lt;&gt;"""", GOOGLETRANSLATE(A239, ""en"", ""te""),"""")"),"")</f>
        <v/>
      </c>
      <c r="C239" s="2"/>
      <c r="D239" s="2" t="str">
        <f>IFERROR(__xludf.DUMMYFUNCTION("IF(C239&lt;&gt;"""", GOOGLETRANSLATE(C239, ""en"", ""te""),"""")"),"")</f>
        <v/>
      </c>
      <c r="E239" s="2"/>
      <c r="F239" s="2" t="str">
        <f>IFERROR(__xludf.DUMMYFUNCTION("IF(E239&lt;&gt;"""", GOOGLETRANSLATE(E239, ""en"", ""te""),"""")"),"")</f>
        <v/>
      </c>
      <c r="G239" s="2"/>
      <c r="H239" s="2" t="str">
        <f>IFERROR(__xludf.DUMMYFUNCTION("IF(G239&lt;&gt;"""", GOOGLETRANSLATE(G239, ""en"", ""te""),"""")"),"")</f>
        <v/>
      </c>
      <c r="I239" s="3"/>
    </row>
    <row r="240" customHeight="1" spans="1:9">
      <c r="A240" s="2"/>
      <c r="B240" s="2" t="str">
        <f>IFERROR(__xludf.DUMMYFUNCTION("IF(A240&lt;&gt;"""", GOOGLETRANSLATE(A240, ""en"", ""te""),"""")"),"")</f>
        <v/>
      </c>
      <c r="C240" s="2"/>
      <c r="D240" s="2" t="str">
        <f>IFERROR(__xludf.DUMMYFUNCTION("IF(C240&lt;&gt;"""", GOOGLETRANSLATE(C240, ""en"", ""te""),"""")"),"")</f>
        <v/>
      </c>
      <c r="E240" s="2"/>
      <c r="F240" s="2" t="str">
        <f>IFERROR(__xludf.DUMMYFUNCTION("IF(E240&lt;&gt;"""", GOOGLETRANSLATE(E240, ""en"", ""te""),"""")"),"")</f>
        <v/>
      </c>
      <c r="G240" s="2"/>
      <c r="H240" s="2" t="str">
        <f>IFERROR(__xludf.DUMMYFUNCTION("IF(G240&lt;&gt;"""", GOOGLETRANSLATE(G240, ""en"", ""te""),"""")"),"")</f>
        <v/>
      </c>
      <c r="I240" s="3"/>
    </row>
    <row r="241" customHeight="1" spans="1:9">
      <c r="A241" s="2"/>
      <c r="B241" s="2" t="str">
        <f>IFERROR(__xludf.DUMMYFUNCTION("IF(A241&lt;&gt;"""", GOOGLETRANSLATE(A241, ""en"", ""te""),"""")"),"")</f>
        <v/>
      </c>
      <c r="C241" s="2"/>
      <c r="D241" s="2" t="str">
        <f>IFERROR(__xludf.DUMMYFUNCTION("IF(C241&lt;&gt;"""", GOOGLETRANSLATE(C241, ""en"", ""te""),"""")"),"")</f>
        <v/>
      </c>
      <c r="E241" s="2"/>
      <c r="F241" s="2" t="str">
        <f>IFERROR(__xludf.DUMMYFUNCTION("IF(E241&lt;&gt;"""", GOOGLETRANSLATE(E241, ""en"", ""te""),"""")"),"")</f>
        <v/>
      </c>
      <c r="G241" s="2"/>
      <c r="H241" s="2" t="str">
        <f>IFERROR(__xludf.DUMMYFUNCTION("IF(G241&lt;&gt;"""", GOOGLETRANSLATE(G241, ""en"", ""te""),"""")"),"")</f>
        <v/>
      </c>
      <c r="I241" s="3"/>
    </row>
    <row r="242" customHeight="1" spans="1:9">
      <c r="A242" s="2"/>
      <c r="B242" s="2" t="str">
        <f>IFERROR(__xludf.DUMMYFUNCTION("IF(A242&lt;&gt;"""", GOOGLETRANSLATE(A242, ""en"", ""te""),"""")"),"")</f>
        <v/>
      </c>
      <c r="C242" s="2"/>
      <c r="D242" s="2" t="str">
        <f>IFERROR(__xludf.DUMMYFUNCTION("IF(C242&lt;&gt;"""", GOOGLETRANSLATE(C242, ""en"", ""te""),"""")"),"")</f>
        <v/>
      </c>
      <c r="E242" s="2"/>
      <c r="F242" s="2" t="str">
        <f>IFERROR(__xludf.DUMMYFUNCTION("IF(E242&lt;&gt;"""", GOOGLETRANSLATE(E242, ""en"", ""te""),"""")"),"")</f>
        <v/>
      </c>
      <c r="G242" s="2"/>
      <c r="H242" s="2" t="str">
        <f>IFERROR(__xludf.DUMMYFUNCTION("IF(G242&lt;&gt;"""", GOOGLETRANSLATE(G242, ""en"", ""te""),"""")"),"")</f>
        <v/>
      </c>
      <c r="I242" s="3"/>
    </row>
    <row r="243" customHeight="1" spans="1:9">
      <c r="A243" s="2"/>
      <c r="B243" s="2" t="str">
        <f>IFERROR(__xludf.DUMMYFUNCTION("IF(A243&lt;&gt;"""", GOOGLETRANSLATE(A243, ""en"", ""te""),"""")"),"")</f>
        <v/>
      </c>
      <c r="C243" s="2"/>
      <c r="D243" s="2" t="str">
        <f>IFERROR(__xludf.DUMMYFUNCTION("IF(C243&lt;&gt;"""", GOOGLETRANSLATE(C243, ""en"", ""te""),"""")"),"")</f>
        <v/>
      </c>
      <c r="E243" s="2"/>
      <c r="F243" s="2" t="str">
        <f>IFERROR(__xludf.DUMMYFUNCTION("IF(E243&lt;&gt;"""", GOOGLETRANSLATE(E243, ""en"", ""te""),"""")"),"")</f>
        <v/>
      </c>
      <c r="G243" s="2"/>
      <c r="H243" s="2" t="str">
        <f>IFERROR(__xludf.DUMMYFUNCTION("IF(G243&lt;&gt;"""", GOOGLETRANSLATE(G243, ""en"", ""te""),"""")"),"")</f>
        <v/>
      </c>
      <c r="I243" s="3"/>
    </row>
    <row r="244" customHeight="1" spans="1:9">
      <c r="A244" s="2"/>
      <c r="B244" s="2" t="str">
        <f>IFERROR(__xludf.DUMMYFUNCTION("IF(A244&lt;&gt;"""", GOOGLETRANSLATE(A244, ""en"", ""te""),"""")"),"")</f>
        <v/>
      </c>
      <c r="C244" s="2"/>
      <c r="D244" s="2" t="str">
        <f>IFERROR(__xludf.DUMMYFUNCTION("IF(C244&lt;&gt;"""", GOOGLETRANSLATE(C244, ""en"", ""te""),"""")"),"")</f>
        <v/>
      </c>
      <c r="E244" s="2"/>
      <c r="F244" s="2" t="str">
        <f>IFERROR(__xludf.DUMMYFUNCTION("IF(E244&lt;&gt;"""", GOOGLETRANSLATE(E244, ""en"", ""te""),"""")"),"")</f>
        <v/>
      </c>
      <c r="G244" s="2" t="s">
        <v>172</v>
      </c>
      <c r="H244" s="2" t="str">
        <f>IFERROR(__xludf.DUMMYFUNCTION("IF(G244&lt;&gt;"""", GOOGLETRANSLATE(G244, ""en"", ""te""),"""")"),"[ '43 వ అత్యధిక పరుగులు ఇన్నింగ్స్ లో సాధించిన (56)', 'తొమ్మిదవ వికెట్కు 26 అత్యధిక భాగస్వామ్యం (31 *)', 'పదవ వికెట్కు 24 అత్యధిక భాగస్వామ్యం (20)']")</f>
        <v>[ '43 వ అత్యధిక పరుగులు ఇన్నింగ్స్ లో సాధించిన (56)', 'తొమ్మిదవ వికెట్కు 26 అత్యధిక భాగస్వామ్యం (31 *)', 'పదవ వికెట్కు 24 అత్యధిక భాగస్వామ్యం (20)']</v>
      </c>
      <c r="I244" s="3"/>
    </row>
    <row r="245" customHeight="1" spans="1:9">
      <c r="A245" s="2"/>
      <c r="B245" s="2" t="str">
        <f>IFERROR(__xludf.DUMMYFUNCTION("IF(A245&lt;&gt;"""", GOOGLETRANSLATE(A245, ""en"", ""te""),"""")"),"")</f>
        <v/>
      </c>
      <c r="C245" s="2"/>
      <c r="D245" s="2" t="str">
        <f>IFERROR(__xludf.DUMMYFUNCTION("IF(C245&lt;&gt;"""", GOOGLETRANSLATE(C245, ""en"", ""te""),"""")"),"")</f>
        <v/>
      </c>
      <c r="E245" s="2"/>
      <c r="F245" s="2" t="str">
        <f>IFERROR(__xludf.DUMMYFUNCTION("IF(E245&lt;&gt;"""", GOOGLETRANSLATE(E245, ""en"", ""te""),"""")"),"")</f>
        <v/>
      </c>
      <c r="G245" s="2"/>
      <c r="H245" s="2" t="str">
        <f>IFERROR(__xludf.DUMMYFUNCTION("IF(G245&lt;&gt;"""", GOOGLETRANSLATE(G245, ""en"", ""te""),"""")"),"")</f>
        <v/>
      </c>
      <c r="I245" s="3"/>
    </row>
    <row r="246" customHeight="1" spans="1:9">
      <c r="A246" s="2"/>
      <c r="B246" s="2" t="str">
        <f>IFERROR(__xludf.DUMMYFUNCTION("IF(A246&lt;&gt;"""", GOOGLETRANSLATE(A246, ""en"", ""te""),"""")"),"")</f>
        <v/>
      </c>
      <c r="C246" s="2"/>
      <c r="D246" s="2" t="str">
        <f>IFERROR(__xludf.DUMMYFUNCTION("IF(C246&lt;&gt;"""", GOOGLETRANSLATE(C246, ""en"", ""te""),"""")"),"")</f>
        <v/>
      </c>
      <c r="E246" s="2"/>
      <c r="F246" s="2" t="str">
        <f>IFERROR(__xludf.DUMMYFUNCTION("IF(E246&lt;&gt;"""", GOOGLETRANSLATE(E246, ""en"", ""te""),"""")"),"")</f>
        <v/>
      </c>
      <c r="G246" s="2"/>
      <c r="H246" s="2" t="str">
        <f>IFERROR(__xludf.DUMMYFUNCTION("IF(G246&lt;&gt;"""", GOOGLETRANSLATE(G246, ""en"", ""te""),"""")"),"")</f>
        <v/>
      </c>
      <c r="I246" s="3"/>
    </row>
    <row r="247" customHeight="1" spans="1:9">
      <c r="A247" s="2"/>
      <c r="B247" s="2" t="str">
        <f>IFERROR(__xludf.DUMMYFUNCTION("IF(A247&lt;&gt;"""", GOOGLETRANSLATE(A247, ""en"", ""te""),"""")"),"")</f>
        <v/>
      </c>
      <c r="C247" s="2"/>
      <c r="D247" s="2" t="str">
        <f>IFERROR(__xludf.DUMMYFUNCTION("IF(C247&lt;&gt;"""", GOOGLETRANSLATE(C247, ""en"", ""te""),"""")"),"")</f>
        <v/>
      </c>
      <c r="E247" s="2"/>
      <c r="F247" s="2" t="str">
        <f>IFERROR(__xludf.DUMMYFUNCTION("IF(E247&lt;&gt;"""", GOOGLETRANSLATE(E247, ""en"", ""te""),"""")"),"")</f>
        <v/>
      </c>
      <c r="G247" s="2"/>
      <c r="H247" s="2" t="str">
        <f>IFERROR(__xludf.DUMMYFUNCTION("IF(G247&lt;&gt;"""", GOOGLETRANSLATE(G247, ""en"", ""te""),"""")"),"")</f>
        <v/>
      </c>
      <c r="I247" s="3"/>
    </row>
    <row r="248" customHeight="1" spans="1:9">
      <c r="A248" s="2" t="s">
        <v>173</v>
      </c>
      <c r="B248" s="2" t="str">
        <f>IFERROR(__xludf.DUMMYFUNCTION("IF(A248&lt;&gt;"""", GOOGLETRANSLATE(A248, ""en"", ""te""),"""")"),"[ '6 వ అత్యధిక సమ్మె ఇన్నింగ్స్ లో రేటు (258.33)', '6 వ ఒక సిరీస్లో అత్యధిక బాతులు (3)']")</f>
        <v>[ '6 వ అత్యధిక సమ్మె ఇన్నింగ్స్ లో రేటు (258.33)', '6 వ ఒక సిరీస్లో అత్యధిక బాతులు (3)']</v>
      </c>
      <c r="C248" s="2" t="s">
        <v>174</v>
      </c>
      <c r="D248" s="2" t="str">
        <f>IFERROR(__xludf.DUMMYFUNCTION("IF(C248&lt;&gt;"""", GOOGLETRANSLATE(C248, ""en"", ""te""),"""")"),"[ '6 వ అత్యధిక సమ్మె ఇన్నింగ్స్ లో రేటు (258.33)', '11 వ ఒక సిరీస్లో అత్యధిక బాతులు (4)']")</f>
        <v>[ '6 వ అత్యధిక సమ్మె ఇన్నింగ్స్ లో రేటు (258.33)', '11 వ ఒక సిరీస్లో అత్యధిక బాతులు (4)']</v>
      </c>
      <c r="E248" s="2" t="s">
        <v>175</v>
      </c>
      <c r="F248" s="2" t="str">
        <f>IFERROR(__xludf.DUMMYFUNCTION("IF(E248&lt;&gt;"""", GOOGLETRANSLATE(E248, ""en"", ""te""),"""")"),"[ 'ఒక సిరీస్లో 6 వ అత్యంత బాతులు (3)']")</f>
        <v>[ 'ఒక సిరీస్లో 6 వ అత్యంత బాతులు (3)']</v>
      </c>
      <c r="G248" s="2"/>
      <c r="H248" s="2" t="str">
        <f>IFERROR(__xludf.DUMMYFUNCTION("IF(G248&lt;&gt;"""", GOOGLETRANSLATE(G248, ""en"", ""te""),"""")"),"")</f>
        <v/>
      </c>
      <c r="I248" s="3"/>
    </row>
    <row r="249" customHeight="1" spans="1:9">
      <c r="A249" s="2"/>
      <c r="B249" s="2" t="str">
        <f>IFERROR(__xludf.DUMMYFUNCTION("IF(A249&lt;&gt;"""", GOOGLETRANSLATE(A249, ""en"", ""te""),"""")"),"")</f>
        <v/>
      </c>
      <c r="C249" s="2"/>
      <c r="D249" s="2" t="str">
        <f>IFERROR(__xludf.DUMMYFUNCTION("IF(C249&lt;&gt;"""", GOOGLETRANSLATE(C249, ""en"", ""te""),"""")"),"")</f>
        <v/>
      </c>
      <c r="E249" s="2"/>
      <c r="F249" s="2" t="str">
        <f>IFERROR(__xludf.DUMMYFUNCTION("IF(E249&lt;&gt;"""", GOOGLETRANSLATE(E249, ""en"", ""te""),"""")"),"")</f>
        <v/>
      </c>
      <c r="G249" s="2"/>
      <c r="H249" s="2" t="str">
        <f>IFERROR(__xludf.DUMMYFUNCTION("IF(G249&lt;&gt;"""", GOOGLETRANSLATE(G249, ""en"", ""te""),"""")"),"")</f>
        <v/>
      </c>
      <c r="I249" s="3"/>
    </row>
    <row r="250" customHeight="1" spans="1:9">
      <c r="A250" s="2"/>
      <c r="B250" s="2" t="str">
        <f>IFERROR(__xludf.DUMMYFUNCTION("IF(A250&lt;&gt;"""", GOOGLETRANSLATE(A250, ""en"", ""te""),"""")"),"")</f>
        <v/>
      </c>
      <c r="C250" s="2"/>
      <c r="D250" s="2" t="str">
        <f>IFERROR(__xludf.DUMMYFUNCTION("IF(C250&lt;&gt;"""", GOOGLETRANSLATE(C250, ""en"", ""te""),"""")"),"")</f>
        <v/>
      </c>
      <c r="E250" s="2"/>
      <c r="F250" s="2" t="str">
        <f>IFERROR(__xludf.DUMMYFUNCTION("IF(E250&lt;&gt;"""", GOOGLETRANSLATE(E250, ""en"", ""te""),"""")"),"")</f>
        <v/>
      </c>
      <c r="G250" s="2"/>
      <c r="H250" s="2" t="str">
        <f>IFERROR(__xludf.DUMMYFUNCTION("IF(G250&lt;&gt;"""", GOOGLETRANSLATE(G250, ""en"", ""te""),"""")"),"")</f>
        <v/>
      </c>
      <c r="I250" s="3"/>
    </row>
    <row r="251" customHeight="1" spans="1:9">
      <c r="A251" s="2" t="s">
        <v>176</v>
      </c>
      <c r="B251" s="2" t="str">
        <f>IFERROR(__xludf.DUMMYFUNCTION("IF(A251&lt;&gt;"""", GOOGLETRANSLATE(A251, ""en"", ""te""),"""")"),"[ 'ఇన్నింగ్స్ లో 4 వ అత్యధిక క్యాచ్లు (3)', 'బ్యాటింగ్ తెరవడం మరియు అదే మ్యాచ్ లో బౌలింగ్', '4 వ అత్యధిక వికెట్లు తీసుకున్న క్యాచ్ మరియు బౌల్డ్ (6)', రెండవ వికెట్కు '2 వ అత్యధిక భాగస్వామ్యం (162 *) ']")</f>
        <v>[ 'ఇన్నింగ్స్ లో 4 వ అత్యధిక క్యాచ్లు (3)', 'బ్యాటింగ్ తెరవడం మరియు అదే మ్యాచ్ లో బౌలింగ్', '4 వ అత్యధిక వికెట్లు తీసుకున్న క్యాచ్ మరియు బౌల్డ్ (6)', రెండవ వికెట్కు '2 వ అత్యధిక భాగస్వామ్యం (162 *) ']</v>
      </c>
      <c r="C251" s="2"/>
      <c r="D251" s="2" t="str">
        <f>IFERROR(__xludf.DUMMYFUNCTION("IF(C251&lt;&gt;"""", GOOGLETRANSLATE(C251, ""en"", ""te""),"""")"),"")</f>
        <v/>
      </c>
      <c r="E251" s="2" t="s">
        <v>177</v>
      </c>
      <c r="F251" s="2" t="str">
        <f>IFERROR(__xludf.DUMMYFUNCTION("IF(E251&lt;&gt;"""", GOOGLETRANSLATE(E251, ""en"", ""te""),"""")"),"[ '42 వ ఒక సిరీస్లో అత్యధిక పరుగులు (478)', '45 వ పరాజయం వైపు ఒక మ్యాచ్లో అత్యధిక పరుగులు (89)', '23 వ తొలి మ్యాచ్లో అత్యధిక పరుగులు (55)', '27 వ అత్యధిక తొలి వంద (117)' 'వంద (20y 187d) స్కోర్ 15 పిన్న ఆటగాడు', 'వరుస ఇన్నింగ్స్ (3) 28 వ యాభైల్లో' 'వరుస "&amp;"25 వ అత్యధిక వికెట్లు (22)', '11 వ ఉత్తమ ఇన్నింగ్స్ లో సంఖ్యలు కోల్పోకుండా వైపు ఉన్నప్పుడు (4) ',' 44 వ ఉత్తమ కెరీర్ సమ్మె రేటు (35.8) ',' 33 వ చెత్త కెరీర్లో ఆర్థిక రేటు (4.24) ',' 31 అత్యధిక వికెట్లు తీసుకున్న క్యాచ్ మరియు బౌల్డ్ (5) ',' 4 వ ఇన్నింగ్స్"&amp;" లో అత్యధిక క్యాచ్లు (3) ',' 8 వ ఒక సిరీస్లో అత్యధిక క్యాచ్లు (11) ',' ఏ వికెట్కు 47 వ అత్యధిక భాగస్వామ్యాల (176) ',' రెండవ వికెట్కు 14 అత్యధిక భాగస్వామ్యం (176) ',' ఒక జట్టుకు 49 వ వరుస మ్యాచ్లు (39) ',' 43 వ పిన్న క్రీడాకారులు (16y 237d) ']")</f>
        <v>[ '42 వ ఒక సిరీస్లో అత్యధిక పరుగులు (478)', '45 వ పరాజయం వైపు ఒక మ్యాచ్లో అత్యధిక పరుగులు (89)', '23 వ తొలి మ్యాచ్లో అత్యధిక పరుగులు (55)', '27 వ అత్యధిక తొలి వంద (117)' 'వంద (20y 187d) స్కోర్ 15 పిన్న ఆటగాడు', 'వరుస ఇన్నింగ్స్ (3) 28 వ యాభైల్లో' 'వరుస 25 వ అత్యధిక వికెట్లు (22)', '11 వ ఉత్తమ ఇన్నింగ్స్ లో సంఖ్యలు కోల్పోకుండా వైపు ఉన్నప్పుడు (4) ',' 44 వ ఉత్తమ కెరీర్ సమ్మె రేటు (35.8) ',' 33 వ చెత్త కెరీర్లో ఆర్థిక రేటు (4.24) ',' 31 అత్యధిక వికెట్లు తీసుకున్న క్యాచ్ మరియు బౌల్డ్ (5) ',' 4 వ ఇన్నింగ్స్ లో అత్యధిక క్యాచ్లు (3) ',' 8 వ ఒక సిరీస్లో అత్యధిక క్యాచ్లు (11) ',' ఏ వికెట్కు 47 వ అత్యధిక భాగస్వామ్యాల (176) ',' రెండవ వికెట్కు 14 అత్యధిక భాగస్వామ్యం (176) ',' ఒక జట్టుకు 49 వ వరుస మ్యాచ్లు (39) ',' 43 వ పిన్న క్రీడాకారులు (16y 237d) ']</v>
      </c>
      <c r="G251" s="2" t="s">
        <v>178</v>
      </c>
      <c r="H251" s="2" t="str">
        <f>IFERROR(__xludf.DUMMYFUNCTION("IF(G251&lt;&gt;"""", GOOGLETRANSLATE(G251, ""en"", ""te""),"""")"),"[ '35 వ కెరీర్ లో అత్యధిక పరుగులు (986)', '21 వ ఇన్నింగ్స్ లో అత్యధిక పరుగులు (107 *) ',' 14 వ ఇన్నింగ్స్ లో అత్యధిక పరుగులు (బ్యాటింగ్ స్థానంలో ప్రకారం) (107 *) ',' 17 వ మ్యాచ్ లో అత్యధిక పరుగులు పరాజయం వైపు (70) ',' 23 వ కెరీర్ అర్ధ (5) ',' 16 వ కెరీర్"&amp;" బాతులు (6) ',' ఒక ఇన్నింగ్స్లో పరుగుల 34 వ అత్యధిక శాతం (56.91) ',' 36 వ అత్యధిక వికెట్లు కెరీర్లో (51) ',' 27th బౌలింగ్ ఉత్తమ కెరీర్ సగటు (18.00) ',' 18 వ ఉత్తమ కెరీర్ సమ్మె రేటు (17.9) ',' ఇన్నింగ్స్ (4.0) ',' 13 వ అత్యంత నాలుగు వికెట్ల లో 33 వ ఉత్తమ స"&amp;"మ్మె రేటు ఒక వృత్తిలో -an-ఇన్నింగ్స్ (2) ',' 45 వ కెరీర్ లో బౌల్డ్ చాలా బంతుల్లో (917) ',' 44 వ అత్యధిక పరుగులు కెరీర్లో సాధించిన (918) ',' 23 వ అత్యధిక వికెట్లు ఆకర్షించింది తీసుకోకూడదు (35) ',' 4 వ అత్యంత వికెట్లు తీసుకున్న క్యాచ్ మరియు బౌల్డ్ (6) ',' 2"&amp;"2 వ అత్యధిక వికెట్లు ఫీల్డర్ చేత (31) ',' 32 వ అత్యధిక వికెట్లు కెరీర్లో తీసుకున్న స్టంప్ (6) ',' 34 వ అత్యధిక క్యాచ్లు (23) ',' 11 వ అత్యధిక భాగస్వామ్యాలు ఆకర్షించింది తీసుకున్న ఏ వికెట్కు (162 *) కోసం ',' మొదటి వికెట్కు 22 అత్యధిక భాగస్వామ్యం (120) ',' "&amp;"రెండవ వికెట్కు 2 వ అత్యధిక భాగస్వామ్యం (162 *) ']")</f>
        <v>[ '35 వ కెరీర్ లో అత్యధిక పరుగులు (986)', '21 వ ఇన్నింగ్స్ లో అత్యధిక పరుగులు (107 *) ',' 14 వ ఇన్నింగ్స్ లో అత్యధిక పరుగులు (బ్యాటింగ్ స్థానంలో ప్రకారం) (107 *) ',' 17 వ మ్యాచ్ లో అత్యధిక పరుగులు పరాజయం వైపు (70) ',' 23 వ కెరీర్ అర్ధ (5) ',' 16 వ కెరీర్ బాతులు (6) ',' ఒక ఇన్నింగ్స్లో పరుగుల 34 వ అత్యధిక శాతం (56.91) ',' 36 వ అత్యధిక వికెట్లు కెరీర్లో (51) ',' 27th బౌలింగ్ ఉత్తమ కెరీర్ సగటు (18.00) ',' 18 వ ఉత్తమ కెరీర్ సమ్మె రేటు (17.9) ',' ఇన్నింగ్స్ (4.0) ',' 13 వ అత్యంత నాలుగు వికెట్ల లో 33 వ ఉత్తమ సమ్మె రేటు ఒక వృత్తిలో -an-ఇన్నింగ్స్ (2) ',' 45 వ కెరీర్ లో బౌల్డ్ చాలా బంతుల్లో (917) ',' 44 వ అత్యధిక పరుగులు కెరీర్లో సాధించిన (918) ',' 23 వ అత్యధిక వికెట్లు ఆకర్షించింది తీసుకోకూడదు (35) ',' 4 వ అత్యంత వికెట్లు తీసుకున్న క్యాచ్ మరియు బౌల్డ్ (6) ',' 22 వ అత్యధిక వికెట్లు ఫీల్డర్ చేత (31) ',' 32 వ అత్యధిక వికెట్లు కెరీర్లో తీసుకున్న స్టంప్ (6) ',' 34 వ అత్యధిక క్యాచ్లు (23) ',' 11 వ అత్యధిక భాగస్వామ్యాలు ఆకర్షించింది తీసుకున్న ఏ వికెట్కు (162 *) కోసం ',' మొదటి వికెట్కు 22 అత్యధిక భాగస్వామ్యం (120) ',' రెండవ వికెట్కు 2 వ అత్యధిక భాగస్వామ్యం (162 *) ']</v>
      </c>
      <c r="I251" s="3"/>
    </row>
    <row r="252" customHeight="1" spans="1:9">
      <c r="A252" s="2"/>
      <c r="B252" s="2" t="str">
        <f>IFERROR(__xludf.DUMMYFUNCTION("IF(A252&lt;&gt;"""", GOOGLETRANSLATE(A252, ""en"", ""te""),"""")"),"")</f>
        <v/>
      </c>
      <c r="C252" s="2"/>
      <c r="D252" s="2" t="str">
        <f>IFERROR(__xludf.DUMMYFUNCTION("IF(C252&lt;&gt;"""", GOOGLETRANSLATE(C252, ""en"", ""te""),"""")"),"")</f>
        <v/>
      </c>
      <c r="E252" s="2"/>
      <c r="F252" s="2" t="str">
        <f>IFERROR(__xludf.DUMMYFUNCTION("IF(E252&lt;&gt;"""", GOOGLETRANSLATE(E252, ""en"", ""te""),"""")"),"")</f>
        <v/>
      </c>
      <c r="G252" s="2"/>
      <c r="H252" s="2" t="str">
        <f>IFERROR(__xludf.DUMMYFUNCTION("IF(G252&lt;&gt;"""", GOOGLETRANSLATE(G252, ""en"", ""te""),"""")"),"")</f>
        <v/>
      </c>
      <c r="I252" s="3"/>
    </row>
    <row r="253" customHeight="1" spans="1:9">
      <c r="A253" s="2" t="s">
        <v>179</v>
      </c>
      <c r="B253" s="2" t="str">
        <f>IFERROR(__xludf.DUMMYFUNCTION("IF(A253&lt;&gt;"""", GOOGLETRANSLATE(A253, ""en"", ""te""),"""")"),"[200 పరుగులు మరియు ఒక సిరీస్లో 10 వికెట్కీపింగ్ తొలగింపులకు ']")</f>
        <v>[200 పరుగులు మరియు ఒక సిరీస్లో 10 వికెట్కీపింగ్ తొలగింపులకు ']</v>
      </c>
      <c r="C253" s="2" t="s">
        <v>180</v>
      </c>
      <c r="D253" s="2" t="str">
        <f>IFERROR(__xludf.DUMMYFUNCTION("IF(C253&lt;&gt;"""", GOOGLETRANSLATE(C253, ""en"", ""te""),"""")"),"[ '47 వ కెరీర్ లో అత్యధిక వికెట్లు (101)', '35 వ మ్యాచ్ లో అత్యధిక వికెట్లు (8)', '43 వ కెరీర్ లో అత్యధిక క్యాచ్లు (98)', '26 ఒక మ్యాచ్ (8) లో అత్యధిక క్యాచ్లు']")</f>
        <v>[ '47 వ కెరీర్ లో అత్యధిక వికెట్లు (101)', '35 వ మ్యాచ్ లో అత్యధిక వికెట్లు (8)', '43 వ కెరీర్ లో అత్యధిక క్యాచ్లు (98)', '26 ఒక మ్యాచ్ (8) లో అత్యధిక క్యాచ్లు']</v>
      </c>
      <c r="E253" s="2" t="s">
        <v>181</v>
      </c>
      <c r="F253" s="2" t="str">
        <f>IFERROR(__xludf.DUMMYFUNCTION("IF(E253&lt;&gt;"""", GOOGLETRANSLATE(E253, ""en"", ""te""),"""")"),"[ '27 వ వికెట్కీపర్ శ్రేణిలో పరుగులు (342)', '46 వ ఒక సిరీస్లో అత్యధిక వికెట్లు (14)', '50 వ కెరీర్ (44) లో అత్యధిక క్యాచ్లు']")</f>
        <v>[ '27 వ వికెట్కీపర్ శ్రేణిలో పరుగులు (342)', '46 వ ఒక సిరీస్లో అత్యధిక వికెట్లు (14)', '50 వ కెరీర్ (44) లో అత్యధిక క్యాచ్లు']</v>
      </c>
      <c r="G253" s="2"/>
      <c r="H253" s="2" t="str">
        <f>IFERROR(__xludf.DUMMYFUNCTION("IF(G253&lt;&gt;"""", GOOGLETRANSLATE(G253, ""en"", ""te""),"""")"),"")</f>
        <v/>
      </c>
      <c r="I253" s="3"/>
    </row>
    <row r="254" customHeight="1" spans="1:9">
      <c r="A254" s="2"/>
      <c r="B254" s="2" t="str">
        <f>IFERROR(__xludf.DUMMYFUNCTION("IF(A254&lt;&gt;"""", GOOGLETRANSLATE(A254, ""en"", ""te""),"""")"),"")</f>
        <v/>
      </c>
      <c r="C254" s="2"/>
      <c r="D254" s="2" t="str">
        <f>IFERROR(__xludf.DUMMYFUNCTION("IF(C254&lt;&gt;"""", GOOGLETRANSLATE(C254, ""en"", ""te""),"""")"),"")</f>
        <v/>
      </c>
      <c r="E254" s="2"/>
      <c r="F254" s="2" t="str">
        <f>IFERROR(__xludf.DUMMYFUNCTION("IF(E254&lt;&gt;"""", GOOGLETRANSLATE(E254, ""en"", ""te""),"""")"),"")</f>
        <v/>
      </c>
      <c r="G254" s="2"/>
      <c r="H254" s="2" t="str">
        <f>IFERROR(__xludf.DUMMYFUNCTION("IF(G254&lt;&gt;"""", GOOGLETRANSLATE(G254, ""en"", ""te""),"""")"),"")</f>
        <v/>
      </c>
      <c r="I254" s="3"/>
    </row>
    <row r="255" customHeight="1" spans="1:9">
      <c r="A255" s="2"/>
      <c r="B255" s="2" t="str">
        <f>IFERROR(__xludf.DUMMYFUNCTION("IF(A255&lt;&gt;"""", GOOGLETRANSLATE(A255, ""en"", ""te""),"""")"),"")</f>
        <v/>
      </c>
      <c r="C255" s="2"/>
      <c r="D255" s="2" t="str">
        <f>IFERROR(__xludf.DUMMYFUNCTION("IF(C255&lt;&gt;"""", GOOGLETRANSLATE(C255, ""en"", ""te""),"""")"),"")</f>
        <v/>
      </c>
      <c r="E255" s="2"/>
      <c r="F255" s="2" t="str">
        <f>IFERROR(__xludf.DUMMYFUNCTION("IF(E255&lt;&gt;"""", GOOGLETRANSLATE(E255, ""en"", ""te""),"""")"),"")</f>
        <v/>
      </c>
      <c r="G255" s="2"/>
      <c r="H255" s="2" t="str">
        <f>IFERROR(__xludf.DUMMYFUNCTION("IF(G255&lt;&gt;"""", GOOGLETRANSLATE(G255, ""en"", ""te""),"""")"),"")</f>
        <v/>
      </c>
      <c r="I255" s="3"/>
    </row>
    <row r="256" customHeight="1" spans="1:9">
      <c r="A256" s="2" t="s">
        <v>182</v>
      </c>
      <c r="B256" s="2" t="str">
        <f>IFERROR(__xludf.DUMMYFUNCTION("IF(A256&lt;&gt;"""", GOOGLETRANSLATE(A256, ""en"", ""te""),"""")"),"[ 'ఒక మ్యాచ్ (9) 8 వ ఎక్కువ సార్లు అవుట్' 'ఒక మ్యాచ్ (9) 8 వ అత్యధిక క్యాచ్లు']")</f>
        <v>[ 'ఒక మ్యాచ్ (9) 8 వ ఎక్కువ సార్లు అవుట్' 'ఒక మ్యాచ్ (9) 8 వ అత్యధిక క్యాచ్లు']</v>
      </c>
      <c r="C256" s="2" t="s">
        <v>182</v>
      </c>
      <c r="D256" s="2" t="str">
        <f>IFERROR(__xludf.DUMMYFUNCTION("IF(C256&lt;&gt;"""", GOOGLETRANSLATE(C256, ""en"", ""te""),"""")"),"[ 'ఒక మ్యాచ్ (9) 8 వ ఎక్కువ సార్లు అవుట్' 'ఒక మ్యాచ్ (9) 8 వ అత్యధిక క్యాచ్లు']")</f>
        <v>[ 'ఒక మ్యాచ్ (9) 8 వ ఎక్కువ సార్లు అవుట్' 'ఒక మ్యాచ్ (9) 8 వ అత్యధిక క్యాచ్లు']</v>
      </c>
      <c r="E256" s="2"/>
      <c r="F256" s="2" t="str">
        <f>IFERROR(__xludf.DUMMYFUNCTION("IF(E256&lt;&gt;"""", GOOGLETRANSLATE(E256, ""en"", ""te""),"""")"),"")</f>
        <v/>
      </c>
      <c r="G256" s="2"/>
      <c r="H256" s="2" t="str">
        <f>IFERROR(__xludf.DUMMYFUNCTION("IF(G256&lt;&gt;"""", GOOGLETRANSLATE(G256, ""en"", ""te""),"""")"),"")</f>
        <v/>
      </c>
      <c r="I256" s="3"/>
    </row>
    <row r="257" customHeight="1" spans="1:9">
      <c r="A257" s="2"/>
      <c r="B257" s="2" t="str">
        <f>IFERROR(__xludf.DUMMYFUNCTION("IF(A257&lt;&gt;"""", GOOGLETRANSLATE(A257, ""en"", ""te""),"""")"),"")</f>
        <v/>
      </c>
      <c r="C257" s="2"/>
      <c r="D257" s="2" t="str">
        <f>IFERROR(__xludf.DUMMYFUNCTION("IF(C257&lt;&gt;"""", GOOGLETRANSLATE(C257, ""en"", ""te""),"""")"),"")</f>
        <v/>
      </c>
      <c r="E257" s="2"/>
      <c r="F257" s="2" t="str">
        <f>IFERROR(__xludf.DUMMYFUNCTION("IF(E257&lt;&gt;"""", GOOGLETRANSLATE(E257, ""en"", ""te""),"""")"),"")</f>
        <v/>
      </c>
      <c r="G257" s="2"/>
      <c r="H257" s="2" t="str">
        <f>IFERROR(__xludf.DUMMYFUNCTION("IF(G257&lt;&gt;"""", GOOGLETRANSLATE(G257, ""en"", ""te""),"""")"),"")</f>
        <v/>
      </c>
      <c r="I257" s="3"/>
    </row>
    <row r="258" customHeight="1" spans="1:9">
      <c r="A258" s="2"/>
      <c r="B258" s="2" t="str">
        <f>IFERROR(__xludf.DUMMYFUNCTION("IF(A258&lt;&gt;"""", GOOGLETRANSLATE(A258, ""en"", ""te""),"""")"),"")</f>
        <v/>
      </c>
      <c r="C258" s="2"/>
      <c r="D258" s="2" t="str">
        <f>IFERROR(__xludf.DUMMYFUNCTION("IF(C258&lt;&gt;"""", GOOGLETRANSLATE(C258, ""en"", ""te""),"""")"),"")</f>
        <v/>
      </c>
      <c r="E258" s="2" t="s">
        <v>183</v>
      </c>
      <c r="F258" s="2" t="str">
        <f>IFERROR(__xludf.DUMMYFUNCTION("IF(E258&lt;&gt;"""", GOOGLETRANSLATE(E258, ""en"", ""te""),"""")"),"[ '35 వ లాంగెస్ట్ క్రీడాకారులు నివసించారు (63y 32d)']")</f>
        <v>[ '35 వ లాంగెస్ట్ క్రీడాకారులు నివసించారు (63y 32d)']</v>
      </c>
      <c r="G258" s="2"/>
      <c r="H258" s="2" t="str">
        <f>IFERROR(__xludf.DUMMYFUNCTION("IF(G258&lt;&gt;"""", GOOGLETRANSLATE(G258, ""en"", ""te""),"""")"),"")</f>
        <v/>
      </c>
      <c r="I258" s="3"/>
    </row>
    <row r="259" customHeight="1" spans="1:9">
      <c r="A259" s="2" t="s">
        <v>184</v>
      </c>
      <c r="B259" s="2" t="str">
        <f>IFERROR(__xludf.DUMMYFUNCTION("IF(A259&lt;&gt;"""", GOOGLETRANSLATE(A259, ""en"", ""te""),"""")"),"[ 'గత మ్యాచ్లో 9 వ హండ్రెడ్ (123 *)']")</f>
        <v>[ 'గత మ్యాచ్లో 9 వ హండ్రెడ్ (123 *)']</v>
      </c>
      <c r="C259" s="2" t="s">
        <v>185</v>
      </c>
      <c r="D259" s="2" t="str">
        <f>IFERROR(__xludf.DUMMYFUNCTION("IF(C259&lt;&gt;"""", GOOGLETRANSLATE(C259, ""en"", ""te""),"""")"),"[ 'గత మ్యాచ్ (123 *) లో 9 వ హండ్రెడ్', '12 వ అత్యంత వృద్ధ ఆటగాడు తొలి వంద (37y 138d) స్కోర్']")</f>
        <v>[ 'గత మ్యాచ్ (123 *) లో 9 వ హండ్రెడ్', '12 వ అత్యంత వృద్ధ ఆటగాడు తొలి వంద (37y 138d) స్కోర్']</v>
      </c>
      <c r="E259" s="2"/>
      <c r="F259" s="2" t="str">
        <f>IFERROR(__xludf.DUMMYFUNCTION("IF(E259&lt;&gt;"""", GOOGLETRANSLATE(E259, ""en"", ""te""),"""")"),"")</f>
        <v/>
      </c>
      <c r="G259" s="2"/>
      <c r="H259" s="2" t="str">
        <f>IFERROR(__xludf.DUMMYFUNCTION("IF(G259&lt;&gt;"""", GOOGLETRANSLATE(G259, ""en"", ""te""),"""")"),"")</f>
        <v/>
      </c>
      <c r="I259" s="3"/>
    </row>
    <row r="260" customHeight="1" spans="1:9">
      <c r="A260" s="2"/>
      <c r="B260" s="2" t="str">
        <f>IFERROR(__xludf.DUMMYFUNCTION("IF(A260&lt;&gt;"""", GOOGLETRANSLATE(A260, ""en"", ""te""),"""")"),"")</f>
        <v/>
      </c>
      <c r="C260" s="2"/>
      <c r="D260" s="2" t="str">
        <f>IFERROR(__xludf.DUMMYFUNCTION("IF(C260&lt;&gt;"""", GOOGLETRANSLATE(C260, ""en"", ""te""),"""")"),"")</f>
        <v/>
      </c>
      <c r="E260" s="2"/>
      <c r="F260" s="2" t="str">
        <f>IFERROR(__xludf.DUMMYFUNCTION("IF(E260&lt;&gt;"""", GOOGLETRANSLATE(E260, ""en"", ""te""),"""")"),"")</f>
        <v/>
      </c>
      <c r="G260" s="2"/>
      <c r="H260" s="2" t="str">
        <f>IFERROR(__xludf.DUMMYFUNCTION("IF(G260&lt;&gt;"""", GOOGLETRANSLATE(G260, ""en"", ""te""),"""")"),"")</f>
        <v/>
      </c>
      <c r="I260" s="3"/>
    </row>
    <row r="261" customHeight="1" spans="1:9">
      <c r="A261" s="2"/>
      <c r="B261" s="2" t="str">
        <f>IFERROR(__xludf.DUMMYFUNCTION("IF(A261&lt;&gt;"""", GOOGLETRANSLATE(A261, ""en"", ""te""),"""")"),"")</f>
        <v/>
      </c>
      <c r="C261" s="2"/>
      <c r="D261" s="2" t="str">
        <f>IFERROR(__xludf.DUMMYFUNCTION("IF(C261&lt;&gt;"""", GOOGLETRANSLATE(C261, ""en"", ""te""),"""")"),"")</f>
        <v/>
      </c>
      <c r="E261" s="2"/>
      <c r="F261" s="2" t="str">
        <f>IFERROR(__xludf.DUMMYFUNCTION("IF(E261&lt;&gt;"""", GOOGLETRANSLATE(E261, ""en"", ""te""),"""")"),"")</f>
        <v/>
      </c>
      <c r="G261" s="2"/>
      <c r="H261" s="2" t="str">
        <f>IFERROR(__xludf.DUMMYFUNCTION("IF(G261&lt;&gt;"""", GOOGLETRANSLATE(G261, ""en"", ""te""),"""")"),"")</f>
        <v/>
      </c>
      <c r="I261" s="3"/>
    </row>
    <row r="262" customHeight="1" spans="1:9">
      <c r="A262" s="2" t="s">
        <v>186</v>
      </c>
      <c r="B262" s="2" t="str">
        <f>IFERROR(__xludf.DUMMYFUNCTION("IF(A262&lt;&gt;"""", GOOGLETRANSLATE(A262, ""en"", ""te""),"""")"),"[ '2nd లాంగెస్ట్ క్రీడాకారులు నివసించారు (33y 226d)', 'ఏడవ వికెట్కు 6 వ అత్యధిక భాగస్వామ్యం (73)']")</f>
        <v>[ '2nd లాంగెస్ట్ క్రీడాకారులు నివసించారు (33y 226d)', 'ఏడవ వికెట్కు 6 వ అత్యధిక భాగస్వామ్యం (73)']</v>
      </c>
      <c r="C262" s="2" t="s">
        <v>187</v>
      </c>
      <c r="D262" s="2" t="str">
        <f>IFERROR(__xludf.DUMMYFUNCTION("IF(C262&lt;&gt;"""", GOOGLETRANSLATE(C262, ""en"", ""te""),"""")"),"[ '36 వ షార్టేస్ట్ నివసించారు క్రీడాకారులు (33y 226d)']")</f>
        <v>[ '36 వ షార్టేస్ట్ నివసించారు క్రీడాకారులు (33y 226d)']</v>
      </c>
      <c r="E262" s="2" t="s">
        <v>188</v>
      </c>
      <c r="F262" s="2" t="str">
        <f>IFERROR(__xludf.DUMMYFUNCTION("IF(E262&lt;&gt;"""", GOOGLETRANSLATE(E262, ""en"", ""te""),"""")"),"[ '12 వ షార్టేస్ట్ నివసించారు క్రీడాకారులు (33y 226d)']")</f>
        <v>[ '12 వ షార్టేస్ట్ నివసించారు క్రీడాకారులు (33y 226d)']</v>
      </c>
      <c r="G262" s="2" t="s">
        <v>189</v>
      </c>
      <c r="H262" s="2" t="str">
        <f>IFERROR(__xludf.DUMMYFUNCTION("IF(G262&lt;&gt;"""", GOOGLETRANSLATE(G262, ""en"", ""te""),"""")"),"[ 'ఏడవ వికెట్కు 6 వ అత్యధిక భాగస్వామ్యం (73)', '2 వ లాంగెస్ట్ క్రీడాకారులు నివసించారు (33y 226d)']")</f>
        <v>[ 'ఏడవ వికెట్కు 6 వ అత్యధిక భాగస్వామ్యం (73)', '2 వ లాంగెస్ట్ క్రీడాకారులు నివసించారు (33y 226d)']</v>
      </c>
      <c r="I262" s="3"/>
    </row>
    <row r="263" customHeight="1" spans="1:9">
      <c r="A263" s="2"/>
      <c r="B263" s="2" t="str">
        <f>IFERROR(__xludf.DUMMYFUNCTION("IF(A263&lt;&gt;"""", GOOGLETRANSLATE(A263, ""en"", ""te""),"""")"),"")</f>
        <v/>
      </c>
      <c r="C263" s="2"/>
      <c r="D263" s="2" t="str">
        <f>IFERROR(__xludf.DUMMYFUNCTION("IF(C263&lt;&gt;"""", GOOGLETRANSLATE(C263, ""en"", ""te""),"""")"),"")</f>
        <v/>
      </c>
      <c r="E263" s="2"/>
      <c r="F263" s="2" t="str">
        <f>IFERROR(__xludf.DUMMYFUNCTION("IF(E263&lt;&gt;"""", GOOGLETRANSLATE(E263, ""en"", ""te""),"""")"),"")</f>
        <v/>
      </c>
      <c r="G263" s="2"/>
      <c r="H263" s="2" t="str">
        <f>IFERROR(__xludf.DUMMYFUNCTION("IF(G263&lt;&gt;"""", GOOGLETRANSLATE(G263, ""en"", ""te""),"""")"),"")</f>
        <v/>
      </c>
      <c r="I263" s="3"/>
    </row>
    <row r="264" customHeight="1" spans="1:9">
      <c r="A264" s="2"/>
      <c r="B264" s="2" t="str">
        <f>IFERROR(__xludf.DUMMYFUNCTION("IF(A264&lt;&gt;"""", GOOGLETRANSLATE(A264, ""en"", ""te""),"""")"),"")</f>
        <v/>
      </c>
      <c r="C264" s="2"/>
      <c r="D264" s="2" t="str">
        <f>IFERROR(__xludf.DUMMYFUNCTION("IF(C264&lt;&gt;"""", GOOGLETRANSLATE(C264, ""en"", ""te""),"""")"),"")</f>
        <v/>
      </c>
      <c r="E264" s="2"/>
      <c r="F264" s="2" t="str">
        <f>IFERROR(__xludf.DUMMYFUNCTION("IF(E264&lt;&gt;"""", GOOGLETRANSLATE(E264, ""en"", ""te""),"""")"),"")</f>
        <v/>
      </c>
      <c r="G264" s="2"/>
      <c r="H264" s="2" t="str">
        <f>IFERROR(__xludf.DUMMYFUNCTION("IF(G264&lt;&gt;"""", GOOGLETRANSLATE(G264, ""en"", ""te""),"""")"),"")</f>
        <v/>
      </c>
      <c r="I264" s="3"/>
    </row>
    <row r="265" customHeight="1" spans="1:9">
      <c r="A265" s="2" t="s">
        <v>190</v>
      </c>
      <c r="B265" s="2" t="str">
        <f>IFERROR(__xludf.DUMMYFUNCTION("IF(A265&lt;&gt;"""", GOOGLETRANSLATE(A265, ""en"", ""te""),"""")"),"[ '8 వ అత్యంత ఇన్నింగ్స్ లో నడుస్తుంది (బ్యాటింగ్ స్థానం) (23)']")</f>
        <v>[ '8 వ అత్యంత ఇన్నింగ్స్ లో నడుస్తుంది (బ్యాటింగ్ స్థానం) (23)']</v>
      </c>
      <c r="C265" s="2"/>
      <c r="D265" s="2" t="str">
        <f>IFERROR(__xludf.DUMMYFUNCTION("IF(C265&lt;&gt;"""", GOOGLETRANSLATE(C265, ""en"", ""te""),"""")"),"")</f>
        <v/>
      </c>
      <c r="E265" s="2"/>
      <c r="F265" s="2" t="str">
        <f>IFERROR(__xludf.DUMMYFUNCTION("IF(E265&lt;&gt;"""", GOOGLETRANSLATE(E265, ""en"", ""te""),"""")"),"")</f>
        <v/>
      </c>
      <c r="G265" s="2" t="s">
        <v>190</v>
      </c>
      <c r="H265" s="2" t="str">
        <f>IFERROR(__xludf.DUMMYFUNCTION("IF(G265&lt;&gt;"""", GOOGLETRANSLATE(G265, ""en"", ""te""),"""")"),"[ '8 వ అత్యంత ఇన్నింగ్స్ లో నడుస్తుంది (బ్యాటింగ్ స్థానం) (23)']")</f>
        <v>[ '8 వ అత్యంత ఇన్నింగ్స్ లో నడుస్తుంది (బ్యాటింగ్ స్థానం) (23)']</v>
      </c>
      <c r="I265" s="3"/>
    </row>
    <row r="266" customHeight="1" spans="1:9">
      <c r="A266" s="2" t="s">
        <v>191</v>
      </c>
      <c r="B266" s="2" t="str">
        <f>IFERROR(__xludf.DUMMYFUNCTION("IF(A266&lt;&gt;"""", GOOGLETRANSLATE(A266, ""en"", ""te""),"""")"),"[ 'ఇన్నింగ్స్ లో 4 వ అత్యధిక పరుగులు (బ్యాటింగ్ స్థానంలో ప్రకారం) (82)', 'పదవ వికెట్ను (62) కోసం 2 వ అత్యధిక భాగస్వామ్యం']")</f>
        <v>[ 'ఇన్నింగ్స్ లో 4 వ అత్యధిక పరుగులు (బ్యాటింగ్ స్థానంలో ప్రకారం) (82)', 'పదవ వికెట్ను (62) కోసం 2 వ అత్యధిక భాగస్వామ్యం']</v>
      </c>
      <c r="C266" s="2"/>
      <c r="D266" s="2" t="str">
        <f>IFERROR(__xludf.DUMMYFUNCTION("IF(C266&lt;&gt;"""", GOOGLETRANSLATE(C266, ""en"", ""te""),"""")"),"")</f>
        <v/>
      </c>
      <c r="E266" s="2" t="s">
        <v>192</v>
      </c>
      <c r="F266" s="2" t="str">
        <f>IFERROR(__xludf.DUMMYFUNCTION("IF(E266&lt;&gt;"""", GOOGLETRANSLATE(E266, ""en"", ""te""),"""")"),"[ 'ఇన్నింగ్స్ లో 4 వ అత్యధిక పరుగులు (బ్యాటింగ్ స్థానంలో ప్రకారం) (82)', '18 వ అత్యంత ఇన్నింగ్స్ తొలి డక్ ముందు (22)', 'పదవ వికెట్కు 2 వ అత్యధిక భాగస్వామ్యం (62)', '26 వరుస మ్యాచ్లు కోసం తప్పిన 'ప్రదర్శనల మధ్య బృందం (39)]")</f>
        <v>[ 'ఇన్నింగ్స్ లో 4 వ అత్యధిక పరుగులు (బ్యాటింగ్ స్థానంలో ప్రకారం) (82)', '18 వ అత్యంత ఇన్నింగ్స్ తొలి డక్ ముందు (22)', 'పదవ వికెట్కు 2 వ అత్యధిక భాగస్వామ్యం (62)', '26 వరుస మ్యాచ్లు కోసం తప్పిన 'ప్రదర్శనల మధ్య బృందం (39)]</v>
      </c>
      <c r="G266" s="2"/>
      <c r="H266" s="2" t="str">
        <f>IFERROR(__xludf.DUMMYFUNCTION("IF(G266&lt;&gt;"""", GOOGLETRANSLATE(G266, ""en"", ""te""),"""")"),"")</f>
        <v/>
      </c>
      <c r="I266" s="3"/>
    </row>
    <row r="267" customHeight="1" spans="1:9">
      <c r="A267" s="2"/>
      <c r="B267" s="2" t="str">
        <f>IFERROR(__xludf.DUMMYFUNCTION("IF(A267&lt;&gt;"""", GOOGLETRANSLATE(A267, ""en"", ""te""),"""")"),"")</f>
        <v/>
      </c>
      <c r="C267" s="2"/>
      <c r="D267" s="2" t="str">
        <f>IFERROR(__xludf.DUMMYFUNCTION("IF(C267&lt;&gt;"""", GOOGLETRANSLATE(C267, ""en"", ""te""),"""")"),"")</f>
        <v/>
      </c>
      <c r="E267" s="2"/>
      <c r="F267" s="2" t="str">
        <f>IFERROR(__xludf.DUMMYFUNCTION("IF(E267&lt;&gt;"""", GOOGLETRANSLATE(E267, ""en"", ""te""),"""")"),"")</f>
        <v/>
      </c>
      <c r="G267" s="2"/>
      <c r="H267" s="2" t="str">
        <f>IFERROR(__xludf.DUMMYFUNCTION("IF(G267&lt;&gt;"""", GOOGLETRANSLATE(G267, ""en"", ""te""),"""")"),"")</f>
        <v/>
      </c>
      <c r="I267" s="3"/>
    </row>
    <row r="268" customHeight="1" spans="1:9">
      <c r="A268" s="2" t="s">
        <v>193</v>
      </c>
      <c r="B268" s="2" t="str">
        <f>IFERROR(__xludf.DUMMYFUNCTION("IF(A268&lt;&gt;"""", GOOGLETRANSLATE(A268, ""en"", ""te""),"""")"),"[ 'ఇన్నింగ్స్ లో 8 వ అత్యధిక పరుగులు (బ్యాటింగ్ స్థానంలో ద్వారా) (23)', '2 వ ఉత్తమ కెరీర్ ఆర్థిక రేటు (6.01)', '3 వ అత్యంత తీసుకోబడిన వికెట్ల స్టంప్ (12)']")</f>
        <v>[ 'ఇన్నింగ్స్ లో 8 వ అత్యధిక పరుగులు (బ్యాటింగ్ స్థానంలో ద్వారా) (23)', '2 వ ఉత్తమ కెరీర్ ఆర్థిక రేటు (6.01)', '3 వ అత్యంత తీసుకోబడిన వికెట్ల స్టంప్ (12)']</v>
      </c>
      <c r="C268" s="2"/>
      <c r="D268" s="2" t="str">
        <f>IFERROR(__xludf.DUMMYFUNCTION("IF(C268&lt;&gt;"""", GOOGLETRANSLATE(C268, ""en"", ""te""),"""")"),"")</f>
        <v/>
      </c>
      <c r="E268" s="2" t="s">
        <v>194</v>
      </c>
      <c r="F268" s="2" t="str">
        <f>IFERROR(__xludf.DUMMYFUNCTION("IF(E268&lt;&gt;"""", GOOGLETRANSLATE(E268, ""en"", ""te""),"""")"),"[ '41 వ ఇన్నింగ్స్ లో బెస్ట్ ఫిగర్స్ (6/27)', '43 వ అత్యంత ఐదు-వికెట్ల లో-ఒక-ఇన్నింగ్స్ కెరీర్ (2) లో', '50 వికెట్లు వేగంగా 32 వ (29)']")</f>
        <v>[ '41 వ ఇన్నింగ్స్ లో బెస్ట్ ఫిగర్స్ (6/27)', '43 వ అత్యంత ఐదు-వికెట్ల లో-ఒక-ఇన్నింగ్స్ కెరీర్ (2) లో', '50 వికెట్లు వేగంగా 32 వ (29)']</v>
      </c>
      <c r="G268" s="2" t="s">
        <v>195</v>
      </c>
      <c r="H268" s="2" t="str">
        <f>IFERROR(__xludf.DUMMYFUNCTION("IF(G268&lt;&gt;"""", GOOGLETRANSLATE(G268, ""en"", ""te""),"""")"),"[ 'ఇన్నింగ్స్ లో 8 వ అత్యధిక పరుగులు (బ్యాటింగ్ స్థానంలో ద్వారా) (23)', '33 వ కెరీర్ లో అత్యధిక వికెట్లు (52)', '39 వ ఉత్తమ కెరీర్ బౌలింగ్ సరాసరి (21.25)', '2 వ ఉత్తమ కెరీర్ ఆర్థిక రేటు (6.01)' , '41 వ కెరీర్ లో సాధించిన అత్యధిక పరుగులు (1105)', '17 వ బౌల"&amp;"ర్ / బ్యాట్స్ కలయికలు (3)', '3 వ బౌలర్ / ఫీల్డర్ కలయికలు (10)', '32 వ అత్యంత' 23 వ కెరీర్ లో బౌల్డ్ (1102) చాలా బంతుల్లో ' వికెట్లు తీసుకున్న ఎల్బిడబ్ల్యు (5) ',' 3 వ అత్యంత స్టంప్ (12) ',' 28th వేగంగా 50 వికెట్లు (48) ',' తొమ్మిదవ వికెట్కు 49 వ అత్యధిక భ"&amp;"ాగస్వామ్యం (25) ',' 39 వ అత్యధిక పదవ కోసం భాగస్వామ్యానికి తీసుకోబడిన వికెట్ల వికెట్ (17) ']")</f>
        <v>[ 'ఇన్నింగ్స్ లో 8 వ అత్యధిక పరుగులు (బ్యాటింగ్ స్థానంలో ద్వారా) (23)', '33 వ కెరీర్ లో అత్యధిక వికెట్లు (52)', '39 వ ఉత్తమ కెరీర్ బౌలింగ్ సరాసరి (21.25)', '2 వ ఉత్తమ కెరీర్ ఆర్థిక రేటు (6.01)' , '41 వ కెరీర్ లో సాధించిన అత్యధిక పరుగులు (1105)', '17 వ బౌలర్ / బ్యాట్స్ కలయికలు (3)', '3 వ బౌలర్ / ఫీల్డర్ కలయికలు (10)', '32 వ అత్యంత' 23 వ కెరీర్ లో బౌల్డ్ (1102) చాలా బంతుల్లో ' వికెట్లు తీసుకున్న ఎల్బిడబ్ల్యు (5) ',' 3 వ అత్యంత స్టంప్ (12) ',' 28th వేగంగా 50 వికెట్లు (48) ',' తొమ్మిదవ వికెట్కు 49 వ అత్యధిక భాగస్వామ్యం (25) ',' 39 వ అత్యధిక పదవ కోసం భాగస్వామ్యానికి తీసుకోబడిన వికెట్ల వికెట్ (17) ']</v>
      </c>
      <c r="I268" s="3"/>
    </row>
    <row r="269" customHeight="1" spans="1:9">
      <c r="A269" s="2"/>
      <c r="B269" s="2" t="str">
        <f>IFERROR(__xludf.DUMMYFUNCTION("IF(A269&lt;&gt;"""", GOOGLETRANSLATE(A269, ""en"", ""te""),"""")"),"")</f>
        <v/>
      </c>
      <c r="C269" s="2"/>
      <c r="D269" s="2" t="str">
        <f>IFERROR(__xludf.DUMMYFUNCTION("IF(C269&lt;&gt;"""", GOOGLETRANSLATE(C269, ""en"", ""te""),"""")"),"")</f>
        <v/>
      </c>
      <c r="E269" s="2" t="s">
        <v>196</v>
      </c>
      <c r="F269" s="2" t="str">
        <f>IFERROR(__xludf.DUMMYFUNCTION("IF(E269&lt;&gt;"""", GOOGLETRANSLATE(E269, ""en"", ""te""),"""")"),"[ '13 వ చెత్త కెరీర్ బౌలింగ్ సరాసరి (55,44)', '21 వ చెత్త కెరీర్లో సమ్మె రేటు (66.0) ']")</f>
        <v>[ '13 వ చెత్త కెరీర్ బౌలింగ్ సరాసరి (55,44)', '21 వ చెత్త కెరీర్లో సమ్మె రేటు (66.0) ']</v>
      </c>
      <c r="G269" s="2"/>
      <c r="H269" s="2" t="str">
        <f>IFERROR(__xludf.DUMMYFUNCTION("IF(G269&lt;&gt;"""", GOOGLETRANSLATE(G269, ""en"", ""te""),"""")"),"")</f>
        <v/>
      </c>
      <c r="I269" s="3"/>
    </row>
    <row r="270" customHeight="1" spans="1:9">
      <c r="A270" s="2"/>
      <c r="B270" s="2" t="str">
        <f>IFERROR(__xludf.DUMMYFUNCTION("IF(A270&lt;&gt;"""", GOOGLETRANSLATE(A270, ""en"", ""te""),"""")"),"")</f>
        <v/>
      </c>
      <c r="C270" s="2"/>
      <c r="D270" s="2" t="str">
        <f>IFERROR(__xludf.DUMMYFUNCTION("IF(C270&lt;&gt;"""", GOOGLETRANSLATE(C270, ""en"", ""te""),"""")"),"")</f>
        <v/>
      </c>
      <c r="E270" s="2"/>
      <c r="F270" s="2" t="str">
        <f>IFERROR(__xludf.DUMMYFUNCTION("IF(E270&lt;&gt;"""", GOOGLETRANSLATE(E270, ""en"", ""te""),"""")"),"")</f>
        <v/>
      </c>
      <c r="G270" s="2"/>
      <c r="H270" s="2" t="str">
        <f>IFERROR(__xludf.DUMMYFUNCTION("IF(G270&lt;&gt;"""", GOOGLETRANSLATE(G270, ""en"", ""te""),"""")"),"")</f>
        <v/>
      </c>
      <c r="I270" s="3"/>
    </row>
    <row r="271" customHeight="1" spans="1:9">
      <c r="A271" s="2"/>
      <c r="B271" s="2" t="str">
        <f>IFERROR(__xludf.DUMMYFUNCTION("IF(A271&lt;&gt;"""", GOOGLETRANSLATE(A271, ""en"", ""te""),"""")"),"")</f>
        <v/>
      </c>
      <c r="C271" s="2"/>
      <c r="D271" s="2" t="str">
        <f>IFERROR(__xludf.DUMMYFUNCTION("IF(C271&lt;&gt;"""", GOOGLETRANSLATE(C271, ""en"", ""te""),"""")"),"")</f>
        <v/>
      </c>
      <c r="E271" s="2"/>
      <c r="F271" s="2" t="str">
        <f>IFERROR(__xludf.DUMMYFUNCTION("IF(E271&lt;&gt;"""", GOOGLETRANSLATE(E271, ""en"", ""te""),"""")"),"")</f>
        <v/>
      </c>
      <c r="G271" s="2"/>
      <c r="H271" s="2" t="str">
        <f>IFERROR(__xludf.DUMMYFUNCTION("IF(G271&lt;&gt;"""", GOOGLETRANSLATE(G271, ""en"", ""te""),"""")"),"")</f>
        <v/>
      </c>
      <c r="I271" s="3"/>
    </row>
    <row r="272" customHeight="1" spans="1:9">
      <c r="A272" s="2"/>
      <c r="B272" s="2" t="str">
        <f>IFERROR(__xludf.DUMMYFUNCTION("IF(A272&lt;&gt;"""", GOOGLETRANSLATE(A272, ""en"", ""te""),"""")"),"")</f>
        <v/>
      </c>
      <c r="C272" s="2"/>
      <c r="D272" s="2" t="str">
        <f>IFERROR(__xludf.DUMMYFUNCTION("IF(C272&lt;&gt;"""", GOOGLETRANSLATE(C272, ""en"", ""te""),"""")"),"")</f>
        <v/>
      </c>
      <c r="E272" s="2"/>
      <c r="F272" s="2" t="str">
        <f>IFERROR(__xludf.DUMMYFUNCTION("IF(E272&lt;&gt;"""", GOOGLETRANSLATE(E272, ""en"", ""te""),"""")"),"")</f>
        <v/>
      </c>
      <c r="G272" s="2"/>
      <c r="H272" s="2" t="str">
        <f>IFERROR(__xludf.DUMMYFUNCTION("IF(G272&lt;&gt;"""", GOOGLETRANSLATE(G272, ""en"", ""te""),"""")"),"")</f>
        <v/>
      </c>
      <c r="I272" s="3"/>
    </row>
    <row r="273" customHeight="1" spans="1:9">
      <c r="A273" s="2"/>
      <c r="B273" s="2" t="str">
        <f>IFERROR(__xludf.DUMMYFUNCTION("IF(A273&lt;&gt;"""", GOOGLETRANSLATE(A273, ""en"", ""te""),"""")"),"")</f>
        <v/>
      </c>
      <c r="C273" s="2"/>
      <c r="D273" s="2" t="str">
        <f>IFERROR(__xludf.DUMMYFUNCTION("IF(C273&lt;&gt;"""", GOOGLETRANSLATE(C273, ""en"", ""te""),"""")"),"")</f>
        <v/>
      </c>
      <c r="E273" s="2"/>
      <c r="F273" s="2" t="str">
        <f>IFERROR(__xludf.DUMMYFUNCTION("IF(E273&lt;&gt;"""", GOOGLETRANSLATE(E273, ""en"", ""te""),"""")"),"")</f>
        <v/>
      </c>
      <c r="G273" s="2"/>
      <c r="H273" s="2" t="str">
        <f>IFERROR(__xludf.DUMMYFUNCTION("IF(G273&lt;&gt;"""", GOOGLETRANSLATE(G273, ""en"", ""te""),"""")"),"")</f>
        <v/>
      </c>
      <c r="I273" s="3"/>
    </row>
    <row r="274" customHeight="1" spans="1:9">
      <c r="A274" s="2" t="s">
        <v>197</v>
      </c>
      <c r="B274" s="2" t="str">
        <f>IFERROR(__xludf.DUMMYFUNCTION("IF(A274&lt;&gt;"""", GOOGLETRANSLATE(A274, ""en"", ""te""),"""")"),"[ 'ఒక ఇన్నింగ్స్ లో 1 వ బెస్ట్ ఫిగర్స్ ఉన్నప్పుడు పరాజయం వైపు (9)']")</f>
        <v>[ 'ఒక ఇన్నింగ్స్ లో 1 వ బెస్ట్ ఫిగర్స్ ఉన్నప్పుడు పరాజయం వైపు (9)']</v>
      </c>
      <c r="C274" s="2" t="s">
        <v>198</v>
      </c>
      <c r="D274" s="2" t="str">
        <f>IFERROR(__xludf.DUMMYFUNCTION("IF(C274&lt;&gt;"""", GOOGLETRANSLATE(C274, ""en"", ""te""),"""")"),"[ '13 వ ఇన్నింగ్స్ లో బెస్ట్ ఫిగర్స్ (9/95)', '1 వ పరాజయం వైపు ఉన్నప్పుడు ఒక ఇన్నింగ్స్ లోని బెస్ట్ ఫిగర్స్ (9)']")</f>
        <v>[ '13 వ ఇన్నింగ్స్ లో బెస్ట్ ఫిగర్స్ (9/95)', '1 వ పరాజయం వైపు ఉన్నప్పుడు ఒక ఇన్నింగ్స్ లోని బెస్ట్ ఫిగర్స్ (9)']</v>
      </c>
      <c r="E274" s="2"/>
      <c r="F274" s="2" t="str">
        <f>IFERROR(__xludf.DUMMYFUNCTION("IF(E274&lt;&gt;"""", GOOGLETRANSLATE(E274, ""en"", ""te""),"""")"),"")</f>
        <v/>
      </c>
      <c r="G274" s="2"/>
      <c r="H274" s="2" t="str">
        <f>IFERROR(__xludf.DUMMYFUNCTION("IF(G274&lt;&gt;"""", GOOGLETRANSLATE(G274, ""en"", ""te""),"""")"),"")</f>
        <v/>
      </c>
      <c r="I274" s="3"/>
    </row>
    <row r="275" customHeight="1" spans="1:9">
      <c r="A275" s="2" t="s">
        <v>199</v>
      </c>
      <c r="B275" s="2" t="str">
        <f>IFERROR(__xludf.DUMMYFUNCTION("IF(A275&lt;&gt;"""", GOOGLETRANSLATE(A275, ""en"", ""te""),"""")"),"[ '3 వ వరుస మ్యాచ్లు ప్రదర్శనల మధ్య (76) జట్టు తప్పిన']")</f>
        <v>[ '3 వ వరుస మ్యాచ్లు ప్రదర్శనల మధ్య (76) జట్టు తప్పిన']</v>
      </c>
      <c r="C275" s="2"/>
      <c r="D275" s="2" t="str">
        <f>IFERROR(__xludf.DUMMYFUNCTION("IF(C275&lt;&gt;"""", GOOGLETRANSLATE(C275, ""en"", ""te""),"""")"),"")</f>
        <v/>
      </c>
      <c r="E275" s="2" t="s">
        <v>200</v>
      </c>
      <c r="F275" s="2" t="str">
        <f>IFERROR(__xludf.DUMMYFUNCTION("IF(E275&lt;&gt;"""", GOOGLETRANSLATE(E275, ""en"", ""te""),"""")"),"[ '23 వ ఎత్తైన ఒక ఇన్నింగ్స్లో పరుగుల శాతం (54.16)', 'ప్రదర్శనల మధ్య 14 వ లాంగెస్ట్ వ్యవధిలో (7y 9D)', '3 వ వరుస మ్యాచ్లు ఆడి మధ్య జట్టుకు దూరమయ్యాడు (76)', '13 వ పిన్న కాప్టెన్ (21y 245d) ']")</f>
        <v>[ '23 వ ఎత్తైన ఒక ఇన్నింగ్స్లో పరుగుల శాతం (54.16)', 'ప్రదర్శనల మధ్య 14 వ లాంగెస్ట్ వ్యవధిలో (7y 9D)', '3 వ వరుస మ్యాచ్లు ఆడి మధ్య జట్టుకు దూరమయ్యాడు (76)', '13 వ పిన్న కాప్టెన్ (21y 245d) ']</v>
      </c>
      <c r="G275" s="2" t="s">
        <v>201</v>
      </c>
      <c r="H275" s="2" t="str">
        <f>IFERROR(__xludf.DUMMYFUNCTION("IF(G275&lt;&gt;"""", GOOGLETRANSLATE(G275, ""en"", ""te""),"""")"),"[ '48 వ ఇన్నింగ్స్ లో అత్యధిక పరుగులు (బ్యాటింగ్ స్థానంలో ప్రకారం) (50 *)', '25 వ తొలి డక్ ముందు అత్యంత ఇన్నింగ్స్ (17)', '43 వ ఇన్నింగ్స్ లో సాధించిన అత్యధిక పరుగులు (44)']")</f>
        <v>[ '48 వ ఇన్నింగ్స్ లో అత్యధిక పరుగులు (బ్యాటింగ్ స్థానంలో ప్రకారం) (50 *)', '25 వ తొలి డక్ ముందు అత్యంత ఇన్నింగ్స్ (17)', '43 వ ఇన్నింగ్స్ లో సాధించిన అత్యధిక పరుగులు (44)']</v>
      </c>
      <c r="I275" s="3"/>
    </row>
    <row r="276" customHeight="1" spans="1:9">
      <c r="A276" s="2" t="s">
        <v>202</v>
      </c>
      <c r="B276" s="2" t="str">
        <f>IFERROR(__xludf.DUMMYFUNCTION("IF(A276&lt;&gt;"""", GOOGLETRANSLATE(A276, ""en"", ""te""),"""")"),"[ 'హండ్రెడ్ మరియు ఒక మ్యాచ్లో తొంభై', 'హండ్రెడ్ మరియు ఒక మ్యాచ్లో ఒక డక్', 'ఒక ఇన్నింగ్స్లో పరుగుల 8 వ అత్యధిక శాతం (61.87)']")</f>
        <v>[ 'హండ్రెడ్ మరియు ఒక మ్యాచ్లో తొంభై', 'హండ్రెడ్ మరియు ఒక మ్యాచ్లో ఒక డక్', 'ఒక ఇన్నింగ్స్లో పరుగుల 8 వ అత్యధిక శాతం (61.87)']</v>
      </c>
      <c r="C276" s="2" t="s">
        <v>203</v>
      </c>
      <c r="D276" s="2" t="str">
        <f>IFERROR(__xludf.DUMMYFUNCTION("IF(C276&lt;&gt;"""", GOOGLETRANSLATE(C276, ""en"", ""te""),"""")"),"[ '20 వ హండ్రెడ్ గత మ్యాచ్లో (258)', '36 వ అత్యధిక తొలి వంద (201)', '8 వ ఒక ఇన్నింగ్స్లో పరుగుల అత్యధిక శాతం (61.87)', 'మూడో వికెట్కు 35 వ అత్యధిక భాగస్వామ్యం (273)', 'ఐదో వికెట్కు (265) 24 అత్యధిక భాగస్వామ్యం']")</f>
        <v>[ '20 వ హండ్రెడ్ గత మ్యాచ్లో (258)', '36 వ అత్యధిక తొలి వంద (201)', '8 వ ఒక ఇన్నింగ్స్లో పరుగుల అత్యధిక శాతం (61.87)', 'మూడో వికెట్కు 35 వ అత్యధిక భాగస్వామ్యం (273)', 'ఐదో వికెట్కు (265) 24 అత్యధిక భాగస్వామ్యం']</v>
      </c>
      <c r="E276" s="2"/>
      <c r="F276" s="2" t="str">
        <f>IFERROR(__xludf.DUMMYFUNCTION("IF(E276&lt;&gt;"""", GOOGLETRANSLATE(E276, ""en"", ""te""),"""")"),"")</f>
        <v/>
      </c>
      <c r="G276" s="2"/>
      <c r="H276" s="2" t="str">
        <f>IFERROR(__xludf.DUMMYFUNCTION("IF(G276&lt;&gt;"""", GOOGLETRANSLATE(G276, ""en"", ""te""),"""")"),"")</f>
        <v/>
      </c>
      <c r="I276" s="3"/>
    </row>
    <row r="277" customHeight="1" spans="1:9">
      <c r="A277" s="2"/>
      <c r="B277" s="2" t="str">
        <f>IFERROR(__xludf.DUMMYFUNCTION("IF(A277&lt;&gt;"""", GOOGLETRANSLATE(A277, ""en"", ""te""),"""")"),"")</f>
        <v/>
      </c>
      <c r="C277" s="2"/>
      <c r="D277" s="2" t="str">
        <f>IFERROR(__xludf.DUMMYFUNCTION("IF(C277&lt;&gt;"""", GOOGLETRANSLATE(C277, ""en"", ""te""),"""")"),"")</f>
        <v/>
      </c>
      <c r="E277" s="2"/>
      <c r="F277" s="2" t="str">
        <f>IFERROR(__xludf.DUMMYFUNCTION("IF(E277&lt;&gt;"""", GOOGLETRANSLATE(E277, ""en"", ""te""),"""")"),"")</f>
        <v/>
      </c>
      <c r="G277" s="2"/>
      <c r="H277" s="2" t="str">
        <f>IFERROR(__xludf.DUMMYFUNCTION("IF(G277&lt;&gt;"""", GOOGLETRANSLATE(G277, ""en"", ""te""),"""")"),"")</f>
        <v/>
      </c>
      <c r="I277" s="3"/>
    </row>
    <row r="278" customHeight="1" spans="1:9">
      <c r="A278" s="2" t="s">
        <v>204</v>
      </c>
      <c r="B278" s="2" t="str">
        <f>IFERROR(__xludf.DUMMYFUNCTION("IF(A278&lt;&gt;"""", GOOGLETRANSLATE(A278, ""en"", ""te""),"""")"),"[ '8 వ అత్యధిక సమ్మె ఇన్నింగ్స్ లో రేటు (312.50)']")</f>
        <v>[ '8 వ అత్యధిక సమ్మె ఇన్నింగ్స్ లో రేటు (312.50)']</v>
      </c>
      <c r="C278" s="2"/>
      <c r="D278" s="2" t="str">
        <f>IFERROR(__xludf.DUMMYFUNCTION("IF(C278&lt;&gt;"""", GOOGLETRANSLATE(C278, ""en"", ""te""),"""")"),"")</f>
        <v/>
      </c>
      <c r="E278" s="2" t="s">
        <v>205</v>
      </c>
      <c r="F278" s="2" t="str">
        <f>IFERROR(__xludf.DUMMYFUNCTION("IF(E278&lt;&gt;"""", GOOGLETRANSLATE(E278, ""en"", ""te""),"""")"),"[ '38 వ అత్యధిక కెరీర్ సమ్మె రేటు (97.85)', 'ఇన్నింగ్స్ లో 8 వ అత్యధిక స్ట్రైక్ రేట్ (312.50)']")</f>
        <v>[ '38 వ అత్యధిక కెరీర్ సమ్మె రేటు (97.85)', 'ఇన్నింగ్స్ లో 8 వ అత్యధిక స్ట్రైక్ రేట్ (312.50)']</v>
      </c>
      <c r="G278" s="2" t="s">
        <v>206</v>
      </c>
      <c r="H278" s="2" t="str">
        <f>IFERROR(__xludf.DUMMYFUNCTION("IF(G278&lt;&gt;"""", GOOGLETRANSLATE(G278, ""en"", ""te""),"""")"),"[ 'తొమ్మిదవ వికెట్కు 37 వ అత్యధిక భాగస్వామ్యం (28)']")</f>
        <v>[ 'తొమ్మిదవ వికెట్కు 37 వ అత్యధిక భాగస్వామ్యం (28)']</v>
      </c>
      <c r="I278" s="3"/>
    </row>
    <row r="279" customHeight="1" spans="1:9">
      <c r="A279" s="2"/>
      <c r="B279" s="2" t="str">
        <f>IFERROR(__xludf.DUMMYFUNCTION("IF(A279&lt;&gt;"""", GOOGLETRANSLATE(A279, ""en"", ""te""),"""")"),"")</f>
        <v/>
      </c>
      <c r="C279" s="2"/>
      <c r="D279" s="2" t="str">
        <f>IFERROR(__xludf.DUMMYFUNCTION("IF(C279&lt;&gt;"""", GOOGLETRANSLATE(C279, ""en"", ""te""),"""")"),"")</f>
        <v/>
      </c>
      <c r="E279" s="2"/>
      <c r="F279" s="2" t="str">
        <f>IFERROR(__xludf.DUMMYFUNCTION("IF(E279&lt;&gt;"""", GOOGLETRANSLATE(E279, ""en"", ""te""),"""")"),"")</f>
        <v/>
      </c>
      <c r="G279" s="2"/>
      <c r="H279" s="2" t="str">
        <f>IFERROR(__xludf.DUMMYFUNCTION("IF(G279&lt;&gt;"""", GOOGLETRANSLATE(G279, ""en"", ""te""),"""")"),"")</f>
        <v/>
      </c>
      <c r="I279" s="3"/>
    </row>
    <row r="280" customHeight="1" spans="1:9">
      <c r="A280" s="2"/>
      <c r="B280" s="2" t="str">
        <f>IFERROR(__xludf.DUMMYFUNCTION("IF(A280&lt;&gt;"""", GOOGLETRANSLATE(A280, ""en"", ""te""),"""")"),"")</f>
        <v/>
      </c>
      <c r="C280" s="2"/>
      <c r="D280" s="2" t="str">
        <f>IFERROR(__xludf.DUMMYFUNCTION("IF(C280&lt;&gt;"""", GOOGLETRANSLATE(C280, ""en"", ""te""),"""")"),"")</f>
        <v/>
      </c>
      <c r="E280" s="2" t="s">
        <v>207</v>
      </c>
      <c r="F280" s="2" t="str">
        <f>IFERROR(__xludf.DUMMYFUNCTION("IF(E280&lt;&gt;"""", GOOGLETRANSLATE(E280, ""en"", ""te""),"""")"),"[ '17 వ అత్యంత వృద్ధ ఆటగాడు తొలి వంద (32y 123d) స్కోర్' 'కెరీర్లో 21 వ అత్యంత బాతులు (9)', '26th అత్యంత వృద్ధ ఆటగాడు వంద (32y 123d) స్కోర్', మూడో వికెట్కు '24 వ అత్యధిక భాగస్వామ్యం ( 139 *) ']")</f>
        <v>[ '17 వ అత్యంత వృద్ధ ఆటగాడు తొలి వంద (32y 123d) స్కోర్' 'కెరీర్లో 21 వ అత్యంత బాతులు (9)', '26th అత్యంత వృద్ధ ఆటగాడు వంద (32y 123d) స్కోర్', మూడో వికెట్కు '24 వ అత్యధిక భాగస్వామ్యం ( 139 *) ']</v>
      </c>
      <c r="G280" s="2" t="s">
        <v>208</v>
      </c>
      <c r="H280" s="2" t="str">
        <f>IFERROR(__xludf.DUMMYFUNCTION("IF(G280&lt;&gt;"""", GOOGLETRANSLATE(G280, ""en"", ""te""),"""")"),"[ 'మొదటి డక్ (14) ముందు 34 వ అత్యంత ఇన్నింగ్స్' '16 వ కెరీర్ బాతులు (6)']")</f>
        <v>[ 'మొదటి డక్ (14) ముందు 34 వ అత్యంత ఇన్నింగ్స్' '16 వ కెరీర్ బాతులు (6)']</v>
      </c>
      <c r="I280" s="3"/>
    </row>
    <row r="281" customHeight="1" spans="1:9">
      <c r="A281" s="2"/>
      <c r="B281" s="2" t="str">
        <f>IFERROR(__xludf.DUMMYFUNCTION("IF(A281&lt;&gt;"""", GOOGLETRANSLATE(A281, ""en"", ""te""),"""")"),"")</f>
        <v/>
      </c>
      <c r="C281" s="2" t="s">
        <v>209</v>
      </c>
      <c r="D281" s="2" t="str">
        <f>IFERROR(__xludf.DUMMYFUNCTION("IF(C281&lt;&gt;"""", GOOGLETRANSLATE(C281, ""en"", ""te""),"""")"),"[ 'వికెట్ (3) ఉంచింది చేసిన 23 కెప్టెన్ల']")</f>
        <v>[ 'వికెట్ (3) ఉంచింది చేసిన 23 కెప్టెన్ల']</v>
      </c>
      <c r="E281" s="2"/>
      <c r="F281" s="2" t="str">
        <f>IFERROR(__xludf.DUMMYFUNCTION("IF(E281&lt;&gt;"""", GOOGLETRANSLATE(E281, ""en"", ""te""),"""")"),"")</f>
        <v/>
      </c>
      <c r="G281" s="2"/>
      <c r="H281" s="2" t="str">
        <f>IFERROR(__xludf.DUMMYFUNCTION("IF(G281&lt;&gt;"""", GOOGLETRANSLATE(G281, ""en"", ""te""),"""")"),"")</f>
        <v/>
      </c>
      <c r="I281" s="3"/>
    </row>
    <row r="282" customHeight="1" spans="1:9">
      <c r="A282" s="2" t="s">
        <v>210</v>
      </c>
      <c r="B282" s="2" t="str">
        <f>IFERROR(__xludf.DUMMYFUNCTION("IF(A282&lt;&gt;"""", GOOGLETRANSLATE(A282, ""en"", ""te""),"""")"),"[ '8 వ కెరీర్ (33) వెనుదిరిగాడు']")</f>
        <v>[ '8 వ కెరీర్ (33) వెనుదిరిగాడు']</v>
      </c>
      <c r="C282" s="2" t="s">
        <v>210</v>
      </c>
      <c r="D282" s="2" t="str">
        <f>IFERROR(__xludf.DUMMYFUNCTION("IF(C282&lt;&gt;"""", GOOGLETRANSLATE(C282, ""en"", ""te""),"""")"),"[ '8 వ కెరీర్ (33) వెనుదిరిగాడు']")</f>
        <v>[ '8 వ కెరీర్ (33) వెనుదిరిగాడు']</v>
      </c>
      <c r="E282" s="2"/>
      <c r="F282" s="2" t="str">
        <f>IFERROR(__xludf.DUMMYFUNCTION("IF(E282&lt;&gt;"""", GOOGLETRANSLATE(E282, ""en"", ""te""),"""")"),"")</f>
        <v/>
      </c>
      <c r="G282" s="2"/>
      <c r="H282" s="2" t="str">
        <f>IFERROR(__xludf.DUMMYFUNCTION("IF(G282&lt;&gt;"""", GOOGLETRANSLATE(G282, ""en"", ""te""),"""")"),"")</f>
        <v/>
      </c>
      <c r="I282" s="3"/>
    </row>
    <row r="283" customHeight="1" spans="1:9">
      <c r="A283" s="2"/>
      <c r="B283" s="2" t="str">
        <f>IFERROR(__xludf.DUMMYFUNCTION("IF(A283&lt;&gt;"""", GOOGLETRANSLATE(A283, ""en"", ""te""),"""")"),"")</f>
        <v/>
      </c>
      <c r="C283" s="2"/>
      <c r="D283" s="2" t="str">
        <f>IFERROR(__xludf.DUMMYFUNCTION("IF(C283&lt;&gt;"""", GOOGLETRANSLATE(C283, ""en"", ""te""),"""")"),"")</f>
        <v/>
      </c>
      <c r="E283" s="2"/>
      <c r="F283" s="2" t="str">
        <f>IFERROR(__xludf.DUMMYFUNCTION("IF(E283&lt;&gt;"""", GOOGLETRANSLATE(E283, ""en"", ""te""),"""")"),"")</f>
        <v/>
      </c>
      <c r="G283" s="2"/>
      <c r="H283" s="2" t="str">
        <f>IFERROR(__xludf.DUMMYFUNCTION("IF(G283&lt;&gt;"""", GOOGLETRANSLATE(G283, ""en"", ""te""),"""")"),"")</f>
        <v/>
      </c>
      <c r="I283" s="3"/>
    </row>
    <row r="284" customHeight="1" spans="1:9">
      <c r="A284" s="2"/>
      <c r="B284" s="2" t="str">
        <f>IFERROR(__xludf.DUMMYFUNCTION("IF(A284&lt;&gt;"""", GOOGLETRANSLATE(A284, ""en"", ""te""),"""")"),"")</f>
        <v/>
      </c>
      <c r="C284" s="2"/>
      <c r="D284" s="2" t="str">
        <f>IFERROR(__xludf.DUMMYFUNCTION("IF(C284&lt;&gt;"""", GOOGLETRANSLATE(C284, ""en"", ""te""),"""")"),"")</f>
        <v/>
      </c>
      <c r="E284" s="2"/>
      <c r="F284" s="2" t="str">
        <f>IFERROR(__xludf.DUMMYFUNCTION("IF(E284&lt;&gt;"""", GOOGLETRANSLATE(E284, ""en"", ""te""),"""")"),"")</f>
        <v/>
      </c>
      <c r="G284" s="2"/>
      <c r="H284" s="2" t="str">
        <f>IFERROR(__xludf.DUMMYFUNCTION("IF(G284&lt;&gt;"""", GOOGLETRANSLATE(G284, ""en"", ""te""),"""")"),"")</f>
        <v/>
      </c>
      <c r="I284" s="3"/>
    </row>
    <row r="285" customHeight="1" spans="1:9">
      <c r="A285" s="2"/>
      <c r="B285" s="2" t="str">
        <f>IFERROR(__xludf.DUMMYFUNCTION("IF(A285&lt;&gt;"""", GOOGLETRANSLATE(A285, ""en"", ""te""),"""")"),"")</f>
        <v/>
      </c>
      <c r="C285" s="2"/>
      <c r="D285" s="2" t="str">
        <f>IFERROR(__xludf.DUMMYFUNCTION("IF(C285&lt;&gt;"""", GOOGLETRANSLATE(C285, ""en"", ""te""),"""")"),"")</f>
        <v/>
      </c>
      <c r="E285" s="2"/>
      <c r="F285" s="2" t="str">
        <f>IFERROR(__xludf.DUMMYFUNCTION("IF(E285&lt;&gt;"""", GOOGLETRANSLATE(E285, ""en"", ""te""),"""")"),"")</f>
        <v/>
      </c>
      <c r="G285" s="2"/>
      <c r="H285" s="2" t="str">
        <f>IFERROR(__xludf.DUMMYFUNCTION("IF(G285&lt;&gt;"""", GOOGLETRANSLATE(G285, ""en"", ""te""),"""")"),"")</f>
        <v/>
      </c>
      <c r="I285" s="3"/>
    </row>
    <row r="286" customHeight="1" spans="1:9">
      <c r="A286" s="2" t="s">
        <v>211</v>
      </c>
      <c r="B286" s="2" t="str">
        <f>IFERROR(__xludf.DUMMYFUNCTION("IF(A286&lt;&gt;"""", GOOGLETRANSLATE(A286, ""en"", ""te""),"""")"),"[ '6 వ అత్యంత ఇన్నింగ్స్ లో నడుస్తుంది (బ్యాటింగ్ స్థానం) (124)']")</f>
        <v>[ '6 వ అత్యంత ఇన్నింగ్స్ లో నడుస్తుంది (బ్యాటింగ్ స్థానం) (124)']</v>
      </c>
      <c r="C286" s="2" t="s">
        <v>212</v>
      </c>
      <c r="D286" s="2" t="str">
        <f>IFERROR(__xludf.DUMMYFUNCTION("IF(C286&lt;&gt;"""", GOOGLETRANSLATE(C286, ""en"", ""te""),"""")"),"[ '42 వ వరుస మ్యాచ్లు ప్రదర్శనల మధ్య బృందం (55) తప్పిన']")</f>
        <v>[ '42 వ వరుస మ్యాచ్లు ప్రదర్శనల మధ్య బృందం (55) తప్పిన']</v>
      </c>
      <c r="E286" s="2" t="s">
        <v>213</v>
      </c>
      <c r="F286" s="2" t="str">
        <f>IFERROR(__xludf.DUMMYFUNCTION("IF(E286&lt;&gt;"""", GOOGLETRANSLATE(E286, ""en"", ""te""),"""")"),"[ 'ఇన్నింగ్స్ లో 6 వ అత్యధిక పరుగులు (బ్యాటింగ్ స్థానంలో ప్రకారం) (124)', '45 వ అత్యధిక కెరీర్ సమ్మె రేటు (96.66)', ఇన్నింగ్స్ లో వచ్చిన ఎక్కువ సిక్స్, '44th' 23 పిన్న ఆటగాడు వంద (20y 266d) స్కోర్ ' (8) ',' ఒక ఇన్నింగ్స్లో పరుగుల 36 వ అత్యధిక శాతం (55.47)"&amp;" ఎనిమిదో వికెట్కు ',' 25 వ అత్యధిక భాగస్వామ్యం (84) ']")</f>
        <v>[ 'ఇన్నింగ్స్ లో 6 వ అత్యధిక పరుగులు (బ్యాటింగ్ స్థానంలో ప్రకారం) (124)', '45 వ అత్యధిక కెరీర్ సమ్మె రేటు (96.66)', ఇన్నింగ్స్ లో వచ్చిన ఎక్కువ సిక్స్, '44th' 23 పిన్న ఆటగాడు వంద (20y 266d) స్కోర్ ' (8) ',' ఒక ఇన్నింగ్స్లో పరుగుల 36 వ అత్యధిక శాతం (55.47) ఎనిమిదో వికెట్కు ',' 25 వ అత్యధిక భాగస్వామ్యం (84) ']</v>
      </c>
      <c r="G286" s="2"/>
      <c r="H286" s="2" t="str">
        <f>IFERROR(__xludf.DUMMYFUNCTION("IF(G286&lt;&gt;"""", GOOGLETRANSLATE(G286, ""en"", ""te""),"""")"),"")</f>
        <v/>
      </c>
      <c r="I286" s="3"/>
    </row>
    <row r="287" customHeight="1" spans="1:9">
      <c r="A287" s="2"/>
      <c r="B287" s="2" t="str">
        <f>IFERROR(__xludf.DUMMYFUNCTION("IF(A287&lt;&gt;"""", GOOGLETRANSLATE(A287, ""en"", ""te""),"""")"),"")</f>
        <v/>
      </c>
      <c r="C287" s="2"/>
      <c r="D287" s="2" t="str">
        <f>IFERROR(__xludf.DUMMYFUNCTION("IF(C287&lt;&gt;"""", GOOGLETRANSLATE(C287, ""en"", ""te""),"""")"),"")</f>
        <v/>
      </c>
      <c r="E287" s="2"/>
      <c r="F287" s="2" t="str">
        <f>IFERROR(__xludf.DUMMYFUNCTION("IF(E287&lt;&gt;"""", GOOGLETRANSLATE(E287, ""en"", ""te""),"""")"),"")</f>
        <v/>
      </c>
      <c r="G287" s="2"/>
      <c r="H287" s="2" t="str">
        <f>IFERROR(__xludf.DUMMYFUNCTION("IF(G287&lt;&gt;"""", GOOGLETRANSLATE(G287, ""en"", ""te""),"""")"),"")</f>
        <v/>
      </c>
      <c r="I287" s="3"/>
    </row>
    <row r="288" customHeight="1" spans="1:9">
      <c r="A288" s="2"/>
      <c r="B288" s="2" t="str">
        <f>IFERROR(__xludf.DUMMYFUNCTION("IF(A288&lt;&gt;"""", GOOGLETRANSLATE(A288, ""en"", ""te""),"""")"),"")</f>
        <v/>
      </c>
      <c r="C288" s="2"/>
      <c r="D288" s="2" t="str">
        <f>IFERROR(__xludf.DUMMYFUNCTION("IF(C288&lt;&gt;"""", GOOGLETRANSLATE(C288, ""en"", ""te""),"""")"),"")</f>
        <v/>
      </c>
      <c r="E288" s="2"/>
      <c r="F288" s="2" t="str">
        <f>IFERROR(__xludf.DUMMYFUNCTION("IF(E288&lt;&gt;"""", GOOGLETRANSLATE(E288, ""en"", ""te""),"""")"),"")</f>
        <v/>
      </c>
      <c r="G288" s="2"/>
      <c r="H288" s="2" t="str">
        <f>IFERROR(__xludf.DUMMYFUNCTION("IF(G288&lt;&gt;"""", GOOGLETRANSLATE(G288, ""en"", ""te""),"""")"),"")</f>
        <v/>
      </c>
      <c r="I288" s="3"/>
    </row>
    <row r="289" customHeight="1" spans="1:9">
      <c r="A289" s="2"/>
      <c r="B289" s="2" t="str">
        <f>IFERROR(__xludf.DUMMYFUNCTION("IF(A289&lt;&gt;"""", GOOGLETRANSLATE(A289, ""en"", ""te""),"""")"),"")</f>
        <v/>
      </c>
      <c r="C289" s="2"/>
      <c r="D289" s="2" t="str">
        <f>IFERROR(__xludf.DUMMYFUNCTION("IF(C289&lt;&gt;"""", GOOGLETRANSLATE(C289, ""en"", ""te""),"""")"),"")</f>
        <v/>
      </c>
      <c r="E289" s="2"/>
      <c r="F289" s="2" t="str">
        <f>IFERROR(__xludf.DUMMYFUNCTION("IF(E289&lt;&gt;"""", GOOGLETRANSLATE(E289, ""en"", ""te""),"""")"),"")</f>
        <v/>
      </c>
      <c r="G289" s="2"/>
      <c r="H289" s="2" t="str">
        <f>IFERROR(__xludf.DUMMYFUNCTION("IF(G289&lt;&gt;"""", GOOGLETRANSLATE(G289, ""en"", ""te""),"""")"),"")</f>
        <v/>
      </c>
      <c r="I289" s="3"/>
    </row>
    <row r="290" customHeight="1" spans="1:9">
      <c r="A290" s="2"/>
      <c r="B290" s="2" t="str">
        <f>IFERROR(__xludf.DUMMYFUNCTION("IF(A290&lt;&gt;"""", GOOGLETRANSLATE(A290, ""en"", ""te""),"""")"),"")</f>
        <v/>
      </c>
      <c r="C290" s="2"/>
      <c r="D290" s="2" t="str">
        <f>IFERROR(__xludf.DUMMYFUNCTION("IF(C290&lt;&gt;"""", GOOGLETRANSLATE(C290, ""en"", ""te""),"""")"),"")</f>
        <v/>
      </c>
      <c r="E290" s="2"/>
      <c r="F290" s="2" t="str">
        <f>IFERROR(__xludf.DUMMYFUNCTION("IF(E290&lt;&gt;"""", GOOGLETRANSLATE(E290, ""en"", ""te""),"""")"),"")</f>
        <v/>
      </c>
      <c r="G290" s="2"/>
      <c r="H290" s="2" t="str">
        <f>IFERROR(__xludf.DUMMYFUNCTION("IF(G290&lt;&gt;"""", GOOGLETRANSLATE(G290, ""en"", ""te""),"""")"),"")</f>
        <v/>
      </c>
      <c r="I290" s="3"/>
    </row>
    <row r="291" customHeight="1" spans="1:9">
      <c r="A291" s="2"/>
      <c r="B291" s="2" t="str">
        <f>IFERROR(__xludf.DUMMYFUNCTION("IF(A291&lt;&gt;"""", GOOGLETRANSLATE(A291, ""en"", ""te""),"""")"),"")</f>
        <v/>
      </c>
      <c r="C291" s="2"/>
      <c r="D291" s="2" t="str">
        <f>IFERROR(__xludf.DUMMYFUNCTION("IF(C291&lt;&gt;"""", GOOGLETRANSLATE(C291, ""en"", ""te""),"""")"),"")</f>
        <v/>
      </c>
      <c r="E291" s="2"/>
      <c r="F291" s="2" t="str">
        <f>IFERROR(__xludf.DUMMYFUNCTION("IF(E291&lt;&gt;"""", GOOGLETRANSLATE(E291, ""en"", ""te""),"""")"),"")</f>
        <v/>
      </c>
      <c r="G291" s="2"/>
      <c r="H291" s="2" t="str">
        <f>IFERROR(__xludf.DUMMYFUNCTION("IF(G291&lt;&gt;"""", GOOGLETRANSLATE(G291, ""en"", ""te""),"""")"),"")</f>
        <v/>
      </c>
      <c r="I291" s="3"/>
    </row>
    <row r="292" customHeight="1" spans="1:9">
      <c r="A292" s="2"/>
      <c r="B292" s="2" t="str">
        <f>IFERROR(__xludf.DUMMYFUNCTION("IF(A292&lt;&gt;"""", GOOGLETRANSLATE(A292, ""en"", ""te""),"""")"),"")</f>
        <v/>
      </c>
      <c r="C292" s="2"/>
      <c r="D292" s="2" t="str">
        <f>IFERROR(__xludf.DUMMYFUNCTION("IF(C292&lt;&gt;"""", GOOGLETRANSLATE(C292, ""en"", ""te""),"""")"),"")</f>
        <v/>
      </c>
      <c r="E292" s="2"/>
      <c r="F292" s="2" t="str">
        <f>IFERROR(__xludf.DUMMYFUNCTION("IF(E292&lt;&gt;"""", GOOGLETRANSLATE(E292, ""en"", ""te""),"""")"),"")</f>
        <v/>
      </c>
      <c r="G292" s="2"/>
      <c r="H292" s="2" t="str">
        <f>IFERROR(__xludf.DUMMYFUNCTION("IF(G292&lt;&gt;"""", GOOGLETRANSLATE(G292, ""en"", ""te""),"""")"),"")</f>
        <v/>
      </c>
      <c r="I292" s="3"/>
    </row>
    <row r="293" customHeight="1" spans="1:9">
      <c r="A293" s="2"/>
      <c r="B293" s="2" t="str">
        <f>IFERROR(__xludf.DUMMYFUNCTION("IF(A293&lt;&gt;"""", GOOGLETRANSLATE(A293, ""en"", ""te""),"""")"),"")</f>
        <v/>
      </c>
      <c r="C293" s="2"/>
      <c r="D293" s="2" t="str">
        <f>IFERROR(__xludf.DUMMYFUNCTION("IF(C293&lt;&gt;"""", GOOGLETRANSLATE(C293, ""en"", ""te""),"""")"),"")</f>
        <v/>
      </c>
      <c r="E293" s="2"/>
      <c r="F293" s="2" t="str">
        <f>IFERROR(__xludf.DUMMYFUNCTION("IF(E293&lt;&gt;"""", GOOGLETRANSLATE(E293, ""en"", ""te""),"""")"),"")</f>
        <v/>
      </c>
      <c r="G293" s="2"/>
      <c r="H293" s="2" t="str">
        <f>IFERROR(__xludf.DUMMYFUNCTION("IF(G293&lt;&gt;"""", GOOGLETRANSLATE(G293, ""en"", ""te""),"""")"),"")</f>
        <v/>
      </c>
      <c r="I293" s="3"/>
    </row>
    <row r="294" customHeight="1" spans="1:9">
      <c r="A294" s="2"/>
      <c r="B294" s="2" t="str">
        <f>IFERROR(__xludf.DUMMYFUNCTION("IF(A294&lt;&gt;"""", GOOGLETRANSLATE(A294, ""en"", ""te""),"""")"),"")</f>
        <v/>
      </c>
      <c r="C294" s="2"/>
      <c r="D294" s="2" t="str">
        <f>IFERROR(__xludf.DUMMYFUNCTION("IF(C294&lt;&gt;"""", GOOGLETRANSLATE(C294, ""en"", ""te""),"""")"),"")</f>
        <v/>
      </c>
      <c r="E294" s="2"/>
      <c r="F294" s="2" t="str">
        <f>IFERROR(__xludf.DUMMYFUNCTION("IF(E294&lt;&gt;"""", GOOGLETRANSLATE(E294, ""en"", ""te""),"""")"),"")</f>
        <v/>
      </c>
      <c r="G294" s="2"/>
      <c r="H294" s="2" t="str">
        <f>IFERROR(__xludf.DUMMYFUNCTION("IF(G294&lt;&gt;"""", GOOGLETRANSLATE(G294, ""en"", ""te""),"""")"),"")</f>
        <v/>
      </c>
      <c r="I294" s="3"/>
    </row>
    <row r="295" customHeight="1" spans="1:9">
      <c r="A295" s="2"/>
      <c r="B295" s="2" t="str">
        <f>IFERROR(__xludf.DUMMYFUNCTION("IF(A295&lt;&gt;"""", GOOGLETRANSLATE(A295, ""en"", ""te""),"""")"),"")</f>
        <v/>
      </c>
      <c r="C295" s="2"/>
      <c r="D295" s="2" t="str">
        <f>IFERROR(__xludf.DUMMYFUNCTION("IF(C295&lt;&gt;"""", GOOGLETRANSLATE(C295, ""en"", ""te""),"""")"),"")</f>
        <v/>
      </c>
      <c r="E295" s="2"/>
      <c r="F295" s="2" t="str">
        <f>IFERROR(__xludf.DUMMYFUNCTION("IF(E295&lt;&gt;"""", GOOGLETRANSLATE(E295, ""en"", ""te""),"""")"),"")</f>
        <v/>
      </c>
      <c r="G295" s="2"/>
      <c r="H295" s="2" t="str">
        <f>IFERROR(__xludf.DUMMYFUNCTION("IF(G295&lt;&gt;"""", GOOGLETRANSLATE(G295, ""en"", ""te""),"""")"),"")</f>
        <v/>
      </c>
      <c r="I295" s="3"/>
    </row>
    <row r="296" customHeight="1" spans="1:9">
      <c r="A296" s="2"/>
      <c r="B296" s="2" t="str">
        <f>IFERROR(__xludf.DUMMYFUNCTION("IF(A296&lt;&gt;"""", GOOGLETRANSLATE(A296, ""en"", ""te""),"""")"),"")</f>
        <v/>
      </c>
      <c r="C296" s="2"/>
      <c r="D296" s="2" t="str">
        <f>IFERROR(__xludf.DUMMYFUNCTION("IF(C296&lt;&gt;"""", GOOGLETRANSLATE(C296, ""en"", ""te""),"""")"),"")</f>
        <v/>
      </c>
      <c r="E296" s="2"/>
      <c r="F296" s="2" t="str">
        <f>IFERROR(__xludf.DUMMYFUNCTION("IF(E296&lt;&gt;"""", GOOGLETRANSLATE(E296, ""en"", ""te""),"""")"),"")</f>
        <v/>
      </c>
      <c r="G296" s="2"/>
      <c r="H296" s="2" t="str">
        <f>IFERROR(__xludf.DUMMYFUNCTION("IF(G296&lt;&gt;"""", GOOGLETRANSLATE(G296, ""en"", ""te""),"""")"),"")</f>
        <v/>
      </c>
      <c r="I296" s="3"/>
    </row>
    <row r="297" customHeight="1" spans="1:9">
      <c r="A297" s="2" t="s">
        <v>214</v>
      </c>
      <c r="B297" s="2" t="str">
        <f>IFERROR(__xludf.DUMMYFUNCTION("IF(A297&lt;&gt;"""", GOOGLETRANSLATE(A297, ""en"", ""te""),"""")"),"[ '10 వ షార్టేస్ట్ క్రీడాకారులు నివసించారు (26y 127d)', 'తొలి హండ్రెడ్ (104)', '2 వ అత్యుత్తమ బౌలింగ్ ఇన్నింగ్స్ లో విశ్లేషించడం (2/1)', 'నూట ఒక ఇన్నింగ్స్ లో ఐదు వికెట్లు']")</f>
        <v>[ '10 వ షార్టేస్ట్ క్రీడాకారులు నివసించారు (26y 127d)', 'తొలి హండ్రెడ్ (104)', '2 వ అత్యుత్తమ బౌలింగ్ ఇన్నింగ్స్ లో విశ్లేషించడం (2/1)', 'నూట ఒక ఇన్నింగ్స్ లో ఐదు వికెట్లు']</v>
      </c>
      <c r="C297" s="2" t="s">
        <v>215</v>
      </c>
      <c r="D297" s="2" t="str">
        <f>IFERROR(__xludf.DUMMYFUNCTION("IF(C297&lt;&gt;"""", GOOGLETRANSLATE(C297, ""en"", ""te""),"""")"),"[ '2 వ అత్యుత్తమ ఇన్నింగ్స్ లో బౌలింగ్ విశ్లేషణలు (2/1)', 'ఇన్నింగ్స్ లో 28 చెత్త సమ్మె రేటు (366.0)', '10 వ షార్టేస్ట్ నివసించారు క్రీడాకారులు (26y 127d)']")</f>
        <v>[ '2 వ అత్యుత్తమ ఇన్నింగ్స్ లో బౌలింగ్ విశ్లేషణలు (2/1)', 'ఇన్నింగ్స్ లో 28 చెత్త సమ్మె రేటు (366.0)', '10 వ షార్టేస్ట్ నివసించారు క్రీడాకారులు (26y 127d)']</v>
      </c>
      <c r="E297" s="2"/>
      <c r="F297" s="2" t="str">
        <f>IFERROR(__xludf.DUMMYFUNCTION("IF(E297&lt;&gt;"""", GOOGLETRANSLATE(E297, ""en"", ""te""),"""")"),"")</f>
        <v/>
      </c>
      <c r="G297" s="2"/>
      <c r="H297" s="2" t="str">
        <f>IFERROR(__xludf.DUMMYFUNCTION("IF(G297&lt;&gt;"""", GOOGLETRANSLATE(G297, ""en"", ""te""),"""")"),"")</f>
        <v/>
      </c>
      <c r="I297" s="3"/>
    </row>
    <row r="298" customHeight="1" spans="1:9">
      <c r="A298" s="2"/>
      <c r="B298" s="2" t="str">
        <f>IFERROR(__xludf.DUMMYFUNCTION("IF(A298&lt;&gt;"""", GOOGLETRANSLATE(A298, ""en"", ""te""),"""")"),"")</f>
        <v/>
      </c>
      <c r="C298" s="2" t="s">
        <v>216</v>
      </c>
      <c r="D298" s="2" t="str">
        <f>IFERROR(__xludf.DUMMYFUNCTION("IF(C298&lt;&gt;"""", GOOGLETRANSLATE(C298, ""en"", ""te""),"""")"),"[ 'కెరీర్లో 30 వ అతి తక్కువ బాతులు (28)', '50th పిన్న క్రీడాకారులు (18y 105d)']")</f>
        <v>[ 'కెరీర్లో 30 వ అతి తక్కువ బాతులు (28)', '50th పిన్న క్రీడాకారులు (18y 105d)']</v>
      </c>
      <c r="E298" s="2"/>
      <c r="F298" s="2" t="str">
        <f>IFERROR(__xludf.DUMMYFUNCTION("IF(E298&lt;&gt;"""", GOOGLETRANSLATE(E298, ""en"", ""te""),"""")"),"")</f>
        <v/>
      </c>
      <c r="G298" s="2"/>
      <c r="H298" s="2" t="str">
        <f>IFERROR(__xludf.DUMMYFUNCTION("IF(G298&lt;&gt;"""", GOOGLETRANSLATE(G298, ""en"", ""te""),"""")"),"")</f>
        <v/>
      </c>
      <c r="I298" s="3"/>
    </row>
    <row r="299" customHeight="1" spans="1:9">
      <c r="A299" s="2"/>
      <c r="B299" s="2" t="str">
        <f>IFERROR(__xludf.DUMMYFUNCTION("IF(A299&lt;&gt;"""", GOOGLETRANSLATE(A299, ""en"", ""te""),"""")"),"")</f>
        <v/>
      </c>
      <c r="C299" s="2"/>
      <c r="D299" s="2" t="str">
        <f>IFERROR(__xludf.DUMMYFUNCTION("IF(C299&lt;&gt;"""", GOOGLETRANSLATE(C299, ""en"", ""te""),"""")"),"")</f>
        <v/>
      </c>
      <c r="E299" s="2" t="s">
        <v>217</v>
      </c>
      <c r="F299" s="2" t="str">
        <f>IFERROR(__xludf.DUMMYFUNCTION("IF(E299&lt;&gt;"""", GOOGLETRANSLATE(E299, ""en"", ""te""),"""")"),"[ 'తొలి 37 వ ఓల్డెస్ట్ క్రీడాకారులు (37y 311d)']")</f>
        <v>[ 'తొలి 37 వ ఓల్డెస్ట్ క్రీడాకారులు (37y 311d)']</v>
      </c>
      <c r="G299" s="2"/>
      <c r="H299" s="2" t="str">
        <f>IFERROR(__xludf.DUMMYFUNCTION("IF(G299&lt;&gt;"""", GOOGLETRANSLATE(G299, ""en"", ""te""),"""")"),"")</f>
        <v/>
      </c>
      <c r="I299" s="3"/>
    </row>
    <row r="300" customHeight="1" spans="1:9">
      <c r="A300" s="2" t="s">
        <v>218</v>
      </c>
      <c r="B300" s="2" t="str">
        <f>IFERROR(__xludf.DUMMYFUNCTION("IF(A300&lt;&gt;"""", GOOGLETRANSLATE(A300, ""en"", ""te""),"""")"),"[ 'ప్రవేశం (105 *) లో హండ్రెడ్', '8 వ అత్యుత్తమ బౌలింగ్ ఇన్నింగ్స్ లో విశ్లేషించడం (4/8)', 'ఇన్నింగ్స్ లో 1 వ అత్యధిక స్ట్రైక్ రేట్ (414.28)']")</f>
        <v>[ 'ప్రవేశం (105 *) లో హండ్రెడ్', '8 వ అత్యుత్తమ బౌలింగ్ ఇన్నింగ్స్ లో విశ్లేషించడం (4/8)', 'ఇన్నింగ్స్ లో 1 వ అత్యధిక స్ట్రైక్ రేట్ (414.28)']</v>
      </c>
      <c r="C300" s="2" t="s">
        <v>219</v>
      </c>
      <c r="D300" s="2" t="str">
        <f>IFERROR(__xludf.DUMMYFUNCTION("IF(C300&lt;&gt;"""", GOOGLETRANSLATE(C300, ""en"", ""te""),"""")"),"[ '43 వ పిన్న ఆటగాడు వంద (20y 265d) స్కోర్']")</f>
        <v>[ '43 వ పిన్న ఆటగాడు వంద (20y 265d) స్కోర్']</v>
      </c>
      <c r="E300" s="2" t="s">
        <v>220</v>
      </c>
      <c r="F300" s="2" t="str">
        <f>IFERROR(__xludf.DUMMYFUNCTION("IF(E300&lt;&gt;"""", GOOGLETRANSLATE(E300, ""en"", ""te""),"""")"),"[ '37 వ అత్యంత వంద (1560) లేకుండా ఒక వృత్తిలో పరుగులు', '8 వ అత్యుత్తమ బౌలింగ్ ఇన్నింగ్స్ లో విశ్లేషించడం (4/8)']")</f>
        <v>[ '37 వ అత్యంత వంద (1560) లేకుండా ఒక వృత్తిలో పరుగులు', '8 వ అత్యుత్తమ బౌలింగ్ ఇన్నింగ్స్ లో విశ్లేషించడం (4/8)']</v>
      </c>
      <c r="G300" s="2" t="s">
        <v>221</v>
      </c>
      <c r="H300" s="2" t="str">
        <f>IFERROR(__xludf.DUMMYFUNCTION("IF(G300&lt;&gt;"""", GOOGLETRANSLATE(G300, ""en"", ""te""),"""")"),"[ 'ఇన్నింగ్స్ లో 1 వ అత్యధిక స్ట్రైక్ రేట్ (414.28)', '25 వ తొలి డక్ (21) ముందు చాలా ఇన్నింగ్స్]")</f>
        <v>[ 'ఇన్నింగ్స్ లో 1 వ అత్యధిక స్ట్రైక్ రేట్ (414.28)', '25 వ తొలి డక్ (21) ముందు చాలా ఇన్నింగ్స్]</v>
      </c>
      <c r="I300" s="3"/>
    </row>
    <row r="301" customHeight="1" spans="1:9">
      <c r="A301" s="2" t="s">
        <v>222</v>
      </c>
      <c r="B301" s="2" t="str">
        <f>IFERROR(__xludf.DUMMYFUNCTION("IF(A301&lt;&gt;"""", GOOGLETRANSLATE(A301, ""en"", ""te""),"""")"),"[ 'ఒక కెప్టెన్తో పెయిర్', 'తొలి ఇన్నింగ్స్లో 9 వ బెస్ట్ ఫిగర్స్ (7)', '1 వ ఇన్నింగ్స్ లో అత్యధిక క్యాచ్లు (5)', '1000 పరుగులు, 50 వికెట్లు, 50 క్యాచ్లు', '2 వ అత్యధిక పరుగులు ఇన్నింగ్స్ (బ్యాటింగ్ స్థానం) (84) ',' ఇన్నింగ్స్ లో 6 వ అత్యుత్తమ బౌలింగ్ విశ్ల"&amp;"ేషణలు (2/2) ',' 1000 పరుగులు, 50 వికెట్లు, 50 క్యాచ్లు ',' 6 వ అత్యధిక మ్యాచ్లు కెప్టెన్గా (47) ',' ఒక ఇన్నింగ్స్ లో 1 వ బెస్ట్ ఫిగర్స్ పరాజయం వైపు (5) ',' 3 వ అత్యంత ఆకర్షించింది తీసుకోబడిన వికెట్ల ఉన్నప్పుడు మరియు ఇన్నింగ్స్ లో బౌల్డ్ (5) ',' 1 వ అత్యధ"&amp;"ిక క్యాచ్లు (4) ']")</f>
        <v>[ 'ఒక కెప్టెన్తో పెయిర్', 'తొలి ఇన్నింగ్స్లో 9 వ బెస్ట్ ఫిగర్స్ (7)', '1 వ ఇన్నింగ్స్ లో అత్యధిక క్యాచ్లు (5)', '1000 పరుగులు, 50 వికెట్లు, 50 క్యాచ్లు', '2 వ అత్యధిక పరుగులు ఇన్నింగ్స్ (బ్యాటింగ్ స్థానం) (84) ',' ఇన్నింగ్స్ లో 6 వ అత్యుత్తమ బౌలింగ్ విశ్లేషణలు (2/2) ',' 1000 పరుగులు, 50 వికెట్లు, 50 క్యాచ్లు ',' 6 వ అత్యధిక మ్యాచ్లు కెప్టెన్గా (47) ',' ఒక ఇన్నింగ్స్ లో 1 వ బెస్ట్ ఫిగర్స్ పరాజయం వైపు (5) ',' 3 వ అత్యంత ఆకర్షించింది తీసుకోబడిన వికెట్ల ఉన్నప్పుడు మరియు ఇన్నింగ్స్ లో బౌల్డ్ (5) ',' 1 వ అత్యధిక క్యాచ్లు (4) ']</v>
      </c>
      <c r="C301" s="2" t="s">
        <v>223</v>
      </c>
      <c r="D301" s="2" t="str">
        <f>IFERROR(__xludf.DUMMYFUNCTION("IF(C301&lt;&gt;"""", GOOGLETRANSLATE(C301, ""en"", ""te""),"""")"),"[ '11 వ అత్యధిక ఇన్నింగ్స్ లో సమ్మె రేటు (227.27)', '24th ఒక ఇన్నింగ్స్ లోని బెస్ట్ ఫిగర్స్ ఉన్నప్పుడు పరాజయం వైపు (7)', '9 వ ఉత్తమ తొలి ఇన్నింగ్స్లో గణాంకాలు (7)', '33 వ ఉత్తమ బొమ్మలు తొలి మ్యాచ్లో (8) ',' 1 వ ఇన్నింగ్స్ లో అత్యధిక క్యాచ్లు (5) ',' కెప్"&amp;"టెన్ గా జట్టు కెప్టెన్గా 49 వ అత్యధిక మ్యాచ్లు (30) ', '21 వ వరుస మ్యాచ్లు (30)']")</f>
        <v>[ '11 వ అత్యధిక ఇన్నింగ్స్ లో సమ్మె రేటు (227.27)', '24th ఒక ఇన్నింగ్స్ లోని బెస్ట్ ఫిగర్స్ ఉన్నప్పుడు పరాజయం వైపు (7)', '9 వ ఉత్తమ తొలి ఇన్నింగ్స్లో గణాంకాలు (7)', '33 వ ఉత్తమ బొమ్మలు తొలి మ్యాచ్లో (8) ',' 1 వ ఇన్నింగ్స్ లో అత్యధిక క్యాచ్లు (5) ',' కెప్టెన్ గా జట్టు కెప్టెన్గా 49 వ అత్యధిక మ్యాచ్లు (30) ', '21 వ వరుస మ్యాచ్లు (30)']</v>
      </c>
      <c r="E301" s="2" t="s">
        <v>224</v>
      </c>
      <c r="F301" s="2" t="str">
        <f>IFERROR(__xludf.DUMMYFUNCTION("IF(E301&lt;&gt;"""", GOOGLETRANSLATE(E301, ""en"", ""te""),"""")"),"[ 'ఇన్నింగ్స్ లో 2 వ అత్యధిక పరుగులు (బ్యాటింగ్ స్థానంలో ప్రకారం) (84)', 'వంద (1871) లేకుండా ఒక వృత్తిలో 24 అత్యధిక పరుగులు' '34 వ అత్యధిక కెరీర్ సమ్మె రేటు (100.05)', '6 వ అత్యుత్తమ బౌలింగ్ విశ్లేషణలలో ఇన్నింగ్స్ (2/2) ',' సగటు (47.54) ',' 32 వ చెత్త కెర"&amp;"ీర్లో సమ్మె రేటు బౌలింగ్ 40 వ చెత్త కెరీర్ (61.1) ',' పదవ వికెట్ను (51 *) కోసం 34 వ అత్యధిక భాగస్వామ్యం ']")</f>
        <v>[ 'ఇన్నింగ్స్ లో 2 వ అత్యధిక పరుగులు (బ్యాటింగ్ స్థానంలో ప్రకారం) (84)', 'వంద (1871) లేకుండా ఒక వృత్తిలో 24 అత్యధిక పరుగులు' '34 వ అత్యధిక కెరీర్ సమ్మె రేటు (100.05)', '6 వ అత్యుత్తమ బౌలింగ్ విశ్లేషణలలో ఇన్నింగ్స్ (2/2) ',' సగటు (47.54) ',' 32 వ చెత్త కెరీర్లో సమ్మె రేటు బౌలింగ్ 40 వ చెత్త కెరీర్ (61.1) ',' పదవ వికెట్ను (51 *) కోసం 34 వ అత్యధిక భాగస్వామ్యం ']</v>
      </c>
      <c r="G301" s="2" t="s">
        <v>225</v>
      </c>
      <c r="H301" s="2" t="str">
        <f>IFERROR(__xludf.DUMMYFUNCTION("IF(G301&lt;&gt;"""", GOOGLETRANSLATE(G301, ""en"", ""te""),"""")"),"[ '23 వ ఇన్నింగ్స్ లో అత్యధిక పరుగులు (బ్యాటింగ్ స్థానంలో ప్రకారం) (26 *)', '17 వ అత్యధిక కెరీర్ సమ్మె రేటు (147.48)', 47 వ వరుస ఒక లేకుండా ఇన్నింగ్స్ ఇన్నింగ్స్ లో 15 వ అత్యధిక స్ట్రైక్ రేట్ (333.33) ',' కెరీర్లో డక్ (31) ',' 35 వ అతి తక్కువ బాతులు (17."&amp;"33) ',' 44 వ ఇన్నింగ్స్ లో బెస్ట్ ఫిగర్స్ (5/26) ',' ఇన్నింగ్స్ లో 25 అత్యుత్తమ బౌలింగ్ విశ్లేషణలు (3/8) ',' 4 వ ఉత్తమ బొమ్మలు ఒక కెప్టెన్ (4) ',' 1st ఒక ఇన్నింగ్స్ లోని బెస్ట్ ఫిగర్స్ ఉన్నప్పుడు పరాజయం వైపు (5) ',' 16 వ అత్యంత నాలుగు వికెట్లు-ఇన్-ఒక-ఇన్"&amp;"నింగ్స్ కెరీర్లో (2) ',' 39 వ ద్వారా ఒక ఇన్నింగ్స్ లో కెరీర్లో బౌల్డ్ అత్యంత బంతుల్లో (916) ',' 40 వ అత్యధిక పరుగులు కెరీర్లో సాధించిన (1116) ',' 29 వ అత్యధిక వికెట్లు తీసుకున్న ఆకర్షించింది (35) ',' 3 వ అత్యంత క్యాచ్ మరియు బౌల్డ్ తీసుకోబడిన వికెట్ల (5) '"&amp;",' 32 వ అత్యధిక వికెట్లు ఒక ఫీల్డర్ తీసుకున్న ఆకర్షించింది (29) ',' 33 వ అత్యధిక వికెట్లు ఒక వికెట్ కీపర్ చే కాట్ తీసుకున్న (6) ',' 26th కెరీర్లో అత్యధిక క్యాచ్లు (31) ',' 1 వ అత్యంత ఇన్నింగ్స్ లో క్యాచ్లు (4) ',' 39 వ అత్యంత కెరీర్లో మ్యాచ్లు (68) ',' ఒక"&amp;" జట్టు కోసం 26 వరుస మ్యాచ్లు (36) ',' 28 వ అతి ప్లేయర్ ఆఫ్ ది మ్యాచ్ అవార్డులు (5) ',' 6 వ అత్యంత కెప్టెన్గా పోటీలు (47) ',' ఒక జట్టు కెప్టెన్గా 10 వ వరుస మ్యాచ్లు (24) ',' వరుస (6) లో అన్ని టాస్ గెలిచి 12 వ ']")</f>
        <v>[ '23 వ ఇన్నింగ్స్ లో అత్యధిక పరుగులు (బ్యాటింగ్ స్థానంలో ప్రకారం) (26 *)', '17 వ అత్యధిక కెరీర్ సమ్మె రేటు (147.48)', 47 వ వరుస ఒక లేకుండా ఇన్నింగ్స్ ఇన్నింగ్స్ లో 15 వ అత్యధిక స్ట్రైక్ రేట్ (333.33) ',' కెరీర్లో డక్ (31) ',' 35 వ అతి తక్కువ బాతులు (17.33) ',' 44 వ ఇన్నింగ్స్ లో బెస్ట్ ఫిగర్స్ (5/26) ',' ఇన్నింగ్స్ లో 25 అత్యుత్తమ బౌలింగ్ విశ్లేషణలు (3/8) ',' 4 వ ఉత్తమ బొమ్మలు ఒక కెప్టెన్ (4) ',' 1st ఒక ఇన్నింగ్స్ లోని బెస్ట్ ఫిగర్స్ ఉన్నప్పుడు పరాజయం వైపు (5) ',' 16 వ అత్యంత నాలుగు వికెట్లు-ఇన్-ఒక-ఇన్నింగ్స్ కెరీర్లో (2) ',' 39 వ ద్వారా ఒక ఇన్నింగ్స్ లో కెరీర్లో బౌల్డ్ అత్యంత బంతుల్లో (916) ',' 40 వ అత్యధిక పరుగులు కెరీర్లో సాధించిన (1116) ',' 29 వ అత్యధిక వికెట్లు తీసుకున్న ఆకర్షించింది (35) ',' 3 వ అత్యంత క్యాచ్ మరియు బౌల్డ్ తీసుకోబడిన వికెట్ల (5) ',' 32 వ అత్యధిక వికెట్లు ఒక ఫీల్డర్ తీసుకున్న ఆకర్షించింది (29) ',' 33 వ అత్యధిక వికెట్లు ఒక వికెట్ కీపర్ చే కాట్ తీసుకున్న (6) ',' 26th కెరీర్లో అత్యధిక క్యాచ్లు (31) ',' 1 వ అత్యంత ఇన్నింగ్స్ లో క్యాచ్లు (4) ',' 39 వ అత్యంత కెరీర్లో మ్యాచ్లు (68) ',' ఒక జట్టు కోసం 26 వరుస మ్యాచ్లు (36) ',' 28 వ అతి ప్లేయర్ ఆఫ్ ది మ్యాచ్ అవార్డులు (5) ',' 6 వ అత్యంత కెప్టెన్గా పోటీలు (47) ',' ఒక జట్టు కెప్టెన్గా 10 వ వరుస మ్యాచ్లు (24) ',' వరుస (6) లో అన్ని టాస్ గెలిచి 12 వ ']</v>
      </c>
      <c r="I301" s="3"/>
    </row>
    <row r="302" customHeight="1" spans="1:9">
      <c r="A302" s="2"/>
      <c r="B302" s="2" t="str">
        <f>IFERROR(__xludf.DUMMYFUNCTION("IF(A302&lt;&gt;"""", GOOGLETRANSLATE(A302, ""en"", ""te""),"""")"),"")</f>
        <v/>
      </c>
      <c r="C302" s="2" t="s">
        <v>226</v>
      </c>
      <c r="D302" s="2" t="str">
        <f>IFERROR(__xludf.DUMMYFUNCTION("IF(C302&lt;&gt;"""", GOOGLETRANSLATE(C302, ""en"", ""te""),"""")"),"[ '26 ఉత్తమ కెరీర్ బౌలింగ్ సరాసరి (అర్హత లేకుండా) (10.00)']")</f>
        <v>[ '26 ఉత్తమ కెరీర్ బౌలింగ్ సరాసరి (అర్హత లేకుండా) (10.00)']</v>
      </c>
      <c r="E302" s="2"/>
      <c r="F302" s="2" t="str">
        <f>IFERROR(__xludf.DUMMYFUNCTION("IF(E302&lt;&gt;"""", GOOGLETRANSLATE(E302, ""en"", ""te""),"""")"),"")</f>
        <v/>
      </c>
      <c r="G302" s="2"/>
      <c r="H302" s="2" t="str">
        <f>IFERROR(__xludf.DUMMYFUNCTION("IF(G302&lt;&gt;"""", GOOGLETRANSLATE(G302, ""en"", ""te""),"""")"),"")</f>
        <v/>
      </c>
      <c r="I302" s="3"/>
    </row>
    <row r="303" customHeight="1" spans="1:9">
      <c r="A303" s="2" t="s">
        <v>227</v>
      </c>
      <c r="B303" s="2" t="str">
        <f>IFERROR(__xludf.DUMMYFUNCTION("IF(A303&lt;&gt;"""", GOOGLETRANSLATE(A303, ""en"", ""te""),"""")"),"[ 'ఒక జట్టు కెప్టెన్గా 8 వ వరుస మ్యాచ్లు (39)', 'ఇన్నింగ్స్ లో 3 వ అత్యధిక పరుగులు (బ్యాటింగ్ స్థానంలో ప్రకారం) (365 *)', 'హండ్రెడ్ ఒక మ్యాచ్లో ప్రతి ఇన్నింగ్స్లో', 'హండ్రెడ్ మరియు తొంభై ఒక మ్యాచ్ ',' వరుస ఇన్నింగ్స్లో 7 వ యాభైల్లో (6) ',' హండ్రెడ్ మరియ"&amp;"ు ఒక మ్యాచ్లో ఒక డక్ ',' 2nd 6000 వేగంగా పరుగులు (111) ',' ఇన్నింగ్స్ లో 2 వ ఉత్తమ ఆర్థిక రేటు (0.21) ',' ఒక మ్యాచ్లో 8 వ అత్యధిక క్యాచ్లు (6) ',' నూట ఇన్నింగ్స్ ',' 1000 పరుగులు, 50 వికెట్లు, 50 క్యాచ్లు ',' 5000 పరుగులు మరియు 50 ఫీల్డింగ్ వికెట్లు ',' న"&amp;"ాలుగవ వికెట్కు 4 వ అత్యధిక భాగస్వామ్యం ఐదు వికెట్లు (399) ',' 6 వ పురాతన దేశం ఆటగాళ్ళు (84y 308d) ',' వరుస ఇన్నింగ్స్లో 6 వ వందల (3) ',' వరుస మ్యాచ్లలో 5 వ యాభైల్లో (8) ']")</f>
        <v>[ 'ఒక జట్టు కెప్టెన్గా 8 వ వరుస మ్యాచ్లు (39)', 'ఇన్నింగ్స్ లో 3 వ అత్యధిక పరుగులు (బ్యాటింగ్ స్థానంలో ప్రకారం) (365 *)', 'హండ్రెడ్ ఒక మ్యాచ్లో ప్రతి ఇన్నింగ్స్లో', 'హండ్రెడ్ మరియు తొంభై ఒక మ్యాచ్ ',' వరుస ఇన్నింగ్స్లో 7 వ యాభైల్లో (6) ',' హండ్రెడ్ మరియు ఒక మ్యాచ్లో ఒక డక్ ',' 2nd 6000 వేగంగా పరుగులు (111) ',' ఇన్నింగ్స్ లో 2 వ ఉత్తమ ఆర్థిక రేటు (0.21) ',' ఒక మ్యాచ్లో 8 వ అత్యధిక క్యాచ్లు (6) ',' నూట ఇన్నింగ్స్ ',' 1000 పరుగులు, 50 వికెట్లు, 50 క్యాచ్లు ',' 5000 పరుగులు మరియు 50 ఫీల్డింగ్ వికెట్లు ',' నాలుగవ వికెట్కు 4 వ అత్యధిక భాగస్వామ్యం ఐదు వికెట్లు (399) ',' 6 వ పురాతన దేశం ఆటగాళ్ళు (84y 308d) ',' వరుస ఇన్నింగ్స్లో 6 వ వందల (3) ',' వరుస మ్యాచ్లలో 5 వ యాభైల్లో (8) ']</v>
      </c>
      <c r="C303" s="2" t="s">
        <v>228</v>
      </c>
      <c r="D303" s="2" t="str">
        <f>IFERROR(__xludf.DUMMYFUNCTION("IF(C303&lt;&gt;"""", GOOGLETRANSLATE(C303, ""en"", ""te""),"""")"),"[ 'ఇన్నింగ్స్ లో 5 వ అత్యధిక పరుగులు (365 *)' '30 వ అత్యధిక కెరీర్ లో పరుగులు (8032)', '8 వ ఇన్నింగ్స్ లో అత్యధిక పరుగులు (ప్రగతిశీల రికార్డు హోల్డర్) (365 *)', '10 వ మ్యాచ్ లో అత్యధిక పరుగులు (365) ',' వరుస (824) ',' 3 వ అత్యంత ఇన్నింగ్స్ లో నడుస్తుంది ("&amp;"బ్యాటింగ్ స్థానం) (365 *) లో 7 వ అత్యధిక పరుగులు ',' 24th ఒకే మైదానంలో అత్యధిక పరుగులు (1354) ',' 30 వ ఒక రోజు లో అత్యధిక పరుగులు (208) ',' ఒక కెప్టెన్ ద్వారా ఒక సిరీస్లో 5 వ అత్యధిక పరుగులు (722) ',' 12 వ అత్యధిక కెరీర్ బ్యాటింగ్ సగటు (57.78) ', '21 వ ఒ"&amp;"క వృత్తిలో అత్యధిక వందలు (26)', '5 వ ఒక వృత్తిలో అత్యధిక ట్రిపుల్ సెంచరీలు (1) ',' ఒక జట్టుతో (5) ',' 6 వ అత్యధిక వందలు ఒక క్యాలెండర్ సంవత్సరంలో 19 అత్యధిక వందలు (10) ',' వరుస ఇన్నింగ్స్లో 5 వ వందల (3) ', '21 వ వందల వరుస మ్యాచ్లలో (3) ',' 1 వ అత్యధిక తొలి"&amp;" వంద (365 *) ',' 4 వ పిన్న ఆటగాడు డబుల్ సెంచరీ (21y 213d) ట్రిపుల్ వందల (21y 213d) స్కోర్ సాధించిన ',' 1st పిన్న ఆటగాడు ',' (5) ',' 37 వ అత్యంత అర్ధ కెరీర్లో వరుసగా కెరీర్ లో 20 వ అత్యంత తొంభైల (56) ',' వరుస ఇన్నింగ్స్లో 7 వ యాభైల్లో (6) ',' 15 వ యాభైల"&amp;"్లో మ్యాచ్లు (8) ',' 16 వ ఇన్నింగ్స్ తొలి డక్ ముందు (41) ', '21 వ అత్యంత ఫోర్లు ఒక ఇన్నింగ్స్ లో (38)', 'ఇన్నింగ్స్ లో ఫోర్లు, సిక్సర్లు నుండి 34 వ అత్యధిక పరుగులు (152)', '14 వ వేగంగా 2000 పరుగులు (39) ',' 7th 3000 వేగవంతమైన పరుగులు (55) ',' 4000 పరుగుల"&amp;"ు వేగంగా 8 వ (77) ',' 5000 పరుగులు వేగంగా 3 వ (95) ',' 2nd 6000 వేగంగా పరుగులు (111) ' , '8000 పరుగులు (157) కు 3 వ అత్యంత వేగంగా' '7000 పరుగులు (138) వేగంగా 5 వ' 'ఒక కెప్టెన్తో ఒక ఇన్నింగ్స్ లో 16 వ బెస్ట్ ఫిగర్స్ (6)', '35 వ ఒక కెప్టెన్తో ఒక మ్యాచ్లో బె"&amp;"స్ట్ ఫిగర్స్ (8 ) ',' ఇన్నింగ్స్ లో 2 వ ఉత్తమ ఆర్థిక రేటు (0.21) ',' 43 వ చెత్త ఇన్నింగ్స్ లో సమ్మె రేటు (342.0) ', '21 వ కెరీర్ లో బౌల్డ్ చాలా బంతుల్లో (21599)', '36 వ కెరీర్ లో సాధించిన అత్యధిక పరుగులు (7999 ) ',' 49 వ అత్యధిక వికెట్లు తీసుకున్న బౌల్డ్ "&amp;"(53) ',' 31 అత్యధిక క్యాచ్లు కెరీర్లో (109) ',' 8 వ ఒక మ్యాచ్లో అత్యధిక క్యాచ్లు (6) ',' 10th ఒక సిరీస్లో అత్యధిక క్యాచ్లు (12) ',' ఏ వికెట్కు (399) ',' రెండవ వికెట్కు 34 వ అత్యధిక భాగస్వామ్యం (269) ',' నాలుగవ వికెట్కు 4 వ అత్యధిక భాగస్వామ్యం (399) ',' 13"&amp;" వ అత్యధిక సమానంగా కోసం అత్యధికంగా 16 భాగస్వామ్యాలు ఆరవ వికెట్కు tnership (274 *) ',' ఒక జట్టుకు 12 వ వరుస మ్యాచ్లు (85) ',' 28th పిన్న క్రీడాకారులు (17y 245d) ',' 16 వ లాంగెస్ట్ కెరీర్లు (20y 6d) ',' 29th కెప్టెన్గా అత్యధిక మ్యాచ్లు ఒక జట్టు కెప్టెన్గా ("&amp;"39) ',' 8 వ వరుస మ్యాచ్లు (39) ',' 18 వ వరుస అన్ని టాస్ గెలిచిన (5) ']")</f>
        <v>[ 'ఇన్నింగ్స్ లో 5 వ అత్యధిక పరుగులు (365 *)' '30 వ అత్యధిక కెరీర్ లో పరుగులు (8032)', '8 వ ఇన్నింగ్స్ లో అత్యధిక పరుగులు (ప్రగతిశీల రికార్డు హోల్డర్) (365 *)', '10 వ మ్యాచ్ లో అత్యధిక పరుగులు (365) ',' వరుస (824) ',' 3 వ అత్యంత ఇన్నింగ్స్ లో నడుస్తుంది (బ్యాటింగ్ స్థానం) (365 *) లో 7 వ అత్యధిక పరుగులు ',' 24th ఒకే మైదానంలో అత్యధిక పరుగులు (1354) ',' 30 వ ఒక రోజు లో అత్యధిక పరుగులు (208) ',' ఒక కెప్టెన్ ద్వారా ఒక సిరీస్లో 5 వ అత్యధిక పరుగులు (722) ',' 12 వ అత్యధిక కెరీర్ బ్యాటింగ్ సగటు (57.78) ', '21 వ ఒక వృత్తిలో అత్యధిక వందలు (26)', '5 వ ఒక వృత్తిలో అత్యధిక ట్రిపుల్ సెంచరీలు (1) ',' ఒక జట్టుతో (5) ',' 6 వ అత్యధిక వందలు ఒక క్యాలెండర్ సంవత్సరంలో 19 అత్యధిక వందలు (10) ',' వరుస ఇన్నింగ్స్లో 5 వ వందల (3) ', '21 వ వందల వరుస మ్యాచ్లలో (3) ',' 1 వ అత్యధిక తొలి వంద (365 *) ',' 4 వ పిన్న ఆటగాడు డబుల్ సెంచరీ (21y 213d) ట్రిపుల్ వందల (21y 213d) స్కోర్ సాధించిన ',' 1st పిన్న ఆటగాడు ',' (5) ',' 37 వ అత్యంత అర్ధ కెరీర్లో వరుసగా కెరీర్ లో 20 వ అత్యంత తొంభైల (56) ',' వరుస ఇన్నింగ్స్లో 7 వ యాభైల్లో (6) ',' 15 వ యాభైల్లో మ్యాచ్లు (8) ',' 16 వ ఇన్నింగ్స్ తొలి డక్ ముందు (41) ', '21 వ అత్యంత ఫోర్లు ఒక ఇన్నింగ్స్ లో (38)', 'ఇన్నింగ్స్ లో ఫోర్లు, సిక్సర్లు నుండి 34 వ అత్యధిక పరుగులు (152)', '14 వ వేగంగా 2000 పరుగులు (39) ',' 7th 3000 వేగవంతమైన పరుగులు (55) ',' 4000 పరుగులు వేగంగా 8 వ (77) ',' 5000 పరుగులు వేగంగా 3 వ (95) ',' 2nd 6000 వేగంగా పరుగులు (111) ' , '8000 పరుగులు (157) కు 3 వ అత్యంత వేగంగా' '7000 పరుగులు (138) వేగంగా 5 వ' 'ఒక కెప్టెన్తో ఒక ఇన్నింగ్స్ లో 16 వ బెస్ట్ ఫిగర్స్ (6)', '35 వ ఒక కెప్టెన్తో ఒక మ్యాచ్లో బెస్ట్ ఫిగర్స్ (8 ) ',' ఇన్నింగ్స్ లో 2 వ ఉత్తమ ఆర్థిక రేటు (0.21) ',' 43 వ చెత్త ఇన్నింగ్స్ లో సమ్మె రేటు (342.0) ', '21 వ కెరీర్ లో బౌల్డ్ చాలా బంతుల్లో (21599)', '36 వ కెరీర్ లో సాధించిన అత్యధిక పరుగులు (7999 ) ',' 49 వ అత్యధిక వికెట్లు తీసుకున్న బౌల్డ్ (53) ',' 31 అత్యధిక క్యాచ్లు కెరీర్లో (109) ',' 8 వ ఒక మ్యాచ్లో అత్యధిక క్యాచ్లు (6) ',' 10th ఒక సిరీస్లో అత్యధిక క్యాచ్లు (12) ',' ఏ వికెట్కు (399) ',' రెండవ వికెట్కు 34 వ అత్యధిక భాగస్వామ్యం (269) ',' నాలుగవ వికెట్కు 4 వ అత్యధిక భాగస్వామ్యం (399) ',' 13 వ అత్యధిక సమానంగా కోసం అత్యధికంగా 16 భాగస్వామ్యాలు ఆరవ వికెట్కు tnership (274 *) ',' ఒక జట్టుకు 12 వ వరుస మ్యాచ్లు (85) ',' 28th పిన్న క్రీడాకారులు (17y 245d) ',' 16 వ లాంగెస్ట్ కెరీర్లు (20y 6d) ',' 29th కెప్టెన్గా అత్యధిక మ్యాచ్లు ఒక జట్టు కెప్టెన్గా (39) ',' 8 వ వరుస మ్యాచ్లు (39) ',' 18 వ వరుస అన్ని టాస్ గెలిచిన (5) ']</v>
      </c>
      <c r="E303" s="2" t="s">
        <v>229</v>
      </c>
      <c r="F303" s="2" t="str">
        <f>IFERROR(__xludf.DUMMYFUNCTION("IF(E303&lt;&gt;"""", GOOGLETRANSLATE(E303, ""en"", ""te""),"""")"),"[ 'తొలి 44 వ ఓల్డెస్ట్ క్రీడాకారులు (37y 39d)', '6 వ పురాతన దేశం ఆటగాళ్ళు (84y 308d)']")</f>
        <v>[ 'తొలి 44 వ ఓల్డెస్ట్ క్రీడాకారులు (37y 39d)', '6 వ పురాతన దేశం ఆటగాళ్ళు (84y 308d)']</v>
      </c>
      <c r="G303" s="2"/>
      <c r="H303" s="2" t="str">
        <f>IFERROR(__xludf.DUMMYFUNCTION("IF(G303&lt;&gt;"""", GOOGLETRANSLATE(G303, ""en"", ""te""),"""")"),"")</f>
        <v/>
      </c>
      <c r="I303" s="3"/>
    </row>
    <row r="304" customHeight="1" spans="1:9">
      <c r="A304" s="2"/>
      <c r="B304" s="2" t="str">
        <f>IFERROR(__xludf.DUMMYFUNCTION("IF(A304&lt;&gt;"""", GOOGLETRANSLATE(A304, ""en"", ""te""),"""")"),"")</f>
        <v/>
      </c>
      <c r="C304" s="2"/>
      <c r="D304" s="2" t="str">
        <f>IFERROR(__xludf.DUMMYFUNCTION("IF(C304&lt;&gt;"""", GOOGLETRANSLATE(C304, ""en"", ""te""),"""")"),"")</f>
        <v/>
      </c>
      <c r="E304" s="2"/>
      <c r="F304" s="2" t="str">
        <f>IFERROR(__xludf.DUMMYFUNCTION("IF(E304&lt;&gt;"""", GOOGLETRANSLATE(E304, ""en"", ""te""),"""")"),"")</f>
        <v/>
      </c>
      <c r="G304" s="2"/>
      <c r="H304" s="2" t="str">
        <f>IFERROR(__xludf.DUMMYFUNCTION("IF(G304&lt;&gt;"""", GOOGLETRANSLATE(G304, ""en"", ""te""),"""")"),"")</f>
        <v/>
      </c>
      <c r="I304" s="3"/>
    </row>
    <row r="305" customHeight="1" spans="1:9">
      <c r="A305" s="2"/>
      <c r="B305" s="2" t="str">
        <f>IFERROR(__xludf.DUMMYFUNCTION("IF(A305&lt;&gt;"""", GOOGLETRANSLATE(A305, ""en"", ""te""),"""")"),"")</f>
        <v/>
      </c>
      <c r="C305" s="2"/>
      <c r="D305" s="2" t="str">
        <f>IFERROR(__xludf.DUMMYFUNCTION("IF(C305&lt;&gt;"""", GOOGLETRANSLATE(C305, ""en"", ""te""),"""")"),"")</f>
        <v/>
      </c>
      <c r="E305" s="2"/>
      <c r="F305" s="2" t="str">
        <f>IFERROR(__xludf.DUMMYFUNCTION("IF(E305&lt;&gt;"""", GOOGLETRANSLATE(E305, ""en"", ""te""),"""")"),"")</f>
        <v/>
      </c>
      <c r="G305" s="2"/>
      <c r="H305" s="2" t="str">
        <f>IFERROR(__xludf.DUMMYFUNCTION("IF(G305&lt;&gt;"""", GOOGLETRANSLATE(G305, ""en"", ""te""),"""")"),"")</f>
        <v/>
      </c>
      <c r="I305" s="3"/>
    </row>
    <row r="306" customHeight="1" spans="1:9">
      <c r="A306" s="2"/>
      <c r="B306" s="2" t="str">
        <f>IFERROR(__xludf.DUMMYFUNCTION("IF(A306&lt;&gt;"""", GOOGLETRANSLATE(A306, ""en"", ""te""),"""")"),"")</f>
        <v/>
      </c>
      <c r="C306" s="2"/>
      <c r="D306" s="2" t="str">
        <f>IFERROR(__xludf.DUMMYFUNCTION("IF(C306&lt;&gt;"""", GOOGLETRANSLATE(C306, ""en"", ""te""),"""")"),"")</f>
        <v/>
      </c>
      <c r="E306" s="2"/>
      <c r="F306" s="2" t="str">
        <f>IFERROR(__xludf.DUMMYFUNCTION("IF(E306&lt;&gt;"""", GOOGLETRANSLATE(E306, ""en"", ""te""),"""")"),"")</f>
        <v/>
      </c>
      <c r="G306" s="2"/>
      <c r="H306" s="2" t="str">
        <f>IFERROR(__xludf.DUMMYFUNCTION("IF(G306&lt;&gt;"""", GOOGLETRANSLATE(G306, ""en"", ""te""),"""")"),"")</f>
        <v/>
      </c>
      <c r="I306" s="3"/>
    </row>
    <row r="307" customHeight="1" spans="1:9">
      <c r="A307" s="2"/>
      <c r="B307" s="2" t="str">
        <f>IFERROR(__xludf.DUMMYFUNCTION("IF(A307&lt;&gt;"""", GOOGLETRANSLATE(A307, ""en"", ""te""),"""")"),"")</f>
        <v/>
      </c>
      <c r="C307" s="2" t="s">
        <v>230</v>
      </c>
      <c r="D307" s="2" t="str">
        <f>IFERROR(__xludf.DUMMYFUNCTION("IF(C307&lt;&gt;"""", GOOGLETRANSLATE(C307, ""en"", ""te""),"""")"),"[ '22 చెత్త కెరీర్ (అర్హత లేకుండా) సగటు బౌలింగ్ (167.00)']")</f>
        <v>[ '22 చెత్త కెరీర్ (అర్హత లేకుండా) సగటు బౌలింగ్ (167.00)']</v>
      </c>
      <c r="E307" s="2"/>
      <c r="F307" s="2" t="str">
        <f>IFERROR(__xludf.DUMMYFUNCTION("IF(E307&lt;&gt;"""", GOOGLETRANSLATE(E307, ""en"", ""te""),"""")"),"")</f>
        <v/>
      </c>
      <c r="G307" s="2"/>
      <c r="H307" s="2" t="str">
        <f>IFERROR(__xludf.DUMMYFUNCTION("IF(G307&lt;&gt;"""", GOOGLETRANSLATE(G307, ""en"", ""te""),"""")"),"")</f>
        <v/>
      </c>
      <c r="I307" s="3"/>
    </row>
    <row r="308" customHeight="1" spans="1:9">
      <c r="A308" s="2"/>
      <c r="B308" s="2" t="str">
        <f>IFERROR(__xludf.DUMMYFUNCTION("IF(A308&lt;&gt;"""", GOOGLETRANSLATE(A308, ""en"", ""te""),"""")"),"")</f>
        <v/>
      </c>
      <c r="C308" s="2"/>
      <c r="D308" s="2" t="str">
        <f>IFERROR(__xludf.DUMMYFUNCTION("IF(C308&lt;&gt;"""", GOOGLETRANSLATE(C308, ""en"", ""te""),"""")"),"")</f>
        <v/>
      </c>
      <c r="E308" s="2"/>
      <c r="F308" s="2" t="str">
        <f>IFERROR(__xludf.DUMMYFUNCTION("IF(E308&lt;&gt;"""", GOOGLETRANSLATE(E308, ""en"", ""te""),"""")"),"")</f>
        <v/>
      </c>
      <c r="G308" s="2"/>
      <c r="H308" s="2" t="str">
        <f>IFERROR(__xludf.DUMMYFUNCTION("IF(G308&lt;&gt;"""", GOOGLETRANSLATE(G308, ""en"", ""te""),"""")"),"")</f>
        <v/>
      </c>
      <c r="I308" s="3"/>
    </row>
    <row r="309" customHeight="1" spans="1:9">
      <c r="A309" s="2"/>
      <c r="B309" s="2" t="str">
        <f>IFERROR(__xludf.DUMMYFUNCTION("IF(A309&lt;&gt;"""", GOOGLETRANSLATE(A309, ""en"", ""te""),"""")"),"")</f>
        <v/>
      </c>
      <c r="C309" s="2"/>
      <c r="D309" s="2" t="str">
        <f>IFERROR(__xludf.DUMMYFUNCTION("IF(C309&lt;&gt;"""", GOOGLETRANSLATE(C309, ""en"", ""te""),"""")"),"")</f>
        <v/>
      </c>
      <c r="E309" s="2"/>
      <c r="F309" s="2" t="str">
        <f>IFERROR(__xludf.DUMMYFUNCTION("IF(E309&lt;&gt;"""", GOOGLETRANSLATE(E309, ""en"", ""te""),"""")"),"")</f>
        <v/>
      </c>
      <c r="G309" s="2"/>
      <c r="H309" s="2" t="str">
        <f>IFERROR(__xludf.DUMMYFUNCTION("IF(G309&lt;&gt;"""", GOOGLETRANSLATE(G309, ""en"", ""te""),"""")"),"")</f>
        <v/>
      </c>
      <c r="I309" s="3"/>
    </row>
    <row r="310" customHeight="1" spans="1:9">
      <c r="A310" s="2" t="s">
        <v>231</v>
      </c>
      <c r="B310" s="2" t="str">
        <f>IFERROR(__xludf.DUMMYFUNCTION("IF(A310&lt;&gt;"""", GOOGLETRANSLATE(A310, ""en"", ""te""),"""")"),"[ '6 వ అత్యధిక వరుస బాతులు (3)', '1 వ అత్యుత్తమ బౌలింగ్ ఇన్నింగ్స్ లో విశ్లేషించడం (4/3)', 'ఇన్నింగ్స్ లో 2 వ అత్యధిక క్యాచ్లు (4)' '1 వ ఉత్తమ ఆర్థిక వ్యవస్థ ఇన్నింగ్స్లో రేటు (0.30)', , 'బ్యాటింగ్ తెరవడం మరియు అదే మ్యాచ్ లో బౌలింగ్', '1000 పరుగులు, 50 వి"&amp;"కెట్లు, 50 క్యాచ్లు', '4 వ అత్యధిక వరుస బాతులు (4)']")</f>
        <v>[ '6 వ అత్యధిక వరుస బాతులు (3)', '1 వ అత్యుత్తమ బౌలింగ్ ఇన్నింగ్స్ లో విశ్లేషించడం (4/3)', 'ఇన్నింగ్స్ లో 2 వ అత్యధిక క్యాచ్లు (4)' '1 వ ఉత్తమ ఆర్థిక వ్యవస్థ ఇన్నింగ్స్లో రేటు (0.30)', , 'బ్యాటింగ్ తెరవడం మరియు అదే మ్యాచ్ లో బౌలింగ్', '1000 పరుగులు, 50 వికెట్లు, 50 క్యాచ్లు', '4 వ అత్యధిక వరుస బాతులు (4)']</v>
      </c>
      <c r="C310" s="2"/>
      <c r="D310" s="2" t="str">
        <f>IFERROR(__xludf.DUMMYFUNCTION("IF(C310&lt;&gt;"""", GOOGLETRANSLATE(C310, ""en"", ""te""),"""")"),"")</f>
        <v/>
      </c>
      <c r="E310" s="2" t="s">
        <v>232</v>
      </c>
      <c r="F310" s="2" t="str">
        <f>IFERROR(__xludf.DUMMYFUNCTION("IF(E310&lt;&gt;"""", GOOGLETRANSLATE(E310, ""en"", ""te""),"""")"),"[ 'ఒక సిరీస్లో 6 వ అత్యంత బాతులు (3)', '6 వ అత్యధిక వరుస బాతులు (3)', '31 లాంగెస్ట్ వ్యక్తిగత ఇన్నింగ్స్ (బంతులతో) (161)', '1 వ అత్యుత్తమ బౌలింగ్ ఇన్నింగ్స్ లో విశ్లేషించడం (1/0) ',' 1 వ ఉత్తమ ఆర్ధిక ఇన్నింగ్స్ లో ఒక ఇన్నింగ్స్ లో రేటు (0.30) ',' 47 వ ఉత్"&amp;"తమ ఇన్నింగ్స్ లో సమ్మె రేటు (7.2) ',' 2 వ అత్యధిక క్యాచ్లు (4) ']")</f>
        <v>[ 'ఒక సిరీస్లో 6 వ అత్యంత బాతులు (3)', '6 వ అత్యధిక వరుస బాతులు (3)', '31 లాంగెస్ట్ వ్యక్తిగత ఇన్నింగ్స్ (బంతులతో) (161)', '1 వ అత్యుత్తమ బౌలింగ్ ఇన్నింగ్స్ లో విశ్లేషించడం (1/0) ',' 1 వ ఉత్తమ ఆర్ధిక ఇన్నింగ్స్ లో ఒక ఇన్నింగ్స్ లో రేటు (0.30) ',' 47 వ ఉత్తమ ఇన్నింగ్స్ లో సమ్మె రేటు (7.2) ',' 2 వ అత్యధిక క్యాచ్లు (4) ']</v>
      </c>
      <c r="G310" s="2"/>
      <c r="H310" s="2" t="str">
        <f>IFERROR(__xludf.DUMMYFUNCTION("IF(G310&lt;&gt;"""", GOOGLETRANSLATE(G310, ""en"", ""te""),"""")"),"")</f>
        <v/>
      </c>
      <c r="I310" s="3"/>
    </row>
    <row r="311" customHeight="1" spans="1:9">
      <c r="A311" s="2"/>
      <c r="B311" s="2" t="str">
        <f>IFERROR(__xludf.DUMMYFUNCTION("IF(A311&lt;&gt;"""", GOOGLETRANSLATE(A311, ""en"", ""te""),"""")"),"")</f>
        <v/>
      </c>
      <c r="C311" s="2"/>
      <c r="D311" s="2" t="str">
        <f>IFERROR(__xludf.DUMMYFUNCTION("IF(C311&lt;&gt;"""", GOOGLETRANSLATE(C311, ""en"", ""te""),"""")"),"")</f>
        <v/>
      </c>
      <c r="E311" s="2"/>
      <c r="F311" s="2" t="str">
        <f>IFERROR(__xludf.DUMMYFUNCTION("IF(E311&lt;&gt;"""", GOOGLETRANSLATE(E311, ""en"", ""te""),"""")"),"")</f>
        <v/>
      </c>
      <c r="G311" s="2" t="s">
        <v>233</v>
      </c>
      <c r="H311" s="2" t="str">
        <f>IFERROR(__xludf.DUMMYFUNCTION("IF(G311&lt;&gt;"""", GOOGLETRANSLATE(G311, ""en"", ""te""),"""")"),"[ 'ప్రవేశం (3) ఒక ఇన్నింగ్స్ లో 12 వ బెస్ట్ ఫిగర్స్' '15 వ ఉత్తమ కెరీర్ (4.00) (అర్హత లేకుండా) సగటు బౌలింగ్',]")</f>
        <v>[ 'ప్రవేశం (3) ఒక ఇన్నింగ్స్ లో 12 వ బెస్ట్ ఫిగర్స్' '15 వ ఉత్తమ కెరీర్ (4.00) (అర్హత లేకుండా) సగటు బౌలింగ్',]</v>
      </c>
      <c r="I311" s="3"/>
    </row>
    <row r="312" customHeight="1" spans="1:9">
      <c r="A312" s="2"/>
      <c r="B312" s="2" t="str">
        <f>IFERROR(__xludf.DUMMYFUNCTION("IF(A312&lt;&gt;"""", GOOGLETRANSLATE(A312, ""en"", ""te""),"""")"),"")</f>
        <v/>
      </c>
      <c r="C312" s="2"/>
      <c r="D312" s="2" t="str">
        <f>IFERROR(__xludf.DUMMYFUNCTION("IF(C312&lt;&gt;"""", GOOGLETRANSLATE(C312, ""en"", ""te""),"""")"),"")</f>
        <v/>
      </c>
      <c r="E312" s="2"/>
      <c r="F312" s="2" t="str">
        <f>IFERROR(__xludf.DUMMYFUNCTION("IF(E312&lt;&gt;"""", GOOGLETRANSLATE(E312, ""en"", ""te""),"""")"),"")</f>
        <v/>
      </c>
      <c r="G312" s="2"/>
      <c r="H312" s="2" t="str">
        <f>IFERROR(__xludf.DUMMYFUNCTION("IF(G312&lt;&gt;"""", GOOGLETRANSLATE(G312, ""en"", ""te""),"""")"),"")</f>
        <v/>
      </c>
      <c r="I312" s="3"/>
    </row>
    <row r="313" customHeight="1" spans="1:9">
      <c r="A313" s="2"/>
      <c r="B313" s="2" t="str">
        <f>IFERROR(__xludf.DUMMYFUNCTION("IF(A313&lt;&gt;"""", GOOGLETRANSLATE(A313, ""en"", ""te""),"""")"),"")</f>
        <v/>
      </c>
      <c r="C313" s="2"/>
      <c r="D313" s="2" t="str">
        <f>IFERROR(__xludf.DUMMYFUNCTION("IF(C313&lt;&gt;"""", GOOGLETRANSLATE(C313, ""en"", ""te""),"""")"),"")</f>
        <v/>
      </c>
      <c r="E313" s="2"/>
      <c r="F313" s="2" t="str">
        <f>IFERROR(__xludf.DUMMYFUNCTION("IF(E313&lt;&gt;"""", GOOGLETRANSLATE(E313, ""en"", ""te""),"""")"),"")</f>
        <v/>
      </c>
      <c r="G313" s="2"/>
      <c r="H313" s="2" t="str">
        <f>IFERROR(__xludf.DUMMYFUNCTION("IF(G313&lt;&gt;"""", GOOGLETRANSLATE(G313, ""en"", ""te""),"""")"),"")</f>
        <v/>
      </c>
      <c r="I313" s="3"/>
    </row>
    <row r="314" customHeight="1" spans="1:9">
      <c r="A314" s="2"/>
      <c r="B314" s="2" t="str">
        <f>IFERROR(__xludf.DUMMYFUNCTION("IF(A314&lt;&gt;"""", GOOGLETRANSLATE(A314, ""en"", ""te""),"""")"),"")</f>
        <v/>
      </c>
      <c r="C314" s="2" t="s">
        <v>234</v>
      </c>
      <c r="D314" s="2" t="str">
        <f>IFERROR(__xludf.DUMMYFUNCTION("IF(C314&lt;&gt;"""", GOOGLETRANSLATE(C314, ""en"", ""te""),"""")"),"[ '21 వ ఉత్తమ కెరీర్ బౌలింగ్ సరాసరి (అర్హత లేకుండా) (9.75)']")</f>
        <v>[ '21 వ ఉత్తమ కెరీర్ బౌలింగ్ సరాసరి (అర్హత లేకుండా) (9.75)']</v>
      </c>
      <c r="E314" s="2"/>
      <c r="F314" s="2" t="str">
        <f>IFERROR(__xludf.DUMMYFUNCTION("IF(E314&lt;&gt;"""", GOOGLETRANSLATE(E314, ""en"", ""te""),"""")"),"")</f>
        <v/>
      </c>
      <c r="G314" s="2"/>
      <c r="H314" s="2" t="str">
        <f>IFERROR(__xludf.DUMMYFUNCTION("IF(G314&lt;&gt;"""", GOOGLETRANSLATE(G314, ""en"", ""te""),"""")"),"")</f>
        <v/>
      </c>
      <c r="I314" s="3"/>
    </row>
    <row r="315" customHeight="1" spans="1:9">
      <c r="A315" s="2" t="s">
        <v>235</v>
      </c>
      <c r="B315" s="2" t="str">
        <f>IFERROR(__xludf.DUMMYFUNCTION("IF(A315&lt;&gt;"""", GOOGLETRANSLATE(A315, ""en"", ""te""),"""")"),"[ 'ఇన్నింగ్స్ లో 7 వ ఎక్కువ సిక్స్ (10)' '7th చెత్త కెరీర్ సగటు (172.00) (అర్హత లేకుండా) బౌలింగ్', 'ఒక ఇన్నింగ్స్ లో 8 వ బెస్ట్ ఫిగర్స్ కోల్పోకుండా వైపు ఉన్నప్పుడు (4)']")</f>
        <v>[ 'ఇన్నింగ్స్ లో 7 వ ఎక్కువ సిక్స్ (10)' '7th చెత్త కెరీర్ సగటు (172.00) (అర్హత లేకుండా) బౌలింగ్', 'ఒక ఇన్నింగ్స్ లో 8 వ బెస్ట్ ఫిగర్స్ కోల్పోకుండా వైపు ఉన్నప్పుడు (4)']</v>
      </c>
      <c r="C315" s="2" t="s">
        <v>236</v>
      </c>
      <c r="D315" s="2" t="str">
        <f>IFERROR(__xludf.DUMMYFUNCTION("IF(C315&lt;&gt;"""", GOOGLETRANSLATE(C315, ""en"", ""te""),"""")"),"[ '37 వ చెత్త కెరీర్ బౌలింగ్ సరాసరి (అర్హత లేకుండా) (147.00)']")</f>
        <v>[ '37 వ చెత్త కెరీర్ బౌలింగ్ సరాసరి (అర్హత లేకుండా) (147.00)']</v>
      </c>
      <c r="E315" s="2" t="s">
        <v>237</v>
      </c>
      <c r="F315" s="2" t="str">
        <f>IFERROR(__xludf.DUMMYFUNCTION("IF(E315&lt;&gt;"""", GOOGLETRANSLATE(E315, ""en"", ""te""),"""")"),"[ 'వరుస ఇన్నింగ్స్లో 44 వ యాభైల్లో (4)', '7 వ చెత్త కెరీర్ బౌలింగ్ సరాసరి (అర్హత లేకుండా) (172.00)', 'ఆరవ వికెట్ (154) కోసం 14 అత్యధిక భాగస్వామ్యం']")</f>
        <v>[ 'వరుస ఇన్నింగ్స్లో 44 వ యాభైల్లో (4)', '7 వ చెత్త కెరీర్ బౌలింగ్ సరాసరి (అర్హత లేకుండా) (172.00)', 'ఆరవ వికెట్ (154) కోసం 14 అత్యధిక భాగస్వామ్యం']</v>
      </c>
      <c r="G315" s="2" t="s">
        <v>238</v>
      </c>
      <c r="H315" s="2" t="str">
        <f>IFERROR(__xludf.DUMMYFUNCTION("IF(G315&lt;&gt;"""", GOOGLETRANSLATE(G315, ""en"", ""te""),"""")"),"[ '32 వ అత్యంత అర్ధ' కోల్పోకుండా వైపు (77) ఒక మ్యాచ్లో 48 వ అత్యధిక పరుగులు '' 50 వ అత్యధిక కెరీర్ లో పరుగులు (1262) ',' 24 వ ఇన్నింగ్స్ లో అత్యధిక పరుగులు (బ్యాటింగ్ స్థానంలో ప్రకారం) (82 నాటౌట్) ', కెరీర్లో (8) ',' 13 వ కెరీర్ బాతులు (6) ',' 34 వ కెరీర"&amp;"్ లో వచ్చిన ఎక్కువ సిక్స్ (55) ',' 45 వ కెరీర్ ఫోర్లు (116) ',' 7 వ ఇన్నింగ్స్ లో వచ్చిన ఎక్కువ సిక్స్ (10) ',' 12 వ ఇన్నింగ్స్ లో వచ్చిన ఎక్కువ ఫోర్లు (12) ',' ఇన్నింగ్స్ లో ఫోర్లు, సిక్సర్లు నుండి 26 అత్యధిక పరుగులు (80) ',' 8 వ ఒక ఇన్నింగ్స్ లోని బెస్ట"&amp;"్ ఫిగర్స్ ఉన్నప్పుడు పరాజయం వైపు (4) ',' 31 బెస్ట్ ఒక ఇన్నింగ్స్ లో సమ్మె రేటు (4.5) ',' 40 వ అత్యంత ఏ వికెట్కు (133) ',' 20 వ అత్యధిక కోసం భాగస్వామ్యం కోసం ఒక ఇన్నింగ్స్ లో కెరీర్లో క్యాచ్లు (25) ',' 15 వ అత్యధిక క్యాచ్లు (3) ',' 39 వ అత్యధిక భాగస్వామ్య"&amp;"ాలు తొలి వికెట్కు (133) ఆరవ వికెట్కు ',' 19 వ అత్యధిక భాగస్వామ్యం (73) ',' 12 వ లాంగెస్ట్ కెరీర్లు (13y 251d) ']")</f>
        <v>[ '32 వ అత్యంత అర్ధ' కోల్పోకుండా వైపు (77) ఒక మ్యాచ్లో 48 వ అత్యధిక పరుగులు '' 50 వ అత్యధిక కెరీర్ లో పరుగులు (1262) ',' 24 వ ఇన్నింగ్స్ లో అత్యధిక పరుగులు (బ్యాటింగ్ స్థానంలో ప్రకారం) (82 నాటౌట్) ', కెరీర్లో (8) ',' 13 వ కెరీర్ బాతులు (6) ',' 34 వ కెరీర్ లో వచ్చిన ఎక్కువ సిక్స్ (55) ',' 45 వ కెరీర్ ఫోర్లు (116) ',' 7 వ ఇన్నింగ్స్ లో వచ్చిన ఎక్కువ సిక్స్ (10) ',' 12 వ ఇన్నింగ్స్ లో వచ్చిన ఎక్కువ ఫోర్లు (12) ',' ఇన్నింగ్స్ లో ఫోర్లు, సిక్సర్లు నుండి 26 అత్యధిక పరుగులు (80) ',' 8 వ ఒక ఇన్నింగ్స్ లోని బెస్ట్ ఫిగర్స్ ఉన్నప్పుడు పరాజయం వైపు (4) ',' 31 బెస్ట్ ఒక ఇన్నింగ్స్ లో సమ్మె రేటు (4.5) ',' 40 వ అత్యంత ఏ వికెట్కు (133) ',' 20 వ అత్యధిక కోసం భాగస్వామ్యం కోసం ఒక ఇన్నింగ్స్ లో కెరీర్లో క్యాచ్లు (25) ',' 15 వ అత్యధిక క్యాచ్లు (3) ',' 39 వ అత్యధిక భాగస్వామ్యాలు తొలి వికెట్కు (133) ఆరవ వికెట్కు ',' 19 వ అత్యధిక భాగస్వామ్యం (73) ',' 12 వ లాంగెస్ట్ కెరీర్లు (13y 251d) ']</v>
      </c>
      <c r="I315" s="3"/>
    </row>
    <row r="316" customHeight="1" spans="1:9">
      <c r="A316" s="2"/>
      <c r="B316" s="2" t="str">
        <f>IFERROR(__xludf.DUMMYFUNCTION("IF(A316&lt;&gt;"""", GOOGLETRANSLATE(A316, ""en"", ""te""),"""")"),"")</f>
        <v/>
      </c>
      <c r="C316" s="2"/>
      <c r="D316" s="2" t="str">
        <f>IFERROR(__xludf.DUMMYFUNCTION("IF(C316&lt;&gt;"""", GOOGLETRANSLATE(C316, ""en"", ""te""),"""")"),"")</f>
        <v/>
      </c>
      <c r="E316" s="2"/>
      <c r="F316" s="2" t="str">
        <f>IFERROR(__xludf.DUMMYFUNCTION("IF(E316&lt;&gt;"""", GOOGLETRANSLATE(E316, ""en"", ""te""),"""")"),"")</f>
        <v/>
      </c>
      <c r="G316" s="2"/>
      <c r="H316" s="2" t="str">
        <f>IFERROR(__xludf.DUMMYFUNCTION("IF(G316&lt;&gt;"""", GOOGLETRANSLATE(G316, ""en"", ""te""),"""")"),"")</f>
        <v/>
      </c>
      <c r="I316" s="3"/>
    </row>
    <row r="317" customHeight="1" spans="1:9">
      <c r="A317" s="2"/>
      <c r="B317" s="2" t="str">
        <f>IFERROR(__xludf.DUMMYFUNCTION("IF(A317&lt;&gt;"""", GOOGLETRANSLATE(A317, ""en"", ""te""),"""")"),"")</f>
        <v/>
      </c>
      <c r="C317" s="2"/>
      <c r="D317" s="2" t="str">
        <f>IFERROR(__xludf.DUMMYFUNCTION("IF(C317&lt;&gt;"""", GOOGLETRANSLATE(C317, ""en"", ""te""),"""")"),"")</f>
        <v/>
      </c>
      <c r="E317" s="2"/>
      <c r="F317" s="2" t="str">
        <f>IFERROR(__xludf.DUMMYFUNCTION("IF(E317&lt;&gt;"""", GOOGLETRANSLATE(E317, ""en"", ""te""),"""")"),"")</f>
        <v/>
      </c>
      <c r="G317" s="2" t="s">
        <v>239</v>
      </c>
      <c r="H317" s="2" t="str">
        <f>IFERROR(__xludf.DUMMYFUNCTION("IF(G317&lt;&gt;"""", GOOGLETRANSLATE(G317, ""en"", ""te""),"""")"),"[ '25 తొలి మ్యాచ్లో అత్యధిక పరుగులు (61)']")</f>
        <v>[ '25 తొలి మ్యాచ్లో అత్యధిక పరుగులు (61)']</v>
      </c>
      <c r="I317" s="3"/>
    </row>
    <row r="318" customHeight="1" spans="1:9">
      <c r="A318" s="2"/>
      <c r="B318" s="2" t="str">
        <f>IFERROR(__xludf.DUMMYFUNCTION("IF(A318&lt;&gt;"""", GOOGLETRANSLATE(A318, ""en"", ""te""),"""")"),"")</f>
        <v/>
      </c>
      <c r="C318" s="2"/>
      <c r="D318" s="2" t="str">
        <f>IFERROR(__xludf.DUMMYFUNCTION("IF(C318&lt;&gt;"""", GOOGLETRANSLATE(C318, ""en"", ""te""),"""")"),"")</f>
        <v/>
      </c>
      <c r="E318" s="2"/>
      <c r="F318" s="2" t="str">
        <f>IFERROR(__xludf.DUMMYFUNCTION("IF(E318&lt;&gt;"""", GOOGLETRANSLATE(E318, ""en"", ""te""),"""")"),"")</f>
        <v/>
      </c>
      <c r="G318" s="2"/>
      <c r="H318" s="2" t="str">
        <f>IFERROR(__xludf.DUMMYFUNCTION("IF(G318&lt;&gt;"""", GOOGLETRANSLATE(G318, ""en"", ""te""),"""")"),"")</f>
        <v/>
      </c>
      <c r="I318" s="3"/>
    </row>
    <row r="319" customHeight="1" spans="1:9">
      <c r="A319" s="2"/>
      <c r="B319" s="2" t="str">
        <f>IFERROR(__xludf.DUMMYFUNCTION("IF(A319&lt;&gt;"""", GOOGLETRANSLATE(A319, ""en"", ""te""),"""")"),"")</f>
        <v/>
      </c>
      <c r="C319" s="2"/>
      <c r="D319" s="2" t="str">
        <f>IFERROR(__xludf.DUMMYFUNCTION("IF(C319&lt;&gt;"""", GOOGLETRANSLATE(C319, ""en"", ""te""),"""")"),"")</f>
        <v/>
      </c>
      <c r="E319" s="2"/>
      <c r="F319" s="2" t="str">
        <f>IFERROR(__xludf.DUMMYFUNCTION("IF(E319&lt;&gt;"""", GOOGLETRANSLATE(E319, ""en"", ""te""),"""")"),"")</f>
        <v/>
      </c>
      <c r="G319" s="2"/>
      <c r="H319" s="2" t="str">
        <f>IFERROR(__xludf.DUMMYFUNCTION("IF(G319&lt;&gt;"""", GOOGLETRANSLATE(G319, ""en"", ""te""),"""")"),"")</f>
        <v/>
      </c>
      <c r="I319" s="3"/>
    </row>
    <row r="320" customHeight="1" spans="1:9">
      <c r="A320" s="2"/>
      <c r="B320" s="2" t="str">
        <f>IFERROR(__xludf.DUMMYFUNCTION("IF(A320&lt;&gt;"""", GOOGLETRANSLATE(A320, ""en"", ""te""),"""")"),"")</f>
        <v/>
      </c>
      <c r="C320" s="2" t="s">
        <v>240</v>
      </c>
      <c r="D320" s="2" t="str">
        <f>IFERROR(__xludf.DUMMYFUNCTION("IF(C320&lt;&gt;"""", GOOGLETRANSLATE(C320, ""en"", ""te""),"""")"),"[ '15 వ పురాతన దేశం ఆటగాళ్ళు (90y 279d)']")</f>
        <v>[ '15 వ పురాతన దేశం ఆటగాళ్ళు (90y 279d)']</v>
      </c>
      <c r="E320" s="2"/>
      <c r="F320" s="2" t="str">
        <f>IFERROR(__xludf.DUMMYFUNCTION("IF(E320&lt;&gt;"""", GOOGLETRANSLATE(E320, ""en"", ""te""),"""")"),"")</f>
        <v/>
      </c>
      <c r="G320" s="2"/>
      <c r="H320" s="2" t="str">
        <f>IFERROR(__xludf.DUMMYFUNCTION("IF(G320&lt;&gt;"""", GOOGLETRANSLATE(G320, ""en"", ""te""),"""")"),"")</f>
        <v/>
      </c>
      <c r="I320" s="3"/>
    </row>
    <row r="321" customHeight="1" spans="1:9">
      <c r="A321" s="2"/>
      <c r="B321" s="2" t="str">
        <f>IFERROR(__xludf.DUMMYFUNCTION("IF(A321&lt;&gt;"""", GOOGLETRANSLATE(A321, ""en"", ""te""),"""")"),"")</f>
        <v/>
      </c>
      <c r="C321" s="2"/>
      <c r="D321" s="2" t="str">
        <f>IFERROR(__xludf.DUMMYFUNCTION("IF(C321&lt;&gt;"""", GOOGLETRANSLATE(C321, ""en"", ""te""),"""")"),"")</f>
        <v/>
      </c>
      <c r="E321" s="2"/>
      <c r="F321" s="2" t="str">
        <f>IFERROR(__xludf.DUMMYFUNCTION("IF(E321&lt;&gt;"""", GOOGLETRANSLATE(E321, ""en"", ""te""),"""")"),"")</f>
        <v/>
      </c>
      <c r="G321" s="2"/>
      <c r="H321" s="2" t="str">
        <f>IFERROR(__xludf.DUMMYFUNCTION("IF(G321&lt;&gt;"""", GOOGLETRANSLATE(G321, ""en"", ""te""),"""")"),"")</f>
        <v/>
      </c>
      <c r="I321" s="3"/>
    </row>
    <row r="322" customHeight="1" spans="1:9">
      <c r="A322" s="2"/>
      <c r="B322" s="2" t="str">
        <f>IFERROR(__xludf.DUMMYFUNCTION("IF(A322&lt;&gt;"""", GOOGLETRANSLATE(A322, ""en"", ""te""),"""")"),"")</f>
        <v/>
      </c>
      <c r="C322" s="2"/>
      <c r="D322" s="2" t="str">
        <f>IFERROR(__xludf.DUMMYFUNCTION("IF(C322&lt;&gt;"""", GOOGLETRANSLATE(C322, ""en"", ""te""),"""")"),"")</f>
        <v/>
      </c>
      <c r="E322" s="2"/>
      <c r="F322" s="2" t="str">
        <f>IFERROR(__xludf.DUMMYFUNCTION("IF(E322&lt;&gt;"""", GOOGLETRANSLATE(E322, ""en"", ""te""),"""")"),"")</f>
        <v/>
      </c>
      <c r="G322" s="2"/>
      <c r="H322" s="2" t="str">
        <f>IFERROR(__xludf.DUMMYFUNCTION("IF(G322&lt;&gt;"""", GOOGLETRANSLATE(G322, ""en"", ""te""),"""")"),"")</f>
        <v/>
      </c>
      <c r="I322" s="3"/>
    </row>
    <row r="323" customHeight="1" spans="1:9">
      <c r="A323" s="2"/>
      <c r="B323" s="2" t="str">
        <f>IFERROR(__xludf.DUMMYFUNCTION("IF(A323&lt;&gt;"""", GOOGLETRANSLATE(A323, ""en"", ""te""),"""")"),"")</f>
        <v/>
      </c>
      <c r="C323" s="2"/>
      <c r="D323" s="2" t="str">
        <f>IFERROR(__xludf.DUMMYFUNCTION("IF(C323&lt;&gt;"""", GOOGLETRANSLATE(C323, ""en"", ""te""),"""")"),"")</f>
        <v/>
      </c>
      <c r="E323" s="2"/>
      <c r="F323" s="2" t="str">
        <f>IFERROR(__xludf.DUMMYFUNCTION("IF(E323&lt;&gt;"""", GOOGLETRANSLATE(E323, ""en"", ""te""),"""")"),"")</f>
        <v/>
      </c>
      <c r="G323" s="2"/>
      <c r="H323" s="2" t="str">
        <f>IFERROR(__xludf.DUMMYFUNCTION("IF(G323&lt;&gt;"""", GOOGLETRANSLATE(G323, ""en"", ""te""),"""")"),"")</f>
        <v/>
      </c>
      <c r="I323" s="3"/>
    </row>
    <row r="324" customHeight="1" spans="1:9">
      <c r="A324" s="2"/>
      <c r="B324" s="2" t="str">
        <f>IFERROR(__xludf.DUMMYFUNCTION("IF(A324&lt;&gt;"""", GOOGLETRANSLATE(A324, ""en"", ""te""),"""")"),"")</f>
        <v/>
      </c>
      <c r="C324" s="2"/>
      <c r="D324" s="2" t="str">
        <f>IFERROR(__xludf.DUMMYFUNCTION("IF(C324&lt;&gt;"""", GOOGLETRANSLATE(C324, ""en"", ""te""),"""")"),"")</f>
        <v/>
      </c>
      <c r="E324" s="2"/>
      <c r="F324" s="2" t="str">
        <f>IFERROR(__xludf.DUMMYFUNCTION("IF(E324&lt;&gt;"""", GOOGLETRANSLATE(E324, ""en"", ""te""),"""")"),"")</f>
        <v/>
      </c>
      <c r="G324" s="2"/>
      <c r="H324" s="2" t="str">
        <f>IFERROR(__xludf.DUMMYFUNCTION("IF(G324&lt;&gt;"""", GOOGLETRANSLATE(G324, ""en"", ""te""),"""")"),"")</f>
        <v/>
      </c>
      <c r="I324" s="3"/>
    </row>
    <row r="325" customHeight="1" spans="1:9">
      <c r="A325" s="2"/>
      <c r="B325" s="2" t="str">
        <f>IFERROR(__xludf.DUMMYFUNCTION("IF(A325&lt;&gt;"""", GOOGLETRANSLATE(A325, ""en"", ""te""),"""")"),"")</f>
        <v/>
      </c>
      <c r="C325" s="2"/>
      <c r="D325" s="2" t="str">
        <f>IFERROR(__xludf.DUMMYFUNCTION("IF(C325&lt;&gt;"""", GOOGLETRANSLATE(C325, ""en"", ""te""),"""")"),"")</f>
        <v/>
      </c>
      <c r="E325" s="2"/>
      <c r="F325" s="2" t="str">
        <f>IFERROR(__xludf.DUMMYFUNCTION("IF(E325&lt;&gt;"""", GOOGLETRANSLATE(E325, ""en"", ""te""),"""")"),"")</f>
        <v/>
      </c>
      <c r="G325" s="2"/>
      <c r="H325" s="2" t="str">
        <f>IFERROR(__xludf.DUMMYFUNCTION("IF(G325&lt;&gt;"""", GOOGLETRANSLATE(G325, ""en"", ""te""),"""")"),"")</f>
        <v/>
      </c>
      <c r="I325" s="3"/>
    </row>
    <row r="326" customHeight="1" spans="1:9">
      <c r="A326" s="2"/>
      <c r="B326" s="2" t="str">
        <f>IFERROR(__xludf.DUMMYFUNCTION("IF(A326&lt;&gt;"""", GOOGLETRANSLATE(A326, ""en"", ""te""),"""")"),"")</f>
        <v/>
      </c>
      <c r="C326" s="2"/>
      <c r="D326" s="2" t="str">
        <f>IFERROR(__xludf.DUMMYFUNCTION("IF(C326&lt;&gt;"""", GOOGLETRANSLATE(C326, ""en"", ""te""),"""")"),"")</f>
        <v/>
      </c>
      <c r="E326" s="2"/>
      <c r="F326" s="2" t="str">
        <f>IFERROR(__xludf.DUMMYFUNCTION("IF(E326&lt;&gt;"""", GOOGLETRANSLATE(E326, ""en"", ""te""),"""")"),"")</f>
        <v/>
      </c>
      <c r="G326" s="2"/>
      <c r="H326" s="2" t="str">
        <f>IFERROR(__xludf.DUMMYFUNCTION("IF(G326&lt;&gt;"""", GOOGLETRANSLATE(G326, ""en"", ""te""),"""")"),"")</f>
        <v/>
      </c>
      <c r="I326" s="3"/>
    </row>
    <row r="327" customHeight="1" spans="1:9">
      <c r="A327" s="2"/>
      <c r="B327" s="2" t="str">
        <f>IFERROR(__xludf.DUMMYFUNCTION("IF(A327&lt;&gt;"""", GOOGLETRANSLATE(A327, ""en"", ""te""),"""")"),"")</f>
        <v/>
      </c>
      <c r="C327" s="2"/>
      <c r="D327" s="2" t="str">
        <f>IFERROR(__xludf.DUMMYFUNCTION("IF(C327&lt;&gt;"""", GOOGLETRANSLATE(C327, ""en"", ""te""),"""")"),"")</f>
        <v/>
      </c>
      <c r="E327" s="2"/>
      <c r="F327" s="2" t="str">
        <f>IFERROR(__xludf.DUMMYFUNCTION("IF(E327&lt;&gt;"""", GOOGLETRANSLATE(E327, ""en"", ""te""),"""")"),"")</f>
        <v/>
      </c>
      <c r="G327" s="2"/>
      <c r="H327" s="2" t="str">
        <f>IFERROR(__xludf.DUMMYFUNCTION("IF(G327&lt;&gt;"""", GOOGLETRANSLATE(G327, ""en"", ""te""),"""")"),"")</f>
        <v/>
      </c>
      <c r="I327" s="3"/>
    </row>
    <row r="328" customHeight="1" spans="1:9">
      <c r="A328" s="2"/>
      <c r="B328" s="2" t="str">
        <f>IFERROR(__xludf.DUMMYFUNCTION("IF(A328&lt;&gt;"""", GOOGLETRANSLATE(A328, ""en"", ""te""),"""")"),"")</f>
        <v/>
      </c>
      <c r="C328" s="2"/>
      <c r="D328" s="2" t="str">
        <f>IFERROR(__xludf.DUMMYFUNCTION("IF(C328&lt;&gt;"""", GOOGLETRANSLATE(C328, ""en"", ""te""),"""")"),"")</f>
        <v/>
      </c>
      <c r="E328" s="2"/>
      <c r="F328" s="2" t="str">
        <f>IFERROR(__xludf.DUMMYFUNCTION("IF(E328&lt;&gt;"""", GOOGLETRANSLATE(E328, ""en"", ""te""),"""")"),"")</f>
        <v/>
      </c>
      <c r="G328" s="2"/>
      <c r="H328" s="2" t="str">
        <f>IFERROR(__xludf.DUMMYFUNCTION("IF(G328&lt;&gt;"""", GOOGLETRANSLATE(G328, ""en"", ""te""),"""")"),"")</f>
        <v/>
      </c>
      <c r="I328" s="3"/>
    </row>
    <row r="329" customHeight="1" spans="1:9">
      <c r="A329" s="2"/>
      <c r="B329" s="2" t="str">
        <f>IFERROR(__xludf.DUMMYFUNCTION("IF(A329&lt;&gt;"""", GOOGLETRANSLATE(A329, ""en"", ""te""),"""")"),"")</f>
        <v/>
      </c>
      <c r="C329" s="2"/>
      <c r="D329" s="2" t="str">
        <f>IFERROR(__xludf.DUMMYFUNCTION("IF(C329&lt;&gt;"""", GOOGLETRANSLATE(C329, ""en"", ""te""),"""")"),"")</f>
        <v/>
      </c>
      <c r="E329" s="2"/>
      <c r="F329" s="2" t="str">
        <f>IFERROR(__xludf.DUMMYFUNCTION("IF(E329&lt;&gt;"""", GOOGLETRANSLATE(E329, ""en"", ""te""),"""")"),"")</f>
        <v/>
      </c>
      <c r="G329" s="2"/>
      <c r="H329" s="2" t="str">
        <f>IFERROR(__xludf.DUMMYFUNCTION("IF(G329&lt;&gt;"""", GOOGLETRANSLATE(G329, ""en"", ""te""),"""")"),"")</f>
        <v/>
      </c>
      <c r="I329" s="3"/>
    </row>
    <row r="330" customHeight="1" spans="1:9">
      <c r="A330" s="2"/>
      <c r="B330" s="2" t="str">
        <f>IFERROR(__xludf.DUMMYFUNCTION("IF(A330&lt;&gt;"""", GOOGLETRANSLATE(A330, ""en"", ""te""),"""")"),"")</f>
        <v/>
      </c>
      <c r="C330" s="2"/>
      <c r="D330" s="2" t="str">
        <f>IFERROR(__xludf.DUMMYFUNCTION("IF(C330&lt;&gt;"""", GOOGLETRANSLATE(C330, ""en"", ""te""),"""")"),"")</f>
        <v/>
      </c>
      <c r="E330" s="2" t="s">
        <v>241</v>
      </c>
      <c r="F330" s="2" t="str">
        <f>IFERROR(__xludf.DUMMYFUNCTION("IF(E330&lt;&gt;"""", GOOGLETRANSLATE(E330, ""en"", ""te""),"""")"),"[ '46 వ పురాతన దేశం ఆటగాళ్ళు (77y 44d)']")</f>
        <v>[ '46 వ పురాతన దేశం ఆటగాళ్ళు (77y 44d)']</v>
      </c>
      <c r="G330" s="2"/>
      <c r="H330" s="2" t="str">
        <f>IFERROR(__xludf.DUMMYFUNCTION("IF(G330&lt;&gt;"""", GOOGLETRANSLATE(G330, ""en"", ""te""),"""")"),"")</f>
        <v/>
      </c>
      <c r="I330" s="3"/>
    </row>
    <row r="331" customHeight="1" spans="1:9">
      <c r="A331" s="2" t="s">
        <v>242</v>
      </c>
      <c r="B331" s="2" t="str">
        <f>IFERROR(__xludf.DUMMYFUNCTION("IF(A331&lt;&gt;"""", GOOGLETRANSLATE(A331, ""en"", ""te""),"""")"),"[ 'ఒక ఆటలో బదులు 6 వ అత్యధిక క్యాచ్లు (3)', '250 పరుగులు మరియు ఒక సిరీస్లో 10 వికెట్లు', '1000 పరుగులు, 50 వికెట్లు, 50 క్యాచ్లు', '5000 పరుగులు మరియు 50 ఫీల్డింగ్ వికెట్లు', '2 వ లేవు కెరీర్ (65) బాతులు ']")</f>
        <v>[ 'ఒక ఆటలో బదులు 6 వ అత్యధిక క్యాచ్లు (3)', '250 పరుగులు మరియు ఒక సిరీస్లో 10 వికెట్లు', '1000 పరుగులు, 50 వికెట్లు, 50 క్యాచ్లు', '5000 పరుగులు మరియు 50 ఫీల్డింగ్ వికెట్లు', '2 వ లేవు కెరీర్ (65) బాతులు ']</v>
      </c>
      <c r="C331" s="2" t="s">
        <v>243</v>
      </c>
      <c r="D331" s="2" t="str">
        <f>IFERROR(__xludf.DUMMYFUNCTION("IF(C331&lt;&gt;"""", GOOGLETRANSLATE(C331, ""en"", ""te""),"""")"),"[ '27 పరుగులతో ఇన్నింగ్స్లో పరుగుల శాతం (58.85)', '18 వ చెత్త కెరీర్ సగటు (59.63) బౌలింగ్', '49 వ చెత్త కెరీర్లో సమ్మె రేటు (107.1)', '6 వ ఒక ఆటలో బదులు ద్వారా అత్యధిక క్యాచ్లు (3 ) ',' ఏడవ వికెట్ (204 కోసం 17 అత్యధిక భాగస్వామ్యం) ']")</f>
        <v>[ '27 పరుగులతో ఇన్నింగ్స్లో పరుగుల శాతం (58.85)', '18 వ చెత్త కెరీర్ సగటు (59.63) బౌలింగ్', '49 వ చెత్త కెరీర్లో సమ్మె రేటు (107.1)', '6 వ ఒక ఆటలో బదులు ద్వారా అత్యధిక క్యాచ్లు (3 ) ',' ఏడవ వికెట్ (204 కోసం 17 అత్యధిక భాగస్వామ్యం) ']</v>
      </c>
      <c r="E331" s="2" t="s">
        <v>244</v>
      </c>
      <c r="F331" s="2" t="str">
        <f>IFERROR(__xludf.DUMMYFUNCTION("IF(E331&lt;&gt;"""", GOOGLETRANSLATE(E331, ""en"", ""te""),"""")"),"[ 'వంద (35y 137d) స్కోర్ 43 వ అత్యంత వృద్ధ ఆటగాడు' '49 వ పిన్న ఆటగాడు వంద (21y 292d) స్కోర్', 'మొదటి డక్ ముందు 16 వ ఇన్నింగ్స్ (44)', '31 కెరీర్లో ఎక్కువ సిక్స్ (118) ',' బౌలింగ్ 50 వ చెత్త కెరీర్ సగటు (46.37) ',' 25 వ అత్యధిక వికెట్లు తీసుకున్న క్యాచ్ మర"&amp;"ియు బౌల్డ్ (11) ',' నాలుగవ వికెట్కు 19 అత్యధిక భాగస్వామ్యం (192) ',' 12 వ లాంగెస్ట్ కెరీర్లు (18y 71d) ',' కెప్టెన్సీ తొలి 33 వ ఓల్డెస్ట్ కాప్టెన్ (34y 272d) ']")</f>
        <v>[ 'వంద (35y 137d) స్కోర్ 43 వ అత్యంత వృద్ధ ఆటగాడు' '49 వ పిన్న ఆటగాడు వంద (21y 292d) స్కోర్', 'మొదటి డక్ ముందు 16 వ ఇన్నింగ్స్ (44)', '31 కెరీర్లో ఎక్కువ సిక్స్ (118) ',' బౌలింగ్ 50 వ చెత్త కెరీర్ సగటు (46.37) ',' 25 వ అత్యధిక వికెట్లు తీసుకున్న క్యాచ్ మరియు బౌల్డ్ (11) ',' నాలుగవ వికెట్కు 19 అత్యధిక భాగస్వామ్యం (192) ',' 12 వ లాంగెస్ట్ కెరీర్లు (18y 71d) ',' కెప్టెన్సీ తొలి 33 వ ఓల్డెస్ట్ కాప్టెన్ (34y 272d) ']</v>
      </c>
      <c r="G331" s="2" t="s">
        <v>245</v>
      </c>
      <c r="H331" s="2" t="str">
        <f>IFERROR(__xludf.DUMMYFUNCTION("IF(G331&lt;&gt;"""", GOOGLETRANSLATE(G331, ""en"", ""te""),"""")"),"[ 'కెరీర్లో 29 వ అత్యధిక పరుగులు (1611)', '21 వ ఇన్నింగ్స్ లో అత్యధిక పరుగులు (బ్యాటింగ్ స్థానంలో ప్రకారం) (89 *) ',' 48 వ తొలి మ్యాచ్లో అత్యధిక పరుగులు (51) ',' 26th కెరీర్ అర్ధ (10 ) ',' కెరీర్ లో కెరీర్ లో ఒక డక్ లేకుండా కెరీర్లో 2 వ లేవు బాతులు (65) '"&amp;",' 4 వ అత్యధిక వరుస ఇన్నింగ్స్ (65 *) ',' 24th ఎక్కువ సిక్స్ (69) ',' 25 వ అత్యంత ఫోర్లు (144) ', '17 వ ఇన్నింగ్స్ లో వచ్చిన ఎక్కువ సిక్స్ (9)', '12 వ లాంగెస్ట్ వ్యక్తిగత ఇన్నింగ్స్ (బంతులతో) (66)', 'ఒక ఇన్నింగ్స్లో పరుగుల 40 వ అత్యధిక శాతం (56.93)', '28t"&amp;"h 1000 పరుగులు వేగంగా (41) ',' 14 వ అత్యధిక వికెట్లు తీసుకున్న క్యాచ్ మరియు బౌల్డ్ (3) ',' ఐదవ వికెట్ (76 *) ',' ఏడవ వికెట్కు 25 అత్యధిక భాగస్వామ్యం (54 *) కోసం 29 అత్యధిక భాగస్వామ్యం ',' 40 వ కెరీర్ లో అత్యధిక మ్యాచ్లు ( 67) ',' 19 వ అత్యంత ప్లేయర్ ఆఫ్ ద"&amp;"ి మ్యాచ్ అవార్డులు (6) ']")</f>
        <v>[ 'కెరీర్లో 29 వ అత్యధిక పరుగులు (1611)', '21 వ ఇన్నింగ్స్ లో అత్యధిక పరుగులు (బ్యాటింగ్ స్థానంలో ప్రకారం) (89 *) ',' 48 వ తొలి మ్యాచ్లో అత్యధిక పరుగులు (51) ',' 26th కెరీర్ అర్ధ (10 ) ',' కెరీర్ లో కెరీర్ లో ఒక డక్ లేకుండా కెరీర్లో 2 వ లేవు బాతులు (65) ',' 4 వ అత్యధిక వరుస ఇన్నింగ్స్ (65 *) ',' 24th ఎక్కువ సిక్స్ (69) ',' 25 వ అత్యంత ఫోర్లు (144) ', '17 వ ఇన్నింగ్స్ లో వచ్చిన ఎక్కువ సిక్స్ (9)', '12 వ లాంగెస్ట్ వ్యక్తిగత ఇన్నింగ్స్ (బంతులతో) (66)', 'ఒక ఇన్నింగ్స్లో పరుగుల 40 వ అత్యధిక శాతం (56.93)', '28th 1000 పరుగులు వేగంగా (41) ',' 14 వ అత్యధిక వికెట్లు తీసుకున్న క్యాచ్ మరియు బౌల్డ్ (3) ',' ఐదవ వికెట్ (76 *) ',' ఏడవ వికెట్కు 25 అత్యధిక భాగస్వామ్యం (54 *) కోసం 29 అత్యధిక భాగస్వామ్యం ',' 40 వ కెరీర్ లో అత్యధిక మ్యాచ్లు ( 67) ',' 19 వ అత్యంత ప్లేయర్ ఆఫ్ ది మ్యాచ్ అవార్డులు (6) ']</v>
      </c>
      <c r="I331" s="3"/>
    </row>
    <row r="332" customHeight="1" spans="1:9">
      <c r="A332" s="2"/>
      <c r="B332" s="2" t="str">
        <f>IFERROR(__xludf.DUMMYFUNCTION("IF(A332&lt;&gt;"""", GOOGLETRANSLATE(A332, ""en"", ""te""),"""")"),"")</f>
        <v/>
      </c>
      <c r="C332" s="2"/>
      <c r="D332" s="2" t="str">
        <f>IFERROR(__xludf.DUMMYFUNCTION("IF(C332&lt;&gt;"""", GOOGLETRANSLATE(C332, ""en"", ""te""),"""")"),"")</f>
        <v/>
      </c>
      <c r="E332" s="2"/>
      <c r="F332" s="2" t="str">
        <f>IFERROR(__xludf.DUMMYFUNCTION("IF(E332&lt;&gt;"""", GOOGLETRANSLATE(E332, ""en"", ""te""),"""")"),"")</f>
        <v/>
      </c>
      <c r="G332" s="2"/>
      <c r="H332" s="2" t="str">
        <f>IFERROR(__xludf.DUMMYFUNCTION("IF(G332&lt;&gt;"""", GOOGLETRANSLATE(G332, ""en"", ""te""),"""")"),"")</f>
        <v/>
      </c>
      <c r="I332" s="3"/>
    </row>
    <row r="333" customHeight="1" spans="1:9">
      <c r="A333" s="2"/>
      <c r="B333" s="2" t="str">
        <f>IFERROR(__xludf.DUMMYFUNCTION("IF(A333&lt;&gt;"""", GOOGLETRANSLATE(A333, ""en"", ""te""),"""")"),"")</f>
        <v/>
      </c>
      <c r="C333" s="2" t="s">
        <v>246</v>
      </c>
      <c r="D333" s="2" t="str">
        <f>IFERROR(__xludf.DUMMYFUNCTION("IF(C333&lt;&gt;"""", GOOGLETRANSLATE(C333, ""en"", ""te""),"""")"),"[ '30 వ పురాతన దేశం ఆటగాళ్ళు (87y 307d)', '12 వ అత్యధిక మ్యాచ్లు ఒక మ్యాచ్ రిఫరీ గా (42)']")</f>
        <v>[ '30 వ పురాతన దేశం ఆటగాళ్ళు (87y 307d)', '12 వ అత్యధిక మ్యాచ్లు ఒక మ్యాచ్ రిఫరీ గా (42)']</v>
      </c>
      <c r="E333" s="2" t="s">
        <v>247</v>
      </c>
      <c r="F333" s="2" t="str">
        <f>IFERROR(__xludf.DUMMYFUNCTION("IF(E333&lt;&gt;"""", GOOGLETRANSLATE(E333, ""en"", ""te""),"""")"),"[ '11 వ ఒక మ్యాచ్ రిఫరీ (118) వంటి అత్యధిక మ్యాచ్లు']")</f>
        <v>[ '11 వ ఒక మ్యాచ్ రిఫరీ (118) వంటి అత్యధిక మ్యాచ్లు']</v>
      </c>
      <c r="G333" s="2"/>
      <c r="H333" s="2" t="str">
        <f>IFERROR(__xludf.DUMMYFUNCTION("IF(G333&lt;&gt;"""", GOOGLETRANSLATE(G333, ""en"", ""te""),"""")"),"")</f>
        <v/>
      </c>
      <c r="I333" s="3"/>
    </row>
    <row r="334" customHeight="1" spans="1:9">
      <c r="A334" s="2" t="s">
        <v>248</v>
      </c>
      <c r="B334" s="2" t="str">
        <f>IFERROR(__xludf.DUMMYFUNCTION("IF(A334&lt;&gt;"""", GOOGLETRANSLATE(A334, ""en"", ""te""),"""")"),"[ '1st అత్యధిక వికెట్లు తీసిన హిట్ వికెట్ (1)']")</f>
        <v>[ '1st అత్యధిక వికెట్లు తీసిన హిట్ వికెట్ (1)']</v>
      </c>
      <c r="C334" s="2"/>
      <c r="D334" s="2" t="str">
        <f>IFERROR(__xludf.DUMMYFUNCTION("IF(C334&lt;&gt;"""", GOOGLETRANSLATE(C334, ""en"", ""te""),"""")"),"")</f>
        <v/>
      </c>
      <c r="E334" s="2" t="s">
        <v>249</v>
      </c>
      <c r="F334" s="2" t="str">
        <f>IFERROR(__xludf.DUMMYFUNCTION("IF(E334&lt;&gt;"""", GOOGLETRANSLATE(E334, ""en"", ""te""),"""")"),"[ '17 వ ఉత్తమ కెరీర్ (10.25) (అర్హత లేకుండా) సగటు బౌలింగ్', '1 వ అత్యధిక వికెట్లు తీసిన హిట్ వికెట్ (1)']")</f>
        <v>[ '17 వ ఉత్తమ కెరీర్ (10.25) (అర్హత లేకుండా) సగటు బౌలింగ్', '1 వ అత్యధిక వికెట్లు తీసిన హిట్ వికెట్ (1)']</v>
      </c>
      <c r="G334" s="2"/>
      <c r="H334" s="2" t="str">
        <f>IFERROR(__xludf.DUMMYFUNCTION("IF(G334&lt;&gt;"""", GOOGLETRANSLATE(G334, ""en"", ""te""),"""")"),"")</f>
        <v/>
      </c>
      <c r="I334" s="3"/>
    </row>
    <row r="335" customHeight="1" spans="1:9">
      <c r="A335" s="2"/>
      <c r="B335" s="2" t="str">
        <f>IFERROR(__xludf.DUMMYFUNCTION("IF(A335&lt;&gt;"""", GOOGLETRANSLATE(A335, ""en"", ""te""),"""")"),"")</f>
        <v/>
      </c>
      <c r="C335" s="2"/>
      <c r="D335" s="2" t="str">
        <f>IFERROR(__xludf.DUMMYFUNCTION("IF(C335&lt;&gt;"""", GOOGLETRANSLATE(C335, ""en"", ""te""),"""")"),"")</f>
        <v/>
      </c>
      <c r="E335" s="2"/>
      <c r="F335" s="2" t="str">
        <f>IFERROR(__xludf.DUMMYFUNCTION("IF(E335&lt;&gt;"""", GOOGLETRANSLATE(E335, ""en"", ""te""),"""")"),"")</f>
        <v/>
      </c>
      <c r="G335" s="2"/>
      <c r="H335" s="2" t="str">
        <f>IFERROR(__xludf.DUMMYFUNCTION("IF(G335&lt;&gt;"""", GOOGLETRANSLATE(G335, ""en"", ""te""),"""")"),"")</f>
        <v/>
      </c>
      <c r="I335" s="3"/>
    </row>
    <row r="336" customHeight="1" spans="1:9">
      <c r="A336" s="2"/>
      <c r="B336" s="2" t="str">
        <f>IFERROR(__xludf.DUMMYFUNCTION("IF(A336&lt;&gt;"""", GOOGLETRANSLATE(A336, ""en"", ""te""),"""")"),"")</f>
        <v/>
      </c>
      <c r="C336" s="2"/>
      <c r="D336" s="2" t="str">
        <f>IFERROR(__xludf.DUMMYFUNCTION("IF(C336&lt;&gt;"""", GOOGLETRANSLATE(C336, ""en"", ""te""),"""")"),"")</f>
        <v/>
      </c>
      <c r="E336" s="2"/>
      <c r="F336" s="2" t="str">
        <f>IFERROR(__xludf.DUMMYFUNCTION("IF(E336&lt;&gt;"""", GOOGLETRANSLATE(E336, ""en"", ""te""),"""")"),"")</f>
        <v/>
      </c>
      <c r="G336" s="2"/>
      <c r="H336" s="2" t="str">
        <f>IFERROR(__xludf.DUMMYFUNCTION("IF(G336&lt;&gt;"""", GOOGLETRANSLATE(G336, ""en"", ""te""),"""")"),"")</f>
        <v/>
      </c>
      <c r="I336" s="3"/>
    </row>
    <row r="337" customHeight="1" spans="1:9">
      <c r="A337" s="2" t="s">
        <v>250</v>
      </c>
      <c r="B337" s="2" t="str">
        <f>IFERROR(__xludf.DUMMYFUNCTION("IF(A337&lt;&gt;"""", GOOGLETRANSLATE(A337, ""en"", ""te""),"""")"),"[ '10 వ సంఖ్య పదకొండు ఇన్నింగ్స్ లో టాప్ స్కోరింగ్ (53 *)', '2 వ వరుస ఐదు వికెట్ల లో-ఒక-ఇన్నింగ్స్ (5)']")</f>
        <v>[ '10 వ సంఖ్య పదకొండు ఇన్నింగ్స్ లో టాప్ స్కోరింగ్ (53 *)', '2 వ వరుస ఐదు వికెట్ల లో-ఒక-ఇన్నింగ్స్ (5)']</v>
      </c>
      <c r="C337" s="2" t="s">
        <v>251</v>
      </c>
      <c r="D337" s="2" t="str">
        <f>IFERROR(__xludf.DUMMYFUNCTION("IF(C337&lt;&gt;"""", GOOGLETRANSLATE(C337, ""en"", ""te""),"""")"),"[ '13 వ ఇన్నింగ్స్ లో అత్యధిక పరుగులు (బ్యాటింగ్ స్థానంలో ప్రకారం) (53 *)', 'ఇన్నింగ్స్ లో 34 వ అత్యధిక స్ట్రైక్ రేట్ (182.75)', 'ఇన్నింగ్స్ లో 10 వ సంఖ్య పదకొండు టాప్ స్కోరింగ్ (53 *)', '40 వ ఉత్తమ ఒక మ్యాచ్లో గణాంకాలు పరాజయం వైపు ఉన్నప్పుడు (10) ',' ఇ"&amp;"న్నింగ్స్ లో సాధించిన 2nd వరుస ఐదు వికెట్ల లో-ఒక-ఇన్నింగ్స్ (5) ',' 47 వ అత్యధిక పరుగులు (193) ',' 23 వ అత్యధిక పరుగులు సాధించిన ఒక మ్యాచ్లో (273) ',' ఫాస్టెస్ట్ 50 వికెట్లు 41 వ (11) ']")</f>
        <v>[ '13 వ ఇన్నింగ్స్ లో అత్యధిక పరుగులు (బ్యాటింగ్ స్థానంలో ప్రకారం) (53 *)', 'ఇన్నింగ్స్ లో 34 వ అత్యధిక స్ట్రైక్ రేట్ (182.75)', 'ఇన్నింగ్స్ లో 10 వ సంఖ్య పదకొండు టాప్ స్కోరింగ్ (53 *)', '40 వ ఉత్తమ ఒక మ్యాచ్లో గణాంకాలు పరాజయం వైపు ఉన్నప్పుడు (10) ',' ఇన్నింగ్స్ లో సాధించిన 2nd వరుస ఐదు వికెట్ల లో-ఒక-ఇన్నింగ్స్ (5) ',' 47 వ అత్యధిక పరుగులు (193) ',' 23 వ అత్యధిక పరుగులు సాధించిన ఒక మ్యాచ్లో (273) ',' ఫాస్టెస్ట్ 50 వికెట్లు 41 వ (11) ']</v>
      </c>
      <c r="E337" s="2"/>
      <c r="F337" s="2" t="str">
        <f>IFERROR(__xludf.DUMMYFUNCTION("IF(E337&lt;&gt;"""", GOOGLETRANSLATE(E337, ""en"", ""te""),"""")"),"")</f>
        <v/>
      </c>
      <c r="G337" s="2"/>
      <c r="H337" s="2" t="str">
        <f>IFERROR(__xludf.DUMMYFUNCTION("IF(G337&lt;&gt;"""", GOOGLETRANSLATE(G337, ""en"", ""te""),"""")"),"")</f>
        <v/>
      </c>
      <c r="I337" s="3"/>
    </row>
    <row r="338" customHeight="1" spans="1:9">
      <c r="A338" s="2"/>
      <c r="B338" s="2" t="str">
        <f>IFERROR(__xludf.DUMMYFUNCTION("IF(A338&lt;&gt;"""", GOOGLETRANSLATE(A338, ""en"", ""te""),"""")"),"")</f>
        <v/>
      </c>
      <c r="C338" s="2"/>
      <c r="D338" s="2" t="str">
        <f>IFERROR(__xludf.DUMMYFUNCTION("IF(C338&lt;&gt;"""", GOOGLETRANSLATE(C338, ""en"", ""te""),"""")"),"")</f>
        <v/>
      </c>
      <c r="E338" s="2"/>
      <c r="F338" s="2" t="str">
        <f>IFERROR(__xludf.DUMMYFUNCTION("IF(E338&lt;&gt;"""", GOOGLETRANSLATE(E338, ""en"", ""te""),"""")"),"")</f>
        <v/>
      </c>
      <c r="G338" s="2"/>
      <c r="H338" s="2" t="str">
        <f>IFERROR(__xludf.DUMMYFUNCTION("IF(G338&lt;&gt;"""", GOOGLETRANSLATE(G338, ""en"", ""te""),"""")"),"")</f>
        <v/>
      </c>
      <c r="I338" s="3"/>
    </row>
    <row r="339" customHeight="1" spans="1:9">
      <c r="A339" s="2"/>
      <c r="B339" s="2" t="str">
        <f>IFERROR(__xludf.DUMMYFUNCTION("IF(A339&lt;&gt;"""", GOOGLETRANSLATE(A339, ""en"", ""te""),"""")"),"")</f>
        <v/>
      </c>
      <c r="C339" s="2"/>
      <c r="D339" s="2" t="str">
        <f>IFERROR(__xludf.DUMMYFUNCTION("IF(C339&lt;&gt;"""", GOOGLETRANSLATE(C339, ""en"", ""te""),"""")"),"")</f>
        <v/>
      </c>
      <c r="E339" s="2"/>
      <c r="F339" s="2" t="str">
        <f>IFERROR(__xludf.DUMMYFUNCTION("IF(E339&lt;&gt;"""", GOOGLETRANSLATE(E339, ""en"", ""te""),"""")"),"")</f>
        <v/>
      </c>
      <c r="G339" s="2"/>
      <c r="H339" s="2" t="str">
        <f>IFERROR(__xludf.DUMMYFUNCTION("IF(G339&lt;&gt;"""", GOOGLETRANSLATE(G339, ""en"", ""te""),"""")"),"")</f>
        <v/>
      </c>
      <c r="I339" s="3"/>
    </row>
    <row r="340" customHeight="1" spans="1:9">
      <c r="A340" s="2"/>
      <c r="B340" s="2" t="str">
        <f>IFERROR(__xludf.DUMMYFUNCTION("IF(A340&lt;&gt;"""", GOOGLETRANSLATE(A340, ""en"", ""te""),"""")"),"")</f>
        <v/>
      </c>
      <c r="C340" s="2"/>
      <c r="D340" s="2" t="str">
        <f>IFERROR(__xludf.DUMMYFUNCTION("IF(C340&lt;&gt;"""", GOOGLETRANSLATE(C340, ""en"", ""te""),"""")"),"")</f>
        <v/>
      </c>
      <c r="E340" s="2"/>
      <c r="F340" s="2" t="str">
        <f>IFERROR(__xludf.DUMMYFUNCTION("IF(E340&lt;&gt;"""", GOOGLETRANSLATE(E340, ""en"", ""te""),"""")"),"")</f>
        <v/>
      </c>
      <c r="G340" s="2"/>
      <c r="H340" s="2" t="str">
        <f>IFERROR(__xludf.DUMMYFUNCTION("IF(G340&lt;&gt;"""", GOOGLETRANSLATE(G340, ""en"", ""te""),"""")"),"")</f>
        <v/>
      </c>
      <c r="I340" s="3"/>
    </row>
    <row r="341" customHeight="1" spans="1:9">
      <c r="A341" s="2"/>
      <c r="B341" s="2" t="str">
        <f>IFERROR(__xludf.DUMMYFUNCTION("IF(A341&lt;&gt;"""", GOOGLETRANSLATE(A341, ""en"", ""te""),"""")"),"")</f>
        <v/>
      </c>
      <c r="C341" s="2"/>
      <c r="D341" s="2" t="str">
        <f>IFERROR(__xludf.DUMMYFUNCTION("IF(C341&lt;&gt;"""", GOOGLETRANSLATE(C341, ""en"", ""te""),"""")"),"")</f>
        <v/>
      </c>
      <c r="E341" s="2"/>
      <c r="F341" s="2" t="str">
        <f>IFERROR(__xludf.DUMMYFUNCTION("IF(E341&lt;&gt;"""", GOOGLETRANSLATE(E341, ""en"", ""te""),"""")"),"")</f>
        <v/>
      </c>
      <c r="G341" s="2"/>
      <c r="H341" s="2" t="str">
        <f>IFERROR(__xludf.DUMMYFUNCTION("IF(G341&lt;&gt;"""", GOOGLETRANSLATE(G341, ""en"", ""te""),"""")"),"")</f>
        <v/>
      </c>
      <c r="I341" s="3"/>
    </row>
    <row r="342" customHeight="1" spans="1:9">
      <c r="A342" s="2" t="s">
        <v>252</v>
      </c>
      <c r="B342" s="2" t="str">
        <f>IFERROR(__xludf.DUMMYFUNCTION("IF(A342&lt;&gt;"""", GOOGLETRANSLATE(A342, ""en"", ""te""),"""")"),"[ 'తొలి 7th తొంభై (96)']")</f>
        <v>[ 'తొలి 7th తొంభై (96)']</v>
      </c>
      <c r="C342" s="2" t="s">
        <v>252</v>
      </c>
      <c r="D342" s="2" t="str">
        <f>IFERROR(__xludf.DUMMYFUNCTION("IF(C342&lt;&gt;"""", GOOGLETRANSLATE(C342, ""en"", ""te""),"""")"),"[ 'తొలి 7th తొంభై (96)']")</f>
        <v>[ 'తొలి 7th తొంభై (96)']</v>
      </c>
      <c r="E342" s="2"/>
      <c r="F342" s="2" t="str">
        <f>IFERROR(__xludf.DUMMYFUNCTION("IF(E342&lt;&gt;"""", GOOGLETRANSLATE(E342, ""en"", ""te""),"""")"),"")</f>
        <v/>
      </c>
      <c r="G342" s="2"/>
      <c r="H342" s="2" t="str">
        <f>IFERROR(__xludf.DUMMYFUNCTION("IF(G342&lt;&gt;"""", GOOGLETRANSLATE(G342, ""en"", ""te""),"""")"),"")</f>
        <v/>
      </c>
      <c r="I342" s="3"/>
    </row>
    <row r="343" customHeight="1" spans="1:9">
      <c r="A343" s="2" t="s">
        <v>253</v>
      </c>
      <c r="B343" s="2" t="str">
        <f>IFERROR(__xludf.DUMMYFUNCTION("IF(A343&lt;&gt;"""", GOOGLETRANSLATE(A343, ""en"", ""te""),"""")"),"[ 'ఒక ఆటలో బదులు 6 వ అత్యధిక క్యాచ్లు (3)']")</f>
        <v>[ 'ఒక ఆటలో బదులు 6 వ అత్యధిక క్యాచ్లు (3)']</v>
      </c>
      <c r="C343" s="2" t="s">
        <v>254</v>
      </c>
      <c r="D343" s="2" t="str">
        <f>IFERROR(__xludf.DUMMYFUNCTION("IF(C343&lt;&gt;"""", GOOGLETRANSLATE(C343, ""en"", ""te""),"""")"),"[ 'ఒక ఆటలో బదులు 6 వ అత్యధిక క్యాచ్లు (3)', '21 వ పిన్న క్రీడాకారులు (17y 122d) ']")</f>
        <v>[ 'ఒక ఆటలో బదులు 6 వ అత్యధిక క్యాచ్లు (3)', '21 వ పిన్న క్రీడాకారులు (17y 122d) ']</v>
      </c>
      <c r="E343" s="2"/>
      <c r="F343" s="2" t="str">
        <f>IFERROR(__xludf.DUMMYFUNCTION("IF(E343&lt;&gt;"""", GOOGLETRANSLATE(E343, ""en"", ""te""),"""")"),"")</f>
        <v/>
      </c>
      <c r="G343" s="2"/>
      <c r="H343" s="2" t="str">
        <f>IFERROR(__xludf.DUMMYFUNCTION("IF(G343&lt;&gt;"""", GOOGLETRANSLATE(G343, ""en"", ""te""),"""")"),"")</f>
        <v/>
      </c>
      <c r="I343" s="3"/>
    </row>
    <row r="344" customHeight="1" spans="1:9">
      <c r="A344" s="2" t="s">
        <v>255</v>
      </c>
      <c r="B344" s="2" t="str">
        <f>IFERROR(__xludf.DUMMYFUNCTION("IF(A344&lt;&gt;"""", GOOGLETRANSLATE(A344, ""en"", ""te""),"""")"),"[ '1st చాలా మ్యాచ్ (374) లో ఇవ్వబడిన పరుగులలో']")</f>
        <v>[ '1st చాలా మ్యాచ్ (374) లో ఇవ్వబడిన పరుగులలో']</v>
      </c>
      <c r="C344" s="2" t="s">
        <v>256</v>
      </c>
      <c r="D344" s="2" t="str">
        <f>IFERROR(__xludf.DUMMYFUNCTION("IF(C344&lt;&gt;"""", GOOGLETRANSLATE(C344, ""en"", ""te""),"""")"),"[ '11 వ అత్యంత బంతులను బౌలింగ్ చేశాడు' తొలి ఐదు వికెట్ల లో-ఒక-ఇన్నింగ్స్ (37y 232d) తీసుకోవాలని 16 వ అత్యంత వృద్ధ ఆటగాడు '' 35 వ అత్యంత వృద్ధ ఆటగాడు (37y 232d) ఐదు వికెట్లు-ఇన్-ఒక-ఇన్నింగ్స్ తీసుకోవాలని ', ఒక ఇన్నింగ్స్ లో (482) ',' 32 వ అత్యంత బంతుల్లో ఒ"&amp;"క మ్యాచ్లో బౌల్డ్ (632) ',' 3 వ అత్యంత ఇన్నింగ్స్ (266) ',' 1 వ అత్యధిక పరుగులు ఒక మ్యాచ్లో అంగీకరించి పోగొట్టబడిన పరుగులను (374) ']")</f>
        <v>[ '11 వ అత్యంత బంతులను బౌలింగ్ చేశాడు' తొలి ఐదు వికెట్ల లో-ఒక-ఇన్నింగ్స్ (37y 232d) తీసుకోవాలని 16 వ అత్యంత వృద్ధ ఆటగాడు '' 35 వ అత్యంత వృద్ధ ఆటగాడు (37y 232d) ఐదు వికెట్లు-ఇన్-ఒక-ఇన్నింగ్స్ తీసుకోవాలని ', ఒక ఇన్నింగ్స్ లో (482) ',' 32 వ అత్యంత బంతుల్లో ఒక మ్యాచ్లో బౌల్డ్ (632) ',' 3 వ అత్యంత ఇన్నింగ్స్ (266) ',' 1 వ అత్యధిక పరుగులు ఒక మ్యాచ్లో అంగీకరించి పోగొట్టబడిన పరుగులను (374) ']</v>
      </c>
      <c r="E344" s="2"/>
      <c r="F344" s="2" t="str">
        <f>IFERROR(__xludf.DUMMYFUNCTION("IF(E344&lt;&gt;"""", GOOGLETRANSLATE(E344, ""en"", ""te""),"""")"),"")</f>
        <v/>
      </c>
      <c r="G344" s="2"/>
      <c r="H344" s="2" t="str">
        <f>IFERROR(__xludf.DUMMYFUNCTION("IF(G344&lt;&gt;"""", GOOGLETRANSLATE(G344, ""en"", ""te""),"""")"),"")</f>
        <v/>
      </c>
      <c r="I344" s="3"/>
    </row>
    <row r="345" customHeight="1" spans="1:9">
      <c r="A345" s="2"/>
      <c r="B345" s="2" t="str">
        <f>IFERROR(__xludf.DUMMYFUNCTION("IF(A345&lt;&gt;"""", GOOGLETRANSLATE(A345, ""en"", ""te""),"""")"),"")</f>
        <v/>
      </c>
      <c r="C345" s="2"/>
      <c r="D345" s="2" t="str">
        <f>IFERROR(__xludf.DUMMYFUNCTION("IF(C345&lt;&gt;"""", GOOGLETRANSLATE(C345, ""en"", ""te""),"""")"),"")</f>
        <v/>
      </c>
      <c r="E345" s="2"/>
      <c r="F345" s="2" t="str">
        <f>IFERROR(__xludf.DUMMYFUNCTION("IF(E345&lt;&gt;"""", GOOGLETRANSLATE(E345, ""en"", ""te""),"""")"),"")</f>
        <v/>
      </c>
      <c r="G345" s="2"/>
      <c r="H345" s="2" t="str">
        <f>IFERROR(__xludf.DUMMYFUNCTION("IF(G345&lt;&gt;"""", GOOGLETRANSLATE(G345, ""en"", ""te""),"""")"),"")</f>
        <v/>
      </c>
      <c r="I345" s="3"/>
    </row>
    <row r="346" customHeight="1" spans="1:9">
      <c r="A346" s="2" t="s">
        <v>257</v>
      </c>
      <c r="B346" s="2" t="str">
        <f>IFERROR(__xludf.DUMMYFUNCTION("IF(A346&lt;&gt;"""", GOOGLETRANSLATE(A346, ""en"", ""te""),"""")"),"[ 'చాలా 5 వ ఇన్నింగ్స్ తొలి డక్ ముందు (34)', '10 వ అత్యధిక వికెట్లు ఒక వికెట్ కీపర్ చే కాట్ తీసుకోకూడదు (8)', '3 వ ఇన్నింగ్స్ లో అత్యధిక క్యాచ్లు (3)']")</f>
        <v>[ 'చాలా 5 వ ఇన్నింగ్స్ తొలి డక్ ముందు (34)', '10 వ అత్యధిక వికెట్లు ఒక వికెట్ కీపర్ చే కాట్ తీసుకోకూడదు (8)', '3 వ ఇన్నింగ్స్ లో అత్యధిక క్యాచ్లు (3)']</v>
      </c>
      <c r="C346" s="2"/>
      <c r="D346" s="2" t="str">
        <f>IFERROR(__xludf.DUMMYFUNCTION("IF(C346&lt;&gt;"""", GOOGLETRANSLATE(C346, ""en"", ""te""),"""")"),"")</f>
        <v/>
      </c>
      <c r="E346" s="2" t="s">
        <v>258</v>
      </c>
      <c r="F346" s="2" t="str">
        <f>IFERROR(__xludf.DUMMYFUNCTION("IF(E346&lt;&gt;"""", GOOGLETRANSLATE(E346, ""en"", ""te""),"""")"),"[ 'చాలా 5 వ ఇన్నింగ్స్ ముందు మొదటి డక్ (34)', 'కెరీర్ లో 7 వ అతి తక్కువ బాతులు (35)', 'ఒక డక్ (34) లేకుండా 35 వ వరుస ఇన్నింగ్స్' '34 వ బెస్ట్ ఫిగర్స్ ఇన్నింగ్స్ లో (5/15)' , '24th ఒకే మైదానంలో అత్యధిక వికెట్లు (13)', '33 వ బౌలర్ / ఫీల్డర్ కలయికలు (11)', "&amp;"'17 వ అత్యుత్తమ బౌలింగ్ ఇన్నింగ్స్ (5/15) విశ్లేషణలలో' '38 వ అత్యధిక వికెట్లు ఆకర్షించింది తీసుకున్న (43)' '43 వ అత్యధిక వికెట్లు ఒక ఫీల్డర్ చేత క్యాచ్ తీసుకున్న (32)', '27 వ అత్యధిక వికెట్లు సాధించిన వికెట్కీపర్గా (11) పట్టుకుంటే తీసిన]")</f>
        <v>[ 'చాలా 5 వ ఇన్నింగ్స్ ముందు మొదటి డక్ (34)', 'కెరీర్ లో 7 వ అతి తక్కువ బాతులు (35)', 'ఒక డక్ (34) లేకుండా 35 వ వరుస ఇన్నింగ్స్' '34 వ బెస్ట్ ఫిగర్స్ ఇన్నింగ్స్ లో (5/15)' , '24th ఒకే మైదానంలో అత్యధిక వికెట్లు (13)', '33 వ బౌలర్ / ఫీల్డర్ కలయికలు (11)', '17 వ అత్యుత్తమ బౌలింగ్ ఇన్నింగ్స్ (5/15) విశ్లేషణలలో' '38 వ అత్యధిక వికెట్లు ఆకర్షించింది తీసుకున్న (43)' '43 వ అత్యధిక వికెట్లు ఒక ఫీల్డర్ చేత క్యాచ్ తీసుకున్న (32)', '27 వ అత్యధిక వికెట్లు సాధించిన వికెట్కీపర్గా (11) పట్టుకుంటే తీసిన]</v>
      </c>
      <c r="G346" s="2" t="s">
        <v>259</v>
      </c>
      <c r="H346" s="2" t="str">
        <f>IFERROR(__xludf.DUMMYFUNCTION("IF(G346&lt;&gt;"""", GOOGLETRANSLATE(G346, ""en"", ""te""),"""")"),"[ '42 వ కెరీర్ లో అత్యధిక వికెట్లు (48)', '18 వ చెత్త కెరీర్ బౌలింగ్ సరాసరి (25.31)', '17 వ చెత్త కెరీర్లో సమ్మె రేటు (26.2)', '22 వ అత్యధిక పరుగులు' 25 వ కెరీర్ (1259) లో బౌల్డ్ చాలా బంతుల్లో ' కెరీర్లో సాధించిన (1215) ',' 18 వ బౌలర్ / బ్యాట్స్ కలయికలు ("&amp;"4) ',' 26th అత్యధిక వికెట్లు తీసుకున్న ఆకర్షించింది (33) ',' 33 వ అత్యధిక వికెట్లు ఒక ఫీల్డర్ చేత క్యాచ్ తీసుకున్న (25) ',' 10 వ అత్యధిక వికెట్లు ఆకర్షించింది తీసుకున్న అత్యధిక వికెట్లు (8) ',' 36 వ అత్యధిక వికెట్లు తీసుకున్న ఎల్బిడబ్ల్యు (6) ',' 30 వ కెర"&amp;"ీర్ లో అత్యధిక క్యాచ్లు (24) ',' ఇన్నింగ్స్ లో 3 వ అత్యధిక క్యాచ్లు (3) ',' 35 వ కెరీర్ లో అత్యధిక మ్యాచ్లు (82 ) ',' కెరీర్ (7 లో 20 వ అత్యంత పనికత్తెలయొద్ద) ']")</f>
        <v>[ '42 వ కెరీర్ లో అత్యధిక వికెట్లు (48)', '18 వ చెత్త కెరీర్ బౌలింగ్ సరాసరి (25.31)', '17 వ చెత్త కెరీర్లో సమ్మె రేటు (26.2)', '22 వ అత్యధిక పరుగులు' 25 వ కెరీర్ (1259) లో బౌల్డ్ చాలా బంతుల్లో ' కెరీర్లో సాధించిన (1215) ',' 18 వ బౌలర్ / బ్యాట్స్ కలయికలు (4) ',' 26th అత్యధిక వికెట్లు తీసుకున్న ఆకర్షించింది (33) ',' 33 వ అత్యధిక వికెట్లు ఒక ఫీల్డర్ చేత క్యాచ్ తీసుకున్న (25) ',' 10 వ అత్యధిక వికెట్లు ఆకర్షించింది తీసుకున్న అత్యధిక వికెట్లు (8) ',' 36 వ అత్యధిక వికెట్లు తీసుకున్న ఎల్బిడబ్ల్యు (6) ',' 30 వ కెరీర్ లో అత్యధిక క్యాచ్లు (24) ',' ఇన్నింగ్స్ లో 3 వ అత్యధిక క్యాచ్లు (3) ',' 35 వ కెరీర్ లో అత్యధిక మ్యాచ్లు (82 ) ',' కెరీర్ (7 లో 20 వ అత్యంత పనికత్తెలయొద్ద) ']</v>
      </c>
      <c r="I346" s="3"/>
    </row>
    <row r="347" customHeight="1" spans="1:9">
      <c r="A347" s="2"/>
      <c r="B347" s="2" t="str">
        <f>IFERROR(__xludf.DUMMYFUNCTION("IF(A347&lt;&gt;"""", GOOGLETRANSLATE(A347, ""en"", ""te""),"""")"),"")</f>
        <v/>
      </c>
      <c r="C347" s="2"/>
      <c r="D347" s="2" t="str">
        <f>IFERROR(__xludf.DUMMYFUNCTION("IF(C347&lt;&gt;"""", GOOGLETRANSLATE(C347, ""en"", ""te""),"""")"),"")</f>
        <v/>
      </c>
      <c r="E347" s="2"/>
      <c r="F347" s="2" t="str">
        <f>IFERROR(__xludf.DUMMYFUNCTION("IF(E347&lt;&gt;"""", GOOGLETRANSLATE(E347, ""en"", ""te""),"""")"),"")</f>
        <v/>
      </c>
      <c r="G347" s="2"/>
      <c r="H347" s="2" t="str">
        <f>IFERROR(__xludf.DUMMYFUNCTION("IF(G347&lt;&gt;"""", GOOGLETRANSLATE(G347, ""en"", ""te""),"""")"),"")</f>
        <v/>
      </c>
      <c r="I347" s="3"/>
    </row>
    <row r="348" customHeight="1" spans="1:9">
      <c r="A348" s="2" t="s">
        <v>260</v>
      </c>
      <c r="B348" s="2" t="str">
        <f>IFERROR(__xludf.DUMMYFUNCTION("IF(A348&lt;&gt;"""", GOOGLETRANSLATE(A348, ""en"", ""te""),"""")"),"[ 'మూడో వికెట్ (124) 3 వ అత్యధిక భాగస్వామ్యం']")</f>
        <v>[ 'మూడో వికెట్ (124) 3 వ అత్యధిక భాగస్వామ్యం']</v>
      </c>
      <c r="C348" s="2"/>
      <c r="D348" s="2" t="str">
        <f>IFERROR(__xludf.DUMMYFUNCTION("IF(C348&lt;&gt;"""", GOOGLETRANSLATE(C348, ""en"", ""te""),"""")"),"")</f>
        <v/>
      </c>
      <c r="E348" s="2" t="s">
        <v>261</v>
      </c>
      <c r="F348" s="2" t="str">
        <f>IFERROR(__xludf.DUMMYFUNCTION("IF(E348&lt;&gt;"""", GOOGLETRANSLATE(E348, ""en"", ""te""),"""")"),"[ఐదు వికెట్ల తేడాతో in- కన్య తీసుకోవాలని '20 వ చెత్త కెరీర్ బౌలింగ్ సరాసరి (35.97)', '26 చెత్త కెరీర్లో సమ్మె రేటు (57.3)', 'ఇన్నింగ్స్ లో 43 చెత్త ఆర్థిక రేటు (వీటిలో సగటు 8.60)', '11 వ అత్యంత వృద్ధ ఆటగాడు ఒక-ఇన్నింగ్స్ (28y 360d) ',' 44 వ బౌలర్ / ఫీల్డర"&amp;"్ కలయికలు (10) ',' 27 వ అత్యధిక వికెట్లు ఒక వికెట్ కీపర్ చే కాట్ తీసుకున్న (11) ']")</f>
        <v>[ఐదు వికెట్ల తేడాతో in- కన్య తీసుకోవాలని '20 వ చెత్త కెరీర్ బౌలింగ్ సరాసరి (35.97)', '26 చెత్త కెరీర్లో సమ్మె రేటు (57.3)', 'ఇన్నింగ్స్ లో 43 చెత్త ఆర్థిక రేటు (వీటిలో సగటు 8.60)', '11 వ అత్యంత వృద్ధ ఆటగాడు ఒక-ఇన్నింగ్స్ (28y 360d) ',' 44 వ బౌలర్ / ఫీల్డర్ కలయికలు (10) ',' 27 వ అత్యధిక వికెట్లు ఒక వికెట్ కీపర్ చే కాట్ తీసుకున్న (11) ']</v>
      </c>
      <c r="G348" s="2" t="s">
        <v>262</v>
      </c>
      <c r="H348" s="2" t="str">
        <f>IFERROR(__xludf.DUMMYFUNCTION("IF(G348&lt;&gt;"""", GOOGLETRANSLATE(G348, ""en"", ""te""),"""")"),"[ '34 వ కెరీర్ బాతులు (5)', '48 వ సగటు (20.26) బౌలింగ్ ఉత్తమ జీవితం' '30 వ ఉత్తమ కెరీర్ ఆర్థిక రేటు (5.51)', '35 వ అత్యధిక వికెట్లు తీసుకున్న బౌల్డ్ (12)', '36 వ అత్యధిక వికెట్లు తీసుకున్న LBW (6) ',' ఏ వికెట్కు 34 వ అత్యధిక భాగస్వామ్యాల (124) ',' మూడో వి"&amp;"కెట్కు 3 వ అత్యధిక భాగస్వామ్యం (124) ',' తొమ్మిదవ వికెట్కు 32 వ అత్యధిక భాగస్వామ్యం (17 *) ']")</f>
        <v>[ '34 వ కెరీర్ బాతులు (5)', '48 వ సగటు (20.26) బౌలింగ్ ఉత్తమ జీవితం' '30 వ ఉత్తమ కెరీర్ ఆర్థిక రేటు (5.51)', '35 వ అత్యధిక వికెట్లు తీసుకున్న బౌల్డ్ (12)', '36 వ అత్యధిక వికెట్లు తీసుకున్న LBW (6) ',' ఏ వికెట్కు 34 వ అత్యధిక భాగస్వామ్యాల (124) ',' మూడో వికెట్కు 3 వ అత్యధిక భాగస్వామ్యం (124) ',' తొమ్మిదవ వికెట్కు 32 వ అత్యధిక భాగస్వామ్యం (17 *) ']</v>
      </c>
      <c r="I348" s="3"/>
    </row>
    <row r="349" customHeight="1" spans="1:9">
      <c r="A349" s="2" t="s">
        <v>263</v>
      </c>
      <c r="B349" s="2" t="str">
        <f>IFERROR(__xludf.DUMMYFUNCTION("IF(A349&lt;&gt;"""", GOOGLETRANSLATE(A349, ""en"", ""te""),"""")"),"[ '6 వ చెత్త ఆర్థిక వ్యవస్థ ఇన్నింగ్స్లో రేటు (7.36)']")</f>
        <v>[ '6 వ చెత్త ఆర్థిక వ్యవస్థ ఇన్నింగ్స్లో రేటు (7.36)']</v>
      </c>
      <c r="C349" s="2" t="s">
        <v>263</v>
      </c>
      <c r="D349" s="2" t="str">
        <f>IFERROR(__xludf.DUMMYFUNCTION("IF(C349&lt;&gt;"""", GOOGLETRANSLATE(C349, ""en"", ""te""),"""")"),"[ '6 వ చెత్త ఆర్థిక వ్యవస్థ ఇన్నింగ్స్లో రేటు (7.36)']")</f>
        <v>[ '6 వ చెత్త ఆర్థిక వ్యవస్థ ఇన్నింగ్స్లో రేటు (7.36)']</v>
      </c>
      <c r="E349" s="2"/>
      <c r="F349" s="2" t="str">
        <f>IFERROR(__xludf.DUMMYFUNCTION("IF(E349&lt;&gt;"""", GOOGLETRANSLATE(E349, ""en"", ""te""),"""")"),"")</f>
        <v/>
      </c>
      <c r="G349" s="2"/>
      <c r="H349" s="2" t="str">
        <f>IFERROR(__xludf.DUMMYFUNCTION("IF(G349&lt;&gt;"""", GOOGLETRANSLATE(G349, ""en"", ""te""),"""")"),"")</f>
        <v/>
      </c>
      <c r="I349" s="3"/>
    </row>
    <row r="350" customHeight="1" spans="1:9">
      <c r="A350" s="2" t="s">
        <v>264</v>
      </c>
      <c r="B350" s="2" t="str">
        <f>IFERROR(__xludf.DUMMYFUNCTION("IF(A350&lt;&gt;"""", GOOGLETRANSLATE(A350, ""en"", ""te""),"""")"),"[ '10 వ ఇన్నింగ్స్ లో అత్యధిక పరుగులు (బ్యాటింగ్ స్థానంలో ప్రకారం) (291)', 'హండ్రెడ్ మరియు ఒక మ్యాచ్లో తొంభై', '2 వ అత్యుత్తమ బౌలింగ్ ఇన్నింగ్స్ లో విశ్లేషించడం (2/1)', '5000 పరుగులు మరియు 50 ఫీల్డింగ్ వికెట్లు ',' వందవ మ్యాచ్ (115 *) ',' 99 లేదు (మరియు "&amp;"199 299 etc) బయటకు (99 *) లో 7 వ హండ్రెడ్ ']")</f>
        <v>[ '10 వ ఇన్నింగ్స్ లో అత్యధిక పరుగులు (బ్యాటింగ్ స్థానంలో ప్రకారం) (291)', 'హండ్రెడ్ మరియు ఒక మ్యాచ్లో తొంభై', '2 వ అత్యుత్తమ బౌలింగ్ ఇన్నింగ్స్ లో విశ్లేషించడం (2/1)', '5000 పరుగులు మరియు 50 ఫీల్డింగ్ వికెట్లు ',' వందవ మ్యాచ్ (115 *) ',' 99 లేదు (మరియు 199 299 etc) బయటకు (99 *) లో 7 వ హండ్రెడ్ ']</v>
      </c>
      <c r="C350" s="2" t="s">
        <v>265</v>
      </c>
      <c r="D350" s="2" t="str">
        <f>IFERROR(__xludf.DUMMYFUNCTION("IF(C350&lt;&gt;"""", GOOGLETRANSLATE(C350, ""en"", ""te""),"""")"),"[ '36 వ ఇన్నింగ్స్ లో అత్యధిక పరుగులు (291)', '10 వ ఇన్నింగ్స్ లో అత్యధిక పరుగులు (బ్యాటింగ్ స్థానంలో ప్రకారం) (291)', '26th పిన్న ఆటగాడు డబుల్ సెంచరీ (23y 347d) స్కోర్', '25 వ లాంగెస్ట్ ఇన్నింగ్స్ ఆడడము (698) (నిమిషాలు) ',' 2 వ అత్యుత్తమ బౌలింగ్ ఇన్నింగ్"&amp;"స్ లో విశ్లేషించడం (2/1) ',' 42 వ చెత్త కెరీర్ బౌలింగ్ సరాసరి (50.56) ',' 46 వ చెత్త కెరీర్లో ఆర్థిక రేటు (3.45) ',' 25 వ అత్యధిక భాగస్వామ్యం ఐదో వికెట్కు (262 *) ఆరవ వికెట్కు ',' 17 వ అత్యధిక భాగస్వామ్యం (261) ',' 44 వ అత్యంత ప్లేయర్ ఆఫ్ ది సిరీస్ అవార్డ"&amp;"ులు (3) '] కోసం")</f>
        <v>[ '36 వ ఇన్నింగ్స్ లో అత్యధిక పరుగులు (291)', '10 వ ఇన్నింగ్స్ లో అత్యధిక పరుగులు (బ్యాటింగ్ స్థానంలో ప్రకారం) (291)', '26th పిన్న ఆటగాడు డబుల్ సెంచరీ (23y 347d) స్కోర్', '25 వ లాంగెస్ట్ ఇన్నింగ్స్ ఆడడము (698) (నిమిషాలు) ',' 2 వ అత్యుత్తమ బౌలింగ్ ఇన్నింగ్స్ లో విశ్లేషించడం (2/1) ',' 42 వ చెత్త కెరీర్ బౌలింగ్ సరాసరి (50.56) ',' 46 వ చెత్త కెరీర్లో ఆర్థిక రేటు (3.45) ',' 25 వ అత్యధిక భాగస్వామ్యం ఐదో వికెట్కు (262 *) ఆరవ వికెట్కు ',' 17 వ అత్యధిక భాగస్వామ్యం (261) ',' 44 వ అత్యంత ప్లేయర్ ఆఫ్ ది సిరీస్ అవార్డులు (3) '] కోసం</v>
      </c>
      <c r="E350" s="2" t="s">
        <v>266</v>
      </c>
      <c r="F350" s="2" t="str">
        <f>IFERROR(__xludf.DUMMYFUNCTION("IF(E350&lt;&gt;"""", GOOGLETRANSLATE(E350, ""en"", ""te""),"""")"),"[ '42 వ అత్యధిక కెరీర్ బ్యాటింగ్ సగటు (42.67)', 'వందవ మ్యాచ్ (115 *) లో 7 వ హండ్రెడ్', '22 వ కెరీర్ తొంభైల (5)', 'ఫాస్టెస్ట్ 27' మొదటి డక్ (42) ముందు 20 వ అత్యంత ఇన్నింగ్స్, 1000 పరుగులు (27) ',' ఫాస్టెస్ట్ 3000 పరుగులు 41 వ (88) ',' 34 వ వేగవంతమైన 4000"&amp;" పరుగులు (114) ',' 34 వ 5000 పరుగులు (144) వేగంగా ',' తొమ్మిదవ వికెట్కు 22 అత్యధిక భాగస్వామ్యం ( 77) ',' 20 వ పిన్న కాప్టెన్ (23y 300D) ']")</f>
        <v>[ '42 వ అత్యధిక కెరీర్ బ్యాటింగ్ సగటు (42.67)', 'వందవ మ్యాచ్ (115 *) లో 7 వ హండ్రెడ్', '22 వ కెరీర్ తొంభైల (5)', 'ఫాస్టెస్ట్ 27' మొదటి డక్ (42) ముందు 20 వ అత్యంత ఇన్నింగ్స్, 1000 పరుగులు (27) ',' ఫాస్టెస్ట్ 3000 పరుగులు 41 వ (88) ',' 34 వ వేగవంతమైన 4000 పరుగులు (114) ',' 34 వ 5000 పరుగులు (144) వేగంగా ',' తొమ్మిదవ వికెట్కు 22 అత్యధిక భాగస్వామ్యం ( 77) ',' 20 వ పిన్న కాప్టెన్ (23y 300D) ']</v>
      </c>
      <c r="G350" s="2" t="s">
        <v>267</v>
      </c>
      <c r="H350" s="2" t="str">
        <f>IFERROR(__xludf.DUMMYFUNCTION("IF(G350&lt;&gt;"""", GOOGLETRANSLATE(G350, ""en"", ""te""),"""")"),"[ '12 వ ఉత్తమ కెరీర్ (5.00) (అర్హత లేకుండా) సగటు బౌలింగ్', 'ఐదవ వికెట్కు 26 అత్యధిక భాగస్వామ్యం (77)']")</f>
        <v>[ '12 వ ఉత్తమ కెరీర్ (5.00) (అర్హత లేకుండా) సగటు బౌలింగ్', 'ఐదవ వికెట్కు 26 అత్యధిక భాగస్వామ్యం (77)']</v>
      </c>
      <c r="I350" s="3"/>
    </row>
    <row r="351" customHeight="1" spans="1:9">
      <c r="A351" s="2"/>
      <c r="B351" s="2" t="str">
        <f>IFERROR(__xludf.DUMMYFUNCTION("IF(A351&lt;&gt;"""", GOOGLETRANSLATE(A351, ""en"", ""te""),"""")"),"")</f>
        <v/>
      </c>
      <c r="C351" s="2"/>
      <c r="D351" s="2" t="str">
        <f>IFERROR(__xludf.DUMMYFUNCTION("IF(C351&lt;&gt;"""", GOOGLETRANSLATE(C351, ""en"", ""te""),"""")"),"")</f>
        <v/>
      </c>
      <c r="E351" s="2"/>
      <c r="F351" s="2" t="str">
        <f>IFERROR(__xludf.DUMMYFUNCTION("IF(E351&lt;&gt;"""", GOOGLETRANSLATE(E351, ""en"", ""te""),"""")"),"")</f>
        <v/>
      </c>
      <c r="G351" s="2"/>
      <c r="H351" s="2" t="str">
        <f>IFERROR(__xludf.DUMMYFUNCTION("IF(G351&lt;&gt;"""", GOOGLETRANSLATE(G351, ""en"", ""te""),"""")"),"")</f>
        <v/>
      </c>
      <c r="I351" s="3"/>
    </row>
    <row r="352" customHeight="1" spans="1:9">
      <c r="A352" s="2"/>
      <c r="B352" s="2" t="str">
        <f>IFERROR(__xludf.DUMMYFUNCTION("IF(A352&lt;&gt;"""", GOOGLETRANSLATE(A352, ""en"", ""te""),"""")"),"")</f>
        <v/>
      </c>
      <c r="C352" s="2"/>
      <c r="D352" s="2" t="str">
        <f>IFERROR(__xludf.DUMMYFUNCTION("IF(C352&lt;&gt;"""", GOOGLETRANSLATE(C352, ""en"", ""te""),"""")"),"")</f>
        <v/>
      </c>
      <c r="E352" s="2"/>
      <c r="F352" s="2" t="str">
        <f>IFERROR(__xludf.DUMMYFUNCTION("IF(E352&lt;&gt;"""", GOOGLETRANSLATE(E352, ""en"", ""te""),"""")"),"")</f>
        <v/>
      </c>
      <c r="G352" s="2"/>
      <c r="H352" s="2" t="str">
        <f>IFERROR(__xludf.DUMMYFUNCTION("IF(G352&lt;&gt;"""", GOOGLETRANSLATE(G352, ""en"", ""te""),"""")"),"")</f>
        <v/>
      </c>
      <c r="I352" s="3"/>
    </row>
    <row r="353" customHeight="1" spans="1:9">
      <c r="A353" s="2"/>
      <c r="B353" s="2" t="str">
        <f>IFERROR(__xludf.DUMMYFUNCTION("IF(A353&lt;&gt;"""", GOOGLETRANSLATE(A353, ""en"", ""te""),"""")"),"")</f>
        <v/>
      </c>
      <c r="C353" s="2"/>
      <c r="D353" s="2" t="str">
        <f>IFERROR(__xludf.DUMMYFUNCTION("IF(C353&lt;&gt;"""", GOOGLETRANSLATE(C353, ""en"", ""te""),"""")"),"")</f>
        <v/>
      </c>
      <c r="E353" s="2"/>
      <c r="F353" s="2" t="str">
        <f>IFERROR(__xludf.DUMMYFUNCTION("IF(E353&lt;&gt;"""", GOOGLETRANSLATE(E353, ""en"", ""te""),"""")"),"")</f>
        <v/>
      </c>
      <c r="G353" s="2"/>
      <c r="H353" s="2" t="str">
        <f>IFERROR(__xludf.DUMMYFUNCTION("IF(G353&lt;&gt;"""", GOOGLETRANSLATE(G353, ""en"", ""te""),"""")"),"")</f>
        <v/>
      </c>
      <c r="I353" s="3"/>
    </row>
    <row r="354" customHeight="1" spans="1:9">
      <c r="A354" s="2" t="s">
        <v>268</v>
      </c>
      <c r="B354" s="2" t="str">
        <f>IFERROR(__xludf.DUMMYFUNCTION("IF(A354&lt;&gt;"""", GOOGLETRANSLATE(A354, ""en"", ""te""),"""")"),"[ 'ఆరవ వికెట్కు 10 వ అత్యధిక భాగస్వామ్యం (89)']")</f>
        <v>[ 'ఆరవ వికెట్కు 10 వ అత్యధిక భాగస్వామ్యం (89)']</v>
      </c>
      <c r="C354" s="2"/>
      <c r="D354" s="2" t="str">
        <f>IFERROR(__xludf.DUMMYFUNCTION("IF(C354&lt;&gt;"""", GOOGLETRANSLATE(C354, ""en"", ""te""),"""")"),"")</f>
        <v/>
      </c>
      <c r="E354" s="2" t="s">
        <v>268</v>
      </c>
      <c r="F354" s="2" t="str">
        <f>IFERROR(__xludf.DUMMYFUNCTION("IF(E354&lt;&gt;"""", GOOGLETRANSLATE(E354, ""en"", ""te""),"""")"),"[ 'ఆరవ వికెట్కు 10 వ అత్యధిక భాగస్వామ్యం (89)']")</f>
        <v>[ 'ఆరవ వికెట్కు 10 వ అత్యధిక భాగస్వామ్యం (89)']</v>
      </c>
      <c r="G354" s="2" t="s">
        <v>269</v>
      </c>
      <c r="H354" s="2" t="str">
        <f>IFERROR(__xludf.DUMMYFUNCTION("IF(G354&lt;&gt;"""", GOOGLETRANSLATE(G354, ""en"", ""te""),"""")"),"[ '14 వ ఉత్తమ కెరీర్ బౌలింగ్ సరాసరి (అర్హత లేకుండా) (3.50)']")</f>
        <v>[ '14 వ ఉత్తమ కెరీర్ బౌలింగ్ సరాసరి (అర్హత లేకుండా) (3.50)']</v>
      </c>
      <c r="I354" s="3"/>
    </row>
    <row r="355" customHeight="1" spans="1:9">
      <c r="A355" s="2"/>
      <c r="B355" s="2" t="str">
        <f>IFERROR(__xludf.DUMMYFUNCTION("IF(A355&lt;&gt;"""", GOOGLETRANSLATE(A355, ""en"", ""te""),"""")"),"")</f>
        <v/>
      </c>
      <c r="C355" s="2"/>
      <c r="D355" s="2" t="str">
        <f>IFERROR(__xludf.DUMMYFUNCTION("IF(C355&lt;&gt;"""", GOOGLETRANSLATE(C355, ""en"", ""te""),"""")"),"")</f>
        <v/>
      </c>
      <c r="E355" s="2"/>
      <c r="F355" s="2" t="str">
        <f>IFERROR(__xludf.DUMMYFUNCTION("IF(E355&lt;&gt;"""", GOOGLETRANSLATE(E355, ""en"", ""te""),"""")"),"")</f>
        <v/>
      </c>
      <c r="G355" s="2"/>
      <c r="H355" s="2" t="str">
        <f>IFERROR(__xludf.DUMMYFUNCTION("IF(G355&lt;&gt;"""", GOOGLETRANSLATE(G355, ""en"", ""te""),"""")"),"")</f>
        <v/>
      </c>
      <c r="I355" s="3"/>
    </row>
    <row r="356" customHeight="1" spans="1:9">
      <c r="A356" s="2"/>
      <c r="B356" s="2" t="str">
        <f>IFERROR(__xludf.DUMMYFUNCTION("IF(A356&lt;&gt;"""", GOOGLETRANSLATE(A356, ""en"", ""te""),"""")"),"")</f>
        <v/>
      </c>
      <c r="C356" s="2"/>
      <c r="D356" s="2" t="str">
        <f>IFERROR(__xludf.DUMMYFUNCTION("IF(C356&lt;&gt;"""", GOOGLETRANSLATE(C356, ""en"", ""te""),"""")"),"")</f>
        <v/>
      </c>
      <c r="E356" s="2" t="s">
        <v>270</v>
      </c>
      <c r="F356" s="2" t="str">
        <f>IFERROR(__xludf.DUMMYFUNCTION("IF(E356&lt;&gt;"""", GOOGLETRANSLATE(E356, ""en"", ""te""),"""")"),"[ '29 ఉత్తమ ఇన్నింగ్స్ లో సమ్మె రేటు (6.2)', '13 వ వరుస నాలుగు వికెట్లు-ఇన్-ఒక-ఇన్నింగ్స్ (2)', 'ఐదు వికెట్ల లో-ఒక-ఇన్నింగ్స్ (22y 12D తీసుకోవాలని 34 వ పిన్న ఆటగాడు ) ']")</f>
        <v>[ '29 ఉత్తమ ఇన్నింగ్స్ లో సమ్మె రేటు (6.2)', '13 వ వరుస నాలుగు వికెట్లు-ఇన్-ఒక-ఇన్నింగ్స్ (2)', 'ఐదు వికెట్ల లో-ఒక-ఇన్నింగ్స్ (22y 12D తీసుకోవాలని 34 వ పిన్న ఆటగాడు ) ']</v>
      </c>
      <c r="G356" s="2" t="s">
        <v>271</v>
      </c>
      <c r="H356" s="2" t="str">
        <f>IFERROR(__xludf.DUMMYFUNCTION("IF(G356&lt;&gt;"""", GOOGLETRANSLATE(G356, ""en"", ""te""),"""")"),"[ '48 వ ఇన్నింగ్స్ లో బెస్ట్ ఫిగర్స్ (5/28)', 'ఇన్నింగ్స్ లో 16 వ ఉత్తమ సమ్మె రేటు (3.6)', '43 వ ఇన్నింగ్స్ లో సాధించిన అత్యధిక పరుగులు (56)']")</f>
        <v>[ '48 వ ఇన్నింగ్స్ లో బెస్ట్ ఫిగర్స్ (5/28)', 'ఇన్నింగ్స్ లో 16 వ ఉత్తమ సమ్మె రేటు (3.6)', '43 వ ఇన్నింగ్స్ లో సాధించిన అత్యధిక పరుగులు (56)']</v>
      </c>
      <c r="I356" s="3"/>
    </row>
    <row r="357" customHeight="1" spans="1:9">
      <c r="A357" s="2" t="s">
        <v>272</v>
      </c>
      <c r="B357" s="2" t="str">
        <f>IFERROR(__xludf.DUMMYFUNCTION("IF(A357&lt;&gt;"""", GOOGLETRANSLATE(A357, ""en"", ""te""),"""")"),"[ '7th చాలా ఇన్నింగ్స్ లో నడుస్తుంది (బ్యాటింగ్ స్థానం) (38)']")</f>
        <v>[ '7th చాలా ఇన్నింగ్స్ లో నడుస్తుంది (బ్యాటింగ్ స్థానం) (38)']</v>
      </c>
      <c r="C357" s="2"/>
      <c r="D357" s="2" t="str">
        <f>IFERROR(__xludf.DUMMYFUNCTION("IF(C357&lt;&gt;"""", GOOGLETRANSLATE(C357, ""en"", ""te""),"""")"),"")</f>
        <v/>
      </c>
      <c r="E357" s="2" t="s">
        <v>273</v>
      </c>
      <c r="F357" s="2" t="str">
        <f>IFERROR(__xludf.DUMMYFUNCTION("IF(E357&lt;&gt;"""", GOOGLETRANSLATE(E357, ""en"", ""te""),"""")"),"[ 'ఇన్నింగ్స్ లో 7 వ అత్యధిక పరుగులు (బ్యాటింగ్ స్థానంలో ప్రకారం) (38)', '11 వ ఒక ఇన్నింగ్స్ లోని బెస్ట్ ఫిగర్స్ ఉన్నప్పుడు పరాజయం వైపు (4)', '41 వ చెత్త జీవితం' 41 వ చెత్త కెరీర్ సగటు (31.36) బౌలింగ్ ' సమ్మె రేటు (53.0) తొమ్మిదవ వికెట్కు ',' 41 వ అత్యధి"&amp;"క భాగస్వామ్యం (36) ',' తొలి 26 ఓల్డెస్ట్ క్రీడాకారులు (34y 177d) ']")</f>
        <v>[ 'ఇన్నింగ్స్ లో 7 వ అత్యధిక పరుగులు (బ్యాటింగ్ స్థానంలో ప్రకారం) (38)', '11 వ ఒక ఇన్నింగ్స్ లోని బెస్ట్ ఫిగర్స్ ఉన్నప్పుడు పరాజయం వైపు (4)', '41 వ చెత్త జీవితం' 41 వ చెత్త కెరీర్ సగటు (31.36) బౌలింగ్ ' సమ్మె రేటు (53.0) తొమ్మిదవ వికెట్కు ',' 41 వ అత్యధిక భాగస్వామ్యం (36) ',' తొలి 26 ఓల్డెస్ట్ క్రీడాకారులు (34y 177d) ']</v>
      </c>
      <c r="G357" s="2"/>
      <c r="H357" s="2" t="str">
        <f>IFERROR(__xludf.DUMMYFUNCTION("IF(G357&lt;&gt;"""", GOOGLETRANSLATE(G357, ""en"", ""te""),"""")"),"")</f>
        <v/>
      </c>
      <c r="I357" s="3"/>
    </row>
    <row r="358" customHeight="1" spans="1:9">
      <c r="A358" s="2" t="s">
        <v>274</v>
      </c>
      <c r="B358" s="2" t="str">
        <f>IFERROR(__xludf.DUMMYFUNCTION("IF(A358&lt;&gt;"""", GOOGLETRANSLATE(A358, ""en"", ""te""),"""")"),"[ '10 వ బృందం (36 *) కెప్టెన్గా వరుస మ్యాచ్లు', '3 వ చాల వరకు ఒక సిరీస్లో ఒక కెప్టెన్తో పరుగులు (843)', '5 వ ఒక క్యాలెండర్ సంవత్సరంలో అత్యధిక వందలు (2)', '1st ఇందులో అత్యంత తొంభైల కెరీర్ (5) ',' కెరీర్ లో 3 వ అత్యంత అర్ధ (41) ',' 2 వ అత్యంత ఇన్నింగ్స్ తొ"&amp;"లి డక్ ముందు (49) ',' 6 వ ఒక క్యాలెండర్ సంవత్సరంలో అత్యధిక వికెట్లు (32) ',' 10 వ కెరీర్ లో బౌల్డ్ చాలా బంతుల్లో ( 5309) ',' 1 వ అత్యధిక వికెట్లు తీసుకున్న క్యాచ్ మరియు బౌల్డ్ (17) ',' కెరీర్ లో 3 వ అత్యధిక క్యాచ్లు (58) ',' బ్యాటింగ్ తెరవడం మరియు అదే మ్య"&amp;"ాచ్ లో బౌలింగ్ ',' 1000 పరుగులు, 50 వికెట్లు, 50 క్యాచ్లు ' 'ఆరవ వికెట్కు 8 వ అత్యధిక భాగస్వామ్యం (96)', 'కెరీర్లో 9 వ అత్యధిక మ్యాచ్లు (108)', '8 వ కెప్టెన్గా అత్యధిక మ్యాచ్లు (52)', 'కెరీర్ లో 2 వ అత్యధిక పరుగులు (3062)', '3 వ అత్యధిక కెరీర్ బ్యాటింగ్ స"&amp;"గటు (36.02) ',' తొలి మ్యాచ్లో 2nd అత్యధిక పరుగులు (90) ',' కెరీర్ లో 2 వ పెద్ద అర్ధ (21) ',' ఒక డక్ లేకుండా 3 వరుస ఇన్నింగ్స్ (63) ',' ఫాస్టెస్ట్ 3000 పరుగులు 1st (103) ',' 3 వ అత్యంత ఒకే క్రీడా (13) ',' 8 వ కెరీర్ లో బౌల్డ్ చాలా బంతుల్లో (1685) ',' 10 వ "&amp;"అత్యధిక పరుగులు న వికెట్లు కెరీర్ (1587) లో సాధించిన ',' కెరీర్లో తీసుకున్న స్టంప్ (14) ',' 10 వ అత్యధిక క్యాచ్లు 4 వ అత్యధిక వికెట్లు (34) ',' ఏడవ వికెట్కు 9 వ అత్యధిక భాగస్వామ్యం (51) ']")</f>
        <v>[ '10 వ బృందం (36 *) కెప్టెన్గా వరుస మ్యాచ్లు', '3 వ చాల వరకు ఒక సిరీస్లో ఒక కెప్టెన్తో పరుగులు (843)', '5 వ ఒక క్యాలెండర్ సంవత్సరంలో అత్యధిక వందలు (2)', '1st ఇందులో అత్యంత తొంభైల కెరీర్ (5) ',' కెరీర్ లో 3 వ అత్యంత అర్ధ (41) ',' 2 వ అత్యంత ఇన్నింగ్స్ తొలి డక్ ముందు (49) ',' 6 వ ఒక క్యాలెండర్ సంవత్సరంలో అత్యధిక వికెట్లు (32) ',' 10 వ కెరీర్ లో బౌల్డ్ చాలా బంతుల్లో ( 5309) ',' 1 వ అత్యధిక వికెట్లు తీసుకున్న క్యాచ్ మరియు బౌల్డ్ (17) ',' కెరీర్ లో 3 వ అత్యధిక క్యాచ్లు (58) ',' బ్యాటింగ్ తెరవడం మరియు అదే మ్యాచ్ లో బౌలింగ్ ',' 1000 పరుగులు, 50 వికెట్లు, 50 క్యాచ్లు ' 'ఆరవ వికెట్కు 8 వ అత్యధిక భాగస్వామ్యం (96)', 'కెరీర్లో 9 వ అత్యధిక మ్యాచ్లు (108)', '8 వ కెప్టెన్గా అత్యధిక మ్యాచ్లు (52)', 'కెరీర్ లో 2 వ అత్యధిక పరుగులు (3062)', '3 వ అత్యధిక కెరీర్ బ్యాటింగ్ సగటు (36.02) ',' తొలి మ్యాచ్లో 2nd అత్యధిక పరుగులు (90) ',' కెరీర్ లో 2 వ పెద్ద అర్ధ (21) ',' ఒక డక్ లేకుండా 3 వరుస ఇన్నింగ్స్ (63) ',' ఫాస్టెస్ట్ 3000 పరుగులు 1st (103) ',' 3 వ అత్యంత ఒకే క్రీడా (13) ',' 8 వ కెరీర్ లో బౌల్డ్ చాలా బంతుల్లో (1685) ',' 10 వ అత్యధిక పరుగులు న వికెట్లు కెరీర్ (1587) లో సాధించిన ',' కెరీర్లో తీసుకున్న స్టంప్ (14) ',' 10 వ అత్యధిక క్యాచ్లు 4 వ అత్యధిక వికెట్లు (34) ',' ఏడవ వికెట్కు 9 వ అత్యధిక భాగస్వామ్యం (51) ']</v>
      </c>
      <c r="C358" s="2"/>
      <c r="D358" s="2" t="str">
        <f>IFERROR(__xludf.DUMMYFUNCTION("IF(C358&lt;&gt;"""", GOOGLETRANSLATE(C358, ""en"", ""te""),"""")"),"")</f>
        <v/>
      </c>
      <c r="E358" s="2" t="s">
        <v>275</v>
      </c>
      <c r="F358" s="2" t="str">
        <f>IFERROR(__xludf.DUMMYFUNCTION("IF(E358&lt;&gt;"""", GOOGLETRANSLATE(E358, ""en"", ""te""),"""")"),"[ 'కెరీర్లో 5 వ అత్యధిక పరుగులు (4754)', '7 వ ఇన్నింగ్స్ (171) అత్యధిక పరుగులు' 'వరుస 7 వ అత్యధిక పరుగులు (857)', '12 వ ఒక క్యాలెండర్ సంవత్సరంలో అత్యధిక పరుగులు (707)', ' 5 వ అత్యంత ఇన్నింగ్స్ లో నడుస్తుంది (బ్యాటింగ్ స్థానం) (171) ',' 27 వ పరాజయం వైపు ఒ"&amp;"క మ్యాచ్లో అత్యధిక పరుగులు (95) ',' 29th ఒకే మైదానంలో అత్యధిక పరుగులు (357) ',' 3 వ అత్యంత నడుస్తుంది ఒక కెప్టెన్ ద్వారా ఒక సిరీస్ (843) ',' 12 వ అత్యధిక కెరీర్ బ్యాటింగ్ సగటు (44.01) ',' 10 వ అత్యధిక వందలు ఒక కెరీర్ (5) ',' 5 వ ఒక క్యాలెండర్ సంవత్సరంలో "&amp;"అత్యధిక వందలు (2) ',' 47 వ అత్యధిక తొలి వందల (108 *) ',' 7 వ పిన్న వయస్కుడిగా నిలిచాడు (5) ',' 3 వ కెరీర్ అర్ధ (41) ',' వరుస ఇన్నింగ్స్లో 12 వ యాభైల్లో (కెరీర్ తొంభైల వంద (18y 127d) ',' 1st స్కోర్ 4) ',' 2 వ అత్యంత ఇన్నింగ్స్ తొలి డక్ ముందు (49) ',' ఒక "&amp;"డక్ లేకుండా 9 వ వరుస ఇన్నింగ్స్ (కెరీర్లో 49) ',' 28th అతి తక్కువ బాతులు (24.6) ',' ఒక ఇన్నింగ్స్లో పరుగుల 12 వ అత్యధిక శాతం కెరీర్లో (56.72) ',' 9 వ అత్యధిక వికెట్లు (142) ',' 17 వ ఒక సిరీస్లో అత్యధిక వికెట్లు (23) ',' 6 వ ఒక క్యాలెండర్ సంవత్సరంలో అత్యధి"&amp;"క వికెట్లు (32 ) ',' 14 వ ఒకే మైదానంలో అత్యధిక వికెట్లు (15) ',' 11 వ ఒక ఇన్నింగ్స్ లోని బెస్ట్ ఫిగర్స్ ఉన్నప్పుడు పరాజయం వైపు (4) ',' 15 వ అత్యంత నాలుగు వికెట్లు-ఇన్-ఒక-ఇన్నింగ్స్ కెరీర్లో (5 ) ',' 10 వ కెరీర్ లో బౌల్డ్ చాలా బంతుల్లో (5309) ',' 12 వ కె"&amp;"రీర్ లో సాధించిన అత్యధిక పరుగులు (3032) ',' 5 వ బౌలర్ / బ్యాట్స్ కలయికలు (7) ',' 8 వ బౌలర్ / ఫీల్డర్ కలయికలు (19) ',' 18 వ అత్యంత బౌల్డ్ వికెట్లు తీసుకున్నారు (27) ',' 6 వ అత్యధిక వికెట్లు తీసుకున్న ఆకర్షించింది (76) ',' 1 వ అత్యధిక వికెట్లు ఆకర్షించింది "&amp;"తీసుకున్న మరియు బౌల్డ్ (17) ',' 4 వ అత్యధిక వికెట్లు ఒక ఫీల్డర్ చేత క్యాచ్ తీసుకున్న (66) ',' 32 వ ఎక్కువ వికెట్లు ఒక వికెట్ కీపర్ చే కాట్ తీసుకోకూడదు (10) ',' 6 వ అత్యధిక వికెట్లు తీసుకున్న ఎల్బిడబ్ల్యు (26) ',' 10 వ అత్యధిక వికెట్లు స్టంప్ తీసుకున్న (13"&amp;") ',' 3 వ అత్యధిక క్యాచ్లు కెరీర్లో (58) ',' 4 వ అత్యధిక క్యాచ్లు లో ఇన్నింగ్స్ (3) ',' 8 వ అత్యధిక క్యాచ్లు వరుస (11) ',' 22 వ అత్యధిక భాగస్వామ్యాలు ఏ వికెట్కు (204) ',' మొదటి వికెట్కు 9 వ అత్యధిక భాగస్వామ్యం (204) ',' 48 వ అత్యధిక భాగస్వామ్యం కోసం రెండో"&amp;" వికెట్కు (137 *) మూడో వికెట్కు ',' 27 వ అత్యధిక భాగస్వామ్యం (135) ',' కోసం 8 వ అత్యధిక భాగస్వామ్యం నాలుగో వికెట్కు (151 *) ',' ఐదవ వికెట్కు 8 వ అత్యధిక భాగస్వామ్యం (113) ',' ఆరవ వికెట్కు 8 వ అత్యధిక భాగస్వామ్యం (96) ',' 11 వ కెరీర్ లో అత్యధిక మ్యాచ్లు (1"&amp;"26) ',' 30 వ వరుస మ్యాచ్లు ఒక జట్టు (44) ',' 16 వ అత్యధిక మ్యాచ్లు కెప్టెన్గా (43) ',' ఒక జట్టు కెప్టెన్గా (36 *) 10 వ వరుస మ్యాచ్లు ',' 14 వ పిన్న కాప్టెన్ (21y 256d) ']")</f>
        <v>[ 'కెరీర్లో 5 వ అత్యధిక పరుగులు (4754)', '7 వ ఇన్నింగ్స్ (171) అత్యధిక పరుగులు' 'వరుస 7 వ అత్యధిక పరుగులు (857)', '12 వ ఒక క్యాలెండర్ సంవత్సరంలో అత్యధిక పరుగులు (707)', ' 5 వ అత్యంత ఇన్నింగ్స్ లో నడుస్తుంది (బ్యాటింగ్ స్థానం) (171) ',' 27 వ పరాజయం వైపు ఒక మ్యాచ్లో అత్యధిక పరుగులు (95) ',' 29th ఒకే మైదానంలో అత్యధిక పరుగులు (357) ',' 3 వ అత్యంత నడుస్తుంది ఒక కెప్టెన్ ద్వారా ఒక సిరీస్ (843) ',' 12 వ అత్యధిక కెరీర్ బ్యాటింగ్ సగటు (44.01) ',' 10 వ అత్యధిక వందలు ఒక కెరీర్ (5) ',' 5 వ ఒక క్యాలెండర్ సంవత్సరంలో అత్యధిక వందలు (2) ',' 47 వ అత్యధిక తొలి వందల (108 *) ',' 7 వ పిన్న వయస్కుడిగా నిలిచాడు (5) ',' 3 వ కెరీర్ అర్ధ (41) ',' వరుస ఇన్నింగ్స్లో 12 వ యాభైల్లో (కెరీర్ తొంభైల వంద (18y 127d) ',' 1st స్కోర్ 4) ',' 2 వ అత్యంత ఇన్నింగ్స్ తొలి డక్ ముందు (49) ',' ఒక డక్ లేకుండా 9 వ వరుస ఇన్నింగ్స్ (కెరీర్లో 49) ',' 28th అతి తక్కువ బాతులు (24.6) ',' ఒక ఇన్నింగ్స్లో పరుగుల 12 వ అత్యధిక శాతం కెరీర్లో (56.72) ',' 9 వ అత్యధిక వికెట్లు (142) ',' 17 వ ఒక సిరీస్లో అత్యధిక వికెట్లు (23) ',' 6 వ ఒక క్యాలెండర్ సంవత్సరంలో అత్యధిక వికెట్లు (32 ) ',' 14 వ ఒకే మైదానంలో అత్యధిక వికెట్లు (15) ',' 11 వ ఒక ఇన్నింగ్స్ లోని బెస్ట్ ఫిగర్స్ ఉన్నప్పుడు పరాజయం వైపు (4) ',' 15 వ అత్యంత నాలుగు వికెట్లు-ఇన్-ఒక-ఇన్నింగ్స్ కెరీర్లో (5 ) ',' 10 వ కెరీర్ లో బౌల్డ్ చాలా బంతుల్లో (5309) ',' 12 వ కెరీర్ లో సాధించిన అత్యధిక పరుగులు (3032) ',' 5 వ బౌలర్ / బ్యాట్స్ కలయికలు (7) ',' 8 వ బౌలర్ / ఫీల్డర్ కలయికలు (19) ',' 18 వ అత్యంత బౌల్డ్ వికెట్లు తీసుకున్నారు (27) ',' 6 వ అత్యధిక వికెట్లు తీసుకున్న ఆకర్షించింది (76) ',' 1 వ అత్యధిక వికెట్లు ఆకర్షించింది తీసుకున్న మరియు బౌల్డ్ (17) ',' 4 వ అత్యధిక వికెట్లు ఒక ఫీల్డర్ చేత క్యాచ్ తీసుకున్న (66) ',' 32 వ ఎక్కువ వికెట్లు ఒక వికెట్ కీపర్ చే కాట్ తీసుకోకూడదు (10) ',' 6 వ అత్యధిక వికెట్లు తీసుకున్న ఎల్బిడబ్ల్యు (26) ',' 10 వ అత్యధిక వికెట్లు స్టంప్ తీసుకున్న (13) ',' 3 వ అత్యధిక క్యాచ్లు కెరీర్లో (58) ',' 4 వ అత్యధిక క్యాచ్లు లో ఇన్నింగ్స్ (3) ',' 8 వ అత్యధిక క్యాచ్లు వరుస (11) ',' 22 వ అత్యధిక భాగస్వామ్యాలు ఏ వికెట్కు (204) ',' మొదటి వికెట్కు 9 వ అత్యధిక భాగస్వామ్యం (204) ',' 48 వ అత్యధిక భాగస్వామ్యం కోసం రెండో వికెట్కు (137 *) మూడో వికెట్కు ',' 27 వ అత్యధిక భాగస్వామ్యం (135) ',' కోసం 8 వ అత్యధిక భాగస్వామ్యం నాలుగో వికెట్కు (151 *) ',' ఐదవ వికెట్కు 8 వ అత్యధిక భాగస్వామ్యం (113) ',' ఆరవ వికెట్కు 8 వ అత్యధిక భాగస్వామ్యం (96) ',' 11 వ కెరీర్ లో అత్యధిక మ్యాచ్లు (126) ',' 30 వ వరుస మ్యాచ్లు ఒక జట్టు (44) ',' 16 వ అత్యధిక మ్యాచ్లు కెప్టెన్గా (43) ',' ఒక జట్టు కెప్టెన్గా (36 *) 10 వ వరుస మ్యాచ్లు ',' 14 వ పిన్న కాప్టెన్ (21y 256d) ']</v>
      </c>
      <c r="G358" s="2" t="s">
        <v>276</v>
      </c>
      <c r="H358" s="2" t="str">
        <f>IFERROR(__xludf.DUMMYFUNCTION("IF(G358&lt;&gt;"""", GOOGLETRANSLATE(G358, ""en"", ""te""),"""")"),"[ '37 వ అత్యధిక పరుగులు ఇన్నింగ్స్ (90) లో', '2 వ అత్యధిక కెరీర్ (3062) లో నడుస్తుంది', 'ఒక క్యాలెండర్ సంవత్సరంలో 10 వ అత్యధిక పరుగులు (515)', ఒక ఇన్నింగ్స్ లో '17 వ అత్యధిక పరుగులు (బ్యాటింగ్ స్థానంలో ప్రకారం) ( 75) ',' 7 వ పరాజయం వైపు ఒక మ్యాచ్లో అత్యధ"&amp;"ిక పరుగులు (78) ',' ఒకే మైదానంలో 4 వ అత్యధిక పరుగులు (300) ',' ఒక కెప్టెన్తో ఇన్నింగ్స్ 12 వ అత్యధిక పరుగులు (90) ',' 3 వ అత్యధిక కెరీర్ బ్యాటింగ్ సగటు (36.02) ',' తొలి మ్యాచ్లో 2nd అత్యధిక పరుగులు (90) ',' కెరీర్ లో 2 వ పెద్ద అర్ధ (21) ',' వరుస ఇన్నింగ్"&amp;"స్లో 3 వ యాభైల్లో (3) ',' ఒక లేకుండా 3 వరుస ఇన్నింగ్స్ కెరీర్లో డక్ (63) ',' 35 వ అతి తక్కువ బాతులు (17.66) ',' 16 వ అత్యంత బాతులు కెరీర్లో (6) ',' ఒక ఇన్నింగ్స్లో పరుగులు 32 వ అత్యధిక శాతం (57.14) ',' ఫాస్టెస్ట్ 1000 పరుగులు 3 వ ( 38) ',' ఫాస్టెస్ట్ 200"&amp;"0 పరుగులు (1 వ 68) ',' 1st ఒక క్యాలెండర్ సంవత్సరంలో కెరీర్లో 3000 పరుగులు (103) ',' 8 వ అత్యధిక వికెట్లు (94) ',' 15 వ అత్యధిక వికెట్లు (22) 'వేగంగా, 'ఒకే నేలపై 3 వ అత్యధిక వికెట్లు (13)', 'ఒక కెప్టెన్తో ఒక ఇన్నింగ్స్ లో 6 వ ఉత్తమ బొమ్మలు (4)', '18 వ ఉత్"&amp;"తమ కెరీర్ బౌలింగ్ సరాసరి (16.88)', '38 వ ఉత్తమ కారు మూత యొక్క ఆర్ధిక రేటు (5.65) ',' 18 వ ఉత్తమ కెరీర్ సమ్మె రేటు (17.9) ',' 8 వ కెరీర్ లో బౌల్డ్ చాలా బంతుల్లో (1685) ',' 10 వ కెరీర్ లో సాధించిన అత్యధిక పరుగులు (1587) ',' 18 వ బౌలర్ / బ్యాట్స్ కలయికలు ( 4"&amp;") ',' 5 వ బౌలర్ / ఫీల్డర్ కలయికలు (12) ',' 9 వ అత్యధిక వికెట్లు తీసుకున్న బౌల్డ్ (24) ',' 12 వ అత్యధిక వికెట్లు తీసుకున్న ఆకర్షించింది (45) ',' 12 వ అత్యధిక వికెట్లు తీసుకున్న క్యాచ్ మరియు బౌల్డ్ (4) ', '13 వ అత్యధిక వికెట్లు ఒక ఫీల్డర్ చేత క్యాచ్ తీసుకున"&amp;"్న (39)', '19 వ అత్యధిక వికెట్లు ఆకర్షించింది అత్యధిక వికెట్లు తీసిన (6)', '8 వ అత్యధిక వికెట్లు తీసుకున్న ఎల్బిడబ్ల్యు (11)', '4 వ అత్యధిక వికెట్లు తీసుకున్న స్టంప్ (14)', '10 వ కెరీర్ లో అత్యధిక క్యాచ్లు (34)', 'రెండవ వికెట్కు 26 అత్యధిక భాగస్వామ్యం (10"&amp;"1)', 'మూడో వికెట్కు 13 వ అత్యధిక భాగస్వామ్యం (108)', 'నాలుగవ వికెట్కు 22 అత్యధిక భాగస్వామ్యం (77)', 'ఐదో వికెట్కు 36 వ అత్యధిక భాగస్వామ్యం (56)', 'ఆరవ వికెట్కు 30 వ అత్యధిక భాగస్వామ్యం (44)', 'ఏడవ వికెట్కు 9 వ అత్యధిక భాగస్వామ్యం (51)', 'ఎనిమిదవ వికెట్కు "&amp;"18 అత్యధిక భాగస్వామ్యం (28 * ) ',' కెరీర్లో 9 వ అత్యధిక మ్యాచ్లు (108) ',' 42n d చాలా జట్టుకు వరుస మ్యాచ్లు (38) ',' 8 వ అత్యధిక మ్యాచ్లు కెప్టెన్గా (52) ',' 16 వ పిన్న కాప్టెన్ (20y 261d) ',' 12 వ ఇన్నింగ్స్ లో వచ్చిన ఎక్కువ పనికత్తెలయొద్ద (2) ']")</f>
        <v>[ '37 వ అత్యధిక పరుగులు ఇన్నింగ్స్ (90) లో', '2 వ అత్యధిక కెరీర్ (3062) లో నడుస్తుంది', 'ఒక క్యాలెండర్ సంవత్సరంలో 10 వ అత్యధిక పరుగులు (515)', ఒక ఇన్నింగ్స్ లో '17 వ అత్యధిక పరుగులు (బ్యాటింగ్ స్థానంలో ప్రకారం) ( 75) ',' 7 వ పరాజయం వైపు ఒక మ్యాచ్లో అత్యధిక పరుగులు (78) ',' ఒకే మైదానంలో 4 వ అత్యధిక పరుగులు (300) ',' ఒక కెప్టెన్తో ఇన్నింగ్స్ 12 వ అత్యధిక పరుగులు (90) ',' 3 వ అత్యధిక కెరీర్ బ్యాటింగ్ సగటు (36.02) ',' తొలి మ్యాచ్లో 2nd అత్యధిక పరుగులు (90) ',' కెరీర్ లో 2 వ పెద్ద అర్ధ (21) ',' వరుస ఇన్నింగ్స్లో 3 వ యాభైల్లో (3) ',' ఒక లేకుండా 3 వరుస ఇన్నింగ్స్ కెరీర్లో డక్ (63) ',' 35 వ అతి తక్కువ బాతులు (17.66) ',' 16 వ అత్యంత బాతులు కెరీర్లో (6) ',' ఒక ఇన్నింగ్స్లో పరుగులు 32 వ అత్యధిక శాతం (57.14) ',' ఫాస్టెస్ట్ 1000 పరుగులు 3 వ ( 38) ',' ఫాస్టెస్ట్ 2000 పరుగులు (1 వ 68) ',' 1st ఒక క్యాలెండర్ సంవత్సరంలో కెరీర్లో 3000 పరుగులు (103) ',' 8 వ అత్యధిక వికెట్లు (94) ',' 15 వ అత్యధిక వికెట్లు (22) 'వేగంగా, 'ఒకే నేలపై 3 వ అత్యధిక వికెట్లు (13)', 'ఒక కెప్టెన్తో ఒక ఇన్నింగ్స్ లో 6 వ ఉత్తమ బొమ్మలు (4)', '18 వ ఉత్తమ కెరీర్ బౌలింగ్ సరాసరి (16.88)', '38 వ ఉత్తమ కారు మూత యొక్క ఆర్ధిక రేటు (5.65) ',' 18 వ ఉత్తమ కెరీర్ సమ్మె రేటు (17.9) ',' 8 వ కెరీర్ లో బౌల్డ్ చాలా బంతుల్లో (1685) ',' 10 వ కెరీర్ లో సాధించిన అత్యధిక పరుగులు (1587) ',' 18 వ బౌలర్ / బ్యాట్స్ కలయికలు ( 4) ',' 5 వ బౌలర్ / ఫీల్డర్ కలయికలు (12) ',' 9 వ అత్యధిక వికెట్లు తీసుకున్న బౌల్డ్ (24) ',' 12 వ అత్యధిక వికెట్లు తీసుకున్న ఆకర్షించింది (45) ',' 12 వ అత్యధిక వికెట్లు తీసుకున్న క్యాచ్ మరియు బౌల్డ్ (4) ', '13 వ అత్యధిక వికెట్లు ఒక ఫీల్డర్ చేత క్యాచ్ తీసుకున్న (39)', '19 వ అత్యధిక వికెట్లు ఆకర్షించింది అత్యధిక వికెట్లు తీసిన (6)', '8 వ అత్యధిక వికెట్లు తీసుకున్న ఎల్బిడబ్ల్యు (11)', '4 వ అత్యధిక వికెట్లు తీసుకున్న స్టంప్ (14)', '10 వ కెరీర్ లో అత్యధిక క్యాచ్లు (34)', 'రెండవ వికెట్కు 26 అత్యధిక భాగస్వామ్యం (101)', 'మూడో వికెట్కు 13 వ అత్యధిక భాగస్వామ్యం (108)', 'నాలుగవ వికెట్కు 22 అత్యధిక భాగస్వామ్యం (77)', 'ఐదో వికెట్కు 36 వ అత్యధిక భాగస్వామ్యం (56)', 'ఆరవ వికెట్కు 30 వ అత్యధిక భాగస్వామ్యం (44)', 'ఏడవ వికెట్కు 9 వ అత్యధిక భాగస్వామ్యం (51)', 'ఎనిమిదవ వికెట్కు 18 అత్యధిక భాగస్వామ్యం (28 * ) ',' కెరీర్లో 9 వ అత్యధిక మ్యాచ్లు (108) ',' 42n d చాలా జట్టుకు వరుస మ్యాచ్లు (38) ',' 8 వ అత్యధిక మ్యాచ్లు కెప్టెన్గా (52) ',' 16 వ పిన్న కాప్టెన్ (20y 261d) ',' 12 వ ఇన్నింగ్స్ లో వచ్చిన ఎక్కువ పనికత్తెలయొద్ద (2) ']</v>
      </c>
      <c r="I358" s="3"/>
    </row>
    <row r="359" customHeight="1" spans="1:9">
      <c r="A359" s="2" t="s">
        <v>277</v>
      </c>
      <c r="B359" s="2" t="str">
        <f>IFERROR(__xludf.DUMMYFUNCTION("IF(A359&lt;&gt;"""", GOOGLETRANSLATE(A359, ""en"", ""te""),"""")"),"[ '9 వ అత్యుత్తమ ఇన్నింగ్స్ (5/11) విశ్లేషణలలో బౌలింగ్']")</f>
        <v>[ '9 వ అత్యుత్తమ ఇన్నింగ్స్ (5/11) విశ్లేషణలలో బౌలింగ్']</v>
      </c>
      <c r="C359" s="2" t="s">
        <v>278</v>
      </c>
      <c r="D359" s="2" t="str">
        <f>IFERROR(__xludf.DUMMYFUNCTION("IF(C359&lt;&gt;"""", GOOGLETRANSLATE(C359, ""en"", ""te""),"""")"),"[ '9 వ అత్యుత్తమ ఇన్నింగ్స్ లో బౌలింగ్ విశ్లేషణలు (5/11)', '43 వ చెత్త కెరీర్లో ఆర్థిక రేటు (3.46)', 'ఇన్నింగ్స్ లో 48 వ చెత్త ఆర్థిక రేటు (6.35)']")</f>
        <v>[ '9 వ అత్యుత్తమ ఇన్నింగ్స్ లో బౌలింగ్ విశ్లేషణలు (5/11)', '43 వ చెత్త కెరీర్లో ఆర్థిక రేటు (3.46)', 'ఇన్నింగ్స్ లో 48 వ చెత్త ఆర్థిక రేటు (6.35)']</v>
      </c>
      <c r="E359" s="2" t="s">
        <v>279</v>
      </c>
      <c r="F359" s="2" t="str">
        <f>IFERROR(__xludf.DUMMYFUNCTION("IF(E359&lt;&gt;"""", GOOGLETRANSLATE(E359, ""en"", ""te""),"""")"),"[ '13 వ వరుస నాలుగు వికెట్లు-ఇన్-ఒక-ఇన్నింగ్స్ (2)', 'ఇన్నింగ్స్ లో సాధించిన 27 వ అత్యధిక పరుగులు (95)', 'ఫాస్టెస్ట్ 39 వ 100 వికెట్లు' 46 వ అత్యధిక వికెట్లు బౌల్డ్ (45) తీసుకున్న '( 68) ',' పదవ వికెట్కు 23 అత్యధిక భాగస్వామ్యం (57 *) ']")</f>
        <v>[ '13 వ వరుస నాలుగు వికెట్లు-ఇన్-ఒక-ఇన్నింగ్స్ (2)', 'ఇన్నింగ్స్ లో సాధించిన 27 వ అత్యధిక పరుగులు (95)', 'ఫాస్టెస్ట్ 39 వ 100 వికెట్లు' 46 వ అత్యధిక వికెట్లు బౌల్డ్ (45) తీసుకున్న '( 68) ',' పదవ వికెట్కు 23 అత్యధిక భాగస్వామ్యం (57 *) ']</v>
      </c>
      <c r="G359" s="2" t="s">
        <v>280</v>
      </c>
      <c r="H359" s="2" t="str">
        <f>IFERROR(__xludf.DUMMYFUNCTION("IF(G359&lt;&gt;"""", GOOGLETRANSLATE(G359, ""en"", ""te""),"""")"),"[ '13 వ ఇన్నింగ్స్ లో అత్యధిక పరుగులు (బ్యాటింగ్ స్థానంలో ప్రకారం) (21)', 'ఇన్నింగ్స్ లో 13 వ అత్యుత్తమ బౌలింగ్ విశ్లేషణలు (3/6)', '50 వ ఉత్తమ కెరీర్ సమ్మె రేటు (18.1)', '12 వ చెత్త కెరీర్లో ఎకానమీ రేట్ (8.63) ',' 38 వ అత్యధిక వికెట్లు తీసుకున్న బౌల్డ్ (1"&amp;"1) ',' 48 వ అత్యంత ఆకర్షించింది తీసుకోబడిన వికెట్ల అత్యధిక వికెట్లు (5) ',' తొమ్మిదవ వికెట్కు 49 వ అత్యధిక భాగస్వామ్యం (25) ',' 33 వ వరుస మ్యాచ్లు కోసం తప్పిన 'ప్రదర్శనల మధ్య బృందం (41)', '34 వ లాంగెస్ట్ కెరీర్లు (11y 321d)', 'ప్రదర్శనల మధ్య 39 వ లాంగెస్ట"&amp;"్ వ్యవధిలో (5 సం 173d)]")</f>
        <v>[ '13 వ ఇన్నింగ్స్ లో అత్యధిక పరుగులు (బ్యాటింగ్ స్థానంలో ప్రకారం) (21)', 'ఇన్నింగ్స్ లో 13 వ అత్యుత్తమ బౌలింగ్ విశ్లేషణలు (3/6)', '50 వ ఉత్తమ కెరీర్ సమ్మె రేటు (18.1)', '12 వ చెత్త కెరీర్లో ఎకానమీ రేట్ (8.63) ',' 38 వ అత్యధిక వికెట్లు తీసుకున్న బౌల్డ్ (11) ',' 48 వ అత్యంత ఆకర్షించింది తీసుకోబడిన వికెట్ల అత్యధిక వికెట్లు (5) ',' తొమ్మిదవ వికెట్కు 49 వ అత్యధిక భాగస్వామ్యం (25) ',' 33 వ వరుస మ్యాచ్లు కోసం తప్పిన 'ప్రదర్శనల మధ్య బృందం (41)', '34 వ లాంగెస్ట్ కెరీర్లు (11y 321d)', 'ప్రదర్శనల మధ్య 39 వ లాంగెస్ట్ వ్యవధిలో (5 సం 173d)]</v>
      </c>
      <c r="I359" s="3"/>
    </row>
    <row r="360" customHeight="1" spans="1:9">
      <c r="A360" s="2"/>
      <c r="B360" s="2" t="str">
        <f>IFERROR(__xludf.DUMMYFUNCTION("IF(A360&lt;&gt;"""", GOOGLETRANSLATE(A360, ""en"", ""te""),"""")"),"")</f>
        <v/>
      </c>
      <c r="C360" s="2"/>
      <c r="D360" s="2" t="str">
        <f>IFERROR(__xludf.DUMMYFUNCTION("IF(C360&lt;&gt;"""", GOOGLETRANSLATE(C360, ""en"", ""te""),"""")"),"")</f>
        <v/>
      </c>
      <c r="E360" s="2"/>
      <c r="F360" s="2" t="str">
        <f>IFERROR(__xludf.DUMMYFUNCTION("IF(E360&lt;&gt;"""", GOOGLETRANSLATE(E360, ""en"", ""te""),"""")"),"")</f>
        <v/>
      </c>
      <c r="G360" s="2"/>
      <c r="H360" s="2" t="str">
        <f>IFERROR(__xludf.DUMMYFUNCTION("IF(G360&lt;&gt;"""", GOOGLETRANSLATE(G360, ""en"", ""te""),"""")"),"")</f>
        <v/>
      </c>
      <c r="I360" s="3"/>
    </row>
    <row r="361" customHeight="1" spans="1:9">
      <c r="A361" s="2"/>
      <c r="B361" s="2" t="str">
        <f>IFERROR(__xludf.DUMMYFUNCTION("IF(A361&lt;&gt;"""", GOOGLETRANSLATE(A361, ""en"", ""te""),"""")"),"")</f>
        <v/>
      </c>
      <c r="C361" s="2"/>
      <c r="D361" s="2" t="str">
        <f>IFERROR(__xludf.DUMMYFUNCTION("IF(C361&lt;&gt;"""", GOOGLETRANSLATE(C361, ""en"", ""te""),"""")"),"")</f>
        <v/>
      </c>
      <c r="E361" s="2"/>
      <c r="F361" s="2" t="str">
        <f>IFERROR(__xludf.DUMMYFUNCTION("IF(E361&lt;&gt;"""", GOOGLETRANSLATE(E361, ""en"", ""te""),"""")"),"")</f>
        <v/>
      </c>
      <c r="G361" s="2"/>
      <c r="H361" s="2" t="str">
        <f>IFERROR(__xludf.DUMMYFUNCTION("IF(G361&lt;&gt;"""", GOOGLETRANSLATE(G361, ""en"", ""te""),"""")"),"")</f>
        <v/>
      </c>
      <c r="I361" s="3"/>
    </row>
    <row r="362" customHeight="1" spans="1:9">
      <c r="A362" s="2"/>
      <c r="B362" s="2" t="str">
        <f>IFERROR(__xludf.DUMMYFUNCTION("IF(A362&lt;&gt;"""", GOOGLETRANSLATE(A362, ""en"", ""te""),"""")"),"")</f>
        <v/>
      </c>
      <c r="C362" s="2"/>
      <c r="D362" s="2" t="str">
        <f>IFERROR(__xludf.DUMMYFUNCTION("IF(C362&lt;&gt;"""", GOOGLETRANSLATE(C362, ""en"", ""te""),"""")"),"")</f>
        <v/>
      </c>
      <c r="E362" s="2"/>
      <c r="F362" s="2" t="str">
        <f>IFERROR(__xludf.DUMMYFUNCTION("IF(E362&lt;&gt;"""", GOOGLETRANSLATE(E362, ""en"", ""te""),"""")"),"")</f>
        <v/>
      </c>
      <c r="G362" s="2"/>
      <c r="H362" s="2" t="str">
        <f>IFERROR(__xludf.DUMMYFUNCTION("IF(G362&lt;&gt;"""", GOOGLETRANSLATE(G362, ""en"", ""te""),"""")"),"")</f>
        <v/>
      </c>
      <c r="I362" s="3"/>
    </row>
    <row r="363" customHeight="1" spans="1:9">
      <c r="A363" s="2"/>
      <c r="B363" s="2" t="str">
        <f>IFERROR(__xludf.DUMMYFUNCTION("IF(A363&lt;&gt;"""", GOOGLETRANSLATE(A363, ""en"", ""te""),"""")"),"")</f>
        <v/>
      </c>
      <c r="C363" s="2"/>
      <c r="D363" s="2" t="str">
        <f>IFERROR(__xludf.DUMMYFUNCTION("IF(C363&lt;&gt;"""", GOOGLETRANSLATE(C363, ""en"", ""te""),"""")"),"")</f>
        <v/>
      </c>
      <c r="E363" s="2"/>
      <c r="F363" s="2" t="str">
        <f>IFERROR(__xludf.DUMMYFUNCTION("IF(E363&lt;&gt;"""", GOOGLETRANSLATE(E363, ""en"", ""te""),"""")"),"")</f>
        <v/>
      </c>
      <c r="G363" s="2"/>
      <c r="H363" s="2" t="str">
        <f>IFERROR(__xludf.DUMMYFUNCTION("IF(G363&lt;&gt;"""", GOOGLETRANSLATE(G363, ""en"", ""te""),"""")"),"")</f>
        <v/>
      </c>
      <c r="I363" s="3"/>
    </row>
    <row r="364" customHeight="1" spans="1:9">
      <c r="A364" s="2"/>
      <c r="B364" s="2" t="str">
        <f>IFERROR(__xludf.DUMMYFUNCTION("IF(A364&lt;&gt;"""", GOOGLETRANSLATE(A364, ""en"", ""te""),"""")"),"")</f>
        <v/>
      </c>
      <c r="C364" s="2"/>
      <c r="D364" s="2" t="str">
        <f>IFERROR(__xludf.DUMMYFUNCTION("IF(C364&lt;&gt;"""", GOOGLETRANSLATE(C364, ""en"", ""te""),"""")"),"")</f>
        <v/>
      </c>
      <c r="E364" s="2"/>
      <c r="F364" s="2" t="str">
        <f>IFERROR(__xludf.DUMMYFUNCTION("IF(E364&lt;&gt;"""", GOOGLETRANSLATE(E364, ""en"", ""te""),"""")"),"")</f>
        <v/>
      </c>
      <c r="G364" s="2"/>
      <c r="H364" s="2" t="str">
        <f>IFERROR(__xludf.DUMMYFUNCTION("IF(G364&lt;&gt;"""", GOOGLETRANSLATE(G364, ""en"", ""te""),"""")"),"")</f>
        <v/>
      </c>
      <c r="I364" s="3"/>
    </row>
    <row r="365" customHeight="1" spans="1:9">
      <c r="A365" s="2"/>
      <c r="B365" s="2" t="str">
        <f>IFERROR(__xludf.DUMMYFUNCTION("IF(A365&lt;&gt;"""", GOOGLETRANSLATE(A365, ""en"", ""te""),"""")"),"")</f>
        <v/>
      </c>
      <c r="C365" s="2"/>
      <c r="D365" s="2" t="str">
        <f>IFERROR(__xludf.DUMMYFUNCTION("IF(C365&lt;&gt;"""", GOOGLETRANSLATE(C365, ""en"", ""te""),"""")"),"")</f>
        <v/>
      </c>
      <c r="E365" s="2"/>
      <c r="F365" s="2" t="str">
        <f>IFERROR(__xludf.DUMMYFUNCTION("IF(E365&lt;&gt;"""", GOOGLETRANSLATE(E365, ""en"", ""te""),"""")"),"")</f>
        <v/>
      </c>
      <c r="G365" s="2"/>
      <c r="H365" s="2" t="str">
        <f>IFERROR(__xludf.DUMMYFUNCTION("IF(G365&lt;&gt;"""", GOOGLETRANSLATE(G365, ""en"", ""te""),"""")"),"")</f>
        <v/>
      </c>
      <c r="I365" s="3"/>
    </row>
    <row r="366" customHeight="1" spans="1:9">
      <c r="A366" s="2"/>
      <c r="B366" s="2" t="str">
        <f>IFERROR(__xludf.DUMMYFUNCTION("IF(A366&lt;&gt;"""", GOOGLETRANSLATE(A366, ""en"", ""te""),"""")"),"")</f>
        <v/>
      </c>
      <c r="C366" s="2"/>
      <c r="D366" s="2" t="str">
        <f>IFERROR(__xludf.DUMMYFUNCTION("IF(C366&lt;&gt;"""", GOOGLETRANSLATE(C366, ""en"", ""te""),"""")"),"")</f>
        <v/>
      </c>
      <c r="E366" s="2"/>
      <c r="F366" s="2" t="str">
        <f>IFERROR(__xludf.DUMMYFUNCTION("IF(E366&lt;&gt;"""", GOOGLETRANSLATE(E366, ""en"", ""te""),"""")"),"")</f>
        <v/>
      </c>
      <c r="G366" s="2"/>
      <c r="H366" s="2" t="str">
        <f>IFERROR(__xludf.DUMMYFUNCTION("IF(G366&lt;&gt;"""", GOOGLETRANSLATE(G366, ""en"", ""te""),"""")"),"")</f>
        <v/>
      </c>
      <c r="I366" s="3"/>
    </row>
    <row r="367" customHeight="1" spans="1:9">
      <c r="A367" s="2"/>
      <c r="B367" s="2" t="str">
        <f>IFERROR(__xludf.DUMMYFUNCTION("IF(A367&lt;&gt;"""", GOOGLETRANSLATE(A367, ""en"", ""te""),"""")"),"")</f>
        <v/>
      </c>
      <c r="C367" s="2"/>
      <c r="D367" s="2" t="str">
        <f>IFERROR(__xludf.DUMMYFUNCTION("IF(C367&lt;&gt;"""", GOOGLETRANSLATE(C367, ""en"", ""te""),"""")"),"")</f>
        <v/>
      </c>
      <c r="E367" s="2"/>
      <c r="F367" s="2" t="str">
        <f>IFERROR(__xludf.DUMMYFUNCTION("IF(E367&lt;&gt;"""", GOOGLETRANSLATE(E367, ""en"", ""te""),"""")"),"")</f>
        <v/>
      </c>
      <c r="G367" s="2"/>
      <c r="H367" s="2" t="str">
        <f>IFERROR(__xludf.DUMMYFUNCTION("IF(G367&lt;&gt;"""", GOOGLETRANSLATE(G367, ""en"", ""te""),"""")"),"")</f>
        <v/>
      </c>
      <c r="I367" s="3"/>
    </row>
    <row r="368" customHeight="1" spans="1:9">
      <c r="A368" s="2"/>
      <c r="B368" s="2" t="str">
        <f>IFERROR(__xludf.DUMMYFUNCTION("IF(A368&lt;&gt;"""", GOOGLETRANSLATE(A368, ""en"", ""te""),"""")"),"")</f>
        <v/>
      </c>
      <c r="C368" s="2" t="s">
        <v>281</v>
      </c>
      <c r="D368" s="2" t="str">
        <f>IFERROR(__xludf.DUMMYFUNCTION("IF(C368&lt;&gt;"""", GOOGLETRANSLATE(C368, ""en"", ""te""),"""")"),"[ '37 వ ఉత్తమ ఇన్నింగ్స్ లో ఆర్థిక రేటు (0.60)', '20 వ అత్యంత వృద్ధ ఆటగాడు తొలి తీసుకుని ఐదు-వికెట్ల లో-ఒక-ఇన్నింగ్స్ (36y 340d)']")</f>
        <v>[ '37 వ ఉత్తమ ఇన్నింగ్స్ లో ఆర్థిక రేటు (0.60)', '20 వ అత్యంత వృద్ధ ఆటగాడు తొలి తీసుకుని ఐదు-వికెట్ల లో-ఒక-ఇన్నింగ్స్ (36y 340d)']</v>
      </c>
      <c r="E368" s="2"/>
      <c r="F368" s="2" t="str">
        <f>IFERROR(__xludf.DUMMYFUNCTION("IF(E368&lt;&gt;"""", GOOGLETRANSLATE(E368, ""en"", ""te""),"""")"),"")</f>
        <v/>
      </c>
      <c r="G368" s="2"/>
      <c r="H368" s="2" t="str">
        <f>IFERROR(__xludf.DUMMYFUNCTION("IF(G368&lt;&gt;"""", GOOGLETRANSLATE(G368, ""en"", ""te""),"""")"),"")</f>
        <v/>
      </c>
      <c r="I368" s="3"/>
    </row>
    <row r="369" customHeight="1" spans="1:9">
      <c r="A369" s="2"/>
      <c r="B369" s="2" t="str">
        <f>IFERROR(__xludf.DUMMYFUNCTION("IF(A369&lt;&gt;"""", GOOGLETRANSLATE(A369, ""en"", ""te""),"""")"),"")</f>
        <v/>
      </c>
      <c r="C369" s="2"/>
      <c r="D369" s="2" t="str">
        <f>IFERROR(__xludf.DUMMYFUNCTION("IF(C369&lt;&gt;"""", GOOGLETRANSLATE(C369, ""en"", ""te""),"""")"),"")</f>
        <v/>
      </c>
      <c r="E369" s="2"/>
      <c r="F369" s="2" t="str">
        <f>IFERROR(__xludf.DUMMYFUNCTION("IF(E369&lt;&gt;"""", GOOGLETRANSLATE(E369, ""en"", ""te""),"""")"),"")</f>
        <v/>
      </c>
      <c r="G369" s="2"/>
      <c r="H369" s="2" t="str">
        <f>IFERROR(__xludf.DUMMYFUNCTION("IF(G369&lt;&gt;"""", GOOGLETRANSLATE(G369, ""en"", ""te""),"""")"),"")</f>
        <v/>
      </c>
      <c r="I369" s="3"/>
    </row>
    <row r="370" customHeight="1" spans="1:9">
      <c r="A370" s="2"/>
      <c r="B370" s="2" t="str">
        <f>IFERROR(__xludf.DUMMYFUNCTION("IF(A370&lt;&gt;"""", GOOGLETRANSLATE(A370, ""en"", ""te""),"""")"),"")</f>
        <v/>
      </c>
      <c r="C370" s="2"/>
      <c r="D370" s="2" t="str">
        <f>IFERROR(__xludf.DUMMYFUNCTION("IF(C370&lt;&gt;"""", GOOGLETRANSLATE(C370, ""en"", ""te""),"""")"),"")</f>
        <v/>
      </c>
      <c r="E370" s="2"/>
      <c r="F370" s="2" t="str">
        <f>IFERROR(__xludf.DUMMYFUNCTION("IF(E370&lt;&gt;"""", GOOGLETRANSLATE(E370, ""en"", ""te""),"""")"),"")</f>
        <v/>
      </c>
      <c r="G370" s="2"/>
      <c r="H370" s="2" t="str">
        <f>IFERROR(__xludf.DUMMYFUNCTION("IF(G370&lt;&gt;"""", GOOGLETRANSLATE(G370, ""en"", ""te""),"""")"),"")</f>
        <v/>
      </c>
      <c r="I370" s="3"/>
    </row>
    <row r="371" customHeight="1" spans="1:9">
      <c r="A371" s="2"/>
      <c r="B371" s="2" t="str">
        <f>IFERROR(__xludf.DUMMYFUNCTION("IF(A371&lt;&gt;"""", GOOGLETRANSLATE(A371, ""en"", ""te""),"""")"),"")</f>
        <v/>
      </c>
      <c r="C371" s="2"/>
      <c r="D371" s="2" t="str">
        <f>IFERROR(__xludf.DUMMYFUNCTION("IF(C371&lt;&gt;"""", GOOGLETRANSLATE(C371, ""en"", ""te""),"""")"),"")</f>
        <v/>
      </c>
      <c r="E371" s="2"/>
      <c r="F371" s="2" t="str">
        <f>IFERROR(__xludf.DUMMYFUNCTION("IF(E371&lt;&gt;"""", GOOGLETRANSLATE(E371, ""en"", ""te""),"""")"),"")</f>
        <v/>
      </c>
      <c r="G371" s="2"/>
      <c r="H371" s="2" t="str">
        <f>IFERROR(__xludf.DUMMYFUNCTION("IF(G371&lt;&gt;"""", GOOGLETRANSLATE(G371, ""en"", ""te""),"""")"),"")</f>
        <v/>
      </c>
      <c r="I371" s="3"/>
    </row>
    <row r="372" customHeight="1" spans="1:9">
      <c r="A372" s="2" t="s">
        <v>282</v>
      </c>
      <c r="B372" s="2" t="str">
        <f>IFERROR(__xludf.DUMMYFUNCTION("IF(A372&lt;&gt;"""", GOOGLETRANSLATE(A372, ""en"", ""te""),"""")"),"[ '10 వ ఉత్తమ కెరీర్ బౌలింగ్ సరాసరి (అర్హత లేకుండా) (5.50)']")</f>
        <v>[ '10 వ ఉత్తమ కెరీర్ బౌలింగ్ సరాసరి (అర్హత లేకుండా) (5.50)']</v>
      </c>
      <c r="C372" s="2"/>
      <c r="D372" s="2" t="str">
        <f>IFERROR(__xludf.DUMMYFUNCTION("IF(C372&lt;&gt;"""", GOOGLETRANSLATE(C372, ""en"", ""te""),"""")"),"")</f>
        <v/>
      </c>
      <c r="E372" s="2" t="s">
        <v>282</v>
      </c>
      <c r="F372" s="2" t="str">
        <f>IFERROR(__xludf.DUMMYFUNCTION("IF(E372&lt;&gt;"""", GOOGLETRANSLATE(E372, ""en"", ""te""),"""")"),"[ '10 వ ఉత్తమ కెరీర్ బౌలింగ్ సరాసరి (అర్హత లేకుండా) (5.50)']")</f>
        <v>[ '10 వ ఉత్తమ కెరీర్ బౌలింగ్ సరాసరి (అర్హత లేకుండా) (5.50)']</v>
      </c>
      <c r="G372" s="2"/>
      <c r="H372" s="2" t="str">
        <f>IFERROR(__xludf.DUMMYFUNCTION("IF(G372&lt;&gt;"""", GOOGLETRANSLATE(G372, ""en"", ""te""),"""")"),"")</f>
        <v/>
      </c>
      <c r="I372" s="3"/>
    </row>
    <row r="373" customHeight="1" spans="1:9">
      <c r="A373" s="2" t="s">
        <v>283</v>
      </c>
      <c r="B373" s="2" t="str">
        <f>IFERROR(__xludf.DUMMYFUNCTION("IF(A373&lt;&gt;"""", GOOGLETRANSLATE(A373, ""en"", ""te""),"""")"),"[ 'తొలి పెయిర్', '5 వ ఒక ఇన్నింగ్స్ లోని బెస్ట్ ఫిగర్స్ పరాజయం వైపు (8) ఉన్నప్పుడు', '1st అరంగేట్రంలోనే ఇన్నింగ్స్ లోని బెస్ట్ ఫిగర్స్ (8)', '8 వ పిన్న ఆటగాడు పది వికెట్ల తేడాతో in- తీసుకోవాలని '50 వికెట్లు (8) ఒక ఇన్నింగ్స్ (552) ',' 4 వ అత్యంత వేగంగా బ"&amp;"ౌల్ చేయబడిన ఒక మ్యాచ్ (20y 41d) ',' 3 వ అత్యంత బంతుల్లో]")</f>
        <v>[ 'తొలి పెయిర్', '5 వ ఒక ఇన్నింగ్స్ లోని బెస్ట్ ఫిగర్స్ పరాజయం వైపు (8) ఉన్నప్పుడు', '1st అరంగేట్రంలోనే ఇన్నింగ్స్ లోని బెస్ట్ ఫిగర్స్ (8)', '8 వ పిన్న ఆటగాడు పది వికెట్ల తేడాతో in- తీసుకోవాలని '50 వికెట్లు (8) ఒక ఇన్నింగ్స్ (552) ',' 4 వ అత్యంత వేగంగా బౌల్ చేయబడిన ఒక మ్యాచ్ (20y 41d) ',' 3 వ అత్యంత బంతుల్లో]</v>
      </c>
      <c r="C373" s="2" t="s">
        <v>284</v>
      </c>
      <c r="D373" s="2" t="str">
        <f>IFERROR(__xludf.DUMMYFUNCTION("IF(C373&lt;&gt;"""", GOOGLETRANSLATE(C373, ""en"", ""te""),"""")"),"[ '33 వ ఒక సిరీస్లో అత్యధిక వికెట్లు (33)', '5 వ ఒక ఇన్నింగ్స్ లోని బెస్ట్ ఫిగర్స్ ఉన్నప్పుడు పరాజయం వైపు (8)', '15 వ బెస్ట్ ఫిగర్స్ ఒక మ్యాచ్లో పరాజయం వైపు ఉన్నప్పుడు (11)', '24 వ ఉత్తమ వృత్తి ఆర్థిక రేటు (1.95) ',' 1st అరంగేట్రంలోనే ఇన్నింగ్స్ లోని బె"&amp;"స్ట్ ఫిగర్స్ (8) ',' 5 వ అరంగేట్రంలోనే మ్యాచ్లో ఉత్తమ బొమ్మలు (11) ',' అయిదు వికెట్లు ఇన్ an- తీసుకోవాలని 36 వ పిన్న ఆటగాడు ఇన్నింగ్స్ (20y 41d) ',' (పది వికెట్లు లో ఒక మ్యాచ్ (20y 41d) తీసుకోవాలని 8 వ పిన్న ఆటగాడు ',' 3 వ ఇన్నింగ్స్ (552) ',' 8 వ అత్యంత "&amp;"బంతుల్లో ఒక మ్యాచ్లో బౌల్డ్ లో బౌల్డ్ చాలా బంతుల్లో 696) ',' 4 వ వేగవంతమైన 50 వికెట్లు (8) ',' 7th 100 వికెట్లు (19) వేగంగా ']")</f>
        <v>[ '33 వ ఒక సిరీస్లో అత్యధిక వికెట్లు (33)', '5 వ ఒక ఇన్నింగ్స్ లోని బెస్ట్ ఫిగర్స్ ఉన్నప్పుడు పరాజయం వైపు (8)', '15 వ బెస్ట్ ఫిగర్స్ ఒక మ్యాచ్లో పరాజయం వైపు ఉన్నప్పుడు (11)', '24 వ ఉత్తమ వృత్తి ఆర్థిక రేటు (1.95) ',' 1st అరంగేట్రంలోనే ఇన్నింగ్స్ లోని బెస్ట్ ఫిగర్స్ (8) ',' 5 వ అరంగేట్రంలోనే మ్యాచ్లో ఉత్తమ బొమ్మలు (11) ',' అయిదు వికెట్లు ఇన్ an- తీసుకోవాలని 36 వ పిన్న ఆటగాడు ఇన్నింగ్స్ (20y 41d) ',' (పది వికెట్లు లో ఒక మ్యాచ్ (20y 41d) తీసుకోవాలని 8 వ పిన్న ఆటగాడు ',' 3 వ ఇన్నింగ్స్ (552) ',' 8 వ అత్యంత బంతుల్లో ఒక మ్యాచ్లో బౌల్డ్ లో బౌల్డ్ చాలా బంతుల్లో 696) ',' 4 వ వేగవంతమైన 50 వికెట్లు (8) ',' 7th 100 వికెట్లు (19) వేగంగా ']</v>
      </c>
      <c r="E373" s="2"/>
      <c r="F373" s="2" t="str">
        <f>IFERROR(__xludf.DUMMYFUNCTION("IF(E373&lt;&gt;"""", GOOGLETRANSLATE(E373, ""en"", ""te""),"""")"),"")</f>
        <v/>
      </c>
      <c r="G373" s="2"/>
      <c r="H373" s="2" t="str">
        <f>IFERROR(__xludf.DUMMYFUNCTION("IF(G373&lt;&gt;"""", GOOGLETRANSLATE(G373, ""en"", ""te""),"""")"),"")</f>
        <v/>
      </c>
      <c r="I373" s="3"/>
    </row>
    <row r="374" customHeight="1" spans="1:9">
      <c r="A374" s="2"/>
      <c r="B374" s="2" t="str">
        <f>IFERROR(__xludf.DUMMYFUNCTION("IF(A374&lt;&gt;"""", GOOGLETRANSLATE(A374, ""en"", ""te""),"""")"),"")</f>
        <v/>
      </c>
      <c r="C374" s="2"/>
      <c r="D374" s="2" t="str">
        <f>IFERROR(__xludf.DUMMYFUNCTION("IF(C374&lt;&gt;"""", GOOGLETRANSLATE(C374, ""en"", ""te""),"""")"),"")</f>
        <v/>
      </c>
      <c r="E374" s="2"/>
      <c r="F374" s="2" t="str">
        <f>IFERROR(__xludf.DUMMYFUNCTION("IF(E374&lt;&gt;"""", GOOGLETRANSLATE(E374, ""en"", ""te""),"""")"),"")</f>
        <v/>
      </c>
      <c r="G374" s="2"/>
      <c r="H374" s="2" t="str">
        <f>IFERROR(__xludf.DUMMYFUNCTION("IF(G374&lt;&gt;"""", GOOGLETRANSLATE(G374, ""en"", ""te""),"""")"),"")</f>
        <v/>
      </c>
      <c r="I374" s="3"/>
    </row>
    <row r="375" customHeight="1" spans="1:9">
      <c r="A375" s="2"/>
      <c r="B375" s="2" t="str">
        <f>IFERROR(__xludf.DUMMYFUNCTION("IF(A375&lt;&gt;"""", GOOGLETRANSLATE(A375, ""en"", ""te""),"""")"),"")</f>
        <v/>
      </c>
      <c r="C375" s="2"/>
      <c r="D375" s="2" t="str">
        <f>IFERROR(__xludf.DUMMYFUNCTION("IF(C375&lt;&gt;"""", GOOGLETRANSLATE(C375, ""en"", ""te""),"""")"),"")</f>
        <v/>
      </c>
      <c r="E375" s="2"/>
      <c r="F375" s="2" t="str">
        <f>IFERROR(__xludf.DUMMYFUNCTION("IF(E375&lt;&gt;"""", GOOGLETRANSLATE(E375, ""en"", ""te""),"""")"),"")</f>
        <v/>
      </c>
      <c r="G375" s="2"/>
      <c r="H375" s="2" t="str">
        <f>IFERROR(__xludf.DUMMYFUNCTION("IF(G375&lt;&gt;"""", GOOGLETRANSLATE(G375, ""en"", ""te""),"""")"),"")</f>
        <v/>
      </c>
      <c r="I375" s="3"/>
    </row>
    <row r="376" customHeight="1" spans="1:9">
      <c r="A376" s="2"/>
      <c r="B376" s="2" t="str">
        <f>IFERROR(__xludf.DUMMYFUNCTION("IF(A376&lt;&gt;"""", GOOGLETRANSLATE(A376, ""en"", ""te""),"""")"),"")</f>
        <v/>
      </c>
      <c r="C376" s="2"/>
      <c r="D376" s="2" t="str">
        <f>IFERROR(__xludf.DUMMYFUNCTION("IF(C376&lt;&gt;"""", GOOGLETRANSLATE(C376, ""en"", ""te""),"""")"),"")</f>
        <v/>
      </c>
      <c r="E376" s="2"/>
      <c r="F376" s="2" t="str">
        <f>IFERROR(__xludf.DUMMYFUNCTION("IF(E376&lt;&gt;"""", GOOGLETRANSLATE(E376, ""en"", ""te""),"""")"),"")</f>
        <v/>
      </c>
      <c r="G376" s="2"/>
      <c r="H376" s="2" t="str">
        <f>IFERROR(__xludf.DUMMYFUNCTION("IF(G376&lt;&gt;"""", GOOGLETRANSLATE(G376, ""en"", ""te""),"""")"),"")</f>
        <v/>
      </c>
      <c r="I376" s="3"/>
    </row>
    <row r="377" customHeight="1" spans="1:9">
      <c r="A377" s="2"/>
      <c r="B377" s="2" t="str">
        <f>IFERROR(__xludf.DUMMYFUNCTION("IF(A377&lt;&gt;"""", GOOGLETRANSLATE(A377, ""en"", ""te""),"""")"),"")</f>
        <v/>
      </c>
      <c r="C377" s="2"/>
      <c r="D377" s="2" t="str">
        <f>IFERROR(__xludf.DUMMYFUNCTION("IF(C377&lt;&gt;"""", GOOGLETRANSLATE(C377, ""en"", ""te""),"""")"),"")</f>
        <v/>
      </c>
      <c r="E377" s="2"/>
      <c r="F377" s="2" t="str">
        <f>IFERROR(__xludf.DUMMYFUNCTION("IF(E377&lt;&gt;"""", GOOGLETRANSLATE(E377, ""en"", ""te""),"""")"),"")</f>
        <v/>
      </c>
      <c r="G377" s="2"/>
      <c r="H377" s="2" t="str">
        <f>IFERROR(__xludf.DUMMYFUNCTION("IF(G377&lt;&gt;"""", GOOGLETRANSLATE(G377, ""en"", ""te""),"""")"),"")</f>
        <v/>
      </c>
      <c r="I377" s="3"/>
    </row>
    <row r="378" customHeight="1" spans="1:9">
      <c r="A378" s="2"/>
      <c r="B378" s="2" t="str">
        <f>IFERROR(__xludf.DUMMYFUNCTION("IF(A378&lt;&gt;"""", GOOGLETRANSLATE(A378, ""en"", ""te""),"""")"),"")</f>
        <v/>
      </c>
      <c r="C378" s="2"/>
      <c r="D378" s="2" t="str">
        <f>IFERROR(__xludf.DUMMYFUNCTION("IF(C378&lt;&gt;"""", GOOGLETRANSLATE(C378, ""en"", ""te""),"""")"),"")</f>
        <v/>
      </c>
      <c r="E378" s="2"/>
      <c r="F378" s="2" t="str">
        <f>IFERROR(__xludf.DUMMYFUNCTION("IF(E378&lt;&gt;"""", GOOGLETRANSLATE(E378, ""en"", ""te""),"""")"),"")</f>
        <v/>
      </c>
      <c r="G378" s="2"/>
      <c r="H378" s="2" t="str">
        <f>IFERROR(__xludf.DUMMYFUNCTION("IF(G378&lt;&gt;"""", GOOGLETRANSLATE(G378, ""en"", ""te""),"""")"),"")</f>
        <v/>
      </c>
      <c r="I378" s="3"/>
    </row>
    <row r="379" customHeight="1" spans="1:9">
      <c r="A379" s="2"/>
      <c r="B379" s="2" t="str">
        <f>IFERROR(__xludf.DUMMYFUNCTION("IF(A379&lt;&gt;"""", GOOGLETRANSLATE(A379, ""en"", ""te""),"""")"),"")</f>
        <v/>
      </c>
      <c r="C379" s="2"/>
      <c r="D379" s="2" t="str">
        <f>IFERROR(__xludf.DUMMYFUNCTION("IF(C379&lt;&gt;"""", GOOGLETRANSLATE(C379, ""en"", ""te""),"""")"),"")</f>
        <v/>
      </c>
      <c r="E379" s="2"/>
      <c r="F379" s="2" t="str">
        <f>IFERROR(__xludf.DUMMYFUNCTION("IF(E379&lt;&gt;"""", GOOGLETRANSLATE(E379, ""en"", ""te""),"""")"),"")</f>
        <v/>
      </c>
      <c r="G379" s="2"/>
      <c r="H379" s="2" t="str">
        <f>IFERROR(__xludf.DUMMYFUNCTION("IF(G379&lt;&gt;"""", GOOGLETRANSLATE(G379, ""en"", ""te""),"""")"),"")</f>
        <v/>
      </c>
      <c r="I379" s="3"/>
    </row>
    <row r="380" customHeight="1" spans="1:9">
      <c r="A380" s="2" t="s">
        <v>285</v>
      </c>
      <c r="B380" s="2" t="str">
        <f>IFERROR(__xludf.DUMMYFUNCTION("IF(A380&lt;&gt;"""", GOOGLETRANSLATE(A380, ""en"", ""te""),"""")"),"[ '(3) ఒక సిరీస్లో 6 వ అత్యంత బాతులు' 'ఇన్నింగ్స్ లో 2 వ అత్యధిక క్యాచ్లు (4)', '1000 పరుగులు, 50 వికెట్లు, 50 క్యాచ్లు', '6 వ అత్యధిక పరుగులు ఇన్నింగ్స్ లో (బ్యాటింగ్ స్థానం) (75 *) ',' ఒక డక్ లేకుండా 10 వ వరుస ఇన్నింగ్స్ (52) ',' ఒక కెప్టెన్తో ఒక ఇన్నిం"&amp;"గ్స్ లో 4 వ ఉత్తమ బొమ్మలు (4) ',' ఆరవ వికెట్ (84 9th అత్యధిక భాగస్వామ్యం) ']")</f>
        <v>[ '(3) ఒక సిరీస్లో 6 వ అత్యంత బాతులు' 'ఇన్నింగ్స్ లో 2 వ అత్యధిక క్యాచ్లు (4)', '1000 పరుగులు, 50 వికెట్లు, 50 క్యాచ్లు', '6 వ అత్యధిక పరుగులు ఇన్నింగ్స్ లో (బ్యాటింగ్ స్థానం) (75 *) ',' ఒక డక్ లేకుండా 10 వ వరుస ఇన్నింగ్స్ (52) ',' ఒక కెప్టెన్తో ఒక ఇన్నింగ్స్ లో 4 వ ఉత్తమ బొమ్మలు (4) ',' ఆరవ వికెట్ (84 9th అత్యధిక భాగస్వామ్యం) ']</v>
      </c>
      <c r="C380" s="2"/>
      <c r="D380" s="2" t="str">
        <f>IFERROR(__xludf.DUMMYFUNCTION("IF(C380&lt;&gt;"""", GOOGLETRANSLATE(C380, ""en"", ""te""),"""")"),"")</f>
        <v/>
      </c>
      <c r="E380" s="2" t="s">
        <v>286</v>
      </c>
      <c r="F380" s="2" t="str">
        <f>IFERROR(__xludf.DUMMYFUNCTION("IF(E380&lt;&gt;"""", GOOGLETRANSLATE(E380, ""en"", ""te""),"""")"),"[ '11 వ ఇన్నింగ్స్ లో అత్యధిక పరుగులు (బ్యాటింగ్ స్థానంలో ప్రకారం) (119)', '6 వ ఒక సిరీస్లో అత్యధిక బాతులు (3)', '23 వ కెరీర్ లో వచ్చిన ఎక్కువ సిక్స్ (127)', '22 వ ఇన్నింగ్స్ లో వచ్చిన ఎక్కువ సిక్స్ (10 ) ',' 37 వ చెత్త కెరీర్లో ఆర్థిక రేటు (5.71) ',' 2 వ"&amp;" ఇన్నింగ్స్ లో అత్యధిక క్యాచ్లు (4) ',' 12 వ ఒక సిరీస్లో అత్యధిక క్యాచ్లు (9) ',' ఏడవ వికెట్ (102 కోసం 43 వ అత్యధిక భాగస్వామ్యం) ' 'తొమ్మిదవ వికెట్ (64) 50 వ అత్యధిక భాగస్వామ్యం']")</f>
        <v>[ '11 వ ఇన్నింగ్స్ లో అత్యధిక పరుగులు (బ్యాటింగ్ స్థానంలో ప్రకారం) (119)', '6 వ ఒక సిరీస్లో అత్యధిక బాతులు (3)', '23 వ కెరీర్ లో వచ్చిన ఎక్కువ సిక్స్ (127)', '22 వ ఇన్నింగ్స్ లో వచ్చిన ఎక్కువ సిక్స్ (10 ) ',' 37 వ చెత్త కెరీర్లో ఆర్థిక రేటు (5.71) ',' 2 వ ఇన్నింగ్స్ లో అత్యధిక క్యాచ్లు (4) ',' 12 వ ఒక సిరీస్లో అత్యధిక క్యాచ్లు (9) ',' ఏడవ వికెట్ (102 కోసం 43 వ అత్యధిక భాగస్వామ్యం) ' 'తొమ్మిదవ వికెట్ (64) 50 వ అత్యధిక భాగస్వామ్యం']</v>
      </c>
      <c r="G380" s="2" t="s">
        <v>287</v>
      </c>
      <c r="H380" s="2" t="str">
        <f>IFERROR(__xludf.DUMMYFUNCTION("IF(G380&lt;&gt;"""", GOOGLETRANSLATE(G380, ""en"", ""te""),"""")"),"[ '47 వ కెరీర్ లో అత్యధిక పరుగులు (1277)', 'ఇన్నింగ్స్ లో 6 వ అత్యధిక పరుగులు (బ్యాటింగ్ స్థానంలో ద్వారా) (75 *)', 'ఒక కెప్టెన్తో ఇన్నింగ్స్ లో 49 వ అత్యధిక పరుగులు (75 *)', '49 వ అత్యధిక కెరీర్ సమ్మె రేటు (137.31) ',' 13 వ అత్యధిక ఇన్నింగ్స్ లో సమ్మె రేట"&amp;"ు (345.45) ',' ఒక డక్ లేకుండా 10 వ వరుస ఇన్నింగ్స్ కెరీర్లో (52) ',' 16 వ అతి తక్కువ బాతులు (32.5) ',' 11 వ కెరీర్ లో వచ్చిన ఎక్కువ సిక్స్ (85) ',' 30 వ ఇన్నింగ్స్ లో వచ్చిన ఎక్కువ సిక్స్ (8) ',' ఒక కెప్టెన్తో ఒక ఇన్నింగ్స్ లో 4 వ ఉత్తమ బొమ్మలు (4) ',' 16"&amp;" వ చెత్త కెరీర్లో ఆర్థిక రేటు (8.48) ',' 34 వ అత్యధిక వికెట్లు ఆకర్షించింది తీసుకున్న ( 34) ',' 14 వ అత్యధిక వికెట్లు ఆకర్షించింది తీసుకున్న మరియు బౌల్డ్ (3) ',' 33 వ అత్యధిక వికెట్లు ఒక ఫీల్డర్ చేత క్యాచ్ తీసుకున్న (28) ',' 33 వ అత్యధిక వికెట్లు ఒక వికెట"&amp;"్ కీపర్ చే కాట్ తీసుకోకూడదు (6) ',' 15 వ అత్యధిక క్యాచ్లు లో కెరీర్ (37) ',' ఆరవ వికెట్కు 9 వ అత్యధిక భాగస్వామ్యం (84) ',' ఎనిమిదవ వికెట్ (34 *) కోసం 46 వ అత్యధిక భాగస్వామ్యం ',' 23 వ కెరీర్ లో అత్యధిక మ్యాచ్లు (79) ',' 22 వ లాంగెస్ట్ కెరీర్లు (12y 260d) "&amp;"',' 44 వ అత్యంత కెప్టెన్ (17 మ్యాచ్లు) ']")</f>
        <v>[ '47 వ కెరీర్ లో అత్యధిక పరుగులు (1277)', 'ఇన్నింగ్స్ లో 6 వ అత్యధిక పరుగులు (బ్యాటింగ్ స్థానంలో ద్వారా) (75 *)', 'ఒక కెప్టెన్తో ఇన్నింగ్స్ లో 49 వ అత్యధిక పరుగులు (75 *)', '49 వ అత్యధిక కెరీర్ సమ్మె రేటు (137.31) ',' 13 వ అత్యధిక ఇన్నింగ్స్ లో సమ్మె రేటు (345.45) ',' ఒక డక్ లేకుండా 10 వ వరుస ఇన్నింగ్స్ కెరీర్లో (52) ',' 16 వ అతి తక్కువ బాతులు (32.5) ',' 11 వ కెరీర్ లో వచ్చిన ఎక్కువ సిక్స్ (85) ',' 30 వ ఇన్నింగ్స్ లో వచ్చిన ఎక్కువ సిక్స్ (8) ',' ఒక కెప్టెన్తో ఒక ఇన్నింగ్స్ లో 4 వ ఉత్తమ బొమ్మలు (4) ',' 16 వ చెత్త కెరీర్లో ఆర్థిక రేటు (8.48) ',' 34 వ అత్యధిక వికెట్లు ఆకర్షించింది తీసుకున్న ( 34) ',' 14 వ అత్యధిక వికెట్లు ఆకర్షించింది తీసుకున్న మరియు బౌల్డ్ (3) ',' 33 వ అత్యధిక వికెట్లు ఒక ఫీల్డర్ చేత క్యాచ్ తీసుకున్న (28) ',' 33 వ అత్యధిక వికెట్లు ఒక వికెట్ కీపర్ చే కాట్ తీసుకోకూడదు (6) ',' 15 వ అత్యధిక క్యాచ్లు లో కెరీర్ (37) ',' ఆరవ వికెట్కు 9 వ అత్యధిక భాగస్వామ్యం (84) ',' ఎనిమిదవ వికెట్ (34 *) కోసం 46 వ అత్యధిక భాగస్వామ్యం ',' 23 వ కెరీర్ లో అత్యధిక మ్యాచ్లు (79) ',' 22 వ లాంగెస్ట్ కెరీర్లు (12y 260d) ',' 44 వ అత్యంత కెప్టెన్ (17 మ్యాచ్లు) ']</v>
      </c>
      <c r="I380" s="3"/>
    </row>
    <row r="381" customHeight="1" spans="1:9">
      <c r="A381" s="2"/>
      <c r="B381" s="2" t="str">
        <f>IFERROR(__xludf.DUMMYFUNCTION("IF(A381&lt;&gt;"""", GOOGLETRANSLATE(A381, ""en"", ""te""),"""")"),"")</f>
        <v/>
      </c>
      <c r="C381" s="2"/>
      <c r="D381" s="2" t="str">
        <f>IFERROR(__xludf.DUMMYFUNCTION("IF(C381&lt;&gt;"""", GOOGLETRANSLATE(C381, ""en"", ""te""),"""")"),"")</f>
        <v/>
      </c>
      <c r="E381" s="2"/>
      <c r="F381" s="2" t="str">
        <f>IFERROR(__xludf.DUMMYFUNCTION("IF(E381&lt;&gt;"""", GOOGLETRANSLATE(E381, ""en"", ""te""),"""")"),"")</f>
        <v/>
      </c>
      <c r="G381" s="2"/>
      <c r="H381" s="2" t="str">
        <f>IFERROR(__xludf.DUMMYFUNCTION("IF(G381&lt;&gt;"""", GOOGLETRANSLATE(G381, ""en"", ""te""),"""")"),"")</f>
        <v/>
      </c>
      <c r="I381" s="3"/>
    </row>
    <row r="382" customHeight="1" spans="1:9">
      <c r="A382" s="2"/>
      <c r="B382" s="2" t="str">
        <f>IFERROR(__xludf.DUMMYFUNCTION("IF(A382&lt;&gt;"""", GOOGLETRANSLATE(A382, ""en"", ""te""),"""")"),"")</f>
        <v/>
      </c>
      <c r="C382" s="2" t="s">
        <v>288</v>
      </c>
      <c r="D382" s="2" t="str">
        <f>IFERROR(__xludf.DUMMYFUNCTION("IF(C382&lt;&gt;"""", GOOGLETRANSLATE(C382, ""en"", ""te""),"""")"),"[ 'తొలి 27 తొంభై (94)']")</f>
        <v>[ 'తొలి 27 తొంభై (94)']</v>
      </c>
      <c r="E382" s="2"/>
      <c r="F382" s="2" t="str">
        <f>IFERROR(__xludf.DUMMYFUNCTION("IF(E382&lt;&gt;"""", GOOGLETRANSLATE(E382, ""en"", ""te""),"""")"),"")</f>
        <v/>
      </c>
      <c r="G382" s="2"/>
      <c r="H382" s="2" t="str">
        <f>IFERROR(__xludf.DUMMYFUNCTION("IF(G382&lt;&gt;"""", GOOGLETRANSLATE(G382, ""en"", ""te""),"""")"),"")</f>
        <v/>
      </c>
      <c r="I382" s="3"/>
    </row>
    <row r="383" customHeight="1" spans="1:9">
      <c r="A383" s="2"/>
      <c r="B383" s="2" t="str">
        <f>IFERROR(__xludf.DUMMYFUNCTION("IF(A383&lt;&gt;"""", GOOGLETRANSLATE(A383, ""en"", ""te""),"""")"),"")</f>
        <v/>
      </c>
      <c r="C383" s="2" t="s">
        <v>289</v>
      </c>
      <c r="D383" s="2" t="str">
        <f>IFERROR(__xludf.DUMMYFUNCTION("IF(C383&lt;&gt;"""", GOOGLETRANSLATE(C383, ""en"", ""te""),"""")"),"[ '27 చెత్త కెరీర్లో ఆర్థిక రేటు (3.57)']")</f>
        <v>[ '27 చెత్త కెరీర్లో ఆర్థిక రేటు (3.57)']</v>
      </c>
      <c r="E383" s="2" t="s">
        <v>290</v>
      </c>
      <c r="F383" s="2" t="str">
        <f>IFERROR(__xludf.DUMMYFUNCTION("IF(E383&lt;&gt;"""", GOOGLETRANSLATE(E383, ""en"", ""te""),"""")"),"[ '49 వ ఇన్నింగ్స్ లో బెస్ట్ ఫిగర్స్ (6/29)', '25 వ బౌలర్ / బ్యాట్స్ కలయికలు (8)', '11 వ 50 వికెట్లు వేగంగా (26)']")</f>
        <v>[ '49 వ ఇన్నింగ్స్ లో బెస్ట్ ఫిగర్స్ (6/29)', '25 వ బౌలర్ / బ్యాట్స్ కలయికలు (8)', '11 వ 50 వికెట్లు వేగంగా (26)']</v>
      </c>
      <c r="G383" s="2"/>
      <c r="H383" s="2" t="str">
        <f>IFERROR(__xludf.DUMMYFUNCTION("IF(G383&lt;&gt;"""", GOOGLETRANSLATE(G383, ""en"", ""te""),"""")"),"")</f>
        <v/>
      </c>
      <c r="I383" s="3"/>
    </row>
    <row r="384" customHeight="1" spans="1:9">
      <c r="A384" s="2"/>
      <c r="B384" s="2" t="str">
        <f>IFERROR(__xludf.DUMMYFUNCTION("IF(A384&lt;&gt;"""", GOOGLETRANSLATE(A384, ""en"", ""te""),"""")"),"")</f>
        <v/>
      </c>
      <c r="C384" s="2"/>
      <c r="D384" s="2" t="str">
        <f>IFERROR(__xludf.DUMMYFUNCTION("IF(C384&lt;&gt;"""", GOOGLETRANSLATE(C384, ""en"", ""te""),"""")"),"")</f>
        <v/>
      </c>
      <c r="E384" s="2"/>
      <c r="F384" s="2" t="str">
        <f>IFERROR(__xludf.DUMMYFUNCTION("IF(E384&lt;&gt;"""", GOOGLETRANSLATE(E384, ""en"", ""te""),"""")"),"")</f>
        <v/>
      </c>
      <c r="G384" s="2"/>
      <c r="H384" s="2" t="str">
        <f>IFERROR(__xludf.DUMMYFUNCTION("IF(G384&lt;&gt;"""", GOOGLETRANSLATE(G384, ""en"", ""te""),"""")"),"")</f>
        <v/>
      </c>
      <c r="I384" s="3"/>
    </row>
    <row r="385" customHeight="1" spans="1:9">
      <c r="A385" s="2" t="s">
        <v>291</v>
      </c>
      <c r="B385" s="2" t="str">
        <f>IFERROR(__xludf.DUMMYFUNCTION("IF(A385&lt;&gt;"""", GOOGLETRANSLATE(A385, ""en"", ""te""),"""")"),"[ 'ఇన్నింగ్స్ లో 8 వ అత్యధిక పరుగులు (బ్యాటింగ్ స్థానంలో ప్రకారం) (48 *)', '4 వ అత్యధిక వరుస బాతులు (4)']")</f>
        <v>[ 'ఇన్నింగ్స్ లో 8 వ అత్యధిక పరుగులు (బ్యాటింగ్ స్థానంలో ప్రకారం) (48 *)', '4 వ అత్యధిక వరుస బాతులు (4)']</v>
      </c>
      <c r="C385" s="2" t="s">
        <v>292</v>
      </c>
      <c r="D385" s="2" t="str">
        <f>IFERROR(__xludf.DUMMYFUNCTION("IF(C385&lt;&gt;"""", GOOGLETRANSLATE(C385, ""en"", ""te""),"""")"),"[ '47 వ చెత్త కెరీర్లో ఆర్థిక రేటు (3.44)']")</f>
        <v>[ '47 వ చెత్త కెరీర్లో ఆర్థిక రేటు (3.44)']</v>
      </c>
      <c r="E385" s="2" t="s">
        <v>293</v>
      </c>
      <c r="F385" s="2" t="str">
        <f>IFERROR(__xludf.DUMMYFUNCTION("IF(E385&lt;&gt;"""", GOOGLETRANSLATE(E385, ""en"", ""te""),"""")"),"[ '8 వ ఎక్కువ (48 *) ఒక ఇన్నింగ్స్ లో నడుస్తుంది (బ్యాటింగ్ స్థానం)']")</f>
        <v>[ '8 వ ఎక్కువ (48 *) ఒక ఇన్నింగ్స్ లో నడుస్తుంది (బ్యాటింగ్ స్థానం)']</v>
      </c>
      <c r="G385" s="2"/>
      <c r="H385" s="2" t="str">
        <f>IFERROR(__xludf.DUMMYFUNCTION("IF(G385&lt;&gt;"""", GOOGLETRANSLATE(G385, ""en"", ""te""),"""")"),"")</f>
        <v/>
      </c>
      <c r="I385" s="3"/>
    </row>
    <row r="386" customHeight="1" spans="1:9">
      <c r="A386" s="2"/>
      <c r="B386" s="2" t="str">
        <f>IFERROR(__xludf.DUMMYFUNCTION("IF(A386&lt;&gt;"""", GOOGLETRANSLATE(A386, ""en"", ""te""),"""")"),"")</f>
        <v/>
      </c>
      <c r="C386" s="2"/>
      <c r="D386" s="2" t="str">
        <f>IFERROR(__xludf.DUMMYFUNCTION("IF(C386&lt;&gt;"""", GOOGLETRANSLATE(C386, ""en"", ""te""),"""")"),"")</f>
        <v/>
      </c>
      <c r="E386" s="2" t="s">
        <v>294</v>
      </c>
      <c r="F386" s="2" t="str">
        <f>IFERROR(__xludf.DUMMYFUNCTION("IF(E386&lt;&gt;"""", GOOGLETRANSLATE(E386, ""en"", ""te""),"""")"),"[ '13 వ అత్యధిక కెరీర్ బ్యాటింగ్ సగటు (49.10)', '17 వ అత్యధిక కెరీర్ సమ్మె రేటు (106.62)']")</f>
        <v>[ '13 వ అత్యధిక కెరీర్ బ్యాటింగ్ సగటు (49.10)', '17 వ అత్యధిక కెరీర్ సమ్మె రేటు (106.62)']</v>
      </c>
      <c r="G386" s="2" t="s">
        <v>295</v>
      </c>
      <c r="H386" s="2" t="str">
        <f>IFERROR(__xludf.DUMMYFUNCTION("IF(G386&lt;&gt;"""", GOOGLETRANSLATE(G386, ""en"", ""te""),"""")"),"[ 'మొదటి డక్ (15) ముందు 49 వ అత్యంత ఇన్నింగ్స్' '34 వ కెరీర్ లో అత్యధిక క్యాచ్లు (12)', 'ఇన్నింగ్స్ లో 32 వ అత్యంత సాధించిన బైస్ (5)', '13 వ ఇన్నింగ్స్ (3) లో అత్యధిక క్యాచ్లు']")</f>
        <v>[ 'మొదటి డక్ (15) ముందు 49 వ అత్యంత ఇన్నింగ్స్' '34 వ కెరీర్ లో అత్యధిక క్యాచ్లు (12)', 'ఇన్నింగ్స్ లో 32 వ అత్యంత సాధించిన బైస్ (5)', '13 వ ఇన్నింగ్స్ (3) లో అత్యధిక క్యాచ్లు']</v>
      </c>
      <c r="I386" s="3"/>
    </row>
    <row r="387" customHeight="1" spans="1:9">
      <c r="A387" s="2" t="s">
        <v>296</v>
      </c>
      <c r="B387" s="2" t="str">
        <f>IFERROR(__xludf.DUMMYFUNCTION("IF(A387&lt;&gt;"""", GOOGLETRANSLATE(A387, ""en"", ""te""),"""")"),"[ 'ఒక మ్యాచ్లో ప్రతి ఇన్నింగ్స్లో హండ్రెడ్']")</f>
        <v>[ 'ఒక మ్యాచ్లో ప్రతి ఇన్నింగ్స్లో హండ్రెడ్']</v>
      </c>
      <c r="C387" s="2"/>
      <c r="D387" s="2" t="str">
        <f>IFERROR(__xludf.DUMMYFUNCTION("IF(C387&lt;&gt;"""", GOOGLETRANSLATE(C387, ""en"", ""te""),"""")"),"")</f>
        <v/>
      </c>
      <c r="E387" s="2"/>
      <c r="F387" s="2" t="str">
        <f>IFERROR(__xludf.DUMMYFUNCTION("IF(E387&lt;&gt;"""", GOOGLETRANSLATE(E387, ""en"", ""te""),"""")"),"")</f>
        <v/>
      </c>
      <c r="G387" s="2"/>
      <c r="H387" s="2" t="str">
        <f>IFERROR(__xludf.DUMMYFUNCTION("IF(G387&lt;&gt;"""", GOOGLETRANSLATE(G387, ""en"", ""te""),"""")"),"")</f>
        <v/>
      </c>
      <c r="I387" s="3"/>
    </row>
    <row r="388" customHeight="1" spans="1:9">
      <c r="A388" s="2"/>
      <c r="B388" s="2" t="str">
        <f>IFERROR(__xludf.DUMMYFUNCTION("IF(A388&lt;&gt;"""", GOOGLETRANSLATE(A388, ""en"", ""te""),"""")"),"")</f>
        <v/>
      </c>
      <c r="C388" s="2"/>
      <c r="D388" s="2" t="str">
        <f>IFERROR(__xludf.DUMMYFUNCTION("IF(C388&lt;&gt;"""", GOOGLETRANSLATE(C388, ""en"", ""te""),"""")"),"")</f>
        <v/>
      </c>
      <c r="E388" s="2"/>
      <c r="F388" s="2" t="str">
        <f>IFERROR(__xludf.DUMMYFUNCTION("IF(E388&lt;&gt;"""", GOOGLETRANSLATE(E388, ""en"", ""te""),"""")"),"")</f>
        <v/>
      </c>
      <c r="G388" s="2"/>
      <c r="H388" s="2" t="str">
        <f>IFERROR(__xludf.DUMMYFUNCTION("IF(G388&lt;&gt;"""", GOOGLETRANSLATE(G388, ""en"", ""te""),"""")"),"")</f>
        <v/>
      </c>
      <c r="I388" s="3"/>
    </row>
    <row r="389" customHeight="1" spans="1:9">
      <c r="A389" s="2"/>
      <c r="B389" s="2" t="str">
        <f>IFERROR(__xludf.DUMMYFUNCTION("IF(A389&lt;&gt;"""", GOOGLETRANSLATE(A389, ""en"", ""te""),"""")"),"")</f>
        <v/>
      </c>
      <c r="C389" s="2"/>
      <c r="D389" s="2" t="str">
        <f>IFERROR(__xludf.DUMMYFUNCTION("IF(C389&lt;&gt;"""", GOOGLETRANSLATE(C389, ""en"", ""te""),"""")"),"")</f>
        <v/>
      </c>
      <c r="E389" s="2"/>
      <c r="F389" s="2" t="str">
        <f>IFERROR(__xludf.DUMMYFUNCTION("IF(E389&lt;&gt;"""", GOOGLETRANSLATE(E389, ""en"", ""te""),"""")"),"")</f>
        <v/>
      </c>
      <c r="G389" s="2"/>
      <c r="H389" s="2" t="str">
        <f>IFERROR(__xludf.DUMMYFUNCTION("IF(G389&lt;&gt;"""", GOOGLETRANSLATE(G389, ""en"", ""te""),"""")"),"")</f>
        <v/>
      </c>
      <c r="I389" s="3"/>
    </row>
    <row r="390" customHeight="1" spans="1:9">
      <c r="A390" s="2"/>
      <c r="B390" s="2" t="str">
        <f>IFERROR(__xludf.DUMMYFUNCTION("IF(A390&lt;&gt;"""", GOOGLETRANSLATE(A390, ""en"", ""te""),"""")"),"")</f>
        <v/>
      </c>
      <c r="C390" s="2"/>
      <c r="D390" s="2" t="str">
        <f>IFERROR(__xludf.DUMMYFUNCTION("IF(C390&lt;&gt;"""", GOOGLETRANSLATE(C390, ""en"", ""te""),"""")"),"")</f>
        <v/>
      </c>
      <c r="E390" s="2" t="s">
        <v>297</v>
      </c>
      <c r="F390" s="2" t="str">
        <f>IFERROR(__xludf.DUMMYFUNCTION("IF(E390&lt;&gt;"""", GOOGLETRANSLATE(E390, ""en"", ""te""),"""")"),"[ '15 వ చెత్త కెరీర్ బౌలింగ్ సరాసరి (అర్హత లేకుండా) (158.00)']")</f>
        <v>[ '15 వ చెత్త కెరీర్ బౌలింగ్ సరాసరి (అర్హత లేకుండా) (158.00)']</v>
      </c>
      <c r="G390" s="2"/>
      <c r="H390" s="2" t="str">
        <f>IFERROR(__xludf.DUMMYFUNCTION("IF(G390&lt;&gt;"""", GOOGLETRANSLATE(G390, ""en"", ""te""),"""")"),"")</f>
        <v/>
      </c>
      <c r="I390" s="3"/>
    </row>
    <row r="391" customHeight="1" spans="1:9">
      <c r="A391" s="2"/>
      <c r="B391" s="2" t="str">
        <f>IFERROR(__xludf.DUMMYFUNCTION("IF(A391&lt;&gt;"""", GOOGLETRANSLATE(A391, ""en"", ""te""),"""")"),"")</f>
        <v/>
      </c>
      <c r="C391" s="2"/>
      <c r="D391" s="2" t="str">
        <f>IFERROR(__xludf.DUMMYFUNCTION("IF(C391&lt;&gt;"""", GOOGLETRANSLATE(C391, ""en"", ""te""),"""")"),"")</f>
        <v/>
      </c>
      <c r="E391" s="2"/>
      <c r="F391" s="2" t="str">
        <f>IFERROR(__xludf.DUMMYFUNCTION("IF(E391&lt;&gt;"""", GOOGLETRANSLATE(E391, ""en"", ""te""),"""")"),"")</f>
        <v/>
      </c>
      <c r="G391" s="2"/>
      <c r="H391" s="2" t="str">
        <f>IFERROR(__xludf.DUMMYFUNCTION("IF(G391&lt;&gt;"""", GOOGLETRANSLATE(G391, ""en"", ""te""),"""")"),"")</f>
        <v/>
      </c>
      <c r="I391" s="3"/>
    </row>
    <row r="392" customHeight="1" spans="1:9">
      <c r="A392" s="2" t="s">
        <v>298</v>
      </c>
      <c r="B392" s="2" t="str">
        <f>IFERROR(__xludf.DUMMYFUNCTION("IF(A392&lt;&gt;"""", GOOGLETRANSLATE(A392, ""en"", ""te""),"""")"),"[ '5 వ అత్యధిక పరుగులు ఇన్నింగ్స్ (64) లో సాధించిన]")</f>
        <v>[ '5 వ అత్యధిక పరుగులు ఇన్నింగ్స్ (64) లో సాధించిన]</v>
      </c>
      <c r="C392" s="2"/>
      <c r="D392" s="2" t="str">
        <f>IFERROR(__xludf.DUMMYFUNCTION("IF(C392&lt;&gt;"""", GOOGLETRANSLATE(C392, ""en"", ""te""),"""")"),"")</f>
        <v/>
      </c>
      <c r="E392" s="2"/>
      <c r="F392" s="2" t="str">
        <f>IFERROR(__xludf.DUMMYFUNCTION("IF(E392&lt;&gt;"""", GOOGLETRANSLATE(E392, ""en"", ""te""),"""")"),"")</f>
        <v/>
      </c>
      <c r="G392" s="2" t="s">
        <v>299</v>
      </c>
      <c r="H392" s="2" t="str">
        <f>IFERROR(__xludf.DUMMYFUNCTION("IF(G392&lt;&gt;"""", GOOGLETRANSLATE(G392, ""en"", ""te""),"""")"),"[ '14 వ ఇన్నింగ్స్ లో అత్యధిక పరుగులు (బ్యాటింగ్ స్థానంలో ద్వారా) (29)', '20 వ ఇన్నింగ్స్ లో బెస్ట్ ఫిగర్స్ (5/15)', 'ఇన్నింగ్స్ లో 15 వ అత్యుత్తమ బౌలింగ్ విశ్లేషణలు (5/15)', 'చాలా 5 వ ఒక ఇన్నింగ్స్ లో సాధించిన పరుగులు (64) ',' 17 వ బౌలర్ / బ్యాట్స్ కలయిక"&amp;"లు (3) ',' పదవ వికెట్కు 17 అత్యధిక భాగస్వామ్యం (22 *) ']")</f>
        <v>[ '14 వ ఇన్నింగ్స్ లో అత్యధిక పరుగులు (బ్యాటింగ్ స్థానంలో ద్వారా) (29)', '20 వ ఇన్నింగ్స్ లో బెస్ట్ ఫిగర్స్ (5/15)', 'ఇన్నింగ్స్ లో 15 వ అత్యుత్తమ బౌలింగ్ విశ్లేషణలు (5/15)', 'చాలా 5 వ ఒక ఇన్నింగ్స్ లో సాధించిన పరుగులు (64) ',' 17 వ బౌలర్ / బ్యాట్స్ కలయికలు (3) ',' పదవ వికెట్కు 17 అత్యధిక భాగస్వామ్యం (22 *) ']</v>
      </c>
      <c r="I392" s="3"/>
    </row>
    <row r="393" customHeight="1" spans="1:9">
      <c r="A393" s="2"/>
      <c r="B393" s="2" t="str">
        <f>IFERROR(__xludf.DUMMYFUNCTION("IF(A393&lt;&gt;"""", GOOGLETRANSLATE(A393, ""en"", ""te""),"""")"),"")</f>
        <v/>
      </c>
      <c r="C393" s="2"/>
      <c r="D393" s="2" t="str">
        <f>IFERROR(__xludf.DUMMYFUNCTION("IF(C393&lt;&gt;"""", GOOGLETRANSLATE(C393, ""en"", ""te""),"""")"),"")</f>
        <v/>
      </c>
      <c r="E393" s="2"/>
      <c r="F393" s="2" t="str">
        <f>IFERROR(__xludf.DUMMYFUNCTION("IF(E393&lt;&gt;"""", GOOGLETRANSLATE(E393, ""en"", ""te""),"""")"),"")</f>
        <v/>
      </c>
      <c r="G393" s="2"/>
      <c r="H393" s="2" t="str">
        <f>IFERROR(__xludf.DUMMYFUNCTION("IF(G393&lt;&gt;"""", GOOGLETRANSLATE(G393, ""en"", ""te""),"""")"),"")</f>
        <v/>
      </c>
      <c r="I393" s="3"/>
    </row>
    <row r="394" customHeight="1" spans="1:9">
      <c r="A394" s="2"/>
      <c r="B394" s="2" t="str">
        <f>IFERROR(__xludf.DUMMYFUNCTION("IF(A394&lt;&gt;"""", GOOGLETRANSLATE(A394, ""en"", ""te""),"""")"),"")</f>
        <v/>
      </c>
      <c r="C394" s="2"/>
      <c r="D394" s="2" t="str">
        <f>IFERROR(__xludf.DUMMYFUNCTION("IF(C394&lt;&gt;"""", GOOGLETRANSLATE(C394, ""en"", ""te""),"""")"),"")</f>
        <v/>
      </c>
      <c r="E394" s="2"/>
      <c r="F394" s="2" t="str">
        <f>IFERROR(__xludf.DUMMYFUNCTION("IF(E394&lt;&gt;"""", GOOGLETRANSLATE(E394, ""en"", ""te""),"""")"),"")</f>
        <v/>
      </c>
      <c r="G394" s="2"/>
      <c r="H394" s="2" t="str">
        <f>IFERROR(__xludf.DUMMYFUNCTION("IF(G394&lt;&gt;"""", GOOGLETRANSLATE(G394, ""en"", ""te""),"""")"),"")</f>
        <v/>
      </c>
      <c r="I394" s="3"/>
    </row>
    <row r="395" customHeight="1" spans="1:9">
      <c r="A395" s="2"/>
      <c r="B395" s="2" t="str">
        <f>IFERROR(__xludf.DUMMYFUNCTION("IF(A395&lt;&gt;"""", GOOGLETRANSLATE(A395, ""en"", ""te""),"""")"),"")</f>
        <v/>
      </c>
      <c r="C395" s="2"/>
      <c r="D395" s="2" t="str">
        <f>IFERROR(__xludf.DUMMYFUNCTION("IF(C395&lt;&gt;"""", GOOGLETRANSLATE(C395, ""en"", ""te""),"""")"),"")</f>
        <v/>
      </c>
      <c r="E395" s="2"/>
      <c r="F395" s="2" t="str">
        <f>IFERROR(__xludf.DUMMYFUNCTION("IF(E395&lt;&gt;"""", GOOGLETRANSLATE(E395, ""en"", ""te""),"""")"),"")</f>
        <v/>
      </c>
      <c r="G395" s="2"/>
      <c r="H395" s="2" t="str">
        <f>IFERROR(__xludf.DUMMYFUNCTION("IF(G395&lt;&gt;"""", GOOGLETRANSLATE(G395, ""en"", ""te""),"""")"),"")</f>
        <v/>
      </c>
      <c r="I395" s="3"/>
    </row>
    <row r="396" customHeight="1" spans="1:9">
      <c r="A396" s="2" t="s">
        <v>300</v>
      </c>
      <c r="B396" s="2" t="str">
        <f>IFERROR(__xludf.DUMMYFUNCTION("IF(A396&lt;&gt;"""", GOOGLETRANSLATE(A396, ""en"", ""te""),"""")"),"[ 'ప్రవేశం (115) పై వంద']")</f>
        <v>[ 'ప్రవేశం (115) పై వంద']</v>
      </c>
      <c r="C396" s="2" t="s">
        <v>301</v>
      </c>
      <c r="D396" s="2" t="str">
        <f>IFERROR(__xludf.DUMMYFUNCTION("IF(C396&lt;&gt;"""", GOOGLETRANSLATE(C396, ""en"", ""te""),"""")"),"[ '17 వ పురాతన దేశం ఆటగాళ్ళు (90y 48d)']")</f>
        <v>[ '17 వ పురాతన దేశం ఆటగాళ్ళు (90y 48d)']</v>
      </c>
      <c r="E396" s="2"/>
      <c r="F396" s="2" t="str">
        <f>IFERROR(__xludf.DUMMYFUNCTION("IF(E396&lt;&gt;"""", GOOGLETRANSLATE(E396, ""en"", ""te""),"""")"),"")</f>
        <v/>
      </c>
      <c r="G396" s="2"/>
      <c r="H396" s="2" t="str">
        <f>IFERROR(__xludf.DUMMYFUNCTION("IF(G396&lt;&gt;"""", GOOGLETRANSLATE(G396, ""en"", ""te""),"""")"),"")</f>
        <v/>
      </c>
      <c r="I396" s="3"/>
    </row>
    <row r="397" customHeight="1" spans="1:9">
      <c r="A397" s="2"/>
      <c r="B397" s="2" t="str">
        <f>IFERROR(__xludf.DUMMYFUNCTION("IF(A397&lt;&gt;"""", GOOGLETRANSLATE(A397, ""en"", ""te""),"""")"),"")</f>
        <v/>
      </c>
      <c r="C397" s="2" t="s">
        <v>302</v>
      </c>
      <c r="D397" s="2" t="str">
        <f>IFERROR(__xludf.DUMMYFUNCTION("IF(C397&lt;&gt;"""", GOOGLETRANSLATE(C397, ""en"", ""te""),"""")"),"[ '42 వ చెత్త కెరీర్ (అర్హత లేకుండా) సగటు బౌలింగ్ (135.00)']")</f>
        <v>[ '42 వ చెత్త కెరీర్ (అర్హత లేకుండా) సగటు బౌలింగ్ (135.00)']</v>
      </c>
      <c r="E397" s="2"/>
      <c r="F397" s="2" t="str">
        <f>IFERROR(__xludf.DUMMYFUNCTION("IF(E397&lt;&gt;"""", GOOGLETRANSLATE(E397, ""en"", ""te""),"""")"),"")</f>
        <v/>
      </c>
      <c r="G397" s="2"/>
      <c r="H397" s="2" t="str">
        <f>IFERROR(__xludf.DUMMYFUNCTION("IF(G397&lt;&gt;"""", GOOGLETRANSLATE(G397, ""en"", ""te""),"""")"),"")</f>
        <v/>
      </c>
      <c r="I397" s="3"/>
    </row>
    <row r="398" customHeight="1" spans="1:9">
      <c r="A398" s="2"/>
      <c r="B398" s="2" t="str">
        <f>IFERROR(__xludf.DUMMYFUNCTION("IF(A398&lt;&gt;"""", GOOGLETRANSLATE(A398, ""en"", ""te""),"""")"),"")</f>
        <v/>
      </c>
      <c r="C398" s="2"/>
      <c r="D398" s="2" t="str">
        <f>IFERROR(__xludf.DUMMYFUNCTION("IF(C398&lt;&gt;"""", GOOGLETRANSLATE(C398, ""en"", ""te""),"""")"),"")</f>
        <v/>
      </c>
      <c r="E398" s="2"/>
      <c r="F398" s="2" t="str">
        <f>IFERROR(__xludf.DUMMYFUNCTION("IF(E398&lt;&gt;"""", GOOGLETRANSLATE(E398, ""en"", ""te""),"""")"),"")</f>
        <v/>
      </c>
      <c r="G398" s="2"/>
      <c r="H398" s="2" t="str">
        <f>IFERROR(__xludf.DUMMYFUNCTION("IF(G398&lt;&gt;"""", GOOGLETRANSLATE(G398, ""en"", ""te""),"""")"),"")</f>
        <v/>
      </c>
      <c r="I398" s="3"/>
    </row>
    <row r="399" customHeight="1" spans="1:9">
      <c r="A399" s="2"/>
      <c r="B399" s="2" t="str">
        <f>IFERROR(__xludf.DUMMYFUNCTION("IF(A399&lt;&gt;"""", GOOGLETRANSLATE(A399, ""en"", ""te""),"""")"),"")</f>
        <v/>
      </c>
      <c r="C399" s="2"/>
      <c r="D399" s="2" t="str">
        <f>IFERROR(__xludf.DUMMYFUNCTION("IF(C399&lt;&gt;"""", GOOGLETRANSLATE(C399, ""en"", ""te""),"""")"),"")</f>
        <v/>
      </c>
      <c r="E399" s="2" t="s">
        <v>303</v>
      </c>
      <c r="F399" s="2" t="str">
        <f>IFERROR(__xludf.DUMMYFUNCTION("IF(E399&lt;&gt;"""", GOOGLETRANSLATE(E399, ""en"", ""te""),"""")"),"[ '16 వ ఇన్నింగ్స్ లో అత్యధిక పరుగులు (బ్యాటింగ్ స్థానంలో ప్రకారం) (101)']")</f>
        <v>[ '16 వ ఇన్నింగ్స్ లో అత్యధిక పరుగులు (బ్యాటింగ్ స్థానంలో ప్రకారం) (101)']</v>
      </c>
      <c r="G399" s="2"/>
      <c r="H399" s="2" t="str">
        <f>IFERROR(__xludf.DUMMYFUNCTION("IF(G399&lt;&gt;"""", GOOGLETRANSLATE(G399, ""en"", ""te""),"""")"),"")</f>
        <v/>
      </c>
      <c r="I399" s="3"/>
    </row>
    <row r="400" customHeight="1" spans="1:9">
      <c r="A400" s="2"/>
      <c r="B400" s="2" t="str">
        <f>IFERROR(__xludf.DUMMYFUNCTION("IF(A400&lt;&gt;"""", GOOGLETRANSLATE(A400, ""en"", ""te""),"""")"),"")</f>
        <v/>
      </c>
      <c r="C400" s="2" t="s">
        <v>304</v>
      </c>
      <c r="D400" s="2" t="str">
        <f>IFERROR(__xludf.DUMMYFUNCTION("IF(C400&lt;&gt;"""", GOOGLETRANSLATE(C400, ""en"", ""te""),"""")"),"[ '19 అత్యుత్తమ ఇన్నింగ్స్ (5/15) విశ్లేషణలలో బౌలింగ్']")</f>
        <v>[ '19 అత్యుత్తమ ఇన్నింగ్స్ (5/15) విశ్లేషణలలో బౌలింగ్']</v>
      </c>
      <c r="E400" s="2"/>
      <c r="F400" s="2" t="str">
        <f>IFERROR(__xludf.DUMMYFUNCTION("IF(E400&lt;&gt;"""", GOOGLETRANSLATE(E400, ""en"", ""te""),"""")"),"")</f>
        <v/>
      </c>
      <c r="G400" s="2"/>
      <c r="H400" s="2" t="str">
        <f>IFERROR(__xludf.DUMMYFUNCTION("IF(G400&lt;&gt;"""", GOOGLETRANSLATE(G400, ""en"", ""te""),"""")"),"")</f>
        <v/>
      </c>
      <c r="I400" s="3"/>
    </row>
    <row r="401" customHeight="1" spans="1:9">
      <c r="A401" s="2"/>
      <c r="B401" s="2" t="str">
        <f>IFERROR(__xludf.DUMMYFUNCTION("IF(A401&lt;&gt;"""", GOOGLETRANSLATE(A401, ""en"", ""te""),"""")"),"")</f>
        <v/>
      </c>
      <c r="C401" s="2"/>
      <c r="D401" s="2" t="str">
        <f>IFERROR(__xludf.DUMMYFUNCTION("IF(C401&lt;&gt;"""", GOOGLETRANSLATE(C401, ""en"", ""te""),"""")"),"")</f>
        <v/>
      </c>
      <c r="E401" s="2"/>
      <c r="F401" s="2" t="str">
        <f>IFERROR(__xludf.DUMMYFUNCTION("IF(E401&lt;&gt;"""", GOOGLETRANSLATE(E401, ""en"", ""te""),"""")"),"")</f>
        <v/>
      </c>
      <c r="G401" s="2"/>
      <c r="H401" s="2" t="str">
        <f>IFERROR(__xludf.DUMMYFUNCTION("IF(G401&lt;&gt;"""", GOOGLETRANSLATE(G401, ""en"", ""te""),"""")"),"")</f>
        <v/>
      </c>
      <c r="I401" s="3"/>
    </row>
    <row r="402" customHeight="1" spans="1:9">
      <c r="A402" s="2"/>
      <c r="B402" s="2" t="str">
        <f>IFERROR(__xludf.DUMMYFUNCTION("IF(A402&lt;&gt;"""", GOOGLETRANSLATE(A402, ""en"", ""te""),"""")"),"")</f>
        <v/>
      </c>
      <c r="C402" s="2"/>
      <c r="D402" s="2" t="str">
        <f>IFERROR(__xludf.DUMMYFUNCTION("IF(C402&lt;&gt;"""", GOOGLETRANSLATE(C402, ""en"", ""te""),"""")"),"")</f>
        <v/>
      </c>
      <c r="E402" s="2" t="s">
        <v>305</v>
      </c>
      <c r="F402" s="2" t="str">
        <f>IFERROR(__xludf.DUMMYFUNCTION("IF(E402&lt;&gt;"""", GOOGLETRANSLATE(E402, ""en"", ""te""),"""")"),"[40 వ చెత్త కెరీర్ బౌలింగ్ సరాసరి (అర్హత లేకుండా) (71.00) ']")</f>
        <v>[40 వ చెత్త కెరీర్ బౌలింగ్ సరాసరి (అర్హత లేకుండా) (71.00) ']</v>
      </c>
      <c r="G402" s="2"/>
      <c r="H402" s="2" t="str">
        <f>IFERROR(__xludf.DUMMYFUNCTION("IF(G402&lt;&gt;"""", GOOGLETRANSLATE(G402, ""en"", ""te""),"""")"),"")</f>
        <v/>
      </c>
      <c r="I402" s="3"/>
    </row>
    <row r="403" customHeight="1" spans="1:9">
      <c r="A403" s="2"/>
      <c r="B403" s="2" t="str">
        <f>IFERROR(__xludf.DUMMYFUNCTION("IF(A403&lt;&gt;"""", GOOGLETRANSLATE(A403, ""en"", ""te""),"""")"),"")</f>
        <v/>
      </c>
      <c r="C403" s="2"/>
      <c r="D403" s="2" t="str">
        <f>IFERROR(__xludf.DUMMYFUNCTION("IF(C403&lt;&gt;"""", GOOGLETRANSLATE(C403, ""en"", ""te""),"""")"),"")</f>
        <v/>
      </c>
      <c r="E403" s="2"/>
      <c r="F403" s="2" t="str">
        <f>IFERROR(__xludf.DUMMYFUNCTION("IF(E403&lt;&gt;"""", GOOGLETRANSLATE(E403, ""en"", ""te""),"""")"),"")</f>
        <v/>
      </c>
      <c r="G403" s="2"/>
      <c r="H403" s="2" t="str">
        <f>IFERROR(__xludf.DUMMYFUNCTION("IF(G403&lt;&gt;"""", GOOGLETRANSLATE(G403, ""en"", ""te""),"""")"),"")</f>
        <v/>
      </c>
      <c r="I403" s="3"/>
    </row>
    <row r="404" customHeight="1" spans="1:9">
      <c r="A404" s="2"/>
      <c r="B404" s="2" t="str">
        <f>IFERROR(__xludf.DUMMYFUNCTION("IF(A404&lt;&gt;"""", GOOGLETRANSLATE(A404, ""en"", ""te""),"""")"),"")</f>
        <v/>
      </c>
      <c r="C404" s="2"/>
      <c r="D404" s="2" t="str">
        <f>IFERROR(__xludf.DUMMYFUNCTION("IF(C404&lt;&gt;"""", GOOGLETRANSLATE(C404, ""en"", ""te""),"""")"),"")</f>
        <v/>
      </c>
      <c r="E404" s="2"/>
      <c r="F404" s="2" t="str">
        <f>IFERROR(__xludf.DUMMYFUNCTION("IF(E404&lt;&gt;"""", GOOGLETRANSLATE(E404, ""en"", ""te""),"""")"),"")</f>
        <v/>
      </c>
      <c r="G404" s="2"/>
      <c r="H404" s="2" t="str">
        <f>IFERROR(__xludf.DUMMYFUNCTION("IF(G404&lt;&gt;"""", GOOGLETRANSLATE(G404, ""en"", ""te""),"""")"),"")</f>
        <v/>
      </c>
      <c r="I404" s="3"/>
    </row>
    <row r="405" customHeight="1" spans="1:9">
      <c r="A405" s="2"/>
      <c r="B405" s="2" t="str">
        <f>IFERROR(__xludf.DUMMYFUNCTION("IF(A405&lt;&gt;"""", GOOGLETRANSLATE(A405, ""en"", ""te""),"""")"),"")</f>
        <v/>
      </c>
      <c r="C405" s="2"/>
      <c r="D405" s="2" t="str">
        <f>IFERROR(__xludf.DUMMYFUNCTION("IF(C405&lt;&gt;"""", GOOGLETRANSLATE(C405, ""en"", ""te""),"""")"),"")</f>
        <v/>
      </c>
      <c r="E405" s="2"/>
      <c r="F405" s="2" t="str">
        <f>IFERROR(__xludf.DUMMYFUNCTION("IF(E405&lt;&gt;"""", GOOGLETRANSLATE(E405, ""en"", ""te""),"""")"),"")</f>
        <v/>
      </c>
      <c r="G405" s="2"/>
      <c r="H405" s="2" t="str">
        <f>IFERROR(__xludf.DUMMYFUNCTION("IF(G405&lt;&gt;"""", GOOGLETRANSLATE(G405, ""en"", ""te""),"""")"),"")</f>
        <v/>
      </c>
      <c r="I405" s="3"/>
    </row>
    <row r="406" customHeight="1" spans="1:9">
      <c r="A406" s="2"/>
      <c r="B406" s="2" t="str">
        <f>IFERROR(__xludf.DUMMYFUNCTION("IF(A406&lt;&gt;"""", GOOGLETRANSLATE(A406, ""en"", ""te""),"""")"),"")</f>
        <v/>
      </c>
      <c r="C406" s="2"/>
      <c r="D406" s="2" t="str">
        <f>IFERROR(__xludf.DUMMYFUNCTION("IF(C406&lt;&gt;"""", GOOGLETRANSLATE(C406, ""en"", ""te""),"""")"),"")</f>
        <v/>
      </c>
      <c r="E406" s="2" t="s">
        <v>306</v>
      </c>
      <c r="F406" s="2" t="str">
        <f>IFERROR(__xludf.DUMMYFUNCTION("IF(E406&lt;&gt;"""", GOOGLETRANSLATE(E406, ""en"", ""te""),"""")"),"[ '46 వ ఒక క్యాలెండర్ సంవత్సరంలో అత్యధిక వికెట్లు (21)', 'తొమ్మిదవ వికెట్కు 16 అత్యధిక భాగస్వామ్యం (43)', '19 వ పిన్న క్రీడాకారులు (15y 241d)']")</f>
        <v>[ '46 వ ఒక క్యాలెండర్ సంవత్సరంలో అత్యధిక వికెట్లు (21)', 'తొమ్మిదవ వికెట్కు 16 అత్యధిక భాగస్వామ్యం (43)', '19 వ పిన్న క్రీడాకారులు (15y 241d)']</v>
      </c>
      <c r="G406" s="2" t="s">
        <v>307</v>
      </c>
      <c r="H406" s="2" t="str">
        <f>IFERROR(__xludf.DUMMYFUNCTION("IF(G406&lt;&gt;"""", GOOGLETRANSLATE(G406, ""en"", ""te""),"""")"),"[ 'మొదటి డక్ ముందు 21 వ అత్యంత ఇన్నింగ్స్ (18)', '32 వ ఇన్నింగ్స్ లో బెస్ట్ ఫిగర్స్ (5/16)', '34 వ అత్యుత్తమ బౌలింగ్ ఇన్నింగ్స్ లో విశ్లేషించడం (3/5)', '44 వ ఉత్తమ కెరీర్ సగటు బౌలింగ్ (19.97 ) ',' 44 వ ఉత్తమ కెరీర్ ఆర్థిక రేటు (5.74) ',' 44 వ ఉత్తమ కెరీర్"&amp;" సమ్మె రేటు (20.8) ',' 20 వ అత్యధిక వికెట్లు తీసుకున్న క్యాచ్ మరియు బౌల్డ్ (3) ',' 24 వ అత్యధిక వికెట్లు తీసుకున్న ఎల్బిడబ్ల్యు (7) ']")</f>
        <v>[ 'మొదటి డక్ ముందు 21 వ అత్యంత ఇన్నింగ్స్ (18)', '32 వ ఇన్నింగ్స్ లో బెస్ట్ ఫిగర్స్ (5/16)', '34 వ అత్యుత్తమ బౌలింగ్ ఇన్నింగ్స్ లో విశ్లేషించడం (3/5)', '44 వ ఉత్తమ కెరీర్ సగటు బౌలింగ్ (19.97 ) ',' 44 వ ఉత్తమ కెరీర్ ఆర్థిక రేటు (5.74) ',' 44 వ ఉత్తమ కెరీర్ సమ్మె రేటు (20.8) ',' 20 వ అత్యధిక వికెట్లు తీసుకున్న క్యాచ్ మరియు బౌల్డ్ (3) ',' 24 వ అత్యధిక వికెట్లు తీసుకున్న ఎల్బిడబ్ల్యు (7) ']</v>
      </c>
      <c r="I406" s="3"/>
    </row>
    <row r="407" customHeight="1" spans="1:9">
      <c r="A407" s="2" t="s">
        <v>308</v>
      </c>
      <c r="B407" s="2" t="str">
        <f>IFERROR(__xludf.DUMMYFUNCTION("IF(A407&lt;&gt;"""", GOOGLETRANSLATE(A407, ""en"", ""te""),"""")"),"[ 'ఇన్నింగ్స్ లో 1 వ అత్యధిక పరుగులు (బ్యాటింగ్ స్థానంలో ప్రకారం) (92 *)', '1 వ అత్యధిక కెరీర్ సమ్మె రేటు (130.22)', 'ఎనిమిదవ వికెట్ (101) 6 వ అత్యధిక భాగస్వామ్యం', '2 వ చెత్త కెరీర్ సగటు బౌలింగ్ ( 37.46) ']")</f>
        <v>[ 'ఇన్నింగ్స్ లో 1 వ అత్యధిక పరుగులు (బ్యాటింగ్ స్థానంలో ప్రకారం) (92 *)', '1 వ అత్యధిక కెరీర్ సమ్మె రేటు (130.22)', 'ఎనిమిదవ వికెట్ (101) 6 వ అత్యధిక భాగస్వామ్యం', '2 వ చెత్త కెరీర్ సగటు బౌలింగ్ ( 37.46) ']</v>
      </c>
      <c r="C407" s="2"/>
      <c r="D407" s="2" t="str">
        <f>IFERROR(__xludf.DUMMYFUNCTION("IF(C407&lt;&gt;"""", GOOGLETRANSLATE(C407, ""en"", ""te""),"""")"),"")</f>
        <v/>
      </c>
      <c r="E407" s="2" t="s">
        <v>309</v>
      </c>
      <c r="F407" s="2" t="str">
        <f>IFERROR(__xludf.DUMMYFUNCTION("IF(E407&lt;&gt;"""", GOOGLETRANSLATE(E407, ""en"", ""te""),"""")"),"[ 'ఇన్నింగ్స్ లో 1 వ అత్యధిక పరుగులు (బ్యాటింగ్ స్థానంలో ప్రకారం) (92 *)', '1 వ అత్యధిక కెరీర్ సమ్మె రేటు (130.22)', 'ఇన్నింగ్స్ 6 వ అత్యధిక స్ట్రైక్ రేట్ (323.07)', '22 వ చెత్త కెరీర్లో ఆర్థిక రేటు ( 5.84) ',' 19 వ ఇన్నింగ్స్ లో సాధించిన అత్యధిక పరుగులు"&amp;" (96) ',' ఎనిమిదవ వికెట్ (101 6 వ అత్యధిక భాగస్వామ్యం) ']")</f>
        <v>[ 'ఇన్నింగ్స్ లో 1 వ అత్యధిక పరుగులు (బ్యాటింగ్ స్థానంలో ప్రకారం) (92 *)', '1 వ అత్యధిక కెరీర్ సమ్మె రేటు (130.22)', 'ఇన్నింగ్స్ 6 వ అత్యధిక స్ట్రైక్ రేట్ (323.07)', '22 వ చెత్త కెరీర్లో ఆర్థిక రేటు ( 5.84) ',' 19 వ ఇన్నింగ్స్ లో సాధించిన అత్యధిక పరుగులు (96) ',' ఎనిమిదవ వికెట్ (101 6 వ అత్యధిక భాగస్వామ్యం) ']</v>
      </c>
      <c r="G407" s="2" t="s">
        <v>310</v>
      </c>
      <c r="H407" s="2" t="str">
        <f>IFERROR(__xludf.DUMMYFUNCTION("IF(G407&lt;&gt;"""", GOOGLETRANSLATE(G407, ""en"", ""te""),"""")"),"[ '11 వ అత్యధిక కెరీర్ సమ్మె రేటు (151.26)', 'ఇన్నింగ్స్ లో 36 వ అత్యధిక స్ట్రైక్ రేట్ (285.71)', '13 వ కెరీర్ బాతులు (6)', '2 వ చెత్త కెరీర్ బౌలింగ్ సరాసరి (37.46)', '4 వ చెత్త వృత్తి ఆర్థిక రేటు (9.08) ',' 13 వ చెత్త కెరీర్లో సమ్మె రేటు (24.7) ',' 50 వ"&amp;" వరుస జట్టు మ్యాచ్లు (28) ']")</f>
        <v>[ '11 వ అత్యధిక కెరీర్ సమ్మె రేటు (151.26)', 'ఇన్నింగ్స్ లో 36 వ అత్యధిక స్ట్రైక్ రేట్ (285.71)', '13 వ కెరీర్ బాతులు (6)', '2 వ చెత్త కెరీర్ బౌలింగ్ సరాసరి (37.46)', '4 వ చెత్త వృత్తి ఆర్థిక రేటు (9.08) ',' 13 వ చెత్త కెరీర్లో సమ్మె రేటు (24.7) ',' 50 వ వరుస జట్టు మ్యాచ్లు (28) ']</v>
      </c>
      <c r="I407" s="3"/>
    </row>
    <row r="408" customHeight="1" spans="1:9">
      <c r="A408" s="2"/>
      <c r="B408" s="2" t="str">
        <f>IFERROR(__xludf.DUMMYFUNCTION("IF(A408&lt;&gt;"""", GOOGLETRANSLATE(A408, ""en"", ""te""),"""")"),"")</f>
        <v/>
      </c>
      <c r="C408" s="2"/>
      <c r="D408" s="2" t="str">
        <f>IFERROR(__xludf.DUMMYFUNCTION("IF(C408&lt;&gt;"""", GOOGLETRANSLATE(C408, ""en"", ""te""),"""")"),"")</f>
        <v/>
      </c>
      <c r="E408" s="2"/>
      <c r="F408" s="2" t="str">
        <f>IFERROR(__xludf.DUMMYFUNCTION("IF(E408&lt;&gt;"""", GOOGLETRANSLATE(E408, ""en"", ""te""),"""")"),"")</f>
        <v/>
      </c>
      <c r="G408" s="2"/>
      <c r="H408" s="2" t="str">
        <f>IFERROR(__xludf.DUMMYFUNCTION("IF(G408&lt;&gt;"""", GOOGLETRANSLATE(G408, ""en"", ""te""),"""")"),"")</f>
        <v/>
      </c>
      <c r="I408" s="3"/>
    </row>
    <row r="409" customHeight="1" spans="1:9">
      <c r="A409" s="2" t="s">
        <v>253</v>
      </c>
      <c r="B409" s="2" t="str">
        <f>IFERROR(__xludf.DUMMYFUNCTION("IF(A409&lt;&gt;"""", GOOGLETRANSLATE(A409, ""en"", ""te""),"""")"),"[ 'ఒక ఆటలో బదులు 6 వ అత్యధిక క్యాచ్లు (3)']")</f>
        <v>[ 'ఒక ఆటలో బదులు 6 వ అత్యధిక క్యాచ్లు (3)']</v>
      </c>
      <c r="C409" s="2" t="s">
        <v>311</v>
      </c>
      <c r="D409" s="2" t="str">
        <f>IFERROR(__xludf.DUMMYFUNCTION("IF(C409&lt;&gt;"""", GOOGLETRANSLATE(C409, ""en"", ""te""),"""")"),"[ 'ఒక ఆటలో బదులు 6 వ అత్యధిక క్యాచ్లు (3)', '39 వ పురాతన దేశం ఆటగాళ్ళు (86y 341d)']")</f>
        <v>[ 'ఒక ఆటలో బదులు 6 వ అత్యధిక క్యాచ్లు (3)', '39 వ పురాతన దేశం ఆటగాళ్ళు (86y 341d)']</v>
      </c>
      <c r="E409" s="2"/>
      <c r="F409" s="2" t="str">
        <f>IFERROR(__xludf.DUMMYFUNCTION("IF(E409&lt;&gt;"""", GOOGLETRANSLATE(E409, ""en"", ""te""),"""")"),"")</f>
        <v/>
      </c>
      <c r="G409" s="2"/>
      <c r="H409" s="2" t="str">
        <f>IFERROR(__xludf.DUMMYFUNCTION("IF(G409&lt;&gt;"""", GOOGLETRANSLATE(G409, ""en"", ""te""),"""")"),"")</f>
        <v/>
      </c>
      <c r="I409" s="3"/>
    </row>
    <row r="410" customHeight="1" spans="1:9">
      <c r="A410" s="2"/>
      <c r="B410" s="2" t="str">
        <f>IFERROR(__xludf.DUMMYFUNCTION("IF(A410&lt;&gt;"""", GOOGLETRANSLATE(A410, ""en"", ""te""),"""")"),"")</f>
        <v/>
      </c>
      <c r="C410" s="2"/>
      <c r="D410" s="2" t="str">
        <f>IFERROR(__xludf.DUMMYFUNCTION("IF(C410&lt;&gt;"""", GOOGLETRANSLATE(C410, ""en"", ""te""),"""")"),"")</f>
        <v/>
      </c>
      <c r="E410" s="2"/>
      <c r="F410" s="2" t="str">
        <f>IFERROR(__xludf.DUMMYFUNCTION("IF(E410&lt;&gt;"""", GOOGLETRANSLATE(E410, ""en"", ""te""),"""")"),"")</f>
        <v/>
      </c>
      <c r="G410" s="2"/>
      <c r="H410" s="2" t="str">
        <f>IFERROR(__xludf.DUMMYFUNCTION("IF(G410&lt;&gt;"""", GOOGLETRANSLATE(G410, ""en"", ""te""),"""")"),"")</f>
        <v/>
      </c>
      <c r="I410" s="3"/>
    </row>
    <row r="411" customHeight="1" spans="1:9">
      <c r="A411" s="2" t="s">
        <v>312</v>
      </c>
      <c r="B411" s="2" t="str">
        <f>IFERROR(__xludf.DUMMYFUNCTION("IF(A411&lt;&gt;"""", GOOGLETRANSLATE(A411, ""en"", ""te""),"""")"),"[ 'ఇన్నింగ్స్ లో 1 వ అత్యధిక పరుగులు (86 *) (బ్యాటింగ్ స్థానం)', 'పదవ వికెట్కు 3 వ అత్యధిక భాగస్వామ్యం (99 *)']")</f>
        <v>[ 'ఇన్నింగ్స్ లో 1 వ అత్యధిక పరుగులు (86 *) (బ్యాటింగ్ స్థానం)', 'పదవ వికెట్కు 3 వ అత్యధిక భాగస్వామ్యం (99 *)']</v>
      </c>
      <c r="C411" s="2"/>
      <c r="D411" s="2" t="str">
        <f>IFERROR(__xludf.DUMMYFUNCTION("IF(C411&lt;&gt;"""", GOOGLETRANSLATE(C411, ""en"", ""te""),"""")"),"")</f>
        <v/>
      </c>
      <c r="E411" s="2" t="s">
        <v>313</v>
      </c>
      <c r="F411" s="2" t="str">
        <f>IFERROR(__xludf.DUMMYFUNCTION("IF(E411&lt;&gt;"""", GOOGLETRANSLATE(E411, ""en"", ""te""),"""")"),"[ '1st ఇన్నింగ్స్ లో అత్యధిక పరుగులు (బ్యాటింగ్ స్థానంలో ద్వారా) (86 *)', '14 వ పరాజయం వైపు ఉన్నప్పుడు ఒక ఇన్నింగ్స్ లోని బెస్ట్ ఫిగర్స్ (5)', '43 వ అత్యంత ఐదు-వికెట్ల లో-ఒక-ఇన్నింగ్స్ లో వృత్తి (2) ',' 25 వ అత్యంత నాలుగు వికెట్లు-ఇన్-ఒక-ఇన్నింగ్స్ కెరీర"&amp;"్లో (10) ',' పదవ వికెట్ను (99 *) 3 వ అత్యధిక భాగస్వామ్యం ']")</f>
        <v>[ '1st ఇన్నింగ్స్ లో అత్యధిక పరుగులు (బ్యాటింగ్ స్థానంలో ద్వారా) (86 *)', '14 వ పరాజయం వైపు ఉన్నప్పుడు ఒక ఇన్నింగ్స్ లోని బెస్ట్ ఫిగర్స్ (5)', '43 వ అత్యంత ఐదు-వికెట్ల లో-ఒక-ఇన్నింగ్స్ లో వృత్తి (2) ',' 25 వ అత్యంత నాలుగు వికెట్లు-ఇన్-ఒక-ఇన్నింగ్స్ కెరీర్లో (10) ',' పదవ వికెట్ను (99 *) 3 వ అత్యధిక భాగస్వామ్యం ']</v>
      </c>
      <c r="G411" s="2" t="s">
        <v>314</v>
      </c>
      <c r="H411" s="2" t="str">
        <f>IFERROR(__xludf.DUMMYFUNCTION("IF(G411&lt;&gt;"""", GOOGLETRANSLATE(G411, ""en"", ""te""),"""")"),"[ '17 వ బౌలర్ / బ్యాట్స్ కలయికలు (3)', '45 వ బౌలర్ / ఫీల్డర్ కలయికలు (6)', '33 వ అత్యధిక వికెట్లు ఆకర్షించింది అత్యధిక వికెట్లు తీసిన (6)']")</f>
        <v>[ '17 వ బౌలర్ / బ్యాట్స్ కలయికలు (3)', '45 వ బౌలర్ / ఫీల్డర్ కలయికలు (6)', '33 వ అత్యధిక వికెట్లు ఆకర్షించింది అత్యధిక వికెట్లు తీసిన (6)']</v>
      </c>
      <c r="I411" s="3"/>
    </row>
    <row r="412" customHeight="1" spans="1:9">
      <c r="A412" s="2"/>
      <c r="B412" s="2" t="str">
        <f>IFERROR(__xludf.DUMMYFUNCTION("IF(A412&lt;&gt;"""", GOOGLETRANSLATE(A412, ""en"", ""te""),"""")"),"")</f>
        <v/>
      </c>
      <c r="C412" s="2"/>
      <c r="D412" s="2" t="str">
        <f>IFERROR(__xludf.DUMMYFUNCTION("IF(C412&lt;&gt;"""", GOOGLETRANSLATE(C412, ""en"", ""te""),"""")"),"")</f>
        <v/>
      </c>
      <c r="E412" s="2"/>
      <c r="F412" s="2" t="str">
        <f>IFERROR(__xludf.DUMMYFUNCTION("IF(E412&lt;&gt;"""", GOOGLETRANSLATE(E412, ""en"", ""te""),"""")"),"")</f>
        <v/>
      </c>
      <c r="G412" s="2"/>
      <c r="H412" s="2" t="str">
        <f>IFERROR(__xludf.DUMMYFUNCTION("IF(G412&lt;&gt;"""", GOOGLETRANSLATE(G412, ""en"", ""te""),"""")"),"")</f>
        <v/>
      </c>
      <c r="I412" s="3"/>
    </row>
    <row r="413" customHeight="1" spans="1:9">
      <c r="A413" s="2"/>
      <c r="B413" s="2" t="str">
        <f>IFERROR(__xludf.DUMMYFUNCTION("IF(A413&lt;&gt;"""", GOOGLETRANSLATE(A413, ""en"", ""te""),"""")"),"")</f>
        <v/>
      </c>
      <c r="C413" s="2"/>
      <c r="D413" s="2" t="str">
        <f>IFERROR(__xludf.DUMMYFUNCTION("IF(C413&lt;&gt;"""", GOOGLETRANSLATE(C413, ""en"", ""te""),"""")"),"")</f>
        <v/>
      </c>
      <c r="E413" s="2"/>
      <c r="F413" s="2" t="str">
        <f>IFERROR(__xludf.DUMMYFUNCTION("IF(E413&lt;&gt;"""", GOOGLETRANSLATE(E413, ""en"", ""te""),"""")"),"")</f>
        <v/>
      </c>
      <c r="G413" s="2"/>
      <c r="H413" s="2" t="str">
        <f>IFERROR(__xludf.DUMMYFUNCTION("IF(G413&lt;&gt;"""", GOOGLETRANSLATE(G413, ""en"", ""te""),"""")"),"")</f>
        <v/>
      </c>
      <c r="I413" s="3"/>
    </row>
    <row r="414" customHeight="1" spans="1:9">
      <c r="A414" s="2"/>
      <c r="B414" s="2" t="str">
        <f>IFERROR(__xludf.DUMMYFUNCTION("IF(A414&lt;&gt;"""", GOOGLETRANSLATE(A414, ""en"", ""te""),"""")"),"")</f>
        <v/>
      </c>
      <c r="C414" s="2"/>
      <c r="D414" s="2" t="str">
        <f>IFERROR(__xludf.DUMMYFUNCTION("IF(C414&lt;&gt;"""", GOOGLETRANSLATE(C414, ""en"", ""te""),"""")"),"")</f>
        <v/>
      </c>
      <c r="E414" s="2"/>
      <c r="F414" s="2" t="str">
        <f>IFERROR(__xludf.DUMMYFUNCTION("IF(E414&lt;&gt;"""", GOOGLETRANSLATE(E414, ""en"", ""te""),"""")"),"")</f>
        <v/>
      </c>
      <c r="G414" s="2"/>
      <c r="H414" s="2" t="str">
        <f>IFERROR(__xludf.DUMMYFUNCTION("IF(G414&lt;&gt;"""", GOOGLETRANSLATE(G414, ""en"", ""te""),"""")"),"")</f>
        <v/>
      </c>
      <c r="I414" s="3"/>
    </row>
    <row r="415" customHeight="1" spans="1:9">
      <c r="A415" s="2"/>
      <c r="B415" s="2" t="str">
        <f>IFERROR(__xludf.DUMMYFUNCTION("IF(A415&lt;&gt;"""", GOOGLETRANSLATE(A415, ""en"", ""te""),"""")"),"")</f>
        <v/>
      </c>
      <c r="C415" s="2"/>
      <c r="D415" s="2" t="str">
        <f>IFERROR(__xludf.DUMMYFUNCTION("IF(C415&lt;&gt;"""", GOOGLETRANSLATE(C415, ""en"", ""te""),"""")"),"")</f>
        <v/>
      </c>
      <c r="E415" s="2"/>
      <c r="F415" s="2" t="str">
        <f>IFERROR(__xludf.DUMMYFUNCTION("IF(E415&lt;&gt;"""", GOOGLETRANSLATE(E415, ""en"", ""te""),"""")"),"")</f>
        <v/>
      </c>
      <c r="G415" s="2"/>
      <c r="H415" s="2" t="str">
        <f>IFERROR(__xludf.DUMMYFUNCTION("IF(G415&lt;&gt;"""", GOOGLETRANSLATE(G415, ""en"", ""te""),"""")"),"")</f>
        <v/>
      </c>
      <c r="I415" s="3"/>
    </row>
    <row r="416" customHeight="1" spans="1:9">
      <c r="A416" s="2" t="s">
        <v>315</v>
      </c>
      <c r="B416" s="2" t="str">
        <f>IFERROR(__xludf.DUMMYFUNCTION("IF(A416&lt;&gt;"""", GOOGLETRANSLATE(A416, ""en"", ""te""),"""")"),"[ '7th పురాతన దేశం ఆటగాళ్ళు (92y 31d)', '1st చాలా బంతుల్లో ఒక మ్యాచ్ (774) లో బౌల్డ్']")</f>
        <v>[ '7th పురాతన దేశం ఆటగాళ్ళు (92y 31d)', '1st చాలా బంతుల్లో ఒక మ్యాచ్ (774) లో బౌల్డ్']</v>
      </c>
      <c r="C416" s="2" t="s">
        <v>316</v>
      </c>
      <c r="D416" s="2" t="str">
        <f>IFERROR(__xludf.DUMMYFUNCTION("IF(C416&lt;&gt;"""", GOOGLETRANSLATE(C416, ""en"", ""te""),"""")"),"[ '11 వ ఒక సిరీస్లో అత్యధిక బాతులు (4)', '30 వ ఉత్తమ కెరీర్ ఆర్థిక రేటు (1.97)', 'పది వికెట్లు లో ఒక మ్యాచ్ తీసుకోవాలని 20 వ పిన్న వయస్కుడిగా నిలిచాడు (21y 54d)', '1 వ అత్యంత బంతులను బౌలింగ్ చేశాడు ఒక ఇన్నింగ్స్ లో (588) ',' 1st చాలా బంతుల్లో ఒక మ్యాచ్లో "&amp;"బౌల్డ్ (774) ',' 35 వ అత్యధిక వికెట్లు బౌల్డ్ (62) ',' 41 వ వేగంగా 50 వికెట్లు (11) ',' 7 వ పురాతన దేశం ఆటగాళ్ళు (92y తీసుకున్న 31d) ']")</f>
        <v>[ '11 వ ఒక సిరీస్లో అత్యధిక బాతులు (4)', '30 వ ఉత్తమ కెరీర్ ఆర్థిక రేటు (1.97)', 'పది వికెట్లు లో ఒక మ్యాచ్ తీసుకోవాలని 20 వ పిన్న వయస్కుడిగా నిలిచాడు (21y 54d)', '1 వ అత్యంత బంతులను బౌలింగ్ చేశాడు ఒక ఇన్నింగ్స్ లో (588) ',' 1st చాలా బంతుల్లో ఒక మ్యాచ్లో బౌల్డ్ (774) ',' 35 వ అత్యధిక వికెట్లు బౌల్డ్ (62) ',' 41 వ వేగంగా 50 వికెట్లు (11) ',' 7 వ పురాతన దేశం ఆటగాళ్ళు (92y తీసుకున్న 31d) ']</v>
      </c>
      <c r="E416" s="2"/>
      <c r="F416" s="2" t="str">
        <f>IFERROR(__xludf.DUMMYFUNCTION("IF(E416&lt;&gt;"""", GOOGLETRANSLATE(E416, ""en"", ""te""),"""")"),"")</f>
        <v/>
      </c>
      <c r="G416" s="2"/>
      <c r="H416" s="2" t="str">
        <f>IFERROR(__xludf.DUMMYFUNCTION("IF(G416&lt;&gt;"""", GOOGLETRANSLATE(G416, ""en"", ""te""),"""")"),"")</f>
        <v/>
      </c>
      <c r="I416" s="3"/>
    </row>
    <row r="417" customHeight="1" spans="1:9">
      <c r="A417" s="2"/>
      <c r="B417" s="2" t="str">
        <f>IFERROR(__xludf.DUMMYFUNCTION("IF(A417&lt;&gt;"""", GOOGLETRANSLATE(A417, ""en"", ""te""),"""")"),"")</f>
        <v/>
      </c>
      <c r="C417" s="2"/>
      <c r="D417" s="2" t="str">
        <f>IFERROR(__xludf.DUMMYFUNCTION("IF(C417&lt;&gt;"""", GOOGLETRANSLATE(C417, ""en"", ""te""),"""")"),"")</f>
        <v/>
      </c>
      <c r="E417" s="2"/>
      <c r="F417" s="2" t="str">
        <f>IFERROR(__xludf.DUMMYFUNCTION("IF(E417&lt;&gt;"""", GOOGLETRANSLATE(E417, ""en"", ""te""),"""")"),"")</f>
        <v/>
      </c>
      <c r="G417" s="2"/>
      <c r="H417" s="2" t="str">
        <f>IFERROR(__xludf.DUMMYFUNCTION("IF(G417&lt;&gt;"""", GOOGLETRANSLATE(G417, ""en"", ""te""),"""")"),"")</f>
        <v/>
      </c>
      <c r="I417" s="3"/>
    </row>
    <row r="418" customHeight="1" spans="1:9">
      <c r="A418" s="2" t="s">
        <v>317</v>
      </c>
      <c r="B418" s="2" t="str">
        <f>IFERROR(__xludf.DUMMYFUNCTION("IF(A418&lt;&gt;"""", GOOGLETRANSLATE(A418, ""en"", ""te""),"""")"),"[ 'హండ్రెడ్ తొలి (100 *)', 'హండ్రెడ్ ఒక మ్యాచ్లో ప్రతి ఇన్నింగ్స్లో', '6 వ 1000 వేగవంతమైన పరుగులు (16)']")</f>
        <v>[ 'హండ్రెడ్ తొలి (100 *)', 'హండ్రెడ్ ఒక మ్యాచ్లో ప్రతి ఇన్నింగ్స్లో', '6 వ 1000 వేగవంతమైన పరుగులు (16)']</v>
      </c>
      <c r="C418" s="2" t="s">
        <v>318</v>
      </c>
      <c r="D418" s="2" t="str">
        <f>IFERROR(__xludf.DUMMYFUNCTION("IF(C418&lt;&gt;"""", GOOGLETRANSLATE(C418, ""en"", ""te""),"""")"),"[ 'ఇన్నింగ్స్ (302) లో 30 వ అత్యధిక పరుగులు' 'ఒక మ్యాచ్లో 37 వ అత్యధిక పరుగులు (314)', '16 వ ఇన్నింగ్స్ లో అత్యధిక పరుగులు (బ్యాటింగ్ స్థానంలో ప్రకారం) (302)', '1st తొలి మ్యాచ్లో అత్యధిక పరుగులు ( ఒక వృత్తిలో 314) ',' 5 వ అత్యధిక ట్రిపుల్ సెంచరీలు (1) ','"&amp;" 22 వ అత్యధిక తొలి వంద (214) ',' 20 వ పిన్న ఆటగాడు 39d) ',' 7 వ పిన్న ఆటగాడు ట్రిపుల్ స్కోర్ డబుల్ సెంచరీ (23y స్కోర్ వందల (25y 57d) ',' 31 ఇన్నింగ్స్ లో వచ్చిన ఎక్కువ ఫోర్లు (36) ',' ఇన్నింగ్స్ లో ఫోర్లు, సిక్సర్లు నుండి 43 వ అత్యధిక పరుగులు (150) ',' 6 "&amp;"వ 1000 వేగవంతమైన పరుగులు (16) ']")</f>
        <v>[ 'ఇన్నింగ్స్ (302) లో 30 వ అత్యధిక పరుగులు' 'ఒక మ్యాచ్లో 37 వ అత్యధిక పరుగులు (314)', '16 వ ఇన్నింగ్స్ లో అత్యధిక పరుగులు (బ్యాటింగ్ స్థానంలో ప్రకారం) (302)', '1st తొలి మ్యాచ్లో అత్యధిక పరుగులు ( ఒక వృత్తిలో 314) ',' 5 వ అత్యధిక ట్రిపుల్ సెంచరీలు (1) ',' 22 వ అత్యధిక తొలి వంద (214) ',' 20 వ పిన్న ఆటగాడు 39d) ',' 7 వ పిన్న ఆటగాడు ట్రిపుల్ స్కోర్ డబుల్ సెంచరీ (23y స్కోర్ వందల (25y 57d) ',' 31 ఇన్నింగ్స్ లో వచ్చిన ఎక్కువ ఫోర్లు (36) ',' ఇన్నింగ్స్ లో ఫోర్లు, సిక్సర్లు నుండి 43 వ అత్యధిక పరుగులు (150) ',' 6 వ 1000 వేగవంతమైన పరుగులు (16) ']</v>
      </c>
      <c r="E418" s="2"/>
      <c r="F418" s="2" t="str">
        <f>IFERROR(__xludf.DUMMYFUNCTION("IF(E418&lt;&gt;"""", GOOGLETRANSLATE(E418, ""en"", ""te""),"""")"),"")</f>
        <v/>
      </c>
      <c r="G418" s="2"/>
      <c r="H418" s="2" t="str">
        <f>IFERROR(__xludf.DUMMYFUNCTION("IF(G418&lt;&gt;"""", GOOGLETRANSLATE(G418, ""en"", ""te""),"""")"),"")</f>
        <v/>
      </c>
      <c r="I418" s="3"/>
    </row>
    <row r="419" customHeight="1" spans="1:9">
      <c r="A419" s="2"/>
      <c r="B419" s="2" t="str">
        <f>IFERROR(__xludf.DUMMYFUNCTION("IF(A419&lt;&gt;"""", GOOGLETRANSLATE(A419, ""en"", ""te""),"""")"),"")</f>
        <v/>
      </c>
      <c r="C419" s="2" t="s">
        <v>319</v>
      </c>
      <c r="D419" s="2" t="str">
        <f>IFERROR(__xludf.DUMMYFUNCTION("IF(C419&lt;&gt;"""", GOOGLETRANSLATE(C419, ""en"", ""te""),"""")"),"[ '24 ఒక ఇన్నింగ్స్ లోని బెస్ట్ ఫిగర్స్ ఉన్నప్పుడు పరాజయం వైపు (7)', '22 వ ఉత్తమ తొలి ఇన్నింగ్స్లో గణాంకాలు (6)']")</f>
        <v>[ '24 ఒక ఇన్నింగ్స్ లోని బెస్ట్ ఫిగర్స్ ఉన్నప్పుడు పరాజయం వైపు (7)', '22 వ ఉత్తమ తొలి ఇన్నింగ్స్లో గణాంకాలు (6)']</v>
      </c>
      <c r="E419" s="2"/>
      <c r="F419" s="2" t="str">
        <f>IFERROR(__xludf.DUMMYFUNCTION("IF(E419&lt;&gt;"""", GOOGLETRANSLATE(E419, ""en"", ""te""),"""")"),"")</f>
        <v/>
      </c>
      <c r="G419" s="2"/>
      <c r="H419" s="2" t="str">
        <f>IFERROR(__xludf.DUMMYFUNCTION("IF(G419&lt;&gt;"""", GOOGLETRANSLATE(G419, ""en"", ""te""),"""")"),"")</f>
        <v/>
      </c>
      <c r="I419" s="3"/>
    </row>
    <row r="420" customHeight="1" spans="1:9">
      <c r="A420" s="2"/>
      <c r="B420" s="2" t="str">
        <f>IFERROR(__xludf.DUMMYFUNCTION("IF(A420&lt;&gt;"""", GOOGLETRANSLATE(A420, ""en"", ""te""),"""")"),"")</f>
        <v/>
      </c>
      <c r="C420" s="2"/>
      <c r="D420" s="2" t="str">
        <f>IFERROR(__xludf.DUMMYFUNCTION("IF(C420&lt;&gt;"""", GOOGLETRANSLATE(C420, ""en"", ""te""),"""")"),"")</f>
        <v/>
      </c>
      <c r="E420" s="2"/>
      <c r="F420" s="2" t="str">
        <f>IFERROR(__xludf.DUMMYFUNCTION("IF(E420&lt;&gt;"""", GOOGLETRANSLATE(E420, ""en"", ""te""),"""")"),"")</f>
        <v/>
      </c>
      <c r="G420" s="2"/>
      <c r="H420" s="2" t="str">
        <f>IFERROR(__xludf.DUMMYFUNCTION("IF(G420&lt;&gt;"""", GOOGLETRANSLATE(G420, ""en"", ""te""),"""")"),"")</f>
        <v/>
      </c>
      <c r="I420" s="3"/>
    </row>
    <row r="421" customHeight="1" spans="1:9">
      <c r="A421" s="2"/>
      <c r="B421" s="2" t="str">
        <f>IFERROR(__xludf.DUMMYFUNCTION("IF(A421&lt;&gt;"""", GOOGLETRANSLATE(A421, ""en"", ""te""),"""")"),"")</f>
        <v/>
      </c>
      <c r="C421" s="2"/>
      <c r="D421" s="2" t="str">
        <f>IFERROR(__xludf.DUMMYFUNCTION("IF(C421&lt;&gt;"""", GOOGLETRANSLATE(C421, ""en"", ""te""),"""")"),"")</f>
        <v/>
      </c>
      <c r="E421" s="2"/>
      <c r="F421" s="2" t="str">
        <f>IFERROR(__xludf.DUMMYFUNCTION("IF(E421&lt;&gt;"""", GOOGLETRANSLATE(E421, ""en"", ""te""),"""")"),"")</f>
        <v/>
      </c>
      <c r="G421" s="2"/>
      <c r="H421" s="2" t="str">
        <f>IFERROR(__xludf.DUMMYFUNCTION("IF(G421&lt;&gt;"""", GOOGLETRANSLATE(G421, ""en"", ""te""),"""")"),"")</f>
        <v/>
      </c>
      <c r="I421" s="3"/>
    </row>
    <row r="422" customHeight="1" spans="1:9">
      <c r="A422" s="2"/>
      <c r="B422" s="2" t="str">
        <f>IFERROR(__xludf.DUMMYFUNCTION("IF(A422&lt;&gt;"""", GOOGLETRANSLATE(A422, ""en"", ""te""),"""")"),"")</f>
        <v/>
      </c>
      <c r="C422" s="2"/>
      <c r="D422" s="2" t="str">
        <f>IFERROR(__xludf.DUMMYFUNCTION("IF(C422&lt;&gt;"""", GOOGLETRANSLATE(C422, ""en"", ""te""),"""")"),"")</f>
        <v/>
      </c>
      <c r="E422" s="2"/>
      <c r="F422" s="2" t="str">
        <f>IFERROR(__xludf.DUMMYFUNCTION("IF(E422&lt;&gt;"""", GOOGLETRANSLATE(E422, ""en"", ""te""),"""")"),"")</f>
        <v/>
      </c>
      <c r="G422" s="2"/>
      <c r="H422" s="2" t="str">
        <f>IFERROR(__xludf.DUMMYFUNCTION("IF(G422&lt;&gt;"""", GOOGLETRANSLATE(G422, ""en"", ""te""),"""")"),"")</f>
        <v/>
      </c>
      <c r="I422" s="3"/>
    </row>
    <row r="423" customHeight="1" spans="1:9">
      <c r="A423" s="2" t="s">
        <v>320</v>
      </c>
      <c r="B423" s="2" t="str">
        <f>IFERROR(__xludf.DUMMYFUNCTION("IF(A423&lt;&gt;"""", GOOGLETRANSLATE(A423, ""en"", ""te""),"""")"),"[ '10 వ ఇన్నింగ్స్ లో అత్యధిక పరుగులు (బ్యాటింగ్ స్థానంలో ప్రకారం) (57)', 'ఎనిమిదవ వికెట్కు 5 వ అత్యధిక భాగస్వామ్యం (105)', 'ప్రదర్శనల మధ్య 2 వ లాంగెస్ట్ వ్యవధిలో (10y 213d)', 'బ్యాటింగ్ తెరవడం మరియు బౌలింగ్ ఒకే మ్యాచ్ ']")</f>
        <v>[ '10 వ ఇన్నింగ్స్ లో అత్యధిక పరుగులు (బ్యాటింగ్ స్థానంలో ప్రకారం) (57)', 'ఎనిమిదవ వికెట్కు 5 వ అత్యధిక భాగస్వామ్యం (105)', 'ప్రదర్శనల మధ్య 2 వ లాంగెస్ట్ వ్యవధిలో (10y 213d)', 'బ్యాటింగ్ తెరవడం మరియు బౌలింగ్ ఒకే మ్యాచ్ ']</v>
      </c>
      <c r="C423" s="2" t="s">
        <v>321</v>
      </c>
      <c r="D423" s="2" t="str">
        <f>IFERROR(__xludf.DUMMYFUNCTION("IF(C423&lt;&gt;"""", GOOGLETRANSLATE(C423, ""en"", ""te""),"""")"),"[ '10 వ ఇన్నింగ్స్ లో అత్యధిక పరుగులు (బ్యాటింగ్ స్థానంలో ప్రకారం) (57)', 'ఎనిమిదవ వికెట్కు 5 వ అత్యధిక భాగస్వామ్యం (105)', 33 వ ఓల్డెస్ట్ క్రీడాకారుల తొలి 13 వ ఓల్డెస్ట్ క్రీడాకారులు (38y 45d) ',' (38y 48d ) ']")</f>
        <v>[ '10 వ ఇన్నింగ్స్ లో అత్యధిక పరుగులు (బ్యాటింగ్ స్థానంలో ప్రకారం) (57)', 'ఎనిమిదవ వికెట్కు 5 వ అత్యధిక భాగస్వామ్యం (105)', 33 వ ఓల్డెస్ట్ క్రీడాకారుల తొలి 13 వ ఓల్డెస్ట్ క్రీడాకారులు (38y 45d) ',' (38y 48d ) ']</v>
      </c>
      <c r="E423" s="2" t="s">
        <v>322</v>
      </c>
      <c r="F423" s="2" t="str">
        <f>IFERROR(__xludf.DUMMYFUNCTION("IF(E423&lt;&gt;"""", GOOGLETRANSLATE(E423, ""en"", ""te""),"""")"),"[ 'ప్రదర్శనల మధ్య 2 వ లాంగెస్ట్ వ్యవధిలో (10y 213d)' '37 వ ఓల్డెస్ట్ క్రీడాకారులు (38y 63d)',]")</f>
        <v>[ 'ప్రదర్శనల మధ్య 2 వ లాంగెస్ట్ వ్యవధిలో (10y 213d)' '37 వ ఓల్డెస్ట్ క్రీడాకారులు (38y 63d)',]</v>
      </c>
      <c r="G423" s="2"/>
      <c r="H423" s="2" t="str">
        <f>IFERROR(__xludf.DUMMYFUNCTION("IF(G423&lt;&gt;"""", GOOGLETRANSLATE(G423, ""en"", ""te""),"""")"),"")</f>
        <v/>
      </c>
      <c r="I423" s="3"/>
    </row>
    <row r="424" customHeight="1" spans="1:9">
      <c r="A424" s="2" t="s">
        <v>323</v>
      </c>
      <c r="B424" s="2" t="str">
        <f>IFERROR(__xludf.DUMMYFUNCTION("IF(A424&lt;&gt;"""", GOOGLETRANSLATE(A424, ""en"", ""te""),"""")"),"[ '4 వ అత్యధిక వరుస బాతులు (4)']")</f>
        <v>[ '4 వ అత్యధిక వరుస బాతులు (4)']</v>
      </c>
      <c r="C424" s="2" t="s">
        <v>324</v>
      </c>
      <c r="D424" s="2" t="str">
        <f>IFERROR(__xludf.DUMMYFUNCTION("IF(C424&lt;&gt;"""", GOOGLETRANSLATE(C424, ""en"", ""te""),"""")"),"[ '11 వ ఒక సిరీస్లో అత్యధిక బాతులు (4)', '4 వ అత్యధిక వరుస బాతులు (4)']")</f>
        <v>[ '11 వ ఒక సిరీస్లో అత్యధిక బాతులు (4)', '4 వ అత్యధిక వరుస బాతులు (4)']</v>
      </c>
      <c r="E424" s="2"/>
      <c r="F424" s="2" t="str">
        <f>IFERROR(__xludf.DUMMYFUNCTION("IF(E424&lt;&gt;"""", GOOGLETRANSLATE(E424, ""en"", ""te""),"""")"),"")</f>
        <v/>
      </c>
      <c r="G424" s="2"/>
      <c r="H424" s="2" t="str">
        <f>IFERROR(__xludf.DUMMYFUNCTION("IF(G424&lt;&gt;"""", GOOGLETRANSLATE(G424, ""en"", ""te""),"""")"),"")</f>
        <v/>
      </c>
      <c r="I424" s="3"/>
    </row>
    <row r="425" customHeight="1" spans="1:9">
      <c r="A425" s="2" t="s">
        <v>325</v>
      </c>
      <c r="B425" s="2" t="str">
        <f>IFERROR(__xludf.DUMMYFUNCTION("IF(A425&lt;&gt;"""", GOOGLETRANSLATE(A425, ""en"", ""te""),"""")"),"[ '5 వ అత్యుత్తమ బౌలింగ్ ఇన్నింగ్స్ లో విశ్లేషించడం (5/8)', 'ఇన్నింగ్స్ లో 6 వ ఉత్తమ సమ్మె రేటు (6.0)']")</f>
        <v>[ '5 వ అత్యుత్తమ బౌలింగ్ ఇన్నింగ్స్ లో విశ్లేషించడం (5/8)', 'ఇన్నింగ్స్ లో 6 వ ఉత్తమ సమ్మె రేటు (6.0)']</v>
      </c>
      <c r="C425" s="2" t="s">
        <v>326</v>
      </c>
      <c r="D425" s="2" t="str">
        <f>IFERROR(__xludf.DUMMYFUNCTION("IF(C425&lt;&gt;"""", GOOGLETRANSLATE(C425, ""en"", ""te""),"""")"),"[ '5 వ అత్యుత్తమ బౌలింగ్ ఇన్నింగ్స్ లో విశ్లేషించడం (5/8)', '6 వ ఉత్తమ సమ్మె ఇన్నింగ్స్ లో రేటు (6.0)', 'తీసుకోవాలని 45 వ పిన్న ఆటగాడు పది వికెట్లు లో ఒక మ్యాచ్ (23y 290d)', '31 అత్యధిక వికెట్లు ఒక వికెట్ కీపర్ చే కాట్ తీసుకున్న (65)', '44 వ అత్యంత ప్లేయర"&amp;"్ ఆఫ్ ది సిరీస్ అవార్డులు (3)']")</f>
        <v>[ '5 వ అత్యుత్తమ బౌలింగ్ ఇన్నింగ్స్ లో విశ్లేషించడం (5/8)', '6 వ ఉత్తమ సమ్మె ఇన్నింగ్స్ లో రేటు (6.0)', 'తీసుకోవాలని 45 వ పిన్న ఆటగాడు పది వికెట్లు లో ఒక మ్యాచ్ (23y 290d)', '31 అత్యధిక వికెట్లు ఒక వికెట్ కీపర్ చే కాట్ తీసుకున్న (65)', '44 వ అత్యంత ప్లేయర్ ఆఫ్ ది సిరీస్ అవార్డులు (3)']</v>
      </c>
      <c r="E425" s="2" t="s">
        <v>327</v>
      </c>
      <c r="F425" s="2" t="str">
        <f>IFERROR(__xludf.DUMMYFUNCTION("IF(E425&lt;&gt;"""", GOOGLETRANSLATE(E425, ""en"", ""te""),"""")"),"[ '41 వ ఇన్నింగ్స్ లో బెస్ట్ ఫిగర్స్ (6/27)', '14 వ ఒక ఇన్నింగ్స్ లోని బెస్ట్ ఫిగర్స్ ఉన్నప్పుడు పరాజయం వైపు (5)', '23 వ చెత్త ఆర్థిక వ్యవస్థ ఇన్నింగ్స్లో రేటు (11.40)', '25 వ అత్యంత ఐదు- వికెట్ల లో-ఒక-ఇన్నింగ్స్ కెరీర్లో (3) ',' ఐదు వికెట్ల లో-ఒక-ఇన్నిం"&amp;"గ్స్ తీసుకోవాలని 23 పిన్న వయస్కుడిగా నిలిచాడు (21y 26d) ',' 39 వ వేగవంతమైన 100 వికెట్లు (68) ']")</f>
        <v>[ '41 వ ఇన్నింగ్స్ లో బెస్ట్ ఫిగర్స్ (6/27)', '14 వ ఒక ఇన్నింగ్స్ లోని బెస్ట్ ఫిగర్స్ ఉన్నప్పుడు పరాజయం వైపు (5)', '23 వ చెత్త ఆర్థిక వ్యవస్థ ఇన్నింగ్స్లో రేటు (11.40)', '25 వ అత్యంత ఐదు- వికెట్ల లో-ఒక-ఇన్నింగ్స్ కెరీర్లో (3) ',' ఐదు వికెట్ల లో-ఒక-ఇన్నింగ్స్ తీసుకోవాలని 23 పిన్న వయస్కుడిగా నిలిచాడు (21y 26d) ',' 39 వ వేగవంతమైన 100 వికెట్లు (68) ']</v>
      </c>
      <c r="G425" s="2"/>
      <c r="H425" s="2" t="str">
        <f>IFERROR(__xludf.DUMMYFUNCTION("IF(G425&lt;&gt;"""", GOOGLETRANSLATE(G425, ""en"", ""te""),"""")"),"")</f>
        <v/>
      </c>
      <c r="I425" s="3"/>
    </row>
    <row r="426" customHeight="1" spans="1:9">
      <c r="A426" s="2" t="s">
        <v>328</v>
      </c>
      <c r="B426" s="2" t="str">
        <f>IFERROR(__xludf.DUMMYFUNCTION("IF(A426&lt;&gt;"""", GOOGLETRANSLATE(A426, ""en"", ""te""),"""")"),"[ '2nd చాలా క్యాలెండర్ ఏడాది (1710) లో నడుస్తుంది', 'వరుస మ్యాచ్లలో 3 వ యాభైల్లో (11)' 'ఒక క్యాలెండర్ సంవత్సరంలో 2 వ అత్యధిక వందలు (7)', 'హండ్రెడ్ మరియు ఒక మ్యాచ్లో ఒక డక్', '8 వ జీవితంలో అత్యధిక సిక్సర్లు (84) ',' 3 వ 5000 పరుగులు (95) ',' 1 వ అత్యుత్తమ"&amp;" బౌలింగ్ ఇన్నింగ్స్ విశ్లేషణలలో వేగంగా (1/0) ',' 4 వ చెత్త కెరీర్లో సమ్మె రేటు (161.5) ',' 5000 పరుగులు మరియు 50 ఫీల్డింగ్ వికెట్లు ',' 6 వ అత్యంత ప్లేయర్ ఆఫ్ ది సిరీస్ అవార్డులు (7) ',' 1 వ ఇన్నింగ్స్ లో అత్యధిక పరుగులు (బ్యాటింగ్ స్థానంలో ప్రకారం) (189 "&amp;"*) ',' ఒక ఇన్నింగ్స్లో పరుగుల 1st అత్యధిక శాతం ( ఒక కెప్టెన్తో 69.48) ',' 2nd 5000 వేగంగా పరుగులు (114) ',' ఒక ఇన్నింగ్స్ లో 2 వ బెస్ట్ ఫిగర్స్ (6) ',' ఐదు వికెట్ల లో-ఒక-ఇన్నింగ్స్ తీసుకోవాలని 5 వ అత్యంత వృద్ధ ఆటగాడు (37y 230d) ' '8 వ ఒక సిరీస్లో అత్యధిక "&amp;"క్యాచ్లు (10)', 'ఎ ఏబది ఒక ఇన్నింగ్స్ లో ఐదు వికెట్లు', '1000 పరుగులు, 50 వికెట్లు, 50 క్యాచ్లు', '5000 పరుగులు మరియు 50 ఫీల్డింగ్ వికెట్లు', '1 వ అత్యధిక కొరకు చేసిన భాగస్వామ్యం పదవ వికెట్ను (106 *) ',' 9 వ అత్యంత ప్లేయర్ ఆఫ్ ది మ్యాచ్ అవార్డులు (41) ','"&amp;" వరుస మ్యాచ్లలో 1st యాభైల్లో (12) ']")</f>
        <v>[ '2nd చాలా క్యాలెండర్ ఏడాది (1710) లో నడుస్తుంది', 'వరుస మ్యాచ్లలో 3 వ యాభైల్లో (11)' 'ఒక క్యాలెండర్ సంవత్సరంలో 2 వ అత్యధిక వందలు (7)', 'హండ్రెడ్ మరియు ఒక మ్యాచ్లో ఒక డక్', '8 వ జీవితంలో అత్యధిక సిక్సర్లు (84) ',' 3 వ 5000 పరుగులు (95) ',' 1 వ అత్యుత్తమ బౌలింగ్ ఇన్నింగ్స్ విశ్లేషణలలో వేగంగా (1/0) ',' 4 వ చెత్త కెరీర్లో సమ్మె రేటు (161.5) ',' 5000 పరుగులు మరియు 50 ఫీల్డింగ్ వికెట్లు ',' 6 వ అత్యంత ప్లేయర్ ఆఫ్ ది సిరీస్ అవార్డులు (7) ',' 1 వ ఇన్నింగ్స్ లో అత్యధిక పరుగులు (బ్యాటింగ్ స్థానంలో ప్రకారం) (189 *) ',' ఒక ఇన్నింగ్స్లో పరుగుల 1st అత్యధిక శాతం ( ఒక కెప్టెన్తో 69.48) ',' 2nd 5000 వేగంగా పరుగులు (114) ',' ఒక ఇన్నింగ్స్ లో 2 వ బెస్ట్ ఫిగర్స్ (6) ',' ఐదు వికెట్ల లో-ఒక-ఇన్నింగ్స్ తీసుకోవాలని 5 వ అత్యంత వృద్ధ ఆటగాడు (37y 230d) ' '8 వ ఒక సిరీస్లో అత్యధిక క్యాచ్లు (10)', 'ఎ ఏబది ఒక ఇన్నింగ్స్ లో ఐదు వికెట్లు', '1000 పరుగులు, 50 వికెట్లు, 50 క్యాచ్లు', '5000 పరుగులు మరియు 50 ఫీల్డింగ్ వికెట్లు', '1 వ అత్యధిక కొరకు చేసిన భాగస్వామ్యం పదవ వికెట్ను (106 *) ',' 9 వ అత్యంత ప్లేయర్ ఆఫ్ ది మ్యాచ్ అవార్డులు (41) ',' వరుస మ్యాచ్లలో 1st యాభైల్లో (12) ']</v>
      </c>
      <c r="C426" s="2" t="s">
        <v>329</v>
      </c>
      <c r="D426" s="2" t="str">
        <f>IFERROR(__xludf.DUMMYFUNCTION("IF(C426&lt;&gt;"""", GOOGLETRANSLATE(C426, ""en"", ""te""),"""")"),"[ 'వరుస 5 వ అత్యధిక పరుగులు (829)' 'ఒక క్యాలెండర్ సంవత్సరంలో 2 వ అత్యధిక పరుగులు (1710)' '25 వ అత్యధిక కెరీర్ లో పరుగులు (8540)', '36 వ ఇన్నింగ్స్ లో అత్యధిక పరుగులు (291)', ' 10 వ అత్యంత ఇన్నింగ్స్ లో నడుస్తుంది (బ్యాటింగ్ స్థానం) (291) ',' ఒక రోజు లో 46"&amp;" వ అత్యధిక పరుగులు (200) ',' 41 వ అత్యధిక కెరీర్ బ్యాటింగ్ సగటు (50.23) ',' ఇన్నింగ్స్ 28 వ అత్యధిక స్ట్రైక్ రేట్ (189.65) ',' 23 ఒక వృత్తిలో అత్యధిక వందలు (24) ',' వరుస (3) ',' 2 వ అత్యధిక డబుల్ వందల ఒక కెరీర్లో 27 వ అత్యధిక డబుల్ సెంచరీలు (2) ',' ఒక క్"&amp;"యాలెండర్ సంవత్సరంలో 2 వ అత్యధిక వందలు (7 ) ',' 15 వ ఒక జట్టు వ్యతిరేకంగా అత్యధిక వందలు (8) ',' వరుస మ్యాచ్లలో 21 వందల (3) ',' 15 వ అత్యంత అర్ధ కెరీర్లో (69) ',' వరుస ఇన్నింగ్స్లో 32 వ యాభైల్లో (5) ',' 3 వ వరుస మ్యాచ్లలో యాభైల్లో (11) ',' కెరీర్లో 8 వ ఎక"&amp;"్కువ సిక్స్ (84) ',' 27 వ కెరీర్ ఫోర్లు (952+) ',' 19 వ అత్యంత ఇన్నింగ్స్ లో సిక్సర్లు (7) ', '21 వ చాల వరకు ఒక లో ఫోర్లు ఇన్నింగ్స్ (38) ',' 3000 పరుగులు (54) ',' 3 వ ఫా ఒక ఇన్నింగ్స్ (152) ',' 7th 2000 వరకు వేగంగా పరుగులు (36) ',' 5 వ వేగవంతమైన లో ఫోర్"&amp;"లు, సిక్సర్లు నుండి 34 వ అత్యధిక పరుగులు stest 4000 పరుగులు (71) ',' 3 వ 5000 పరుగులు వేగంగా (95) ',' 10th 6000 పరుగులు (120) ',' 7000 పరుగులు (140) ',' 13 వ వేగవంతమైన 9 వేగవంతమైన 8000 పరుగులు వేగంగా (167 ) ',' 1 వ అత్యుత్తమ బౌలింగ్ ఇన్నింగ్స్ లో విశ్లే"&amp;"షించడం (1/0) ',' 14 వ చెత్త కెరీర్ బౌలింగ్ సరాసరి (61.37) ',' 4 వ చెత్త కెరీర్లో సమ్మె రేటు (161.5) ',' 20 వ అత్యధిక క్యాచ్లు కెరీర్లో (122) ' 'వరుస 42 వ అత్యధిక క్యాచ్లు (10)', 'మూడో వికెట్కు 27 అత్యధిక భాగస్వామ్యం (303)', 'కెరీర్లో 27 వ అత్యధిక మ్యాచ్లు"&amp;" (121)', 'ఎనిమిదవ వికెట్ (124) కోసం 46 వ అత్యధిక భాగస్వామ్యం', 'ఒక జట్టుకు 33 వ వరుస మ్యాచ్లు (61)', '25 వ అత్యంత ప్లేయర్ ఆఫ్ ది మ్యాచ్ అవార్డులు (10)', '15 వ అత్యధిక మ్యాచ్లు కెప్టెన్గా (50)', '29th ఓల్డెస్ట్ కాప్టెన్ (39y 158d)']")</f>
        <v>[ 'వరుస 5 వ అత్యధిక పరుగులు (829)' 'ఒక క్యాలెండర్ సంవత్సరంలో 2 వ అత్యధిక పరుగులు (1710)' '25 వ అత్యధిక కెరీర్ లో పరుగులు (8540)', '36 వ ఇన్నింగ్స్ లో అత్యధిక పరుగులు (291)', ' 10 వ అత్యంత ఇన్నింగ్స్ లో నడుస్తుంది (బ్యాటింగ్ స్థానం) (291) ',' ఒక రోజు లో 46 వ అత్యధిక పరుగులు (200) ',' 41 వ అత్యధిక కెరీర్ బ్యాటింగ్ సగటు (50.23) ',' ఇన్నింగ్స్ 28 వ అత్యధిక స్ట్రైక్ రేట్ (189.65) ',' 23 ఒక వృత్తిలో అత్యధిక వందలు (24) ',' వరుస (3) ',' 2 వ అత్యధిక డబుల్ వందల ఒక కెరీర్లో 27 వ అత్యధిక డబుల్ సెంచరీలు (2) ',' ఒక క్యాలెండర్ సంవత్సరంలో 2 వ అత్యధిక వందలు (7 ) ',' 15 వ ఒక జట్టు వ్యతిరేకంగా అత్యధిక వందలు (8) ',' వరుస మ్యాచ్లలో 21 వందల (3) ',' 15 వ అత్యంత అర్ధ కెరీర్లో (69) ',' వరుస ఇన్నింగ్స్లో 32 వ యాభైల్లో (5) ',' 3 వ వరుస మ్యాచ్లలో యాభైల్లో (11) ',' కెరీర్లో 8 వ ఎక్కువ సిక్స్ (84) ',' 27 వ కెరీర్ ఫోర్లు (952+) ',' 19 వ అత్యంత ఇన్నింగ్స్ లో సిక్సర్లు (7) ', '21 వ చాల వరకు ఒక లో ఫోర్లు ఇన్నింగ్స్ (38) ',' 3000 పరుగులు (54) ',' 3 వ ఫా ఒక ఇన్నింగ్స్ (152) ',' 7th 2000 వరకు వేగంగా పరుగులు (36) ',' 5 వ వేగవంతమైన లో ఫోర్లు, సిక్సర్లు నుండి 34 వ అత్యధిక పరుగులు stest 4000 పరుగులు (71) ',' 3 వ 5000 పరుగులు వేగంగా (95) ',' 10th 6000 పరుగులు (120) ',' 7000 పరుగులు (140) ',' 13 వ వేగవంతమైన 9 వేగవంతమైన 8000 పరుగులు వేగంగా (167 ) ',' 1 వ అత్యుత్తమ బౌలింగ్ ఇన్నింగ్స్ లో విశ్లేషించడం (1/0) ',' 14 వ చెత్త కెరీర్ బౌలింగ్ సరాసరి (61.37) ',' 4 వ చెత్త కెరీర్లో సమ్మె రేటు (161.5) ',' 20 వ అత్యధిక క్యాచ్లు కెరీర్లో (122) ' 'వరుస 42 వ అత్యధిక క్యాచ్లు (10)', 'మూడో వికెట్కు 27 అత్యధిక భాగస్వామ్యం (303)', 'కెరీర్లో 27 వ అత్యధిక మ్యాచ్లు (121)', 'ఎనిమిదవ వికెట్ (124) కోసం 46 వ అత్యధిక భాగస్వామ్యం', 'ఒక జట్టుకు 33 వ వరుస మ్యాచ్లు (61)', '25 వ అత్యంత ప్లేయర్ ఆఫ్ ది మ్యాచ్ అవార్డులు (10)', '15 వ అత్యధిక మ్యాచ్లు కెప్టెన్గా (50)', '29th ఓల్డెస్ట్ కాప్టెన్ (39y 158d)']</v>
      </c>
      <c r="E426" s="2" t="s">
        <v>330</v>
      </c>
      <c r="F426" s="2" t="str">
        <f>IFERROR(__xludf.DUMMYFUNCTION("IF(E426&lt;&gt;"""", GOOGLETRANSLATE(E426, ""en"", ""te""),"""")"),"[ '49 వ కెరీర్ లో అత్యధిక పరుగులు (6721)', '12 వ ఇన్నింగ్స్ లో అత్యధిక పరుగులు (189 *)', 'ఇన్నింగ్స్ లో 7 వ అత్యధిక పరుగులు (ప్రగతిశీల రికార్డు హోల్డర్) (189 *)', '4 వ ఒక సిరీస్లో అత్యధిక పరుగులు (651) ',' 43 వ ఒక క్యాలెండర్ సంవత్సరంలో అత్యధిక పరుగులు (12"&amp;"31) ',' 1 వ ఇన్నింగ్స్ లో అత్యధిక పరుగులు (బ్యాటింగ్ స్థానంలో ద్వారా) ఒక కెప్టెన్ (391) ద్వారా (189 *) ',' 26 ఒక సిరీస్లో అత్యధిక పరుగులు ' 'ఒక కెప్టెన్తో ఇన్నింగ్స్ లో 5 వ అత్యధిక పరుగులు (181)', '24 వ అత్యధిక కెరీర్ బ్యాటింగ్ సగటు (47.00)', '41 వ ఒక వృత"&amp;"్తిలో అత్యధిక వందలు (11)', '30 వ అత్యంత వృద్ధ ఆటగాడు వంద (35y 304d స్కోర్ ) ',' 40 వ అత్యంత అర్ధ కెరీర్లో (56) ',' వరుస ఇన్నింగ్స్లో 44 వ యాభైల్లో (4) ',' 25 వ ఎక్కువ సిక్స్ కెరీర్లో (126+) ',' 46 వ కెరీర్ ఫోర్లు (600 +) ',' ఒక ఇన్నింగ్స్ లో 14 వ అత్యంత "&amp;"ఫోర్లు (21) ',' 24 వ ఇన్నింగ్స్ లో ఫోర్లు, సిక్సర్లు నుండి అత్యధిక పరుగులు (114) ',' 9 వ లాంగెస్ట్ వ్యక్తిగత ఇన్నింగ్స్ (బంతులతో) (170) ',' 1st ఒక లో పరుగులు అత్యధిక శాతం పూర్తి ఇన్నింగ్స్ (69.48) ',' 3 వ 1000 పరుగులు (21) 2000 పరుగులు ',' 7 వ వేగవంతమైన "&amp;"(48) ',' 3000 పరుగులు (69) వేగంగా 4 వ ',' 400 2nd వేగంగా వేగంగా 0 పరుగులు (88) ',' 2nd 5000 వేగంగా పరుగులు (114) ',' ఒక కెప్టెన్తో ఒక ఇన్నింగ్స్ లో 6000 పరుగులు (141) ',' 2 వ ఉత్తమ లెక్కల వేగవంతమైన 4 వ (6) ',' 43 వ అత్యంత ఐదు-వికెట్ల -ఇన్-ఒక-ఇన్నింగ్స్ క"&amp;"ెరీర్లో (2) ',' 5 వ ఓల్డెస్ట్ క్రీడాకారుడు ఐదు-వికెట్ల లో-ఒక-ఇన్నింగ్స్ తీసుకోవాలని (37y 230d) ',' 8 వ అత్యంత వృద్ధ ఆటగాడు తొలి తీసుకుని ఐదు-వికెట్ల లో-ఒక -innings (35y 11d) ',' 14 వ అత్యధిక వికెట్లు ఆకర్షించింది తీసుకున్న మరియు ఒక సిరీస్లో బౌల్డ్ (13) ',"&amp;"' 28th అత్యధిక వికెట్లు కెరీర్లో తీసుకున్న స్టంప్ (12) ',' 31 అత్యధిక క్యాచ్లు (100) ',' 8 వ అత్యధిక క్యాచ్లు (10) ',' 10 వ అత్యధిక భాగస్వామ్యాలు వికెట్ (10 వ) ద్వారా ',' ఐదవ వికెట్కు 39 వ అత్యధిక భాగస్వామ్యం (152) ',' పదవ వికెట్ను (106 *) 1 వ అత్యధిక భాగ"&amp;"స్వామ్యం ',' 45 వ వరుస ఒక మ్యాచ్ జట్టు (74) ',' 7 వ అత్యంత ప్లేయర్ ఆఫ్ ది మ్యాచ్ అవార్డులు (31) ',' 6 వ అత్యంత ప్లేయర్ ఆఫ్ ది సిరీస్ అవార్డులు (7) ',' 40 వ లాంగెస్ట్ కెరీర్లు (15y 354d) ',' 19 కెప్టెన్గా అత్యధిక మ్యాచ్లు (105) ',' 12 వ వరుస మ్యాచ్లు ఒక జట"&amp;"్టు కెప్టెన్గా (54) ', '21 వ ఓల్డెస్ట్ కాప్టెన్ (39y 81d)']")</f>
        <v>[ '49 వ కెరీర్ లో అత్యధిక పరుగులు (6721)', '12 వ ఇన్నింగ్స్ లో అత్యధిక పరుగులు (189 *)', 'ఇన్నింగ్స్ లో 7 వ అత్యధిక పరుగులు (ప్రగతిశీల రికార్డు హోల్డర్) (189 *)', '4 వ ఒక సిరీస్లో అత్యధిక పరుగులు (651) ',' 43 వ ఒక క్యాలెండర్ సంవత్సరంలో అత్యధిక పరుగులు (1231) ',' 1 వ ఇన్నింగ్స్ లో అత్యధిక పరుగులు (బ్యాటింగ్ స్థానంలో ద్వారా) ఒక కెప్టెన్ (391) ద్వారా (189 *) ',' 26 ఒక సిరీస్లో అత్యధిక పరుగులు ' 'ఒక కెప్టెన్తో ఇన్నింగ్స్ లో 5 వ అత్యధిక పరుగులు (181)', '24 వ అత్యధిక కెరీర్ బ్యాటింగ్ సగటు (47.00)', '41 వ ఒక వృత్తిలో అత్యధిక వందలు (11)', '30 వ అత్యంత వృద్ధ ఆటగాడు వంద (35y 304d స్కోర్ ) ',' 40 వ అత్యంత అర్ధ కెరీర్లో (56) ',' వరుస ఇన్నింగ్స్లో 44 వ యాభైల్లో (4) ',' 25 వ ఎక్కువ సిక్స్ కెరీర్లో (126+) ',' 46 వ కెరీర్ ఫోర్లు (600 +) ',' ఒక ఇన్నింగ్స్ లో 14 వ అత్యంత ఫోర్లు (21) ',' 24 వ ఇన్నింగ్స్ లో ఫోర్లు, సిక్సర్లు నుండి అత్యధిక పరుగులు (114) ',' 9 వ లాంగెస్ట్ వ్యక్తిగత ఇన్నింగ్స్ (బంతులతో) (170) ',' 1st ఒక లో పరుగులు అత్యధిక శాతం పూర్తి ఇన్నింగ్స్ (69.48) ',' 3 వ 1000 పరుగులు (21) 2000 పరుగులు ',' 7 వ వేగవంతమైన (48) ',' 3000 పరుగులు (69) వేగంగా 4 వ ',' 400 2nd వేగంగా వేగంగా 0 పరుగులు (88) ',' 2nd 5000 వేగంగా పరుగులు (114) ',' ఒక కెప్టెన్తో ఒక ఇన్నింగ్స్ లో 6000 పరుగులు (141) ',' 2 వ ఉత్తమ లెక్కల వేగవంతమైన 4 వ (6) ',' 43 వ అత్యంత ఐదు-వికెట్ల -ఇన్-ఒక-ఇన్నింగ్స్ కెరీర్లో (2) ',' 5 వ ఓల్డెస్ట్ క్రీడాకారుడు ఐదు-వికెట్ల లో-ఒక-ఇన్నింగ్స్ తీసుకోవాలని (37y 230d) ',' 8 వ అత్యంత వృద్ధ ఆటగాడు తొలి తీసుకుని ఐదు-వికెట్ల లో-ఒక -innings (35y 11d) ',' 14 వ అత్యధిక వికెట్లు ఆకర్షించింది తీసుకున్న మరియు ఒక సిరీస్లో బౌల్డ్ (13) ',' 28th అత్యధిక వికెట్లు కెరీర్లో తీసుకున్న స్టంప్ (12) ',' 31 అత్యధిక క్యాచ్లు (100) ',' 8 వ అత్యధిక క్యాచ్లు (10) ',' 10 వ అత్యధిక భాగస్వామ్యాలు వికెట్ (10 వ) ద్వారా ',' ఐదవ వికెట్కు 39 వ అత్యధిక భాగస్వామ్యం (152) ',' పదవ వికెట్ను (106 *) 1 వ అత్యధిక భాగస్వామ్యం ',' 45 వ వరుస ఒక మ్యాచ్ జట్టు (74) ',' 7 వ అత్యంత ప్లేయర్ ఆఫ్ ది మ్యాచ్ అవార్డులు (31) ',' 6 వ అత్యంత ప్లేయర్ ఆఫ్ ది సిరీస్ అవార్డులు (7) ',' 40 వ లాంగెస్ట్ కెరీర్లు (15y 354d) ',' 19 కెప్టెన్గా అత్యధిక మ్యాచ్లు (105) ',' 12 వ వరుస మ్యాచ్లు ఒక జట్టు కెప్టెన్గా (54) ', '21 వ ఓల్డెస్ట్ కాప్టెన్ (39y 81d)']</v>
      </c>
      <c r="G426" s="2" t="s">
        <v>331</v>
      </c>
      <c r="H426" s="2" t="str">
        <f>IFERROR(__xludf.DUMMYFUNCTION("IF(G426&lt;&gt;"""", GOOGLETRANSLATE(G426, ""en"", ""te""),"""")"),"[ '12 వ అత్యంత బృందం (54) కెప్టెన్ గా వరుస మ్యాచ్లు']")</f>
        <v>[ '12 వ అత్యంత బృందం (54) కెప్టెన్ గా వరుస మ్యాచ్లు']</v>
      </c>
      <c r="I426" s="3"/>
    </row>
    <row r="427" customHeight="1" spans="1:9">
      <c r="A427" s="2" t="s">
        <v>332</v>
      </c>
      <c r="B427" s="2" t="str">
        <f>IFERROR(__xludf.DUMMYFUNCTION("IF(A427&lt;&gt;"""", GOOGLETRANSLATE(A427, ""en"", ""te""),"""")"),"[ 'ఒక జట్టుతో 9 వ అత్యధిక వందలు (9)', 'హండ్రెడ్ మరియు ఒక మ్యాచ్లో ఒక డక్', '5000 పరుగులు మరియు 50 ఫీల్డింగ్ వికెట్లు', 'ఒక జట్టు 5 వ వరుస మ్యాచ్లు (132)' '99 నాటౌట్ ( 199, 299 etc) ఒక ఇన్నింగ్స్ లో (99 *) ',' 5 వ అత్యధిక వరుస ఇన్నింగ్స్లో డకౌట్ (92 *) లేక"&amp;"ుండా ',' 2 వ అత్యధిక క్యాచ్లు (4) ',' 5000 పరుగులు మరియు 50 ఫీల్డింగ్ వికెట్లు ',' 9 వ అత్యంత ఒక జట్టు (134) కోసం ఒక మ్యాచ్ రిఫరీ గా మ్యాచ్లు (39) ',' 8 వ వరుస మ్యాచ్లు ']")</f>
        <v>[ 'ఒక జట్టుతో 9 వ అత్యధిక వందలు (9)', 'హండ్రెడ్ మరియు ఒక మ్యాచ్లో ఒక డక్', '5000 పరుగులు మరియు 50 ఫీల్డింగ్ వికెట్లు', 'ఒక జట్టు 5 వ వరుస మ్యాచ్లు (132)' '99 నాటౌట్ ( 199, 299 etc) ఒక ఇన్నింగ్స్ లో (99 *) ',' 5 వ అత్యధిక వరుస ఇన్నింగ్స్లో డకౌట్ (92 *) లేకుండా ',' 2 వ అత్యధిక క్యాచ్లు (4) ',' 5000 పరుగులు మరియు 50 ఫీల్డింగ్ వికెట్లు ',' 9 వ అత్యంత ఒక జట్టు (134) కోసం ఒక మ్యాచ్ రిఫరీ గా మ్యాచ్లు (39) ',' 8 వ వరుస మ్యాచ్లు ']</v>
      </c>
      <c r="C427" s="2" t="s">
        <v>333</v>
      </c>
      <c r="D427" s="2" t="str">
        <f>IFERROR(__xludf.DUMMYFUNCTION("IF(C427&lt;&gt;"""", GOOGLETRANSLATE(C427, ""en"", ""te""),"""")"),"[ 'ఒక జట్టుతో 9 వ అత్యధిక వందలు (9)', 'ఫాస్టెస్ట్ 48 వ' ఒక డక్ (96) లేకుండా 2 అత్యధిక వరుస ఇన్నింగ్స్ '4000 పరుగులు 40 వ 99 (199, 299 etc) తీసివేసిన (99)', ( 93) ',' కెరీర్ లో 5000 పరుగులు (116) ',' 49 వ అత్యధిక క్యాచ్లు వేగంగా 39 వ (90) ',' మూడో వికెట్కు"&amp;" 24 అత్యధిక భాగస్వామ్యం (308) ',' 42 వ వరుస అన్ని టాస్ గెలిచిన (4) ',' 14 వ అత్యంత ఒక మ్యాచ్ రిఫరీ (31) గా పేర్కొంటే ']")</f>
        <v>[ 'ఒక జట్టుతో 9 వ అత్యధిక వందలు (9)', 'ఫాస్టెస్ట్ 48 వ' ఒక డక్ (96) లేకుండా 2 అత్యధిక వరుస ఇన్నింగ్స్ '4000 పరుగులు 40 వ 99 (199, 299 etc) తీసివేసిన (99)', ( 93) ',' కెరీర్ లో 5000 పరుగులు (116) ',' 49 వ అత్యధిక క్యాచ్లు వేగంగా 39 వ (90) ',' మూడో వికెట్కు 24 అత్యధిక భాగస్వామ్యం (308) ',' 42 వ వరుస అన్ని టాస్ గెలిచిన (4) ',' 14 వ అత్యంత ఒక మ్యాచ్ రిఫరీ (31) గా పేర్కొంటే ']</v>
      </c>
      <c r="E427" s="2" t="s">
        <v>334</v>
      </c>
      <c r="F427" s="2" t="str">
        <f>IFERROR(__xludf.DUMMYFUNCTION("IF(E427&lt;&gt;"""", GOOGLETRANSLATE(E427, ""en"", ""te""),"""")"),"[ 'ఒక డక్ (92 *) లేకుండా 5 వ అత్యధిక వరుస ఇన్నింగ్స్', '(6) కెరీర్లో 8 వ అత్యంత తొంభైల' 'ఇన్నింగ్స్ లో 2 వ అత్యధిక క్యాచ్లు (4)', 'మూడో వికెట్ (187) కోసం 44 వ అత్యధిక భాగస్వామ్యం' , '(154) ఆరవ వికెట్కు 14 అత్యధిక భాగస్వామ్యం', 'ఒక జట్టు 5 వ వరుస మ్యాచ్లు"&amp;" (132)', '25 వ అత్యధిక మ్యాచ్లు కెప్టెన్గా (87)', '15 వ వరుస మ్యాచ్లు ఒక జట్టు కెప్టెన్గా (51 ) ',' 20 వ వరుస అన్ని టాస్ గెలిచిన (5) ',' 19 వ ఒక మ్యాచ్ రిఫరీ గా అత్యధిక మ్యాచ్లు (57) ']")</f>
        <v>[ 'ఒక డక్ (92 *) లేకుండా 5 వ అత్యధిక వరుస ఇన్నింగ్స్', '(6) కెరీర్లో 8 వ అత్యంత తొంభైల' 'ఇన్నింగ్స్ లో 2 వ అత్యధిక క్యాచ్లు (4)', 'మూడో వికెట్ (187) కోసం 44 వ అత్యధిక భాగస్వామ్యం' , '(154) ఆరవ వికెట్కు 14 అత్యధిక భాగస్వామ్యం', 'ఒక జట్టు 5 వ వరుస మ్యాచ్లు (132)', '25 వ అత్యధిక మ్యాచ్లు కెప్టెన్గా (87)', '15 వ వరుస మ్యాచ్లు ఒక జట్టు కెప్టెన్గా (51 ) ',' 20 వ వరుస అన్ని టాస్ గెలిచిన (5) ',' 19 వ ఒక మ్యాచ్ రిఫరీ గా అత్యధిక మ్యాచ్లు (57) ']</v>
      </c>
      <c r="G427" s="2" t="s">
        <v>335</v>
      </c>
      <c r="H427" s="2" t="str">
        <f>IFERROR(__xludf.DUMMYFUNCTION("IF(G427&lt;&gt;"""", GOOGLETRANSLATE(G427, ""en"", ""te""),"""")"),"[ '15 వ అత్యంత ఒక జట్టు కెప్టెన్గా వరుస మ్యాచ్లు (51)', '9 వ మ్యాచ్ రిఫరీ గా అత్యధిక మ్యాచ్లు (39)']")</f>
        <v>[ '15 వ అత్యంత ఒక జట్టు కెప్టెన్గా వరుస మ్యాచ్లు (51)', '9 వ మ్యాచ్ రిఫరీ గా అత్యధిక మ్యాచ్లు (39)']</v>
      </c>
      <c r="I427" s="3"/>
    </row>
    <row r="428" customHeight="1" spans="1:9">
      <c r="A428" s="2"/>
      <c r="B428" s="2" t="str">
        <f>IFERROR(__xludf.DUMMYFUNCTION("IF(A428&lt;&gt;"""", GOOGLETRANSLATE(A428, ""en"", ""te""),"""")"),"")</f>
        <v/>
      </c>
      <c r="C428" s="2" t="s">
        <v>336</v>
      </c>
      <c r="D428" s="2" t="str">
        <f>IFERROR(__xludf.DUMMYFUNCTION("IF(C428&lt;&gt;"""", GOOGLETRANSLATE(C428, ""en"", ""te""),"""")"),"[ '28 ఒక రోజు (209) అత్యధిక పరుగులు']")</f>
        <v>[ '28 ఒక రోజు (209) అత్యధిక పరుగులు']</v>
      </c>
      <c r="E428" s="2"/>
      <c r="F428" s="2" t="str">
        <f>IFERROR(__xludf.DUMMYFUNCTION("IF(E428&lt;&gt;"""", GOOGLETRANSLATE(E428, ""en"", ""te""),"""")"),"")</f>
        <v/>
      </c>
      <c r="G428" s="2"/>
      <c r="H428" s="2" t="str">
        <f>IFERROR(__xludf.DUMMYFUNCTION("IF(G428&lt;&gt;"""", GOOGLETRANSLATE(G428, ""en"", ""te""),"""")"),"")</f>
        <v/>
      </c>
      <c r="I428" s="3"/>
    </row>
    <row r="429" customHeight="1" spans="1:9">
      <c r="A429" s="2"/>
      <c r="B429" s="2" t="str">
        <f>IFERROR(__xludf.DUMMYFUNCTION("IF(A429&lt;&gt;"""", GOOGLETRANSLATE(A429, ""en"", ""te""),"""")"),"")</f>
        <v/>
      </c>
      <c r="C429" s="2"/>
      <c r="D429" s="2" t="str">
        <f>IFERROR(__xludf.DUMMYFUNCTION("IF(C429&lt;&gt;"""", GOOGLETRANSLATE(C429, ""en"", ""te""),"""")"),"")</f>
        <v/>
      </c>
      <c r="E429" s="2"/>
      <c r="F429" s="2" t="str">
        <f>IFERROR(__xludf.DUMMYFUNCTION("IF(E429&lt;&gt;"""", GOOGLETRANSLATE(E429, ""en"", ""te""),"""")"),"")</f>
        <v/>
      </c>
      <c r="G429" s="2"/>
      <c r="H429" s="2" t="str">
        <f>IFERROR(__xludf.DUMMYFUNCTION("IF(G429&lt;&gt;"""", GOOGLETRANSLATE(G429, ""en"", ""te""),"""")"),"")</f>
        <v/>
      </c>
      <c r="I429" s="3"/>
    </row>
    <row r="430" customHeight="1" spans="1:9">
      <c r="A430" s="2"/>
      <c r="B430" s="2" t="str">
        <f>IFERROR(__xludf.DUMMYFUNCTION("IF(A430&lt;&gt;"""", GOOGLETRANSLATE(A430, ""en"", ""te""),"""")"),"")</f>
        <v/>
      </c>
      <c r="C430" s="2"/>
      <c r="D430" s="2" t="str">
        <f>IFERROR(__xludf.DUMMYFUNCTION("IF(C430&lt;&gt;"""", GOOGLETRANSLATE(C430, ""en"", ""te""),"""")"),"")</f>
        <v/>
      </c>
      <c r="E430" s="2"/>
      <c r="F430" s="2" t="str">
        <f>IFERROR(__xludf.DUMMYFUNCTION("IF(E430&lt;&gt;"""", GOOGLETRANSLATE(E430, ""en"", ""te""),"""")"),"")</f>
        <v/>
      </c>
      <c r="G430" s="2"/>
      <c r="H430" s="2" t="str">
        <f>IFERROR(__xludf.DUMMYFUNCTION("IF(G430&lt;&gt;"""", GOOGLETRANSLATE(G430, ""en"", ""te""),"""")"),"")</f>
        <v/>
      </c>
      <c r="I430" s="3"/>
    </row>
    <row r="431" customHeight="1" spans="1:9">
      <c r="A431" s="2"/>
      <c r="B431" s="2" t="str">
        <f>IFERROR(__xludf.DUMMYFUNCTION("IF(A431&lt;&gt;"""", GOOGLETRANSLATE(A431, ""en"", ""te""),"""")"),"")</f>
        <v/>
      </c>
      <c r="C431" s="2"/>
      <c r="D431" s="2" t="str">
        <f>IFERROR(__xludf.DUMMYFUNCTION("IF(C431&lt;&gt;"""", GOOGLETRANSLATE(C431, ""en"", ""te""),"""")"),"")</f>
        <v/>
      </c>
      <c r="E431" s="2" t="s">
        <v>337</v>
      </c>
      <c r="F431" s="2" t="str">
        <f>IFERROR(__xludf.DUMMYFUNCTION("IF(E431&lt;&gt;"""", GOOGLETRANSLATE(E431, ""en"", ""te""),"""")"),"[ '22 చెత్త కెరీర్ (అర్హత లేకుండా) సగటు బౌలింగ్ (91.00)']")</f>
        <v>[ '22 చెత్త కెరీర్ (అర్హత లేకుండా) సగటు బౌలింగ్ (91.00)']</v>
      </c>
      <c r="G431" s="2"/>
      <c r="H431" s="2" t="str">
        <f>IFERROR(__xludf.DUMMYFUNCTION("IF(G431&lt;&gt;"""", GOOGLETRANSLATE(G431, ""en"", ""te""),"""")"),"")</f>
        <v/>
      </c>
      <c r="I431" s="3"/>
    </row>
    <row r="432" customHeight="1" spans="1:9">
      <c r="A432" s="2" t="s">
        <v>338</v>
      </c>
      <c r="B432" s="2" t="str">
        <f>IFERROR(__xludf.DUMMYFUNCTION("IF(A432&lt;&gt;"""", GOOGLETRANSLATE(A432, ""en"", ""te""),"""")"),"[ 'వికెట్ను కాపాడుకున్నాడు చేసిన 6 వ కెప్టెన్ల (13)', '2000 పరుగులు మరియు 100 వికెట్ కీపింగ్ తొలగింపులకు', 'పదవ వికెట్కు 5 వ అత్యధిక భాగస్వామ్యం (143)', '5 వ ఇన్నింగ్స్ లో అత్యధిక పరుగులు (బ్యాటింగ్ స్థానంలో ప్రకారం) (128) ',' 2000 పరుగులు మరియు 100 వికెట"&amp;"్ కీపింగ్ తొలగింపులకు ',' కెరీర్ లో 2 వ అత్యధిక వికెట్లు (63) ',' 10 వ లాంగెస్ట్ కెరీర్లు (13y 293d) ',' కెరీర్ లో 2 వ అత్యధిక క్యాచ్లు (43) ',' 1 వ అత్యంత ఇన్నింగ్స్ లో స్టంపింగ్లు (4) ',' 2 వ అత్యంత ఇన్నింగ్స్ (12) ',' 7 వ ఇన్నింగ్స్ లో అత్యధిక పరుగులు "&amp;"(బ్యాటింగ్ స్థానంలో ప్రకారం) (44) ',' 9 వ కెరీర్ లో అత్యధిక వికెట్లు (468) ',' 9 వ అత్యధిక క్యాచ్లు సాధించింది బైస్ కెరీర్లో మొదటి డక్ (62) ముందు (429) ',' 6 వ అత్యంత ఇన్నింగ్స్]")</f>
        <v>[ 'వికెట్ను కాపాడుకున్నాడు చేసిన 6 వ కెప్టెన్ల (13)', '2000 పరుగులు మరియు 100 వికెట్ కీపింగ్ తొలగింపులకు', 'పదవ వికెట్కు 5 వ అత్యధిక భాగస్వామ్యం (143)', '5 వ ఇన్నింగ్స్ లో అత్యధిక పరుగులు (బ్యాటింగ్ స్థానంలో ప్రకారం) (128) ',' 2000 పరుగులు మరియు 100 వికెట్ కీపింగ్ తొలగింపులకు ',' కెరీర్ లో 2 వ అత్యధిక వికెట్లు (63) ',' 10 వ లాంగెస్ట్ కెరీర్లు (13y 293d) ',' కెరీర్ లో 2 వ అత్యధిక క్యాచ్లు (43) ',' 1 వ అత్యంత ఇన్నింగ్స్ లో స్టంపింగ్లు (4) ',' 2 వ అత్యంత ఇన్నింగ్స్ (12) ',' 7 వ ఇన్నింగ్స్ లో అత్యధిక పరుగులు (బ్యాటింగ్ స్థానంలో ప్రకారం) (44) ',' 9 వ కెరీర్ లో అత్యధిక వికెట్లు (468) ',' 9 వ అత్యధిక క్యాచ్లు సాధించింది బైస్ కెరీర్లో మొదటి డక్ (62) ముందు (429) ',' 6 వ అత్యంత ఇన్నింగ్స్]</v>
      </c>
      <c r="C432" s="2" t="s">
        <v>339</v>
      </c>
      <c r="D432" s="2" t="str">
        <f>IFERROR(__xludf.DUMMYFUNCTION("IF(C432&lt;&gt;"""", GOOGLETRANSLATE(C432, ""en"", ""te""),"""")"),"[ '11 వ ఇన్నింగ్స్ లో అత్యధిక పరుగులు (బ్యాటింగ్ స్థానంలో ప్రకారం) (166)', 'అత్యధిక వికెట్లు ఇన్నింగ్స్ 23 వ అత్యధిక పరుగులు (166)' 'మొదటి డక్ ముందు 35 వ అత్యంత ఇన్నింగ్స్ (35)', '5 వ అత్యధిక కొరకు చేసిన భాగస్వామ్యం పదవ వికెట్ను (143) ',' 47 వ వరుస అన్ని "&amp;"టాస్ గెలిచిన (3) ',' వికెట్ (13) ',' 16 వ కెరీర్ లో అత్యధిక వికెట్లు (217) ',' 14 వ అత్యధిక కెరీర్ లో క్యాచ్లు ఉంచింది చేసిన 6 వ కెప్టెన్ల (205) ',' 37 వ కెరీర్ స్టంపింగ్లు (12) ',' 48 వ అత్యధిక ఇన్నింగ్స్ బై గూడా ఇవ్వకుండా మొత్తం (551/3) ']")</f>
        <v>[ '11 వ ఇన్నింగ్స్ లో అత్యధిక పరుగులు (బ్యాటింగ్ స్థానంలో ప్రకారం) (166)', 'అత్యధిక వికెట్లు ఇన్నింగ్స్ 23 వ అత్యధిక పరుగులు (166)' 'మొదటి డక్ ముందు 35 వ అత్యంత ఇన్నింగ్స్ (35)', '5 వ అత్యధిక కొరకు చేసిన భాగస్వామ్యం పదవ వికెట్ను (143) ',' 47 వ వరుస అన్ని టాస్ గెలిచిన (3) ',' వికెట్ (13) ',' 16 వ కెరీర్ లో అత్యధిక వికెట్లు (217) ',' 14 వ అత్యధిక కెరీర్ లో క్యాచ్లు ఉంచింది చేసిన 6 వ కెప్టెన్ల (205) ',' 37 వ కెరీర్ స్టంపింగ్లు (12) ',' 48 వ అత్యధిక ఇన్నింగ్స్ బై గూడా ఇవ్వకుండా మొత్తం (551/3) ']</v>
      </c>
      <c r="E432" s="2" t="s">
        <v>340</v>
      </c>
      <c r="F432" s="2" t="str">
        <f>IFERROR(__xludf.DUMMYFUNCTION("IF(E432&lt;&gt;"""", GOOGLETRANSLATE(E432, ""en"", ""te""),"""")"),"[ 'ఇన్నింగ్స్ లో 5 వ అత్యధిక పరుగులు (బ్యాటింగ్ స్థానంలో ప్రకారం) (128)', 'అత్యధిక వికెట్లు ఇన్నింగ్స్ లో 7 వ అత్యధిక పరుగులు (169)', 'ఒక డక్ లేకుండా 46 వ వరుస ఇన్నింగ్స్ (62)', '49 వ అతి తక్కువ బాతులు కెరీర్లో (27.5) ',' 13 వ ఇన్నింగ్స్ లో వచ్చిన ఎక్కువ "&amp;"సిక్స్ (11) ',' ఆరవ వికెట్కు 20 వ అత్యధిక భాగస్వామ్యం (145) ',' పదవ వికెట్కు 13 వ అత్యధిక భాగస్వామ్యం (64) ',' 31 కలిగిన కెప్టెన్ల ఉంచింది వికెట్ (1) ',' 14 వ కెరీర్ లో అత్యధిక వికెట్లు (188) ',' 16 వ ఇన్నింగ్స్ లో అత్యధిక వికెట్లు (5) ',' 11 వ కెరీర్ లో "&amp;"అత్యధిక క్యాచ్లు (181) ',' 11 వ అత్యధిక క్యాచ్లు ఒక ఇన్నింగ్స్ లో (5 ) ',' 38 వ ఒక సిరీస్లో అత్యధిక క్యాచ్లు (13) ']")</f>
        <v>[ 'ఇన్నింగ్స్ లో 5 వ అత్యధిక పరుగులు (బ్యాటింగ్ స్థానంలో ప్రకారం) (128)', 'అత్యధిక వికెట్లు ఇన్నింగ్స్ లో 7 వ అత్యధిక పరుగులు (169)', 'ఒక డక్ లేకుండా 46 వ వరుస ఇన్నింగ్స్ (62)', '49 వ అతి తక్కువ బాతులు కెరీర్లో (27.5) ',' 13 వ ఇన్నింగ్స్ లో వచ్చిన ఎక్కువ సిక్స్ (11) ',' ఆరవ వికెట్కు 20 వ అత్యధిక భాగస్వామ్యం (145) ',' పదవ వికెట్కు 13 వ అత్యధిక భాగస్వామ్యం (64) ',' 31 కలిగిన కెప్టెన్ల ఉంచింది వికెట్ (1) ',' 14 వ కెరీర్ లో అత్యధిక వికెట్లు (188) ',' 16 వ ఇన్నింగ్స్ లో అత్యధిక వికెట్లు (5) ',' 11 వ కెరీర్ లో అత్యధిక క్యాచ్లు (181) ',' 11 వ అత్యధిక క్యాచ్లు ఒక ఇన్నింగ్స్ లో (5 ) ',' 38 వ ఒక సిరీస్లో అత్యధిక క్యాచ్లు (13) ']</v>
      </c>
      <c r="G432" s="2" t="s">
        <v>341</v>
      </c>
      <c r="H432" s="2" t="str">
        <f>IFERROR(__xludf.DUMMYFUNCTION("IF(G432&lt;&gt;"""", GOOGLETRANSLATE(G432, ""en"", ""te""),"""")"),"[ '7th చాలా ఇన్నింగ్స్ లో నడుస్తుంది (బ్యాటింగ్ స్థానం) (44)', '25 వ అత్యంత ఇన్నింగ్స్ తొలి డక్ ముందు (21)', 'కెరీర్లో 38 వ అతి తక్కువ బాతులు (16.66)', '36 వ కెరీర్ లో అత్యధిక మ్యాచ్లు (71) ',' 10 వ లాంగెస్ట్ కెరీర్లు (13y 293d) ',' 22 వ పిన్న కాప్టెన్ (2"&amp;"4y 2d) ',' వికెట్ (3) ఉంచింది చేసిన 24 కెప్టెన్ల ',' కెరీర్ లో 2 వ అత్యధిక వికెట్లు (63) ',' 5 వ అత్యధిక వికెట్లు లో ఇన్నింగ్స్ (4) ',' 2 వ అత్యధిక క్యాచ్లు కెరీర్లో (43) ',' ఇన్నింగ్స్ లో 3 వ అత్యధిక క్యాచ్లు (4) ',' 5 వ కెరీర్ స్టంపింగ్లు (20) ',' 1 వ ఇ"&amp;"న్నింగ్స్ లో వచ్చిన ఎక్కువ స్టంపింగ్లు (4 ) ',' 2 వ అత్యంత ఇన్నింగ్స్ లో (సాధించిన బైస్ 12) ']")</f>
        <v>[ '7th చాలా ఇన్నింగ్స్ లో నడుస్తుంది (బ్యాటింగ్ స్థానం) (44)', '25 వ అత్యంత ఇన్నింగ్స్ తొలి డక్ ముందు (21)', 'కెరీర్లో 38 వ అతి తక్కువ బాతులు (16.66)', '36 వ కెరీర్ లో అత్యధిక మ్యాచ్లు (71) ',' 10 వ లాంగెస్ట్ కెరీర్లు (13y 293d) ',' 22 వ పిన్న కాప్టెన్ (24y 2d) ',' వికెట్ (3) ఉంచింది చేసిన 24 కెప్టెన్ల ',' కెరీర్ లో 2 వ అత్యధిక వికెట్లు (63) ',' 5 వ అత్యధిక వికెట్లు లో ఇన్నింగ్స్ (4) ',' 2 వ అత్యధిక క్యాచ్లు కెరీర్లో (43) ',' ఇన్నింగ్స్ లో 3 వ అత్యధిక క్యాచ్లు (4) ',' 5 వ కెరీర్ స్టంపింగ్లు (20) ',' 1 వ ఇన్నింగ్స్ లో వచ్చిన ఎక్కువ స్టంపింగ్లు (4 ) ',' 2 వ అత్యంత ఇన్నింగ్స్ లో (సాధించిన బైస్ 12) ']</v>
      </c>
      <c r="I432" s="3"/>
    </row>
    <row r="433" customHeight="1" spans="1:9">
      <c r="A433" s="2" t="s">
        <v>342</v>
      </c>
      <c r="B433" s="2" t="str">
        <f>IFERROR(__xludf.DUMMYFUNCTION("IF(A433&lt;&gt;"""", GOOGLETRANSLATE(A433, ""en"", ""te""),"""")"),"[ '3 వ వరుస మ్యాచ్లు ఆడి మధ్య జట్టు (109) కోసం తప్పిన']")</f>
        <v>[ '3 వ వరుస మ్యాచ్లు ఆడి మధ్య జట్టు (109) కోసం తప్పిన']</v>
      </c>
      <c r="C433" s="2" t="s">
        <v>343</v>
      </c>
      <c r="D433" s="2" t="str">
        <f>IFERROR(__xludf.DUMMYFUNCTION("IF(C433&lt;&gt;"""", GOOGLETRANSLATE(C433, ""en"", ""te""),"""")"),"[ 'ప్రదర్శనలు (10y 172d) మధ్య 21 వ లాంగెస్ట్ వ్యవధిలో' 'ప్రదర్శనల మధ్య ఒక జట్టుకు దూరమయ్యాడు 3 వ వరుస మ్యాచ్లు (109)', 'కెప్టెన్సీ తొలి 28 ఓల్డెస్ట్ కాప్టెన్ (36y 351d)']")</f>
        <v>[ 'ప్రదర్శనలు (10y 172d) మధ్య 21 వ లాంగెస్ట్ వ్యవధిలో' 'ప్రదర్శనల మధ్య ఒక జట్టుకు దూరమయ్యాడు 3 వ వరుస మ్యాచ్లు (109)', 'కెప్టెన్సీ తొలి 28 ఓల్డెస్ట్ కాప్టెన్ (36y 351d)']</v>
      </c>
      <c r="E433" s="2" t="s">
        <v>344</v>
      </c>
      <c r="F433" s="2" t="str">
        <f>IFERROR(__xludf.DUMMYFUNCTION("IF(E433&lt;&gt;"""", GOOGLETRANSLATE(E433, ""en"", ""te""),"""")"),"[ 'ప్రదర్శనల మధ్య 4 వ లాంగెస్ట్ వ్యవధిలో (10y 169d)', '36 వ ఓల్డెస్ట్ కాప్టెన్ (37y 69d)' '2 వ వరుస మ్యాచ్లు ఆడి మధ్య జట్టు (254) కోసం తప్పిన', 'కెప్టెన్సీ తొలి 18 వ ఓల్డెస్ట్ కాప్టెన్ (37y 3) ']")</f>
        <v>[ 'ప్రదర్శనల మధ్య 4 వ లాంగెస్ట్ వ్యవధిలో (10y 169d)', '36 వ ఓల్డెస్ట్ కాప్టెన్ (37y 69d)' '2 వ వరుస మ్యాచ్లు ఆడి మధ్య జట్టు (254) కోసం తప్పిన', 'కెప్టెన్సీ తొలి 18 వ ఓల్డెస్ట్ కాప్టెన్ (37y 3) ']</v>
      </c>
      <c r="G433" s="2" t="s">
        <v>345</v>
      </c>
      <c r="H433" s="2" t="str">
        <f>IFERROR(__xludf.DUMMYFUNCTION("IF(G433&lt;&gt;"""", GOOGLETRANSLATE(G433, ""en"", ""te""),"""")"),"[ '39 వ పురాతన దేశం ఆటగాళ్ళు (48y 235d)', '39 వ ఓల్డెస్ట్ కాప్టెన్ (37y 10d)', '29th ఓల్డెస్ట్ కెప్టెన్లు కెప్టెన్సీ ప్రవేశం (37y 10d) న']")</f>
        <v>[ '39 వ పురాతన దేశం ఆటగాళ్ళు (48y 235d)', '39 వ ఓల్డెస్ట్ కాప్టెన్ (37y 10d)', '29th ఓల్డెస్ట్ కెప్టెన్లు కెప్టెన్సీ ప్రవేశం (37y 10d) న']</v>
      </c>
      <c r="I433" s="3"/>
    </row>
    <row r="434" customHeight="1" spans="1:9">
      <c r="A434" s="2" t="s">
        <v>346</v>
      </c>
      <c r="B434" s="2" t="str">
        <f>IFERROR(__xludf.DUMMYFUNCTION("IF(A434&lt;&gt;"""", GOOGLETRANSLATE(A434, ""en"", ""te""),"""")"),"[ 'ఒక మ్యాచ్లో 5 వ ఉత్తమ సంఖ్యలు ఉన్నప్పుడు పరాజయం వైపు (12)', '100 వికెట్లు 7 వేగంగా (19)', పదవ వికెట్కు, '8 వ అత్యధిక భాగస్వామ్యం' 7th సగటు (20.35) బౌలింగ్ ఉత్తమ కెరీర్లో '(71 ) ']")</f>
        <v>[ 'ఒక మ్యాచ్లో 5 వ ఉత్తమ సంఖ్యలు ఉన్నప్పుడు పరాజయం వైపు (12)', '100 వికెట్లు 7 వేగంగా (19)', పదవ వికెట్కు, '8 వ అత్యధిక భాగస్వామ్యం' 7th సగటు (20.35) బౌలింగ్ ఉత్తమ కెరీర్లో '(71 ) ']</v>
      </c>
      <c r="C434" s="2" t="s">
        <v>347</v>
      </c>
      <c r="D434" s="2" t="str">
        <f>IFERROR(__xludf.DUMMYFUNCTION("IF(C434&lt;&gt;"""", GOOGLETRANSLATE(C434, ""en"", ""te""),"""")"),"[ '44 వ ఒక సిరీస్లో అత్యధిక వికెట్లు (32)', '24th ఒక ఇన్నింగ్స్ లోని బెస్ట్ ఫిగర్స్ ఉన్నప్పుడు పరాజయం వైపు (7)', '5 వ మ్యాచ్ లో బెస్ట్ ఫిగర్స్ ఉన్నప్పుడు పరాజయం వైపు (12)', '47 వ పిన్న ఆటగాడు పది వికెట్లు లో ఒక మ్యాచ్ తీసుకోవాలని (23y 347d) ',' 8 వ వేగవ"&amp;"ంతమైన 50 వికెట్లు (9) ',' 7th 100 వికెట్లు వేగంగా (19) ',' 16 వ 150 వికెట్లు (33) వేగంగా ' '200 వికెట్లు వేగంగా 21 (46)']")</f>
        <v>[ '44 వ ఒక సిరీస్లో అత్యధిక వికెట్లు (32)', '24th ఒక ఇన్నింగ్స్ లోని బెస్ట్ ఫిగర్స్ ఉన్నప్పుడు పరాజయం వైపు (7)', '5 వ మ్యాచ్ లో బెస్ట్ ఫిగర్స్ ఉన్నప్పుడు పరాజయం వైపు (12)', '47 వ పిన్న ఆటగాడు పది వికెట్లు లో ఒక మ్యాచ్ తీసుకోవాలని (23y 347d) ',' 8 వ వేగవంతమైన 50 వికెట్లు (9) ',' 7th 100 వికెట్లు వేగంగా (19) ',' 16 వ 150 వికెట్లు (33) వేగంగా ' '200 వికెట్లు వేగంగా 21 (46)']</v>
      </c>
      <c r="E434" s="2" t="s">
        <v>348</v>
      </c>
      <c r="F434" s="2" t="str">
        <f>IFERROR(__xludf.DUMMYFUNCTION("IF(E434&lt;&gt;"""", GOOGLETRANSLATE(E434, ""en"", ""te""),"""")"),"[ '33 వ ఒక సిరీస్లో అత్యధిక వికెట్లు (19)', '7 వ ఉత్తమ కెరీర్ బౌలింగ్ సరాసరి (20.35)', '8 వ ఉత్తమ కెరీర్ ఆర్థిక రేటు (3.40)', '13 వ వరుస నాలుగు వికెట్లు-ఇన్-ఒక-ఇన్నింగ్స్ (2 ) ',' 32 వ 50 వికెట్లు (వేగంగా 29) ',' పదవ వికెట్కు 8 వ అత్యధిక భాగస్వామ్యం (71) "&amp;"']")</f>
        <v>[ '33 వ ఒక సిరీస్లో అత్యధిక వికెట్లు (19)', '7 వ ఉత్తమ కెరీర్ బౌలింగ్ సరాసరి (20.35)', '8 వ ఉత్తమ కెరీర్ ఆర్థిక రేటు (3.40)', '13 వ వరుస నాలుగు వికెట్లు-ఇన్-ఒక-ఇన్నింగ్స్ (2 ) ',' 32 వ 50 వికెట్లు (వేగంగా 29) ',' పదవ వికెట్కు 8 వ అత్యధిక భాగస్వామ్యం (71) ']</v>
      </c>
      <c r="G434" s="2"/>
      <c r="H434" s="2" t="str">
        <f>IFERROR(__xludf.DUMMYFUNCTION("IF(G434&lt;&gt;"""", GOOGLETRANSLATE(G434, ""en"", ""te""),"""")"),"")</f>
        <v/>
      </c>
      <c r="I434" s="3"/>
    </row>
    <row r="435" customHeight="1" spans="1:9">
      <c r="A435" s="2" t="s">
        <v>349</v>
      </c>
      <c r="B435" s="2" t="str">
        <f>IFERROR(__xludf.DUMMYFUNCTION("IF(A435&lt;&gt;"""", GOOGLETRANSLATE(A435, ""en"", ""te""),"""")"),"[ '99 పరుగుల 1st (మరియు 199, 299 etc) (99)']")</f>
        <v>[ '99 పరుగుల 1st (మరియు 199, 299 etc) (99)']</v>
      </c>
      <c r="C435" s="2" t="s">
        <v>350</v>
      </c>
      <c r="D435" s="2" t="str">
        <f>IFERROR(__xludf.DUMMYFUNCTION("IF(C435&lt;&gt;"""", GOOGLETRANSLATE(C435, ""en"", ""te""),"""")"),"[ '99 పరుగుల 1st (మరియు 199, 299 etc) (99)', 'మొదటి వికెట్కు 41 వ అత్యధిక భాగస్వామ్యం (239)']")</f>
        <v>[ '99 పరుగుల 1st (మరియు 199, 299 etc) (99)', 'మొదటి వికెట్కు 41 వ అత్యధిక భాగస్వామ్యం (239)']</v>
      </c>
      <c r="E435" s="2"/>
      <c r="F435" s="2" t="str">
        <f>IFERROR(__xludf.DUMMYFUNCTION("IF(E435&lt;&gt;"""", GOOGLETRANSLATE(E435, ""en"", ""te""),"""")"),"")</f>
        <v/>
      </c>
      <c r="G435" s="2"/>
      <c r="H435" s="2" t="str">
        <f>IFERROR(__xludf.DUMMYFUNCTION("IF(G435&lt;&gt;"""", GOOGLETRANSLATE(G435, ""en"", ""te""),"""")"),"")</f>
        <v/>
      </c>
      <c r="I435" s="3"/>
    </row>
    <row r="436" customHeight="1" spans="1:9">
      <c r="A436" s="2"/>
      <c r="B436" s="2" t="str">
        <f>IFERROR(__xludf.DUMMYFUNCTION("IF(A436&lt;&gt;"""", GOOGLETRANSLATE(A436, ""en"", ""te""),"""")"),"")</f>
        <v/>
      </c>
      <c r="C436" s="2" t="s">
        <v>351</v>
      </c>
      <c r="D436" s="2" t="str">
        <f>IFERROR(__xludf.DUMMYFUNCTION("IF(C436&lt;&gt;"""", GOOGLETRANSLATE(C436, ""en"", ""te""),"""")"),"[ 'తొలి 11 వ తొంభై (94)']")</f>
        <v>[ 'తొలి 11 వ తొంభై (94)']</v>
      </c>
      <c r="E436" s="2"/>
      <c r="F436" s="2" t="str">
        <f>IFERROR(__xludf.DUMMYFUNCTION("IF(E436&lt;&gt;"""", GOOGLETRANSLATE(E436, ""en"", ""te""),"""")"),"")</f>
        <v/>
      </c>
      <c r="G436" s="2"/>
      <c r="H436" s="2" t="str">
        <f>IFERROR(__xludf.DUMMYFUNCTION("IF(G436&lt;&gt;"""", GOOGLETRANSLATE(G436, ""en"", ""te""),"""")"),"")</f>
        <v/>
      </c>
      <c r="I436" s="3"/>
    </row>
    <row r="437" customHeight="1" spans="1:9">
      <c r="A437" s="2" t="s">
        <v>352</v>
      </c>
      <c r="B437" s="2" t="str">
        <f>IFERROR(__xludf.DUMMYFUNCTION("IF(A437&lt;&gt;"""", GOOGLETRANSLATE(A437, ""en"", ""te""),"""")"),"[ 'బ్యాటింగ్ ప్రారంభించుటకు మరియు అదే మ్యాచ్ లో బౌలింగ్']")</f>
        <v>[ 'బ్యాటింగ్ ప్రారంభించుటకు మరియు అదే మ్యాచ్ లో బౌలింగ్']</v>
      </c>
      <c r="C437" s="2" t="s">
        <v>353</v>
      </c>
      <c r="D437" s="2" t="str">
        <f>IFERROR(__xludf.DUMMYFUNCTION("IF(C437&lt;&gt;"""", GOOGLETRANSLATE(C437, ""en"", ""te""),"""")"),"[ '12 వ అత్యుత్తమ ఇన్నింగ్స్ (3/8) విశ్లేషణలలో బౌలింగ్']")</f>
        <v>[ '12 వ అత్యుత్తమ ఇన్నింగ్స్ (3/8) విశ్లేషణలలో బౌలింగ్']</v>
      </c>
      <c r="E437" s="2"/>
      <c r="F437" s="2" t="str">
        <f>IFERROR(__xludf.DUMMYFUNCTION("IF(E437&lt;&gt;"""", GOOGLETRANSLATE(E437, ""en"", ""te""),"""")"),"")</f>
        <v/>
      </c>
      <c r="G437" s="2"/>
      <c r="H437" s="2" t="str">
        <f>IFERROR(__xludf.DUMMYFUNCTION("IF(G437&lt;&gt;"""", GOOGLETRANSLATE(G437, ""en"", ""te""),"""")"),"")</f>
        <v/>
      </c>
      <c r="I437" s="3"/>
    </row>
    <row r="438" customHeight="1" spans="1:9">
      <c r="A438" s="2"/>
      <c r="B438" s="2" t="str">
        <f>IFERROR(__xludf.DUMMYFUNCTION("IF(A438&lt;&gt;"""", GOOGLETRANSLATE(A438, ""en"", ""te""),"""")"),"")</f>
        <v/>
      </c>
      <c r="C438" s="2"/>
      <c r="D438" s="2" t="str">
        <f>IFERROR(__xludf.DUMMYFUNCTION("IF(C438&lt;&gt;"""", GOOGLETRANSLATE(C438, ""en"", ""te""),"""")"),"")</f>
        <v/>
      </c>
      <c r="E438" s="2"/>
      <c r="F438" s="2" t="str">
        <f>IFERROR(__xludf.DUMMYFUNCTION("IF(E438&lt;&gt;"""", GOOGLETRANSLATE(E438, ""en"", ""te""),"""")"),"")</f>
        <v/>
      </c>
      <c r="G438" s="2"/>
      <c r="H438" s="2" t="str">
        <f>IFERROR(__xludf.DUMMYFUNCTION("IF(G438&lt;&gt;"""", GOOGLETRANSLATE(G438, ""en"", ""te""),"""")"),"")</f>
        <v/>
      </c>
      <c r="I438" s="3"/>
    </row>
    <row r="439" customHeight="1" spans="1:9">
      <c r="A439" s="2"/>
      <c r="B439" s="2" t="str">
        <f>IFERROR(__xludf.DUMMYFUNCTION("IF(A439&lt;&gt;"""", GOOGLETRANSLATE(A439, ""en"", ""te""),"""")"),"")</f>
        <v/>
      </c>
      <c r="C439" s="2"/>
      <c r="D439" s="2" t="str">
        <f>IFERROR(__xludf.DUMMYFUNCTION("IF(C439&lt;&gt;"""", GOOGLETRANSLATE(C439, ""en"", ""te""),"""")"),"")</f>
        <v/>
      </c>
      <c r="E439" s="2"/>
      <c r="F439" s="2" t="str">
        <f>IFERROR(__xludf.DUMMYFUNCTION("IF(E439&lt;&gt;"""", GOOGLETRANSLATE(E439, ""en"", ""te""),"""")"),"")</f>
        <v/>
      </c>
      <c r="G439" s="2"/>
      <c r="H439" s="2" t="str">
        <f>IFERROR(__xludf.DUMMYFUNCTION("IF(G439&lt;&gt;"""", GOOGLETRANSLATE(G439, ""en"", ""te""),"""")"),"")</f>
        <v/>
      </c>
      <c r="I439" s="3"/>
    </row>
    <row r="440" customHeight="1" spans="1:9">
      <c r="A440" s="2" t="s">
        <v>354</v>
      </c>
      <c r="B440" s="2" t="str">
        <f>IFERROR(__xludf.DUMMYFUNCTION("IF(A440&lt;&gt;"""", GOOGLETRANSLATE(A440, ""en"", ""te""),"""")"),"[ '3 వ భాగం (బ్యాటింగ్ స్థానంలో ద్వారా) ఒక ఇన్నింగ్స్ లో నడుస్తుంది (202 *)', '1000 పరుగులు మరియు 100 వికెట్లు' '99 నాటౌట్ (మరియు 199' (11) ఒక నాయకుడు ఒక మ్యాచ్ లో 5 వ బెస్ట్ ఫిగర్స్ ', 299 మొదలైనవి) (99 *) ',' ఒక కెప్టెన్తో ఒక ఇన్నింగ్స్ లో 6 వ ఉత్తమ బొ"&amp;"మ్మలు (5) ',' ఇన్నింగ్స్ లో 3 వ చెత్త ఆర్థిక రేటు (సగటు 12.57) ',' 9 వ అత్యంత ఇన్నింగ్స్ లో (ఇవ్వబడిన పరుగులలో 104) ', '1000 పరుగులు మరియు 100 వికెట్లు', '1000 పరుగులు, 50 వికెట్లు, 50 క్యాచ్లు']")</f>
        <v>[ '3 వ భాగం (బ్యాటింగ్ స్థానంలో ద్వారా) ఒక ఇన్నింగ్స్ లో నడుస్తుంది (202 *)', '1000 పరుగులు మరియు 100 వికెట్లు' '99 నాటౌట్ (మరియు 199' (11) ఒక నాయకుడు ఒక మ్యాచ్ లో 5 వ బెస్ట్ ఫిగర్స్ ', 299 మొదలైనవి) (99 *) ',' ఒక కెప్టెన్తో ఒక ఇన్నింగ్స్ లో 6 వ ఉత్తమ బొమ్మలు (5) ',' ఇన్నింగ్స్ లో 3 వ చెత్త ఆర్థిక రేటు (సగటు 12.57) ',' 9 వ అత్యంత ఇన్నింగ్స్ లో (ఇవ్వబడిన పరుగులలో 104) ', '1000 పరుగులు మరియు 100 వికెట్లు', '1000 పరుగులు, 50 వికెట్లు, 50 క్యాచ్లు']</v>
      </c>
      <c r="C440" s="2" t="s">
        <v>355</v>
      </c>
      <c r="D440" s="2" t="str">
        <f>IFERROR(__xludf.DUMMYFUNCTION("IF(C440&lt;&gt;"""", GOOGLETRANSLATE(C440, ""en"", ""te""),"""")"),"[ '3 వ అత్యంత ఇన్నింగ్స్ లో నడుస్తుంది (బ్యాటింగ్ స్థానం) (202 *)' ద్వారా ఇన్నింగ్స్లో 'ఇన్నింగ్స్ లో 13 వ ఎక్కువ సిక్స్ (8)', 'కెరీర్లో 32 వ అతి తక్కువ బాతులు (27.66)', '16 వ బెస్ట్ ఫిగర్స్ ఒక కెప్టెన్తో ఒక కెప్టెన్ (6) ',' 5 వ బెస్ట్ ఫిగర్స్ ఒక మ్యాచ్లో"&amp;" (11) ',' 18 వ వరుస ఐదు వికెట్ల లో-ఒక-ఇన్నింగ్స్ (3) ',' 33 వ అత్యధిక మ్యాచ్లు కెప్టెన్గా (37) ' 'ఒక జట్టు కెప్టెన్గా 49 వ వరుస మ్యాచ్లు (21)', '16 వ పిన్న కాప్టెన్ (23y 343d)']")</f>
        <v>[ '3 వ అత్యంత ఇన్నింగ్స్ లో నడుస్తుంది (బ్యాటింగ్ స్థానం) (202 *)' ద్వారా ఇన్నింగ్స్లో 'ఇన్నింగ్స్ లో 13 వ ఎక్కువ సిక్స్ (8)', 'కెరీర్లో 32 వ అతి తక్కువ బాతులు (27.66)', '16 వ బెస్ట్ ఫిగర్స్ ఒక కెప్టెన్తో ఒక కెప్టెన్ (6) ',' 5 వ బెస్ట్ ఫిగర్స్ ఒక మ్యాచ్లో (11) ',' 18 వ వరుస ఐదు వికెట్ల లో-ఒక-ఇన్నింగ్స్ (3) ',' 33 వ అత్యధిక మ్యాచ్లు కెప్టెన్గా (37) ' 'ఒక జట్టు కెప్టెన్గా 49 వ వరుస మ్యాచ్లు (21)', '16 వ పిన్న కాప్టెన్ (23y 343d)']</v>
      </c>
      <c r="E440" s="2" t="s">
        <v>356</v>
      </c>
      <c r="F440" s="2" t="str">
        <f>IFERROR(__xludf.DUMMYFUNCTION("IF(E440&lt;&gt;"""", GOOGLETRANSLATE(E440, ""en"", ""te""),"""")"),"[ '26 వ అధిక వంద (1837) లేకుండా ఒక వృత్తిలో పరుగులు' '34 వ అత్యధిక సమ్మె ఇన్నింగ్స్ లో రేటు (276.92)', '3 వ చెత్త ఆర్థిక వ్యవస్థలో రేటు ఒక కెప్టెన్ (5) ద్వారా ఇన్నింగ్స్లో 6 వ ఉత్తమ ప్రముఖులలో ఇన్నింగ్స్ (సగటు 12.57) ',' 43 వ అత్యంత ఐదు-వికెట్ల లో-ఒక-ఇన్న"&amp;"ింగ్స్ కెరీర్లో (2) ',' ఇన్నింగ్స్ లో సాధించిన 9 వ అత్యధిక పరుగులు (104) ',' 27 వ అత్యధిక మ్యాచ్లు కెప్టెన్గా (86) ' 'ఒక జట్టు కెప్టెన్గా 45 వ వరుస మ్యాచ్లు (33)', '11 వ పిన్న కాప్టెన్ (23y 72d)']")</f>
        <v>[ '26 వ అధిక వంద (1837) లేకుండా ఒక వృత్తిలో పరుగులు' '34 వ అత్యధిక సమ్మె ఇన్నింగ్స్ లో రేటు (276.92)', '3 వ చెత్త ఆర్థిక వ్యవస్థలో రేటు ఒక కెప్టెన్ (5) ద్వారా ఇన్నింగ్స్లో 6 వ ఉత్తమ ప్రముఖులలో ఇన్నింగ్స్ (సగటు 12.57) ',' 43 వ అత్యంత ఐదు-వికెట్ల లో-ఒక-ఇన్నింగ్స్ కెరీర్లో (2) ',' ఇన్నింగ్స్ లో సాధించిన 9 వ అత్యధిక పరుగులు (104) ',' 27 వ అత్యధిక మ్యాచ్లు కెప్టెన్గా (86) ' 'ఒక జట్టు కెప్టెన్గా 45 వ వరుస మ్యాచ్లు (33)', '11 వ పిన్న కాప్టెన్ (23y 72d)']</v>
      </c>
      <c r="G440" s="2" t="s">
        <v>357</v>
      </c>
      <c r="H440" s="2" t="str">
        <f>IFERROR(__xludf.DUMMYFUNCTION("IF(G440&lt;&gt;"""", GOOGLETRANSLATE(G440, ""en"", ""te""),"""")"),"[ '44 వ అత్యంత బృందం (33) కెప్టెన్ గా వరుస మ్యాచ్లు']")</f>
        <v>[ '44 వ అత్యంత బృందం (33) కెప్టెన్ గా వరుస మ్యాచ్లు']</v>
      </c>
      <c r="I440" s="3"/>
    </row>
    <row r="441" customHeight="1" spans="1:9">
      <c r="A441" s="2" t="s">
        <v>358</v>
      </c>
      <c r="B441" s="2" t="str">
        <f>IFERROR(__xludf.DUMMYFUNCTION("IF(A441&lt;&gt;"""", GOOGLETRANSLATE(A441, ""en"", ""te""),"""")"),"[ 'వరుస ఇన్నింగ్స్లో 5 వ వందల (3)', 'హండ్రెడ్ మరియు ఒక మ్యాచ్లో ఒక డక్', 'ఒక ఇన్నింగ్స్లో ద్వారా బ్యాట్ నిదర్శన (143 *)', '2 వ అసాధారణ వికెట్లు (bal నిర్వహించింది)', '5000 పరుగులు మరియు 50 ఫీల్డింగ్ వికెట్లు ',' హండ్రెడ్ తొలి (148) ',' వరుస 3 వ అత్యధిక వం"&amp;"దలు (3) ',' 7th 7000 పరుగులు (187) ',' 5000 పరుగులు మరియు 50 ఫీల్డింగ్ వికెట్లు వేగవంతమైన ']")</f>
        <v>[ 'వరుస ఇన్నింగ్స్లో 5 వ వందల (3)', 'హండ్రెడ్ మరియు ఒక మ్యాచ్లో ఒక డక్', 'ఒక ఇన్నింగ్స్లో ద్వారా బ్యాట్ నిదర్శన (143 *)', '2 వ అసాధారణ వికెట్లు (bal నిర్వహించింది)', '5000 పరుగులు మరియు 50 ఫీల్డింగ్ వికెట్లు ',' హండ్రెడ్ తొలి (148) ',' వరుస 3 వ అత్యధిక వందలు (3) ',' 7th 7000 పరుగులు (187) ',' 5000 పరుగులు మరియు 50 ఫీల్డింగ్ వికెట్లు వేగవంతమైన ']</v>
      </c>
      <c r="C441" s="2" t="s">
        <v>359</v>
      </c>
      <c r="D441" s="2" t="str">
        <f>IFERROR(__xludf.DUMMYFUNCTION("IF(C441&lt;&gt;"""", GOOGLETRANSLATE(C441, ""en"", ""te""),"""")"),"[ '42 వ అత్యధిక కెరీర్ లో పరుగులు (7487)', 'పరాజయం వైపు ఒక మ్యాచ్లో 34 వ అత్యధిక పరుగులు (218)', '50th ఒకే క్రీడా (1210) లో అత్యధిక పరుగులు', 'వరుస ఇన్నింగ్స్లో 5 వ వందల (3) ',' వరుస మ్యాచ్లలో 21 వందల (3) ',' 34 వ కెరీర్ అర్ధ (57) ',' 47 వ కెరీర్ ఫోర్లు "&amp;"(818+) ',' 2 వ అసాధారణ వికెట్లు (bal నిర్వహించింది) ',' 50 వ వేగంగా 1000 పరుగులు (22) ',' 18 వ బౌలింగ్ సరాసరి (అర్హత లేకుండా) (8.00) ',' రెండవ వికెట్కు 20 వ అత్యధిక భాగస్వామ్యం (297) ',' 35 వ అత్యధిక కెరీర్ లో మ్యాచ్లు (116) ',' 19 వ అత్యంత ఉత్తమ కెరీర్ ఒ"&amp;"క జట్టు వరుస మ్యాచ్లు (72) ']")</f>
        <v>[ '42 వ అత్యధిక కెరీర్ లో పరుగులు (7487)', 'పరాజయం వైపు ఒక మ్యాచ్లో 34 వ అత్యధిక పరుగులు (218)', '50th ఒకే క్రీడా (1210) లో అత్యధిక పరుగులు', 'వరుస ఇన్నింగ్స్లో 5 వ వందల (3) ',' వరుస మ్యాచ్లలో 21 వందల (3) ',' 34 వ కెరీర్ అర్ధ (57) ',' 47 వ కెరీర్ ఫోర్లు (818+) ',' 2 వ అసాధారణ వికెట్లు (bal నిర్వహించింది) ',' 50 వ వేగంగా 1000 పరుగులు (22) ',' 18 వ బౌలింగ్ సరాసరి (అర్హత లేకుండా) (8.00) ',' రెండవ వికెట్కు 20 వ అత్యధిక భాగస్వామ్యం (297) ',' 35 వ అత్యధిక కెరీర్ లో మ్యాచ్లు (116) ',' 19 వ అత్యంత ఉత్తమ కెరీర్ ఒక జట్టు వరుస మ్యాచ్లు (72) ']</v>
      </c>
      <c r="E441" s="2" t="s">
        <v>360</v>
      </c>
      <c r="F441" s="2" t="str">
        <f>IFERROR(__xludf.DUMMYFUNCTION("IF(E441&lt;&gt;"""", GOOGLETRANSLATE(E441, ""en"", ""te""),"""")"),"[ '24 వ అత్యంత కెరీర్లో పరుగులు (8648)', 'వరుస 25 వ అత్యధిక పరుగులు (514)', '42 వ ఒక క్యాలెండర్ సంవత్సరంలో అత్యధిక పరుగులు (1232)', '1st తొలి మ్యాచ్లో అత్యధిక పరుగులు (148)', ' గత మ్యాచ్లో 3 వ హండ్రెడ్ (115) ',' 19 ఒక వృత్తిలో అత్యధిక వందలు (17) ',' వరుస "&amp;"3 వ అత్యధిక వందలు (3) ',' 29th ఒక క్యాలెండర్ సంవత్సరంలో అత్యధిక వందలు (4) ',' 10 వ అత్యంత ఒక జట్టు (6) ',' 18 వ అత్యధిక తొలి వంద (148) ',' 10 వ అత్యంత వృద్ధ ఆటగాడు వ్యతిరేకంగా వందల ',' 17 వ కెరీర్ అర్ధ (74) ',' 13 వ వరుస ఇన్నింగ్స్ లేకుండా వంద (18d 38y) స"&amp;"్కోర్ ఒక డక్ (83) ',' 28th చాలా ఫోర్లు కెరీర్లో (768+) ', '21 వ లాంగెస్ట్ వ్యక్తిగత ఇన్నింగ్స్ (బంతులతో) (164)', 'ఒక ఇన్నింగ్స్లో పరుగులు 32 వ అత్యధిక శాతం (55.98)', '44 వ వేగవంతమైన 3000 పరుగులు (89) ', '21 వ 5000 4000 పరుగులు (110)', '30 వ అత్యంత వేగంగా"&amp;" వేగంగా పరుగులు (141)', '13 వ 6000 పరుగులు (162)', '7000 పరుగులు 7 వేగంగా వేగంగా (187 ) ',' 11 వ 8000 పరుగులు వేగంగా (219) ',' రెండవ వికెట్కు 33 వ అత్యధిక భాగస్వామ్యం (205) ',' ఆరవ వికెట్కు 44 వ అత్యధిక భాగస్వామ్యం (126) ',' 50 వ కెరీర్ లో అత్యధిక మ్యాచ్ల"&amp;"ు (238) ',' ఒక జట్టుకు 48 వ వరుస మ్యాచ్లు (73) ',' 16 వ అత్యంత ప్లేయర్ ఆఫ్ ది మ్యాచ్ అవార్డులు (25) ',' 38 వ లాంగెస్ట్ కెరీర్లు (16y 11d) ',' 26th ఓల్డెస్ట్ కాప్టెన్ (37y 267d) ']")</f>
        <v>[ '24 వ అత్యంత కెరీర్లో పరుగులు (8648)', 'వరుస 25 వ అత్యధిక పరుగులు (514)', '42 వ ఒక క్యాలెండర్ సంవత్సరంలో అత్యధిక పరుగులు (1232)', '1st తొలి మ్యాచ్లో అత్యధిక పరుగులు (148)', ' గత మ్యాచ్లో 3 వ హండ్రెడ్ (115) ',' 19 ఒక వృత్తిలో అత్యధిక వందలు (17) ',' వరుస 3 వ అత్యధిక వందలు (3) ',' 29th ఒక క్యాలెండర్ సంవత్సరంలో అత్యధిక వందలు (4) ',' 10 వ అత్యంత ఒక జట్టు (6) ',' 18 వ అత్యధిక తొలి వంద (148) ',' 10 వ అత్యంత వృద్ధ ఆటగాడు వ్యతిరేకంగా వందల ',' 17 వ కెరీర్ అర్ధ (74) ',' 13 వ వరుస ఇన్నింగ్స్ లేకుండా వంద (18d 38y) స్కోర్ ఒక డక్ (83) ',' 28th చాలా ఫోర్లు కెరీర్లో (768+) ', '21 వ లాంగెస్ట్ వ్యక్తిగత ఇన్నింగ్స్ (బంతులతో) (164)', 'ఒక ఇన్నింగ్స్లో పరుగులు 32 వ అత్యధిక శాతం (55.98)', '44 వ వేగవంతమైన 3000 పరుగులు (89) ', '21 వ 5000 4000 పరుగులు (110)', '30 వ అత్యంత వేగంగా వేగంగా పరుగులు (141)', '13 వ 6000 పరుగులు (162)', '7000 పరుగులు 7 వేగంగా వేగంగా (187 ) ',' 11 వ 8000 పరుగులు వేగంగా (219) ',' రెండవ వికెట్కు 33 వ అత్యధిక భాగస్వామ్యం (205) ',' ఆరవ వికెట్కు 44 వ అత్యధిక భాగస్వామ్యం (126) ',' 50 వ కెరీర్ లో అత్యధిక మ్యాచ్లు (238) ',' ఒక జట్టుకు 48 వ వరుస మ్యాచ్లు (73) ',' 16 వ అత్యంత ప్లేయర్ ఆఫ్ ది మ్యాచ్ అవార్డులు (25) ',' 38 వ లాంగెస్ట్ కెరీర్లు (16y 11d) ',' 26th ఓల్డెస్ట్ కాప్టెన్ (37y 267d) ']</v>
      </c>
      <c r="G441" s="2"/>
      <c r="H441" s="2" t="str">
        <f>IFERROR(__xludf.DUMMYFUNCTION("IF(G441&lt;&gt;"""", GOOGLETRANSLATE(G441, ""en"", ""te""),"""")"),"")</f>
        <v/>
      </c>
      <c r="I441" s="3"/>
    </row>
    <row r="442" customHeight="1" spans="1:9">
      <c r="A442" s="2"/>
      <c r="B442" s="2" t="str">
        <f>IFERROR(__xludf.DUMMYFUNCTION("IF(A442&lt;&gt;"""", GOOGLETRANSLATE(A442, ""en"", ""te""),"""")"),"")</f>
        <v/>
      </c>
      <c r="C442" s="2"/>
      <c r="D442" s="2" t="str">
        <f>IFERROR(__xludf.DUMMYFUNCTION("IF(C442&lt;&gt;"""", GOOGLETRANSLATE(C442, ""en"", ""te""),"""")"),"")</f>
        <v/>
      </c>
      <c r="E442" s="2"/>
      <c r="F442" s="2" t="str">
        <f>IFERROR(__xludf.DUMMYFUNCTION("IF(E442&lt;&gt;"""", GOOGLETRANSLATE(E442, ""en"", ""te""),"""")"),"")</f>
        <v/>
      </c>
      <c r="G442" s="2"/>
      <c r="H442" s="2" t="str">
        <f>IFERROR(__xludf.DUMMYFUNCTION("IF(G442&lt;&gt;"""", GOOGLETRANSLATE(G442, ""en"", ""te""),"""")"),"")</f>
        <v/>
      </c>
      <c r="I442" s="3"/>
    </row>
    <row r="443" customHeight="1" spans="1:9">
      <c r="A443" s="2"/>
      <c r="B443" s="2" t="str">
        <f>IFERROR(__xludf.DUMMYFUNCTION("IF(A443&lt;&gt;"""", GOOGLETRANSLATE(A443, ""en"", ""te""),"""")"),"")</f>
        <v/>
      </c>
      <c r="C443" s="2" t="s">
        <v>361</v>
      </c>
      <c r="D443" s="2" t="str">
        <f>IFERROR(__xludf.DUMMYFUNCTION("IF(C443&lt;&gt;"""", GOOGLETRANSLATE(C443, ""en"", ""te""),"""")"),"[ '17 వ ఇన్నింగ్స్ లో అత్యధిక పరుగులు (బ్యాటింగ్ స్థానంలో ప్రకారం) (50 *)', 'పది వికెట్ల లో ఒక మ్యాచ్ పడుతుంది 22 పిన్న ఆటగాడు (21y 91d)', '31 అత్యధిక వికెట్లు బౌల్డ్ తీసుకోకూడదు (65)' , 'ఫాస్టెస్ట్ 20 50 వికెట్లు (10) కు', '13 వ వేగవంతమైన 100 వికెట్లు ("&amp;"20) కు' '27 వ వేగంగా 150 వికెట్లు (35)' '42 వ అత్యధిక వికెట్లు చిక్కుకున్న వికెట్కీపర్గా (54) తీసుకున్న']")</f>
        <v>[ '17 వ ఇన్నింగ్స్ లో అత్యధిక పరుగులు (బ్యాటింగ్ స్థానంలో ప్రకారం) (50 *)', 'పది వికెట్ల లో ఒక మ్యాచ్ పడుతుంది 22 పిన్న ఆటగాడు (21y 91d)', '31 అత్యధిక వికెట్లు బౌల్డ్ తీసుకోకూడదు (65)' , 'ఫాస్టెస్ట్ 20 50 వికెట్లు (10) కు', '13 వ వేగవంతమైన 100 వికెట్లు (20) కు' '27 వ వేగంగా 150 వికెట్లు (35)' '42 వ అత్యధిక వికెట్లు చిక్కుకున్న వికెట్కీపర్గా (54) తీసుకున్న']</v>
      </c>
      <c r="E443" s="2"/>
      <c r="F443" s="2" t="str">
        <f>IFERROR(__xludf.DUMMYFUNCTION("IF(E443&lt;&gt;"""", GOOGLETRANSLATE(E443, ""en"", ""te""),"""")"),"")</f>
        <v/>
      </c>
      <c r="G443" s="2"/>
      <c r="H443" s="2" t="str">
        <f>IFERROR(__xludf.DUMMYFUNCTION("IF(G443&lt;&gt;"""", GOOGLETRANSLATE(G443, ""en"", ""te""),"""")"),"")</f>
        <v/>
      </c>
      <c r="I443" s="3"/>
    </row>
    <row r="444" customHeight="1" spans="1:9">
      <c r="A444" s="2"/>
      <c r="B444" s="2" t="str">
        <f>IFERROR(__xludf.DUMMYFUNCTION("IF(A444&lt;&gt;"""", GOOGLETRANSLATE(A444, ""en"", ""te""),"""")"),"")</f>
        <v/>
      </c>
      <c r="C444" s="2"/>
      <c r="D444" s="2" t="str">
        <f>IFERROR(__xludf.DUMMYFUNCTION("IF(C444&lt;&gt;"""", GOOGLETRANSLATE(C444, ""en"", ""te""),"""")"),"")</f>
        <v/>
      </c>
      <c r="E444" s="2"/>
      <c r="F444" s="2" t="str">
        <f>IFERROR(__xludf.DUMMYFUNCTION("IF(E444&lt;&gt;"""", GOOGLETRANSLATE(E444, ""en"", ""te""),"""")"),"")</f>
        <v/>
      </c>
      <c r="G444" s="2"/>
      <c r="H444" s="2" t="str">
        <f>IFERROR(__xludf.DUMMYFUNCTION("IF(G444&lt;&gt;"""", GOOGLETRANSLATE(G444, ""en"", ""te""),"""")"),"")</f>
        <v/>
      </c>
      <c r="I444" s="3"/>
    </row>
    <row r="445" customHeight="1" spans="1:9">
      <c r="A445" s="2"/>
      <c r="B445" s="2" t="str">
        <f>IFERROR(__xludf.DUMMYFUNCTION("IF(A445&lt;&gt;"""", GOOGLETRANSLATE(A445, ""en"", ""te""),"""")"),"")</f>
        <v/>
      </c>
      <c r="C445" s="2"/>
      <c r="D445" s="2" t="str">
        <f>IFERROR(__xludf.DUMMYFUNCTION("IF(C445&lt;&gt;"""", GOOGLETRANSLATE(C445, ""en"", ""te""),"""")"),"")</f>
        <v/>
      </c>
      <c r="E445" s="2"/>
      <c r="F445" s="2" t="str">
        <f>IFERROR(__xludf.DUMMYFUNCTION("IF(E445&lt;&gt;"""", GOOGLETRANSLATE(E445, ""en"", ""te""),"""")"),"")</f>
        <v/>
      </c>
      <c r="G445" s="2"/>
      <c r="H445" s="2" t="str">
        <f>IFERROR(__xludf.DUMMYFUNCTION("IF(G445&lt;&gt;"""", GOOGLETRANSLATE(G445, ""en"", ""te""),"""")"),"")</f>
        <v/>
      </c>
      <c r="I445" s="3"/>
    </row>
    <row r="446" customHeight="1" spans="1:9">
      <c r="A446" s="2"/>
      <c r="B446" s="2" t="str">
        <f>IFERROR(__xludf.DUMMYFUNCTION("IF(A446&lt;&gt;"""", GOOGLETRANSLATE(A446, ""en"", ""te""),"""")"),"")</f>
        <v/>
      </c>
      <c r="C446" s="2"/>
      <c r="D446" s="2" t="str">
        <f>IFERROR(__xludf.DUMMYFUNCTION("IF(C446&lt;&gt;"""", GOOGLETRANSLATE(C446, ""en"", ""te""),"""")"),"")</f>
        <v/>
      </c>
      <c r="E446" s="2" t="s">
        <v>362</v>
      </c>
      <c r="F446" s="2" t="str">
        <f>IFERROR(__xludf.DUMMYFUNCTION("IF(E446&lt;&gt;"""", GOOGLETRANSLATE(E446, ""en"", ""te""),"""")"),"[ '11 వ పురాతన దేశం ఆటగాళ్ళు (81y 337d)']")</f>
        <v>[ '11 వ పురాతన దేశం ఆటగాళ్ళు (81y 337d)']</v>
      </c>
      <c r="G446" s="2"/>
      <c r="H446" s="2" t="str">
        <f>IFERROR(__xludf.DUMMYFUNCTION("IF(G446&lt;&gt;"""", GOOGLETRANSLATE(G446, ""en"", ""te""),"""")"),"")</f>
        <v/>
      </c>
      <c r="I446" s="3"/>
    </row>
    <row r="447" customHeight="1" spans="1:9">
      <c r="A447" s="2"/>
      <c r="B447" s="2" t="str">
        <f>IFERROR(__xludf.DUMMYFUNCTION("IF(A447&lt;&gt;"""", GOOGLETRANSLATE(A447, ""en"", ""te""),"""")"),"")</f>
        <v/>
      </c>
      <c r="C447" s="2"/>
      <c r="D447" s="2" t="str">
        <f>IFERROR(__xludf.DUMMYFUNCTION("IF(C447&lt;&gt;"""", GOOGLETRANSLATE(C447, ""en"", ""te""),"""")"),"")</f>
        <v/>
      </c>
      <c r="E447" s="2"/>
      <c r="F447" s="2" t="str">
        <f>IFERROR(__xludf.DUMMYFUNCTION("IF(E447&lt;&gt;"""", GOOGLETRANSLATE(E447, ""en"", ""te""),"""")"),"")</f>
        <v/>
      </c>
      <c r="G447" s="2"/>
      <c r="H447" s="2" t="str">
        <f>IFERROR(__xludf.DUMMYFUNCTION("IF(G447&lt;&gt;"""", GOOGLETRANSLATE(G447, ""en"", ""te""),"""")"),"")</f>
        <v/>
      </c>
      <c r="I447" s="3"/>
    </row>
    <row r="448" customHeight="1" spans="1:9">
      <c r="A448" s="2"/>
      <c r="B448" s="2" t="str">
        <f>IFERROR(__xludf.DUMMYFUNCTION("IF(A448&lt;&gt;"""", GOOGLETRANSLATE(A448, ""en"", ""te""),"""")"),"")</f>
        <v/>
      </c>
      <c r="C448" s="2"/>
      <c r="D448" s="2" t="str">
        <f>IFERROR(__xludf.DUMMYFUNCTION("IF(C448&lt;&gt;"""", GOOGLETRANSLATE(C448, ""en"", ""te""),"""")"),"")</f>
        <v/>
      </c>
      <c r="E448" s="2" t="s">
        <v>363</v>
      </c>
      <c r="F448" s="2" t="str">
        <f>IFERROR(__xludf.DUMMYFUNCTION("IF(E448&lt;&gt;"""", GOOGLETRANSLATE(E448, ""en"", ""te""),"""")"),"[ '37 వ అత్యంత వృద్ధ ఆటగాడు తొలి తీసుకుని ఐదు-వికెట్ల లో-ఒక-ఇన్నింగ్స్ (30y 325d)']")</f>
        <v>[ '37 వ అత్యంత వృద్ధ ఆటగాడు తొలి తీసుకుని ఐదు-వికెట్ల లో-ఒక-ఇన్నింగ్స్ (30y 325d)']</v>
      </c>
      <c r="G448" s="2"/>
      <c r="H448" s="2" t="str">
        <f>IFERROR(__xludf.DUMMYFUNCTION("IF(G448&lt;&gt;"""", GOOGLETRANSLATE(G448, ""en"", ""te""),"""")"),"")</f>
        <v/>
      </c>
      <c r="I448" s="3"/>
    </row>
    <row r="449" customHeight="1" spans="1:9">
      <c r="A449" s="2" t="s">
        <v>364</v>
      </c>
      <c r="B449" s="2" t="str">
        <f>IFERROR(__xludf.DUMMYFUNCTION("IF(A449&lt;&gt;"""", GOOGLETRANSLATE(A449, ""en"", ""te""),"""")"),"[ '10 వ ఇన్నింగ్స్ లో అత్యధిక పరుగులు (బ్యాటింగ్ స్థానంలో ప్రకారం) (233)', 'హండ్రెడ్ మరియు ఒక మ్యాచ్లో ఒక డక్', '1000 పరుగులు మరియు 100 వికెట్లు', '1000 పరుగులు, 50 వికెట్లు, 50 క్యాచ్లు', '5000 పరుగులు మరియు 50 ఫీల్డింగ్ వికెట్లు ',' 3 వ అత్యుత్తమ బౌలింగ"&amp;"్ ఇన్నింగ్స్ (2/1) ',' 5 వ అత్యధిక వికెట్లు క్యాచ్ మరియు బౌల్డ్ (18) తీసుకున్న ',' 2 వ అత్యధిక క్యాచ్లు లో ఒక ఇన్నింగ్స్ లో విశ్లేషించడం (4) ',' 1000 పరుగులు మరియు 100 వికెట్లు ',' ఒక డక్ (122) లేకుండా 1000 పరుగులు, 50 వికెట్లు, 50 క్యాచ్లు ',' 5000 పరుగు"&amp;"లు మరియు 50 ఫీల్డింగ్ వికెట్లు ',' 4 వ అత్యధిక వరుస ఇన్నింగ్స్]")</f>
        <v>[ '10 వ ఇన్నింగ్స్ లో అత్యధిక పరుగులు (బ్యాటింగ్ స్థానంలో ప్రకారం) (233)', 'హండ్రెడ్ మరియు ఒక మ్యాచ్లో ఒక డక్', '1000 పరుగులు మరియు 100 వికెట్లు', '1000 పరుగులు, 50 వికెట్లు, 50 క్యాచ్లు', '5000 పరుగులు మరియు 50 ఫీల్డింగ్ వికెట్లు ',' 3 వ అత్యుత్తమ బౌలింగ్ ఇన్నింగ్స్ (2/1) ',' 5 వ అత్యధిక వికెట్లు క్యాచ్ మరియు బౌల్డ్ (18) తీసుకున్న ',' 2 వ అత్యధిక క్యాచ్లు లో ఒక ఇన్నింగ్స్ లో విశ్లేషించడం (4) ',' 1000 పరుగులు మరియు 100 వికెట్లు ',' ఒక డక్ (122) లేకుండా 1000 పరుగులు, 50 వికెట్లు, 50 క్యాచ్లు ',' 5000 పరుగులు మరియు 50 ఫీల్డింగ్ వికెట్లు ',' 4 వ అత్యధిక వరుస ఇన్నింగ్స్]</v>
      </c>
      <c r="C449" s="2" t="s">
        <v>365</v>
      </c>
      <c r="D449" s="2" t="str">
        <f>IFERROR(__xludf.DUMMYFUNCTION("IF(C449&lt;&gt;"""", GOOGLETRANSLATE(C449, ""en"", ""te""),"""")"),"[ 'ఇన్నింగ్స్ లో 10 వ అత్యధిక పరుగులు (బ్యాటింగ్ స్థానంలో ప్రకారం) (233)', 'ఒక కెప్టెన్తో 24 ఒక సిరీస్లో అత్యధిక పరుగులు (579)', 'ఒక కెప్టెన్తో ఇన్నింగ్స్ లో 35 వ అత్యధిక పరుగులు (233)', '44 వ ఒక ఇన్నింగ్స్ లో అత్యధిక స్ట్రైక్ రేట్ (175.00) ',' వరుస మ్యా"&amp;"చ్లలో 26 యాభైల్లో (7) ',' 32 వ డకౌట్ లేకుండా అత్యధిక వరుస ఇన్నింగ్స్ (60 *) ',' 23 వ కెరీర్ లో వచ్చిన ఎక్కువ సిక్స్ (63) ',' 45 వ చెత్త కెరీర్ బౌలింగ్ సరాసరి (49.42) ',' 27 చెత్త కెరీర్లో సమ్మె రేటు (121.0) ',' 26th కెరీర్లో అత్యధిక క్యాచ్లు (115) ',' ఐద"&amp;"వ వికెట్కు 15 అత్యధిక భాగస్వామ్యం (293) ',' 22 వ అత్యధిక పదవ కొరకు చేసిన భాగస్వామ్యం వికెట్ (106) ',' బృందం (22) కెప్టెన్ గా 44 వ వరుస మ్యాచ్లు ']")</f>
        <v>[ 'ఇన్నింగ్స్ లో 10 వ అత్యధిక పరుగులు (బ్యాటింగ్ స్థానంలో ప్రకారం) (233)', 'ఒక కెప్టెన్తో 24 ఒక సిరీస్లో అత్యధిక పరుగులు (579)', 'ఒక కెప్టెన్తో ఇన్నింగ్స్ లో 35 వ అత్యధిక పరుగులు (233)', '44 వ ఒక ఇన్నింగ్స్ లో అత్యధిక స్ట్రైక్ రేట్ (175.00) ',' వరుస మ్యాచ్లలో 26 యాభైల్లో (7) ',' 32 వ డకౌట్ లేకుండా అత్యధిక వరుస ఇన్నింగ్స్ (60 *) ',' 23 వ కెరీర్ లో వచ్చిన ఎక్కువ సిక్స్ (63) ',' 45 వ చెత్త కెరీర్ బౌలింగ్ సరాసరి (49.42) ',' 27 చెత్త కెరీర్లో సమ్మె రేటు (121.0) ',' 26th కెరీర్లో అత్యధిక క్యాచ్లు (115) ',' ఐదవ వికెట్కు 15 అత్యధిక భాగస్వామ్యం (293) ',' 22 వ అత్యధిక పదవ కొరకు చేసిన భాగస్వామ్యం వికెట్ (106) ',' బృందం (22) కెప్టెన్ గా 44 వ వరుస మ్యాచ్లు ']</v>
      </c>
      <c r="E449" s="2" t="s">
        <v>366</v>
      </c>
      <c r="F449" s="2" t="str">
        <f>IFERROR(__xludf.DUMMYFUNCTION("IF(E449&lt;&gt;"""", GOOGLETRANSLATE(E449, ""en"", ""te""),"""")"),"[ '30 వ పిన్న ఆటగాడు వంద (21y 38d) స్కోర్', 'వంద స్కోర్ 47 వ అత్యంత వృద్ధ ఆటగాడు (35y 64d)', 'ఒక డక్ లేకుండా 34 వ వరుస ఇన్నింగ్స్ (69)' కెరీర్ లో, '38 వ అతి తక్కువ బాతులు (29.42 ) ',' 43 వ కెరీర్ లో అత్యధిక వికెట్లు (193) ',' ఇన్నింగ్స్ లో 3 వ అత్యుత్తమ బ"&amp;"ౌలింగ్ విశ్లేషణలు (2/1) ',' 25 వ కెరీర్ (9573) లో బౌల్డ్ చాలా బంతుల్లో ',' 26th కెరీర్లో సాధించిన అత్యధిక పరుగులు (6958 ) ', '21 వ అత్యధిక వికెట్లు తీసుకున్న బౌల్డ్ (60)', '5 వ అత్యధిక వికెట్లు తీసుకున్న క్యాచ్ మరియు బౌల్డ్ (18)', '50 వ అత్యధిక వికెట్లు ఒ"&amp;"క ఫీల్డర్ చేత క్యాచ్ తీసుకున్న (85)', '6 వ అత్యధిక వికెట్లు తీసుకున్న స్టంప్ (30) ',' 16 వ వరుస ఇన్నింగ్స్ లో కెరీర్ లో క్యాచ్లు (120) ',' 2 వ అత్యధిక క్యాచ్లు (4) ',' 4 వ అత్యధిక క్యాచ్లు (11) ',' ఐదవ వికెట్కు 36 వ అత్యధిక భాగస్వామ్యం (154) ', '41 వ లాంగ"&amp;"ెస్ట్ కెరీర్లు (15y 351d)', '38 వ వరుస మ్యాచ్లు ఒక జట్టు కెప్టెన్గా (35)']")</f>
        <v>[ '30 వ పిన్న ఆటగాడు వంద (21y 38d) స్కోర్', 'వంద స్కోర్ 47 వ అత్యంత వృద్ధ ఆటగాడు (35y 64d)', 'ఒక డక్ లేకుండా 34 వ వరుస ఇన్నింగ్స్ (69)' కెరీర్ లో, '38 వ అతి తక్కువ బాతులు (29.42 ) ',' 43 వ కెరీర్ లో అత్యధిక వికెట్లు (193) ',' ఇన్నింగ్స్ లో 3 వ అత్యుత్తమ బౌలింగ్ విశ్లేషణలు (2/1) ',' 25 వ కెరీర్ (9573) లో బౌల్డ్ చాలా బంతుల్లో ',' 26th కెరీర్లో సాధించిన అత్యధిక పరుగులు (6958 ) ', '21 వ అత్యధిక వికెట్లు తీసుకున్న బౌల్డ్ (60)', '5 వ అత్యధిక వికెట్లు తీసుకున్న క్యాచ్ మరియు బౌల్డ్ (18)', '50 వ అత్యధిక వికెట్లు ఒక ఫీల్డర్ చేత క్యాచ్ తీసుకున్న (85)', '6 వ అత్యధిక వికెట్లు తీసుకున్న స్టంప్ (30) ',' 16 వ వరుస ఇన్నింగ్స్ లో కెరీర్ లో క్యాచ్లు (120) ',' 2 వ అత్యధిక క్యాచ్లు (4) ',' 4 వ అత్యధిక క్యాచ్లు (11) ',' ఐదవ వికెట్కు 36 వ అత్యధిక భాగస్వామ్యం (154) ', '41 వ లాంగెస్ట్ కెరీర్లు (15y 351d)', '38 వ వరుస మ్యాచ్లు ఒక జట్టు కెప్టెన్గా (35)']</v>
      </c>
      <c r="G449" s="2" t="s">
        <v>367</v>
      </c>
      <c r="H449" s="2" t="str">
        <f>IFERROR(__xludf.DUMMYFUNCTION("IF(G449&lt;&gt;"""", GOOGLETRANSLATE(G449, ""en"", ""te""),"""")"),"[ '37 వ అత్యంత బృందం (35) కెప్టెన్ గా వరుస మ్యాచ్లు']")</f>
        <v>[ '37 వ అత్యంత బృందం (35) కెప్టెన్ గా వరుస మ్యాచ్లు']</v>
      </c>
      <c r="I449" s="3"/>
    </row>
    <row r="450" customHeight="1" spans="1:9">
      <c r="A450" s="2"/>
      <c r="B450" s="2" t="str">
        <f>IFERROR(__xludf.DUMMYFUNCTION("IF(A450&lt;&gt;"""", GOOGLETRANSLATE(A450, ""en"", ""te""),"""")"),"")</f>
        <v/>
      </c>
      <c r="C450" s="2"/>
      <c r="D450" s="2" t="str">
        <f>IFERROR(__xludf.DUMMYFUNCTION("IF(C450&lt;&gt;"""", GOOGLETRANSLATE(C450, ""en"", ""te""),"""")"),"")</f>
        <v/>
      </c>
      <c r="E450" s="2"/>
      <c r="F450" s="2" t="str">
        <f>IFERROR(__xludf.DUMMYFUNCTION("IF(E450&lt;&gt;"""", GOOGLETRANSLATE(E450, ""en"", ""te""),"""")"),"")</f>
        <v/>
      </c>
      <c r="G450" s="2"/>
      <c r="H450" s="2" t="str">
        <f>IFERROR(__xludf.DUMMYFUNCTION("IF(G450&lt;&gt;"""", GOOGLETRANSLATE(G450, ""en"", ""te""),"""")"),"")</f>
        <v/>
      </c>
      <c r="I450" s="3"/>
    </row>
    <row r="451" customHeight="1" spans="1:9">
      <c r="A451" s="2" t="s">
        <v>368</v>
      </c>
      <c r="B451" s="2" t="str">
        <f>IFERROR(__xludf.DUMMYFUNCTION("IF(A451&lt;&gt;"""", GOOGLETRANSLATE(A451, ""en"", ""te""),"""")"),"[ 'ఇన్నింగ్స్ లో 7 వ అత్యధిక పరుగులు (బ్యాటింగ్ స్థానంలో ప్రకారం) (64)', '6 వ ఒక సిరీస్లో అత్యధిక వికెట్లు (23)', '6 వ ఉత్తమ కెరీర్ ఆర్థిక రేటు (3.32)', '3 వ అత్యంత తీసుకోబడిన వికెట్ల హిట్ వికెట్ (2 ) ']")</f>
        <v>[ 'ఇన్నింగ్స్ లో 7 వ అత్యధిక పరుగులు (బ్యాటింగ్ స్థానంలో ప్రకారం) (64)', '6 వ ఒక సిరీస్లో అత్యధిక వికెట్లు (23)', '6 వ ఉత్తమ కెరీర్ ఆర్థిక రేటు (3.32)', '3 వ అత్యంత తీసుకోబడిన వికెట్ల హిట్ వికెట్ (2 ) ']</v>
      </c>
      <c r="C451" s="2" t="s">
        <v>369</v>
      </c>
      <c r="D451" s="2" t="str">
        <f>IFERROR(__xludf.DUMMYFUNCTION("IF(C451&lt;&gt;"""", GOOGLETRANSLATE(C451, ""en"", ""te""),"""")"),"[ '17 వ అత్యధిక ఇన్నింగ్స్ లో సమ్మె రేటు (213.33)', '47 వ కెరీర్ లో అత్యధిక వికెట్లు (249)', '13 వ మ్యాచ్ లో బెస్ట్ ఫిగర్స్ (14)', 'పరాజయం వైపు ఒక మ్యాచ్ను 15 వ బెస్ట్ ఫిగర్స్ ( 11) ',' 42 వ ఉత్తమ కెరీర్ సమ్మె రేటు (50.9) ',' ఇన్నింగ్స్ లో 45 వ ఉత్తమ సమ్"&amp;"మె రేటు (9.3) ',' 46 వ అత్యంత ఐదు-వికెట్ల లో-ఒక-ఇన్నింగ్స్ కెరీర్లో (13) ',' 18 వ అత్యధిక వరుస ఐదు వికెట్ల లో-ఒక-ఇన్నింగ్స్ (3) ',' 27th పిన్న ఆటగాడు పది వికెట్లు లో ఒక మ్యాచ్ (22y 178d) ',' 32 వ బౌలర్ / బ్యాటర్ కలయికలు (11) ',' 20 వ తీసుకోవాలని ఎక్కువ వి"&amp;"కెట్లు 150 వికెట్లు బౌల్డ్ తీసుకున్న వేగంగా (81) ',' 27 వ (35) ',' ఫాస్టెస్ట్ 27 200 వికెట్లు (47) ']")</f>
        <v>[ '17 వ అత్యధిక ఇన్నింగ్స్ లో సమ్మె రేటు (213.33)', '47 వ కెరీర్ లో అత్యధిక వికెట్లు (249)', '13 వ మ్యాచ్ లో బెస్ట్ ఫిగర్స్ (14)', 'పరాజయం వైపు ఒక మ్యాచ్ను 15 వ బెస్ట్ ఫిగర్స్ ( 11) ',' 42 వ ఉత్తమ కెరీర్ సమ్మె రేటు (50.9) ',' ఇన్నింగ్స్ లో 45 వ ఉత్తమ సమ్మె రేటు (9.3) ',' 46 వ అత్యంత ఐదు-వికెట్ల లో-ఒక-ఇన్నింగ్స్ కెరీర్లో (13) ',' 18 వ అత్యధిక వరుస ఐదు వికెట్ల లో-ఒక-ఇన్నింగ్స్ (3) ',' 27th పిన్న ఆటగాడు పది వికెట్లు లో ఒక మ్యాచ్ (22y 178d) ',' 32 వ బౌలర్ / బ్యాటర్ కలయికలు (11) ',' 20 వ తీసుకోవాలని ఎక్కువ వికెట్లు 150 వికెట్లు బౌల్డ్ తీసుకున్న వేగంగా (81) ',' 27 వ (35) ',' ఫాస్టెస్ట్ 27 200 వికెట్లు (47) ']</v>
      </c>
      <c r="E451" s="2" t="s">
        <v>370</v>
      </c>
      <c r="F451" s="2" t="str">
        <f>IFERROR(__xludf.DUMMYFUNCTION("IF(E451&lt;&gt;"""", GOOGLETRANSLATE(E451, ""en"", ""te""),"""")"),"[ 'ఇన్నింగ్స్ లో 7 వ అత్యధిక పరుగులు (బ్యాటింగ్ స్థానంలో ప్రకారం) (64)', '6 వ ఒక సిరీస్లో అత్యధిక వికెట్లు (23)', 'ఒకే మైదానంలో 47 వ అత్యధిక వికెట్లు (31)', '12 వ ఉత్తమ కెరీర్ సగటు బౌలింగ్ ( 21.36) ',' 6 వ ఉత్తమ కెరీర్ ఆర్థిక రేటు (3.32) ',' ఇన్నింగ్స్ ల"&amp;"ో 36 వ ఉత్తమ ఆర్థిక రేటు (0.90) ',' 35 వ అత్యంత వృద్ధ ఆటగాడు తొలి తీసుకుని ఐదు-వికెట్ల లో-ఒక-ఇన్నింగ్స్ (30y 362d) ' '45 వ వేగవంతమైన 100 వికెట్లు (69) కు' '3 వ అత్యంత విజయవంతమైన వికెట్ (2) వికెట్లను తీసుకున్నారో',]")</f>
        <v>[ 'ఇన్నింగ్స్ లో 7 వ అత్యధిక పరుగులు (బ్యాటింగ్ స్థానంలో ప్రకారం) (64)', '6 వ ఒక సిరీస్లో అత్యధిక వికెట్లు (23)', 'ఒకే మైదానంలో 47 వ అత్యధిక వికెట్లు (31)', '12 వ ఉత్తమ కెరీర్ సగటు బౌలింగ్ ( 21.36) ',' 6 వ ఉత్తమ కెరీర్ ఆర్థిక రేటు (3.32) ',' ఇన్నింగ్స్ లో 36 వ ఉత్తమ ఆర్థిక రేటు (0.90) ',' 35 వ అత్యంత వృద్ధ ఆటగాడు తొలి తీసుకుని ఐదు-వికెట్ల లో-ఒక-ఇన్నింగ్స్ (30y 362d) ' '45 వ వేగవంతమైన 100 వికెట్లు (69) కు' '3 వ అత్యంత విజయవంతమైన వికెట్ (2) వికెట్లను తీసుకున్నారో',]</v>
      </c>
      <c r="G451" s="2"/>
      <c r="H451" s="2" t="str">
        <f>IFERROR(__xludf.DUMMYFUNCTION("IF(G451&lt;&gt;"""", GOOGLETRANSLATE(G451, ""en"", ""te""),"""")"),"")</f>
        <v/>
      </c>
      <c r="I451" s="3"/>
    </row>
    <row r="452" customHeight="1" spans="1:9">
      <c r="A452" s="2" t="s">
        <v>371</v>
      </c>
      <c r="B452" s="2" t="str">
        <f>IFERROR(__xludf.DUMMYFUNCTION("IF(A452&lt;&gt;"""", GOOGLETRANSLATE(A452, ""en"", ""te""),"""")"),"[ 'హండ్రెడ్ తొలి (142)', 'ఒక ఇన్నింగ్స్లో ద్వారా బ్యాట్ నిదర్శన (60 *)', 'రెండవ వికెట్కు 3 వ అత్యధిక భాగస్వామ్యం (446)']")</f>
        <v>[ 'హండ్రెడ్ తొలి (142)', 'ఒక ఇన్నింగ్స్లో ద్వారా బ్యాట్ నిదర్శన (60 *)', 'రెండవ వికెట్కు 3 వ అత్యధిక భాగస్వామ్యం (446)']</v>
      </c>
      <c r="C452" s="2" t="s">
        <v>372</v>
      </c>
      <c r="D452" s="2" t="str">
        <f>IFERROR(__xludf.DUMMYFUNCTION("IF(C452&lt;&gt;"""", GOOGLETRANSLATE(C452, ""en"", ""te""),"""")"),"[ '48 వ అత్యంత తొలి మ్యాచ్లో పరుగులు (153)', 'ఏ వికెట్కు 7 వ అత్యధిక భాగస్వామ్యాల (446)', 'రెండవ వికెట్ (446) 3 వ అత్యధిక భాగస్వామ్యం']")</f>
        <v>[ '48 వ అత్యంత తొలి మ్యాచ్లో పరుగులు (153)', 'ఏ వికెట్కు 7 వ అత్యధిక భాగస్వామ్యాల (446)', 'రెండవ వికెట్ (446) 3 వ అత్యధిక భాగస్వామ్యం']</v>
      </c>
      <c r="E452" s="2"/>
      <c r="F452" s="2" t="str">
        <f>IFERROR(__xludf.DUMMYFUNCTION("IF(E452&lt;&gt;"""", GOOGLETRANSLATE(E452, ""en"", ""te""),"""")"),"")</f>
        <v/>
      </c>
      <c r="G452" s="2"/>
      <c r="H452" s="2" t="str">
        <f>IFERROR(__xludf.DUMMYFUNCTION("IF(G452&lt;&gt;"""", GOOGLETRANSLATE(G452, ""en"", ""te""),"""")"),"")</f>
        <v/>
      </c>
      <c r="I452" s="3"/>
    </row>
    <row r="453" customHeight="1" spans="1:9">
      <c r="A453" s="2"/>
      <c r="B453" s="2" t="str">
        <f>IFERROR(__xludf.DUMMYFUNCTION("IF(A453&lt;&gt;"""", GOOGLETRANSLATE(A453, ""en"", ""te""),"""")"),"")</f>
        <v/>
      </c>
      <c r="C453" s="2"/>
      <c r="D453" s="2" t="str">
        <f>IFERROR(__xludf.DUMMYFUNCTION("IF(C453&lt;&gt;"""", GOOGLETRANSLATE(C453, ""en"", ""te""),"""")"),"")</f>
        <v/>
      </c>
      <c r="E453" s="2" t="s">
        <v>373</v>
      </c>
      <c r="F453" s="2" t="str">
        <f>IFERROR(__xludf.DUMMYFUNCTION("IF(E453&lt;&gt;"""", GOOGLETRANSLATE(E453, ""en"", ""te""),"""")"),"[ '29 చెత్త కెరీర్ (82.66) (అర్హత లేకుండా) సగటు బౌలింగ్', 'ఏడవ వికెట్కు 27 అత్యధిక భాగస్వామ్యం (64)', '18 వ వరుస మ్యాచ్లు ప్రదర్శనల మధ్య బృందం (43) కోసం తప్పిన']")</f>
        <v>[ '29 చెత్త కెరీర్ (82.66) (అర్హత లేకుండా) సగటు బౌలింగ్', 'ఏడవ వికెట్కు 27 అత్యధిక భాగస్వామ్యం (64)', '18 వ వరుస మ్యాచ్లు ప్రదర్శనల మధ్య బృందం (43) కోసం తప్పిన']</v>
      </c>
      <c r="G453" s="2" t="s">
        <v>374</v>
      </c>
      <c r="H453" s="2" t="str">
        <f>IFERROR(__xludf.DUMMYFUNCTION("IF(G453&lt;&gt;"""", GOOGLETRANSLATE(G453, ""en"", ""te""),"""")"),"[ 'మొదటి డక్ ముందు 17 వ అత్యంత ఇన్నింగ్స్ (21)', 'ఎనిమిదవ వికెట్కు 36 వ అత్యధిక భాగస్వామ్యం (23)']")</f>
        <v>[ 'మొదటి డక్ ముందు 17 వ అత్యంత ఇన్నింగ్స్ (21)', 'ఎనిమిదవ వికెట్కు 36 వ అత్యధిక భాగస్వామ్యం (23)']</v>
      </c>
      <c r="I453" s="3"/>
    </row>
    <row r="454" customHeight="1" spans="1:9">
      <c r="A454" s="2"/>
      <c r="B454" s="2" t="str">
        <f>IFERROR(__xludf.DUMMYFUNCTION("IF(A454&lt;&gt;"""", GOOGLETRANSLATE(A454, ""en"", ""te""),"""")"),"")</f>
        <v/>
      </c>
      <c r="C454" s="2"/>
      <c r="D454" s="2" t="str">
        <f>IFERROR(__xludf.DUMMYFUNCTION("IF(C454&lt;&gt;"""", GOOGLETRANSLATE(C454, ""en"", ""te""),"""")"),"")</f>
        <v/>
      </c>
      <c r="E454" s="2"/>
      <c r="F454" s="2" t="str">
        <f>IFERROR(__xludf.DUMMYFUNCTION("IF(E454&lt;&gt;"""", GOOGLETRANSLATE(E454, ""en"", ""te""),"""")"),"")</f>
        <v/>
      </c>
      <c r="G454" s="2"/>
      <c r="H454" s="2" t="str">
        <f>IFERROR(__xludf.DUMMYFUNCTION("IF(G454&lt;&gt;"""", GOOGLETRANSLATE(G454, ""en"", ""te""),"""")"),"")</f>
        <v/>
      </c>
      <c r="I454" s="3"/>
    </row>
    <row r="455" customHeight="1" spans="1:9">
      <c r="A455" s="2"/>
      <c r="B455" s="2" t="str">
        <f>IFERROR(__xludf.DUMMYFUNCTION("IF(A455&lt;&gt;"""", GOOGLETRANSLATE(A455, ""en"", ""te""),"""")"),"")</f>
        <v/>
      </c>
      <c r="C455" s="2"/>
      <c r="D455" s="2" t="str">
        <f>IFERROR(__xludf.DUMMYFUNCTION("IF(C455&lt;&gt;"""", GOOGLETRANSLATE(C455, ""en"", ""te""),"""")"),"")</f>
        <v/>
      </c>
      <c r="E455" s="2"/>
      <c r="F455" s="2" t="str">
        <f>IFERROR(__xludf.DUMMYFUNCTION("IF(E455&lt;&gt;"""", GOOGLETRANSLATE(E455, ""en"", ""te""),"""")"),"")</f>
        <v/>
      </c>
      <c r="G455" s="2"/>
      <c r="H455" s="2" t="str">
        <f>IFERROR(__xludf.DUMMYFUNCTION("IF(G455&lt;&gt;"""", GOOGLETRANSLATE(G455, ""en"", ""te""),"""")"),"")</f>
        <v/>
      </c>
      <c r="I455" s="3"/>
    </row>
    <row r="456" customHeight="1" spans="1:9">
      <c r="A456" s="2" t="s">
        <v>352</v>
      </c>
      <c r="B456" s="2" t="str">
        <f>IFERROR(__xludf.DUMMYFUNCTION("IF(A456&lt;&gt;"""", GOOGLETRANSLATE(A456, ""en"", ""te""),"""")"),"[ 'బ్యాటింగ్ ప్రారంభించుటకు మరియు అదే మ్యాచ్ లో బౌలింగ్']")</f>
        <v>[ 'బ్యాటింగ్ ప్రారంభించుటకు మరియు అదే మ్యాచ్ లో బౌలింగ్']</v>
      </c>
      <c r="C456" s="2" t="s">
        <v>375</v>
      </c>
      <c r="D456" s="2" t="str">
        <f>IFERROR(__xludf.DUMMYFUNCTION("IF(C456&lt;&gt;"""", GOOGLETRANSLATE(C456, ""en"", ""te""),"""")"),"[ 'నాలుగో వికెట్కు (284) 24 అత్యధిక భాగస్వామ్యం']")</f>
        <v>[ 'నాలుగో వికెట్కు (284) 24 అత్యధిక భాగస్వామ్యం']</v>
      </c>
      <c r="E456" s="2"/>
      <c r="F456" s="2" t="str">
        <f>IFERROR(__xludf.DUMMYFUNCTION("IF(E456&lt;&gt;"""", GOOGLETRANSLATE(E456, ""en"", ""te""),"""")"),"")</f>
        <v/>
      </c>
      <c r="G456" s="2"/>
      <c r="H456" s="2" t="str">
        <f>IFERROR(__xludf.DUMMYFUNCTION("IF(G456&lt;&gt;"""", GOOGLETRANSLATE(G456, ""en"", ""te""),"""")"),"")</f>
        <v/>
      </c>
      <c r="I456" s="3"/>
    </row>
    <row r="457" customHeight="1" spans="1:9">
      <c r="A457" s="2" t="s">
        <v>376</v>
      </c>
      <c r="B457" s="2" t="str">
        <f>IFERROR(__xludf.DUMMYFUNCTION("IF(A457&lt;&gt;"""", GOOGLETRANSLATE(A457, ""en"", ""te""),"""")"),"[ 'ఇన్నింగ్స్ లో 8 వ ఎక్కువ సిక్స్ (9)']")</f>
        <v>[ 'ఇన్నింగ్స్ లో 8 వ ఎక్కువ సిక్స్ (9)']</v>
      </c>
      <c r="C457" s="2" t="s">
        <v>377</v>
      </c>
      <c r="D457" s="2" t="str">
        <f>IFERROR(__xludf.DUMMYFUNCTION("IF(C457&lt;&gt;"""", GOOGLETRANSLATE(C457, ""en"", ""te""),"""")"),"[ 'కెరీర్లో 11 వ బాతులు నో (30)', '8 వ ఇన్నింగ్స్ లో వచ్చిన ఎక్కువ సిక్స్ (9)']")</f>
        <v>[ 'కెరీర్లో 11 వ బాతులు నో (30)', '8 వ ఇన్నింగ్స్ లో వచ్చిన ఎక్కువ సిక్స్ (9)']</v>
      </c>
      <c r="E457" s="2" t="s">
        <v>378</v>
      </c>
      <c r="F457" s="2" t="str">
        <f>IFERROR(__xludf.DUMMYFUNCTION("IF(E457&lt;&gt;"""", GOOGLETRANSLATE(E457, ""en"", ""te""),"""")"),"[ '16 వ అత్యధిక కెరీర్ సమ్మె రేటు (106.87)', '34 వ పిన్న ఆటగాడు వంద (21y 70d) స్కోర్', '36 వ 1000 పరుగులు (28) వేగంగా']")</f>
        <v>[ '16 వ అత్యధిక కెరీర్ సమ్మె రేటు (106.87)', '34 వ పిన్న ఆటగాడు వంద (21y 70d) స్కోర్', '36 వ 1000 పరుగులు (28) వేగంగా']</v>
      </c>
      <c r="G457" s="2"/>
      <c r="H457" s="2" t="str">
        <f>IFERROR(__xludf.DUMMYFUNCTION("IF(G457&lt;&gt;"""", GOOGLETRANSLATE(G457, ""en"", ""te""),"""")"),"")</f>
        <v/>
      </c>
      <c r="I457" s="3"/>
    </row>
    <row r="458" customHeight="1" spans="1:9">
      <c r="A458" s="2"/>
      <c r="B458" s="2" t="str">
        <f>IFERROR(__xludf.DUMMYFUNCTION("IF(A458&lt;&gt;"""", GOOGLETRANSLATE(A458, ""en"", ""te""),"""")"),"")</f>
        <v/>
      </c>
      <c r="C458" s="2"/>
      <c r="D458" s="2" t="str">
        <f>IFERROR(__xludf.DUMMYFUNCTION("IF(C458&lt;&gt;"""", GOOGLETRANSLATE(C458, ""en"", ""te""),"""")"),"")</f>
        <v/>
      </c>
      <c r="E458" s="2"/>
      <c r="F458" s="2" t="str">
        <f>IFERROR(__xludf.DUMMYFUNCTION("IF(E458&lt;&gt;"""", GOOGLETRANSLATE(E458, ""en"", ""te""),"""")"),"")</f>
        <v/>
      </c>
      <c r="G458" s="2"/>
      <c r="H458" s="2" t="str">
        <f>IFERROR(__xludf.DUMMYFUNCTION("IF(G458&lt;&gt;"""", GOOGLETRANSLATE(G458, ""en"", ""te""),"""")"),"")</f>
        <v/>
      </c>
      <c r="I458" s="3"/>
    </row>
    <row r="459" customHeight="1" spans="1:9">
      <c r="A459" s="2"/>
      <c r="B459" s="2" t="str">
        <f>IFERROR(__xludf.DUMMYFUNCTION("IF(A459&lt;&gt;"""", GOOGLETRANSLATE(A459, ""en"", ""te""),"""")"),"")</f>
        <v/>
      </c>
      <c r="C459" s="2"/>
      <c r="D459" s="2" t="str">
        <f>IFERROR(__xludf.DUMMYFUNCTION("IF(C459&lt;&gt;"""", GOOGLETRANSLATE(C459, ""en"", ""te""),"""")"),"")</f>
        <v/>
      </c>
      <c r="E459" s="2"/>
      <c r="F459" s="2" t="str">
        <f>IFERROR(__xludf.DUMMYFUNCTION("IF(E459&lt;&gt;"""", GOOGLETRANSLATE(E459, ""en"", ""te""),"""")"),"")</f>
        <v/>
      </c>
      <c r="G459" s="2"/>
      <c r="H459" s="2" t="str">
        <f>IFERROR(__xludf.DUMMYFUNCTION("IF(G459&lt;&gt;"""", GOOGLETRANSLATE(G459, ""en"", ""te""),"""")"),"")</f>
        <v/>
      </c>
      <c r="I459" s="3"/>
    </row>
    <row r="460" customHeight="1" spans="1:9">
      <c r="A460" s="2" t="s">
        <v>379</v>
      </c>
      <c r="B460" s="2" t="str">
        <f>IFERROR(__xludf.DUMMYFUNCTION("IF(A460&lt;&gt;"""", GOOGLETRANSLATE(A460, ""en"", ""te""),"""")"),"[ '4 వ లాంగెస్ట్ కెరీర్లు (24y 10d)', '5 వ అత్యధిక కెరీర్ బ్యాటింగ్ సగటు (60.83)', 'హండ్రెడ్ ప్రవేశం (176) న', 'హండ్రెడ్ ఒక మ్యాచ్లో ప్రతి ఇన్నింగ్స్లో', 'వరుస ఇన్నింగ్స్లో 7 వ యాభైల్లో (6) ',' 2000 పరుగులు వేగంగా 2 వ (32) ',' 4 వ లాంగెస్ట్ కెరీర్లు (24y"&amp;" 10d) ',' వరుస ఇన్నింగ్స్లో 6 వ వందల (3) ',' వరుస ఇన్నింగ్స్లో 10 వ యాభైల్లో (6) ']")</f>
        <v>[ '4 వ లాంగెస్ట్ కెరీర్లు (24y 10d)', '5 వ అత్యధిక కెరీర్ బ్యాటింగ్ సగటు (60.83)', 'హండ్రెడ్ ప్రవేశం (176) న', 'హండ్రెడ్ ఒక మ్యాచ్లో ప్రతి ఇన్నింగ్స్లో', 'వరుస ఇన్నింగ్స్లో 7 వ యాభైల్లో (6) ',' 2000 పరుగులు వేగంగా 2 వ (32) ',' 4 వ లాంగెస్ట్ కెరీర్లు (24y 10d) ',' వరుస ఇన్నింగ్స్లో 6 వ వందల (3) ',' వరుస ఇన్నింగ్స్లో 10 వ యాభైల్లో (6) ']</v>
      </c>
      <c r="C460" s="2" t="s">
        <v>380</v>
      </c>
      <c r="D460" s="2" t="str">
        <f>IFERROR(__xludf.DUMMYFUNCTION("IF(C460&lt;&gt;"""", GOOGLETRANSLATE(C460, ""en"", ""te""),"""")"),"[ '32 వ ఒక సిరీస్లో అత్యధిక పరుగులు (703)', '45 వ పరాజయం వైపు ఒక మ్యాచ్లో అత్యధిక పరుగులు (213)', '5 వ అత్యధిక కెరీర్ బ్యాటింగ్ సగటు (60.83)', తొలి మ్యాచ్లో '14 వ అత్యధిక పరుగులు (197) ',' వరుస 2 వ అత్యధిక వందలు (4) ',' 15 వ ఒక జట్టు వ్యతిరేకంగా అత్యధిక "&amp;"వందలు (8) ',' వరుస ఇన్నింగ్స్లో 5 వ వందల (3) ',' 39 వ పిన్న ఆటగాడు వంద (20y 226d) స్కోర్ ' 'వరుస ఇన్నింగ్స్లో 7 వ యాభైల్లో (6)' '9 వ వేగవంతమైన 1000 పరుగులు (17)' 'డబుల్ సెంచరీ (20y 308d) స్కోర్ 2 వ పిన్న ఆటగాడు', '2nd 2000 వరకు వేగంగా పరుగులు (32)', ' 2"&amp;"0 వ ఓల్డెస్ట్ క్రీడాకారులు (44y 236d) ',' 4 వ లాంగెస్ట్ కెరీర్లు (24y 10d) ',' 37 వ ఓల్డెస్ట్ కాప్టెన్ (38y 241d) ',' కెప్టెన్సీ తొలి 14 వ ఓల్డెస్ట్ కాప్టెన్ (38y 236d) ']")</f>
        <v>[ '32 వ ఒక సిరీస్లో అత్యధిక పరుగులు (703)', '45 వ పరాజయం వైపు ఒక మ్యాచ్లో అత్యధిక పరుగులు (213)', '5 వ అత్యధిక కెరీర్ బ్యాటింగ్ సగటు (60.83)', తొలి మ్యాచ్లో '14 వ అత్యధిక పరుగులు (197) ',' వరుస 2 వ అత్యధిక వందలు (4) ',' 15 వ ఒక జట్టు వ్యతిరేకంగా అత్యధిక వందలు (8) ',' వరుస ఇన్నింగ్స్లో 5 వ వందల (3) ',' 39 వ పిన్న ఆటగాడు వంద (20y 226d) స్కోర్ ' 'వరుస ఇన్నింగ్స్లో 7 వ యాభైల్లో (6)' '9 వ వేగవంతమైన 1000 పరుగులు (17)' 'డబుల్ సెంచరీ (20y 308d) స్కోర్ 2 వ పిన్న ఆటగాడు', '2nd 2000 వరకు వేగంగా పరుగులు (32)', ' 20 వ ఓల్డెస్ట్ క్రీడాకారులు (44y 236d) ',' 4 వ లాంగెస్ట్ కెరీర్లు (24y 10d) ',' 37 వ ఓల్డెస్ట్ కాప్టెన్ (38y 241d) ',' కెప్టెన్సీ తొలి 14 వ ఓల్డెస్ట్ కాప్టెన్ (38y 236d) ']</v>
      </c>
      <c r="E460" s="2"/>
      <c r="F460" s="2" t="str">
        <f>IFERROR(__xludf.DUMMYFUNCTION("IF(E460&lt;&gt;"""", GOOGLETRANSLATE(E460, ""en"", ""te""),"""")"),"")</f>
        <v/>
      </c>
      <c r="G460" s="2"/>
      <c r="H460" s="2" t="str">
        <f>IFERROR(__xludf.DUMMYFUNCTION("IF(G460&lt;&gt;"""", GOOGLETRANSLATE(G460, ""en"", ""te""),"""")"),"")</f>
        <v/>
      </c>
      <c r="I460" s="3"/>
    </row>
    <row r="461" customHeight="1" spans="1:9">
      <c r="A461" s="2"/>
      <c r="B461" s="2" t="str">
        <f>IFERROR(__xludf.DUMMYFUNCTION("IF(A461&lt;&gt;"""", GOOGLETRANSLATE(A461, ""en"", ""te""),"""")"),"")</f>
        <v/>
      </c>
      <c r="C461" s="2"/>
      <c r="D461" s="2" t="str">
        <f>IFERROR(__xludf.DUMMYFUNCTION("IF(C461&lt;&gt;"""", GOOGLETRANSLATE(C461, ""en"", ""te""),"""")"),"")</f>
        <v/>
      </c>
      <c r="E461" s="2"/>
      <c r="F461" s="2" t="str">
        <f>IFERROR(__xludf.DUMMYFUNCTION("IF(E461&lt;&gt;"""", GOOGLETRANSLATE(E461, ""en"", ""te""),"""")"),"")</f>
        <v/>
      </c>
      <c r="G461" s="2"/>
      <c r="H461" s="2" t="str">
        <f>IFERROR(__xludf.DUMMYFUNCTION("IF(G461&lt;&gt;"""", GOOGLETRANSLATE(G461, ""en"", ""te""),"""")"),"")</f>
        <v/>
      </c>
      <c r="I461" s="3"/>
    </row>
    <row r="462" customHeight="1" spans="1:9">
      <c r="A462" s="2"/>
      <c r="B462" s="2" t="str">
        <f>IFERROR(__xludf.DUMMYFUNCTION("IF(A462&lt;&gt;"""", GOOGLETRANSLATE(A462, ""en"", ""te""),"""")"),"")</f>
        <v/>
      </c>
      <c r="C462" s="2"/>
      <c r="D462" s="2" t="str">
        <f>IFERROR(__xludf.DUMMYFUNCTION("IF(C462&lt;&gt;"""", GOOGLETRANSLATE(C462, ""en"", ""te""),"""")"),"")</f>
        <v/>
      </c>
      <c r="E462" s="2"/>
      <c r="F462" s="2" t="str">
        <f>IFERROR(__xludf.DUMMYFUNCTION("IF(E462&lt;&gt;"""", GOOGLETRANSLATE(E462, ""en"", ""te""),"""")"),"")</f>
        <v/>
      </c>
      <c r="G462" s="2"/>
      <c r="H462" s="2" t="str">
        <f>IFERROR(__xludf.DUMMYFUNCTION("IF(G462&lt;&gt;"""", GOOGLETRANSLATE(G462, ""en"", ""te""),"""")"),"")</f>
        <v/>
      </c>
      <c r="I462" s="3"/>
    </row>
    <row r="463" customHeight="1" spans="1:9">
      <c r="A463" s="2"/>
      <c r="B463" s="2" t="str">
        <f>IFERROR(__xludf.DUMMYFUNCTION("IF(A463&lt;&gt;"""", GOOGLETRANSLATE(A463, ""en"", ""te""),"""")"),"")</f>
        <v/>
      </c>
      <c r="C463" s="2" t="s">
        <v>381</v>
      </c>
      <c r="D463" s="2" t="str">
        <f>IFERROR(__xludf.DUMMYFUNCTION("IF(C463&lt;&gt;"""", GOOGLETRANSLATE(C463, ""en"", ""te""),"""")"),"[ '24 వ అత్యంత వృద్ధ ఆటగాడు తొలి తీసుకుని ఐదు-వికెట్ల లో-ఒక-ఇన్నింగ్స్ (35y 329d)', 'తొమ్మిదవ వికెట్ (122) 25 వ అత్యధిక భాగస్వామ్యం']")</f>
        <v>[ '24 వ అత్యంత వృద్ధ ఆటగాడు తొలి తీసుకుని ఐదు-వికెట్ల లో-ఒక-ఇన్నింగ్స్ (35y 329d)', 'తొమ్మిదవ వికెట్ (122) 25 వ అత్యధిక భాగస్వామ్యం']</v>
      </c>
      <c r="E463" s="2"/>
      <c r="F463" s="2" t="str">
        <f>IFERROR(__xludf.DUMMYFUNCTION("IF(E463&lt;&gt;"""", GOOGLETRANSLATE(E463, ""en"", ""te""),"""")"),"")</f>
        <v/>
      </c>
      <c r="G463" s="2"/>
      <c r="H463" s="2" t="str">
        <f>IFERROR(__xludf.DUMMYFUNCTION("IF(G463&lt;&gt;"""", GOOGLETRANSLATE(G463, ""en"", ""te""),"""")"),"")</f>
        <v/>
      </c>
      <c r="I463" s="3"/>
    </row>
    <row r="464" customHeight="1" spans="1:9">
      <c r="A464" s="2" t="s">
        <v>382</v>
      </c>
      <c r="B464" s="2" t="str">
        <f>IFERROR(__xludf.DUMMYFUNCTION("IF(A464&lt;&gt;"""", GOOGLETRANSLATE(A464, ""en"", ""te""),"""")"),"[ '9 వ అత్యంత ఆకర్షించింది వికెట్లు తీసుకున్న మరియు బౌల్డ్ (16)']")</f>
        <v>[ '9 వ అత్యంత ఆకర్షించింది వికెట్లు తీసుకున్న మరియు బౌల్డ్ (16)']</v>
      </c>
      <c r="C464" s="2"/>
      <c r="D464" s="2" t="str">
        <f>IFERROR(__xludf.DUMMYFUNCTION("IF(C464&lt;&gt;"""", GOOGLETRANSLATE(C464, ""en"", ""te""),"""")"),"")</f>
        <v/>
      </c>
      <c r="E464" s="2" t="s">
        <v>383</v>
      </c>
      <c r="F464" s="2" t="str">
        <f>IFERROR(__xludf.DUMMYFUNCTION("IF(E464&lt;&gt;"""", GOOGLETRANSLATE(E464, ""en"", ""te""),"""")"),"[ '35 వ ఉత్తమ ఇన్నింగ్స్ లో ఆర్థిక రేటు (0.88)', '9 వ అత్యధిక వికెట్లు తీసుకున్న క్యాచ్ మరియు బౌల్డ్ (16)', 'వరుస (8) 24 వ అత్యధిక క్యాచ్లు']")</f>
        <v>[ '35 వ ఉత్తమ ఇన్నింగ్స్ లో ఆర్థిక రేటు (0.88)', '9 వ అత్యధిక వికెట్లు తీసుకున్న క్యాచ్ మరియు బౌల్డ్ (16)', 'వరుస (8) 24 వ అత్యధిక క్యాచ్లు']</v>
      </c>
      <c r="G464" s="2"/>
      <c r="H464" s="2" t="str">
        <f>IFERROR(__xludf.DUMMYFUNCTION("IF(G464&lt;&gt;"""", GOOGLETRANSLATE(G464, ""en"", ""te""),"""")"),"")</f>
        <v/>
      </c>
      <c r="I464" s="3"/>
    </row>
    <row r="465" customHeight="1" spans="1:9">
      <c r="A465" s="2"/>
      <c r="B465" s="2" t="str">
        <f>IFERROR(__xludf.DUMMYFUNCTION("IF(A465&lt;&gt;"""", GOOGLETRANSLATE(A465, ""en"", ""te""),"""")"),"")</f>
        <v/>
      </c>
      <c r="C465" s="2"/>
      <c r="D465" s="2" t="str">
        <f>IFERROR(__xludf.DUMMYFUNCTION("IF(C465&lt;&gt;"""", GOOGLETRANSLATE(C465, ""en"", ""te""),"""")"),"")</f>
        <v/>
      </c>
      <c r="E465" s="2"/>
      <c r="F465" s="2" t="str">
        <f>IFERROR(__xludf.DUMMYFUNCTION("IF(E465&lt;&gt;"""", GOOGLETRANSLATE(E465, ""en"", ""te""),"""")"),"")</f>
        <v/>
      </c>
      <c r="G465" s="2"/>
      <c r="H465" s="2" t="str">
        <f>IFERROR(__xludf.DUMMYFUNCTION("IF(G465&lt;&gt;"""", GOOGLETRANSLATE(G465, ""en"", ""te""),"""")"),"")</f>
        <v/>
      </c>
      <c r="I465" s="3"/>
    </row>
    <row r="466" customHeight="1" spans="1:9">
      <c r="A466" s="2"/>
      <c r="B466" s="2" t="str">
        <f>IFERROR(__xludf.DUMMYFUNCTION("IF(A466&lt;&gt;"""", GOOGLETRANSLATE(A466, ""en"", ""te""),"""")"),"")</f>
        <v/>
      </c>
      <c r="C466" s="2"/>
      <c r="D466" s="2" t="str">
        <f>IFERROR(__xludf.DUMMYFUNCTION("IF(C466&lt;&gt;"""", GOOGLETRANSLATE(C466, ""en"", ""te""),"""")"),"")</f>
        <v/>
      </c>
      <c r="E466" s="2"/>
      <c r="F466" s="2" t="str">
        <f>IFERROR(__xludf.DUMMYFUNCTION("IF(E466&lt;&gt;"""", GOOGLETRANSLATE(E466, ""en"", ""te""),"""")"),"")</f>
        <v/>
      </c>
      <c r="G466" s="2"/>
      <c r="H466" s="2" t="str">
        <f>IFERROR(__xludf.DUMMYFUNCTION("IF(G466&lt;&gt;"""", GOOGLETRANSLATE(G466, ""en"", ""te""),"""")"),"")</f>
        <v/>
      </c>
      <c r="I466" s="3"/>
    </row>
    <row r="467" customHeight="1" spans="1:9">
      <c r="A467" s="2"/>
      <c r="B467" s="2" t="str">
        <f>IFERROR(__xludf.DUMMYFUNCTION("IF(A467&lt;&gt;"""", GOOGLETRANSLATE(A467, ""en"", ""te""),"""")"),"")</f>
        <v/>
      </c>
      <c r="C467" s="2" t="s">
        <v>384</v>
      </c>
      <c r="D467" s="2" t="str">
        <f>IFERROR(__xludf.DUMMYFUNCTION("IF(C467&lt;&gt;"""", GOOGLETRANSLATE(C467, ""en"", ""te""),"""")"),"[ '35 వ పురాతన దేశం ఆటగాళ్ళు (87y 162d)', '18 వ అత్యధిక మ్యాచ్లు ఒక మ్యాచ్ రిఫరీ (19) గా', '11 వ అత్యధిక ఇన్నింగ్స్ బై (619) గూడా ఇవ్వకుండా మొత్తం']")</f>
        <v>[ '35 వ పురాతన దేశం ఆటగాళ్ళు (87y 162d)', '18 వ అత్యధిక మ్యాచ్లు ఒక మ్యాచ్ రిఫరీ (19) గా', '11 వ అత్యధిక ఇన్నింగ్స్ బై (619) గూడా ఇవ్వకుండా మొత్తం']</v>
      </c>
      <c r="E467" s="2" t="s">
        <v>385</v>
      </c>
      <c r="F467" s="2" t="str">
        <f>IFERROR(__xludf.DUMMYFUNCTION("IF(E467&lt;&gt;"""", GOOGLETRANSLATE(E467, ""en"", ""te""),"""")"),"[ '27 ఒక మ్యాచ్ రిఫరీ గా అత్యధిక మ్యాచ్లు (26)']")</f>
        <v>[ '27 ఒక మ్యాచ్ రిఫరీ గా అత్యధిక మ్యాచ్లు (26)']</v>
      </c>
      <c r="G467" s="2"/>
      <c r="H467" s="2" t="str">
        <f>IFERROR(__xludf.DUMMYFUNCTION("IF(G467&lt;&gt;"""", GOOGLETRANSLATE(G467, ""en"", ""te""),"""")"),"")</f>
        <v/>
      </c>
      <c r="I467" s="3"/>
    </row>
    <row r="468" customHeight="1" spans="1:9">
      <c r="A468" s="2" t="s">
        <v>386</v>
      </c>
      <c r="B468" s="2" t="str">
        <f>IFERROR(__xludf.DUMMYFUNCTION("IF(A468&lt;&gt;"""", GOOGLETRANSLATE(A468, ""en"", ""te""),"""")"),"[ 'హండ్రెడ్ ఒక మ్యాచ్లో ప్రతి ఇన్నింగ్స్లో', 'ఒక వికెట్ కీపర్ సిరీస్లో 4 అత్యధిక పరుగులు (470)', '4 వ అత్యధిక కెరీర్ బ్యాటింగ్ సగటు (53.74)', 'వరుస ఇన్నింగ్స్లో 2 వ యాభైల్లో (6)', '9 వ ఒక ఇన్నింగ్స్ లో చాలా ఫోర్లు (22) ',' 3000 పరుగులు (67) ',' నూట ఇన్ని"&amp;"ంగ్స్ లో నాలుగు తొలగింపులకు ',' 8 వ అత్యంత ఇన్నింగ్స్ లో సాధించిన బైస్ 2 వ వేగవంతమైన (8) ']")</f>
        <v>[ 'హండ్రెడ్ ఒక మ్యాచ్లో ప్రతి ఇన్నింగ్స్లో', 'ఒక వికెట్ కీపర్ సిరీస్లో 4 అత్యధిక పరుగులు (470)', '4 వ అత్యధిక కెరీర్ బ్యాటింగ్ సగటు (53.74)', 'వరుస ఇన్నింగ్స్లో 2 వ యాభైల్లో (6)', '9 వ ఒక ఇన్నింగ్స్ లో చాలా ఫోర్లు (22) ',' 3000 పరుగులు (67) ',' నూట ఇన్నింగ్స్ లో నాలుగు తొలగింపులకు ',' 8 వ అత్యంత ఇన్నింగ్స్ లో సాధించిన బైస్ 2 వ వేగవంతమైన (8) ']</v>
      </c>
      <c r="C468" s="2" t="s">
        <v>387</v>
      </c>
      <c r="D468" s="2" t="str">
        <f>IFERROR(__xludf.DUMMYFUNCTION("IF(C468&lt;&gt;"""", GOOGLETRANSLATE(C468, ""en"", ""te""),"""")"),"[ 'కెరీర్లో 21 వ అతి తక్కువ బాతులు (32)']")</f>
        <v>[ 'కెరీర్లో 21 వ అతి తక్కువ బాతులు (32)']</v>
      </c>
      <c r="E468" s="2" t="s">
        <v>388</v>
      </c>
      <c r="F468" s="2" t="str">
        <f>IFERROR(__xludf.DUMMYFUNCTION("IF(E468&lt;&gt;"""", GOOGLETRANSLATE(E468, ""en"", ""te""),"""")"),"[ '23 ఒక క్యాలెండర్ సంవత్సరంలో అత్యధిక పరుగులు (1345)', 'ఒక వికెట్ కీపర్ సిరీస్లో 4 అత్యధిక పరుగులు (470)', '6 వ ఇన్నింగ్స్ లో అత్యధిక పరుగులు ఒక ద్వారా' 48 వ వరుస (470) అత్యధిక పరుగులు ' వికెట్కీపర్గా (170) ',' 4 వ అత్యధిక కెరీర్ బ్యాటింగ్ సగటు (53.74) '"&amp;",' 29th ఒక క్యాలెండర్ సంవత్సరంలో అత్యధిక వందలు (4) ',' వరుస ఇన్నింగ్స్లో ఇన్నింగ్స్ లో (6) ',' 9 వ అత్యంత ఫోర్లు 2 వ యాభైల్లో (22 ) ',' ఒక ఇన్నింగ్స్లో పరుగుల 48 వ అత్యధిక శాతం (54.54) ',' 2000 పరుగులు 5 వ వేగవంతమైన (47) ',' 2nd 3000 వేగవంతమైన పరుగులు "&amp;"(67) ',' రెండవ వికెట్కు 24 అత్యధిక భాగస్వామ్యం (218 ) ',' ఒక జట్టుకు 37 వ వరుస మ్యాచ్లు (78) ',' 45 వ అత్యంత ప్లేయర్ ఆఫ్ ది సిరీస్ అవార్డులు (3) ',' 33 వ అత్యధిక వికెట్లు కెరీర్లో (94) ',' 16 వ ఇన్నింగ్స్ లో అత్యధిక వికెట్లు (5) ',' 25 వ ఒక సిరీస్లో అత్యధ"&amp;"ిక వికెట్లు (16) ',' 31 అత్యధిక క్యాచ్లు కెరీర్లో (84) ',' 12 వ ఒక సిరీస్లో అత్యధిక క్యాచ్లు (16) ',' 37 వ అత్యంత స్టంపింగ్లు కెరీర్లో (10) ' '17 వ అత్యంత బైలు ఇన్నింగ్స్ (11) లో సాధించిన]")</f>
        <v>[ '23 ఒక క్యాలెండర్ సంవత్సరంలో అత్యధిక పరుగులు (1345)', 'ఒక వికెట్ కీపర్ సిరీస్లో 4 అత్యధిక పరుగులు (470)', '6 వ ఇన్నింగ్స్ లో అత్యధిక పరుగులు ఒక ద్వారా' 48 వ వరుస (470) అత్యధిక పరుగులు ' వికెట్కీపర్గా (170) ',' 4 వ అత్యధిక కెరీర్ బ్యాటింగ్ సగటు (53.74) ',' 29th ఒక క్యాలెండర్ సంవత్సరంలో అత్యధిక వందలు (4) ',' వరుస ఇన్నింగ్స్లో ఇన్నింగ్స్ లో (6) ',' 9 వ అత్యంత ఫోర్లు 2 వ యాభైల్లో (22 ) ',' ఒక ఇన్నింగ్స్లో పరుగుల 48 వ అత్యధిక శాతం (54.54) ',' 2000 పరుగులు 5 వ వేగవంతమైన (47) ',' 2nd 3000 వేగవంతమైన పరుగులు (67) ',' రెండవ వికెట్కు 24 అత్యధిక భాగస్వామ్యం (218 ) ',' ఒక జట్టుకు 37 వ వరుస మ్యాచ్లు (78) ',' 45 వ అత్యంత ప్లేయర్ ఆఫ్ ది సిరీస్ అవార్డులు (3) ',' 33 వ అత్యధిక వికెట్లు కెరీర్లో (94) ',' 16 వ ఇన్నింగ్స్ లో అత్యధిక వికెట్లు (5) ',' 25 వ ఒక సిరీస్లో అత్యధిక వికెట్లు (16) ',' 31 అత్యధిక క్యాచ్లు కెరీర్లో (84) ',' 12 వ ఒక సిరీస్లో అత్యధిక క్యాచ్లు (16) ',' 37 వ అత్యంత స్టంపింగ్లు కెరీర్లో (10) ' '17 వ అత్యంత బైలు ఇన్నింగ్స్ (11) లో సాధించిన]</v>
      </c>
      <c r="G468" s="2" t="s">
        <v>389</v>
      </c>
      <c r="H468" s="2" t="str">
        <f>IFERROR(__xludf.DUMMYFUNCTION("IF(G468&lt;&gt;"""", GOOGLETRANSLATE(G468, ""en"", ""te""),"""")"),"[ '8 వ అత్యంత ఇన్నింగ్స్ లో సాధించిన బైస్ (8)']")</f>
        <v>[ '8 వ అత్యంత ఇన్నింగ్స్ లో సాధించిన బైస్ (8)']</v>
      </c>
      <c r="I468" s="3"/>
    </row>
    <row r="469" customHeight="1" spans="1:9">
      <c r="A469" s="2"/>
      <c r="B469" s="2" t="str">
        <f>IFERROR(__xludf.DUMMYFUNCTION("IF(A469&lt;&gt;"""", GOOGLETRANSLATE(A469, ""en"", ""te""),"""")"),"")</f>
        <v/>
      </c>
      <c r="C469" s="2"/>
      <c r="D469" s="2" t="str">
        <f>IFERROR(__xludf.DUMMYFUNCTION("IF(C469&lt;&gt;"""", GOOGLETRANSLATE(C469, ""en"", ""te""),"""")"),"")</f>
        <v/>
      </c>
      <c r="E469" s="2"/>
      <c r="F469" s="2" t="str">
        <f>IFERROR(__xludf.DUMMYFUNCTION("IF(E469&lt;&gt;"""", GOOGLETRANSLATE(E469, ""en"", ""te""),"""")"),"")</f>
        <v/>
      </c>
      <c r="G469" s="2"/>
      <c r="H469" s="2" t="str">
        <f>IFERROR(__xludf.DUMMYFUNCTION("IF(G469&lt;&gt;"""", GOOGLETRANSLATE(G469, ""en"", ""te""),"""")"),"")</f>
        <v/>
      </c>
      <c r="I469" s="3"/>
    </row>
    <row r="470" customHeight="1" spans="1:9">
      <c r="A470" s="2"/>
      <c r="B470" s="2" t="str">
        <f>IFERROR(__xludf.DUMMYFUNCTION("IF(A470&lt;&gt;"""", GOOGLETRANSLATE(A470, ""en"", ""te""),"""")"),"")</f>
        <v/>
      </c>
      <c r="C470" s="2"/>
      <c r="D470" s="2" t="str">
        <f>IFERROR(__xludf.DUMMYFUNCTION("IF(C470&lt;&gt;"""", GOOGLETRANSLATE(C470, ""en"", ""te""),"""")"),"")</f>
        <v/>
      </c>
      <c r="E470" s="2"/>
      <c r="F470" s="2" t="str">
        <f>IFERROR(__xludf.DUMMYFUNCTION("IF(E470&lt;&gt;"""", GOOGLETRANSLATE(E470, ""en"", ""te""),"""")"),"")</f>
        <v/>
      </c>
      <c r="G470" s="2"/>
      <c r="H470" s="2" t="str">
        <f>IFERROR(__xludf.DUMMYFUNCTION("IF(G470&lt;&gt;"""", GOOGLETRANSLATE(G470, ""en"", ""te""),"""")"),"")</f>
        <v/>
      </c>
      <c r="I470" s="3"/>
    </row>
    <row r="471" customHeight="1" spans="1:9">
      <c r="A471" s="2"/>
      <c r="B471" s="2" t="str">
        <f>IFERROR(__xludf.DUMMYFUNCTION("IF(A471&lt;&gt;"""", GOOGLETRANSLATE(A471, ""en"", ""te""),"""")"),"")</f>
        <v/>
      </c>
      <c r="C471" s="2"/>
      <c r="D471" s="2" t="str">
        <f>IFERROR(__xludf.DUMMYFUNCTION("IF(C471&lt;&gt;"""", GOOGLETRANSLATE(C471, ""en"", ""te""),"""")"),"")</f>
        <v/>
      </c>
      <c r="E471" s="2"/>
      <c r="F471" s="2" t="str">
        <f>IFERROR(__xludf.DUMMYFUNCTION("IF(E471&lt;&gt;"""", GOOGLETRANSLATE(E471, ""en"", ""te""),"""")"),"")</f>
        <v/>
      </c>
      <c r="G471" s="2"/>
      <c r="H471" s="2" t="str">
        <f>IFERROR(__xludf.DUMMYFUNCTION("IF(G471&lt;&gt;"""", GOOGLETRANSLATE(G471, ""en"", ""te""),"""")"),"")</f>
        <v/>
      </c>
      <c r="I471" s="3"/>
    </row>
    <row r="472" customHeight="1" spans="1:9">
      <c r="A472" s="2"/>
      <c r="B472" s="2" t="str">
        <f>IFERROR(__xludf.DUMMYFUNCTION("IF(A472&lt;&gt;"""", GOOGLETRANSLATE(A472, ""en"", ""te""),"""")"),"")</f>
        <v/>
      </c>
      <c r="C472" s="2"/>
      <c r="D472" s="2" t="str">
        <f>IFERROR(__xludf.DUMMYFUNCTION("IF(C472&lt;&gt;"""", GOOGLETRANSLATE(C472, ""en"", ""te""),"""")"),"")</f>
        <v/>
      </c>
      <c r="E472" s="2"/>
      <c r="F472" s="2" t="str">
        <f>IFERROR(__xludf.DUMMYFUNCTION("IF(E472&lt;&gt;"""", GOOGLETRANSLATE(E472, ""en"", ""te""),"""")"),"")</f>
        <v/>
      </c>
      <c r="G472" s="2"/>
      <c r="H472" s="2" t="str">
        <f>IFERROR(__xludf.DUMMYFUNCTION("IF(G472&lt;&gt;"""", GOOGLETRANSLATE(G472, ""en"", ""te""),"""")"),"")</f>
        <v/>
      </c>
      <c r="I472" s="3"/>
    </row>
    <row r="473" customHeight="1" spans="1:9">
      <c r="A473" s="2"/>
      <c r="B473" s="2" t="str">
        <f>IFERROR(__xludf.DUMMYFUNCTION("IF(A473&lt;&gt;"""", GOOGLETRANSLATE(A473, ""en"", ""te""),"""")"),"")</f>
        <v/>
      </c>
      <c r="C473" s="2"/>
      <c r="D473" s="2" t="str">
        <f>IFERROR(__xludf.DUMMYFUNCTION("IF(C473&lt;&gt;"""", GOOGLETRANSLATE(C473, ""en"", ""te""),"""")"),"")</f>
        <v/>
      </c>
      <c r="E473" s="2"/>
      <c r="F473" s="2" t="str">
        <f>IFERROR(__xludf.DUMMYFUNCTION("IF(E473&lt;&gt;"""", GOOGLETRANSLATE(E473, ""en"", ""te""),"""")"),"")</f>
        <v/>
      </c>
      <c r="G473" s="2"/>
      <c r="H473" s="2" t="str">
        <f>IFERROR(__xludf.DUMMYFUNCTION("IF(G473&lt;&gt;"""", GOOGLETRANSLATE(G473, ""en"", ""te""),"""")"),"")</f>
        <v/>
      </c>
      <c r="I473" s="3"/>
    </row>
    <row r="474" customHeight="1" spans="1:9">
      <c r="A474" s="2"/>
      <c r="B474" s="2" t="str">
        <f>IFERROR(__xludf.DUMMYFUNCTION("IF(A474&lt;&gt;"""", GOOGLETRANSLATE(A474, ""en"", ""te""),"""")"),"")</f>
        <v/>
      </c>
      <c r="C474" s="2"/>
      <c r="D474" s="2" t="str">
        <f>IFERROR(__xludf.DUMMYFUNCTION("IF(C474&lt;&gt;"""", GOOGLETRANSLATE(C474, ""en"", ""te""),"""")"),"")</f>
        <v/>
      </c>
      <c r="E474" s="2"/>
      <c r="F474" s="2" t="str">
        <f>IFERROR(__xludf.DUMMYFUNCTION("IF(E474&lt;&gt;"""", GOOGLETRANSLATE(E474, ""en"", ""te""),"""")"),"")</f>
        <v/>
      </c>
      <c r="G474" s="2"/>
      <c r="H474" s="2" t="str">
        <f>IFERROR(__xludf.DUMMYFUNCTION("IF(G474&lt;&gt;"""", GOOGLETRANSLATE(G474, ""en"", ""te""),"""")"),"")</f>
        <v/>
      </c>
      <c r="I474" s="3"/>
    </row>
    <row r="475" customHeight="1" spans="1:9">
      <c r="A475" s="2" t="s">
        <v>390</v>
      </c>
      <c r="B475" s="2" t="str">
        <f>IFERROR(__xludf.DUMMYFUNCTION("IF(A475&lt;&gt;"""", GOOGLETRANSLATE(A475, ""en"", ""te""),"""")"),"[ 'ఇన్నింగ్స్ లో 1 వ అత్యధిక వికెట్లు (7)', '1 వ ఇన్నింగ్స్ లో అత్యధిక క్యాచ్లు (7)', '300 పరుగులు మరియు ఒక సిరీస్లో 15 వికెట్కీపింగ్ తొలగింపులకు', '1 వ ఇన్నింగ్స్ లో అత్యధిక వికెట్లు (6)', ' ఒక ఇన్నింగ్స్ లో 1 వ అత్యంత స్టంపింగ్లు (3) ',' ఒక ఇన్నింగ్స్లో"&amp;" ద్వారా బ్యాట్ వాహక ఇన్నింగ్స్ లో (49 *) ',' యాభై అయిదు తొలగింపులకు ']")</f>
        <v>[ 'ఇన్నింగ్స్ లో 1 వ అత్యధిక వికెట్లు (7)', '1 వ ఇన్నింగ్స్ లో అత్యధిక క్యాచ్లు (7)', '300 పరుగులు మరియు ఒక సిరీస్లో 15 వికెట్కీపింగ్ తొలగింపులకు', '1 వ ఇన్నింగ్స్ లో అత్యధిక వికెట్లు (6)', ' ఒక ఇన్నింగ్స్ లో 1 వ అత్యంత స్టంపింగ్లు (3) ',' ఒక ఇన్నింగ్స్లో ద్వారా బ్యాట్ వాహక ఇన్నింగ్స్ లో (49 *) ',' యాభై అయిదు తొలగింపులకు ']</v>
      </c>
      <c r="C475" s="2" t="s">
        <v>391</v>
      </c>
      <c r="D475" s="2" t="str">
        <f>IFERROR(__xludf.DUMMYFUNCTION("IF(C475&lt;&gt;"""", GOOGLETRANSLATE(C475, ""en"", ""te""),"""")"),"[ '47 వ అత్యంత వికెట్కీపర్ శ్రేణిలో పరుగులు (317)', '13 వ కెరీర్ లో అత్యధిక వికెట్లు (219)', 'వికెట్ (2) ఉంచింది చేసిన 25 కెప్టెన్ల' 'ఇన్నింగ్స్ లో 1 వ అత్యధిక వికెట్లు (7)' '8 వ మ్యాచ్ లో అత్యధిక వికెట్లు (9)', '37 వ ఒక సిరీస్లో అత్యధిక వికెట్లు (21)', '"&amp;"13 వ కెరీర్ లో అత్యధిక క్యాచ్లు (207)', '1 వ ఇన్నింగ్స్ లో అత్యధిక క్యాచ్లు (7)', '26 ఒక మ్యాచ్లో అత్యధిక క్యాచ్లు (8) ',' 35 వ ఒక సిరీస్లో అత్యధిక క్యాచ్లు (21) ',' 37 వ అత్యంత స్టంపింగ్లు కెరీర్లో (12) ',' 31 అత్యధిక ఇన్నింగ్స్ బై (566 / 9D) గూడా ఇవ్వక"&amp;"ుండా మొత్తం ']")</f>
        <v>[ '47 వ అత్యంత వికెట్కీపర్ శ్రేణిలో పరుగులు (317)', '13 వ కెరీర్ లో అత్యధిక వికెట్లు (219)', 'వికెట్ (2) ఉంచింది చేసిన 25 కెప్టెన్ల' 'ఇన్నింగ్స్ లో 1 వ అత్యధిక వికెట్లు (7)' '8 వ మ్యాచ్ లో అత్యధిక వికెట్లు (9)', '37 వ ఒక సిరీస్లో అత్యధిక వికెట్లు (21)', '13 వ కెరీర్ లో అత్యధిక క్యాచ్లు (207)', '1 వ ఇన్నింగ్స్ లో అత్యధిక క్యాచ్లు (7)', '26 ఒక మ్యాచ్లో అత్యధిక క్యాచ్లు (8) ',' 35 వ ఒక సిరీస్లో అత్యధిక క్యాచ్లు (21) ',' 37 వ అత్యంత స్టంపింగ్లు కెరీర్లో (12) ',' 31 అత్యధిక ఇన్నింగ్స్ బై (566 / 9D) గూడా ఇవ్వకుండా మొత్తం ']</v>
      </c>
      <c r="E475" s="2" t="s">
        <v>392</v>
      </c>
      <c r="F475" s="2" t="str">
        <f>IFERROR(__xludf.DUMMYFUNCTION("IF(E475&lt;&gt;"""", GOOGLETRANSLATE(E475, ""en"", ""te""),"""")"),"[ '25 వ అత్యంత లేకుండా కెరీర్లో పరుగులు వంద (1865)', 'వికెట్ను కాపాడుకున్నాడు చేసిన 26 కెప్టెన్ల (4)', 'కెప్టెన్సీ ప్రవేశం (34y 351d) 28 వ ఓల్డెస్ట్ కెప్టెన్లు', '13 వ కెరీర్ లో అత్యధిక వికెట్లు (189) ',' వరుస ఇన్నింగ్స్ (6) ',' 25 వ అత్యధిక వికెట్లు లో 1"&amp;" వ అత్యధిక వికెట్లు (16) ',' 15 వ కెరీర్ లో అత్యధిక క్యాచ్లు (160) ',' 11 వ అత్యంత ఇన్నింగ్స్ లో క్యాచ్లు (5) ',' ఒక సిరీస్లో వరుస 31 వ అత్యధిక క్యాచ్లు (14) ',' 15 వ కెరీర్ స్టంపింగ్లు (29) ',' 1 వ ఇన్నింగ్స్ (3) ',' 7 వ అత్యంత స్టంపింగ్లు అత్యంత స్టంపిం"&amp;"గ్లు (5) ']")</f>
        <v>[ '25 వ అత్యంత లేకుండా కెరీర్లో పరుగులు వంద (1865)', 'వికెట్ను కాపాడుకున్నాడు చేసిన 26 కెప్టెన్ల (4)', 'కెప్టెన్సీ ప్రవేశం (34y 351d) 28 వ ఓల్డెస్ట్ కెప్టెన్లు', '13 వ కెరీర్ లో అత్యధిక వికెట్లు (189) ',' వరుస ఇన్నింగ్స్ (6) ',' 25 వ అత్యధిక వికెట్లు లో 1 వ అత్యధిక వికెట్లు (16) ',' 15 వ కెరీర్ లో అత్యధిక క్యాచ్లు (160) ',' 11 వ అత్యంత ఇన్నింగ్స్ లో క్యాచ్లు (5) ',' ఒక సిరీస్లో వరుస 31 వ అత్యధిక క్యాచ్లు (14) ',' 15 వ కెరీర్ స్టంపింగ్లు (29) ',' 1 వ ఇన్నింగ్స్ (3) ',' 7 వ అత్యంత స్టంపింగ్లు అత్యంత స్టంపింగ్లు (5) ']</v>
      </c>
      <c r="G475" s="2"/>
      <c r="H475" s="2" t="str">
        <f>IFERROR(__xludf.DUMMYFUNCTION("IF(G475&lt;&gt;"""", GOOGLETRANSLATE(G475, ""en"", ""te""),"""")"),"")</f>
        <v/>
      </c>
      <c r="I475" s="3"/>
    </row>
    <row r="476" customHeight="1" spans="1:9">
      <c r="A476" s="2"/>
      <c r="B476" s="2" t="str">
        <f>IFERROR(__xludf.DUMMYFUNCTION("IF(A476&lt;&gt;"""", GOOGLETRANSLATE(A476, ""en"", ""te""),"""")"),"")</f>
        <v/>
      </c>
      <c r="C476" s="2"/>
      <c r="D476" s="2" t="str">
        <f>IFERROR(__xludf.DUMMYFUNCTION("IF(C476&lt;&gt;"""", GOOGLETRANSLATE(C476, ""en"", ""te""),"""")"),"")</f>
        <v/>
      </c>
      <c r="E476" s="2"/>
      <c r="F476" s="2" t="str">
        <f>IFERROR(__xludf.DUMMYFUNCTION("IF(E476&lt;&gt;"""", GOOGLETRANSLATE(E476, ""en"", ""te""),"""")"),"")</f>
        <v/>
      </c>
      <c r="G476" s="2"/>
      <c r="H476" s="2" t="str">
        <f>IFERROR(__xludf.DUMMYFUNCTION("IF(G476&lt;&gt;"""", GOOGLETRANSLATE(G476, ""en"", ""te""),"""")"),"")</f>
        <v/>
      </c>
      <c r="I476" s="3"/>
    </row>
    <row r="477" customHeight="1" spans="1:9">
      <c r="A477" s="2"/>
      <c r="B477" s="2" t="str">
        <f>IFERROR(__xludf.DUMMYFUNCTION("IF(A477&lt;&gt;"""", GOOGLETRANSLATE(A477, ""en"", ""te""),"""")"),"")</f>
        <v/>
      </c>
      <c r="C477" s="2"/>
      <c r="D477" s="2" t="str">
        <f>IFERROR(__xludf.DUMMYFUNCTION("IF(C477&lt;&gt;"""", GOOGLETRANSLATE(C477, ""en"", ""te""),"""")"),"")</f>
        <v/>
      </c>
      <c r="E477" s="2"/>
      <c r="F477" s="2" t="str">
        <f>IFERROR(__xludf.DUMMYFUNCTION("IF(E477&lt;&gt;"""", GOOGLETRANSLATE(E477, ""en"", ""te""),"""")"),"")</f>
        <v/>
      </c>
      <c r="G477" s="2"/>
      <c r="H477" s="2" t="str">
        <f>IFERROR(__xludf.DUMMYFUNCTION("IF(G477&lt;&gt;"""", GOOGLETRANSLATE(G477, ""en"", ""te""),"""")"),"")</f>
        <v/>
      </c>
      <c r="I477" s="3"/>
    </row>
    <row r="478" customHeight="1" spans="1:9">
      <c r="A478" s="2"/>
      <c r="B478" s="2" t="str">
        <f>IFERROR(__xludf.DUMMYFUNCTION("IF(A478&lt;&gt;"""", GOOGLETRANSLATE(A478, ""en"", ""te""),"""")"),"")</f>
        <v/>
      </c>
      <c r="C478" s="2"/>
      <c r="D478" s="2" t="str">
        <f>IFERROR(__xludf.DUMMYFUNCTION("IF(C478&lt;&gt;"""", GOOGLETRANSLATE(C478, ""en"", ""te""),"""")"),"")</f>
        <v/>
      </c>
      <c r="E478" s="2"/>
      <c r="F478" s="2" t="str">
        <f>IFERROR(__xludf.DUMMYFUNCTION("IF(E478&lt;&gt;"""", GOOGLETRANSLATE(E478, ""en"", ""te""),"""")"),"")</f>
        <v/>
      </c>
      <c r="G478" s="2"/>
      <c r="H478" s="2" t="str">
        <f>IFERROR(__xludf.DUMMYFUNCTION("IF(G478&lt;&gt;"""", GOOGLETRANSLATE(G478, ""en"", ""te""),"""")"),"")</f>
        <v/>
      </c>
      <c r="I478" s="3"/>
    </row>
    <row r="479" customHeight="1" spans="1:9">
      <c r="A479" s="2"/>
      <c r="B479" s="2" t="str">
        <f>IFERROR(__xludf.DUMMYFUNCTION("IF(A479&lt;&gt;"""", GOOGLETRANSLATE(A479, ""en"", ""te""),"""")"),"")</f>
        <v/>
      </c>
      <c r="C479" s="2"/>
      <c r="D479" s="2" t="str">
        <f>IFERROR(__xludf.DUMMYFUNCTION("IF(C479&lt;&gt;"""", GOOGLETRANSLATE(C479, ""en"", ""te""),"""")"),"")</f>
        <v/>
      </c>
      <c r="E479" s="2"/>
      <c r="F479" s="2" t="str">
        <f>IFERROR(__xludf.DUMMYFUNCTION("IF(E479&lt;&gt;"""", GOOGLETRANSLATE(E479, ""en"", ""te""),"""")"),"")</f>
        <v/>
      </c>
      <c r="G479" s="2"/>
      <c r="H479" s="2" t="str">
        <f>IFERROR(__xludf.DUMMYFUNCTION("IF(G479&lt;&gt;"""", GOOGLETRANSLATE(G479, ""en"", ""te""),"""")"),"")</f>
        <v/>
      </c>
      <c r="I479" s="3"/>
    </row>
    <row r="480" customHeight="1" spans="1:9">
      <c r="A480" s="2" t="s">
        <v>393</v>
      </c>
      <c r="B480" s="2" t="str">
        <f>IFERROR(__xludf.DUMMYFUNCTION("IF(A480&lt;&gt;"""", GOOGLETRANSLATE(A480, ""en"", ""te""),"""")"),"[ '9 వ అత్యంత వృద్ధ ఆటగాడు పది వికెట్లు లో ఒక మ్యాచ్ తీసుకోవాలని (37y 258d)']")</f>
        <v>[ '9 వ అత్యంత వృద్ధ ఆటగాడు పది వికెట్లు లో ఒక మ్యాచ్ తీసుకోవాలని (37y 258d)']</v>
      </c>
      <c r="C480" s="2" t="s">
        <v>394</v>
      </c>
      <c r="D480" s="2" t="str">
        <f>IFERROR(__xludf.DUMMYFUNCTION("IF(C480&lt;&gt;"""", GOOGLETRANSLATE(C480, ""en"", ""te""),"""")"),"[ '13 వ అరంగేట్రంలోనే మ్యాచ్లో ఉత్తమ బొమ్మలు (10)', పది వికెట్లు ఇన్ ఒక- తీసుకోవాలని 'అయిదు వికెట్లు-ఇన్-ఒక-ఇన్నింగ్స్ (37y 258d) పడుతుంది 34 వ ఓల్డెస్ట్ ఆటగాడు', '9 వ అత్యంత వృద్ధ ఆటగాడు మ్యాచ్ (37y 258d) ',' 15 వ అత్యంత వృద్ధ ఆటగాడు తొలి తీసుకుని ఐదు-వి"&amp;"కెట్ల లో-ఒక-ఇన్నింగ్స్ (37y 258d) ',' ప్రవేశం (37y 258d) పై 37 వ ఓల్డెస్ట్ క్రీడాకారుల]")</f>
        <v>[ '13 వ అరంగేట్రంలోనే మ్యాచ్లో ఉత్తమ బొమ్మలు (10)', పది వికెట్లు ఇన్ ఒక- తీసుకోవాలని 'అయిదు వికెట్లు-ఇన్-ఒక-ఇన్నింగ్స్ (37y 258d) పడుతుంది 34 వ ఓల్డెస్ట్ ఆటగాడు', '9 వ అత్యంత వృద్ధ ఆటగాడు మ్యాచ్ (37y 258d) ',' 15 వ అత్యంత వృద్ధ ఆటగాడు తొలి తీసుకుని ఐదు-వికెట్ల లో-ఒక-ఇన్నింగ్స్ (37y 258d) ',' ప్రవేశం (37y 258d) పై 37 వ ఓల్డెస్ట్ క్రీడాకారుల]</v>
      </c>
      <c r="E480" s="2"/>
      <c r="F480" s="2" t="str">
        <f>IFERROR(__xludf.DUMMYFUNCTION("IF(E480&lt;&gt;"""", GOOGLETRANSLATE(E480, ""en"", ""te""),"""")"),"")</f>
        <v/>
      </c>
      <c r="G480" s="2"/>
      <c r="H480" s="2" t="str">
        <f>IFERROR(__xludf.DUMMYFUNCTION("IF(G480&lt;&gt;"""", GOOGLETRANSLATE(G480, ""en"", ""te""),"""")"),"")</f>
        <v/>
      </c>
      <c r="I480" s="3"/>
    </row>
    <row r="481" customHeight="1" spans="1:9">
      <c r="A481" s="2"/>
      <c r="B481" s="2" t="str">
        <f>IFERROR(__xludf.DUMMYFUNCTION("IF(A481&lt;&gt;"""", GOOGLETRANSLATE(A481, ""en"", ""te""),"""")"),"")</f>
        <v/>
      </c>
      <c r="C481" s="2"/>
      <c r="D481" s="2" t="str">
        <f>IFERROR(__xludf.DUMMYFUNCTION("IF(C481&lt;&gt;"""", GOOGLETRANSLATE(C481, ""en"", ""te""),"""")"),"")</f>
        <v/>
      </c>
      <c r="E481" s="2"/>
      <c r="F481" s="2" t="str">
        <f>IFERROR(__xludf.DUMMYFUNCTION("IF(E481&lt;&gt;"""", GOOGLETRANSLATE(E481, ""en"", ""te""),"""")"),"")</f>
        <v/>
      </c>
      <c r="G481" s="2"/>
      <c r="H481" s="2" t="str">
        <f>IFERROR(__xludf.DUMMYFUNCTION("IF(G481&lt;&gt;"""", GOOGLETRANSLATE(G481, ""en"", ""te""),"""")"),"")</f>
        <v/>
      </c>
      <c r="I481" s="3"/>
    </row>
    <row r="482" customHeight="1" spans="1:9">
      <c r="A482" s="2"/>
      <c r="B482" s="2" t="str">
        <f>IFERROR(__xludf.DUMMYFUNCTION("IF(A482&lt;&gt;"""", GOOGLETRANSLATE(A482, ""en"", ""te""),"""")"),"")</f>
        <v/>
      </c>
      <c r="C482" s="2"/>
      <c r="D482" s="2" t="str">
        <f>IFERROR(__xludf.DUMMYFUNCTION("IF(C482&lt;&gt;"""", GOOGLETRANSLATE(C482, ""en"", ""te""),"""")"),"")</f>
        <v/>
      </c>
      <c r="E482" s="2"/>
      <c r="F482" s="2" t="str">
        <f>IFERROR(__xludf.DUMMYFUNCTION("IF(E482&lt;&gt;"""", GOOGLETRANSLATE(E482, ""en"", ""te""),"""")"),"")</f>
        <v/>
      </c>
      <c r="G482" s="2"/>
      <c r="H482" s="2" t="str">
        <f>IFERROR(__xludf.DUMMYFUNCTION("IF(G482&lt;&gt;"""", GOOGLETRANSLATE(G482, ""en"", ""te""),"""")"),"")</f>
        <v/>
      </c>
      <c r="I482" s="3"/>
    </row>
    <row r="483" customHeight="1" spans="1:9">
      <c r="A483" s="2"/>
      <c r="B483" s="2" t="str">
        <f>IFERROR(__xludf.DUMMYFUNCTION("IF(A483&lt;&gt;"""", GOOGLETRANSLATE(A483, ""en"", ""te""),"""")"),"")</f>
        <v/>
      </c>
      <c r="C483" s="2"/>
      <c r="D483" s="2" t="str">
        <f>IFERROR(__xludf.DUMMYFUNCTION("IF(C483&lt;&gt;"""", GOOGLETRANSLATE(C483, ""en"", ""te""),"""")"),"")</f>
        <v/>
      </c>
      <c r="E483" s="2"/>
      <c r="F483" s="2" t="str">
        <f>IFERROR(__xludf.DUMMYFUNCTION("IF(E483&lt;&gt;"""", GOOGLETRANSLATE(E483, ""en"", ""te""),"""")"),"")</f>
        <v/>
      </c>
      <c r="G483" s="2"/>
      <c r="H483" s="2" t="str">
        <f>IFERROR(__xludf.DUMMYFUNCTION("IF(G483&lt;&gt;"""", GOOGLETRANSLATE(G483, ""en"", ""te""),"""")"),"")</f>
        <v/>
      </c>
      <c r="I483" s="3"/>
    </row>
    <row r="484" customHeight="1" spans="1:9">
      <c r="A484" s="2"/>
      <c r="B484" s="2" t="str">
        <f>IFERROR(__xludf.DUMMYFUNCTION("IF(A484&lt;&gt;"""", GOOGLETRANSLATE(A484, ""en"", ""te""),"""")"),"")</f>
        <v/>
      </c>
      <c r="C484" s="2"/>
      <c r="D484" s="2" t="str">
        <f>IFERROR(__xludf.DUMMYFUNCTION("IF(C484&lt;&gt;"""", GOOGLETRANSLATE(C484, ""en"", ""te""),"""")"),"")</f>
        <v/>
      </c>
      <c r="E484" s="2"/>
      <c r="F484" s="2" t="str">
        <f>IFERROR(__xludf.DUMMYFUNCTION("IF(E484&lt;&gt;"""", GOOGLETRANSLATE(E484, ""en"", ""te""),"""")"),"")</f>
        <v/>
      </c>
      <c r="G484" s="2"/>
      <c r="H484" s="2" t="str">
        <f>IFERROR(__xludf.DUMMYFUNCTION("IF(G484&lt;&gt;"""", GOOGLETRANSLATE(G484, ""en"", ""te""),"""")"),"")</f>
        <v/>
      </c>
      <c r="I484" s="3"/>
    </row>
    <row r="485" customHeight="1" spans="1:9">
      <c r="A485" s="2"/>
      <c r="B485" s="2" t="str">
        <f>IFERROR(__xludf.DUMMYFUNCTION("IF(A485&lt;&gt;"""", GOOGLETRANSLATE(A485, ""en"", ""te""),"""")"),"")</f>
        <v/>
      </c>
      <c r="C485" s="2"/>
      <c r="D485" s="2" t="str">
        <f>IFERROR(__xludf.DUMMYFUNCTION("IF(C485&lt;&gt;"""", GOOGLETRANSLATE(C485, ""en"", ""te""),"""")"),"")</f>
        <v/>
      </c>
      <c r="E485" s="2"/>
      <c r="F485" s="2" t="str">
        <f>IFERROR(__xludf.DUMMYFUNCTION("IF(E485&lt;&gt;"""", GOOGLETRANSLATE(E485, ""en"", ""te""),"""")"),"")</f>
        <v/>
      </c>
      <c r="G485" s="2"/>
      <c r="H485" s="2" t="str">
        <f>IFERROR(__xludf.DUMMYFUNCTION("IF(G485&lt;&gt;"""", GOOGLETRANSLATE(G485, ""en"", ""te""),"""")"),"")</f>
        <v/>
      </c>
      <c r="I485" s="3"/>
    </row>
    <row r="486" customHeight="1" spans="1:9">
      <c r="A486" s="2"/>
      <c r="B486" s="2" t="str">
        <f>IFERROR(__xludf.DUMMYFUNCTION("IF(A486&lt;&gt;"""", GOOGLETRANSLATE(A486, ""en"", ""te""),"""")"),"")</f>
        <v/>
      </c>
      <c r="C486" s="2"/>
      <c r="D486" s="2" t="str">
        <f>IFERROR(__xludf.DUMMYFUNCTION("IF(C486&lt;&gt;"""", GOOGLETRANSLATE(C486, ""en"", ""te""),"""")"),"")</f>
        <v/>
      </c>
      <c r="E486" s="2"/>
      <c r="F486" s="2" t="str">
        <f>IFERROR(__xludf.DUMMYFUNCTION("IF(E486&lt;&gt;"""", GOOGLETRANSLATE(E486, ""en"", ""te""),"""")"),"")</f>
        <v/>
      </c>
      <c r="G486" s="2"/>
      <c r="H486" s="2" t="str">
        <f>IFERROR(__xludf.DUMMYFUNCTION("IF(G486&lt;&gt;"""", GOOGLETRANSLATE(G486, ""en"", ""te""),"""")"),"")</f>
        <v/>
      </c>
      <c r="I486" s="3"/>
    </row>
    <row r="487" customHeight="1" spans="1:9">
      <c r="A487" s="2"/>
      <c r="B487" s="2" t="str">
        <f>IFERROR(__xludf.DUMMYFUNCTION("IF(A487&lt;&gt;"""", GOOGLETRANSLATE(A487, ""en"", ""te""),"""")"),"")</f>
        <v/>
      </c>
      <c r="C487" s="2"/>
      <c r="D487" s="2" t="str">
        <f>IFERROR(__xludf.DUMMYFUNCTION("IF(C487&lt;&gt;"""", GOOGLETRANSLATE(C487, ""en"", ""te""),"""")"),"")</f>
        <v/>
      </c>
      <c r="E487" s="2"/>
      <c r="F487" s="2" t="str">
        <f>IFERROR(__xludf.DUMMYFUNCTION("IF(E487&lt;&gt;"""", GOOGLETRANSLATE(E487, ""en"", ""te""),"""")"),"")</f>
        <v/>
      </c>
      <c r="G487" s="2"/>
      <c r="H487" s="2" t="str">
        <f>IFERROR(__xludf.DUMMYFUNCTION("IF(G487&lt;&gt;"""", GOOGLETRANSLATE(G487, ""en"", ""te""),"""")"),"")</f>
        <v/>
      </c>
      <c r="I487" s="3"/>
    </row>
    <row r="488" customHeight="1" spans="1:9">
      <c r="A488" s="2" t="s">
        <v>395</v>
      </c>
      <c r="B488" s="2" t="str">
        <f>IFERROR(__xludf.DUMMYFUNCTION("IF(A488&lt;&gt;"""", GOOGLETRANSLATE(A488, ""en"", ""te""),"""")"),"[ '7th కెరీర్ (34) వెనుదిరిగాడు']")</f>
        <v>[ '7th కెరీర్ (34) వెనుదిరిగాడు']</v>
      </c>
      <c r="C488" s="2" t="s">
        <v>395</v>
      </c>
      <c r="D488" s="2" t="str">
        <f>IFERROR(__xludf.DUMMYFUNCTION("IF(C488&lt;&gt;"""", GOOGLETRANSLATE(C488, ""en"", ""te""),"""")"),"[ '7th కెరీర్ (34) వెనుదిరిగాడు']")</f>
        <v>[ '7th కెరీర్ (34) వెనుదిరిగాడు']</v>
      </c>
      <c r="E488" s="2"/>
      <c r="F488" s="2" t="str">
        <f>IFERROR(__xludf.DUMMYFUNCTION("IF(E488&lt;&gt;"""", GOOGLETRANSLATE(E488, ""en"", ""te""),"""")"),"")</f>
        <v/>
      </c>
      <c r="G488" s="2"/>
      <c r="H488" s="2" t="str">
        <f>IFERROR(__xludf.DUMMYFUNCTION("IF(G488&lt;&gt;"""", GOOGLETRANSLATE(G488, ""en"", ""te""),"""")"),"")</f>
        <v/>
      </c>
      <c r="I488" s="3"/>
    </row>
    <row r="489" customHeight="1" spans="1:9">
      <c r="A489" s="2"/>
      <c r="B489" s="2" t="str">
        <f>IFERROR(__xludf.DUMMYFUNCTION("IF(A489&lt;&gt;"""", GOOGLETRANSLATE(A489, ""en"", ""te""),"""")"),"")</f>
        <v/>
      </c>
      <c r="C489" s="2" t="s">
        <v>396</v>
      </c>
      <c r="D489" s="2" t="str">
        <f>IFERROR(__xludf.DUMMYFUNCTION("IF(C489&lt;&gt;"""", GOOGLETRANSLATE(C489, ""en"", ""te""),"""")"),"[ '20 వ ఉత్తమ ఇన్నింగ్స్ లో ఆర్థిక రేటు (0.50)']")</f>
        <v>[ '20 వ ఉత్తమ ఇన్నింగ్స్ లో ఆర్థిక రేటు (0.50)']</v>
      </c>
      <c r="E489" s="2"/>
      <c r="F489" s="2" t="str">
        <f>IFERROR(__xludf.DUMMYFUNCTION("IF(E489&lt;&gt;"""", GOOGLETRANSLATE(E489, ""en"", ""te""),"""")"),"")</f>
        <v/>
      </c>
      <c r="G489" s="2"/>
      <c r="H489" s="2" t="str">
        <f>IFERROR(__xludf.DUMMYFUNCTION("IF(G489&lt;&gt;"""", GOOGLETRANSLATE(G489, ""en"", ""te""),"""")"),"")</f>
        <v/>
      </c>
      <c r="I489" s="3"/>
    </row>
    <row r="490" customHeight="1" spans="1:9">
      <c r="A490" s="2"/>
      <c r="B490" s="2" t="str">
        <f>IFERROR(__xludf.DUMMYFUNCTION("IF(A490&lt;&gt;"""", GOOGLETRANSLATE(A490, ""en"", ""te""),"""")"),"")</f>
        <v/>
      </c>
      <c r="C490" s="2"/>
      <c r="D490" s="2" t="str">
        <f>IFERROR(__xludf.DUMMYFUNCTION("IF(C490&lt;&gt;"""", GOOGLETRANSLATE(C490, ""en"", ""te""),"""")"),"")</f>
        <v/>
      </c>
      <c r="E490" s="2"/>
      <c r="F490" s="2" t="str">
        <f>IFERROR(__xludf.DUMMYFUNCTION("IF(E490&lt;&gt;"""", GOOGLETRANSLATE(E490, ""en"", ""te""),"""")"),"")</f>
        <v/>
      </c>
      <c r="G490" s="2"/>
      <c r="H490" s="2" t="str">
        <f>IFERROR(__xludf.DUMMYFUNCTION("IF(G490&lt;&gt;"""", GOOGLETRANSLATE(G490, ""en"", ""te""),"""")"),"")</f>
        <v/>
      </c>
      <c r="I490" s="3"/>
    </row>
    <row r="491" customHeight="1" spans="1:9">
      <c r="A491" s="2"/>
      <c r="B491" s="2" t="str">
        <f>IFERROR(__xludf.DUMMYFUNCTION("IF(A491&lt;&gt;"""", GOOGLETRANSLATE(A491, ""en"", ""te""),"""")"),"")</f>
        <v/>
      </c>
      <c r="C491" s="2"/>
      <c r="D491" s="2" t="str">
        <f>IFERROR(__xludf.DUMMYFUNCTION("IF(C491&lt;&gt;"""", GOOGLETRANSLATE(C491, ""en"", ""te""),"""")"),"")</f>
        <v/>
      </c>
      <c r="E491" s="2"/>
      <c r="F491" s="2" t="str">
        <f>IFERROR(__xludf.DUMMYFUNCTION("IF(E491&lt;&gt;"""", GOOGLETRANSLATE(E491, ""en"", ""te""),"""")"),"")</f>
        <v/>
      </c>
      <c r="G491" s="2"/>
      <c r="H491" s="2" t="str">
        <f>IFERROR(__xludf.DUMMYFUNCTION("IF(G491&lt;&gt;"""", GOOGLETRANSLATE(G491, ""en"", ""te""),"""")"),"")</f>
        <v/>
      </c>
      <c r="I491" s="3"/>
    </row>
    <row r="492" customHeight="1" spans="1:9">
      <c r="A492" s="2"/>
      <c r="B492" s="2" t="str">
        <f>IFERROR(__xludf.DUMMYFUNCTION("IF(A492&lt;&gt;"""", GOOGLETRANSLATE(A492, ""en"", ""te""),"""")"),"")</f>
        <v/>
      </c>
      <c r="C492" s="2"/>
      <c r="D492" s="2" t="str">
        <f>IFERROR(__xludf.DUMMYFUNCTION("IF(C492&lt;&gt;"""", GOOGLETRANSLATE(C492, ""en"", ""te""),"""")"),"")</f>
        <v/>
      </c>
      <c r="E492" s="2"/>
      <c r="F492" s="2" t="str">
        <f>IFERROR(__xludf.DUMMYFUNCTION("IF(E492&lt;&gt;"""", GOOGLETRANSLATE(E492, ""en"", ""te""),"""")"),"")</f>
        <v/>
      </c>
      <c r="G492" s="2"/>
      <c r="H492" s="2" t="str">
        <f>IFERROR(__xludf.DUMMYFUNCTION("IF(G492&lt;&gt;"""", GOOGLETRANSLATE(G492, ""en"", ""te""),"""")"),"")</f>
        <v/>
      </c>
      <c r="I492" s="3"/>
    </row>
    <row r="493" customHeight="1" spans="1:9">
      <c r="A493" s="2"/>
      <c r="B493" s="2" t="str">
        <f>IFERROR(__xludf.DUMMYFUNCTION("IF(A493&lt;&gt;"""", GOOGLETRANSLATE(A493, ""en"", ""te""),"""")"),"")</f>
        <v/>
      </c>
      <c r="C493" s="2"/>
      <c r="D493" s="2" t="str">
        <f>IFERROR(__xludf.DUMMYFUNCTION("IF(C493&lt;&gt;"""", GOOGLETRANSLATE(C493, ""en"", ""te""),"""")"),"")</f>
        <v/>
      </c>
      <c r="E493" s="2"/>
      <c r="F493" s="2" t="str">
        <f>IFERROR(__xludf.DUMMYFUNCTION("IF(E493&lt;&gt;"""", GOOGLETRANSLATE(E493, ""en"", ""te""),"""")"),"")</f>
        <v/>
      </c>
      <c r="G493" s="2"/>
      <c r="H493" s="2" t="str">
        <f>IFERROR(__xludf.DUMMYFUNCTION("IF(G493&lt;&gt;"""", GOOGLETRANSLATE(G493, ""en"", ""te""),"""")"),"")</f>
        <v/>
      </c>
      <c r="I493" s="3"/>
    </row>
    <row r="494" customHeight="1" spans="1:9">
      <c r="A494" s="2"/>
      <c r="B494" s="2" t="str">
        <f>IFERROR(__xludf.DUMMYFUNCTION("IF(A494&lt;&gt;"""", GOOGLETRANSLATE(A494, ""en"", ""te""),"""")"),"")</f>
        <v/>
      </c>
      <c r="C494" s="2"/>
      <c r="D494" s="2" t="str">
        <f>IFERROR(__xludf.DUMMYFUNCTION("IF(C494&lt;&gt;"""", GOOGLETRANSLATE(C494, ""en"", ""te""),"""")"),"")</f>
        <v/>
      </c>
      <c r="E494" s="2"/>
      <c r="F494" s="2" t="str">
        <f>IFERROR(__xludf.DUMMYFUNCTION("IF(E494&lt;&gt;"""", GOOGLETRANSLATE(E494, ""en"", ""te""),"""")"),"")</f>
        <v/>
      </c>
      <c r="G494" s="2"/>
      <c r="H494" s="2" t="str">
        <f>IFERROR(__xludf.DUMMYFUNCTION("IF(G494&lt;&gt;"""", GOOGLETRANSLATE(G494, ""en"", ""te""),"""")"),"")</f>
        <v/>
      </c>
      <c r="I494" s="3"/>
    </row>
    <row r="495" customHeight="1" spans="1:9">
      <c r="A495" s="2"/>
      <c r="B495" s="2" t="str">
        <f>IFERROR(__xludf.DUMMYFUNCTION("IF(A495&lt;&gt;"""", GOOGLETRANSLATE(A495, ""en"", ""te""),"""")"),"")</f>
        <v/>
      </c>
      <c r="C495" s="2"/>
      <c r="D495" s="2" t="str">
        <f>IFERROR(__xludf.DUMMYFUNCTION("IF(C495&lt;&gt;"""", GOOGLETRANSLATE(C495, ""en"", ""te""),"""")"),"")</f>
        <v/>
      </c>
      <c r="E495" s="2"/>
      <c r="F495" s="2" t="str">
        <f>IFERROR(__xludf.DUMMYFUNCTION("IF(E495&lt;&gt;"""", GOOGLETRANSLATE(E495, ""en"", ""te""),"""")"),"")</f>
        <v/>
      </c>
      <c r="G495" s="2"/>
      <c r="H495" s="2" t="str">
        <f>IFERROR(__xludf.DUMMYFUNCTION("IF(G495&lt;&gt;"""", GOOGLETRANSLATE(G495, ""en"", ""te""),"""")"),"")</f>
        <v/>
      </c>
      <c r="I495" s="3"/>
    </row>
    <row r="496" customHeight="1" spans="1:9">
      <c r="A496" s="2"/>
      <c r="B496" s="2" t="str">
        <f>IFERROR(__xludf.DUMMYFUNCTION("IF(A496&lt;&gt;"""", GOOGLETRANSLATE(A496, ""en"", ""te""),"""")"),"")</f>
        <v/>
      </c>
      <c r="C496" s="2"/>
      <c r="D496" s="2" t="str">
        <f>IFERROR(__xludf.DUMMYFUNCTION("IF(C496&lt;&gt;"""", GOOGLETRANSLATE(C496, ""en"", ""te""),"""")"),"")</f>
        <v/>
      </c>
      <c r="E496" s="2"/>
      <c r="F496" s="2" t="str">
        <f>IFERROR(__xludf.DUMMYFUNCTION("IF(E496&lt;&gt;"""", GOOGLETRANSLATE(E496, ""en"", ""te""),"""")"),"")</f>
        <v/>
      </c>
      <c r="G496" s="2"/>
      <c r="H496" s="2" t="str">
        <f>IFERROR(__xludf.DUMMYFUNCTION("IF(G496&lt;&gt;"""", GOOGLETRANSLATE(G496, ""en"", ""te""),"""")"),"")</f>
        <v/>
      </c>
      <c r="I496" s="3"/>
    </row>
    <row r="497" customHeight="1" spans="1:9">
      <c r="A497" s="2"/>
      <c r="B497" s="2" t="str">
        <f>IFERROR(__xludf.DUMMYFUNCTION("IF(A497&lt;&gt;"""", GOOGLETRANSLATE(A497, ""en"", ""te""),"""")"),"")</f>
        <v/>
      </c>
      <c r="C497" s="2"/>
      <c r="D497" s="2" t="str">
        <f>IFERROR(__xludf.DUMMYFUNCTION("IF(C497&lt;&gt;"""", GOOGLETRANSLATE(C497, ""en"", ""te""),"""")"),"")</f>
        <v/>
      </c>
      <c r="E497" s="2" t="s">
        <v>397</v>
      </c>
      <c r="F497" s="2" t="str">
        <f>IFERROR(__xludf.DUMMYFUNCTION("IF(E497&lt;&gt;"""", GOOGLETRANSLATE(E497, ""en"", ""te""),"""")"),"[ '45 వ వరుస మ్యాచ్లు ఆడి మధ్య జట్టు (124) కోసం తప్పిన']")</f>
        <v>[ '45 వ వరుస మ్యాచ్లు ఆడి మధ్య జట్టు (124) కోసం తప్పిన']</v>
      </c>
      <c r="G497" s="2"/>
      <c r="H497" s="2" t="str">
        <f>IFERROR(__xludf.DUMMYFUNCTION("IF(G497&lt;&gt;"""", GOOGLETRANSLATE(G497, ""en"", ""te""),"""")"),"")</f>
        <v/>
      </c>
      <c r="I497" s="3"/>
    </row>
    <row r="498" customHeight="1" spans="1:9">
      <c r="A498" s="2"/>
      <c r="B498" s="2" t="str">
        <f>IFERROR(__xludf.DUMMYFUNCTION("IF(A498&lt;&gt;"""", GOOGLETRANSLATE(A498, ""en"", ""te""),"""")"),"")</f>
        <v/>
      </c>
      <c r="C498" s="2"/>
      <c r="D498" s="2" t="str">
        <f>IFERROR(__xludf.DUMMYFUNCTION("IF(C498&lt;&gt;"""", GOOGLETRANSLATE(C498, ""en"", ""te""),"""")"),"")</f>
        <v/>
      </c>
      <c r="E498" s="2"/>
      <c r="F498" s="2" t="str">
        <f>IFERROR(__xludf.DUMMYFUNCTION("IF(E498&lt;&gt;"""", GOOGLETRANSLATE(E498, ""en"", ""te""),"""")"),"")</f>
        <v/>
      </c>
      <c r="G498" s="2"/>
      <c r="H498" s="2" t="str">
        <f>IFERROR(__xludf.DUMMYFUNCTION("IF(G498&lt;&gt;"""", GOOGLETRANSLATE(G498, ""en"", ""te""),"""")"),"")</f>
        <v/>
      </c>
      <c r="I498" s="3"/>
    </row>
    <row r="499" customHeight="1" spans="1:9">
      <c r="A499" s="2"/>
      <c r="B499" s="2" t="str">
        <f>IFERROR(__xludf.DUMMYFUNCTION("IF(A499&lt;&gt;"""", GOOGLETRANSLATE(A499, ""en"", ""te""),"""")"),"")</f>
        <v/>
      </c>
      <c r="C499" s="2" t="s">
        <v>398</v>
      </c>
      <c r="D499" s="2" t="str">
        <f>IFERROR(__xludf.DUMMYFUNCTION("IF(C499&lt;&gt;"""", GOOGLETRANSLATE(C499, ""en"", ""te""),"""")"),"[ '47 వ చెత్త కెరీర్లో సమ్మె రేటు (108.2)']")</f>
        <v>[ '47 వ చెత్త కెరీర్లో సమ్మె రేటు (108.2)']</v>
      </c>
      <c r="E499" s="2"/>
      <c r="F499" s="2" t="str">
        <f>IFERROR(__xludf.DUMMYFUNCTION("IF(E499&lt;&gt;"""", GOOGLETRANSLATE(E499, ""en"", ""te""),"""")"),"")</f>
        <v/>
      </c>
      <c r="G499" s="2"/>
      <c r="H499" s="2" t="str">
        <f>IFERROR(__xludf.DUMMYFUNCTION("IF(G499&lt;&gt;"""", GOOGLETRANSLATE(G499, ""en"", ""te""),"""")"),"")</f>
        <v/>
      </c>
      <c r="I499" s="3"/>
    </row>
    <row r="500" customHeight="1" spans="1:9">
      <c r="A500" s="2"/>
      <c r="B500" s="2" t="str">
        <f>IFERROR(__xludf.DUMMYFUNCTION("IF(A500&lt;&gt;"""", GOOGLETRANSLATE(A500, ""en"", ""te""),"""")"),"")</f>
        <v/>
      </c>
      <c r="C500" s="2"/>
      <c r="D500" s="2" t="str">
        <f>IFERROR(__xludf.DUMMYFUNCTION("IF(C500&lt;&gt;"""", GOOGLETRANSLATE(C500, ""en"", ""te""),"""")"),"")</f>
        <v/>
      </c>
      <c r="E500" s="2"/>
      <c r="F500" s="2" t="str">
        <f>IFERROR(__xludf.DUMMYFUNCTION("IF(E500&lt;&gt;"""", GOOGLETRANSLATE(E500, ""en"", ""te""),"""")"),"")</f>
        <v/>
      </c>
      <c r="G500" s="2"/>
      <c r="H500" s="2" t="str">
        <f>IFERROR(__xludf.DUMMYFUNCTION("IF(G500&lt;&gt;"""", GOOGLETRANSLATE(G500, ""en"", ""te""),"""")"),"")</f>
        <v/>
      </c>
      <c r="I500" s="3"/>
    </row>
    <row r="501" customHeight="1" spans="1:9">
      <c r="A501" s="2"/>
      <c r="B501" s="2" t="str">
        <f>IFERROR(__xludf.DUMMYFUNCTION("IF(A501&lt;&gt;"""", GOOGLETRANSLATE(A501, ""en"", ""te""),"""")"),"")</f>
        <v/>
      </c>
      <c r="C501" s="2"/>
      <c r="D501" s="2" t="str">
        <f>IFERROR(__xludf.DUMMYFUNCTION("IF(C501&lt;&gt;"""", GOOGLETRANSLATE(C501, ""en"", ""te""),"""")"),"")</f>
        <v/>
      </c>
      <c r="E501" s="2"/>
      <c r="F501" s="2" t="str">
        <f>IFERROR(__xludf.DUMMYFUNCTION("IF(E501&lt;&gt;"""", GOOGLETRANSLATE(E501, ""en"", ""te""),"""")"),"")</f>
        <v/>
      </c>
      <c r="G501" s="2"/>
      <c r="H501" s="2" t="str">
        <f>IFERROR(__xludf.DUMMYFUNCTION("IF(G501&lt;&gt;"""", GOOGLETRANSLATE(G501, ""en"", ""te""),"""")"),"")</f>
        <v/>
      </c>
      <c r="I501" s="3"/>
    </row>
    <row r="502" customHeight="1" spans="1:9">
      <c r="A502" s="2" t="s">
        <v>399</v>
      </c>
      <c r="B502" s="2" t="str">
        <f>IFERROR(__xludf.DUMMYFUNCTION("IF(A502&lt;&gt;"""", GOOGLETRANSLATE(A502, ""en"", ""te""),"""")"),"[ 'తొలి పెయిర్']")</f>
        <v>[ 'తొలి పెయిర్']</v>
      </c>
      <c r="C502" s="2"/>
      <c r="D502" s="2" t="str">
        <f>IFERROR(__xludf.DUMMYFUNCTION("IF(C502&lt;&gt;"""", GOOGLETRANSLATE(C502, ""en"", ""te""),"""")"),"")</f>
        <v/>
      </c>
      <c r="E502" s="2" t="s">
        <v>400</v>
      </c>
      <c r="F502" s="2" t="str">
        <f>IFERROR(__xludf.DUMMYFUNCTION("IF(E502&lt;&gt;"""", GOOGLETRANSLATE(E502, ""en"", ""te""),"""")"),"[ '14 వ ఒక ఇన్నింగ్స్ లోని బెస్ట్ ఫిగర్స్ ఉన్నప్పుడు పరాజయం వైపు (5)', '13 వ వరుస నాలుగు వికెట్లు-ఇన్-ఒక-ఇన్నింగ్స్ (2)', 'అయిదు వికెట్లు ఇన్ an- తీసుకోవాలని 21 వ పిన్న ఆటగాడు ఇన్నింగ్స్ (20y 311d) ',' 45 వ వేగంగా 50 వికెట్లు (31) ']")</f>
        <v>[ '14 వ ఒక ఇన్నింగ్స్ లోని బెస్ట్ ఫిగర్స్ ఉన్నప్పుడు పరాజయం వైపు (5)', '13 వ వరుస నాలుగు వికెట్లు-ఇన్-ఒక-ఇన్నింగ్స్ (2)', 'అయిదు వికెట్లు ఇన్ an- తీసుకోవాలని 21 వ పిన్న ఆటగాడు ఇన్నింగ్స్ (20y 311d) ',' 45 వ వేగంగా 50 వికెట్లు (31) ']</v>
      </c>
      <c r="G502" s="2"/>
      <c r="H502" s="2" t="str">
        <f>IFERROR(__xludf.DUMMYFUNCTION("IF(G502&lt;&gt;"""", GOOGLETRANSLATE(G502, ""en"", ""te""),"""")"),"")</f>
        <v/>
      </c>
      <c r="I502" s="3"/>
    </row>
    <row r="503" customHeight="1" spans="1:9">
      <c r="A503" s="2"/>
      <c r="B503" s="2" t="str">
        <f>IFERROR(__xludf.DUMMYFUNCTION("IF(A503&lt;&gt;"""", GOOGLETRANSLATE(A503, ""en"", ""te""),"""")"),"")</f>
        <v/>
      </c>
      <c r="C503" s="2"/>
      <c r="D503" s="2" t="str">
        <f>IFERROR(__xludf.DUMMYFUNCTION("IF(C503&lt;&gt;"""", GOOGLETRANSLATE(C503, ""en"", ""te""),"""")"),"")</f>
        <v/>
      </c>
      <c r="E503" s="2"/>
      <c r="F503" s="2" t="str">
        <f>IFERROR(__xludf.DUMMYFUNCTION("IF(E503&lt;&gt;"""", GOOGLETRANSLATE(E503, ""en"", ""te""),"""")"),"")</f>
        <v/>
      </c>
      <c r="G503" s="2"/>
      <c r="H503" s="2" t="str">
        <f>IFERROR(__xludf.DUMMYFUNCTION("IF(G503&lt;&gt;"""", GOOGLETRANSLATE(G503, ""en"", ""te""),"""")"),"")</f>
        <v/>
      </c>
      <c r="I503" s="3"/>
    </row>
    <row r="504" customHeight="1" spans="1:9">
      <c r="A504" s="2"/>
      <c r="B504" s="2" t="str">
        <f>IFERROR(__xludf.DUMMYFUNCTION("IF(A504&lt;&gt;"""", GOOGLETRANSLATE(A504, ""en"", ""te""),"""")"),"")</f>
        <v/>
      </c>
      <c r="C504" s="2"/>
      <c r="D504" s="2" t="str">
        <f>IFERROR(__xludf.DUMMYFUNCTION("IF(C504&lt;&gt;"""", GOOGLETRANSLATE(C504, ""en"", ""te""),"""")"),"")</f>
        <v/>
      </c>
      <c r="E504" s="2"/>
      <c r="F504" s="2" t="str">
        <f>IFERROR(__xludf.DUMMYFUNCTION("IF(E504&lt;&gt;"""", GOOGLETRANSLATE(E504, ""en"", ""te""),"""")"),"")</f>
        <v/>
      </c>
      <c r="G504" s="2"/>
      <c r="H504" s="2" t="str">
        <f>IFERROR(__xludf.DUMMYFUNCTION("IF(G504&lt;&gt;"""", GOOGLETRANSLATE(G504, ""en"", ""te""),"""")"),"")</f>
        <v/>
      </c>
      <c r="I504" s="3"/>
    </row>
    <row r="505" customHeight="1" spans="1:9">
      <c r="A505" s="2" t="s">
        <v>401</v>
      </c>
      <c r="B505" s="2" t="str">
        <f>IFERROR(__xludf.DUMMYFUNCTION("IF(A505&lt;&gt;"""", GOOGLETRANSLATE(A505, ""en"", ""te""),"""")"),"[ 'తొలి హండ్రెడ్ (100 *)', 'తొలి నుండి వరుస మ్యాచ్లలో 2 వ వందల (2)', 'చాలా 5 వ దశకం కెరీర్లో (8)', 'హండ్రెడ్ మరియు ఒక మ్యాచ్లో ఒక డక్', '1 వ అత్యుత్తమ బౌలింగ్ విశ్లేషణలు ఒక ఇన్నింగ్స్ లో (1/0) ',' 10 వ లేవు బాతులు కెరీర్ లో (28) ',' ప్రవేశం (2) నుండి వరుస"&amp;" మ్యాచ్లలో 1st వందల]")</f>
        <v>[ 'తొలి హండ్రెడ్ (100 *)', 'తొలి నుండి వరుస మ్యాచ్లలో 2 వ వందల (2)', 'చాలా 5 వ దశకం కెరీర్లో (8)', 'హండ్రెడ్ మరియు ఒక మ్యాచ్లో ఒక డక్', '1 వ అత్యుత్తమ బౌలింగ్ విశ్లేషణలు ఒక ఇన్నింగ్స్ లో (1/0) ',' 10 వ లేవు బాతులు కెరీర్ లో (28) ',' ప్రవేశం (2) నుండి వరుస మ్యాచ్లలో 1st వందల]</v>
      </c>
      <c r="C505" s="2" t="s">
        <v>402</v>
      </c>
      <c r="D505" s="2" t="str">
        <f>IFERROR(__xludf.DUMMYFUNCTION("IF(C505&lt;&gt;"""", GOOGLETRANSLATE(C505, ""en"", ""te""),"""")"),"[ '37 వ అత్యంత కెప్టెన్ ద్వారా ఒక సిరీస్లో పరుగులు (538)', 'తొలి నుండి వరుస మ్యాచ్లలో 2 వ వందల (2)', 'చాలా 5 వ దశకం కెరీర్లో (8)', 'వరుస మ్యాచ్లలో 26 యాభైల్లో (7)' '35 వ 1000 పరుగులు వేగంగా (21)', '17 వ 2000 పరుగులు వేగంగా (40)', '45 వ 3000 పరుగులు వేగంగ"&amp;"ా (69)', '36 వ 4000 పరుగులు (91) వేగంగా', '1 వ అత్యుత్తమ బౌలింగ్ విశ్లేషణలు ఒక ఇన్నింగ్స్ లో (1/0) ']")</f>
        <v>[ '37 వ అత్యంత కెప్టెన్ ద్వారా ఒక సిరీస్లో పరుగులు (538)', 'తొలి నుండి వరుస మ్యాచ్లలో 2 వ వందల (2)', 'చాలా 5 వ దశకం కెరీర్లో (8)', 'వరుస మ్యాచ్లలో 26 యాభైల్లో (7)' '35 వ 1000 పరుగులు వేగంగా (21)', '17 వ 2000 పరుగులు వేగంగా (40)', '45 వ 3000 పరుగులు వేగంగా (69)', '36 వ 4000 పరుగులు (91) వేగంగా', '1 వ అత్యుత్తమ బౌలింగ్ విశ్లేషణలు ఒక ఇన్నింగ్స్ లో (1/0) ']</v>
      </c>
      <c r="E505" s="2" t="s">
        <v>403</v>
      </c>
      <c r="F505" s="2" t="str">
        <f>IFERROR(__xludf.DUMMYFUNCTION("IF(E505&lt;&gt;"""", GOOGLETRANSLATE(E505, ""en"", ""te""),"""")"),"[ 'కెరీర్లో 10 వ లేవు బాతులు (28)']")</f>
        <v>[ 'కెరీర్లో 10 వ లేవు బాతులు (28)']</v>
      </c>
      <c r="G505" s="2"/>
      <c r="H505" s="2" t="str">
        <f>IFERROR(__xludf.DUMMYFUNCTION("IF(G505&lt;&gt;"""", GOOGLETRANSLATE(G505, ""en"", ""te""),"""")"),"")</f>
        <v/>
      </c>
      <c r="I505" s="3"/>
    </row>
    <row r="506" customHeight="1" spans="1:9">
      <c r="A506" s="2" t="s">
        <v>9</v>
      </c>
      <c r="B506" s="2" t="str">
        <f>IFERROR(__xludf.DUMMYFUNCTION("IF(A506&lt;&gt;"""", GOOGLETRANSLATE(A506, ""en"", ""te""),"""")"),"[ 'హండ్రెడ్ మరియు ఒక మ్యాచ్లో ఒక డక్']")</f>
        <v>[ 'హండ్రెడ్ మరియు ఒక మ్యాచ్లో ఒక డక్']</v>
      </c>
      <c r="C506" s="2"/>
      <c r="D506" s="2" t="str">
        <f>IFERROR(__xludf.DUMMYFUNCTION("IF(C506&lt;&gt;"""", GOOGLETRANSLATE(C506, ""en"", ""te""),"""")"),"")</f>
        <v/>
      </c>
      <c r="E506" s="2"/>
      <c r="F506" s="2" t="str">
        <f>IFERROR(__xludf.DUMMYFUNCTION("IF(E506&lt;&gt;"""", GOOGLETRANSLATE(E506, ""en"", ""te""),"""")"),"")</f>
        <v/>
      </c>
      <c r="G506" s="2"/>
      <c r="H506" s="2" t="str">
        <f>IFERROR(__xludf.DUMMYFUNCTION("IF(G506&lt;&gt;"""", GOOGLETRANSLATE(G506, ""en"", ""te""),"""")"),"")</f>
        <v/>
      </c>
      <c r="I506" s="3"/>
    </row>
    <row r="507" customHeight="1" spans="1:9">
      <c r="A507" s="2" t="s">
        <v>404</v>
      </c>
      <c r="B507" s="2" t="str">
        <f>IFERROR(__xludf.DUMMYFUNCTION("IF(A507&lt;&gt;"""", GOOGLETRANSLATE(A507, ""en"", ""te""),"""")"),"[ 'హండ్రెడ్ ఒక మ్యాచ్లో ప్రతి ఇన్నింగ్స్లో', '1 వ 99 పరుగుల (199, 299 etc) (99)', '4 వ పురాతన దేశం ఆటగాళ్ళు (85y 157d)']")</f>
        <v>[ 'హండ్రెడ్ ఒక మ్యాచ్లో ప్రతి ఇన్నింగ్స్లో', '1 వ 99 పరుగుల (199, 299 etc) (99)', '4 వ పురాతన దేశం ఆటగాళ్ళు (85y 157d)']</v>
      </c>
      <c r="C507" s="2" t="s">
        <v>405</v>
      </c>
      <c r="D507" s="2" t="str">
        <f>IFERROR(__xludf.DUMMYFUNCTION("IF(C507&lt;&gt;"""", GOOGLETRANSLATE(C507, ""en"", ""te""),"""")"),"[ '49 వ అత్యంత ఒకే మైదానంలో పరుగులు (1212)', 'ఒక రోజు లో 40 వ అత్యధిక పరుగులు (203)', '8 వ అత్యధిక తొలి వంద (256)', '17 వ పిన్న ఆటగాడు డబుల్ సెంచరీ (23y 5D) స్కోర్' 'కెరీర్లో 10 వ అత్యంత తొంభైల (6)', 'ఇన్నింగ్స్ లో 12 వ అత్యంత ఫోర్లు (42)' '1 వ 99 (199,"&amp;" 299 etc) తీసివేసిన (99)', '22 ఫోర్లు, సిక్సర్లు నుండి అత్యధిక పరుగులు ఇన్నింగ్స్ (168) ',' 3000 పరుగులు (64) ',' ఫాస్టెస్ట్ 4000 పరుగులు (86) ',' 20 వ 22 వ వేగవంతమైన 6000 పరుగులు (130) '5000 పరుగులు (107)', '26th వేగంగా 23 వేగవంతమైన , 'నాలుగవ వికెట్కు "&amp;"46 వ అత్యధిక భాగస్వామ్యం (250)', '33 వ వరుస జట్టు మ్యాచ్లు (61)', '23 వ వరుస అన్ని టాస్ గెలిచిన (3)', '44 వ ఓల్డెస్ట్ కాప్టెన్ (38y 100d)', 'కెప్టెన్సీ తొలి 24 ఓల్డెస్ట్ కాప్టెన్ (37y 52d)']")</f>
        <v>[ '49 వ అత్యంత ఒకే మైదానంలో పరుగులు (1212)', 'ఒక రోజు లో 40 వ అత్యధిక పరుగులు (203)', '8 వ అత్యధిక తొలి వంద (256)', '17 వ పిన్న ఆటగాడు డబుల్ సెంచరీ (23y 5D) స్కోర్' 'కెరీర్లో 10 వ అత్యంత తొంభైల (6)', 'ఇన్నింగ్స్ లో 12 వ అత్యంత ఫోర్లు (42)' '1 వ 99 (199, 299 etc) తీసివేసిన (99)', '22 ఫోర్లు, సిక్సర్లు నుండి అత్యధిక పరుగులు ఇన్నింగ్స్ (168) ',' 3000 పరుగులు (64) ',' ఫాస్టెస్ట్ 4000 పరుగులు (86) ',' 20 వ 22 వ వేగవంతమైన 6000 పరుగులు (130) '5000 పరుగులు (107)', '26th వేగంగా 23 వేగవంతమైన , 'నాలుగవ వికెట్కు 46 వ అత్యధిక భాగస్వామ్యం (250)', '33 వ వరుస జట్టు మ్యాచ్లు (61)', '23 వ వరుస అన్ని టాస్ గెలిచిన (3)', '44 వ ఓల్డెస్ట్ కాప్టెన్ (38y 100d)', 'కెప్టెన్సీ తొలి 24 ఓల్డెస్ట్ కాప్టెన్ (37y 52d)']</v>
      </c>
      <c r="E507" s="2" t="s">
        <v>406</v>
      </c>
      <c r="F507" s="2" t="str">
        <f>IFERROR(__xludf.DUMMYFUNCTION("IF(E507&lt;&gt;"""", GOOGLETRANSLATE(E507, ""en"", ""te""),"""")"),"[ 'తొలి 39 వ ఓల్డెస్ట్ క్రీడాకారులు (37y 253d)', '4 వ పురాతన దేశం ఆటగాళ్ళు (85y 157d)', '28th ఓల్డెస్ట్ కాప్టెన్ (37y 255d)', 'కెప్టెన్సీ తొలి 14 వ ఓల్డెస్ట్ కాప్టెన్ (37y 253d)']")</f>
        <v>[ 'తొలి 39 వ ఓల్డెస్ట్ క్రీడాకారులు (37y 253d)', '4 వ పురాతన దేశం ఆటగాళ్ళు (85y 157d)', '28th ఓల్డెస్ట్ కాప్టెన్ (37y 255d)', 'కెప్టెన్సీ తొలి 14 వ ఓల్డెస్ట్ కాప్టెన్ (37y 253d)']</v>
      </c>
      <c r="G507" s="2"/>
      <c r="H507" s="2" t="str">
        <f>IFERROR(__xludf.DUMMYFUNCTION("IF(G507&lt;&gt;"""", GOOGLETRANSLATE(G507, ""en"", ""te""),"""")"),"")</f>
        <v/>
      </c>
      <c r="I507" s="3"/>
    </row>
    <row r="508" customHeight="1" spans="1:9">
      <c r="A508" s="2" t="s">
        <v>407</v>
      </c>
      <c r="B508" s="2" t="str">
        <f>IFERROR(__xludf.DUMMYFUNCTION("IF(A508&lt;&gt;"""", GOOGLETRANSLATE(A508, ""en"", ""te""),"""")"),"[ 'ఒక సిరీస్లో 4 చాలా బాతులు (4)', '1 వ ఇన్నింగ్స్ లో అత్యధిక వికెట్లు (5)', '1 వ ఇన్నింగ్స్ లో అత్యధిక క్యాచ్లు (4)', '1 వ ఇన్నింగ్స్ లో వచ్చిన ఎక్కువ స్టంపింగ్లు (4)']")</f>
        <v>[ 'ఒక సిరీస్లో 4 చాలా బాతులు (4)', '1 వ ఇన్నింగ్స్ లో అత్యధిక వికెట్లు (5)', '1 వ ఇన్నింగ్స్ లో అత్యధిక క్యాచ్లు (4)', '1 వ ఇన్నింగ్స్ లో వచ్చిన ఎక్కువ స్టంపింగ్లు (4)']</v>
      </c>
      <c r="C508" s="2"/>
      <c r="D508" s="2" t="str">
        <f>IFERROR(__xludf.DUMMYFUNCTION("IF(C508&lt;&gt;"""", GOOGLETRANSLATE(C508, ""en"", ""te""),"""")"),"")</f>
        <v/>
      </c>
      <c r="E508" s="2" t="s">
        <v>408</v>
      </c>
      <c r="F508" s="2" t="str">
        <f>IFERROR(__xludf.DUMMYFUNCTION("IF(E508&lt;&gt;"""", GOOGLETRANSLATE(E508, ""en"", ""te""),"""")"),"[ '37 వ అత్యంత జీవితంలో వంద (994) లేకుండా పరుగులు', '40 వ కెరీర్ బాతులు (8)', 'ఒక సిరీస్లో 4 చాలా బాతులు (4)', '21 వ ఇన్నింగ్స్ లో అత్యధిక క్యాచ్లు (3) ' ]")</f>
        <v>[ '37 వ అత్యంత జీవితంలో వంద (994) లేకుండా పరుగులు', '40 వ కెరీర్ బాతులు (8)', 'ఒక సిరీస్లో 4 చాలా బాతులు (4)', '21 వ ఇన్నింగ్స్ లో అత్యధిక క్యాచ్లు (3) ' ]</v>
      </c>
      <c r="G508" s="2" t="s">
        <v>409</v>
      </c>
      <c r="H508" s="2" t="str">
        <f>IFERROR(__xludf.DUMMYFUNCTION("IF(G508&lt;&gt;"""", GOOGLETRANSLATE(G508, ""en"", ""te""),"""")"),"[ '19 ఇన్నింగ్స్ లో అత్యధిక పరుగులు (బ్యాటింగ్ స్థానంలో ప్రకారం) (32)', '34 వ కెరీర్ బాతులు (5)', 'ఒక ఇన్నింగ్స్లో పరుగుల 41 వ అత్యధిక శాతం (55.68)', '1st చాల వరకు ఒక లో తొలగింపులకు ఇన్నింగ్స్ (5) ',' 16 వ కెరీర్ లో అత్యధిక క్యాచ్లు (11) ',' 1 వ ఇన్నింగ్స"&amp;"్ లో అత్యధిక క్యాచ్లు (4) ',' 28th కెరీర్ స్టంపింగ్లు (7) ',' 1 వ ఇన్నింగ్స్ లో వచ్చిన ఎక్కువ స్టంపింగ్లు (4) ']")</f>
        <v>[ '19 ఇన్నింగ్స్ లో అత్యధిక పరుగులు (బ్యాటింగ్ స్థానంలో ప్రకారం) (32)', '34 వ కెరీర్ బాతులు (5)', 'ఒక ఇన్నింగ్స్లో పరుగుల 41 వ అత్యధిక శాతం (55.68)', '1st చాల వరకు ఒక లో తొలగింపులకు ఇన్నింగ్స్ (5) ',' 16 వ కెరీర్ లో అత్యధిక క్యాచ్లు (11) ',' 1 వ ఇన్నింగ్స్ లో అత్యధిక క్యాచ్లు (4) ',' 28th కెరీర్ స్టంపింగ్లు (7) ',' 1 వ ఇన్నింగ్స్ లో వచ్చిన ఎక్కువ స్టంపింగ్లు (4) ']</v>
      </c>
      <c r="I508" s="3"/>
    </row>
    <row r="509" customHeight="1" spans="1:9">
      <c r="A509" s="2" t="s">
        <v>410</v>
      </c>
      <c r="B509" s="2" t="str">
        <f>IFERROR(__xludf.DUMMYFUNCTION("IF(A509&lt;&gt;"""", GOOGLETRANSLATE(A509, ""en"", ""te""),"""")"),"[ '10 వ చెత్త కెరీర్లో ఆర్థిక రేటు (4.67)', 'బ్యాటింగ్ తెరవడం మరియు అదే మ్యాచ్ లో బౌలింగ్', 'ఏడవ వికెట్కు 5 వ అత్యధిక భాగస్వామ్యం (87)', '4 వ ఇన్నింగ్స్ లో అత్యధిక పరుగులు (బ్యాటింగ్ స్థానంలో ప్రకారం) ( 81) ',' 3 వ అత్యంత ఇన్నింగ్స్ లో పట్టుకొని (3) ']")</f>
        <v>[ '10 వ చెత్త కెరీర్లో ఆర్థిక రేటు (4.67)', 'బ్యాటింగ్ తెరవడం మరియు అదే మ్యాచ్ లో బౌలింగ్', 'ఏడవ వికెట్కు 5 వ అత్యధిక భాగస్వామ్యం (87)', '4 వ ఇన్నింగ్స్ లో అత్యధిక పరుగులు (బ్యాటింగ్ స్థానంలో ప్రకారం) ( 81) ',' 3 వ అత్యంత ఇన్నింగ్స్ లో పట్టుకొని (3) ']</v>
      </c>
      <c r="C509" s="2"/>
      <c r="D509" s="2" t="str">
        <f>IFERROR(__xludf.DUMMYFUNCTION("IF(C509&lt;&gt;"""", GOOGLETRANSLATE(C509, ""en"", ""te""),"""")"),"")</f>
        <v/>
      </c>
      <c r="E509" s="2" t="s">
        <v>411</v>
      </c>
      <c r="F509" s="2" t="str">
        <f>IFERROR(__xludf.DUMMYFUNCTION("IF(E509&lt;&gt;"""", GOOGLETRANSLATE(E509, ""en"", ""te""),"""")"),"[ 'వంద (885) లేకుండా ఒక వృత్తిలో 46 వ అత్యధిక పరుగులు' 'కెరీర్లో 21 వ అత్యంత బాతులు (9)', 'సగటు (40.13) బౌలింగ్ 13 చెత్త జీవితం' '10 వ చెత్త కెరీర్లో ఆర్థిక రేటు (4.67)', ' వరుస లో కెరీర్ లో 26 వ అత్యధిక క్యాచ్లు (35) ',' 47 వ అత్యధిక క్యాచ్లు (6) ',' ఏడవ"&amp;" వికెట్ (87) 5 వ అత్యధిక భాగస్వామ్యం ']")</f>
        <v>[ 'వంద (885) లేకుండా ఒక వృత్తిలో 46 వ అత్యధిక పరుగులు' 'కెరీర్లో 21 వ అత్యంత బాతులు (9)', 'సగటు (40.13) బౌలింగ్ 13 చెత్త జీవితం' '10 వ చెత్త కెరీర్లో ఆర్థిక రేటు (4.67)', ' వరుస లో కెరీర్ లో 26 వ అత్యధిక క్యాచ్లు (35) ',' 47 వ అత్యధిక క్యాచ్లు (6) ',' ఏడవ వికెట్ (87) 5 వ అత్యధిక భాగస్వామ్యం ']</v>
      </c>
      <c r="G509" s="2" t="s">
        <v>412</v>
      </c>
      <c r="H509" s="2" t="str">
        <f>IFERROR(__xludf.DUMMYFUNCTION("IF(G509&lt;&gt;"""", GOOGLETRANSLATE(G509, ""en"", ""te""),"""")"),"[ '34 వ కెరీర్ లో అత్యధిక పరుగులు (989)', '4 వ ఇన్నింగ్స్ లో అత్యధిక పరుగులు (బ్యాటింగ్ స్థానంలో ప్రకారం) (81)', '13 వ తొలి మ్యాచ్లో అత్యధిక పరుగులు (52)', '34 వ కెరీర్ అర్ధ (3) ',' ఒక డక్ లేకుండా 27 వరుస ఇన్నింగ్స్ (35 *) ',' 16 వ కెరీర్ బాతులు (6) ',' ఒ"&amp;"క ఇన్నింగ్స్లో పరుగుల 12 వ అత్యధిక శాతం (62.20) ',' 15 వ కెరీర్ లో అత్యధిక క్యాచ్లు (32 ) ',' ఇన్నింగ్స్ లో 3 వ అత్యధిక క్యాచ్లు (3) ఆరవ వికెట్కు ',' 42 వ అత్యధిక భాగస్వామ్యం (40) ',' 28th కెరీర్లో అత్యధిక మ్యాచ్లు (86) ',' ఒక జట్టుకు 42 వ వరుస మ్యాచ్లు ("&amp;"38) ']")</f>
        <v>[ '34 వ కెరీర్ లో అత్యధిక పరుగులు (989)', '4 వ ఇన్నింగ్స్ లో అత్యధిక పరుగులు (బ్యాటింగ్ స్థానంలో ప్రకారం) (81)', '13 వ తొలి మ్యాచ్లో అత్యధిక పరుగులు (52)', '34 వ కెరీర్ అర్ధ (3) ',' ఒక డక్ లేకుండా 27 వరుస ఇన్నింగ్స్ (35 *) ',' 16 వ కెరీర్ బాతులు (6) ',' ఒక ఇన్నింగ్స్లో పరుగుల 12 వ అత్యధిక శాతం (62.20) ',' 15 వ కెరీర్ లో అత్యధిక క్యాచ్లు (32 ) ',' ఇన్నింగ్స్ లో 3 వ అత్యధిక క్యాచ్లు (3) ఆరవ వికెట్కు ',' 42 వ అత్యధిక భాగస్వామ్యం (40) ',' 28th కెరీర్లో అత్యధిక మ్యాచ్లు (86) ',' ఒక జట్టుకు 42 వ వరుస మ్యాచ్లు (38) ']</v>
      </c>
      <c r="I509" s="3"/>
    </row>
    <row r="510" customHeight="1" spans="1:9">
      <c r="A510" s="2"/>
      <c r="B510" s="2" t="str">
        <f>IFERROR(__xludf.DUMMYFUNCTION("IF(A510&lt;&gt;"""", GOOGLETRANSLATE(A510, ""en"", ""te""),"""")"),"")</f>
        <v/>
      </c>
      <c r="C510" s="2"/>
      <c r="D510" s="2" t="str">
        <f>IFERROR(__xludf.DUMMYFUNCTION("IF(C510&lt;&gt;"""", GOOGLETRANSLATE(C510, ""en"", ""te""),"""")"),"")</f>
        <v/>
      </c>
      <c r="E510" s="2"/>
      <c r="F510" s="2" t="str">
        <f>IFERROR(__xludf.DUMMYFUNCTION("IF(E510&lt;&gt;"""", GOOGLETRANSLATE(E510, ""en"", ""te""),"""")"),"")</f>
        <v/>
      </c>
      <c r="G510" s="2"/>
      <c r="H510" s="2" t="str">
        <f>IFERROR(__xludf.DUMMYFUNCTION("IF(G510&lt;&gt;"""", GOOGLETRANSLATE(G510, ""en"", ""te""),"""")"),"")</f>
        <v/>
      </c>
      <c r="I510" s="3"/>
    </row>
    <row r="511" customHeight="1" spans="1:9">
      <c r="A511" s="2"/>
      <c r="B511" s="2" t="str">
        <f>IFERROR(__xludf.DUMMYFUNCTION("IF(A511&lt;&gt;"""", GOOGLETRANSLATE(A511, ""en"", ""te""),"""")"),"")</f>
        <v/>
      </c>
      <c r="C511" s="2"/>
      <c r="D511" s="2" t="str">
        <f>IFERROR(__xludf.DUMMYFUNCTION("IF(C511&lt;&gt;"""", GOOGLETRANSLATE(C511, ""en"", ""te""),"""")"),"")</f>
        <v/>
      </c>
      <c r="E511" s="2" t="s">
        <v>413</v>
      </c>
      <c r="F511" s="2" t="str">
        <f>IFERROR(__xludf.DUMMYFUNCTION("IF(E511&lt;&gt;"""", GOOGLETRANSLATE(E511, ""en"", ""te""),"""")"),"[40 వ ఉత్తమ కెరీర్ బౌలింగ్ సరాసరి (23.77) ']")</f>
        <v>[40 వ ఉత్తమ కెరీర్ బౌలింగ్ సరాసరి (23.77) ']</v>
      </c>
      <c r="G511" s="2" t="s">
        <v>414</v>
      </c>
      <c r="H511" s="2" t="str">
        <f>IFERROR(__xludf.DUMMYFUNCTION("IF(G511&lt;&gt;"""", GOOGLETRANSLATE(G511, ""en"", ""te""),"""")"),"[ '19 వ ఒక మ్యాచ్ రిఫరీ గా అత్యధిక మ్యాచ్లు (12)']")</f>
        <v>[ '19 వ ఒక మ్యాచ్ రిఫరీ గా అత్యధిక మ్యాచ్లు (12)']</v>
      </c>
      <c r="I511" s="3"/>
    </row>
    <row r="512" customHeight="1" spans="1:9">
      <c r="A512" s="2"/>
      <c r="B512" s="2" t="str">
        <f>IFERROR(__xludf.DUMMYFUNCTION("IF(A512&lt;&gt;"""", GOOGLETRANSLATE(A512, ""en"", ""te""),"""")"),"")</f>
        <v/>
      </c>
      <c r="C512" s="2"/>
      <c r="D512" s="2" t="str">
        <f>IFERROR(__xludf.DUMMYFUNCTION("IF(C512&lt;&gt;"""", GOOGLETRANSLATE(C512, ""en"", ""te""),"""")"),"")</f>
        <v/>
      </c>
      <c r="E512" s="2" t="s">
        <v>415</v>
      </c>
      <c r="F512" s="2" t="str">
        <f>IFERROR(__xludf.DUMMYFUNCTION("IF(E512&lt;&gt;"""", GOOGLETRANSLATE(E512, ""en"", ""te""),"""")"),"[ 'మొదటి డక్ ముందు 23 వ ఇన్నింగ్స్ (18)', 'ఏడవ వికెట్కు 43 వ అత్యధిక భాగస్వామ్యం (58)', 'ఎనిమిదవ వికెట్కు 39 వ అత్యధిక భాగస్వామ్యం (44 *)']")</f>
        <v>[ 'మొదటి డక్ ముందు 23 వ ఇన్నింగ్స్ (18)', 'ఏడవ వికెట్కు 43 వ అత్యధిక భాగస్వామ్యం (58)', 'ఎనిమిదవ వికెట్కు 39 వ అత్యధిక భాగస్వామ్యం (44 *)']</v>
      </c>
      <c r="G512" s="2"/>
      <c r="H512" s="2" t="str">
        <f>IFERROR(__xludf.DUMMYFUNCTION("IF(G512&lt;&gt;"""", GOOGLETRANSLATE(G512, ""en"", ""te""),"""")"),"")</f>
        <v/>
      </c>
      <c r="I512" s="3"/>
    </row>
    <row r="513" customHeight="1" spans="1:9">
      <c r="A513" s="2"/>
      <c r="B513" s="2" t="str">
        <f>IFERROR(__xludf.DUMMYFUNCTION("IF(A513&lt;&gt;"""", GOOGLETRANSLATE(A513, ""en"", ""te""),"""")"),"")</f>
        <v/>
      </c>
      <c r="C513" s="2"/>
      <c r="D513" s="2" t="str">
        <f>IFERROR(__xludf.DUMMYFUNCTION("IF(C513&lt;&gt;"""", GOOGLETRANSLATE(C513, ""en"", ""te""),"""")"),"")</f>
        <v/>
      </c>
      <c r="E513" s="2"/>
      <c r="F513" s="2" t="str">
        <f>IFERROR(__xludf.DUMMYFUNCTION("IF(E513&lt;&gt;"""", GOOGLETRANSLATE(E513, ""en"", ""te""),"""")"),"")</f>
        <v/>
      </c>
      <c r="G513" s="2"/>
      <c r="H513" s="2" t="str">
        <f>IFERROR(__xludf.DUMMYFUNCTION("IF(G513&lt;&gt;"""", GOOGLETRANSLATE(G513, ""en"", ""te""),"""")"),"")</f>
        <v/>
      </c>
      <c r="I513" s="3"/>
    </row>
    <row r="514" customHeight="1" spans="1:9">
      <c r="A514" s="2"/>
      <c r="B514" s="2" t="str">
        <f>IFERROR(__xludf.DUMMYFUNCTION("IF(A514&lt;&gt;"""", GOOGLETRANSLATE(A514, ""en"", ""te""),"""")"),"")</f>
        <v/>
      </c>
      <c r="C514" s="2" t="s">
        <v>416</v>
      </c>
      <c r="D514" s="2" t="str">
        <f>IFERROR(__xludf.DUMMYFUNCTION("IF(C514&lt;&gt;"""", GOOGLETRANSLATE(C514, ""en"", ""te""),"""")"),"[ '13 వ లాంగెస్ట్ క్రీడాకారులు నివసించారు' తొలి ఐదు వికెట్ల లో-ఒక-ఇన్నింగ్స్ (37y 55d) తీసుకోవాలని 19 అత్యంత వృద్ధ ఆటగాడు '' 43 వ అత్యంత వృద్ధ ఆటగాడు (37y 55d) ఐదు వికెట్లు-ఇన్-ఒక-ఇన్నింగ్స్ తీసుకోవాలని ', (94y 201d) ']")</f>
        <v>[ '13 వ లాంగెస్ట్ క్రీడాకారులు నివసించారు' తొలి ఐదు వికెట్ల లో-ఒక-ఇన్నింగ్స్ (37y 55d) తీసుకోవాలని 19 అత్యంత వృద్ధ ఆటగాడు '' 43 వ అత్యంత వృద్ధ ఆటగాడు (37y 55d) ఐదు వికెట్లు-ఇన్-ఒక-ఇన్నింగ్స్ తీసుకోవాలని ', (94y 201d) ']</v>
      </c>
      <c r="E514" s="2"/>
      <c r="F514" s="2" t="str">
        <f>IFERROR(__xludf.DUMMYFUNCTION("IF(E514&lt;&gt;"""", GOOGLETRANSLATE(E514, ""en"", ""te""),"""")"),"")</f>
        <v/>
      </c>
      <c r="G514" s="2"/>
      <c r="H514" s="2" t="str">
        <f>IFERROR(__xludf.DUMMYFUNCTION("IF(G514&lt;&gt;"""", GOOGLETRANSLATE(G514, ""en"", ""te""),"""")"),"")</f>
        <v/>
      </c>
      <c r="I514" s="3"/>
    </row>
    <row r="515" customHeight="1" spans="1:9">
      <c r="A515" s="2"/>
      <c r="B515" s="2" t="str">
        <f>IFERROR(__xludf.DUMMYFUNCTION("IF(A515&lt;&gt;"""", GOOGLETRANSLATE(A515, ""en"", ""te""),"""")"),"")</f>
        <v/>
      </c>
      <c r="C515" s="2"/>
      <c r="D515" s="2" t="str">
        <f>IFERROR(__xludf.DUMMYFUNCTION("IF(C515&lt;&gt;"""", GOOGLETRANSLATE(C515, ""en"", ""te""),"""")"),"")</f>
        <v/>
      </c>
      <c r="E515" s="2"/>
      <c r="F515" s="2" t="str">
        <f>IFERROR(__xludf.DUMMYFUNCTION("IF(E515&lt;&gt;"""", GOOGLETRANSLATE(E515, ""en"", ""te""),"""")"),"")</f>
        <v/>
      </c>
      <c r="G515" s="2"/>
      <c r="H515" s="2" t="str">
        <f>IFERROR(__xludf.DUMMYFUNCTION("IF(G515&lt;&gt;"""", GOOGLETRANSLATE(G515, ""en"", ""te""),"""")"),"")</f>
        <v/>
      </c>
      <c r="I515" s="3"/>
    </row>
    <row r="516" customHeight="1" spans="1:9">
      <c r="A516" s="2"/>
      <c r="B516" s="2" t="str">
        <f>IFERROR(__xludf.DUMMYFUNCTION("IF(A516&lt;&gt;"""", GOOGLETRANSLATE(A516, ""en"", ""te""),"""")"),"")</f>
        <v/>
      </c>
      <c r="C516" s="2"/>
      <c r="D516" s="2" t="str">
        <f>IFERROR(__xludf.DUMMYFUNCTION("IF(C516&lt;&gt;"""", GOOGLETRANSLATE(C516, ""en"", ""te""),"""")"),"")</f>
        <v/>
      </c>
      <c r="E516" s="2"/>
      <c r="F516" s="2" t="str">
        <f>IFERROR(__xludf.DUMMYFUNCTION("IF(E516&lt;&gt;"""", GOOGLETRANSLATE(E516, ""en"", ""te""),"""")"),"")</f>
        <v/>
      </c>
      <c r="G516" s="2"/>
      <c r="H516" s="2" t="str">
        <f>IFERROR(__xludf.DUMMYFUNCTION("IF(G516&lt;&gt;"""", GOOGLETRANSLATE(G516, ""en"", ""te""),"""")"),"")</f>
        <v/>
      </c>
      <c r="I516" s="3"/>
    </row>
    <row r="517" customHeight="1" spans="1:9">
      <c r="A517" s="2"/>
      <c r="B517" s="2" t="str">
        <f>IFERROR(__xludf.DUMMYFUNCTION("IF(A517&lt;&gt;"""", GOOGLETRANSLATE(A517, ""en"", ""te""),"""")"),"")</f>
        <v/>
      </c>
      <c r="C517" s="2"/>
      <c r="D517" s="2" t="str">
        <f>IFERROR(__xludf.DUMMYFUNCTION("IF(C517&lt;&gt;"""", GOOGLETRANSLATE(C517, ""en"", ""te""),"""")"),"")</f>
        <v/>
      </c>
      <c r="E517" s="2"/>
      <c r="F517" s="2" t="str">
        <f>IFERROR(__xludf.DUMMYFUNCTION("IF(E517&lt;&gt;"""", GOOGLETRANSLATE(E517, ""en"", ""te""),"""")"),"")</f>
        <v/>
      </c>
      <c r="G517" s="2"/>
      <c r="H517" s="2" t="str">
        <f>IFERROR(__xludf.DUMMYFUNCTION("IF(G517&lt;&gt;"""", GOOGLETRANSLATE(G517, ""en"", ""te""),"""")"),"")</f>
        <v/>
      </c>
      <c r="I517" s="3"/>
    </row>
    <row r="518" customHeight="1" spans="1:9">
      <c r="A518" s="2"/>
      <c r="B518" s="2" t="str">
        <f>IFERROR(__xludf.DUMMYFUNCTION("IF(A518&lt;&gt;"""", GOOGLETRANSLATE(A518, ""en"", ""te""),"""")"),"")</f>
        <v/>
      </c>
      <c r="C518" s="2"/>
      <c r="D518" s="2" t="str">
        <f>IFERROR(__xludf.DUMMYFUNCTION("IF(C518&lt;&gt;"""", GOOGLETRANSLATE(C518, ""en"", ""te""),"""")"),"")</f>
        <v/>
      </c>
      <c r="E518" s="2"/>
      <c r="F518" s="2" t="str">
        <f>IFERROR(__xludf.DUMMYFUNCTION("IF(E518&lt;&gt;"""", GOOGLETRANSLATE(E518, ""en"", ""te""),"""")"),"")</f>
        <v/>
      </c>
      <c r="G518" s="2"/>
      <c r="H518" s="2" t="str">
        <f>IFERROR(__xludf.DUMMYFUNCTION("IF(G518&lt;&gt;"""", GOOGLETRANSLATE(G518, ""en"", ""te""),"""")"),"")</f>
        <v/>
      </c>
      <c r="I518" s="3"/>
    </row>
    <row r="519" customHeight="1" spans="1:9">
      <c r="A519" s="2"/>
      <c r="B519" s="2" t="str">
        <f>IFERROR(__xludf.DUMMYFUNCTION("IF(A519&lt;&gt;"""", GOOGLETRANSLATE(A519, ""en"", ""te""),"""")"),"")</f>
        <v/>
      </c>
      <c r="C519" s="2"/>
      <c r="D519" s="2" t="str">
        <f>IFERROR(__xludf.DUMMYFUNCTION("IF(C519&lt;&gt;"""", GOOGLETRANSLATE(C519, ""en"", ""te""),"""")"),"")</f>
        <v/>
      </c>
      <c r="E519" s="2"/>
      <c r="F519" s="2" t="str">
        <f>IFERROR(__xludf.DUMMYFUNCTION("IF(E519&lt;&gt;"""", GOOGLETRANSLATE(E519, ""en"", ""te""),"""")"),"")</f>
        <v/>
      </c>
      <c r="G519" s="2"/>
      <c r="H519" s="2" t="str">
        <f>IFERROR(__xludf.DUMMYFUNCTION("IF(G519&lt;&gt;"""", GOOGLETRANSLATE(G519, ""en"", ""te""),"""")"),"")</f>
        <v/>
      </c>
      <c r="I519" s="3"/>
    </row>
    <row r="520" customHeight="1" spans="1:9">
      <c r="A520" s="2"/>
      <c r="B520" s="2" t="str">
        <f>IFERROR(__xludf.DUMMYFUNCTION("IF(A520&lt;&gt;"""", GOOGLETRANSLATE(A520, ""en"", ""te""),"""")"),"")</f>
        <v/>
      </c>
      <c r="C520" s="2"/>
      <c r="D520" s="2" t="str">
        <f>IFERROR(__xludf.DUMMYFUNCTION("IF(C520&lt;&gt;"""", GOOGLETRANSLATE(C520, ""en"", ""te""),"""")"),"")</f>
        <v/>
      </c>
      <c r="E520" s="2"/>
      <c r="F520" s="2" t="str">
        <f>IFERROR(__xludf.DUMMYFUNCTION("IF(E520&lt;&gt;"""", GOOGLETRANSLATE(E520, ""en"", ""te""),"""")"),"")</f>
        <v/>
      </c>
      <c r="G520" s="2"/>
      <c r="H520" s="2" t="str">
        <f>IFERROR(__xludf.DUMMYFUNCTION("IF(G520&lt;&gt;"""", GOOGLETRANSLATE(G520, ""en"", ""te""),"""")"),"")</f>
        <v/>
      </c>
      <c r="I520" s="3"/>
    </row>
    <row r="521" customHeight="1" spans="1:9">
      <c r="A521" s="2" t="s">
        <v>417</v>
      </c>
      <c r="B521" s="2" t="str">
        <f>IFERROR(__xludf.DUMMYFUNCTION("IF(A521&lt;&gt;"""", GOOGLETRANSLATE(A521, ""en"", ""te""),"""")"),"[ '1st వరుస మ్యాచ్లు ఆడి మధ్య జట్టు (396) కోసం తప్పిన']")</f>
        <v>[ '1st వరుస మ్యాచ్లు ఆడి మధ్య జట్టు (396) కోసం తప్పిన']</v>
      </c>
      <c r="C521" s="2"/>
      <c r="D521" s="2" t="str">
        <f>IFERROR(__xludf.DUMMYFUNCTION("IF(C521&lt;&gt;"""", GOOGLETRANSLATE(C521, ""en"", ""te""),"""")"),"")</f>
        <v/>
      </c>
      <c r="E521" s="2"/>
      <c r="F521" s="2" t="str">
        <f>IFERROR(__xludf.DUMMYFUNCTION("IF(E521&lt;&gt;"""", GOOGLETRANSLATE(E521, ""en"", ""te""),"""")"),"")</f>
        <v/>
      </c>
      <c r="G521" s="2"/>
      <c r="H521" s="2" t="str">
        <f>IFERROR(__xludf.DUMMYFUNCTION("IF(G521&lt;&gt;"""", GOOGLETRANSLATE(G521, ""en"", ""te""),"""")"),"")</f>
        <v/>
      </c>
      <c r="I521" s="3"/>
    </row>
    <row r="522" customHeight="1" spans="1:9">
      <c r="A522" s="2" t="s">
        <v>418</v>
      </c>
      <c r="B522" s="2" t="str">
        <f>IFERROR(__xludf.DUMMYFUNCTION("IF(A522&lt;&gt;"""", GOOGLETRANSLATE(A522, ""en"", ""te""),"""")"),"[ 'ప్రవేశం (110) పై వంద']")</f>
        <v>[ 'ప్రవేశం (110) పై వంద']</v>
      </c>
      <c r="C522" s="2"/>
      <c r="D522" s="2" t="str">
        <f>IFERROR(__xludf.DUMMYFUNCTION("IF(C522&lt;&gt;"""", GOOGLETRANSLATE(C522, ""en"", ""te""),"""")"),"")</f>
        <v/>
      </c>
      <c r="E522" s="2" t="s">
        <v>419</v>
      </c>
      <c r="F522" s="2" t="str">
        <f>IFERROR(__xludf.DUMMYFUNCTION("IF(E522&lt;&gt;"""", GOOGLETRANSLATE(E522, ""en"", ""te""),"""")"),"[ 'నాలుగో వికెట్కు (211) 11 వ అత్యధిక భాగస్వామ్యం']")</f>
        <v>[ 'నాలుగో వికెట్కు (211) 11 వ అత్యధిక భాగస్వామ్యం']</v>
      </c>
      <c r="G522" s="2"/>
      <c r="H522" s="2" t="str">
        <f>IFERROR(__xludf.DUMMYFUNCTION("IF(G522&lt;&gt;"""", GOOGLETRANSLATE(G522, ""en"", ""te""),"""")"),"")</f>
        <v/>
      </c>
      <c r="I522" s="3"/>
    </row>
    <row r="523" customHeight="1" spans="1:9">
      <c r="A523" s="2"/>
      <c r="B523" s="2" t="str">
        <f>IFERROR(__xludf.DUMMYFUNCTION("IF(A523&lt;&gt;"""", GOOGLETRANSLATE(A523, ""en"", ""te""),"""")"),"")</f>
        <v/>
      </c>
      <c r="C523" s="2"/>
      <c r="D523" s="2" t="str">
        <f>IFERROR(__xludf.DUMMYFUNCTION("IF(C523&lt;&gt;"""", GOOGLETRANSLATE(C523, ""en"", ""te""),"""")"),"")</f>
        <v/>
      </c>
      <c r="E523" s="2"/>
      <c r="F523" s="2" t="str">
        <f>IFERROR(__xludf.DUMMYFUNCTION("IF(E523&lt;&gt;"""", GOOGLETRANSLATE(E523, ""en"", ""te""),"""")"),"")</f>
        <v/>
      </c>
      <c r="G523" s="2"/>
      <c r="H523" s="2" t="str">
        <f>IFERROR(__xludf.DUMMYFUNCTION("IF(G523&lt;&gt;"""", GOOGLETRANSLATE(G523, ""en"", ""te""),"""")"),"")</f>
        <v/>
      </c>
      <c r="I523" s="3"/>
    </row>
    <row r="524" customHeight="1" spans="1:9">
      <c r="A524" s="2"/>
      <c r="B524" s="2" t="str">
        <f>IFERROR(__xludf.DUMMYFUNCTION("IF(A524&lt;&gt;"""", GOOGLETRANSLATE(A524, ""en"", ""te""),"""")"),"")</f>
        <v/>
      </c>
      <c r="C524" s="2"/>
      <c r="D524" s="2" t="str">
        <f>IFERROR(__xludf.DUMMYFUNCTION("IF(C524&lt;&gt;"""", GOOGLETRANSLATE(C524, ""en"", ""te""),"""")"),"")</f>
        <v/>
      </c>
      <c r="E524" s="2"/>
      <c r="F524" s="2" t="str">
        <f>IFERROR(__xludf.DUMMYFUNCTION("IF(E524&lt;&gt;"""", GOOGLETRANSLATE(E524, ""en"", ""te""),"""")"),"")</f>
        <v/>
      </c>
      <c r="G524" s="2"/>
      <c r="H524" s="2" t="str">
        <f>IFERROR(__xludf.DUMMYFUNCTION("IF(G524&lt;&gt;"""", GOOGLETRANSLATE(G524, ""en"", ""te""),"""")"),"")</f>
        <v/>
      </c>
      <c r="I524" s="3"/>
    </row>
    <row r="525" customHeight="1" spans="1:9">
      <c r="A525" s="2" t="s">
        <v>420</v>
      </c>
      <c r="B525" s="2" t="str">
        <f>IFERROR(__xludf.DUMMYFUNCTION("IF(A525&lt;&gt;"""", GOOGLETRANSLATE(A525, ""en"", ""te""),"""")"),"[ '1st అత్యుత్తమ బౌలింగ్ ఇన్నింగ్స్ లో విశ్లేషించడం (1/0)', ​​'4 వ చెత్త కెరీర్లో ఎకానమీ రేట్ (3.90)', '1st అరంగేట్రంలోనే ఇన్నింగ్స్ లోని బెస్ట్ ఫిగర్స్ (6)', '1 వ వరుస మ్యాచ్లు బృందం కోసం తప్పిన ప్రదర్శనల మధ్య (85) ']")</f>
        <v>[ '1st అత్యుత్తమ బౌలింగ్ ఇన్నింగ్స్ లో విశ్లేషించడం (1/0)', ​​'4 వ చెత్త కెరీర్లో ఎకానమీ రేట్ (3.90)', '1st అరంగేట్రంలోనే ఇన్నింగ్స్ లోని బెస్ట్ ఫిగర్స్ (6)', '1 వ వరుస మ్యాచ్లు బృందం కోసం తప్పిన ప్రదర్శనల మధ్య (85) ']</v>
      </c>
      <c r="C525" s="2" t="s">
        <v>421</v>
      </c>
      <c r="D525" s="2" t="str">
        <f>IFERROR(__xludf.DUMMYFUNCTION("IF(C525&lt;&gt;"""", GOOGLETRANSLATE(C525, ""en"", ""te""),"""")"),"[ '27 కెరీర్ బాతులు (19)', '4 వ చెత్త కెరీర్లో ఎకానమీ రేట్ (3.90)' '1 వ అత్యుత్తమ బౌలింగ్ ఇన్నింగ్స్ లో (1/0) విశ్లేషిస్తుంది']")</f>
        <v>[ '27 కెరీర్ బాతులు (19)', '4 వ చెత్త కెరీర్లో ఎకానమీ రేట్ (3.90)' '1 వ అత్యుత్తమ బౌలింగ్ ఇన్నింగ్స్ లో (1/0) విశ్లేషిస్తుంది']</v>
      </c>
      <c r="E525" s="2" t="s">
        <v>422</v>
      </c>
      <c r="F525" s="2" t="str">
        <f>IFERROR(__xludf.DUMMYFUNCTION("IF(E525&lt;&gt;"""", GOOGLETRANSLATE(E525, ""en"", ""te""),"""")"),"[ '28 ఒక ఇన్నింగ్స్ లోని బెస్ట్ ఫిగర్స్ (6/22)', '14 వ ఒక ఇన్నింగ్స్ లోని బెస్ట్ ఫిగర్స్ ఉన్నప్పుడు పరాజయం వైపు (5)', '41 వ ఉత్తమ సమ్మె ఇన్నింగ్స్ లో రేటు (7.0)', '1 వ ఉత్తమ బొమ్మలు అరంగేట్రంలోనే ఇన్నింగ్స్ (6) ',' 43 వ అత్యంత ఐదు-వికెట్ల లో-ఒక-ఇన్నింగ్స"&amp;"్ కెరీర్లో (2) ',' ఐదు వికెట్ల లో-ఒక-ఇన్నింగ్స్ తీసుకోవాలని 32 వ పిన్న వయస్కుడిగా నిలిచాడు (21y 296d) ']")</f>
        <v>[ '28 ఒక ఇన్నింగ్స్ లోని బెస్ట్ ఫిగర్స్ (6/22)', '14 వ ఒక ఇన్నింగ్స్ లోని బెస్ట్ ఫిగర్స్ ఉన్నప్పుడు పరాజయం వైపు (5)', '41 వ ఉత్తమ సమ్మె ఇన్నింగ్స్ లో రేటు (7.0)', '1 వ ఉత్తమ బొమ్మలు అరంగేట్రంలోనే ఇన్నింగ్స్ (6) ',' 43 వ అత్యంత ఐదు-వికెట్ల లో-ఒక-ఇన్నింగ్స్ కెరీర్లో (2) ',' ఐదు వికెట్ల లో-ఒక-ఇన్నింగ్స్ తీసుకోవాలని 32 వ పిన్న వయస్కుడిగా నిలిచాడు (21y 296d) ']</v>
      </c>
      <c r="G525" s="2" t="s">
        <v>423</v>
      </c>
      <c r="H525" s="2" t="str">
        <f>IFERROR(__xludf.DUMMYFUNCTION("IF(G525&lt;&gt;"""", GOOGLETRANSLATE(G525, ""en"", ""te""),"""")"),"[ '1st వరుస మ్యాచ్లు ఆడి మధ్య జట్టుకు దూరమయ్యాడు (85)', '15 వ లాంగెస్ట్ కెరీర్లు (13y 175d)', 'ప్రదర్శనల మధ్య 8 వ లాంగెస్ట్ వ్యవధిలో (8y 155d)']")</f>
        <v>[ '1st వరుస మ్యాచ్లు ఆడి మధ్య జట్టుకు దూరమయ్యాడు (85)', '15 వ లాంగెస్ట్ కెరీర్లు (13y 175d)', 'ప్రదర్శనల మధ్య 8 వ లాంగెస్ట్ వ్యవధిలో (8y 155d)']</v>
      </c>
      <c r="I525" s="3"/>
    </row>
    <row r="526" customHeight="1" spans="1:9">
      <c r="A526" s="2"/>
      <c r="B526" s="2" t="str">
        <f>IFERROR(__xludf.DUMMYFUNCTION("IF(A526&lt;&gt;"""", GOOGLETRANSLATE(A526, ""en"", ""te""),"""")"),"")</f>
        <v/>
      </c>
      <c r="C526" s="2"/>
      <c r="D526" s="2" t="str">
        <f>IFERROR(__xludf.DUMMYFUNCTION("IF(C526&lt;&gt;"""", GOOGLETRANSLATE(C526, ""en"", ""te""),"""")"),"")</f>
        <v/>
      </c>
      <c r="E526" s="2"/>
      <c r="F526" s="2" t="str">
        <f>IFERROR(__xludf.DUMMYFUNCTION("IF(E526&lt;&gt;"""", GOOGLETRANSLATE(E526, ""en"", ""te""),"""")"),"")</f>
        <v/>
      </c>
      <c r="G526" s="2"/>
      <c r="H526" s="2" t="str">
        <f>IFERROR(__xludf.DUMMYFUNCTION("IF(G526&lt;&gt;"""", GOOGLETRANSLATE(G526, ""en"", ""te""),"""")"),"")</f>
        <v/>
      </c>
      <c r="I526" s="3"/>
    </row>
    <row r="527" customHeight="1" spans="1:9">
      <c r="A527" s="2"/>
      <c r="B527" s="2" t="str">
        <f>IFERROR(__xludf.DUMMYFUNCTION("IF(A527&lt;&gt;"""", GOOGLETRANSLATE(A527, ""en"", ""te""),"""")"),"")</f>
        <v/>
      </c>
      <c r="C527" s="2"/>
      <c r="D527" s="2" t="str">
        <f>IFERROR(__xludf.DUMMYFUNCTION("IF(C527&lt;&gt;"""", GOOGLETRANSLATE(C527, ""en"", ""te""),"""")"),"")</f>
        <v/>
      </c>
      <c r="E527" s="2"/>
      <c r="F527" s="2" t="str">
        <f>IFERROR(__xludf.DUMMYFUNCTION("IF(E527&lt;&gt;"""", GOOGLETRANSLATE(E527, ""en"", ""te""),"""")"),"")</f>
        <v/>
      </c>
      <c r="G527" s="2"/>
      <c r="H527" s="2" t="str">
        <f>IFERROR(__xludf.DUMMYFUNCTION("IF(G527&lt;&gt;"""", GOOGLETRANSLATE(G527, ""en"", ""te""),"""")"),"")</f>
        <v/>
      </c>
      <c r="I527" s="3"/>
    </row>
    <row r="528" customHeight="1" spans="1:9">
      <c r="A528" s="2"/>
      <c r="B528" s="2" t="str">
        <f>IFERROR(__xludf.DUMMYFUNCTION("IF(A528&lt;&gt;"""", GOOGLETRANSLATE(A528, ""en"", ""te""),"""")"),"")</f>
        <v/>
      </c>
      <c r="C528" s="2"/>
      <c r="D528" s="2" t="str">
        <f>IFERROR(__xludf.DUMMYFUNCTION("IF(C528&lt;&gt;"""", GOOGLETRANSLATE(C528, ""en"", ""te""),"""")"),"")</f>
        <v/>
      </c>
      <c r="E528" s="2"/>
      <c r="F528" s="2" t="str">
        <f>IFERROR(__xludf.DUMMYFUNCTION("IF(E528&lt;&gt;"""", GOOGLETRANSLATE(E528, ""en"", ""te""),"""")"),"")</f>
        <v/>
      </c>
      <c r="G528" s="2"/>
      <c r="H528" s="2" t="str">
        <f>IFERROR(__xludf.DUMMYFUNCTION("IF(G528&lt;&gt;"""", GOOGLETRANSLATE(G528, ""en"", ""te""),"""")"),"")</f>
        <v/>
      </c>
      <c r="I528" s="3"/>
    </row>
    <row r="529" customHeight="1" spans="1:9">
      <c r="A529" s="2"/>
      <c r="B529" s="2" t="str">
        <f>IFERROR(__xludf.DUMMYFUNCTION("IF(A529&lt;&gt;"""", GOOGLETRANSLATE(A529, ""en"", ""te""),"""")"),"")</f>
        <v/>
      </c>
      <c r="C529" s="2"/>
      <c r="D529" s="2" t="str">
        <f>IFERROR(__xludf.DUMMYFUNCTION("IF(C529&lt;&gt;"""", GOOGLETRANSLATE(C529, ""en"", ""te""),"""")"),"")</f>
        <v/>
      </c>
      <c r="E529" s="2"/>
      <c r="F529" s="2" t="str">
        <f>IFERROR(__xludf.DUMMYFUNCTION("IF(E529&lt;&gt;"""", GOOGLETRANSLATE(E529, ""en"", ""te""),"""")"),"")</f>
        <v/>
      </c>
      <c r="G529" s="2"/>
      <c r="H529" s="2" t="str">
        <f>IFERROR(__xludf.DUMMYFUNCTION("IF(G529&lt;&gt;"""", GOOGLETRANSLATE(G529, ""en"", ""te""),"""")"),"")</f>
        <v/>
      </c>
      <c r="I529" s="3"/>
    </row>
    <row r="530" customHeight="1" spans="1:9">
      <c r="A530" s="2"/>
      <c r="B530" s="2" t="str">
        <f>IFERROR(__xludf.DUMMYFUNCTION("IF(A530&lt;&gt;"""", GOOGLETRANSLATE(A530, ""en"", ""te""),"""")"),"")</f>
        <v/>
      </c>
      <c r="C530" s="2"/>
      <c r="D530" s="2" t="str">
        <f>IFERROR(__xludf.DUMMYFUNCTION("IF(C530&lt;&gt;"""", GOOGLETRANSLATE(C530, ""en"", ""te""),"""")"),"")</f>
        <v/>
      </c>
      <c r="E530" s="2"/>
      <c r="F530" s="2" t="str">
        <f>IFERROR(__xludf.DUMMYFUNCTION("IF(E530&lt;&gt;"""", GOOGLETRANSLATE(E530, ""en"", ""te""),"""")"),"")</f>
        <v/>
      </c>
      <c r="G530" s="2"/>
      <c r="H530" s="2" t="str">
        <f>IFERROR(__xludf.DUMMYFUNCTION("IF(G530&lt;&gt;"""", GOOGLETRANSLATE(G530, ""en"", ""te""),"""")"),"")</f>
        <v/>
      </c>
      <c r="I530" s="3"/>
    </row>
    <row r="531" customHeight="1" spans="1:9">
      <c r="A531" s="2"/>
      <c r="B531" s="2" t="str">
        <f>IFERROR(__xludf.DUMMYFUNCTION("IF(A531&lt;&gt;"""", GOOGLETRANSLATE(A531, ""en"", ""te""),"""")"),"")</f>
        <v/>
      </c>
      <c r="C531" s="2"/>
      <c r="D531" s="2" t="str">
        <f>IFERROR(__xludf.DUMMYFUNCTION("IF(C531&lt;&gt;"""", GOOGLETRANSLATE(C531, ""en"", ""te""),"""")"),"")</f>
        <v/>
      </c>
      <c r="E531" s="2"/>
      <c r="F531" s="2" t="str">
        <f>IFERROR(__xludf.DUMMYFUNCTION("IF(E531&lt;&gt;"""", GOOGLETRANSLATE(E531, ""en"", ""te""),"""")"),"")</f>
        <v/>
      </c>
      <c r="G531" s="2"/>
      <c r="H531" s="2" t="str">
        <f>IFERROR(__xludf.DUMMYFUNCTION("IF(G531&lt;&gt;"""", GOOGLETRANSLATE(G531, ""en"", ""te""),"""")"),"")</f>
        <v/>
      </c>
      <c r="I531" s="3"/>
    </row>
    <row r="532" customHeight="1" spans="1:9">
      <c r="A532" s="2"/>
      <c r="B532" s="2" t="str">
        <f>IFERROR(__xludf.DUMMYFUNCTION("IF(A532&lt;&gt;"""", GOOGLETRANSLATE(A532, ""en"", ""te""),"""")"),"")</f>
        <v/>
      </c>
      <c r="C532" s="2"/>
      <c r="D532" s="2" t="str">
        <f>IFERROR(__xludf.DUMMYFUNCTION("IF(C532&lt;&gt;"""", GOOGLETRANSLATE(C532, ""en"", ""te""),"""")"),"")</f>
        <v/>
      </c>
      <c r="E532" s="2"/>
      <c r="F532" s="2" t="str">
        <f>IFERROR(__xludf.DUMMYFUNCTION("IF(E532&lt;&gt;"""", GOOGLETRANSLATE(E532, ""en"", ""te""),"""")"),"")</f>
        <v/>
      </c>
      <c r="G532" s="2"/>
      <c r="H532" s="2" t="str">
        <f>IFERROR(__xludf.DUMMYFUNCTION("IF(G532&lt;&gt;"""", GOOGLETRANSLATE(G532, ""en"", ""te""),"""")"),"")</f>
        <v/>
      </c>
      <c r="I532" s="3"/>
    </row>
    <row r="533" customHeight="1" spans="1:9">
      <c r="A533" s="2"/>
      <c r="B533" s="2" t="str">
        <f>IFERROR(__xludf.DUMMYFUNCTION("IF(A533&lt;&gt;"""", GOOGLETRANSLATE(A533, ""en"", ""te""),"""")"),"")</f>
        <v/>
      </c>
      <c r="C533" s="2"/>
      <c r="D533" s="2" t="str">
        <f>IFERROR(__xludf.DUMMYFUNCTION("IF(C533&lt;&gt;"""", GOOGLETRANSLATE(C533, ""en"", ""te""),"""")"),"")</f>
        <v/>
      </c>
      <c r="E533" s="2"/>
      <c r="F533" s="2" t="str">
        <f>IFERROR(__xludf.DUMMYFUNCTION("IF(E533&lt;&gt;"""", GOOGLETRANSLATE(E533, ""en"", ""te""),"""")"),"")</f>
        <v/>
      </c>
      <c r="G533" s="2"/>
      <c r="H533" s="2" t="str">
        <f>IFERROR(__xludf.DUMMYFUNCTION("IF(G533&lt;&gt;"""", GOOGLETRANSLATE(G533, ""en"", ""te""),"""")"),"")</f>
        <v/>
      </c>
      <c r="I533" s="3"/>
    </row>
    <row r="534" customHeight="1" spans="1:9">
      <c r="A534" s="2"/>
      <c r="B534" s="2" t="str">
        <f>IFERROR(__xludf.DUMMYFUNCTION("IF(A534&lt;&gt;"""", GOOGLETRANSLATE(A534, ""en"", ""te""),"""")"),"")</f>
        <v/>
      </c>
      <c r="C534" s="2"/>
      <c r="D534" s="2" t="str">
        <f>IFERROR(__xludf.DUMMYFUNCTION("IF(C534&lt;&gt;"""", GOOGLETRANSLATE(C534, ""en"", ""te""),"""")"),"")</f>
        <v/>
      </c>
      <c r="E534" s="2"/>
      <c r="F534" s="2" t="str">
        <f>IFERROR(__xludf.DUMMYFUNCTION("IF(E534&lt;&gt;"""", GOOGLETRANSLATE(E534, ""en"", ""te""),"""")"),"")</f>
        <v/>
      </c>
      <c r="G534" s="2"/>
      <c r="H534" s="2" t="str">
        <f>IFERROR(__xludf.DUMMYFUNCTION("IF(G534&lt;&gt;"""", GOOGLETRANSLATE(G534, ""en"", ""te""),"""")"),"")</f>
        <v/>
      </c>
      <c r="I534" s="3"/>
    </row>
    <row r="535" customHeight="1" spans="1:9">
      <c r="A535" s="2"/>
      <c r="B535" s="2" t="str">
        <f>IFERROR(__xludf.DUMMYFUNCTION("IF(A535&lt;&gt;"""", GOOGLETRANSLATE(A535, ""en"", ""te""),"""")"),"")</f>
        <v/>
      </c>
      <c r="C535" s="2"/>
      <c r="D535" s="2" t="str">
        <f>IFERROR(__xludf.DUMMYFUNCTION("IF(C535&lt;&gt;"""", GOOGLETRANSLATE(C535, ""en"", ""te""),"""")"),"")</f>
        <v/>
      </c>
      <c r="E535" s="2"/>
      <c r="F535" s="2" t="str">
        <f>IFERROR(__xludf.DUMMYFUNCTION("IF(E535&lt;&gt;"""", GOOGLETRANSLATE(E535, ""en"", ""te""),"""")"),"")</f>
        <v/>
      </c>
      <c r="G535" s="2"/>
      <c r="H535" s="2" t="str">
        <f>IFERROR(__xludf.DUMMYFUNCTION("IF(G535&lt;&gt;"""", GOOGLETRANSLATE(G535, ""en"", ""te""),"""")"),"")</f>
        <v/>
      </c>
      <c r="I535" s="3"/>
    </row>
    <row r="536" customHeight="1" spans="1:9">
      <c r="A536" s="2"/>
      <c r="B536" s="2" t="str">
        <f>IFERROR(__xludf.DUMMYFUNCTION("IF(A536&lt;&gt;"""", GOOGLETRANSLATE(A536, ""en"", ""te""),"""")"),"")</f>
        <v/>
      </c>
      <c r="C536" s="2"/>
      <c r="D536" s="2" t="str">
        <f>IFERROR(__xludf.DUMMYFUNCTION("IF(C536&lt;&gt;"""", GOOGLETRANSLATE(C536, ""en"", ""te""),"""")"),"")</f>
        <v/>
      </c>
      <c r="E536" s="2"/>
      <c r="F536" s="2" t="str">
        <f>IFERROR(__xludf.DUMMYFUNCTION("IF(E536&lt;&gt;"""", GOOGLETRANSLATE(E536, ""en"", ""te""),"""")"),"")</f>
        <v/>
      </c>
      <c r="G536" s="2"/>
      <c r="H536" s="2" t="str">
        <f>IFERROR(__xludf.DUMMYFUNCTION("IF(G536&lt;&gt;"""", GOOGLETRANSLATE(G536, ""en"", ""te""),"""")"),"")</f>
        <v/>
      </c>
      <c r="I536" s="3"/>
    </row>
    <row r="537" customHeight="1" spans="1:9">
      <c r="A537" s="2"/>
      <c r="B537" s="2" t="str">
        <f>IFERROR(__xludf.DUMMYFUNCTION("IF(A537&lt;&gt;"""", GOOGLETRANSLATE(A537, ""en"", ""te""),"""")"),"")</f>
        <v/>
      </c>
      <c r="C537" s="2"/>
      <c r="D537" s="2" t="str">
        <f>IFERROR(__xludf.DUMMYFUNCTION("IF(C537&lt;&gt;"""", GOOGLETRANSLATE(C537, ""en"", ""te""),"""")"),"")</f>
        <v/>
      </c>
      <c r="E537" s="2"/>
      <c r="F537" s="2" t="str">
        <f>IFERROR(__xludf.DUMMYFUNCTION("IF(E537&lt;&gt;"""", GOOGLETRANSLATE(E537, ""en"", ""te""),"""")"),"")</f>
        <v/>
      </c>
      <c r="G537" s="2"/>
      <c r="H537" s="2" t="str">
        <f>IFERROR(__xludf.DUMMYFUNCTION("IF(G537&lt;&gt;"""", GOOGLETRANSLATE(G537, ""en"", ""te""),"""")"),"")</f>
        <v/>
      </c>
      <c r="I537" s="3"/>
    </row>
    <row r="538" customHeight="1" spans="1:9">
      <c r="A538" s="2" t="s">
        <v>424</v>
      </c>
      <c r="B538" s="2" t="str">
        <f>IFERROR(__xludf.DUMMYFUNCTION("IF(A538&lt;&gt;"""", GOOGLETRANSLATE(A538, ""en"", ""te""),"""")"),"[ '2 వ అత్యుత్తమ బౌలింగ్ ఇన్నింగ్స్ లో విశ్లేషించడం (4/10)', 'ఇన్నింగ్స్ లో 6 వ ఉత్తమ సమ్మె రేటు (12.7)']")</f>
        <v>[ '2 వ అత్యుత్తమ బౌలింగ్ ఇన్నింగ్స్ లో విశ్లేషించడం (4/10)', 'ఇన్నింగ్స్ లో 6 వ ఉత్తమ సమ్మె రేటు (12.7)']</v>
      </c>
      <c r="C538" s="2" t="s">
        <v>425</v>
      </c>
      <c r="D538" s="2" t="str">
        <f>IFERROR(__xludf.DUMMYFUNCTION("IF(C538&lt;&gt;"""", GOOGLETRANSLATE(C538, ""en"", ""te""),"""")"),"[ '2 వ అత్యుత్తమ బౌలింగ్ ఇన్నింగ్స్ లో విశ్లేషించడం (4/10)', 'ఇన్నింగ్స్ లో 6 వ ఉత్తమ సమ్మె రేటు (12.7)', '19 చెత్త కెరీర్ బౌలింగ్ సరాసరి (36.07)', '8 వ చెత్త కెరీర్లో ఆర్థిక రేటు (2.50)' ]")</f>
        <v>[ '2 వ అత్యుత్తమ బౌలింగ్ ఇన్నింగ్స్ లో విశ్లేషించడం (4/10)', 'ఇన్నింగ్స్ లో 6 వ ఉత్తమ సమ్మె రేటు (12.7)', '19 చెత్త కెరీర్ బౌలింగ్ సరాసరి (36.07)', '8 వ చెత్త కెరీర్లో ఆర్థిక రేటు (2.50)' ]</v>
      </c>
      <c r="E538" s="2"/>
      <c r="F538" s="2" t="str">
        <f>IFERROR(__xludf.DUMMYFUNCTION("IF(E538&lt;&gt;"""", GOOGLETRANSLATE(E538, ""en"", ""te""),"""")"),"")</f>
        <v/>
      </c>
      <c r="G538" s="2"/>
      <c r="H538" s="2" t="str">
        <f>IFERROR(__xludf.DUMMYFUNCTION("IF(G538&lt;&gt;"""", GOOGLETRANSLATE(G538, ""en"", ""te""),"""")"),"")</f>
        <v/>
      </c>
      <c r="I538" s="3"/>
    </row>
    <row r="539" customHeight="1" spans="1:9">
      <c r="A539" s="2"/>
      <c r="B539" s="2" t="str">
        <f>IFERROR(__xludf.DUMMYFUNCTION("IF(A539&lt;&gt;"""", GOOGLETRANSLATE(A539, ""en"", ""te""),"""")"),"")</f>
        <v/>
      </c>
      <c r="C539" s="2" t="s">
        <v>426</v>
      </c>
      <c r="D539" s="2" t="str">
        <f>IFERROR(__xludf.DUMMYFUNCTION("IF(C539&lt;&gt;"""", GOOGLETRANSLATE(C539, ""en"", ""te""),"""")"),"[ '38 వ పురాతన దేశం ఆటగాళ్ళు (86y 347d)']")</f>
        <v>[ '38 వ పురాతన దేశం ఆటగాళ్ళు (86y 347d)']</v>
      </c>
      <c r="E539" s="2"/>
      <c r="F539" s="2" t="str">
        <f>IFERROR(__xludf.DUMMYFUNCTION("IF(E539&lt;&gt;"""", GOOGLETRANSLATE(E539, ""en"", ""te""),"""")"),"")</f>
        <v/>
      </c>
      <c r="G539" s="2"/>
      <c r="H539" s="2" t="str">
        <f>IFERROR(__xludf.DUMMYFUNCTION("IF(G539&lt;&gt;"""", GOOGLETRANSLATE(G539, ""en"", ""te""),"""")"),"")</f>
        <v/>
      </c>
      <c r="I539" s="3"/>
    </row>
    <row r="540" customHeight="1" spans="1:9">
      <c r="A540" s="2" t="s">
        <v>427</v>
      </c>
      <c r="B540" s="2" t="str">
        <f>IFERROR(__xludf.DUMMYFUNCTION("IF(A540&lt;&gt;"""", GOOGLETRANSLATE(A540, ""en"", ""te""),"""")"),"[ 'ఇన్నింగ్స్ లో 9 వ అత్యధిక పరుగులు (బ్యాటింగ్ స్థానంలో ప్రకారం) (36 *)', 'వరుస 5 వ అత్యధిక వికెట్లు (29)', '6 వ ఉత్తమ' 5 వ వరుస మ్యాచ్లు ప్రదర్శనల మధ్య బృందం (67) కోసం తప్పిన ' అరంగేట్రంలోనే ఇన్నింగ్స్లో గణాంకాలు (4) ',' 1 వ అత్యధిక వికెట్లు తీసిన హిట్ "&amp;"వికెట్ (1) ']")</f>
        <v>[ 'ఇన్నింగ్స్ లో 9 వ అత్యధిక పరుగులు (బ్యాటింగ్ స్థానంలో ప్రకారం) (36 *)', 'వరుస 5 వ అత్యధిక వికెట్లు (29)', '6 వ ఉత్తమ' 5 వ వరుస మ్యాచ్లు ప్రదర్శనల మధ్య బృందం (67) కోసం తప్పిన ' అరంగేట్రంలోనే ఇన్నింగ్స్లో గణాంకాలు (4) ',' 1 వ అత్యధిక వికెట్లు తీసిన హిట్ వికెట్ (1) ']</v>
      </c>
      <c r="C540" s="2"/>
      <c r="D540" s="2" t="str">
        <f>IFERROR(__xludf.DUMMYFUNCTION("IF(C540&lt;&gt;"""", GOOGLETRANSLATE(C540, ""en"", ""te""),"""")"),"")</f>
        <v/>
      </c>
      <c r="E540" s="2" t="s">
        <v>428</v>
      </c>
      <c r="F540" s="2" t="str">
        <f>IFERROR(__xludf.DUMMYFUNCTION("IF(E540&lt;&gt;"""", GOOGLETRANSLATE(E540, ""en"", ""te""),"""")"),"[ 'ఇన్నింగ్స్ లో 9 వ అత్యధిక పరుగులు (బ్యాటింగ్ స్థానంలో ప్రకారం) (36 *)', '5 వ ఒక సిరీస్లో అత్యధిక వికెట్లు (29)', '42 వ ఉత్తమ కెరీర్ సమ్మె రేటు (35.7)', '6 న ఒక ఇన్నింగ్స్ లోని బెస్ట్ ఫిగర్స్ ప్రవేశం (4) ',' 31 బౌలర్ / బ్యాట్స్ కలయికలు (5) ',' 29 వ అత్య"&amp;"ధిక వికెట్లు తీసుకున్న ఎల్బిడబ్ల్యు (14) ',' 1 వ అత్యధిక వికెట్లు తీసిన హిట్ వికెట్ (1) ',' తొమ్మిదవ వికెట్కు 28 అత్యధిక భాగస్వామ్యం (37 *) ',' ప్రదర్శనలు (మధ్య 26 లాంగెస్ట్ వ్యవధిలో 6y 57d) ',' 5 వ వరుస మ్యాచ్లు (ప్రదర్శనల మధ్య ఒక జట్టు 67 కోసం దూరమయ్యాడ"&amp;"ు) ']")</f>
        <v>[ 'ఇన్నింగ్స్ లో 9 వ అత్యధిక పరుగులు (బ్యాటింగ్ స్థానంలో ప్రకారం) (36 *)', '5 వ ఒక సిరీస్లో అత్యధిక వికెట్లు (29)', '42 వ ఉత్తమ కెరీర్ సమ్మె రేటు (35.7)', '6 న ఒక ఇన్నింగ్స్ లోని బెస్ట్ ఫిగర్స్ ప్రవేశం (4) ',' 31 బౌలర్ / బ్యాట్స్ కలయికలు (5) ',' 29 వ అత్యధిక వికెట్లు తీసుకున్న ఎల్బిడబ్ల్యు (14) ',' 1 వ అత్యధిక వికెట్లు తీసిన హిట్ వికెట్ (1) ',' తొమ్మిదవ వికెట్కు 28 అత్యధిక భాగస్వామ్యం (37 *) ',' ప్రదర్శనలు (మధ్య 26 లాంగెస్ట్ వ్యవధిలో 6y 57d) ',' 5 వ వరుస మ్యాచ్లు (ప్రదర్శనల మధ్య ఒక జట్టు 67 కోసం దూరమయ్యాడు) ']</v>
      </c>
      <c r="G540" s="2" t="s">
        <v>429</v>
      </c>
      <c r="H540" s="2" t="str">
        <f>IFERROR(__xludf.DUMMYFUNCTION("IF(G540&lt;&gt;"""", GOOGLETRANSLATE(G540, ""en"", ""te""),"""")"),"[ '27 ఒక ఇన్నింగ్స్ లోని బెస్ట్ ఫిగర్స్ (5/13)', 'ఇన్నింగ్స్ లో అత్యుత్తమ 16 వ బౌలింగ్ విశ్లేషణలు (2/2)', '48 వ ఉత్తమ కెరీర్ సమ్మె రేటు (21.2)', '13 వ అత్యంత నాలుగు వికెట్ల in- ఒక కెరీర్ లో ఒక ఇన్నింగ్స్ (2) ',' 46 వ కెరీర్ లో బౌల్డ్ చాలా బంతుల్లో (915) '"&amp;",' 47 వ కెరీర్ లో సాధించిన అత్యధిక పరుగులు (897) ',' 38 వ అత్యధిక వికెట్లు తీసుకున్న ఆకర్షించింది (27) ',' 35 వ అత్యధిక వికెట్లు ఒక ఫీల్డర్ చేత క్యాచ్ తీసుకున్న (24) ',' 24 వ అత్యధిక వికెట్లు తీసుకున్న ఎల్బిడబ్ల్యు (7) ']")</f>
        <v>[ '27 ఒక ఇన్నింగ్స్ లోని బెస్ట్ ఫిగర్స్ (5/13)', 'ఇన్నింగ్స్ లో అత్యుత్తమ 16 వ బౌలింగ్ విశ్లేషణలు (2/2)', '48 వ ఉత్తమ కెరీర్ సమ్మె రేటు (21.2)', '13 వ అత్యంత నాలుగు వికెట్ల in- ఒక కెరీర్ లో ఒక ఇన్నింగ్స్ (2) ',' 46 వ కెరీర్ లో బౌల్డ్ చాలా బంతుల్లో (915) ',' 47 వ కెరీర్ లో సాధించిన అత్యధిక పరుగులు (897) ',' 38 వ అత్యధిక వికెట్లు తీసుకున్న ఆకర్షించింది (27) ',' 35 వ అత్యధిక వికెట్లు ఒక ఫీల్డర్ చేత క్యాచ్ తీసుకున్న (24) ',' 24 వ అత్యధిక వికెట్లు తీసుకున్న ఎల్బిడబ్ల్యు (7) ']</v>
      </c>
      <c r="I540" s="3"/>
    </row>
    <row r="541" customHeight="1" spans="1:9">
      <c r="A541" s="2" t="s">
        <v>430</v>
      </c>
      <c r="B541" s="2" t="str">
        <f>IFERROR(__xludf.DUMMYFUNCTION("IF(A541&lt;&gt;"""", GOOGLETRANSLATE(A541, ""en"", ""te""),"""")"),"[ 'కెప్టెన్సీ తొలి 9 వ ఓల్డెస్ట్ కాప్టెన్ (38y 121d)']")</f>
        <v>[ 'కెప్టెన్సీ తొలి 9 వ ఓల్డెస్ట్ కాప్టెన్ (38y 121d)']</v>
      </c>
      <c r="C541" s="2" t="s">
        <v>431</v>
      </c>
      <c r="D541" s="2" t="str">
        <f>IFERROR(__xludf.DUMMYFUNCTION("IF(C541&lt;&gt;"""", GOOGLETRANSLATE(C541, ""en"", ""te""),"""")"),"[ '21 వ తొలి మ్యాచ్లో అత్యధిక పరుగులు (102)', 'తొలి 11 వ ఓల్డెస్ట్ క్రీడాకారులు (39y 124d)', '23 వ ఓల్డెస్ట్ క్రీడాకారులు (39y 127d)']")</f>
        <v>[ '21 వ తొలి మ్యాచ్లో అత్యధిక పరుగులు (102)', 'తొలి 11 వ ఓల్డెస్ట్ క్రీడాకారులు (39y 124d)', '23 వ ఓల్డెస్ట్ క్రీడాకారులు (39y 127d)']</v>
      </c>
      <c r="E541" s="2" t="s">
        <v>432</v>
      </c>
      <c r="F541" s="2" t="str">
        <f>IFERROR(__xludf.DUMMYFUNCTION("IF(E541&lt;&gt;"""", GOOGLETRANSLATE(E541, ""en"", ""te""),"""")"),"[ '43 వ ఉత్తమ కెరీర్ ఆర్థిక రేటు (2.89)', '42 వ అత్యధిక వికెట్లు తీసుకున్న బౌల్డ్ (17)', 'తొలి 39 వ ఓల్డెస్ట్ క్రీడాకారులు (33y 29d)', '16 వ ఓల్డెస్ట్ క్రీడాకారులు (40y 148d)', '10 వ ఓల్డెస్ట్ కాప్టెన్ ( 38y 131d) ',' కెప్టెన్సీ తొలి 9 వ ఓల్డెస్ట్ కాప్టెన"&amp;"్ (38y 121d) ']")</f>
        <v>[ '43 వ ఉత్తమ కెరీర్ ఆర్థిక రేటు (2.89)', '42 వ అత్యధిక వికెట్లు తీసుకున్న బౌల్డ్ (17)', 'తొలి 39 వ ఓల్డెస్ట్ క్రీడాకారులు (33y 29d)', '16 వ ఓల్డెస్ట్ క్రీడాకారులు (40y 148d)', '10 వ ఓల్డెస్ట్ కాప్టెన్ ( 38y 131d) ',' కెప్టెన్సీ తొలి 9 వ ఓల్డెస్ట్ కాప్టెన్ (38y 121d) ']</v>
      </c>
      <c r="G541" s="2"/>
      <c r="H541" s="2" t="str">
        <f>IFERROR(__xludf.DUMMYFUNCTION("IF(G541&lt;&gt;"""", GOOGLETRANSLATE(G541, ""en"", ""te""),"""")"),"")</f>
        <v/>
      </c>
      <c r="I541" s="3"/>
    </row>
    <row r="542" customHeight="1" spans="1:9">
      <c r="A542" s="2" t="s">
        <v>349</v>
      </c>
      <c r="B542" s="2" t="str">
        <f>IFERROR(__xludf.DUMMYFUNCTION("IF(A542&lt;&gt;"""", GOOGLETRANSLATE(A542, ""en"", ""te""),"""")"),"[ '99 పరుగుల 1st (మరియు 199, 299 etc) (99)']")</f>
        <v>[ '99 పరుగుల 1st (మరియు 199, 299 etc) (99)']</v>
      </c>
      <c r="C542" s="2" t="s">
        <v>433</v>
      </c>
      <c r="D542" s="2" t="str">
        <f>IFERROR(__xludf.DUMMYFUNCTION("IF(C542&lt;&gt;"""", GOOGLETRANSLATE(C542, ""en"", ""te""),"""")"),"[ '99 పరుగుల 1st (మరియు 199, 299 etc) (99)', 'కెరీర్లో 18 వ లేవు బాతులు (24)']")</f>
        <v>[ '99 పరుగుల 1st (మరియు 199, 299 etc) (99)', 'కెరీర్లో 18 వ లేవు బాతులు (24)']</v>
      </c>
      <c r="E542" s="2" t="s">
        <v>434</v>
      </c>
      <c r="F542" s="2" t="str">
        <f>IFERROR(__xludf.DUMMYFUNCTION("IF(E542&lt;&gt;"""", GOOGLETRANSLATE(E542, ""en"", ""te""),"""")"),"[ '25 వ ఉత్తమ కెరీర్ (11.00) (అర్హత లేకుండా) సగటు బౌలింగ్', '39 వ పురాతన దేశం ఆటగాళ్ళు (78y 23d)']")</f>
        <v>[ '25 వ ఉత్తమ కెరీర్ (11.00) (అర్హత లేకుండా) సగటు బౌలింగ్', '39 వ పురాతన దేశం ఆటగాళ్ళు (78y 23d)']</v>
      </c>
      <c r="G542" s="2"/>
      <c r="H542" s="2" t="str">
        <f>IFERROR(__xludf.DUMMYFUNCTION("IF(G542&lt;&gt;"""", GOOGLETRANSLATE(G542, ""en"", ""te""),"""")"),"")</f>
        <v/>
      </c>
      <c r="I542" s="3"/>
    </row>
    <row r="543" customHeight="1" spans="1:9">
      <c r="A543" s="2" t="s">
        <v>435</v>
      </c>
      <c r="B543" s="2" t="str">
        <f>IFERROR(__xludf.DUMMYFUNCTION("IF(A543&lt;&gt;"""", GOOGLETRANSLATE(A543, ""en"", ""te""),"""")"),"[ '1st వరుస బాతులు (3)']")</f>
        <v>[ '1st వరుస బాతులు (3)']</v>
      </c>
      <c r="C543" s="2"/>
      <c r="D543" s="2" t="str">
        <f>IFERROR(__xludf.DUMMYFUNCTION("IF(C543&lt;&gt;"""", GOOGLETRANSLATE(C543, ""en"", ""te""),"""")"),"")</f>
        <v/>
      </c>
      <c r="E543" s="2"/>
      <c r="F543" s="2" t="str">
        <f>IFERROR(__xludf.DUMMYFUNCTION("IF(E543&lt;&gt;"""", GOOGLETRANSLATE(E543, ""en"", ""te""),"""")"),"")</f>
        <v/>
      </c>
      <c r="G543" s="2" t="s">
        <v>436</v>
      </c>
      <c r="H543" s="2" t="str">
        <f>IFERROR(__xludf.DUMMYFUNCTION("IF(G543&lt;&gt;"""", GOOGLETRANSLATE(G543, ""en"", ""te""),"""")"),"[ '48 వ కెరీర్ అర్ధ (6)', '13 వ అత్యంత బాతులు కెరీర్లో (6)', '1 వ వరుస బాతులు (3)', '21 వ లాంగెస్ట్ వ్యక్తిగత ఇన్నింగ్స్ (బంతులతో) (64) ',' 39 వ అత్యధిక ఐదవ వికెట్కు భాగస్వామ్యం (70) ',' 26th లాంగెస్ట్ కెరీర్లు (12y 163d) ',' 40 వ అత్యధిక క్యాచ్లు కెరీర్ల"&amp;"ో (10) ',' 32 వ అత్యంత ఇన్నింగ్స్ లో సాధించిన బైస్ (5) ']")</f>
        <v>[ '48 వ కెరీర్ అర్ధ (6)', '13 వ అత్యంత బాతులు కెరీర్లో (6)', '1 వ వరుస బాతులు (3)', '21 వ లాంగెస్ట్ వ్యక్తిగత ఇన్నింగ్స్ (బంతులతో) (64) ',' 39 వ అత్యధిక ఐదవ వికెట్కు భాగస్వామ్యం (70) ',' 26th లాంగెస్ట్ కెరీర్లు (12y 163d) ',' 40 వ అత్యధిక క్యాచ్లు కెరీర్లో (10) ',' 32 వ అత్యంత ఇన్నింగ్స్ లో సాధించిన బైస్ (5) ']</v>
      </c>
      <c r="I543" s="3"/>
    </row>
    <row r="544" customHeight="1" spans="1:9">
      <c r="A544" s="2" t="s">
        <v>437</v>
      </c>
      <c r="B544" s="2" t="str">
        <f>IFERROR(__xludf.DUMMYFUNCTION("IF(A544&lt;&gt;"""", GOOGLETRANSLATE(A544, ""en"", ""te""),"""")"),"[ 'హండ్రెడ్ మరియు ఒక మ్యాచ్లో ఒక డక్', '5 వ ఉత్తమ కెరీర్ (5.00) (అర్హత లేకుండా) సగటు బౌలింగ్' '3 వ భాగం (ప్రగతిశీల రికార్డు హోల్డర్) ఒక ఇన్నింగ్స్ లో నడుస్తుంది (105)',]")</f>
        <v>[ 'హండ్రెడ్ మరియు ఒక మ్యాచ్లో ఒక డక్', '5 వ ఉత్తమ కెరీర్ (5.00) (అర్హత లేకుండా) సగటు బౌలింగ్' '3 వ భాగం (ప్రగతిశీల రికార్డు హోల్డర్) ఒక ఇన్నింగ్స్ లో నడుస్తుంది (105)',]</v>
      </c>
      <c r="C544" s="2" t="s">
        <v>438</v>
      </c>
      <c r="D544" s="2" t="str">
        <f>IFERROR(__xludf.DUMMYFUNCTION("IF(C544&lt;&gt;"""", GOOGLETRANSLATE(C544, ""en"", ""te""),"""")"),"[ 'వరుస మ్యాచ్లలో 26 యాభైల్లో (7)', 'ఒక డక్ లేకుండా 38 వ వరుస ఇన్నింగ్స్ (56)', '42 వ ఒక సిరీస్లో అత్యధిక క్యాచ్లు (10)', 'రెండవ వికెట్ (269) కోసం 34 వ అత్యధిక భాగస్వామ్యం']")</f>
        <v>[ 'వరుస మ్యాచ్లలో 26 యాభైల్లో (7)', 'ఒక డక్ లేకుండా 38 వ వరుస ఇన్నింగ్స్ (56)', '42 వ ఒక సిరీస్లో అత్యధిక క్యాచ్లు (10)', 'రెండవ వికెట్ (269) కోసం 34 వ అత్యధిక భాగస్వామ్యం']</v>
      </c>
      <c r="E544" s="2" t="s">
        <v>439</v>
      </c>
      <c r="F544" s="2" t="str">
        <f>IFERROR(__xludf.DUMMYFUNCTION("IF(E544&lt;&gt;"""", GOOGLETRANSLATE(E544, ""en"", ""te""),"""")"),"[ '5 వ ఉత్తమ కెరీర్ (5.00) (అర్హత లేకుండా) సగటు బౌలింగ్' '3 వ భాగం (ప్రగతిశీల రికార్డు హోల్డర్) ఒక ఇన్నింగ్స్ లో నడుస్తుంది (105)',]")</f>
        <v>[ '5 వ ఉత్తమ కెరీర్ (5.00) (అర్హత లేకుండా) సగటు బౌలింగ్' '3 వ భాగం (ప్రగతిశీల రికార్డు హోల్డర్) ఒక ఇన్నింగ్స్ లో నడుస్తుంది (105)',]</v>
      </c>
      <c r="G544" s="2"/>
      <c r="H544" s="2" t="str">
        <f>IFERROR(__xludf.DUMMYFUNCTION("IF(G544&lt;&gt;"""", GOOGLETRANSLATE(G544, ""en"", ""te""),"""")"),"")</f>
        <v/>
      </c>
      <c r="I544" s="3"/>
    </row>
    <row r="545" customHeight="1" spans="1:9">
      <c r="A545" s="2"/>
      <c r="B545" s="2" t="str">
        <f>IFERROR(__xludf.DUMMYFUNCTION("IF(A545&lt;&gt;"""", GOOGLETRANSLATE(A545, ""en"", ""te""),"""")"),"")</f>
        <v/>
      </c>
      <c r="C545" s="2"/>
      <c r="D545" s="2" t="str">
        <f>IFERROR(__xludf.DUMMYFUNCTION("IF(C545&lt;&gt;"""", GOOGLETRANSLATE(C545, ""en"", ""te""),"""")"),"")</f>
        <v/>
      </c>
      <c r="E545" s="2"/>
      <c r="F545" s="2" t="str">
        <f>IFERROR(__xludf.DUMMYFUNCTION("IF(E545&lt;&gt;"""", GOOGLETRANSLATE(E545, ""en"", ""te""),"""")"),"")</f>
        <v/>
      </c>
      <c r="G545" s="2"/>
      <c r="H545" s="2" t="str">
        <f>IFERROR(__xludf.DUMMYFUNCTION("IF(G545&lt;&gt;"""", GOOGLETRANSLATE(G545, ""en"", ""te""),"""")"),"")</f>
        <v/>
      </c>
      <c r="I545" s="3"/>
    </row>
    <row r="546" customHeight="1" spans="1:9">
      <c r="A546" s="2"/>
      <c r="B546" s="2" t="str">
        <f>IFERROR(__xludf.DUMMYFUNCTION("IF(A546&lt;&gt;"""", GOOGLETRANSLATE(A546, ""en"", ""te""),"""")"),"")</f>
        <v/>
      </c>
      <c r="C546" s="2"/>
      <c r="D546" s="2" t="str">
        <f>IFERROR(__xludf.DUMMYFUNCTION("IF(C546&lt;&gt;"""", GOOGLETRANSLATE(C546, ""en"", ""te""),"""")"),"")</f>
        <v/>
      </c>
      <c r="E546" s="2"/>
      <c r="F546" s="2" t="str">
        <f>IFERROR(__xludf.DUMMYFUNCTION("IF(E546&lt;&gt;"""", GOOGLETRANSLATE(E546, ""en"", ""te""),"""")"),"")</f>
        <v/>
      </c>
      <c r="G546" s="2"/>
      <c r="H546" s="2" t="str">
        <f>IFERROR(__xludf.DUMMYFUNCTION("IF(G546&lt;&gt;"""", GOOGLETRANSLATE(G546, ""en"", ""te""),"""")"),"")</f>
        <v/>
      </c>
      <c r="I546" s="3"/>
    </row>
    <row r="547" customHeight="1" spans="1:9">
      <c r="A547" s="2"/>
      <c r="B547" s="2" t="str">
        <f>IFERROR(__xludf.DUMMYFUNCTION("IF(A547&lt;&gt;"""", GOOGLETRANSLATE(A547, ""en"", ""te""),"""")"),"")</f>
        <v/>
      </c>
      <c r="C547" s="2"/>
      <c r="D547" s="2" t="str">
        <f>IFERROR(__xludf.DUMMYFUNCTION("IF(C547&lt;&gt;"""", GOOGLETRANSLATE(C547, ""en"", ""te""),"""")"),"")</f>
        <v/>
      </c>
      <c r="E547" s="2"/>
      <c r="F547" s="2" t="str">
        <f>IFERROR(__xludf.DUMMYFUNCTION("IF(E547&lt;&gt;"""", GOOGLETRANSLATE(E547, ""en"", ""te""),"""")"),"")</f>
        <v/>
      </c>
      <c r="G547" s="2"/>
      <c r="H547" s="2" t="str">
        <f>IFERROR(__xludf.DUMMYFUNCTION("IF(G547&lt;&gt;"""", GOOGLETRANSLATE(G547, ""en"", ""te""),"""")"),"")</f>
        <v/>
      </c>
      <c r="I547" s="3"/>
    </row>
    <row r="548" customHeight="1" spans="1:9">
      <c r="A548" s="2"/>
      <c r="B548" s="2" t="str">
        <f>IFERROR(__xludf.DUMMYFUNCTION("IF(A548&lt;&gt;"""", GOOGLETRANSLATE(A548, ""en"", ""te""),"""")"),"")</f>
        <v/>
      </c>
      <c r="C548" s="2"/>
      <c r="D548" s="2" t="str">
        <f>IFERROR(__xludf.DUMMYFUNCTION("IF(C548&lt;&gt;"""", GOOGLETRANSLATE(C548, ""en"", ""te""),"""")"),"")</f>
        <v/>
      </c>
      <c r="E548" s="2"/>
      <c r="F548" s="2" t="str">
        <f>IFERROR(__xludf.DUMMYFUNCTION("IF(E548&lt;&gt;"""", GOOGLETRANSLATE(E548, ""en"", ""te""),"""")"),"")</f>
        <v/>
      </c>
      <c r="G548" s="2"/>
      <c r="H548" s="2" t="str">
        <f>IFERROR(__xludf.DUMMYFUNCTION("IF(G548&lt;&gt;"""", GOOGLETRANSLATE(G548, ""en"", ""te""),"""")"),"")</f>
        <v/>
      </c>
      <c r="I548" s="3"/>
    </row>
    <row r="549" customHeight="1" spans="1:9">
      <c r="A549" s="2"/>
      <c r="B549" s="2" t="str">
        <f>IFERROR(__xludf.DUMMYFUNCTION("IF(A549&lt;&gt;"""", GOOGLETRANSLATE(A549, ""en"", ""te""),"""")"),"")</f>
        <v/>
      </c>
      <c r="C549" s="2" t="s">
        <v>440</v>
      </c>
      <c r="D549" s="2" t="str">
        <f>IFERROR(__xludf.DUMMYFUNCTION("IF(C549&lt;&gt;"""", GOOGLETRANSLATE(C549, ""en"", ""te""),"""")"),"[ '44 వ ఒక సిరీస్లో అత్యధిక వికెట్లు (32)']")</f>
        <v>[ '44 వ ఒక సిరీస్లో అత్యధిక వికెట్లు (32)']</v>
      </c>
      <c r="E549" s="2"/>
      <c r="F549" s="2" t="str">
        <f>IFERROR(__xludf.DUMMYFUNCTION("IF(E549&lt;&gt;"""", GOOGLETRANSLATE(E549, ""en"", ""te""),"""")"),"")</f>
        <v/>
      </c>
      <c r="G549" s="2"/>
      <c r="H549" s="2" t="str">
        <f>IFERROR(__xludf.DUMMYFUNCTION("IF(G549&lt;&gt;"""", GOOGLETRANSLATE(G549, ""en"", ""te""),"""")"),"")</f>
        <v/>
      </c>
      <c r="I549" s="3"/>
    </row>
    <row r="550" customHeight="1" spans="1:9">
      <c r="A550" s="2" t="s">
        <v>441</v>
      </c>
      <c r="B550" s="2" t="str">
        <f>IFERROR(__xludf.DUMMYFUNCTION("IF(A550&lt;&gt;"""", GOOGLETRANSLATE(A550, ""en"", ""te""),"""")"),"[ '9 వ ఉత్తమ కెరీర్ ఆర్థిక రేటు (1.82)']")</f>
        <v>[ '9 వ ఉత్తమ కెరీర్ ఆర్థిక రేటు (1.82)']</v>
      </c>
      <c r="C550" s="2" t="s">
        <v>442</v>
      </c>
      <c r="D550" s="2" t="str">
        <f>IFERROR(__xludf.DUMMYFUNCTION("IF(C550&lt;&gt;"""", GOOGLETRANSLATE(C550, ""en"", ""te""),"""")"),"[ '24 ఒక ఇన్నింగ్స్ లోని బెస్ట్ ఫిగర్స్ ఉన్నప్పుడు పరాజయం వైపు (7)', '40 వ మ్యాచ్ లో బెస్ట్ ఫిగర్స్ ఉన్నప్పుడు పరాజయం వైపు (10)', '9 వ ఉత్తమ కెరీర్ ఆర్థిక రేటు (1.82)']")</f>
        <v>[ '24 ఒక ఇన్నింగ్స్ లోని బెస్ట్ ఫిగర్స్ ఉన్నప్పుడు పరాజయం వైపు (7)', '40 వ మ్యాచ్ లో బెస్ట్ ఫిగర్స్ ఉన్నప్పుడు పరాజయం వైపు (10)', '9 వ ఉత్తమ కెరీర్ ఆర్థిక రేటు (1.82)']</v>
      </c>
      <c r="E550" s="2"/>
      <c r="F550" s="2" t="str">
        <f>IFERROR(__xludf.DUMMYFUNCTION("IF(E550&lt;&gt;"""", GOOGLETRANSLATE(E550, ""en"", ""te""),"""")"),"")</f>
        <v/>
      </c>
      <c r="G550" s="2"/>
      <c r="H550" s="2" t="str">
        <f>IFERROR(__xludf.DUMMYFUNCTION("IF(G550&lt;&gt;"""", GOOGLETRANSLATE(G550, ""en"", ""te""),"""")"),"")</f>
        <v/>
      </c>
      <c r="I550" s="3"/>
    </row>
    <row r="551" customHeight="1" spans="1:9">
      <c r="A551" s="2" t="s">
        <v>443</v>
      </c>
      <c r="B551" s="2" t="str">
        <f>IFERROR(__xludf.DUMMYFUNCTION("IF(A551&lt;&gt;"""", GOOGLETRANSLATE(A551, ""en"", ""te""),"""")"),"[ '1st ఒక ఇన్నింగ్స్ లోని బెస్ట్ ఫిగర్స్ పరాజయం వైపు (6) ఉన్నప్పుడు', '4 వ ఉత్తమ కెరీర్ బౌలింగ్ సరాసరి (18.97)']")</f>
        <v>[ '1st ఒక ఇన్నింగ్స్ లోని బెస్ట్ ఫిగర్స్ పరాజయం వైపు (6) ఉన్నప్పుడు', '4 వ ఉత్తమ కెరీర్ బౌలింగ్ సరాసరి (18.97)']</v>
      </c>
      <c r="C551" s="2"/>
      <c r="D551" s="2" t="str">
        <f>IFERROR(__xludf.DUMMYFUNCTION("IF(C551&lt;&gt;"""", GOOGLETRANSLATE(C551, ""en"", ""te""),"""")"),"")</f>
        <v/>
      </c>
      <c r="E551" s="2" t="s">
        <v>444</v>
      </c>
      <c r="F551" s="2" t="str">
        <f>IFERROR(__xludf.DUMMYFUNCTION("IF(E551&lt;&gt;"""", GOOGLETRANSLATE(E551, ""en"", ""te""),"""")"),"[ '1st ఒక ఇన్నింగ్స్ లోని బెస్ట్ ఫిగర్స్ ఉన్నప్పుడు పరాజయం వైపు (6) న', '4 వ ఉత్తమ కెరీర్ సగటు (18.97) బౌలింగ్', '46 వ ఉత్తమ కెరీర్ ఆర్థిక రేటు (3.94)', '15 వ ఉత్తమ కెరీర్ సమ్మె రేటు (28.8)' ]")</f>
        <v>[ '1st ఒక ఇన్నింగ్స్ లోని బెస్ట్ ఫిగర్స్ ఉన్నప్పుడు పరాజయం వైపు (6) న', '4 వ ఉత్తమ కెరీర్ సగటు (18.97) బౌలింగ్', '46 వ ఉత్తమ కెరీర్ ఆర్థిక రేటు (3.94)', '15 వ ఉత్తమ కెరీర్ సమ్మె రేటు (28.8)' ]</v>
      </c>
      <c r="G551" s="2"/>
      <c r="H551" s="2" t="str">
        <f>IFERROR(__xludf.DUMMYFUNCTION("IF(G551&lt;&gt;"""", GOOGLETRANSLATE(G551, ""en"", ""te""),"""")"),"")</f>
        <v/>
      </c>
      <c r="I551" s="3"/>
    </row>
    <row r="552" customHeight="1" spans="1:9">
      <c r="A552" s="2" t="s">
        <v>445</v>
      </c>
      <c r="B552" s="2" t="str">
        <f>IFERROR(__xludf.DUMMYFUNCTION("IF(A552&lt;&gt;"""", GOOGLETRANSLATE(A552, ""en"", ""te""),"""")"),"[ '9 వ వరుస (5) లో అన్ని టాస్ గెలిచి']")</f>
        <v>[ '9 వ వరుస (5) లో అన్ని టాస్ గెలిచి']</v>
      </c>
      <c r="C552" s="2" t="s">
        <v>446</v>
      </c>
      <c r="D552" s="2" t="str">
        <f>IFERROR(__xludf.DUMMYFUNCTION("IF(C552&lt;&gt;"""", GOOGLETRANSLATE(C552, ""en"", ""te""),"""")"),"[ '9 వ వరుస అన్ని టాస్ గెలిచిన (5)', '42 వ ఓల్డెస్ట్ కాప్టెన్ (38y 125d)']")</f>
        <v>[ '9 వ వరుస అన్ని టాస్ గెలిచిన (5)', '42 వ ఓల్డెస్ట్ కాప్టెన్ (38y 125d)']</v>
      </c>
      <c r="E552" s="2"/>
      <c r="F552" s="2" t="str">
        <f>IFERROR(__xludf.DUMMYFUNCTION("IF(E552&lt;&gt;"""", GOOGLETRANSLATE(E552, ""en"", ""te""),"""")"),"")</f>
        <v/>
      </c>
      <c r="G552" s="2"/>
      <c r="H552" s="2" t="str">
        <f>IFERROR(__xludf.DUMMYFUNCTION("IF(G552&lt;&gt;"""", GOOGLETRANSLATE(G552, ""en"", ""te""),"""")"),"")</f>
        <v/>
      </c>
      <c r="I552" s="3"/>
    </row>
    <row r="553" customHeight="1" spans="1:9">
      <c r="A553" s="2"/>
      <c r="B553" s="2" t="str">
        <f>IFERROR(__xludf.DUMMYFUNCTION("IF(A553&lt;&gt;"""", GOOGLETRANSLATE(A553, ""en"", ""te""),"""")"),"")</f>
        <v/>
      </c>
      <c r="C553" s="2"/>
      <c r="D553" s="2" t="str">
        <f>IFERROR(__xludf.DUMMYFUNCTION("IF(C553&lt;&gt;"""", GOOGLETRANSLATE(C553, ""en"", ""te""),"""")"),"")</f>
        <v/>
      </c>
      <c r="E553" s="2"/>
      <c r="F553" s="2" t="str">
        <f>IFERROR(__xludf.DUMMYFUNCTION("IF(E553&lt;&gt;"""", GOOGLETRANSLATE(E553, ""en"", ""te""),"""")"),"")</f>
        <v/>
      </c>
      <c r="G553" s="2"/>
      <c r="H553" s="2" t="str">
        <f>IFERROR(__xludf.DUMMYFUNCTION("IF(G553&lt;&gt;"""", GOOGLETRANSLATE(G553, ""en"", ""te""),"""")"),"")</f>
        <v/>
      </c>
      <c r="I553" s="3"/>
    </row>
    <row r="554" customHeight="1" spans="1:9">
      <c r="A554" s="2" t="s">
        <v>447</v>
      </c>
      <c r="B554" s="2" t="str">
        <f>IFERROR(__xludf.DUMMYFUNCTION("IF(A554&lt;&gt;"""", GOOGLETRANSLATE(A554, ""en"", ""te""),"""")"),"[ 'ఒక క్యాలెండర్ సంవత్సరంలో 6 వ అత్యధిక వికెట్లు (77)', '4 వ ఇన్నింగ్స్ లో అత్యధిక పరుగులు (బ్యాటింగ్ స్థానంలో ప్రకారం) (37)', '5 వ ఒక సిరీస్లో అత్యధిక వికెట్లు (24)', '1 వ ఉత్తమ కెరీర్ ఆర్థిక రేటు ( 3.09) ']")</f>
        <v>[ 'ఒక క్యాలెండర్ సంవత్సరంలో 6 వ అత్యధిక వికెట్లు (77)', '4 వ ఇన్నింగ్స్ లో అత్యధిక పరుగులు (బ్యాటింగ్ స్థానంలో ప్రకారం) (37)', '5 వ ఒక సిరీస్లో అత్యధిక వికెట్లు (24)', '1 వ ఉత్తమ కెరీర్ ఆర్థిక రేటు ( 3.09) ']</v>
      </c>
      <c r="C554" s="2" t="s">
        <v>448</v>
      </c>
      <c r="D554" s="2" t="str">
        <f>IFERROR(__xludf.DUMMYFUNCTION("IF(C554&lt;&gt;"""", GOOGLETRANSLATE(C554, ""en"", ""te""),"""")"),"[ '39 వ కెరీర్ బాతులు (17)', '11 వ ఒక సిరీస్లో అత్యధిక బాతులు (4)', '42 వ అత్యధిక వికెట్లు కెరీర్లో (259)', '6 వ ఒక క్యాలెండర్ సంవత్సరంలో అత్యధిక వికెట్లు (77)', '19 ఉత్తమ కెరీర్ బౌలింగ్ సరాసరి (20.97) ',' 39 వ ఉత్తమ కెరీర్ సమ్మె రేటు (50.8) ',' 27 వ అత్య"&amp;"ధిక వికెట్లు బౌల్డ్ తీసుకున్న (68) ',' 43 వ అత్యధిక వికెట్లు ఒక వికెట్ కీపర్ చే కాట్ తీసుకున్న (53) ',' 29 వ అత్యధిక వికెట్లు తీసుకున్న LBW (57) ',' 20 వ 50 వికెట్లు వేగంగా (10) ', '21 వ 100 వికెట్లు వేగంగా (21)', 'వేగంగా 150 వికెట్లు పడగొట్టిన (35)', '13"&amp;" వ వేగంగా 200 వికెట్లు (44)' కు 27, '15 వ వేగంగా 250 వికెట్లు (57)']")</f>
        <v>[ '39 వ కెరీర్ బాతులు (17)', '11 వ ఒక సిరీస్లో అత్యధిక బాతులు (4)', '42 వ అత్యధిక వికెట్లు కెరీర్లో (259)', '6 వ ఒక క్యాలెండర్ సంవత్సరంలో అత్యధిక వికెట్లు (77)', '19 ఉత్తమ కెరీర్ బౌలింగ్ సరాసరి (20.97) ',' 39 వ ఉత్తమ కెరీర్ సమ్మె రేటు (50.8) ',' 27 వ అత్యధిక వికెట్లు బౌల్డ్ తీసుకున్న (68) ',' 43 వ అత్యధిక వికెట్లు ఒక వికెట్ కీపర్ చే కాట్ తీసుకున్న (53) ',' 29 వ అత్యధిక వికెట్లు తీసుకున్న LBW (57) ',' 20 వ 50 వికెట్లు వేగంగా (10) ', '21 వ 100 వికెట్లు వేగంగా (21)', 'వేగంగా 150 వికెట్లు పడగొట్టిన (35)', '13 వ వేగంగా 200 వికెట్లు (44)' కు 27, '15 వ వేగంగా 250 వికెట్లు (57)']</v>
      </c>
      <c r="E554" s="2" t="s">
        <v>449</v>
      </c>
      <c r="F554" s="2" t="str">
        <f>IFERROR(__xludf.DUMMYFUNCTION("IF(E554&lt;&gt;"""", GOOGLETRANSLATE(E554, ""en"", ""te""),"""")"),"[ 'ఇన్నింగ్స్ లో 4 వ అత్యధిక పరుగులు (బ్యాటింగ్ స్థానంలో ప్రకారం) (37)', 'ఇన్నింగ్స్ లో 15 వ అత్యుత్తమ బౌలింగ్ విశ్లేషణలు (4/10)', '14 వ ఉత్తమ బొమ్మలు' 5 వ వరుస (24) అత్యధిక వికెట్లు ' ఒక ఇన్నింగ్స్ ఉన్నప్పుడు పరాజయం వైపు (5) ',' 2 వ ఉత్తమ కెరీర్ సగటు (1"&amp;"8.84) ',' 1 వ ఉత్తమ కెరీర్ ఎకానమీ రేట్ బౌలింగ్ (3.09) ',' 48 వ బెస్ట్ ఆర్థిక వ్యవస్థ ఇన్నింగ్స్లో రేటు (1.00) ',' 25 వ అత్యంత ఐదు వికెట్లు-ఇన్-ఒక-ఇన్నింగ్స్ కెరీర్లో (3) ',' ఐదు వికెట్ల లో-ఒక-ఇన్నింగ్స్ (34y 18d) వేగవంతమైన 100 వికెట్లు తీసుకొని 18 వ ఓల్డ"&amp;"ెస్ట్ ఆటగాడు ',' 34 వ (67) ']")</f>
        <v>[ 'ఇన్నింగ్స్ లో 4 వ అత్యధిక పరుగులు (బ్యాటింగ్ స్థానంలో ప్రకారం) (37)', 'ఇన్నింగ్స్ లో 15 వ అత్యుత్తమ బౌలింగ్ విశ్లేషణలు (4/10)', '14 వ ఉత్తమ బొమ్మలు' 5 వ వరుస (24) అత్యధిక వికెట్లు ' ఒక ఇన్నింగ్స్ ఉన్నప్పుడు పరాజయం వైపు (5) ',' 2 వ ఉత్తమ కెరీర్ సగటు (18.84) ',' 1 వ ఉత్తమ కెరీర్ ఎకానమీ రేట్ బౌలింగ్ (3.09) ',' 48 వ బెస్ట్ ఆర్థిక వ్యవస్థ ఇన్నింగ్స్లో రేటు (1.00) ',' 25 వ అత్యంత ఐదు వికెట్లు-ఇన్-ఒక-ఇన్నింగ్స్ కెరీర్లో (3) ',' ఐదు వికెట్ల లో-ఒక-ఇన్నింగ్స్ (34y 18d) వేగవంతమైన 100 వికెట్లు తీసుకొని 18 వ ఓల్డెస్ట్ ఆటగాడు ',' 34 వ (67) ']</v>
      </c>
      <c r="G554" s="2"/>
      <c r="H554" s="2" t="str">
        <f>IFERROR(__xludf.DUMMYFUNCTION("IF(G554&lt;&gt;"""", GOOGLETRANSLATE(G554, ""en"", ""te""),"""")"),"")</f>
        <v/>
      </c>
      <c r="I554" s="3"/>
    </row>
    <row r="555" customHeight="1" spans="1:9">
      <c r="A555" s="2" t="s">
        <v>450</v>
      </c>
      <c r="B555" s="2" t="str">
        <f>IFERROR(__xludf.DUMMYFUNCTION("IF(A555&lt;&gt;"""", GOOGLETRANSLATE(A555, ""en"", ""te""),"""")"),"[ 'ఒక మ్యాచ్ లో రెండు అజేయంగా అర్ధ']")</f>
        <v>[ 'ఒక మ్యాచ్ లో రెండు అజేయంగా అర్ధ']</v>
      </c>
      <c r="C555" s="2" t="s">
        <v>451</v>
      </c>
      <c r="D555" s="2" t="str">
        <f>IFERROR(__xludf.DUMMYFUNCTION("IF(C555&lt;&gt;"""", GOOGLETRANSLATE(C555, ""en"", ""te""),"""")"),"[ '13 వ పిన్న కాప్టెన్ (23y 217d)']")</f>
        <v>[ '13 వ పిన్న కాప్టెన్ (23y 217d)']</v>
      </c>
      <c r="E555" s="2"/>
      <c r="F555" s="2" t="str">
        <f>IFERROR(__xludf.DUMMYFUNCTION("IF(E555&lt;&gt;"""", GOOGLETRANSLATE(E555, ""en"", ""te""),"""")"),"")</f>
        <v/>
      </c>
      <c r="G555" s="2"/>
      <c r="H555" s="2" t="str">
        <f>IFERROR(__xludf.DUMMYFUNCTION("IF(G555&lt;&gt;"""", GOOGLETRANSLATE(G555, ""en"", ""te""),"""")"),"")</f>
        <v/>
      </c>
      <c r="I555" s="3"/>
    </row>
    <row r="556" customHeight="1" spans="1:9">
      <c r="A556" s="2"/>
      <c r="B556" s="2" t="str">
        <f>IFERROR(__xludf.DUMMYFUNCTION("IF(A556&lt;&gt;"""", GOOGLETRANSLATE(A556, ""en"", ""te""),"""")"),"")</f>
        <v/>
      </c>
      <c r="C556" s="2"/>
      <c r="D556" s="2" t="str">
        <f>IFERROR(__xludf.DUMMYFUNCTION("IF(C556&lt;&gt;"""", GOOGLETRANSLATE(C556, ""en"", ""te""),"""")"),"")</f>
        <v/>
      </c>
      <c r="E556" s="2"/>
      <c r="F556" s="2" t="str">
        <f>IFERROR(__xludf.DUMMYFUNCTION("IF(E556&lt;&gt;"""", GOOGLETRANSLATE(E556, ""en"", ""te""),"""")"),"")</f>
        <v/>
      </c>
      <c r="G556" s="2"/>
      <c r="H556" s="2" t="str">
        <f>IFERROR(__xludf.DUMMYFUNCTION("IF(G556&lt;&gt;"""", GOOGLETRANSLATE(G556, ""en"", ""te""),"""")"),"")</f>
        <v/>
      </c>
      <c r="I556" s="3"/>
    </row>
    <row r="557" customHeight="1" spans="1:9">
      <c r="A557" s="2" t="s">
        <v>452</v>
      </c>
      <c r="B557" s="2" t="str">
        <f>IFERROR(__xludf.DUMMYFUNCTION("IF(A557&lt;&gt;"""", GOOGLETRANSLATE(A557, ""en"", ""te""),"""")"),"[ 'ఇన్నింగ్స్ లో 7 వ అత్యధిక పరుగులు (బ్యాటింగ్ స్థానంలో ప్రకారం) (333)', 'ఒక వృత్తిలో 1st అత్యధిక ట్రిపుల్ సెంచరీలు (2)', 'కెరీర్ లో 3 వ ఎక్కువ సిక్స్ (98)', 'ఒక ఇన్నింగ్స్లో ద్వారా బ్యాట్ నిదర్శన ( 165 *) ',' 1000 పరుగులు, 50 వికెట్లు, 50 క్యాచ్లు ',' 5"&amp;"000 పరుగులు మరియు 50 ఫీల్డింగ్ వికెట్లు ',' 4 వ లాంగెస్ట్ కెరీర్లు (19y 337d) ',' ఇన్నింగ్స్ లో 4 వ అత్యధిక పరుగులు (బ్యాటింగ్ స్థానంలో ప్రకారం) (215) ',' వంద (39y 159d) 99 (199, 299 etc) కొట్టివేయబడింది 1st వరుస ఇన్నింగ్స్లో స్కోర్ 3 వ ఓల్డెస్ట్ ఆటగాడు '"&amp;",' (99) ',' 2 వ యాభైల్లో (6) ',' 6 వ కెరీర్ బాతులు (25) ',' 2 వ ఎక్కువ సిక్స్ ఇన్నింగ్స్ లో (16) ',' 8 వ వేగవంతమైన వరకు 10000 పరుగులు (282) ',' 3 వ అత్యుత్తమ బౌలింగ్ ఇన్నింగ్స్ లో విశ్లేషించడం (3/3) ',' బ్యాటింగ్ తెరవడం మరియు బౌలింగ్ ఒకే మ్యాచ్ ',' 1000"&amp;" పరుగులు, 50 వికెట్లు, 50 క్యాచ్లు ',' 5000 పరుగులు మరియు 50 ఫీల్డింగ్ వికెట్లు ',' రెండవ వికెట్కు 1st అత్యధిక భాగస్వామ్యం (372) ',' 1st లాంగెస్ట్ కెరీర్లు (15y 19d) ',' 2nd ఒక ఇన్నింగ్స్ లో అత్యధిక పరుగులు (ప్రగతిశీల రికార్డు హోల్డర్) (117) ',' వరుస ఇన్న"&amp;"ింగ్స్లో 1st యాభైల్లో (4) ' 'కెరీర్ లో 5 వ ఎక్కువ సిక్స్ (106)', 'ఒక ఇన్నింగ్స్లో ద్వారా బ్యాట్ నిదర్శన (63 *)', '1000 పరుగులు 9 వ వేగవంతమైన (34)', 'రెండవ వికెట్కు 5 వ అత్యధిక భాగస్వామ్యం (152)', ' 6 వ అత్యంత ప్లేయర్ ఆఫ్ ది సిరీస్ అవార్డులు (12) ',' 4 వ"&amp;" అత్యధిక వరుస బాతులు (4) ',' కెరీర్ (535) లో 1 వ ఎక్కువ సిక్స్ ']")</f>
        <v>[ 'ఇన్నింగ్స్ లో 7 వ అత్యధిక పరుగులు (బ్యాటింగ్ స్థానంలో ప్రకారం) (333)', 'ఒక వృత్తిలో 1st అత్యధిక ట్రిపుల్ సెంచరీలు (2)', 'కెరీర్ లో 3 వ ఎక్కువ సిక్స్ (98)', 'ఒక ఇన్నింగ్స్లో ద్వారా బ్యాట్ నిదర్శన ( 165 *) ',' 1000 పరుగులు, 50 వికెట్లు, 50 క్యాచ్లు ',' 5000 పరుగులు మరియు 50 ఫీల్డింగ్ వికెట్లు ',' 4 వ లాంగెస్ట్ కెరీర్లు (19y 337d) ',' ఇన్నింగ్స్ లో 4 వ అత్యధిక పరుగులు (బ్యాటింగ్ స్థానంలో ప్రకారం) (215) ',' వంద (39y 159d) 99 (199, 299 etc) కొట్టివేయబడింది 1st వరుస ఇన్నింగ్స్లో స్కోర్ 3 వ ఓల్డెస్ట్ ఆటగాడు ',' (99) ',' 2 వ యాభైల్లో (6) ',' 6 వ కెరీర్ బాతులు (25) ',' 2 వ ఎక్కువ సిక్స్ ఇన్నింగ్స్ లో (16) ',' 8 వ వేగవంతమైన వరకు 10000 పరుగులు (282) ',' 3 వ అత్యుత్తమ బౌలింగ్ ఇన్నింగ్స్ లో విశ్లేషించడం (3/3) ',' బ్యాటింగ్ తెరవడం మరియు బౌలింగ్ ఒకే మ్యాచ్ ',' 1000 పరుగులు, 50 వికెట్లు, 50 క్యాచ్లు ',' 5000 పరుగులు మరియు 50 ఫీల్డింగ్ వికెట్లు ',' రెండవ వికెట్కు 1st అత్యధిక భాగస్వామ్యం (372) ',' 1st లాంగెస్ట్ కెరీర్లు (15y 19d) ',' 2nd ఒక ఇన్నింగ్స్ లో అత్యధిక పరుగులు (ప్రగతిశీల రికార్డు హోల్డర్) (117) ',' వరుస ఇన్నింగ్స్లో 1st యాభైల్లో (4) ' 'కెరీర్ లో 5 వ ఎక్కువ సిక్స్ (106)', 'ఒక ఇన్నింగ్స్లో ద్వారా బ్యాట్ నిదర్శన (63 *)', '1000 పరుగులు 9 వ వేగవంతమైన (34)', 'రెండవ వికెట్కు 5 వ అత్యధిక భాగస్వామ్యం (152)', ' 6 వ అత్యంత ప్లేయర్ ఆఫ్ ది సిరీస్ అవార్డులు (12) ',' 4 వ అత్యధిక వరుస బాతులు (4) ',' కెరీర్ (535) లో 1 వ ఎక్కువ సిక్స్ ']</v>
      </c>
      <c r="C557" s="2" t="s">
        <v>453</v>
      </c>
      <c r="D557" s="2" t="str">
        <f>IFERROR(__xludf.DUMMYFUNCTION("IF(C557&lt;&gt;"""", GOOGLETRANSLATE(C557, ""en"", ""te""),"""")"),"[ '48 వ అత్యధిక కెరీర్ లో పరుగులు (7214)', '13 వ ఇన్నింగ్స్ లో అత్యధిక పరుగులు (333)', 'ఒక మ్యాచ్లో 25 వ అత్యధిక పరుగులు (333)', '7 వ ఇన్నింగ్స్ లో అత్యధిక పరుగులు (బ్యాటింగ్ స్థానంలో ప్రకారం) (333 ) ', '21 వ రోజుకు లో అత్యధిక పరుగులు (219)', 'ఇన్నింగ్స్ "&amp;"లో 48 వ అత్యధిక స్ట్రైక్ రేట్ (173.91)', 'ఒక కెరీర్లో 27 వ అత్యధిక డబుల్ సెంచరీలు (3)', 'ఒక వృత్తిలో 1st అత్యధిక ట్రిపుల్ సెంచరీలు ( 2) ',' డబుల్ సెంచరీ (22y లో 220d) ',' 3 వ ఎక్కువ సిక్స్ కెరీర్లో (98) ', '21 వ అత్యంత ఫోర్లు ఒక ట్రిపుల్ వందల (25y స్కోర్"&amp;" 280d)', '10 వ పిన్న ఆటగాడు స్కోర్ 14 పిన్న ఆటగాడు కెరీర్ (1046) ',' ఇన్నింగ్స్ లో ఒక ఇన్నింగ్స్ లో 8 వ ఎక్కువ సిక్స్ (9) ',' 28th చాలా ఫోర్లు (37) ',' ఇన్నింగ్స్ లో ఫోర్లు, సిక్సర్లు నుండి 10 వ అత్యధిక పరుగులు (190) ',' 41 వ అత్యధిక క్యాచ్లు కెరీర్లో (96"&amp;") ',' మొదటి వికెట్కు 33 వ అత్యధిక భాగస్వామ్యం (254) ',' రెండవ వికెట్కు 11 వ అత్యధిక భాగస్వామ్యం (331) ',' 41 వ అత్యంత ప్లేయర్ ఆఫ్ ది మ్యాచ్ అవార్డులు (8) ']")</f>
        <v>[ '48 వ అత్యధిక కెరీర్ లో పరుగులు (7214)', '13 వ ఇన్నింగ్స్ లో అత్యధిక పరుగులు (333)', 'ఒక మ్యాచ్లో 25 వ అత్యధిక పరుగులు (333)', '7 వ ఇన్నింగ్స్ లో అత్యధిక పరుగులు (బ్యాటింగ్ స్థానంలో ప్రకారం) (333 ) ', '21 వ రోజుకు లో అత్యధిక పరుగులు (219)', 'ఇన్నింగ్స్ లో 48 వ అత్యధిక స్ట్రైక్ రేట్ (173.91)', 'ఒక కెరీర్లో 27 వ అత్యధిక డబుల్ సెంచరీలు (3)', 'ఒక వృత్తిలో 1st అత్యధిక ట్రిపుల్ సెంచరీలు ( 2) ',' డబుల్ సెంచరీ (22y లో 220d) ',' 3 వ ఎక్కువ సిక్స్ కెరీర్లో (98) ', '21 వ అత్యంత ఫోర్లు ఒక ట్రిపుల్ వందల (25y స్కోర్ 280d)', '10 వ పిన్న ఆటగాడు స్కోర్ 14 పిన్న ఆటగాడు కెరీర్ (1046) ',' ఇన్నింగ్స్ లో ఒక ఇన్నింగ్స్ లో 8 వ ఎక్కువ సిక్స్ (9) ',' 28th చాలా ఫోర్లు (37) ',' ఇన్నింగ్స్ లో ఫోర్లు, సిక్సర్లు నుండి 10 వ అత్యధిక పరుగులు (190) ',' 41 వ అత్యధిక క్యాచ్లు కెరీర్లో (96) ',' మొదటి వికెట్కు 33 వ అత్యధిక భాగస్వామ్యం (254) ',' రెండవ వికెట్కు 11 వ అత్యధిక భాగస్వామ్యం (331) ',' 41 వ అత్యంత ప్లేయర్ ఆఫ్ ది మ్యాచ్ అవార్డులు (8) ']</v>
      </c>
      <c r="E557" s="2" t="s">
        <v>454</v>
      </c>
      <c r="F557" s="2" t="str">
        <f>IFERROR(__xludf.DUMMYFUNCTION("IF(E557&lt;&gt;"""", GOOGLETRANSLATE(E557, ""en"", ""te""),"""")"),"[ 'ఇన్నింగ్స్ లో 4 వ అత్యధిక పరుగులు (215)' '12 వ అత్యధిక కెరీర్ లో పరుగులు (10480)', 'వరుస 45 వ అత్యధిక పరుగులు (474)', '44th ఒక క్యాలెండర్ సంవత్సరంలో అత్యధిక పరుగులు (1217)', ' 4 వ అత్యంత ఇన్నింగ్స్ లో నడుస్తుంది (బ్యాటింగ్ స్థానం) (215) ',' 10 వ పరాజయం"&amp;" వైపు (162) ',' ఒక కెప్టెన్తో ఇన్నింగ్స్ లో 42 వ అత్యధిక పరుగులు (135) ',' 26th అత్యధిక ఒక మ్యాచ్లో అత్యధిక పరుగులు ఒక ఇన్నింగ్స్ లో సమ్మె రేటు (285.18) ',' ఒక కెరీర్ (25) ',' వరుస 3 వ అత్యధిక వందలు (3) ',' ఒక క్యాలెండర్ సంవత్సరంలో 29 వ అత్యధిక సెంచరీలు "&amp;"(4) ',' 39 వ అత్యంత 7th అత్యధిక వందలు ఒక జట్టు (4) ',' 15 వ అత్యధిక తొలి వంద (152) వ్యతిరేకంగా వందల ',' 5 వ హండ్రెడ్ వందవ మ్యాచ్ (132 *) ',' 3 వ అత్యంత వృద్ధ ఆటగాడు లో వంద (39y 159d) ',' 22 వ అత్యంత తొంభైల స్కోర్ కెరీర్ (5) ',' 1 వ 99 (199, 299 etc) తీసి"&amp;"వేసిన (99) ',' 13 వ కెరీర్ అర్ధ (79) ',' వరుస ఇన్నింగ్స్లో 2 వ యాభైల్లో (6) ',' 6 వ అత్యంత బాతులు కెరీర్ (25) ',' కెరీర్ లో 2 వ ఎక్కువ సిక్స్ (331) ',' కెరీర్లో 8 వ అత్యంత ఫోర్లు (1128) ',' ఇన్నింగ్స్ లో 2 వ ఎక్కువ సిక్స్ (16) ',' 39 వ ఇన్నింగ్స్ లో వచ్చ"&amp;"ిన ఎక్కువ ఫోర్లు (19) ', 'ఇన్నింగ్స్ లో ఫోర్లు, సిక్సర్లు నుండి 6 వ అత్యధిక పరుగులు (136)', '18 వ లాంగెస్ట్ వ్యక్తిగత ఇన్నింగ్స్ (బంతులతో) (165)', 'ఒక ఇన్నింగ్స్లో పరుగుల 25 అత్యధిక శాతం (57.79)', '34 వ 2000 వరకు వేగంగా పరుగులు (56) ',' 20 వ 3000 పరుగులు "&amp;"(80) ',' ఫాస్టెస్ట్ 4000 పరుగులు (112) ',' 22 వ వేగవంతమైన 5000 పరుగులు (137) ',' 22 వ వేగవంతమైన 6000 పరుగులు (168) 28 'వేగంగా, 'వేగంగా 9000 పరుగులు (261) 12 వ', '8000 పరుగులు (221) 13 వ వేగవంతమైన', '7000 పరుగులు (189) వేగంగా 10 వ' '10000 పరుగులు వేగంగా"&amp;" 8 వ (282)', '3 వ అత్యుత్తమ బౌలింగ్ విశ్లేషణలలో ఇన్నింగ్స్ (3/3) ',' ఇన్నింగ్స్ లో 32 వ ఉత్తమ సమ్మె రేటు (6.5) ',' 50 వ కెరీర్ (7424) లో బౌల్డ్ చాలా బంతుల్లో ',' 44 వ కెరీర్ లో సాధించిన అత్యధిక పరుగులు (5926) ',' 38 వ అత్యధిక వికెట్లు వికెట్ తేడాతో ఏ వికె"&amp;"ట్కు (372) బౌల్డ్ (49) ',' 32 వ అత్యధిక వికెట్లు కెరీర్లో తీసుకున్న స్టంప్ (11) ',' 13 వ అత్యధిక క్యాచ్లు (124) ',' 1 వ అత్యధిక భాగస్వామ్యాలు తీసుకున్న ',' 2 వ అత్యధిక భాగస్వామ్యాల (2 వ) ',' రెండవ వికెట్కు 1st అత్యధిక భాగస్వామ్యం (372) ', '21 వ కెరీర్లో అ"&amp;"త్యధిక మ్యాచ్లు (301)', '21 వ అత్యంత ప్లేయర్ ఆఫ్-t అతను-మ్యాచ్ అవార్డులు (23) ',' చాలా 5 వ ప్లేయర్ ఆఫ్ ది సిరీస్ అవార్డులు (8) ',' 4 వ లాంగెస్ట్ కెరీర్లు (19y 337d) ']")</f>
        <v>[ 'ఇన్నింగ్స్ లో 4 వ అత్యధిక పరుగులు (215)' '12 వ అత్యధిక కెరీర్ లో పరుగులు (10480)', 'వరుస 45 వ అత్యధిక పరుగులు (474)', '44th ఒక క్యాలెండర్ సంవత్సరంలో అత్యధిక పరుగులు (1217)', ' 4 వ అత్యంత ఇన్నింగ్స్ లో నడుస్తుంది (బ్యాటింగ్ స్థానం) (215) ',' 10 వ పరాజయం వైపు (162) ',' ఒక కెప్టెన్తో ఇన్నింగ్స్ లో 42 వ అత్యధిక పరుగులు (135) ',' 26th అత్యధిక ఒక మ్యాచ్లో అత్యధిక పరుగులు ఒక ఇన్నింగ్స్ లో సమ్మె రేటు (285.18) ',' ఒక కెరీర్ (25) ',' వరుస 3 వ అత్యధిక వందలు (3) ',' ఒక క్యాలెండర్ సంవత్సరంలో 29 వ అత్యధిక సెంచరీలు (4) ',' 39 వ అత్యంత 7th అత్యధిక వందలు ఒక జట్టు (4) ',' 15 వ అత్యధిక తొలి వంద (152) వ్యతిరేకంగా వందల ',' 5 వ హండ్రెడ్ వందవ మ్యాచ్ (132 *) ',' 3 వ అత్యంత వృద్ధ ఆటగాడు లో వంద (39y 159d) ',' 22 వ అత్యంత తొంభైల స్కోర్ కెరీర్ (5) ',' 1 వ 99 (199, 299 etc) తీసివేసిన (99) ',' 13 వ కెరీర్ అర్ధ (79) ',' వరుస ఇన్నింగ్స్లో 2 వ యాభైల్లో (6) ',' 6 వ అత్యంత బాతులు కెరీర్ (25) ',' కెరీర్ లో 2 వ ఎక్కువ సిక్స్ (331) ',' కెరీర్లో 8 వ అత్యంత ఫోర్లు (1128) ',' ఇన్నింగ్స్ లో 2 వ ఎక్కువ సిక్స్ (16) ',' 39 వ ఇన్నింగ్స్ లో వచ్చిన ఎక్కువ ఫోర్లు (19) ', 'ఇన్నింగ్స్ లో ఫోర్లు, సిక్సర్లు నుండి 6 వ అత్యధిక పరుగులు (136)', '18 వ లాంగెస్ట్ వ్యక్తిగత ఇన్నింగ్స్ (బంతులతో) (165)', 'ఒక ఇన్నింగ్స్లో పరుగుల 25 అత్యధిక శాతం (57.79)', '34 వ 2000 వరకు వేగంగా పరుగులు (56) ',' 20 వ 3000 పరుగులు (80) ',' ఫాస్టెస్ట్ 4000 పరుగులు (112) ',' 22 వ వేగవంతమైన 5000 పరుగులు (137) ',' 22 వ వేగవంతమైన 6000 పరుగులు (168) 28 'వేగంగా, 'వేగంగా 9000 పరుగులు (261) 12 వ', '8000 పరుగులు (221) 13 వ వేగవంతమైన', '7000 పరుగులు (189) వేగంగా 10 వ' '10000 పరుగులు వేగంగా 8 వ (282)', '3 వ అత్యుత్తమ బౌలింగ్ విశ్లేషణలలో ఇన్నింగ్స్ (3/3) ',' ఇన్నింగ్స్ లో 32 వ ఉత్తమ సమ్మె రేటు (6.5) ',' 50 వ కెరీర్ (7424) లో బౌల్డ్ చాలా బంతుల్లో ',' 44 వ కెరీర్ లో సాధించిన అత్యధిక పరుగులు (5926) ',' 38 వ అత్యధిక వికెట్లు వికెట్ తేడాతో ఏ వికెట్కు (372) బౌల్డ్ (49) ',' 32 వ అత్యధిక వికెట్లు కెరీర్లో తీసుకున్న స్టంప్ (11) ',' 13 వ అత్యధిక క్యాచ్లు (124) ',' 1 వ అత్యధిక భాగస్వామ్యాలు తీసుకున్న ',' 2 వ అత్యధిక భాగస్వామ్యాల (2 వ) ',' రెండవ వికెట్కు 1st అత్యధిక భాగస్వామ్యం (372) ', '21 వ కెరీర్లో అత్యధిక మ్యాచ్లు (301)', '21 వ అత్యంత ప్లేయర్ ఆఫ్-t అతను-మ్యాచ్ అవార్డులు (23) ',' చాలా 5 వ ప్లేయర్ ఆఫ్ ది సిరీస్ అవార్డులు (8) ',' 4 వ లాంగెస్ట్ కెరీర్లు (19y 337d) ']</v>
      </c>
      <c r="G557" s="2" t="s">
        <v>455</v>
      </c>
      <c r="H557" s="2" t="str">
        <f>IFERROR(__xludf.DUMMYFUNCTION("IF(G557&lt;&gt;"""", GOOGLETRANSLATE(G557, ""en"", ""te""),"""")"),"[ '26 కెరీర్లో అత్యధిక పరుగులు (1656)', '19 వ ఇన్నింగ్స్ లో అత్యధిక పరుగులు (117)', 'ఇన్నింగ్స్ లో 2 వ అత్యధిక పరుగులు (ప్రగతిశీల రికార్డు హోల్డర్) (117)', '14 వ ఇన్నింగ్స్ లో అత్యధిక పరుగులు (ద్వారా బ్యాటింగ్ స్థానంలో) (117) ',' పరాజయం వైపు ఒక మ్యాచ్లో "&amp;"4 వ అత్యధిక పరుగులు (117) ',' ఒక కెప్టెన్తో ఇన్నింగ్స్ 12 వ అత్యధిక పరుగులు (98) ',' 37 వ అత్యధిక కెరీర్ బ్యాటింగ్ సగటు (31.24) ', '35 వ అత్యధిక కెరీర్ సమ్మె రేటు (140.81)', '8 వ అత్యంత అర్ధ కెరీర్లో (15)', 'వరుస ఇన్నింగ్స్లో 1st యాభైల్లో (4)', 'ఒక డక్ ల"&amp;"ేకుండా 50 వ వరుస ఇన్నింగ్స్ (30)', '5 వ ఎక్కువ సిక్స్ కెరీర్లో (106) ',' 28th కెరీర్ ఫోర్లు (141) ',' 6 వ అత్యంత ఇన్నింగ్స్ లో సిక్సర్లు (11) ',' ఇన్నింగ్స్ లో ఫోర్లు, సిక్సర్లు నుండి 14 వ అత్యధిక పరుగులు (88) ',' 12 వ లాంగెస్ట్ వ్యక్తిగత ఇన్నింగ్స్ (బంతు"&amp;"లతో) (66) ',' ఒక ఇన్నింగ్స్లో పరుగుల 13 వ అత్యధిక శాతం (62.37) ',' 1000 పరుగులు (34) ',' 19 వ అత్యధిక వాటా 9 వ వేగవంతమైన ఏ వికెట్కు (152) ',' 12 వ తొలి వికెట్కు అత్యధిక భాగస్వామ్యం (145) ',' రెండవ వికెట్కు 5 వ అత్యధిక భాగస్వామ్యం (152) ', '29 మూడో వికెట్"&amp;" (108 *) ',' ఐదవ వికెట్కు 38 వ అత్యధిక భాగస్వామ్యం (70 *) కోసం వ అత్యధిక భాగస్వామ్యం ',' 50 వ కెరీర్ లో అత్యధిక మ్యాచ్లు (61) ',' 6 వ అత్యంత ప్లేయర్ ఆఫ్ ది మ్యాచ్ అవార్డులు ( 9) ',' 49 వ ఓల్డెస్ట్ క్రీడాకారులు (41y 167d) ',' 1st లాంగెస్ట్ కెరీర్లు (15y 19"&amp;"d) ',' 44 వ కెప్టెన్ (17 అత్యధిక మ్యాచ్లు) ']")</f>
        <v>[ '26 కెరీర్లో అత్యధిక పరుగులు (1656)', '19 వ ఇన్నింగ్స్ లో అత్యధిక పరుగులు (117)', 'ఇన్నింగ్స్ లో 2 వ అత్యధిక పరుగులు (ప్రగతిశీల రికార్డు హోల్డర్) (117)', '14 వ ఇన్నింగ్స్ లో అత్యధిక పరుగులు (ద్వారా బ్యాటింగ్ స్థానంలో) (117) ',' పరాజయం వైపు ఒక మ్యాచ్లో 4 వ అత్యధిక పరుగులు (117) ',' ఒక కెప్టెన్తో ఇన్నింగ్స్ 12 వ అత్యధిక పరుగులు (98) ',' 37 వ అత్యధిక కెరీర్ బ్యాటింగ్ సగటు (31.24) ', '35 వ అత్యధిక కెరీర్ సమ్మె రేటు (140.81)', '8 వ అత్యంత అర్ధ కెరీర్లో (15)', 'వరుస ఇన్నింగ్స్లో 1st యాభైల్లో (4)', 'ఒక డక్ లేకుండా 50 వ వరుస ఇన్నింగ్స్ (30)', '5 వ ఎక్కువ సిక్స్ కెరీర్లో (106) ',' 28th కెరీర్ ఫోర్లు (141) ',' 6 వ అత్యంత ఇన్నింగ్స్ లో సిక్సర్లు (11) ',' ఇన్నింగ్స్ లో ఫోర్లు, సిక్సర్లు నుండి 14 వ అత్యధిక పరుగులు (88) ',' 12 వ లాంగెస్ట్ వ్యక్తిగత ఇన్నింగ్స్ (బంతులతో) (66) ',' ఒక ఇన్నింగ్స్లో పరుగుల 13 వ అత్యధిక శాతం (62.37) ',' 1000 పరుగులు (34) ',' 19 వ అత్యధిక వాటా 9 వ వేగవంతమైన ఏ వికెట్కు (152) ',' 12 వ తొలి వికెట్కు అత్యధిక భాగస్వామ్యం (145) ',' రెండవ వికెట్కు 5 వ అత్యధిక భాగస్వామ్యం (152) ', '29 మూడో వికెట్ (108 *) ',' ఐదవ వికెట్కు 38 వ అత్యధిక భాగస్వామ్యం (70 *) కోసం వ అత్యధిక భాగస్వామ్యం ',' 50 వ కెరీర్ లో అత్యధిక మ్యాచ్లు (61) ',' 6 వ అత్యంత ప్లేయర్ ఆఫ్ ది మ్యాచ్ అవార్డులు ( 9) ',' 49 వ ఓల్డెస్ట్ క్రీడాకారులు (41y 167d) ',' 1st లాంగెస్ట్ కెరీర్లు (15y 19d) ',' 44 వ కెప్టెన్ (17 అత్యధిక మ్యాచ్లు) ']</v>
      </c>
      <c r="I557" s="3"/>
    </row>
    <row r="558" customHeight="1" spans="1:9">
      <c r="A558" s="2"/>
      <c r="B558" s="2" t="str">
        <f>IFERROR(__xludf.DUMMYFUNCTION("IF(A558&lt;&gt;"""", GOOGLETRANSLATE(A558, ""en"", ""te""),"""")"),"")</f>
        <v/>
      </c>
      <c r="C558" s="2"/>
      <c r="D558" s="2" t="str">
        <f>IFERROR(__xludf.DUMMYFUNCTION("IF(C558&lt;&gt;"""", GOOGLETRANSLATE(C558, ""en"", ""te""),"""")"),"")</f>
        <v/>
      </c>
      <c r="E558" s="2"/>
      <c r="F558" s="2" t="str">
        <f>IFERROR(__xludf.DUMMYFUNCTION("IF(E558&lt;&gt;"""", GOOGLETRANSLATE(E558, ""en"", ""te""),"""")"),"")</f>
        <v/>
      </c>
      <c r="G558" s="2"/>
      <c r="H558" s="2" t="str">
        <f>IFERROR(__xludf.DUMMYFUNCTION("IF(G558&lt;&gt;"""", GOOGLETRANSLATE(G558, ""en"", ""te""),"""")"),"")</f>
        <v/>
      </c>
      <c r="I558" s="3"/>
    </row>
    <row r="559" customHeight="1" spans="1:9">
      <c r="A559" s="2" t="s">
        <v>456</v>
      </c>
      <c r="B559" s="2" t="str">
        <f>IFERROR(__xludf.DUMMYFUNCTION("IF(A559&lt;&gt;"""", GOOGLETRANSLATE(A559, ""en"", ""te""),"""")"),"[ '8 వ అత్యంత వృద్ధ ఆటగాడు ఐదు వికెట్ల లో-ఒక-ఇన్నింగ్స్ (41y 60d) తీసుకోవాలని', '7 వ అత్యధిక వికెట్లు ఆకర్షించింది తీసుకున్న మరియు బౌల్డ్ (15)', '3 వ పురాతన దేశం ఆటగాళ్ళు (86y 245d)']")</f>
        <v>[ '8 వ అత్యంత వృద్ధ ఆటగాడు ఐదు వికెట్ల లో-ఒక-ఇన్నింగ్స్ (41y 60d) తీసుకోవాలని', '7 వ అత్యధిక వికెట్లు ఆకర్షించింది తీసుకున్న మరియు బౌల్డ్ (15)', '3 వ పురాతన దేశం ఆటగాళ్ళు (86y 245d)']</v>
      </c>
      <c r="C559" s="2" t="s">
        <v>457</v>
      </c>
      <c r="D559" s="2" t="str">
        <f>IFERROR(__xludf.DUMMYFUNCTION("IF(C559&lt;&gt;"""", GOOGLETRANSLATE(C559, ""en"", ""te""),"""")"),"[ '31 కెరీర్లో అత్యధిక వికెట్లు (309)', '30 వ ఇన్నింగ్స్ లో బెస్ట్ ఫిగర్స్ (8/38)', '11 వ అత్యుత్తమ బౌలింగ్ ఇన్నింగ్స్ లో విశ్లేషించడం (8/38)', ఒకే నేలపై '42 వ అత్యధిక వికెట్లు ( 52) ',' 35 వ ఉత్తమ కెరీర్ ఆర్థిక రేటు (1.98) ',' ఇన్నింగ్స్ లో 13 వ చెత్త స"&amp;"మ్మె రేటు (396.0) ',' 24 వ అత్యంత అయిదు వికెట్లు-ఇన్-ఒక-ఇన్నింగ్స్ కెరీర్లో (18) ',' 8 వ ఐదు వికెట్లు-ఇన్-ఒక-ఇన్నింగ్స్ 11 వ కెరీర్ లో బౌల్డ్ చాలా బంతుల్లో తీసుకోవాలని పురాతన ఆటగాడు (41y 60d) ',' (27115) ',' 35 వ ఇన్నింగ్స్ లో బౌల్డ్ చాలా బంతుల్లో (438) '"&amp;",' 29 వ అత్యధిక బంతుల్లో బౌల్డ్ ఒక మ్యాచ్ (636) ',' 26th కెరీర్లో సాధించిన అత్యధిక పరుగులు (8989) ',' 30 వ అత్యధిక పరుగులు ఒక మ్యాచ్లో సాధించిన (266) ',' 47 వ బౌలర్ / ఫీల్డర్ కలయికలు (39) ',' 16 వ అత్యధిక వికెట్లు బౌల్డ్ తీసుకున్న ( 87) ',' 33 వ అత్యధిక వ"&amp;"ికెట్లు తీసుకున్న ఆకర్షించింది (192) ',' 7 వ అత్యధిక వికెట్లు తీసుకున్న క్యాచ్ మరియు బౌల్డ్ (15) ',' 18 వ అత్యధిక వికెట్లు ఒక ఫీల్డర్ (162) ',' 48 వ పట్టుకుంటే తీసుకున్న 100 వికెట్లు వేగంగా (24 ) ',' 150 వికెట్లు వేగంగా 18 (34) ',' 200 వికెట్లు వేగంగా 21 "&amp;"(46) ',' 26th 250 వికెట్లు వేగంగా (62) ',' 23 30 వేగవంతమైన 0 వికెట్లు (75) ',' 45 వ లాంగెస్ట్ కెరీర్లు (18y 0 రో) ',' 43 వ పురాతన దేశం ఆటగాళ్ళు (86y 245d) ']")</f>
        <v>[ '31 కెరీర్లో అత్యధిక వికెట్లు (309)', '30 వ ఇన్నింగ్స్ లో బెస్ట్ ఫిగర్స్ (8/38)', '11 వ అత్యుత్తమ బౌలింగ్ ఇన్నింగ్స్ లో విశ్లేషించడం (8/38)', ఒకే నేలపై '42 వ అత్యధిక వికెట్లు ( 52) ',' 35 వ ఉత్తమ కెరీర్ ఆర్థిక రేటు (1.98) ',' ఇన్నింగ్స్ లో 13 వ చెత్త సమ్మె రేటు (396.0) ',' 24 వ అత్యంత అయిదు వికెట్లు-ఇన్-ఒక-ఇన్నింగ్స్ కెరీర్లో (18) ',' 8 వ ఐదు వికెట్లు-ఇన్-ఒక-ఇన్నింగ్స్ 11 వ కెరీర్ లో బౌల్డ్ చాలా బంతుల్లో తీసుకోవాలని పురాతన ఆటగాడు (41y 60d) ',' (27115) ',' 35 వ ఇన్నింగ్స్ లో బౌల్డ్ చాలా బంతుల్లో (438) ',' 29 వ అత్యధిక బంతుల్లో బౌల్డ్ ఒక మ్యాచ్ (636) ',' 26th కెరీర్లో సాధించిన అత్యధిక పరుగులు (8989) ',' 30 వ అత్యధిక పరుగులు ఒక మ్యాచ్లో సాధించిన (266) ',' 47 వ బౌలర్ / ఫీల్డర్ కలయికలు (39) ',' 16 వ అత్యధిక వికెట్లు బౌల్డ్ తీసుకున్న ( 87) ',' 33 వ అత్యధిక వికెట్లు తీసుకున్న ఆకర్షించింది (192) ',' 7 వ అత్యధిక వికెట్లు తీసుకున్న క్యాచ్ మరియు బౌల్డ్ (15) ',' 18 వ అత్యధిక వికెట్లు ఒక ఫీల్డర్ (162) ',' 48 వ పట్టుకుంటే తీసుకున్న 100 వికెట్లు వేగంగా (24 ) ',' 150 వికెట్లు వేగంగా 18 (34) ',' 200 వికెట్లు వేగంగా 21 (46) ',' 26th 250 వికెట్లు వేగంగా (62) ',' 23 30 వేగవంతమైన 0 వికెట్లు (75) ',' 45 వ లాంగెస్ట్ కెరీర్లు (18y 0 రో) ',' 43 వ పురాతన దేశం ఆటగాళ్ళు (86y 245d) ']</v>
      </c>
      <c r="E559" s="2" t="s">
        <v>458</v>
      </c>
      <c r="F559" s="2" t="str">
        <f>IFERROR(__xludf.DUMMYFUNCTION("IF(E559&lt;&gt;"""", GOOGLETRANSLATE(E559, ""en"", ""te""),"""")"),"[ 'తొలి 27 ఓల్డెస్ట్ క్రీడాకారులు (38y 341d)', '35 వ ఓల్డెస్ట్ క్రీడాకారులు (40y 251d)', '3 వ పురాతన దేశం ఆటగాళ్ళు (86y 245d)']")</f>
        <v>[ 'తొలి 27 ఓల్డెస్ట్ క్రీడాకారులు (38y 341d)', '35 వ ఓల్డెస్ట్ క్రీడాకారులు (40y 251d)', '3 వ పురాతన దేశం ఆటగాళ్ళు (86y 245d)']</v>
      </c>
      <c r="G559" s="2"/>
      <c r="H559" s="2" t="str">
        <f>IFERROR(__xludf.DUMMYFUNCTION("IF(G559&lt;&gt;"""", GOOGLETRANSLATE(G559, ""en"", ""te""),"""")"),"")</f>
        <v/>
      </c>
      <c r="I559" s="3"/>
    </row>
    <row r="560" customHeight="1" spans="1:9">
      <c r="A560" s="2" t="s">
        <v>459</v>
      </c>
      <c r="B560" s="2" t="str">
        <f>IFERROR(__xludf.DUMMYFUNCTION("IF(A560&lt;&gt;"""", GOOGLETRANSLATE(A560, ""en"", ""te""),"""")"),"[కన్య శతకాలను సాధించిన 'అత్యధిక వికెట్లు ఇన్నింగ్స్ లో 4 వ అత్యధిక పరుగులు (118)', 'హండ్రెడ్ తొలి (118)', '1 వ అత్యంత వృద్ధ ఆటగాడు' 1st అత్యధిక ఇన్నింగ్స్ బై (426 / 7D) గూడా ఇవ్వకుండా సంపూర్ణమైనది ' (35y 152d) ',' ఇన్నింగ్స్ లో (1) ',' 9 వ అత్యంత స్టంపి"&amp;"ంగ్లు వికెట్ను కాపాడుకున్నాడు మరియు బ్యాటింగ్ తెరిచారు 4 వ కెప్టెన్ల (3) ']")</f>
        <v>[కన్య శతకాలను సాధించిన 'అత్యధిక వికెట్లు ఇన్నింగ్స్ లో 4 వ అత్యధిక పరుగులు (118)', 'హండ్రెడ్ తొలి (118)', '1 వ అత్యంత వృద్ధ ఆటగాడు' 1st అత్యధిక ఇన్నింగ్స్ బై (426 / 7D) గూడా ఇవ్వకుండా సంపూర్ణమైనది ' (35y 152d) ',' ఇన్నింగ్స్ లో (1) ',' 9 వ అత్యంత స్టంపింగ్లు వికెట్ను కాపాడుకున్నాడు మరియు బ్యాటింగ్ తెరిచారు 4 వ కెప్టెన్ల (3) ']</v>
      </c>
      <c r="C560" s="2" t="s">
        <v>460</v>
      </c>
      <c r="D560" s="2" t="str">
        <f>IFERROR(__xludf.DUMMYFUNCTION("IF(C560&lt;&gt;"""", GOOGLETRANSLATE(C560, ""en"", ""te""),"""")"),"[ '15 వ అత్యంత వికెట్కీపర్ శ్రేణిలో పరుగులు (140)', గత మ్యాచ్లో 'తొలి మ్యాచ్లో 7 వ అత్యధిక పరుగులు (140)', '10 వ హండ్రెడ్' వికెట్కీపర్గా (118) ద్వారా ఇన్నింగ్స్ లో 4 వ అత్యధిక పరుగులు '( 118) ',' 32 వ అత్యధిక తొలి వంద (118) ',' 6 వ అత్యంత వృద్ధ ఆటగాడు అరం"&amp;"గేట్రంలోనే తొలి వంద (35y 152d) ',' 19 వ ఓల్డెస్ట్ క్రీడాకారులు స్కోర్ 152d) ',' 1 వ అత్యంత వృద్ధ ఆటగాడు వంద (35y స్కోర్ ( 35y 152d) ',' 1 వ అత్యధిక ఇన్నింగ్స్ బై (426 / 7D చేయక లేకుండా మొత్తం) ']")</f>
        <v>[ '15 వ అత్యంత వికెట్కీపర్ శ్రేణిలో పరుగులు (140)', గత మ్యాచ్లో 'తొలి మ్యాచ్లో 7 వ అత్యధిక పరుగులు (140)', '10 వ హండ్రెడ్' వికెట్కీపర్గా (118) ద్వారా ఇన్నింగ్స్ లో 4 వ అత్యధిక పరుగులు '( 118) ',' 32 వ అత్యధిక తొలి వంద (118) ',' 6 వ అత్యంత వృద్ధ ఆటగాడు అరంగేట్రంలోనే తొలి వంద (35y 152d) ',' 19 వ ఓల్డెస్ట్ క్రీడాకారులు స్కోర్ 152d) ',' 1 వ అత్యంత వృద్ధ ఆటగాడు వంద (35y స్కోర్ ( 35y 152d) ',' 1 వ అత్యధిక ఇన్నింగ్స్ బై (426 / 7D చేయక లేకుండా మొత్తం) ']</v>
      </c>
      <c r="E560" s="2" t="s">
        <v>461</v>
      </c>
      <c r="F560" s="2" t="str">
        <f>IFERROR(__xludf.DUMMYFUNCTION("IF(E560&lt;&gt;"""", GOOGLETRANSLATE(E560, ""en"", ""te""),"""")"),"[ 'తొలి 27 ఓల్డెస్ట్ క్రీడాకారులు (34y 149d)', '19 వ ఓల్డెస్ట్ క్రీడాకారులు (40y 28 రో)', '6 వ ఓల్డెస్ట్ కాప్టెన్ (40y 28 రో)', 'వికెట్ (6) ఉంచింది చేసిన 7th కెప్టెన్ల', 'కలిగిన 4 వ కెప్టెన్ల వికెట్ ఉంచింది మరియు బ్యాటింగ్ ప్రారంభించాడు (1) ',' కెప్టెన్సీ"&amp;" తొలి 5 వ ఓల్డెస్ట్ కాప్టెన్ (39y 253d) ']")</f>
        <v>[ 'తొలి 27 ఓల్డెస్ట్ క్రీడాకారులు (34y 149d)', '19 వ ఓల్డెస్ట్ క్రీడాకారులు (40y 28 రో)', '6 వ ఓల్డెస్ట్ కాప్టెన్ (40y 28 రో)', 'వికెట్ (6) ఉంచింది చేసిన 7th కెప్టెన్ల', 'కలిగిన 4 వ కెప్టెన్ల వికెట్ ఉంచింది మరియు బ్యాటింగ్ ప్రారంభించాడు (1) ',' కెప్టెన్సీ తొలి 5 వ ఓల్డెస్ట్ కాప్టెన్ (39y 253d) ']</v>
      </c>
      <c r="G560" s="2" t="s">
        <v>462</v>
      </c>
      <c r="H560" s="2" t="str">
        <f>IFERROR(__xludf.DUMMYFUNCTION("IF(G560&lt;&gt;"""", GOOGLETRANSLATE(G560, ""en"", ""te""),"""")"),"[ 'తొలి 25 ఓల్డెస్ట్ క్రీడాకారులు (39y 256d)', '34 వ ఓల్డెస్ట్ క్రీడాకారులు (39y 265d)', '4 వ ఓల్డెస్ట్ కాప్టెన్ (39y 265d)', 'వికెట్ (3) ఉంచింది చేసిన 12 వ కెప్టెన్ల', 'కలిగిన 1st కెప్టెన్ల వికెట్ ఉంచింది మరియు బ్యాటింగ్ ప్రారంభించాడు (3) ',' కెప్టెన్సీ "&amp;"తొలి 3 వ ఓల్డెస్ట్ కాప్టెన్ (39y 256d) ',' ఇన్నింగ్స్ లో 9 వ అత్యంత స్టంపింగ్లు (3) ']")</f>
        <v>[ 'తొలి 25 ఓల్డెస్ట్ క్రీడాకారులు (39y 256d)', '34 వ ఓల్డెస్ట్ క్రీడాకారులు (39y 265d)', '4 వ ఓల్డెస్ట్ కాప్టెన్ (39y 265d)', 'వికెట్ (3) ఉంచింది చేసిన 12 వ కెప్టెన్ల', 'కలిగిన 1st కెప్టెన్ల వికెట్ ఉంచింది మరియు బ్యాటింగ్ ప్రారంభించాడు (3) ',' కెప్టెన్సీ తొలి 3 వ ఓల్డెస్ట్ కాప్టెన్ (39y 256d) ',' ఇన్నింగ్స్ లో 9 వ అత్యంత స్టంపింగ్లు (3) ']</v>
      </c>
      <c r="I560" s="3"/>
    </row>
    <row r="561" customHeight="1" spans="1:9">
      <c r="A561" s="2"/>
      <c r="B561" s="2" t="str">
        <f>IFERROR(__xludf.DUMMYFUNCTION("IF(A561&lt;&gt;"""", GOOGLETRANSLATE(A561, ""en"", ""te""),"""")"),"")</f>
        <v/>
      </c>
      <c r="C561" s="2"/>
      <c r="D561" s="2" t="str">
        <f>IFERROR(__xludf.DUMMYFUNCTION("IF(C561&lt;&gt;"""", GOOGLETRANSLATE(C561, ""en"", ""te""),"""")"),"")</f>
        <v/>
      </c>
      <c r="E561" s="2" t="s">
        <v>463</v>
      </c>
      <c r="F561" s="2" t="str">
        <f>IFERROR(__xludf.DUMMYFUNCTION("IF(E561&lt;&gt;"""", GOOGLETRANSLATE(E561, ""en"", ""te""),"""")"),"[ '37 వ చెత్త కెరీర్ బౌలింగ్ సరాసరి (అర్హత లేకుండా) (73.00)']")</f>
        <v>[ '37 వ చెత్త కెరీర్ బౌలింగ్ సరాసరి (అర్హత లేకుండా) (73.00)']</v>
      </c>
      <c r="G561" s="2"/>
      <c r="H561" s="2" t="str">
        <f>IFERROR(__xludf.DUMMYFUNCTION("IF(G561&lt;&gt;"""", GOOGLETRANSLATE(G561, ""en"", ""te""),"""")"),"")</f>
        <v/>
      </c>
      <c r="I561" s="3"/>
    </row>
    <row r="562" customHeight="1" spans="1:9">
      <c r="A562" s="2"/>
      <c r="B562" s="2" t="str">
        <f>IFERROR(__xludf.DUMMYFUNCTION("IF(A562&lt;&gt;"""", GOOGLETRANSLATE(A562, ""en"", ""te""),"""")"),"")</f>
        <v/>
      </c>
      <c r="C562" s="2"/>
      <c r="D562" s="2" t="str">
        <f>IFERROR(__xludf.DUMMYFUNCTION("IF(C562&lt;&gt;"""", GOOGLETRANSLATE(C562, ""en"", ""te""),"""")"),"")</f>
        <v/>
      </c>
      <c r="E562" s="2"/>
      <c r="F562" s="2" t="str">
        <f>IFERROR(__xludf.DUMMYFUNCTION("IF(E562&lt;&gt;"""", GOOGLETRANSLATE(E562, ""en"", ""te""),"""")"),"")</f>
        <v/>
      </c>
      <c r="G562" s="2"/>
      <c r="H562" s="2" t="str">
        <f>IFERROR(__xludf.DUMMYFUNCTION("IF(G562&lt;&gt;"""", GOOGLETRANSLATE(G562, ""en"", ""te""),"""")"),"")</f>
        <v/>
      </c>
      <c r="I562" s="3"/>
    </row>
    <row r="563" customHeight="1" spans="1:9">
      <c r="A563" s="2"/>
      <c r="B563" s="2" t="str">
        <f>IFERROR(__xludf.DUMMYFUNCTION("IF(A563&lt;&gt;"""", GOOGLETRANSLATE(A563, ""en"", ""te""),"""")"),"")</f>
        <v/>
      </c>
      <c r="C563" s="2"/>
      <c r="D563" s="2" t="str">
        <f>IFERROR(__xludf.DUMMYFUNCTION("IF(C563&lt;&gt;"""", GOOGLETRANSLATE(C563, ""en"", ""te""),"""")"),"")</f>
        <v/>
      </c>
      <c r="E563" s="2"/>
      <c r="F563" s="2" t="str">
        <f>IFERROR(__xludf.DUMMYFUNCTION("IF(E563&lt;&gt;"""", GOOGLETRANSLATE(E563, ""en"", ""te""),"""")"),"")</f>
        <v/>
      </c>
      <c r="G563" s="2"/>
      <c r="H563" s="2" t="str">
        <f>IFERROR(__xludf.DUMMYFUNCTION("IF(G563&lt;&gt;"""", GOOGLETRANSLATE(G563, ""en"", ""te""),"""")"),"")</f>
        <v/>
      </c>
      <c r="I563" s="3"/>
    </row>
    <row r="564" customHeight="1" spans="1:9">
      <c r="A564" s="2" t="s">
        <v>9</v>
      </c>
      <c r="B564" s="2" t="str">
        <f>IFERROR(__xludf.DUMMYFUNCTION("IF(A564&lt;&gt;"""", GOOGLETRANSLATE(A564, ""en"", ""te""),"""")"),"[ 'హండ్రెడ్ మరియు ఒక మ్యాచ్లో ఒక డక్']")</f>
        <v>[ 'హండ్రెడ్ మరియు ఒక మ్యాచ్లో ఒక డక్']</v>
      </c>
      <c r="C564" s="2"/>
      <c r="D564" s="2" t="str">
        <f>IFERROR(__xludf.DUMMYFUNCTION("IF(C564&lt;&gt;"""", GOOGLETRANSLATE(C564, ""en"", ""te""),"""")"),"")</f>
        <v/>
      </c>
      <c r="E564" s="2"/>
      <c r="F564" s="2" t="str">
        <f>IFERROR(__xludf.DUMMYFUNCTION("IF(E564&lt;&gt;"""", GOOGLETRANSLATE(E564, ""en"", ""te""),"""")"),"")</f>
        <v/>
      </c>
      <c r="G564" s="2"/>
      <c r="H564" s="2" t="str">
        <f>IFERROR(__xludf.DUMMYFUNCTION("IF(G564&lt;&gt;"""", GOOGLETRANSLATE(G564, ""en"", ""te""),"""")"),"")</f>
        <v/>
      </c>
      <c r="I564" s="3"/>
    </row>
    <row r="565" customHeight="1" spans="1:9">
      <c r="A565" s="2"/>
      <c r="B565" s="2" t="str">
        <f>IFERROR(__xludf.DUMMYFUNCTION("IF(A565&lt;&gt;"""", GOOGLETRANSLATE(A565, ""en"", ""te""),"""")"),"")</f>
        <v/>
      </c>
      <c r="C565" s="2" t="s">
        <v>464</v>
      </c>
      <c r="D565" s="2" t="str">
        <f>IFERROR(__xludf.DUMMYFUNCTION("IF(C565&lt;&gt;"""", GOOGLETRANSLATE(C565, ""en"", ""te""),"""")"),"[ '13 వ చెత్త కెరీర్ బౌలింగ్ సరాసరి (అర్హత లేకుండా) (189.00)']")</f>
        <v>[ '13 వ చెత్త కెరీర్ బౌలింగ్ సరాసరి (అర్హత లేకుండా) (189.00)']</v>
      </c>
      <c r="E565" s="2"/>
      <c r="F565" s="2" t="str">
        <f>IFERROR(__xludf.DUMMYFUNCTION("IF(E565&lt;&gt;"""", GOOGLETRANSLATE(E565, ""en"", ""te""),"""")"),"")</f>
        <v/>
      </c>
      <c r="G565" s="2"/>
      <c r="H565" s="2" t="str">
        <f>IFERROR(__xludf.DUMMYFUNCTION("IF(G565&lt;&gt;"""", GOOGLETRANSLATE(G565, ""en"", ""te""),"""")"),"")</f>
        <v/>
      </c>
      <c r="I565" s="3"/>
    </row>
    <row r="566" customHeight="1" spans="1:9">
      <c r="A566" s="2" t="s">
        <v>465</v>
      </c>
      <c r="B566" s="2" t="str">
        <f>IFERROR(__xludf.DUMMYFUNCTION("IF(A566&lt;&gt;"""", GOOGLETRANSLATE(A566, ""en"", ""te""),"""")"),"[ 'హండ్రెడ్ తొలి (107)', 'హండ్రెడ్ ఒక మ్యాచ్లో ప్రతి ఇన్నింగ్స్లో', 'హండ్రెడ్ మరియు ఒక మ్యాచ్లో తొంభై', 'ఒక ఇన్నింగ్స్లో పరుగుల 5 వ అత్యధిక శాతం (63.50)', '5000 పరుగులు మరియు 50 ఫీల్డింగ్ వికెట్లు ',' వందవ మ్యాచ్ (102 *) లో 1 వ హండ్రెడ్ ',' వరుస ఇన్నింగ్"&amp;"స్లో 2 వ యాభైల్లో (6) ',' 2 వ అత్యంత ఇన్నింగ్స్ తొలి డక్ ముందు (70) ',' 5 వ లాంగెస్ట్ వ్యక్తిగత ఇన్నింగ్స్ (బంతులతో) (173 ) ',' 3000 పరుగులు వేగంగా 5 వ (72) ',' వరుస ఇన్నింగ్స్లో 6 వ వందల (3) ']")</f>
        <v>[ 'హండ్రెడ్ తొలి (107)', 'హండ్రెడ్ ఒక మ్యాచ్లో ప్రతి ఇన్నింగ్స్లో', 'హండ్రెడ్ మరియు ఒక మ్యాచ్లో తొంభై', 'ఒక ఇన్నింగ్స్లో పరుగుల 5 వ అత్యధిక శాతం (63.50)', '5000 పరుగులు మరియు 50 ఫీల్డింగ్ వికెట్లు ',' వందవ మ్యాచ్ (102 *) లో 1 వ హండ్రెడ్ ',' వరుస ఇన్నింగ్స్లో 2 వ యాభైల్లో (6) ',' 2 వ అత్యంత ఇన్నింగ్స్ తొలి డక్ ముందు (70) ',' 5 వ లాంగెస్ట్ వ్యక్తిగత ఇన్నింగ్స్ (బంతులతో) (173 ) ',' 3000 పరుగులు వేగంగా 5 వ (72) ',' వరుస ఇన్నింగ్స్లో 6 వ వందల (3) ']</v>
      </c>
      <c r="C566" s="2" t="s">
        <v>466</v>
      </c>
      <c r="D566" s="2" t="str">
        <f>IFERROR(__xludf.DUMMYFUNCTION("IF(C566&lt;&gt;"""", GOOGLETRANSLATE(C566, ""en"", ""te""),"""")"),"[ '36 వ కెరీర్ లో అత్యధిక పరుగులు (7558)', '23 వ రోజుకు లో అత్యధిక పరుగులు (214)', 'తొలి మ్యాచ్లో 11 వ అత్యధిక పరుగులు (200)', '47 వ ఒక వృత్తిలో అత్యధిక వందలు (19)', '17 వ ఒక జీవితంలో అధిక రెండొందల వందల (4) ',' 2 వ అత్యధిక డబుల్ వందల వరుస (2) ',' 33 వ ఒక "&amp;"జట్టు (7) ',' వరుస ఇన్నింగ్స్లో 5 వ వందల (3) ',' 3 వ హండ్రెడ్ వ్యతిరేకంగా అత్యధిక వందలు వందవ మ్యాచ్లో (149) ',' 10 వ కెరీర్ లో అత్యంత తొంభైల (6) ',' 17 వ తొంభై తొలి (93) ',' 47 వ అత్యంత అర్ధ కెరీర్లో (53) ',' 20 వ ఎక్కువ సిక్స్ కెరీర్లో (67) ' 'కెరీర్లో"&amp;" 39 వ అత్యంత ఫోర్లు (872+)', '19 వ ఇన్నింగ్స్ లో వచ్చిన ఎక్కువ సిక్స్ (7)', '36 వ లాంగెస్ట్ వ్యక్తిగత ఇన్నింగ్స్ (నిమిషాలు) (677)' ఒక ఇన్నింగ్స్లో పరుగుల, '5 వ అత్యధిక శాతం ( 63.50) ',' 48 వ 2000 పరుగులు (46) ',' ఫాస్టెస్ట్ 36 వ 4000 పరుగులు (వేగంగా 91) '"&amp;",' 39 వ 5000 పరుగులు (116) ',' 6000 పరుగులు (143) ',' 38 వ వరకు 41 వ వేగంగా వేగంగా వేగవంతమైన 7000 పరుగులు (170) ',' 41 వ కెరీర్ లో అత్యధిక క్యాచ్లు (96) ',' మొదటి వికెట్కు 15 అత్యధిక భాగస్వామ్యం (298) రెండవ వికెట్కు ',' 24 వ అత్యధిక భాగస్వామ్యం (287 *) '"&amp;",' 47 వ కెరీర్ లో అత్యధిక మ్యాచ్లు (108) ',' కెప్టెన్సీ ప్రవేశం (36y 337d) పై 29 ఓల్డెస్ట్ కెప్టెన్లు ']")</f>
        <v>[ '36 వ కెరీర్ లో అత్యధిక పరుగులు (7558)', '23 వ రోజుకు లో అత్యధిక పరుగులు (214)', 'తొలి మ్యాచ్లో 11 వ అత్యధిక పరుగులు (200)', '47 వ ఒక వృత్తిలో అత్యధిక వందలు (19)', '17 వ ఒక జీవితంలో అధిక రెండొందల వందల (4) ',' 2 వ అత్యధిక డబుల్ వందల వరుస (2) ',' 33 వ ఒక జట్టు (7) ',' వరుస ఇన్నింగ్స్లో 5 వ వందల (3) ',' 3 వ హండ్రెడ్ వ్యతిరేకంగా అత్యధిక వందలు వందవ మ్యాచ్లో (149) ',' 10 వ కెరీర్ లో అత్యంత తొంభైల (6) ',' 17 వ తొంభై తొలి (93) ',' 47 వ అత్యంత అర్ధ కెరీర్లో (53) ',' 20 వ ఎక్కువ సిక్స్ కెరీర్లో (67) ' 'కెరీర్లో 39 వ అత్యంత ఫోర్లు (872+)', '19 వ ఇన్నింగ్స్ లో వచ్చిన ఎక్కువ సిక్స్ (7)', '36 వ లాంగెస్ట్ వ్యక్తిగత ఇన్నింగ్స్ (నిమిషాలు) (677)' ఒక ఇన్నింగ్స్లో పరుగుల, '5 వ అత్యధిక శాతం ( 63.50) ',' 48 వ 2000 పరుగులు (46) ',' ఫాస్టెస్ట్ 36 వ 4000 పరుగులు (వేగంగా 91) ',' 39 వ 5000 పరుగులు (116) ',' 6000 పరుగులు (143) ',' 38 వ వరకు 41 వ వేగంగా వేగంగా వేగవంతమైన 7000 పరుగులు (170) ',' 41 వ కెరీర్ లో అత్యధిక క్యాచ్లు (96) ',' మొదటి వికెట్కు 15 అత్యధిక భాగస్వామ్యం (298) రెండవ వికెట్కు ',' 24 వ అత్యధిక భాగస్వామ్యం (287 *) ',' 47 వ కెరీర్ లో అత్యధిక మ్యాచ్లు (108) ',' కెప్టెన్సీ ప్రవేశం (36y 337d) పై 29 ఓల్డెస్ట్ కెప్టెన్లు ']</v>
      </c>
      <c r="E566" s="2" t="s">
        <v>467</v>
      </c>
      <c r="F566" s="2" t="str">
        <f>IFERROR(__xludf.DUMMYFUNCTION("IF(E566&lt;&gt;"""", GOOGLETRANSLATE(E566, ""en"", ""te""),"""")"),"[ '30 వ అత్యధిక కెరీర్ బ్యాటింగ్ సగటు (45.03)', '41 వ అత్యంత జీవితంలో వందల (11)' 'వంద (37y 321d) స్కోర్ 11 వ అత్యంత వృద్ధ ఆటగాడు', 'వందవ మ్యాచ్లో 1st హండ్రెడ్ (102 *)', 'వరుస ఇన్నింగ్స్లో 2 వ యాభైల్లో (6)', '2 వ అత్యంత ఇన్నింగ్స్ తొలి డక్ ముందు (70)', 'ఒ"&amp;"క డక్ లేకుండా 30 వ వరుస ఇన్నింగ్స్ (70)', '19 వ అతి తక్కువ బాతులు కెరీర్ లో (42.33)', '44 వ అత్యంత ఒక ఇన్నింగ్స్ లో సిక్సర్లు (8) ',' 5 వ లాంగెస్ట్ వ్యక్తిగత ఇన్నింగ్స్ (బంతులతో) (173) ',' 1000 పరుగులు (23) 2000 పరుగులు ',' 9 వ వేగవంతమైన (49) ',' 3000 వే"&amp;"గవంతమైన 5 వ 8 వ వేగవంతమైన పరుగులు (72) ',' ఫాస్టెస్ట్ 4000 పరుగులు 8 వ (96) ',' 10 వ వరుస 5000 పరుగులు (121) ',' 24 వ అత్యధిక క్యాచ్లు వేగంగా (8) రెండవ వికెట్కు ',' 18 వ అత్యధిక భాగస్వామ్యం (221 ) ',' మూడో వికెట్కు 37 వ అత్యధిక భాగస్వామ్యం (195 *) ',' 3"&amp;"4 వ అత్యంత ప్లేయర్ ఆఫ్ ది మ్యాచ్ అవార్డులు (20) ',' 47 వ ఓల్డెస్ట్ క్రీడాకారులు (40y 24d) ',' 42 వ లాంగెస్ట్ కెరీర్లు (15y 348d ) ',' 31 ఓల్డెస్ట్ కాప్టెన్ (37y 174d) ',' కెప్టెన్సీ తొలి 19 ఓల్డెస్ట్ కాప్టెన్ (36y 319d) ']")</f>
        <v>[ '30 వ అత్యధిక కెరీర్ బ్యాటింగ్ సగటు (45.03)', '41 వ అత్యంత జీవితంలో వందల (11)' 'వంద (37y 321d) స్కోర్ 11 వ అత్యంత వృద్ధ ఆటగాడు', 'వందవ మ్యాచ్లో 1st హండ్రెడ్ (102 *)', 'వరుస ఇన్నింగ్స్లో 2 వ యాభైల్లో (6)', '2 వ అత్యంత ఇన్నింగ్స్ తొలి డక్ ముందు (70)', 'ఒక డక్ లేకుండా 30 వ వరుస ఇన్నింగ్స్ (70)', '19 వ అతి తక్కువ బాతులు కెరీర్ లో (42.33)', '44 వ అత్యంత ఒక ఇన్నింగ్స్ లో సిక్సర్లు (8) ',' 5 వ లాంగెస్ట్ వ్యక్తిగత ఇన్నింగ్స్ (బంతులతో) (173) ',' 1000 పరుగులు (23) 2000 పరుగులు ',' 9 వ వేగవంతమైన (49) ',' 3000 వేగవంతమైన 5 వ 8 వ వేగవంతమైన పరుగులు (72) ',' ఫాస్టెస్ట్ 4000 పరుగులు 8 వ (96) ',' 10 వ వరుస 5000 పరుగులు (121) ',' 24 వ అత్యధిక క్యాచ్లు వేగంగా (8) రెండవ వికెట్కు ',' 18 వ అత్యధిక భాగస్వామ్యం (221 ) ',' మూడో వికెట్కు 37 వ అత్యధిక భాగస్వామ్యం (195 *) ',' 34 వ అత్యంత ప్లేయర్ ఆఫ్ ది మ్యాచ్ అవార్డులు (20) ',' 47 వ ఓల్డెస్ట్ క్రీడాకారులు (40y 24d) ',' 42 వ లాంగెస్ట్ కెరీర్లు (15y 348d ) ',' 31 ఓల్డెస్ట్ కాప్టెన్ (37y 174d) ',' కెప్టెన్సీ తొలి 19 ఓల్డెస్ట్ కాప్టెన్ (36y 319d) ']</v>
      </c>
      <c r="G566" s="2"/>
      <c r="H566" s="2" t="str">
        <f>IFERROR(__xludf.DUMMYFUNCTION("IF(G566&lt;&gt;"""", GOOGLETRANSLATE(G566, ""en"", ""te""),"""")"),"")</f>
        <v/>
      </c>
      <c r="I566" s="3"/>
    </row>
    <row r="567" customHeight="1" spans="1:9">
      <c r="A567" s="2"/>
      <c r="B567" s="2" t="str">
        <f>IFERROR(__xludf.DUMMYFUNCTION("IF(A567&lt;&gt;"""", GOOGLETRANSLATE(A567, ""en"", ""te""),"""")"),"")</f>
        <v/>
      </c>
      <c r="C567" s="2"/>
      <c r="D567" s="2" t="str">
        <f>IFERROR(__xludf.DUMMYFUNCTION("IF(C567&lt;&gt;"""", GOOGLETRANSLATE(C567, ""en"", ""te""),"""")"),"")</f>
        <v/>
      </c>
      <c r="E567" s="2" t="s">
        <v>468</v>
      </c>
      <c r="F567" s="2" t="str">
        <f>IFERROR(__xludf.DUMMYFUNCTION("IF(E567&lt;&gt;"""", GOOGLETRANSLATE(E567, ""en"", ""te""),"""")"),"[ 'ఏడవ వికెట్కు 41 వ అత్యధిక భాగస్వామ్యం (59)']")</f>
        <v>[ 'ఏడవ వికెట్కు 41 వ అత్యధిక భాగస్వామ్యం (59)']</v>
      </c>
      <c r="G567" s="2" t="s">
        <v>469</v>
      </c>
      <c r="H567" s="2" t="str">
        <f>IFERROR(__xludf.DUMMYFUNCTION("IF(G567&lt;&gt;"""", GOOGLETRANSLATE(G567, ""en"", ""te""),"""")"),"[ '32 వ చెత్త కెరీర్ (అర్హత లేకుండా) సగటు బౌలింగ్ (67.00)']")</f>
        <v>[ '32 వ చెత్త కెరీర్ (అర్హత లేకుండా) సగటు బౌలింగ్ (67.00)']</v>
      </c>
      <c r="I567" s="3"/>
    </row>
    <row r="568" customHeight="1" spans="1:9">
      <c r="A568" s="2" t="s">
        <v>470</v>
      </c>
      <c r="B568" s="2" t="str">
        <f>IFERROR(__xludf.DUMMYFUNCTION("IF(A568&lt;&gt;"""", GOOGLETRANSLATE(A568, ""en"", ""te""),"""")"),"[ '5 వ చెత్త కెరీర్లో సమ్మె రేటు (160.0)' '1 వ అత్యుత్తమ బౌలింగ్ (1/0) ఇన్నింగ్స్ విశ్లేషణలలో']")</f>
        <v>[ '5 వ చెత్త కెరీర్లో సమ్మె రేటు (160.0)' '1 వ అత్యుత్తమ బౌలింగ్ (1/0) ఇన్నింగ్స్ విశ్లేషణలలో']</v>
      </c>
      <c r="C568" s="2" t="s">
        <v>471</v>
      </c>
      <c r="D568" s="2" t="str">
        <f>IFERROR(__xludf.DUMMYFUNCTION("IF(C568&lt;&gt;"""", GOOGLETRANSLATE(C568, ""en"", ""te""),"""")"),"[ '20 వ అత్యంత డకౌట్ లేకుండా వరుసగా ఇన్నింగ్స్ (66)', 'ఒక ఇన్నింగ్స్లో పరుగుల 15 అత్యధిక శాతం (60.26)', '1 వ అత్యుత్తమ బౌలింగ్ ఇన్నింగ్స్ లో విశ్లేషించడం (1/0)', ​​'11 వ చెత్త కెరీర్ సగటు బౌలింగ్ (62.00) ',' 5 వ చెత్త కెరీర్లో సమ్మె రేటు (160.0) ']")</f>
        <v>[ '20 వ అత్యంత డకౌట్ లేకుండా వరుసగా ఇన్నింగ్స్ (66)', 'ఒక ఇన్నింగ్స్లో పరుగుల 15 అత్యధిక శాతం (60.26)', '1 వ అత్యుత్తమ బౌలింగ్ ఇన్నింగ్స్ లో విశ్లేషించడం (1/0)', ​​'11 వ చెత్త కెరీర్ సగటు బౌలింగ్ (62.00) ',' 5 వ చెత్త కెరీర్లో సమ్మె రేటు (160.0) ']</v>
      </c>
      <c r="E568" s="2"/>
      <c r="F568" s="2" t="str">
        <f>IFERROR(__xludf.DUMMYFUNCTION("IF(E568&lt;&gt;"""", GOOGLETRANSLATE(E568, ""en"", ""te""),"""")"),"")</f>
        <v/>
      </c>
      <c r="G568" s="2"/>
      <c r="H568" s="2" t="str">
        <f>IFERROR(__xludf.DUMMYFUNCTION("IF(G568&lt;&gt;"""", GOOGLETRANSLATE(G568, ""en"", ""te""),"""")"),"")</f>
        <v/>
      </c>
      <c r="I568" s="3"/>
    </row>
    <row r="569" customHeight="1" spans="1:9">
      <c r="A569" s="2"/>
      <c r="B569" s="2" t="str">
        <f>IFERROR(__xludf.DUMMYFUNCTION("IF(A569&lt;&gt;"""", GOOGLETRANSLATE(A569, ""en"", ""te""),"""")"),"")</f>
        <v/>
      </c>
      <c r="C569" s="2"/>
      <c r="D569" s="2" t="str">
        <f>IFERROR(__xludf.DUMMYFUNCTION("IF(C569&lt;&gt;"""", GOOGLETRANSLATE(C569, ""en"", ""te""),"""")"),"")</f>
        <v/>
      </c>
      <c r="E569" s="2"/>
      <c r="F569" s="2" t="str">
        <f>IFERROR(__xludf.DUMMYFUNCTION("IF(E569&lt;&gt;"""", GOOGLETRANSLATE(E569, ""en"", ""te""),"""")"),"")</f>
        <v/>
      </c>
      <c r="G569" s="2"/>
      <c r="H569" s="2" t="str">
        <f>IFERROR(__xludf.DUMMYFUNCTION("IF(G569&lt;&gt;"""", GOOGLETRANSLATE(G569, ""en"", ""te""),"""")"),"")</f>
        <v/>
      </c>
      <c r="I569" s="3"/>
    </row>
    <row r="570" customHeight="1" spans="1:9">
      <c r="A570" s="2" t="s">
        <v>277</v>
      </c>
      <c r="B570" s="2" t="str">
        <f>IFERROR(__xludf.DUMMYFUNCTION("IF(A570&lt;&gt;"""", GOOGLETRANSLATE(A570, ""en"", ""te""),"""")"),"[ '9 వ అత్యుత్తమ ఇన్నింగ్స్ (5/11) విశ్లేషణలలో బౌలింగ్']")</f>
        <v>[ '9 వ అత్యుత్తమ ఇన్నింగ్స్ (5/11) విశ్లేషణలలో బౌలింగ్']</v>
      </c>
      <c r="C570" s="2" t="s">
        <v>472</v>
      </c>
      <c r="D570" s="2" t="str">
        <f>IFERROR(__xludf.DUMMYFUNCTION("IF(C570&lt;&gt;"""", GOOGLETRANSLATE(C570, ""en"", ""te""),"""")"),"[ '19 కెరీర్ బాతులు (21)', '25 వ మ్యాచ్ లో బెస్ట్ ఫిగర్స్ (13)', '9 వ అత్యుత్తమ బౌలింగ్ ఇన్నింగ్స్ లో విశ్లేషించడం (5/11)', ఒక ఇన్నింగ్స్ లో '42 వ చెత్త ఆర్థిక రేటు (6.41) ']")</f>
        <v>[ '19 కెరీర్ బాతులు (21)', '25 వ మ్యాచ్ లో బెస్ట్ ఫిగర్స్ (13)', '9 వ అత్యుత్తమ బౌలింగ్ ఇన్నింగ్స్ లో విశ్లేషించడం (5/11)', ఒక ఇన్నింగ్స్ లో '42 వ చెత్త ఆర్థిక రేటు (6.41) ']</v>
      </c>
      <c r="E570" s="2" t="s">
        <v>473</v>
      </c>
      <c r="F570" s="2" t="str">
        <f>IFERROR(__xludf.DUMMYFUNCTION("IF(E570&lt;&gt;"""", GOOGLETRANSLATE(E570, ""en"", ""te""),"""")"),"[ '17 చెత్త కెరీర్లో ఆర్థిక రేటు (5.92)']")</f>
        <v>[ '17 చెత్త కెరీర్లో ఆర్థిక రేటు (5.92)']</v>
      </c>
      <c r="G570" s="2"/>
      <c r="H570" s="2" t="str">
        <f>IFERROR(__xludf.DUMMYFUNCTION("IF(G570&lt;&gt;"""", GOOGLETRANSLATE(G570, ""en"", ""te""),"""")"),"")</f>
        <v/>
      </c>
      <c r="I570" s="3"/>
    </row>
    <row r="571" customHeight="1" spans="1:9">
      <c r="A571" s="2"/>
      <c r="B571" s="2" t="str">
        <f>IFERROR(__xludf.DUMMYFUNCTION("IF(A571&lt;&gt;"""", GOOGLETRANSLATE(A571, ""en"", ""te""),"""")"),"")</f>
        <v/>
      </c>
      <c r="C571" s="2"/>
      <c r="D571" s="2" t="str">
        <f>IFERROR(__xludf.DUMMYFUNCTION("IF(C571&lt;&gt;"""", GOOGLETRANSLATE(C571, ""en"", ""te""),"""")"),"")</f>
        <v/>
      </c>
      <c r="E571" s="2"/>
      <c r="F571" s="2" t="str">
        <f>IFERROR(__xludf.DUMMYFUNCTION("IF(E571&lt;&gt;"""", GOOGLETRANSLATE(E571, ""en"", ""te""),"""")"),"")</f>
        <v/>
      </c>
      <c r="G571" s="2"/>
      <c r="H571" s="2" t="str">
        <f>IFERROR(__xludf.DUMMYFUNCTION("IF(G571&lt;&gt;"""", GOOGLETRANSLATE(G571, ""en"", ""te""),"""")"),"")</f>
        <v/>
      </c>
      <c r="I571" s="3"/>
    </row>
    <row r="572" customHeight="1" spans="1:9">
      <c r="A572" s="2" t="s">
        <v>153</v>
      </c>
      <c r="B572" s="2" t="str">
        <f>IFERROR(__xludf.DUMMYFUNCTION("IF(A572&lt;&gt;"""", GOOGLETRANSLATE(A572, ""en"", ""te""),"""")"),"[ 'రెండు దేశాలకు ప్రాతినిధ్యం']")</f>
        <v>[ 'రెండు దేశాలకు ప్రాతినిధ్యం']</v>
      </c>
      <c r="C572" s="2"/>
      <c r="D572" s="2" t="str">
        <f>IFERROR(__xludf.DUMMYFUNCTION("IF(C572&lt;&gt;"""", GOOGLETRANSLATE(C572, ""en"", ""te""),"""")"),"")</f>
        <v/>
      </c>
      <c r="E572" s="2"/>
      <c r="F572" s="2" t="str">
        <f>IFERROR(__xludf.DUMMYFUNCTION("IF(E572&lt;&gt;"""", GOOGLETRANSLATE(E572, ""en"", ""te""),"""")"),"")</f>
        <v/>
      </c>
      <c r="G572" s="2"/>
      <c r="H572" s="2" t="str">
        <f>IFERROR(__xludf.DUMMYFUNCTION("IF(G572&lt;&gt;"""", GOOGLETRANSLATE(G572, ""en"", ""te""),"""")"),"")</f>
        <v/>
      </c>
      <c r="I572" s="3"/>
    </row>
    <row r="573" customHeight="1" spans="1:9">
      <c r="A573" s="2"/>
      <c r="B573" s="2" t="str">
        <f>IFERROR(__xludf.DUMMYFUNCTION("IF(A573&lt;&gt;"""", GOOGLETRANSLATE(A573, ""en"", ""te""),"""")"),"")</f>
        <v/>
      </c>
      <c r="C573" s="2"/>
      <c r="D573" s="2" t="str">
        <f>IFERROR(__xludf.DUMMYFUNCTION("IF(C573&lt;&gt;"""", GOOGLETRANSLATE(C573, ""en"", ""te""),"""")"),"")</f>
        <v/>
      </c>
      <c r="E573" s="2"/>
      <c r="F573" s="2" t="str">
        <f>IFERROR(__xludf.DUMMYFUNCTION("IF(E573&lt;&gt;"""", GOOGLETRANSLATE(E573, ""en"", ""te""),"""")"),"")</f>
        <v/>
      </c>
      <c r="G573" s="2"/>
      <c r="H573" s="2" t="str">
        <f>IFERROR(__xludf.DUMMYFUNCTION("IF(G573&lt;&gt;"""", GOOGLETRANSLATE(G573, ""en"", ""te""),"""")"),"")</f>
        <v/>
      </c>
      <c r="I573" s="3"/>
    </row>
    <row r="574" customHeight="1" spans="1:9">
      <c r="A574" s="2"/>
      <c r="B574" s="2" t="str">
        <f>IFERROR(__xludf.DUMMYFUNCTION("IF(A574&lt;&gt;"""", GOOGLETRANSLATE(A574, ""en"", ""te""),"""")"),"")</f>
        <v/>
      </c>
      <c r="C574" s="2"/>
      <c r="D574" s="2" t="str">
        <f>IFERROR(__xludf.DUMMYFUNCTION("IF(C574&lt;&gt;"""", GOOGLETRANSLATE(C574, ""en"", ""te""),"""")"),"")</f>
        <v/>
      </c>
      <c r="E574" s="2"/>
      <c r="F574" s="2" t="str">
        <f>IFERROR(__xludf.DUMMYFUNCTION("IF(E574&lt;&gt;"""", GOOGLETRANSLATE(E574, ""en"", ""te""),"""")"),"")</f>
        <v/>
      </c>
      <c r="G574" s="2"/>
      <c r="H574" s="2" t="str">
        <f>IFERROR(__xludf.DUMMYFUNCTION("IF(G574&lt;&gt;"""", GOOGLETRANSLATE(G574, ""en"", ""te""),"""")"),"")</f>
        <v/>
      </c>
      <c r="I574" s="3"/>
    </row>
    <row r="575" customHeight="1" spans="1:9">
      <c r="A575" s="2" t="s">
        <v>474</v>
      </c>
      <c r="B575" s="2" t="str">
        <f>IFERROR(__xludf.DUMMYFUNCTION("IF(A575&lt;&gt;"""", GOOGLETRANSLATE(A575, ""en"", ""te""),"""")"),"[ 'ఐదు రోజుల మ్యాచ్లో ప్రతి రోజు బ్యాటింగ్']")</f>
        <v>[ 'ఐదు రోజుల మ్యాచ్లో ప్రతి రోజు బ్యాటింగ్']</v>
      </c>
      <c r="C575" s="2" t="s">
        <v>475</v>
      </c>
      <c r="D575" s="2" t="str">
        <f>IFERROR(__xludf.DUMMYFUNCTION("IF(C575&lt;&gt;"""", GOOGLETRANSLATE(C575, ""en"", ""te""),"""")"),"[ 'తొలి వికెట్కు (276) 24 అత్యధిక భాగస్వామ్యం']")</f>
        <v>[ 'తొలి వికెట్కు (276) 24 అత్యధిక భాగస్వామ్యం']</v>
      </c>
      <c r="E575" s="2" t="s">
        <v>476</v>
      </c>
      <c r="F575" s="2" t="str">
        <f>IFERROR(__xludf.DUMMYFUNCTION("IF(E575&lt;&gt;"""", GOOGLETRANSLATE(E575, ""en"", ""te""),"""")"),"[40 వ ఒక మ్యాచ్ రిఫరీ గా అత్యధిక మ్యాచ్లు (10) ']")</f>
        <v>[40 వ ఒక మ్యాచ్ రిఫరీ గా అత్యధిక మ్యాచ్లు (10) ']</v>
      </c>
      <c r="G575" s="2"/>
      <c r="H575" s="2" t="str">
        <f>IFERROR(__xludf.DUMMYFUNCTION("IF(G575&lt;&gt;"""", GOOGLETRANSLATE(G575, ""en"", ""te""),"""")"),"")</f>
        <v/>
      </c>
      <c r="I575" s="3"/>
    </row>
    <row r="576" customHeight="1" spans="1:9">
      <c r="A576" s="2"/>
      <c r="B576" s="2" t="str">
        <f>IFERROR(__xludf.DUMMYFUNCTION("IF(A576&lt;&gt;"""", GOOGLETRANSLATE(A576, ""en"", ""te""),"""")"),"")</f>
        <v/>
      </c>
      <c r="C576" s="2"/>
      <c r="D576" s="2" t="str">
        <f>IFERROR(__xludf.DUMMYFUNCTION("IF(C576&lt;&gt;"""", GOOGLETRANSLATE(C576, ""en"", ""te""),"""")"),"")</f>
        <v/>
      </c>
      <c r="E576" s="2"/>
      <c r="F576" s="2" t="str">
        <f>IFERROR(__xludf.DUMMYFUNCTION("IF(E576&lt;&gt;"""", GOOGLETRANSLATE(E576, ""en"", ""te""),"""")"),"")</f>
        <v/>
      </c>
      <c r="G576" s="2"/>
      <c r="H576" s="2" t="str">
        <f>IFERROR(__xludf.DUMMYFUNCTION("IF(G576&lt;&gt;"""", GOOGLETRANSLATE(G576, ""en"", ""te""),"""")"),"")</f>
        <v/>
      </c>
      <c r="I576" s="3"/>
    </row>
    <row r="577" customHeight="1" spans="1:9">
      <c r="A577" s="2"/>
      <c r="B577" s="2" t="str">
        <f>IFERROR(__xludf.DUMMYFUNCTION("IF(A577&lt;&gt;"""", GOOGLETRANSLATE(A577, ""en"", ""te""),"""")"),"")</f>
        <v/>
      </c>
      <c r="C577" s="2"/>
      <c r="D577" s="2" t="str">
        <f>IFERROR(__xludf.DUMMYFUNCTION("IF(C577&lt;&gt;"""", GOOGLETRANSLATE(C577, ""en"", ""te""),"""")"),"")</f>
        <v/>
      </c>
      <c r="E577" s="2"/>
      <c r="F577" s="2" t="str">
        <f>IFERROR(__xludf.DUMMYFUNCTION("IF(E577&lt;&gt;"""", GOOGLETRANSLATE(E577, ""en"", ""te""),"""")"),"")</f>
        <v/>
      </c>
      <c r="G577" s="2"/>
      <c r="H577" s="2" t="str">
        <f>IFERROR(__xludf.DUMMYFUNCTION("IF(G577&lt;&gt;"""", GOOGLETRANSLATE(G577, ""en"", ""te""),"""")"),"")</f>
        <v/>
      </c>
      <c r="I577" s="3"/>
    </row>
    <row r="578" customHeight="1" spans="1:9">
      <c r="A578" s="2"/>
      <c r="B578" s="2" t="str">
        <f>IFERROR(__xludf.DUMMYFUNCTION("IF(A578&lt;&gt;"""", GOOGLETRANSLATE(A578, ""en"", ""te""),"""")"),"")</f>
        <v/>
      </c>
      <c r="C578" s="2"/>
      <c r="D578" s="2" t="str">
        <f>IFERROR(__xludf.DUMMYFUNCTION("IF(C578&lt;&gt;"""", GOOGLETRANSLATE(C578, ""en"", ""te""),"""")"),"")</f>
        <v/>
      </c>
      <c r="E578" s="2"/>
      <c r="F578" s="2" t="str">
        <f>IFERROR(__xludf.DUMMYFUNCTION("IF(E578&lt;&gt;"""", GOOGLETRANSLATE(E578, ""en"", ""te""),"""")"),"")</f>
        <v/>
      </c>
      <c r="G578" s="2"/>
      <c r="H578" s="2" t="str">
        <f>IFERROR(__xludf.DUMMYFUNCTION("IF(G578&lt;&gt;"""", GOOGLETRANSLATE(G578, ""en"", ""te""),"""")"),"")</f>
        <v/>
      </c>
      <c r="I578" s="3"/>
    </row>
    <row r="579" customHeight="1" spans="1:9">
      <c r="A579" s="2"/>
      <c r="B579" s="2" t="str">
        <f>IFERROR(__xludf.DUMMYFUNCTION("IF(A579&lt;&gt;"""", GOOGLETRANSLATE(A579, ""en"", ""te""),"""")"),"")</f>
        <v/>
      </c>
      <c r="C579" s="2"/>
      <c r="D579" s="2" t="str">
        <f>IFERROR(__xludf.DUMMYFUNCTION("IF(C579&lt;&gt;"""", GOOGLETRANSLATE(C579, ""en"", ""te""),"""")"),"")</f>
        <v/>
      </c>
      <c r="E579" s="2" t="s">
        <v>477</v>
      </c>
      <c r="F579" s="2" t="str">
        <f>IFERROR(__xludf.DUMMYFUNCTION("IF(E579&lt;&gt;"""", GOOGLETRANSLATE(E579, ""en"", ""te""),"""")"),"[ '49 వ వరుస మ్యాచ్లు ప్రదర్శనల మధ్య (29) జట్టు తప్పిన']")</f>
        <v>[ '49 వ వరుస మ్యాచ్లు ప్రదర్శనల మధ్య (29) జట్టు తప్పిన']</v>
      </c>
      <c r="G579" s="2"/>
      <c r="H579" s="2" t="str">
        <f>IFERROR(__xludf.DUMMYFUNCTION("IF(G579&lt;&gt;"""", GOOGLETRANSLATE(G579, ""en"", ""te""),"""")"),"")</f>
        <v/>
      </c>
      <c r="I579" s="3"/>
    </row>
    <row r="580" customHeight="1" spans="1:9">
      <c r="A580" s="2"/>
      <c r="B580" s="2" t="str">
        <f>IFERROR(__xludf.DUMMYFUNCTION("IF(A580&lt;&gt;"""", GOOGLETRANSLATE(A580, ""en"", ""te""),"""")"),"")</f>
        <v/>
      </c>
      <c r="C580" s="2"/>
      <c r="D580" s="2" t="str">
        <f>IFERROR(__xludf.DUMMYFUNCTION("IF(C580&lt;&gt;"""", GOOGLETRANSLATE(C580, ""en"", ""te""),"""")"),"")</f>
        <v/>
      </c>
      <c r="E580" s="2"/>
      <c r="F580" s="2" t="str">
        <f>IFERROR(__xludf.DUMMYFUNCTION("IF(E580&lt;&gt;"""", GOOGLETRANSLATE(E580, ""en"", ""te""),"""")"),"")</f>
        <v/>
      </c>
      <c r="G580" s="2"/>
      <c r="H580" s="2" t="str">
        <f>IFERROR(__xludf.DUMMYFUNCTION("IF(G580&lt;&gt;"""", GOOGLETRANSLATE(G580, ""en"", ""te""),"""")"),"")</f>
        <v/>
      </c>
      <c r="I580" s="3"/>
    </row>
    <row r="581" customHeight="1" spans="1:9">
      <c r="A581" s="2"/>
      <c r="B581" s="2" t="str">
        <f>IFERROR(__xludf.DUMMYFUNCTION("IF(A581&lt;&gt;"""", GOOGLETRANSLATE(A581, ""en"", ""te""),"""")"),"")</f>
        <v/>
      </c>
      <c r="C581" s="2"/>
      <c r="D581" s="2" t="str">
        <f>IFERROR(__xludf.DUMMYFUNCTION("IF(C581&lt;&gt;"""", GOOGLETRANSLATE(C581, ""en"", ""te""),"""")"),"")</f>
        <v/>
      </c>
      <c r="E581" s="2"/>
      <c r="F581" s="2" t="str">
        <f>IFERROR(__xludf.DUMMYFUNCTION("IF(E581&lt;&gt;"""", GOOGLETRANSLATE(E581, ""en"", ""te""),"""")"),"")</f>
        <v/>
      </c>
      <c r="G581" s="2"/>
      <c r="H581" s="2" t="str">
        <f>IFERROR(__xludf.DUMMYFUNCTION("IF(G581&lt;&gt;"""", GOOGLETRANSLATE(G581, ""en"", ""te""),"""")"),"")</f>
        <v/>
      </c>
      <c r="I581" s="3"/>
    </row>
    <row r="582" customHeight="1" spans="1:9">
      <c r="A582" s="2"/>
      <c r="B582" s="2" t="str">
        <f>IFERROR(__xludf.DUMMYFUNCTION("IF(A582&lt;&gt;"""", GOOGLETRANSLATE(A582, ""en"", ""te""),"""")"),"")</f>
        <v/>
      </c>
      <c r="C582" s="2"/>
      <c r="D582" s="2" t="str">
        <f>IFERROR(__xludf.DUMMYFUNCTION("IF(C582&lt;&gt;"""", GOOGLETRANSLATE(C582, ""en"", ""te""),"""")"),"")</f>
        <v/>
      </c>
      <c r="E582" s="2" t="s">
        <v>478</v>
      </c>
      <c r="F582" s="2" t="str">
        <f>IFERROR(__xludf.DUMMYFUNCTION("IF(E582&lt;&gt;"""", GOOGLETRANSLATE(E582, ""en"", ""te""),"""")"),"[ '14 వ ఒక ఇన్నింగ్స్ లోని బెస్ట్ ఫిగర్స్ ఉన్నప్పుడు పరాజయం వైపు (5)', '43 వ అత్యంత ఐదు-వికెట్ల లో-ఒక-ఇన్నింగ్స్ కెరీర్లో (2)', 'పదవ వికెట్ను (46) కోసం 49 వ అత్యధిక భాగస్వామ్యం' ]")</f>
        <v>[ '14 వ ఒక ఇన్నింగ్స్ లోని బెస్ట్ ఫిగర్స్ ఉన్నప్పుడు పరాజయం వైపు (5)', '43 వ అత్యంత ఐదు-వికెట్ల లో-ఒక-ఇన్నింగ్స్ కెరీర్లో (2)', 'పదవ వికెట్ను (46) కోసం 49 వ అత్యధిక భాగస్వామ్యం' ]</v>
      </c>
      <c r="G582" s="2"/>
      <c r="H582" s="2" t="str">
        <f>IFERROR(__xludf.DUMMYFUNCTION("IF(G582&lt;&gt;"""", GOOGLETRANSLATE(G582, ""en"", ""te""),"""")"),"")</f>
        <v/>
      </c>
      <c r="I582" s="3"/>
    </row>
    <row r="583" customHeight="1" spans="1:9">
      <c r="A583" s="2"/>
      <c r="B583" s="2" t="str">
        <f>IFERROR(__xludf.DUMMYFUNCTION("IF(A583&lt;&gt;"""", GOOGLETRANSLATE(A583, ""en"", ""te""),"""")"),"")</f>
        <v/>
      </c>
      <c r="C583" s="2"/>
      <c r="D583" s="2" t="str">
        <f>IFERROR(__xludf.DUMMYFUNCTION("IF(C583&lt;&gt;"""", GOOGLETRANSLATE(C583, ""en"", ""te""),"""")"),"")</f>
        <v/>
      </c>
      <c r="E583" s="2"/>
      <c r="F583" s="2" t="str">
        <f>IFERROR(__xludf.DUMMYFUNCTION("IF(E583&lt;&gt;"""", GOOGLETRANSLATE(E583, ""en"", ""te""),"""")"),"")</f>
        <v/>
      </c>
      <c r="G583" s="2"/>
      <c r="H583" s="2" t="str">
        <f>IFERROR(__xludf.DUMMYFUNCTION("IF(G583&lt;&gt;"""", GOOGLETRANSLATE(G583, ""en"", ""te""),"""")"),"")</f>
        <v/>
      </c>
      <c r="I583" s="3"/>
    </row>
    <row r="584" customHeight="1" spans="1:9">
      <c r="A584" s="2"/>
      <c r="B584" s="2" t="str">
        <f>IFERROR(__xludf.DUMMYFUNCTION("IF(A584&lt;&gt;"""", GOOGLETRANSLATE(A584, ""en"", ""te""),"""")"),"")</f>
        <v/>
      </c>
      <c r="C584" s="2" t="s">
        <v>479</v>
      </c>
      <c r="D584" s="2" t="str">
        <f>IFERROR(__xludf.DUMMYFUNCTION("IF(C584&lt;&gt;"""", GOOGLETRANSLATE(C584, ""en"", ""te""),"""")"),"[ 'తొలి 16 వ ఓల్డెస్ట్ క్రీడాకారులు (39y 306d)']")</f>
        <v>[ 'తొలి 16 వ ఓల్డెస్ట్ క్రీడాకారులు (39y 306d)']</v>
      </c>
      <c r="E584" s="2"/>
      <c r="F584" s="2" t="str">
        <f>IFERROR(__xludf.DUMMYFUNCTION("IF(E584&lt;&gt;"""", GOOGLETRANSLATE(E584, ""en"", ""te""),"""")"),"")</f>
        <v/>
      </c>
      <c r="G584" s="2"/>
      <c r="H584" s="2" t="str">
        <f>IFERROR(__xludf.DUMMYFUNCTION("IF(G584&lt;&gt;"""", GOOGLETRANSLATE(G584, ""en"", ""te""),"""")"),"")</f>
        <v/>
      </c>
      <c r="I584" s="3"/>
    </row>
    <row r="585" customHeight="1" spans="1:9">
      <c r="A585" s="2"/>
      <c r="B585" s="2" t="str">
        <f>IFERROR(__xludf.DUMMYFUNCTION("IF(A585&lt;&gt;"""", GOOGLETRANSLATE(A585, ""en"", ""te""),"""")"),"")</f>
        <v/>
      </c>
      <c r="C585" s="2"/>
      <c r="D585" s="2" t="str">
        <f>IFERROR(__xludf.DUMMYFUNCTION("IF(C585&lt;&gt;"""", GOOGLETRANSLATE(C585, ""en"", ""te""),"""")"),"")</f>
        <v/>
      </c>
      <c r="E585" s="2"/>
      <c r="F585" s="2" t="str">
        <f>IFERROR(__xludf.DUMMYFUNCTION("IF(E585&lt;&gt;"""", GOOGLETRANSLATE(E585, ""en"", ""te""),"""")"),"")</f>
        <v/>
      </c>
      <c r="G585" s="2"/>
      <c r="H585" s="2" t="str">
        <f>IFERROR(__xludf.DUMMYFUNCTION("IF(G585&lt;&gt;"""", GOOGLETRANSLATE(G585, ""en"", ""te""),"""")"),"")</f>
        <v/>
      </c>
      <c r="I585" s="3"/>
    </row>
    <row r="586" customHeight="1" spans="1:9">
      <c r="A586" s="2"/>
      <c r="B586" s="2" t="str">
        <f>IFERROR(__xludf.DUMMYFUNCTION("IF(A586&lt;&gt;"""", GOOGLETRANSLATE(A586, ""en"", ""te""),"""")"),"")</f>
        <v/>
      </c>
      <c r="C586" s="2"/>
      <c r="D586" s="2" t="str">
        <f>IFERROR(__xludf.DUMMYFUNCTION("IF(C586&lt;&gt;"""", GOOGLETRANSLATE(C586, ""en"", ""te""),"""")"),"")</f>
        <v/>
      </c>
      <c r="E586" s="2"/>
      <c r="F586" s="2" t="str">
        <f>IFERROR(__xludf.DUMMYFUNCTION("IF(E586&lt;&gt;"""", GOOGLETRANSLATE(E586, ""en"", ""te""),"""")"),"")</f>
        <v/>
      </c>
      <c r="G586" s="2"/>
      <c r="H586" s="2" t="str">
        <f>IFERROR(__xludf.DUMMYFUNCTION("IF(G586&lt;&gt;"""", GOOGLETRANSLATE(G586, ""en"", ""te""),"""")"),"")</f>
        <v/>
      </c>
      <c r="I586" s="3"/>
    </row>
    <row r="587" customHeight="1" spans="1:9">
      <c r="A587" s="2" t="s">
        <v>480</v>
      </c>
      <c r="B587" s="2" t="str">
        <f>IFERROR(__xludf.DUMMYFUNCTION("IF(A587&lt;&gt;"""", GOOGLETRANSLATE(A587, ""en"", ""te""),"""")"),"[ '1st ఇన్నింగ్స్ లో అత్యధిక పరుగులు (బ్యాటింగ్ స్థానంలో ప్రకారం) (105)', '7 వ అత్యధిక ఒక ఇన్నింగ్స్లో పరుగుల శాతం (58.33)', 'ఇన్నింగ్స్ లో 6 వ అత్యధిక వికెట్లు (4)', '5 వ అత్యంత క్యాచ్లు ఇన్నింగ్స్ (3) ',' 6 వ పిన్న కాప్టెన్ (19y 338d) ',' 1 వ ఇన్నింగ్స్"&amp;" లో వచ్చిన ఎక్కువ స్టంపింగ్లు (4) ',' 10 వ అత్యంత ఇన్నింగ్స్ తొలి డక్ ముందు (24) ']")</f>
        <v>[ '1st ఇన్నింగ్స్ లో అత్యధిక పరుగులు (బ్యాటింగ్ స్థానంలో ప్రకారం) (105)', '7 వ అత్యధిక ఒక ఇన్నింగ్స్లో పరుగుల శాతం (58.33)', 'ఇన్నింగ్స్ లో 6 వ అత్యధిక వికెట్లు (4)', '5 వ అత్యంత క్యాచ్లు ఇన్నింగ్స్ (3) ',' 6 వ పిన్న కాప్టెన్ (19y 338d) ',' 1 వ ఇన్నింగ్స్ లో వచ్చిన ఎక్కువ స్టంపింగ్లు (4) ',' 10 వ అత్యంత ఇన్నింగ్స్ తొలి డక్ ముందు (24) ']</v>
      </c>
      <c r="C587" s="2"/>
      <c r="D587" s="2" t="str">
        <f>IFERROR(__xludf.DUMMYFUNCTION("IF(C587&lt;&gt;"""", GOOGLETRANSLATE(C587, ""en"", ""te""),"""")"),"")</f>
        <v/>
      </c>
      <c r="E587" s="2" t="s">
        <v>481</v>
      </c>
      <c r="F587" s="2" t="str">
        <f>IFERROR(__xludf.DUMMYFUNCTION("IF(E587&lt;&gt;"""", GOOGLETRANSLATE(E587, ""en"", ""te""),"""")"),"[ 'ఇన్నింగ్స్ లో 1 వ అత్యధిక పరుగులు (బ్యాటింగ్ స్థానంలో ప్రకారం) (105)', '12 వ పరాజయం వైపు ఒక మ్యాచ్లో అత్యధిక పరుగులు (105)', '7th' వంద (20y 133d) స్కోర్ 13 పిన్న ఆటగాడు ' ఒక ఇన్నింగ్స్లో పరుగుల అత్యధిక శాతం (58.33) ', '21 వ చెత్త కెరీర్ బౌలింగ్ సరాసరి"&amp;" (35.85)', '18 వ చెత్త కెరీర్లో సమ్మె రేటు (60.8)', 'ఏడవ వికెట్కు 12 వ అత్యధిక భాగస్వామ్యం (76)', '21 వ ఒక ఇన్నింగ్స్ లో అత్యధిక క్యాచ్లు (3) ']")</f>
        <v>[ 'ఇన్నింగ్స్ లో 1 వ అత్యధిక పరుగులు (బ్యాటింగ్ స్థానంలో ప్రకారం) (105)', '12 వ పరాజయం వైపు ఒక మ్యాచ్లో అత్యధిక పరుగులు (105)', '7th' వంద (20y 133d) స్కోర్ 13 పిన్న ఆటగాడు ' ఒక ఇన్నింగ్స్లో పరుగుల అత్యధిక శాతం (58.33) ', '21 వ చెత్త కెరీర్ బౌలింగ్ సరాసరి (35.85)', '18 వ చెత్త కెరీర్లో సమ్మె రేటు (60.8)', 'ఏడవ వికెట్కు 12 వ అత్యధిక భాగస్వామ్యం (76)', '21 వ ఒక ఇన్నింగ్స్ లో అత్యధిక క్యాచ్లు (3) ']</v>
      </c>
      <c r="G587" s="2" t="s">
        <v>482</v>
      </c>
      <c r="H587" s="2" t="str">
        <f>IFERROR(__xludf.DUMMYFUNCTION("IF(G587&lt;&gt;"""", GOOGLETRANSLATE(G587, ""en"", ""te""),"""")"),"[ '45 వ కెరీర్ లో అత్యధిక పరుగులు (852)' 'మొదటి డక్ ముందు 10 వ అత్యంత ఇన్నింగ్స్ (24)', '42 వ అతి తక్కువ బాతులు కెరీర్ లో (15.8)', '34 వ అత్యంత బాతులు కెరీర్ లో (5)', '42 వ ఉత్తమ కెరీర్ సగటు (19.88) ',' 11 వ ఉత్తమ కెరీర్ ఎకానమీ రేట్ బౌలింగ్ (5.11) ',' తొల"&amp;"ి ఇన్నింగ్స్ 12 వ బెస్ట్ ఫిగర్స్ (3) ',' ఏడవ వికెట్కు 49 వ అత్యధిక భాగస్వామ్యం (30) ',' 32 వ అత్యధిక కొరకు చేసిన భాగస్వామ్యం ఎనిమిదవ వికెట్ (24 *) ',' 13 వ కెరీర్ లో అత్యధిక మ్యాచ్లు (107) ',' 6 వ పిన్న కాప్టెన్ (19y 338d) ',' 17 వ కెరీర్ లో అత్యధిక వికెట"&amp;"్లు (27) ',' 6 వ ఇన్నింగ్స్ లో అత్యధిక వికెట్లు (4 ) ',' కెరీర్లో 16 వ అత్యధిక క్యాచ్లు (11) ',' 5 వ ఇన్నింగ్స్ లో అత్యధిక క్యాచ్లు (3) ',' 17 వ కెరీర్ స్టంపింగ్లు (16) ',' 1 వ ఇన్నింగ్స్ లో వచ్చిన ఎక్కువ స్టంపింగ్లు (4) ',' ఒక ఇన్నింగ్స్ లో 23 వ అత్యంత స"&amp;"ాధించిన బైస్ (5) ']")</f>
        <v>[ '45 వ కెరీర్ లో అత్యధిక పరుగులు (852)' 'మొదటి డక్ ముందు 10 వ అత్యంత ఇన్నింగ్స్ (24)', '42 వ అతి తక్కువ బాతులు కెరీర్ లో (15.8)', '34 వ అత్యంత బాతులు కెరీర్ లో (5)', '42 వ ఉత్తమ కెరీర్ సగటు (19.88) ',' 11 వ ఉత్తమ కెరీర్ ఎకానమీ రేట్ బౌలింగ్ (5.11) ',' తొలి ఇన్నింగ్స్ 12 వ బెస్ట్ ఫిగర్స్ (3) ',' ఏడవ వికెట్కు 49 వ అత్యధిక భాగస్వామ్యం (30) ',' 32 వ అత్యధిక కొరకు చేసిన భాగస్వామ్యం ఎనిమిదవ వికెట్ (24 *) ',' 13 వ కెరీర్ లో అత్యధిక మ్యాచ్లు (107) ',' 6 వ పిన్న కాప్టెన్ (19y 338d) ',' 17 వ కెరీర్ లో అత్యధిక వికెట్లు (27) ',' 6 వ ఇన్నింగ్స్ లో అత్యధిక వికెట్లు (4 ) ',' కెరీర్లో 16 వ అత్యధిక క్యాచ్లు (11) ',' 5 వ ఇన్నింగ్స్ లో అత్యధిక క్యాచ్లు (3) ',' 17 వ కెరీర్ స్టంపింగ్లు (16) ',' 1 వ ఇన్నింగ్స్ లో వచ్చిన ఎక్కువ స్టంపింగ్లు (4) ',' ఒక ఇన్నింగ్స్ లో 23 వ అత్యంత సాధించిన బైస్ (5) ']</v>
      </c>
      <c r="I587" s="3"/>
    </row>
    <row r="588" customHeight="1" spans="1:9">
      <c r="A588" s="2"/>
      <c r="B588" s="2" t="str">
        <f>IFERROR(__xludf.DUMMYFUNCTION("IF(A588&lt;&gt;"""", GOOGLETRANSLATE(A588, ""en"", ""te""),"""")"),"")</f>
        <v/>
      </c>
      <c r="C588" s="2"/>
      <c r="D588" s="2" t="str">
        <f>IFERROR(__xludf.DUMMYFUNCTION("IF(C588&lt;&gt;"""", GOOGLETRANSLATE(C588, ""en"", ""te""),"""")"),"")</f>
        <v/>
      </c>
      <c r="E588" s="2"/>
      <c r="F588" s="2" t="str">
        <f>IFERROR(__xludf.DUMMYFUNCTION("IF(E588&lt;&gt;"""", GOOGLETRANSLATE(E588, ""en"", ""te""),"""")"),"")</f>
        <v/>
      </c>
      <c r="G588" s="2"/>
      <c r="H588" s="2" t="str">
        <f>IFERROR(__xludf.DUMMYFUNCTION("IF(G588&lt;&gt;"""", GOOGLETRANSLATE(G588, ""en"", ""te""),"""")"),"")</f>
        <v/>
      </c>
      <c r="I588" s="3"/>
    </row>
    <row r="589" customHeight="1" spans="1:9">
      <c r="A589" s="2"/>
      <c r="B589" s="2" t="str">
        <f>IFERROR(__xludf.DUMMYFUNCTION("IF(A589&lt;&gt;"""", GOOGLETRANSLATE(A589, ""en"", ""te""),"""")"),"")</f>
        <v/>
      </c>
      <c r="C589" s="2" t="s">
        <v>483</v>
      </c>
      <c r="D589" s="2" t="str">
        <f>IFERROR(__xludf.DUMMYFUNCTION("IF(C589&lt;&gt;"""", GOOGLETRANSLATE(C589, ""en"", ""te""),"""")"),"[ '30 వ అత్యంత వృద్ధ ఆటగాడు ఐదు వికెట్ల లో-ఒక-ఇన్నింగ్స్ తీసుకోవాలని (37y 332d)']")</f>
        <v>[ '30 వ అత్యంత వృద్ధ ఆటగాడు ఐదు వికెట్ల లో-ఒక-ఇన్నింగ్స్ తీసుకోవాలని (37y 332d)']</v>
      </c>
      <c r="E589" s="2"/>
      <c r="F589" s="2" t="str">
        <f>IFERROR(__xludf.DUMMYFUNCTION("IF(E589&lt;&gt;"""", GOOGLETRANSLATE(E589, ""en"", ""te""),"""")"),"")</f>
        <v/>
      </c>
      <c r="G589" s="2"/>
      <c r="H589" s="2" t="str">
        <f>IFERROR(__xludf.DUMMYFUNCTION("IF(G589&lt;&gt;"""", GOOGLETRANSLATE(G589, ""en"", ""te""),"""")"),"")</f>
        <v/>
      </c>
      <c r="I589" s="3"/>
    </row>
    <row r="590" customHeight="1" spans="1:9">
      <c r="A590" s="2"/>
      <c r="B590" s="2" t="str">
        <f>IFERROR(__xludf.DUMMYFUNCTION("IF(A590&lt;&gt;"""", GOOGLETRANSLATE(A590, ""en"", ""te""),"""")"),"")</f>
        <v/>
      </c>
      <c r="C590" s="2"/>
      <c r="D590" s="2" t="str">
        <f>IFERROR(__xludf.DUMMYFUNCTION("IF(C590&lt;&gt;"""", GOOGLETRANSLATE(C590, ""en"", ""te""),"""")"),"")</f>
        <v/>
      </c>
      <c r="E590" s="2"/>
      <c r="F590" s="2" t="str">
        <f>IFERROR(__xludf.DUMMYFUNCTION("IF(E590&lt;&gt;"""", GOOGLETRANSLATE(E590, ""en"", ""te""),"""")"),"")</f>
        <v/>
      </c>
      <c r="G590" s="2"/>
      <c r="H590" s="2" t="str">
        <f>IFERROR(__xludf.DUMMYFUNCTION("IF(G590&lt;&gt;"""", GOOGLETRANSLATE(G590, ""en"", ""te""),"""")"),"")</f>
        <v/>
      </c>
      <c r="I590" s="3"/>
    </row>
    <row r="591" customHeight="1" spans="1:9">
      <c r="A591" s="2"/>
      <c r="B591" s="2" t="str">
        <f>IFERROR(__xludf.DUMMYFUNCTION("IF(A591&lt;&gt;"""", GOOGLETRANSLATE(A591, ""en"", ""te""),"""")"),"")</f>
        <v/>
      </c>
      <c r="C591" s="2"/>
      <c r="D591" s="2" t="str">
        <f>IFERROR(__xludf.DUMMYFUNCTION("IF(C591&lt;&gt;"""", GOOGLETRANSLATE(C591, ""en"", ""te""),"""")"),"")</f>
        <v/>
      </c>
      <c r="E591" s="2"/>
      <c r="F591" s="2" t="str">
        <f>IFERROR(__xludf.DUMMYFUNCTION("IF(E591&lt;&gt;"""", GOOGLETRANSLATE(E591, ""en"", ""te""),"""")"),"")</f>
        <v/>
      </c>
      <c r="G591" s="2"/>
      <c r="H591" s="2" t="str">
        <f>IFERROR(__xludf.DUMMYFUNCTION("IF(G591&lt;&gt;"""", GOOGLETRANSLATE(G591, ""en"", ""te""),"""")"),"")</f>
        <v/>
      </c>
      <c r="I591" s="3"/>
    </row>
    <row r="592" customHeight="1" spans="1:9">
      <c r="A592" s="2" t="s">
        <v>9</v>
      </c>
      <c r="B592" s="2" t="str">
        <f>IFERROR(__xludf.DUMMYFUNCTION("IF(A592&lt;&gt;"""", GOOGLETRANSLATE(A592, ""en"", ""te""),"""")"),"[ 'హండ్రెడ్ మరియు ఒక మ్యాచ్లో ఒక డక్']")</f>
        <v>[ 'హండ్రెడ్ మరియు ఒక మ్యాచ్లో ఒక డక్']</v>
      </c>
      <c r="C592" s="2" t="s">
        <v>484</v>
      </c>
      <c r="D592" s="2" t="str">
        <f>IFERROR(__xludf.DUMMYFUNCTION("IF(C592&lt;&gt;"""", GOOGLETRANSLATE(C592, ""en"", ""te""),"""")"),"[ '29 అత్యధిక తొలి వంద (208)', '38 వ లాంగెస్ట్ వ్యక్తిగత ఇన్నింగ్స్ (నిమిషాలు) (675)', '26th వేగవంతమైన 1000 పరుగులు (20)']")</f>
        <v>[ '29 అత్యధిక తొలి వంద (208)', '38 వ లాంగెస్ట్ వ్యక్తిగత ఇన్నింగ్స్ (నిమిషాలు) (675)', '26th వేగవంతమైన 1000 పరుగులు (20)']</v>
      </c>
      <c r="E592" s="2" t="s">
        <v>175</v>
      </c>
      <c r="F592" s="2" t="str">
        <f>IFERROR(__xludf.DUMMYFUNCTION("IF(E592&lt;&gt;"""", GOOGLETRANSLATE(E592, ""en"", ""te""),"""")"),"[ 'ఒక సిరీస్లో 6 వ అత్యంత బాతులు (3)']")</f>
        <v>[ 'ఒక సిరీస్లో 6 వ అత్యంత బాతులు (3)']</v>
      </c>
      <c r="G592" s="2"/>
      <c r="H592" s="2" t="str">
        <f>IFERROR(__xludf.DUMMYFUNCTION("IF(G592&lt;&gt;"""", GOOGLETRANSLATE(G592, ""en"", ""te""),"""")"),"")</f>
        <v/>
      </c>
      <c r="I592" s="3"/>
    </row>
    <row r="593" customHeight="1" spans="1:9">
      <c r="A593" s="2" t="s">
        <v>485</v>
      </c>
      <c r="B593" s="2" t="str">
        <f>IFERROR(__xludf.DUMMYFUNCTION("IF(A593&lt;&gt;"""", GOOGLETRANSLATE(A593, ""en"", ""te""),"""")"),"[ 'గత మ్యాచ్లో 9 వ హండ్రెడ్ (179)', '2 వ అత్యధిక తొలి వంద (179)', 'తొలి వికెట్కు (365) 1 వ అత్యధిక భాగస్వామ్యం']")</f>
        <v>[ 'గత మ్యాచ్లో 9 వ హండ్రెడ్ (179)', '2 వ అత్యధిక తొలి వంద (179)', 'తొలి వికెట్కు (365) 1 వ అత్యధిక భాగస్వామ్యం']</v>
      </c>
      <c r="C593" s="2"/>
      <c r="D593" s="2" t="str">
        <f>IFERROR(__xludf.DUMMYFUNCTION("IF(C593&lt;&gt;"""", GOOGLETRANSLATE(C593, ""en"", ""te""),"""")"),"")</f>
        <v/>
      </c>
      <c r="E593" s="2" t="s">
        <v>486</v>
      </c>
      <c r="F593" s="2" t="str">
        <f>IFERROR(__xludf.DUMMYFUNCTION("IF(E593&lt;&gt;"""", GOOGLETRANSLATE(E593, ""en"", ""te""),"""")"),"[ '27 ఇన్నింగ్స్ లో అత్యధిక పరుగులు (179)', 'గత మ్యాచ్ (179) లో 9 వ హండ్రెడ్', '2 వ అత్యధిక తొలి వంద (179)', 'ఏ వికెట్కు 2 వ అత్యధిక భాగస్వామ్యాల (365)', '1 వ అత్యధిక భాగస్వామ్యాలు వికెట్ (1 వ) ',' మొదటి వికెట్కు 1st అత్యధిక భాగస్వామ్యం (365) '] ద్వారా")</f>
        <v>[ '27 ఇన్నింగ్స్ లో అత్యధిక పరుగులు (179)', 'గత మ్యాచ్ (179) లో 9 వ హండ్రెడ్', '2 వ అత్యధిక తొలి వంద (179)', 'ఏ వికెట్కు 2 వ అత్యధిక భాగస్వామ్యాల (365)', '1 వ అత్యధిక భాగస్వామ్యాలు వికెట్ (1 వ) ',' మొదటి వికెట్కు 1st అత్యధిక భాగస్వామ్యం (365) '] ద్వారా</v>
      </c>
      <c r="G593" s="2"/>
      <c r="H593" s="2" t="str">
        <f>IFERROR(__xludf.DUMMYFUNCTION("IF(G593&lt;&gt;"""", GOOGLETRANSLATE(G593, ""en"", ""te""),"""")"),"")</f>
        <v/>
      </c>
      <c r="I593" s="3"/>
    </row>
    <row r="594" customHeight="1" spans="1:9">
      <c r="A594" s="2"/>
      <c r="B594" s="2" t="str">
        <f>IFERROR(__xludf.DUMMYFUNCTION("IF(A594&lt;&gt;"""", GOOGLETRANSLATE(A594, ""en"", ""te""),"""")"),"")</f>
        <v/>
      </c>
      <c r="C594" s="2"/>
      <c r="D594" s="2" t="str">
        <f>IFERROR(__xludf.DUMMYFUNCTION("IF(C594&lt;&gt;"""", GOOGLETRANSLATE(C594, ""en"", ""te""),"""")"),"")</f>
        <v/>
      </c>
      <c r="E594" s="2" t="s">
        <v>487</v>
      </c>
      <c r="F594" s="2" t="str">
        <f>IFERROR(__xludf.DUMMYFUNCTION("IF(E594&lt;&gt;"""", GOOGLETRANSLATE(E594, ""en"", ""te""),"""")"),"[ '20 వ చెత్త కెరీర్లో ఆర్థిక రేటు (5.88)', '24th ఒక సిరీస్లో అత్యధిక క్యాచ్లు (8)']")</f>
        <v>[ '20 వ చెత్త కెరీర్లో ఆర్థిక రేటు (5.88)', '24th ఒక సిరీస్లో అత్యధిక క్యాచ్లు (8)']</v>
      </c>
      <c r="G594" s="2" t="s">
        <v>488</v>
      </c>
      <c r="H594" s="2" t="str">
        <f>IFERROR(__xludf.DUMMYFUNCTION("IF(G594&lt;&gt;"""", GOOGLETRANSLATE(G594, ""en"", ""te""),"""")"),"[ '46 వ సగటు (21.81) బౌలింగ్ ఉత్తమ జీవితం' '27 వ ఉత్తమ కెరీర్ సమ్మె రేటు (16.5)', '41 వ చెత్త కెరీర్లో ఆర్థిక రేటు (7.89)', '13 వ అత్యధిక వికెట్లు ఒక వికెట్ కీపర్ చే కాట్ తీసుకోకూడదు (8)']")</f>
        <v>[ '46 వ సగటు (21.81) బౌలింగ్ ఉత్తమ జీవితం' '27 వ ఉత్తమ కెరీర్ సమ్మె రేటు (16.5)', '41 వ చెత్త కెరీర్లో ఆర్థిక రేటు (7.89)', '13 వ అత్యధిక వికెట్లు ఒక వికెట్ కీపర్ చే కాట్ తీసుకోకూడదు (8)']</v>
      </c>
      <c r="I594" s="3"/>
    </row>
    <row r="595" customHeight="1" spans="1:9">
      <c r="A595" s="2"/>
      <c r="B595" s="2" t="str">
        <f>IFERROR(__xludf.DUMMYFUNCTION("IF(A595&lt;&gt;"""", GOOGLETRANSLATE(A595, ""en"", ""te""),"""")"),"")</f>
        <v/>
      </c>
      <c r="C595" s="2"/>
      <c r="D595" s="2" t="str">
        <f>IFERROR(__xludf.DUMMYFUNCTION("IF(C595&lt;&gt;"""", GOOGLETRANSLATE(C595, ""en"", ""te""),"""")"),"")</f>
        <v/>
      </c>
      <c r="E595" s="2"/>
      <c r="F595" s="2" t="str">
        <f>IFERROR(__xludf.DUMMYFUNCTION("IF(E595&lt;&gt;"""", GOOGLETRANSLATE(E595, ""en"", ""te""),"""")"),"")</f>
        <v/>
      </c>
      <c r="G595" s="2"/>
      <c r="H595" s="2" t="str">
        <f>IFERROR(__xludf.DUMMYFUNCTION("IF(G595&lt;&gt;"""", GOOGLETRANSLATE(G595, ""en"", ""te""),"""")"),"")</f>
        <v/>
      </c>
      <c r="I595" s="3"/>
    </row>
    <row r="596" customHeight="1" spans="1:9">
      <c r="A596" s="2"/>
      <c r="B596" s="2" t="str">
        <f>IFERROR(__xludf.DUMMYFUNCTION("IF(A596&lt;&gt;"""", GOOGLETRANSLATE(A596, ""en"", ""te""),"""")"),"")</f>
        <v/>
      </c>
      <c r="C596" s="2"/>
      <c r="D596" s="2" t="str">
        <f>IFERROR(__xludf.DUMMYFUNCTION("IF(C596&lt;&gt;"""", GOOGLETRANSLATE(C596, ""en"", ""te""),"""")"),"")</f>
        <v/>
      </c>
      <c r="E596" s="2"/>
      <c r="F596" s="2" t="str">
        <f>IFERROR(__xludf.DUMMYFUNCTION("IF(E596&lt;&gt;"""", GOOGLETRANSLATE(E596, ""en"", ""te""),"""")"),"")</f>
        <v/>
      </c>
      <c r="G596" s="2"/>
      <c r="H596" s="2" t="str">
        <f>IFERROR(__xludf.DUMMYFUNCTION("IF(G596&lt;&gt;"""", GOOGLETRANSLATE(G596, ""en"", ""te""),"""")"),"")</f>
        <v/>
      </c>
      <c r="I596" s="3"/>
    </row>
    <row r="597" customHeight="1" spans="1:9">
      <c r="A597" s="2"/>
      <c r="B597" s="2" t="str">
        <f>IFERROR(__xludf.DUMMYFUNCTION("IF(A597&lt;&gt;"""", GOOGLETRANSLATE(A597, ""en"", ""te""),"""")"),"")</f>
        <v/>
      </c>
      <c r="C597" s="2"/>
      <c r="D597" s="2" t="str">
        <f>IFERROR(__xludf.DUMMYFUNCTION("IF(C597&lt;&gt;"""", GOOGLETRANSLATE(C597, ""en"", ""te""),"""")"),"")</f>
        <v/>
      </c>
      <c r="E597" s="2"/>
      <c r="F597" s="2" t="str">
        <f>IFERROR(__xludf.DUMMYFUNCTION("IF(E597&lt;&gt;"""", GOOGLETRANSLATE(E597, ""en"", ""te""),"""")"),"")</f>
        <v/>
      </c>
      <c r="G597" s="2"/>
      <c r="H597" s="2" t="str">
        <f>IFERROR(__xludf.DUMMYFUNCTION("IF(G597&lt;&gt;"""", GOOGLETRANSLATE(G597, ""en"", ""te""),"""")"),"")</f>
        <v/>
      </c>
      <c r="I597" s="3"/>
    </row>
    <row r="598" customHeight="1" spans="1:9">
      <c r="A598" s="2"/>
      <c r="B598" s="2" t="str">
        <f>IFERROR(__xludf.DUMMYFUNCTION("IF(A598&lt;&gt;"""", GOOGLETRANSLATE(A598, ""en"", ""te""),"""")"),"")</f>
        <v/>
      </c>
      <c r="C598" s="2"/>
      <c r="D598" s="2" t="str">
        <f>IFERROR(__xludf.DUMMYFUNCTION("IF(C598&lt;&gt;"""", GOOGLETRANSLATE(C598, ""en"", ""te""),"""")"),"")</f>
        <v/>
      </c>
      <c r="E598" s="2"/>
      <c r="F598" s="2" t="str">
        <f>IFERROR(__xludf.DUMMYFUNCTION("IF(E598&lt;&gt;"""", GOOGLETRANSLATE(E598, ""en"", ""te""),"""")"),"")</f>
        <v/>
      </c>
      <c r="G598" s="2"/>
      <c r="H598" s="2" t="str">
        <f>IFERROR(__xludf.DUMMYFUNCTION("IF(G598&lt;&gt;"""", GOOGLETRANSLATE(G598, ""en"", ""te""),"""")"),"")</f>
        <v/>
      </c>
      <c r="I598" s="3"/>
    </row>
    <row r="599" customHeight="1" spans="1:9">
      <c r="A599" s="2"/>
      <c r="B599" s="2" t="str">
        <f>IFERROR(__xludf.DUMMYFUNCTION("IF(A599&lt;&gt;"""", GOOGLETRANSLATE(A599, ""en"", ""te""),"""")"),"")</f>
        <v/>
      </c>
      <c r="C599" s="2"/>
      <c r="D599" s="2" t="str">
        <f>IFERROR(__xludf.DUMMYFUNCTION("IF(C599&lt;&gt;"""", GOOGLETRANSLATE(C599, ""en"", ""te""),"""")"),"")</f>
        <v/>
      </c>
      <c r="E599" s="2"/>
      <c r="F599" s="2" t="str">
        <f>IFERROR(__xludf.DUMMYFUNCTION("IF(E599&lt;&gt;"""", GOOGLETRANSLATE(E599, ""en"", ""te""),"""")"),"")</f>
        <v/>
      </c>
      <c r="G599" s="2"/>
      <c r="H599" s="2" t="str">
        <f>IFERROR(__xludf.DUMMYFUNCTION("IF(G599&lt;&gt;"""", GOOGLETRANSLATE(G599, ""en"", ""te""),"""")"),"")</f>
        <v/>
      </c>
      <c r="I599" s="3"/>
    </row>
    <row r="600" customHeight="1" spans="1:9">
      <c r="A600" s="2"/>
      <c r="B600" s="2" t="str">
        <f>IFERROR(__xludf.DUMMYFUNCTION("IF(A600&lt;&gt;"""", GOOGLETRANSLATE(A600, ""en"", ""te""),"""")"),"")</f>
        <v/>
      </c>
      <c r="C600" s="2"/>
      <c r="D600" s="2" t="str">
        <f>IFERROR(__xludf.DUMMYFUNCTION("IF(C600&lt;&gt;"""", GOOGLETRANSLATE(C600, ""en"", ""te""),"""")"),"")</f>
        <v/>
      </c>
      <c r="E600" s="2"/>
      <c r="F600" s="2" t="str">
        <f>IFERROR(__xludf.DUMMYFUNCTION("IF(E600&lt;&gt;"""", GOOGLETRANSLATE(E600, ""en"", ""te""),"""")"),"")</f>
        <v/>
      </c>
      <c r="G600" s="2"/>
      <c r="H600" s="2" t="str">
        <f>IFERROR(__xludf.DUMMYFUNCTION("IF(G600&lt;&gt;"""", GOOGLETRANSLATE(G600, ""en"", ""te""),"""")"),"")</f>
        <v/>
      </c>
      <c r="I600" s="3"/>
    </row>
    <row r="601" customHeight="1" spans="1:9">
      <c r="A601" s="2" t="s">
        <v>489</v>
      </c>
      <c r="B601" s="2" t="str">
        <f>IFERROR(__xludf.DUMMYFUNCTION("IF(A601&lt;&gt;"""", GOOGLETRANSLATE(A601, ""en"", ""te""),"""")"),"[ '99 పరుగుల 1st (మరియు 199, 299 etc) (99)', 'కెరీర్లో 4 వ లేవు బాతులు (37)']")</f>
        <v>[ '99 పరుగుల 1st (మరియు 199, 299 etc) (99)', 'కెరీర్లో 4 వ లేవు బాతులు (37)']</v>
      </c>
      <c r="C601" s="2" t="s">
        <v>490</v>
      </c>
      <c r="D601" s="2" t="str">
        <f>IFERROR(__xludf.DUMMYFUNCTION("IF(C601&lt;&gt;"""", GOOGLETRANSLATE(C601, ""en"", ""te""),"""")"),"[ '99 పరుగుల 1st (మరియు 199, 299 etc) (99)', 'తొలి 8 వ తొంభై (99)', 'కెరీర్లో 4 వ లేవు బాతులు (37)', 'తొమ్మిదవ వికెట్కు 38 వ అత్యధిక భాగస్వామ్యం (106) ']")</f>
        <v>[ '99 పరుగుల 1st (మరియు 199, 299 etc) (99)', 'తొలి 8 వ తొంభై (99)', 'కెరీర్లో 4 వ లేవు బాతులు (37)', 'తొమ్మిదవ వికెట్కు 38 వ అత్యధిక భాగస్వామ్యం (106) ']</v>
      </c>
      <c r="E601" s="2"/>
      <c r="F601" s="2" t="str">
        <f>IFERROR(__xludf.DUMMYFUNCTION("IF(E601&lt;&gt;"""", GOOGLETRANSLATE(E601, ""en"", ""te""),"""")"),"")</f>
        <v/>
      </c>
      <c r="G601" s="2"/>
      <c r="H601" s="2" t="str">
        <f>IFERROR(__xludf.DUMMYFUNCTION("IF(G601&lt;&gt;"""", GOOGLETRANSLATE(G601, ""en"", ""te""),"""")"),"")</f>
        <v/>
      </c>
      <c r="I601" s="3"/>
    </row>
    <row r="602" customHeight="1" spans="1:9">
      <c r="A602" s="2"/>
      <c r="B602" s="2" t="str">
        <f>IFERROR(__xludf.DUMMYFUNCTION("IF(A602&lt;&gt;"""", GOOGLETRANSLATE(A602, ""en"", ""te""),"""")"),"")</f>
        <v/>
      </c>
      <c r="C602" s="2"/>
      <c r="D602" s="2" t="str">
        <f>IFERROR(__xludf.DUMMYFUNCTION("IF(C602&lt;&gt;"""", GOOGLETRANSLATE(C602, ""en"", ""te""),"""")"),"")</f>
        <v/>
      </c>
      <c r="E602" s="2"/>
      <c r="F602" s="2" t="str">
        <f>IFERROR(__xludf.DUMMYFUNCTION("IF(E602&lt;&gt;"""", GOOGLETRANSLATE(E602, ""en"", ""te""),"""")"),"")</f>
        <v/>
      </c>
      <c r="G602" s="2"/>
      <c r="H602" s="2" t="str">
        <f>IFERROR(__xludf.DUMMYFUNCTION("IF(G602&lt;&gt;"""", GOOGLETRANSLATE(G602, ""en"", ""te""),"""")"),"")</f>
        <v/>
      </c>
      <c r="I602" s="3"/>
    </row>
    <row r="603" customHeight="1" spans="1:9">
      <c r="A603" s="2"/>
      <c r="B603" s="2" t="str">
        <f>IFERROR(__xludf.DUMMYFUNCTION("IF(A603&lt;&gt;"""", GOOGLETRANSLATE(A603, ""en"", ""te""),"""")"),"")</f>
        <v/>
      </c>
      <c r="C603" s="2"/>
      <c r="D603" s="2" t="str">
        <f>IFERROR(__xludf.DUMMYFUNCTION("IF(C603&lt;&gt;"""", GOOGLETRANSLATE(C603, ""en"", ""te""),"""")"),"")</f>
        <v/>
      </c>
      <c r="E603" s="2"/>
      <c r="F603" s="2" t="str">
        <f>IFERROR(__xludf.DUMMYFUNCTION("IF(E603&lt;&gt;"""", GOOGLETRANSLATE(E603, ""en"", ""te""),"""")"),"")</f>
        <v/>
      </c>
      <c r="G603" s="2"/>
      <c r="H603" s="2" t="str">
        <f>IFERROR(__xludf.DUMMYFUNCTION("IF(G603&lt;&gt;"""", GOOGLETRANSLATE(G603, ""en"", ""te""),"""")"),"")</f>
        <v/>
      </c>
      <c r="I603" s="3"/>
    </row>
    <row r="604" customHeight="1" spans="1:9">
      <c r="A604" s="2"/>
      <c r="B604" s="2" t="str">
        <f>IFERROR(__xludf.DUMMYFUNCTION("IF(A604&lt;&gt;"""", GOOGLETRANSLATE(A604, ""en"", ""te""),"""")"),"")</f>
        <v/>
      </c>
      <c r="C604" s="2"/>
      <c r="D604" s="2" t="str">
        <f>IFERROR(__xludf.DUMMYFUNCTION("IF(C604&lt;&gt;"""", GOOGLETRANSLATE(C604, ""en"", ""te""),"""")"),"")</f>
        <v/>
      </c>
      <c r="E604" s="2"/>
      <c r="F604" s="2" t="str">
        <f>IFERROR(__xludf.DUMMYFUNCTION("IF(E604&lt;&gt;"""", GOOGLETRANSLATE(E604, ""en"", ""te""),"""")"),"")</f>
        <v/>
      </c>
      <c r="G604" s="2"/>
      <c r="H604" s="2" t="str">
        <f>IFERROR(__xludf.DUMMYFUNCTION("IF(G604&lt;&gt;"""", GOOGLETRANSLATE(G604, ""en"", ""te""),"""")"),"")</f>
        <v/>
      </c>
      <c r="I604" s="3"/>
    </row>
    <row r="605" customHeight="1" spans="1:9">
      <c r="A605" s="2"/>
      <c r="B605" s="2" t="str">
        <f>IFERROR(__xludf.DUMMYFUNCTION("IF(A605&lt;&gt;"""", GOOGLETRANSLATE(A605, ""en"", ""te""),"""")"),"")</f>
        <v/>
      </c>
      <c r="C605" s="2"/>
      <c r="D605" s="2" t="str">
        <f>IFERROR(__xludf.DUMMYFUNCTION("IF(C605&lt;&gt;"""", GOOGLETRANSLATE(C605, ""en"", ""te""),"""")"),"")</f>
        <v/>
      </c>
      <c r="E605" s="2"/>
      <c r="F605" s="2" t="str">
        <f>IFERROR(__xludf.DUMMYFUNCTION("IF(E605&lt;&gt;"""", GOOGLETRANSLATE(E605, ""en"", ""te""),"""")"),"")</f>
        <v/>
      </c>
      <c r="G605" s="2"/>
      <c r="H605" s="2" t="str">
        <f>IFERROR(__xludf.DUMMYFUNCTION("IF(G605&lt;&gt;"""", GOOGLETRANSLATE(G605, ""en"", ""te""),"""")"),"")</f>
        <v/>
      </c>
      <c r="I605" s="3"/>
    </row>
    <row r="606" customHeight="1" spans="1:9">
      <c r="A606" s="2"/>
      <c r="B606" s="2" t="str">
        <f>IFERROR(__xludf.DUMMYFUNCTION("IF(A606&lt;&gt;"""", GOOGLETRANSLATE(A606, ""en"", ""te""),"""")"),"")</f>
        <v/>
      </c>
      <c r="C606" s="2"/>
      <c r="D606" s="2" t="str">
        <f>IFERROR(__xludf.DUMMYFUNCTION("IF(C606&lt;&gt;"""", GOOGLETRANSLATE(C606, ""en"", ""te""),"""")"),"")</f>
        <v/>
      </c>
      <c r="E606" s="2"/>
      <c r="F606" s="2" t="str">
        <f>IFERROR(__xludf.DUMMYFUNCTION("IF(E606&lt;&gt;"""", GOOGLETRANSLATE(E606, ""en"", ""te""),"""")"),"")</f>
        <v/>
      </c>
      <c r="G606" s="2"/>
      <c r="H606" s="2" t="str">
        <f>IFERROR(__xludf.DUMMYFUNCTION("IF(G606&lt;&gt;"""", GOOGLETRANSLATE(G606, ""en"", ""te""),"""")"),"")</f>
        <v/>
      </c>
      <c r="I606" s="3"/>
    </row>
    <row r="607" customHeight="1" spans="1:9">
      <c r="A607" s="2"/>
      <c r="B607" s="2" t="str">
        <f>IFERROR(__xludf.DUMMYFUNCTION("IF(A607&lt;&gt;"""", GOOGLETRANSLATE(A607, ""en"", ""te""),"""")"),"")</f>
        <v/>
      </c>
      <c r="C607" s="2"/>
      <c r="D607" s="2" t="str">
        <f>IFERROR(__xludf.DUMMYFUNCTION("IF(C607&lt;&gt;"""", GOOGLETRANSLATE(C607, ""en"", ""te""),"""")"),"")</f>
        <v/>
      </c>
      <c r="E607" s="2"/>
      <c r="F607" s="2" t="str">
        <f>IFERROR(__xludf.DUMMYFUNCTION("IF(E607&lt;&gt;"""", GOOGLETRANSLATE(E607, ""en"", ""te""),"""")"),"")</f>
        <v/>
      </c>
      <c r="G607" s="2"/>
      <c r="H607" s="2" t="str">
        <f>IFERROR(__xludf.DUMMYFUNCTION("IF(G607&lt;&gt;"""", GOOGLETRANSLATE(G607, ""en"", ""te""),"""")"),"")</f>
        <v/>
      </c>
      <c r="I607" s="3"/>
    </row>
    <row r="608" customHeight="1" spans="1:9">
      <c r="A608" s="2"/>
      <c r="B608" s="2" t="str">
        <f>IFERROR(__xludf.DUMMYFUNCTION("IF(A608&lt;&gt;"""", GOOGLETRANSLATE(A608, ""en"", ""te""),"""")"),"")</f>
        <v/>
      </c>
      <c r="C608" s="2" t="s">
        <v>491</v>
      </c>
      <c r="D608" s="2" t="str">
        <f>IFERROR(__xludf.DUMMYFUNCTION("IF(C608&lt;&gt;"""", GOOGLETRANSLATE(C608, ""en"", ""te""),"""")"),"[ '25 వ అత్యధిక ఇన్నింగ్స్ లో సమ్మె రేటు (194.44)']")</f>
        <v>[ '25 వ అత్యధిక ఇన్నింగ్స్ లో సమ్మె రేటు (194.44)']</v>
      </c>
      <c r="E608" s="2" t="s">
        <v>492</v>
      </c>
      <c r="F608" s="2" t="str">
        <f>IFERROR(__xludf.DUMMYFUNCTION("IF(E608&lt;&gt;"""", GOOGLETRANSLATE(E608, ""en"", ""te""),"""")"),"[ '27 షార్టేస్ట్ నివసించారు క్రీడాకారులు (44y 358d)']")</f>
        <v>[ '27 షార్టేస్ట్ నివసించారు క్రీడాకారులు (44y 358d)']</v>
      </c>
      <c r="G608" s="2"/>
      <c r="H608" s="2" t="str">
        <f>IFERROR(__xludf.DUMMYFUNCTION("IF(G608&lt;&gt;"""", GOOGLETRANSLATE(G608, ""en"", ""te""),"""")"),"")</f>
        <v/>
      </c>
      <c r="I608" s="3"/>
    </row>
    <row r="609" customHeight="1" spans="1:9">
      <c r="A609" s="2"/>
      <c r="B609" s="2" t="str">
        <f>IFERROR(__xludf.DUMMYFUNCTION("IF(A609&lt;&gt;"""", GOOGLETRANSLATE(A609, ""en"", ""te""),"""")"),"")</f>
        <v/>
      </c>
      <c r="C609" s="2"/>
      <c r="D609" s="2" t="str">
        <f>IFERROR(__xludf.DUMMYFUNCTION("IF(C609&lt;&gt;"""", GOOGLETRANSLATE(C609, ""en"", ""te""),"""")"),"")</f>
        <v/>
      </c>
      <c r="E609" s="2"/>
      <c r="F609" s="2" t="str">
        <f>IFERROR(__xludf.DUMMYFUNCTION("IF(E609&lt;&gt;"""", GOOGLETRANSLATE(E609, ""en"", ""te""),"""")"),"")</f>
        <v/>
      </c>
      <c r="G609" s="2"/>
      <c r="H609" s="2" t="str">
        <f>IFERROR(__xludf.DUMMYFUNCTION("IF(G609&lt;&gt;"""", GOOGLETRANSLATE(G609, ""en"", ""te""),"""")"),"")</f>
        <v/>
      </c>
      <c r="I609" s="3"/>
    </row>
    <row r="610" customHeight="1" spans="1:9">
      <c r="A610" s="2"/>
      <c r="B610" s="2" t="str">
        <f>IFERROR(__xludf.DUMMYFUNCTION("IF(A610&lt;&gt;"""", GOOGLETRANSLATE(A610, ""en"", ""te""),"""")"),"")</f>
        <v/>
      </c>
      <c r="C610" s="2"/>
      <c r="D610" s="2" t="str">
        <f>IFERROR(__xludf.DUMMYFUNCTION("IF(C610&lt;&gt;"""", GOOGLETRANSLATE(C610, ""en"", ""te""),"""")"),"")</f>
        <v/>
      </c>
      <c r="E610" s="2"/>
      <c r="F610" s="2" t="str">
        <f>IFERROR(__xludf.DUMMYFUNCTION("IF(E610&lt;&gt;"""", GOOGLETRANSLATE(E610, ""en"", ""te""),"""")"),"")</f>
        <v/>
      </c>
      <c r="G610" s="2"/>
      <c r="H610" s="2" t="str">
        <f>IFERROR(__xludf.DUMMYFUNCTION("IF(G610&lt;&gt;"""", GOOGLETRANSLATE(G610, ""en"", ""te""),"""")"),"")</f>
        <v/>
      </c>
      <c r="I610" s="3"/>
    </row>
    <row r="611" customHeight="1" spans="1:9">
      <c r="A611" s="2" t="s">
        <v>493</v>
      </c>
      <c r="B611" s="2" t="str">
        <f>IFERROR(__xludf.DUMMYFUNCTION("IF(A611&lt;&gt;"""", GOOGLETRANSLATE(A611, ""en"", ""te""),"""")"),"[ 'ఒక ఇన్నింగ్స్ లో ఒక ప్రత్యామ్నాయంగా (2) 3 వ అత్యధిక క్యాచ్లు']")</f>
        <v>[ 'ఒక ఇన్నింగ్స్ లో ఒక ప్రత్యామ్నాయంగా (2) 3 వ అత్యధిక క్యాచ్లు']</v>
      </c>
      <c r="C611" s="2"/>
      <c r="D611" s="2" t="str">
        <f>IFERROR(__xludf.DUMMYFUNCTION("IF(C611&lt;&gt;"""", GOOGLETRANSLATE(C611, ""en"", ""te""),"""")"),"")</f>
        <v/>
      </c>
      <c r="E611" s="2"/>
      <c r="F611" s="2" t="str">
        <f>IFERROR(__xludf.DUMMYFUNCTION("IF(E611&lt;&gt;"""", GOOGLETRANSLATE(E611, ""en"", ""te""),"""")"),"")</f>
        <v/>
      </c>
      <c r="G611" s="2" t="s">
        <v>494</v>
      </c>
      <c r="H611" s="2" t="str">
        <f>IFERROR(__xludf.DUMMYFUNCTION("IF(G611&lt;&gt;"""", GOOGLETRANSLATE(G611, ""en"", ""te""),"""")"),"[ '42 వ ఇన్నింగ్స్ లో వచ్చిన ఎక్కువ సిక్స్ (7)', 'ఒక ఇన్నింగ్స్ లో ఒక ప్రత్యామ్నాయంగా 3 వ అత్యధిక క్యాచ్లు (2)', 'మొదటి వికెట్కు 31 అత్యధిక భాగస్వామ్యం (126)' మూడో వికెట్కు, 40 వ అత్యధిక భాగస్వామ్యం ( 97) ']")</f>
        <v>[ '42 వ ఇన్నింగ్స్ లో వచ్చిన ఎక్కువ సిక్స్ (7)', 'ఒక ఇన్నింగ్స్ లో ఒక ప్రత్యామ్నాయంగా 3 వ అత్యధిక క్యాచ్లు (2)', 'మొదటి వికెట్కు 31 అత్యధిక భాగస్వామ్యం (126)' మూడో వికెట్కు, 40 వ అత్యధిక భాగస్వామ్యం ( 97) ']</v>
      </c>
      <c r="I611" s="3"/>
    </row>
    <row r="612" customHeight="1" spans="1:9">
      <c r="A612" s="2" t="s">
        <v>495</v>
      </c>
      <c r="B612" s="2" t="str">
        <f>IFERROR(__xludf.DUMMYFUNCTION("IF(A612&lt;&gt;"""", GOOGLETRANSLATE(A612, ""en"", ""te""),"""")"),"[ 'కెరీర్లో 5 వ అత్యధిక మ్యాచ్లు (164)', '8 వ అత్యధిక పరుగులు కెరీర్లో (11867)', 'హండ్రెడ్ మరియు ఒక మ్యాచ్లో తొంభై', 'ఒక మ్యాచ్ లో రెండు అజేయంగా అర్ధ', 'హండ్రెడ్ మరియు ఒక మ్యాచ్లో ఒక డక్ ',' కెరీర్లో 9 వ అత్యంత ఫోర్లు (1285) ',' 9 వ 11000 పరుగులు (256) '"&amp;",' 5000 పరుగులు మరియు 50 ఫీల్డింగ్ వికెట్లు ',' నాలుగవ వికెట్కు 7 వ అత్యధిక భాగస్వామ్యం వేగంగా (226) ',' 7th చాలా ఆటగాడు -of-సిరీస్ అవార్డులు (11) ',' 10 వ కెరీర్ లో అత్యధిక పరుగులు (20988) ',' 8 వ కెరీర్ తొంభైల (11) ',' 8 వ కెరీర్ (166) లో చాలా అర్ధ ']")</f>
        <v>[ 'కెరీర్లో 5 వ అత్యధిక మ్యాచ్లు (164)', '8 వ అత్యధిక పరుగులు కెరీర్లో (11867)', 'హండ్రెడ్ మరియు ఒక మ్యాచ్లో తొంభై', 'ఒక మ్యాచ్ లో రెండు అజేయంగా అర్ధ', 'హండ్రెడ్ మరియు ఒక మ్యాచ్లో ఒక డక్ ',' కెరీర్లో 9 వ అత్యంత ఫోర్లు (1285) ',' 9 వ 11000 పరుగులు (256) ',' 5000 పరుగులు మరియు 50 ఫీల్డింగ్ వికెట్లు ',' నాలుగవ వికెట్కు 7 వ అత్యధిక భాగస్వామ్యం వేగంగా (226) ',' 7th చాలా ఆటగాడు -of-సిరీస్ అవార్డులు (11) ',' 10 వ కెరీర్ లో అత్యధిక పరుగులు (20988) ',' 8 వ కెరీర్ తొంభైల (11) ',' 8 వ కెరీర్ (166) లో చాలా అర్ధ ']</v>
      </c>
      <c r="C612" s="2" t="s">
        <v>496</v>
      </c>
      <c r="D612" s="2" t="str">
        <f>IFERROR(__xludf.DUMMYFUNCTION("IF(C612&lt;&gt;"""", GOOGLETRANSLATE(C612, ""en"", ""te""),"""")"),"[ 'కెరీర్లో 8 వ అత్యధిక పరుగులు (11867)', '25 వ పరాజయం వైపు ఒక మ్యాచ్లో అత్యధిక పరుగులు (225)', '16 వ ఒకే మైదానంలో అత్యధిక పరుగులు (1477)', '35 వ అత్యధిక కెరీర్ బ్యాటింగ్ సగటు (51.37) ',' 12 వ ఒక వృత్తిలో అత్యధిక వందలు (30) ',' 33 వ ఒక జట్టు వ్యతిరేకంగా"&amp;" అత్యధిక వందలు (7) ',' వరుస మ్యాచ్లలో 21 వందల (3) ',' వంద (40y 28 రో) స్కోర్ 17 అత్యంత వృద్ధ ఆటగాడు ' '10 వ కెరీర్ లో అత్యంత తొంభైల (6)', 'చాలా 5 వ అర్ధ కెరీర్లో (96)', 'మొదటి డక్ (33) 38 వ అత్యంత ఇన్నింగ్స్ ముందు', '9 వ అత్యంత ఫోర్లు' వరుస ఇన్నింగ్స్లో "&amp;"1st యాభైల్లో (7) ', కెరీర్లో (1285) ',' 38 వ లాంగెస్ట్ వ్యక్తిగత ఇన్నింగ్స్ (నిమిషాలు) (675) ',' 40 వ లాంగెస్ట్ వ్యక్తిగత ఇన్నింగ్స్ (బంతులతో) (510) ',' 47 వ వరకు 6000 పరుగులు (147) ',' 26th వేగంగా వేగంగా 8000 పరుగులు (193) ',' 14 వ 9000 పరుగులు (216) ',"&amp;"' ఫాస్టెస్ట్ 12 వ 10000 పరుగులు (239) ',' 11000 పరుగులు (256) ',' ఐదవ వికెట్కు 14 అత్యధిక భాగస్వామ్యం (296 9 వేగవంతమైన కు వేగవంతమైన *) ',' కెరీర్ లో 5 వ అత్యధిక మ్యాచ్లు (164) ',' 15 వ అత్యంత ప్లేయర్ ఆఫ్ ది మ్యాచ్ అవార్డులు (11) ',' 7 వ మోస్ట్ సిరీస్ ప్"&amp;"లేయర్ ఆఫ్ అవార్డులు (7) ',' 12 వ లాంగెస్ట్ కెరీర్లు (21y 47d) ',' 47 వ వరుస అన్ని టాస్ గెలిచిన (3) ']")</f>
        <v>[ 'కెరీర్లో 8 వ అత్యధిక పరుగులు (11867)', '25 వ పరాజయం వైపు ఒక మ్యాచ్లో అత్యధిక పరుగులు (225)', '16 వ ఒకే మైదానంలో అత్యధిక పరుగులు (1477)', '35 వ అత్యధిక కెరీర్ బ్యాటింగ్ సగటు (51.37) ',' 12 వ ఒక వృత్తిలో అత్యధిక వందలు (30) ',' 33 వ ఒక జట్టు వ్యతిరేకంగా అత్యధిక వందలు (7) ',' వరుస మ్యాచ్లలో 21 వందల (3) ',' వంద (40y 28 రో) స్కోర్ 17 అత్యంత వృద్ధ ఆటగాడు ' '10 వ కెరీర్ లో అత్యంత తొంభైల (6)', 'చాలా 5 వ అర్ధ కెరీర్లో (96)', 'మొదటి డక్ (33) 38 వ అత్యంత ఇన్నింగ్స్ ముందు', '9 వ అత్యంత ఫోర్లు' వరుస ఇన్నింగ్స్లో 1st యాభైల్లో (7) ', కెరీర్లో (1285) ',' 38 వ లాంగెస్ట్ వ్యక్తిగత ఇన్నింగ్స్ (నిమిషాలు) (675) ',' 40 వ లాంగెస్ట్ వ్యక్తిగత ఇన్నింగ్స్ (బంతులతో) (510) ',' 47 వ వరకు 6000 పరుగులు (147) ',' 26th వేగంగా వేగంగా 8000 పరుగులు (193) ',' 14 వ 9000 పరుగులు (216) ',' ఫాస్టెస్ట్ 12 వ 10000 పరుగులు (239) ',' 11000 పరుగులు (256) ',' ఐదవ వికెట్కు 14 అత్యధిక భాగస్వామ్యం (296 9 వేగవంతమైన కు వేగవంతమైన *) ',' కెరీర్ లో 5 వ అత్యధిక మ్యాచ్లు (164) ',' 15 వ అత్యంత ప్లేయర్ ఆఫ్ ది మ్యాచ్ అవార్డులు (11) ',' 7 వ మోస్ట్ సిరీస్ ప్లేయర్ ఆఫ్ అవార్డులు (7) ',' 12 వ లాంగెస్ట్ కెరీర్లు (21y 47d) ',' 47 వ వరుస అన్ని టాస్ గెలిచిన (3) ']</v>
      </c>
      <c r="E612" s="2" t="s">
        <v>497</v>
      </c>
      <c r="F612" s="2" t="str">
        <f>IFERROR(__xludf.DUMMYFUNCTION("IF(E612&lt;&gt;"""", GOOGLETRANSLATE(E612, ""en"", ""te""),"""")"),"[ '22 వ కెరీర్ లో అత్యధిక పరుగులు (8778)', '19 వ పరాజయం వైపు ఒక మ్యాచ్లో అత్యధిక పరుగులు (149 *)', '41 వ ఒక వృత్తిలో అత్యధిక వందలు (11)', '29th ఒక క్యాలెండర్ సంవత్సరంలో అత్యధిక వందలు ( 4) ',' 36 వ అత్యంత వృద్ధ ఆటగాడు కెరీర్లో వంద (35y 240d) ',' 22 వ స్కో"&amp;"ర్ అత్యంత తొంభైల (5) ', '21 వ అత్యంత అర్ధ కెరీర్లో (70)', 'వరుస ఇన్నింగ్స్లో 44 వ యాభైల్లో (4)' 'ఒక డక్ లేకుండా 16 వరుస ఇన్నింగ్స్ (80)', 'కెరీర్లో 20 వ అతి తక్కువ బాతులు (41.83)', '32 వ కెరీర్ ఫోర్లు (722)', '25 వ ఇన్నింగ్స్ లో వచ్చిన ఎక్కువ ఫోర్లు (20"&amp;")', '46 వ వేగవంతమైన 5000 పరుగులు (157) ',' 36 వ 6000 పరుగులు (190) ',' ఫాస్టెస్ట్ 24 7000 పరుగులు (209) ',' 17 వ కు వేగవంతమైన వేగవంతమైన 8000 పరుగులు (228) నాలుగవ వికెట్కు ',' 7 వ అత్యధిక భాగస్వామ్యం (226) ',' 33 వ కెరీర్ లో అత్యధిక మ్యాచ్లు (268) ',' 2"&amp;"4 వ అత్యంత ప్లేయర్ ఆఫ్ ది సిరీస్ అవార్డులు (4) ',' 32 వ లాంగెస్ట్ కెరీర్లు (16y 157d) ']")</f>
        <v>[ '22 వ కెరీర్ లో అత్యధిక పరుగులు (8778)', '19 వ పరాజయం వైపు ఒక మ్యాచ్లో అత్యధిక పరుగులు (149 *)', '41 వ ఒక వృత్తిలో అత్యధిక వందలు (11)', '29th ఒక క్యాలెండర్ సంవత్సరంలో అత్యధిక వందలు ( 4) ',' 36 వ అత్యంత వృద్ధ ఆటగాడు కెరీర్లో వంద (35y 240d) ',' 22 వ స్కోర్ అత్యంత తొంభైల (5) ', '21 వ అత్యంత అర్ధ కెరీర్లో (70)', 'వరుస ఇన్నింగ్స్లో 44 వ యాభైల్లో (4)' 'ఒక డక్ లేకుండా 16 వరుస ఇన్నింగ్స్ (80)', 'కెరీర్లో 20 వ అతి తక్కువ బాతులు (41.83)', '32 వ కెరీర్ ఫోర్లు (722)', '25 వ ఇన్నింగ్స్ లో వచ్చిన ఎక్కువ ఫోర్లు (20)', '46 వ వేగవంతమైన 5000 పరుగులు (157) ',' 36 వ 6000 పరుగులు (190) ',' ఫాస్టెస్ట్ 24 7000 పరుగులు (209) ',' 17 వ కు వేగవంతమైన వేగవంతమైన 8000 పరుగులు (228) నాలుగవ వికెట్కు ',' 7 వ అత్యధిక భాగస్వామ్యం (226) ',' 33 వ కెరీర్ లో అత్యధిక మ్యాచ్లు (268) ',' 24 వ అత్యంత ప్లేయర్ ఆఫ్ ది సిరీస్ అవార్డులు (4) ',' 32 వ లాంగెస్ట్ కెరీర్లు (16y 157d) ']</v>
      </c>
      <c r="G612" s="2" t="s">
        <v>498</v>
      </c>
      <c r="H612" s="2" t="str">
        <f>IFERROR(__xludf.DUMMYFUNCTION("IF(G612&lt;&gt;"""", GOOGLETRANSLATE(G612, ""en"", ""te""),"""")"),"[ '21 వ కెరీర్ (22) వెనుదిరిగాడు']")</f>
        <v>[ '21 వ కెరీర్ (22) వెనుదిరిగాడు']</v>
      </c>
      <c r="I612" s="3"/>
    </row>
    <row r="613" customHeight="1" spans="1:9">
      <c r="A613" s="2" t="s">
        <v>399</v>
      </c>
      <c r="B613" s="2" t="str">
        <f>IFERROR(__xludf.DUMMYFUNCTION("IF(A613&lt;&gt;"""", GOOGLETRANSLATE(A613, ""en"", ""te""),"""")"),"[ 'తొలి పెయిర్']")</f>
        <v>[ 'తొలి పెయిర్']</v>
      </c>
      <c r="C613" s="2"/>
      <c r="D613" s="2" t="str">
        <f>IFERROR(__xludf.DUMMYFUNCTION("IF(C613&lt;&gt;"""", GOOGLETRANSLATE(C613, ""en"", ""te""),"""")"),"")</f>
        <v/>
      </c>
      <c r="E613" s="2"/>
      <c r="F613" s="2" t="str">
        <f>IFERROR(__xludf.DUMMYFUNCTION("IF(E613&lt;&gt;"""", GOOGLETRANSLATE(E613, ""en"", ""te""),"""")"),"")</f>
        <v/>
      </c>
      <c r="G613" s="2"/>
      <c r="H613" s="2" t="str">
        <f>IFERROR(__xludf.DUMMYFUNCTION("IF(G613&lt;&gt;"""", GOOGLETRANSLATE(G613, ""en"", ""te""),"""")"),"")</f>
        <v/>
      </c>
      <c r="I613" s="3"/>
    </row>
    <row r="614" customHeight="1" spans="1:9">
      <c r="A614" s="2"/>
      <c r="B614" s="2" t="str">
        <f>IFERROR(__xludf.DUMMYFUNCTION("IF(A614&lt;&gt;"""", GOOGLETRANSLATE(A614, ""en"", ""te""),"""")"),"")</f>
        <v/>
      </c>
      <c r="C614" s="2"/>
      <c r="D614" s="2" t="str">
        <f>IFERROR(__xludf.DUMMYFUNCTION("IF(C614&lt;&gt;"""", GOOGLETRANSLATE(C614, ""en"", ""te""),"""")"),"")</f>
        <v/>
      </c>
      <c r="E614" s="2"/>
      <c r="F614" s="2" t="str">
        <f>IFERROR(__xludf.DUMMYFUNCTION("IF(E614&lt;&gt;"""", GOOGLETRANSLATE(E614, ""en"", ""te""),"""")"),"")</f>
        <v/>
      </c>
      <c r="G614" s="2"/>
      <c r="H614" s="2" t="str">
        <f>IFERROR(__xludf.DUMMYFUNCTION("IF(G614&lt;&gt;"""", GOOGLETRANSLATE(G614, ""en"", ""te""),"""")"),"")</f>
        <v/>
      </c>
      <c r="I614" s="3"/>
    </row>
    <row r="615" customHeight="1" spans="1:9">
      <c r="A615" s="2"/>
      <c r="B615" s="2" t="str">
        <f>IFERROR(__xludf.DUMMYFUNCTION("IF(A615&lt;&gt;"""", GOOGLETRANSLATE(A615, ""en"", ""te""),"""")"),"")</f>
        <v/>
      </c>
      <c r="C615" s="2"/>
      <c r="D615" s="2" t="str">
        <f>IFERROR(__xludf.DUMMYFUNCTION("IF(C615&lt;&gt;"""", GOOGLETRANSLATE(C615, ""en"", ""te""),"""")"),"")</f>
        <v/>
      </c>
      <c r="E615" s="2"/>
      <c r="F615" s="2" t="str">
        <f>IFERROR(__xludf.DUMMYFUNCTION("IF(E615&lt;&gt;"""", GOOGLETRANSLATE(E615, ""en"", ""te""),"""")"),"")</f>
        <v/>
      </c>
      <c r="G615" s="2"/>
      <c r="H615" s="2" t="str">
        <f>IFERROR(__xludf.DUMMYFUNCTION("IF(G615&lt;&gt;"""", GOOGLETRANSLATE(G615, ""en"", ""te""),"""")"),"")</f>
        <v/>
      </c>
      <c r="I615" s="3"/>
    </row>
    <row r="616" customHeight="1" spans="1:9">
      <c r="A616" s="2"/>
      <c r="B616" s="2" t="str">
        <f>IFERROR(__xludf.DUMMYFUNCTION("IF(A616&lt;&gt;"""", GOOGLETRANSLATE(A616, ""en"", ""te""),"""")"),"")</f>
        <v/>
      </c>
      <c r="C616" s="2" t="s">
        <v>499</v>
      </c>
      <c r="D616" s="2" t="str">
        <f>IFERROR(__xludf.DUMMYFUNCTION("IF(C616&lt;&gt;"""", GOOGLETRANSLATE(C616, ""en"", ""te""),"""")"),"[ '24 ఒక ఇన్నింగ్స్ లోని బెస్ట్ ఫిగర్స్ ఉన్నప్పుడు పరాజయం వైపు (7)', 'పరాజయం వైపు 15 వ బెస్ట్ ఫిగర్స్ ఒక మ్యాచ్లో ఉన్నప్పుడు (11)']")</f>
        <v>[ '24 ఒక ఇన్నింగ్స్ లోని బెస్ట్ ఫిగర్స్ ఉన్నప్పుడు పరాజయం వైపు (7)', 'పరాజయం వైపు 15 వ బెస్ట్ ఫిగర్స్ ఒక మ్యాచ్లో ఉన్నప్పుడు (11)']</v>
      </c>
      <c r="E616" s="2"/>
      <c r="F616" s="2" t="str">
        <f>IFERROR(__xludf.DUMMYFUNCTION("IF(E616&lt;&gt;"""", GOOGLETRANSLATE(E616, ""en"", ""te""),"""")"),"")</f>
        <v/>
      </c>
      <c r="G616" s="2"/>
      <c r="H616" s="2" t="str">
        <f>IFERROR(__xludf.DUMMYFUNCTION("IF(G616&lt;&gt;"""", GOOGLETRANSLATE(G616, ""en"", ""te""),"""")"),"")</f>
        <v/>
      </c>
      <c r="I616" s="3"/>
    </row>
    <row r="617" customHeight="1" spans="1:9">
      <c r="A617" s="2"/>
      <c r="B617" s="2" t="str">
        <f>IFERROR(__xludf.DUMMYFUNCTION("IF(A617&lt;&gt;"""", GOOGLETRANSLATE(A617, ""en"", ""te""),"""")"),"")</f>
        <v/>
      </c>
      <c r="C617" s="2"/>
      <c r="D617" s="2" t="str">
        <f>IFERROR(__xludf.DUMMYFUNCTION("IF(C617&lt;&gt;"""", GOOGLETRANSLATE(C617, ""en"", ""te""),"""")"),"")</f>
        <v/>
      </c>
      <c r="E617" s="2"/>
      <c r="F617" s="2" t="str">
        <f>IFERROR(__xludf.DUMMYFUNCTION("IF(E617&lt;&gt;"""", GOOGLETRANSLATE(E617, ""en"", ""te""),"""")"),"")</f>
        <v/>
      </c>
      <c r="G617" s="2"/>
      <c r="H617" s="2" t="str">
        <f>IFERROR(__xludf.DUMMYFUNCTION("IF(G617&lt;&gt;"""", GOOGLETRANSLATE(G617, ""en"", ""te""),"""")"),"")</f>
        <v/>
      </c>
      <c r="I617" s="3"/>
    </row>
    <row r="618" customHeight="1" spans="1:9">
      <c r="A618" s="2" t="s">
        <v>493</v>
      </c>
      <c r="B618" s="2" t="str">
        <f>IFERROR(__xludf.DUMMYFUNCTION("IF(A618&lt;&gt;"""", GOOGLETRANSLATE(A618, ""en"", ""te""),"""")"),"[ 'ఒక ఇన్నింగ్స్ లో ఒక ప్రత్యామ్నాయంగా (2) 3 వ అత్యధిక క్యాచ్లు']")</f>
        <v>[ 'ఒక ఇన్నింగ్స్ లో ఒక ప్రత్యామ్నాయంగా (2) 3 వ అత్యధిక క్యాచ్లు']</v>
      </c>
      <c r="C618" s="2"/>
      <c r="D618" s="2" t="str">
        <f>IFERROR(__xludf.DUMMYFUNCTION("IF(C618&lt;&gt;"""", GOOGLETRANSLATE(C618, ""en"", ""te""),"""")"),"")</f>
        <v/>
      </c>
      <c r="E618" s="2"/>
      <c r="F618" s="2" t="str">
        <f>IFERROR(__xludf.DUMMYFUNCTION("IF(E618&lt;&gt;"""", GOOGLETRANSLATE(E618, ""en"", ""te""),"""")"),"")</f>
        <v/>
      </c>
      <c r="G618" s="2" t="s">
        <v>493</v>
      </c>
      <c r="H618" s="2" t="str">
        <f>IFERROR(__xludf.DUMMYFUNCTION("IF(G618&lt;&gt;"""", GOOGLETRANSLATE(G618, ""en"", ""te""),"""")"),"[ 'ఒక ఇన్నింగ్స్ లో ఒక ప్రత్యామ్నాయంగా (2) 3 వ అత్యధిక క్యాచ్లు']")</f>
        <v>[ 'ఒక ఇన్నింగ్స్ లో ఒక ప్రత్యామ్నాయంగా (2) 3 వ అత్యధిక క్యాచ్లు']</v>
      </c>
      <c r="I618" s="3"/>
    </row>
    <row r="619" customHeight="1" spans="1:9">
      <c r="A619" s="2"/>
      <c r="B619" s="2" t="str">
        <f>IFERROR(__xludf.DUMMYFUNCTION("IF(A619&lt;&gt;"""", GOOGLETRANSLATE(A619, ""en"", ""te""),"""")"),"")</f>
        <v/>
      </c>
      <c r="C619" s="2"/>
      <c r="D619" s="2" t="str">
        <f>IFERROR(__xludf.DUMMYFUNCTION("IF(C619&lt;&gt;"""", GOOGLETRANSLATE(C619, ""en"", ""te""),"""")"),"")</f>
        <v/>
      </c>
      <c r="E619" s="2"/>
      <c r="F619" s="2" t="str">
        <f>IFERROR(__xludf.DUMMYFUNCTION("IF(E619&lt;&gt;"""", GOOGLETRANSLATE(E619, ""en"", ""te""),"""")"),"")</f>
        <v/>
      </c>
      <c r="G619" s="2"/>
      <c r="H619" s="2" t="str">
        <f>IFERROR(__xludf.DUMMYFUNCTION("IF(G619&lt;&gt;"""", GOOGLETRANSLATE(G619, ""en"", ""te""),"""")"),"")</f>
        <v/>
      </c>
      <c r="I619" s="3"/>
    </row>
    <row r="620" customHeight="1" spans="1:9">
      <c r="A620" s="2" t="s">
        <v>500</v>
      </c>
      <c r="B620" s="2" t="str">
        <f>IFERROR(__xludf.DUMMYFUNCTION("IF(A620&lt;&gt;"""", GOOGLETRANSLATE(A620, ""en"", ""te""),"""")"),"[ 'ప్రదర్శనల మధ్య 7 వ లాంగెస్ట్ వ్యవధిలో (13y 32d)']")</f>
        <v>[ 'ప్రదర్శనల మధ్య 7 వ లాంగెస్ట్ వ్యవధిలో (13y 32d)']</v>
      </c>
      <c r="C620" s="2" t="s">
        <v>501</v>
      </c>
      <c r="D620" s="2" t="str">
        <f>IFERROR(__xludf.DUMMYFUNCTION("IF(C620&lt;&gt;"""", GOOGLETRANSLATE(C620, ""en"", ""te""),"""")"),"[ '11 వ అత్యంత వృద్ధ ఆటగాడు తొలి వంద (37y 252d) స్కోర్', 'ప్రదర్శనలు (13y 32d) మధ్య 7 వ లాంగెస్ట్ వ్యవధిలో']")</f>
        <v>[ '11 వ అత్యంత వృద్ధ ఆటగాడు తొలి వంద (37y 252d) స్కోర్', 'ప్రదర్శనలు (13y 32d) మధ్య 7 వ లాంగెస్ట్ వ్యవధిలో']</v>
      </c>
      <c r="E620" s="2"/>
      <c r="F620" s="2" t="str">
        <f>IFERROR(__xludf.DUMMYFUNCTION("IF(E620&lt;&gt;"""", GOOGLETRANSLATE(E620, ""en"", ""te""),"""")"),"")</f>
        <v/>
      </c>
      <c r="G620" s="2"/>
      <c r="H620" s="2" t="str">
        <f>IFERROR(__xludf.DUMMYFUNCTION("IF(G620&lt;&gt;"""", GOOGLETRANSLATE(G620, ""en"", ""te""),"""")"),"")</f>
        <v/>
      </c>
      <c r="I620" s="3"/>
    </row>
    <row r="621" customHeight="1" spans="1:9">
      <c r="A621" s="2" t="s">
        <v>323</v>
      </c>
      <c r="B621" s="2" t="str">
        <f>IFERROR(__xludf.DUMMYFUNCTION("IF(A621&lt;&gt;"""", GOOGLETRANSLATE(A621, ""en"", ""te""),"""")"),"[ '4 వ అత్యధిక వరుస బాతులు (4)']")</f>
        <v>[ '4 వ అత్యధిక వరుస బాతులు (4)']</v>
      </c>
      <c r="C621" s="2" t="s">
        <v>323</v>
      </c>
      <c r="D621" s="2" t="str">
        <f>IFERROR(__xludf.DUMMYFUNCTION("IF(C621&lt;&gt;"""", GOOGLETRANSLATE(C621, ""en"", ""te""),"""")"),"[ '4 వ అత్యధిక వరుస బాతులు (4)']")</f>
        <v>[ '4 వ అత్యధిక వరుస బాతులు (4)']</v>
      </c>
      <c r="E621" s="2" t="s">
        <v>502</v>
      </c>
      <c r="F621" s="2" t="str">
        <f>IFERROR(__xludf.DUMMYFUNCTION("IF(E621&lt;&gt;"""", GOOGLETRANSLATE(E621, ""en"", ""te""),"""")"),"[ '14 వ ఒక ఇన్నింగ్స్ లోని బెస్ట్ ఫిగర్స్ ఉన్నప్పుడు పరాజయం వైపు (5)']")</f>
        <v>[ '14 వ ఒక ఇన్నింగ్స్ లోని బెస్ట్ ఫిగర్స్ ఉన్నప్పుడు పరాజయం వైపు (5)']</v>
      </c>
      <c r="G621" s="2"/>
      <c r="H621" s="2" t="str">
        <f>IFERROR(__xludf.DUMMYFUNCTION("IF(G621&lt;&gt;"""", GOOGLETRANSLATE(G621, ""en"", ""te""),"""")"),"")</f>
        <v/>
      </c>
      <c r="I621" s="3"/>
    </row>
    <row r="622" customHeight="1" spans="1:9">
      <c r="A622" s="2"/>
      <c r="B622" s="2" t="str">
        <f>IFERROR(__xludf.DUMMYFUNCTION("IF(A622&lt;&gt;"""", GOOGLETRANSLATE(A622, ""en"", ""te""),"""")"),"")</f>
        <v/>
      </c>
      <c r="C622" s="2"/>
      <c r="D622" s="2" t="str">
        <f>IFERROR(__xludf.DUMMYFUNCTION("IF(C622&lt;&gt;"""", GOOGLETRANSLATE(C622, ""en"", ""te""),"""")"),"")</f>
        <v/>
      </c>
      <c r="E622" s="2"/>
      <c r="F622" s="2" t="str">
        <f>IFERROR(__xludf.DUMMYFUNCTION("IF(E622&lt;&gt;"""", GOOGLETRANSLATE(E622, ""en"", ""te""),"""")"),"")</f>
        <v/>
      </c>
      <c r="G622" s="2"/>
      <c r="H622" s="2" t="str">
        <f>IFERROR(__xludf.DUMMYFUNCTION("IF(G622&lt;&gt;"""", GOOGLETRANSLATE(G622, ""en"", ""te""),"""")"),"")</f>
        <v/>
      </c>
      <c r="I622" s="3"/>
    </row>
    <row r="623" customHeight="1" spans="1:9">
      <c r="A623" s="2"/>
      <c r="B623" s="2" t="str">
        <f>IFERROR(__xludf.DUMMYFUNCTION("IF(A623&lt;&gt;"""", GOOGLETRANSLATE(A623, ""en"", ""te""),"""")"),"")</f>
        <v/>
      </c>
      <c r="C623" s="2"/>
      <c r="D623" s="2" t="str">
        <f>IFERROR(__xludf.DUMMYFUNCTION("IF(C623&lt;&gt;"""", GOOGLETRANSLATE(C623, ""en"", ""te""),"""")"),"")</f>
        <v/>
      </c>
      <c r="E623" s="2"/>
      <c r="F623" s="2" t="str">
        <f>IFERROR(__xludf.DUMMYFUNCTION("IF(E623&lt;&gt;"""", GOOGLETRANSLATE(E623, ""en"", ""te""),"""")"),"")</f>
        <v/>
      </c>
      <c r="G623" s="2"/>
      <c r="H623" s="2" t="str">
        <f>IFERROR(__xludf.DUMMYFUNCTION("IF(G623&lt;&gt;"""", GOOGLETRANSLATE(G623, ""en"", ""te""),"""")"),"")</f>
        <v/>
      </c>
      <c r="I623" s="3"/>
    </row>
    <row r="624" customHeight="1" spans="1:9">
      <c r="A624" s="2" t="s">
        <v>503</v>
      </c>
      <c r="B624" s="2" t="str">
        <f>IFERROR(__xludf.DUMMYFUNCTION("IF(A624&lt;&gt;"""", GOOGLETRANSLATE(A624, ""en"", ""te""),"""")"),"[ 'నూట ఒక మ్యాచ్లో ఒక డక్', 'ఇన్నింగ్స్ లో వంద మరియు ఐదు వికెట్లు']")</f>
        <v>[ 'నూట ఒక మ్యాచ్లో ఒక డక్', 'ఇన్నింగ్స్ లో వంద మరియు ఐదు వికెట్లు']</v>
      </c>
      <c r="C624" s="2" t="s">
        <v>504</v>
      </c>
      <c r="D624" s="2" t="str">
        <f>IFERROR(__xludf.DUMMYFUNCTION("IF(C624&lt;&gt;"""", GOOGLETRANSLATE(C624, ""en"", ""te""),"""")"),"[ '39 వ చెత్త కెరీర్లో ఆర్థిక రేటు (3.49)', 'ఇన్నింగ్స్ లో 11 వ చెత్త ఆర్థిక రేటు (6.92)']")</f>
        <v>[ '39 వ చెత్త కెరీర్లో ఆర్థిక రేటు (3.49)', 'ఇన్నింగ్స్ లో 11 వ చెత్త ఆర్థిక రేటు (6.92)']</v>
      </c>
      <c r="E624" s="2"/>
      <c r="F624" s="2" t="str">
        <f>IFERROR(__xludf.DUMMYFUNCTION("IF(E624&lt;&gt;"""", GOOGLETRANSLATE(E624, ""en"", ""te""),"""")"),"")</f>
        <v/>
      </c>
      <c r="G624" s="2"/>
      <c r="H624" s="2" t="str">
        <f>IFERROR(__xludf.DUMMYFUNCTION("IF(G624&lt;&gt;"""", GOOGLETRANSLATE(G624, ""en"", ""te""),"""")"),"")</f>
        <v/>
      </c>
      <c r="I624" s="3"/>
    </row>
    <row r="625" customHeight="1" spans="1:9">
      <c r="A625" s="2"/>
      <c r="B625" s="2" t="str">
        <f>IFERROR(__xludf.DUMMYFUNCTION("IF(A625&lt;&gt;"""", GOOGLETRANSLATE(A625, ""en"", ""te""),"""")"),"")</f>
        <v/>
      </c>
      <c r="C625" s="2"/>
      <c r="D625" s="2" t="str">
        <f>IFERROR(__xludf.DUMMYFUNCTION("IF(C625&lt;&gt;"""", GOOGLETRANSLATE(C625, ""en"", ""te""),"""")"),"")</f>
        <v/>
      </c>
      <c r="E625" s="2"/>
      <c r="F625" s="2" t="str">
        <f>IFERROR(__xludf.DUMMYFUNCTION("IF(E625&lt;&gt;"""", GOOGLETRANSLATE(E625, ""en"", ""te""),"""")"),"")</f>
        <v/>
      </c>
      <c r="G625" s="2"/>
      <c r="H625" s="2" t="str">
        <f>IFERROR(__xludf.DUMMYFUNCTION("IF(G625&lt;&gt;"""", GOOGLETRANSLATE(G625, ""en"", ""te""),"""")"),"")</f>
        <v/>
      </c>
      <c r="I625" s="3"/>
    </row>
    <row r="626" customHeight="1" spans="1:9">
      <c r="A626" s="2"/>
      <c r="B626" s="2" t="str">
        <f>IFERROR(__xludf.DUMMYFUNCTION("IF(A626&lt;&gt;"""", GOOGLETRANSLATE(A626, ""en"", ""te""),"""")"),"")</f>
        <v/>
      </c>
      <c r="C626" s="2"/>
      <c r="D626" s="2" t="str">
        <f>IFERROR(__xludf.DUMMYFUNCTION("IF(C626&lt;&gt;"""", GOOGLETRANSLATE(C626, ""en"", ""te""),"""")"),"")</f>
        <v/>
      </c>
      <c r="E626" s="2"/>
      <c r="F626" s="2" t="str">
        <f>IFERROR(__xludf.DUMMYFUNCTION("IF(E626&lt;&gt;"""", GOOGLETRANSLATE(E626, ""en"", ""te""),"""")"),"")</f>
        <v/>
      </c>
      <c r="G626" s="2"/>
      <c r="H626" s="2" t="str">
        <f>IFERROR(__xludf.DUMMYFUNCTION("IF(G626&lt;&gt;"""", GOOGLETRANSLATE(G626, ""en"", ""te""),"""")"),"")</f>
        <v/>
      </c>
      <c r="I626" s="3"/>
    </row>
    <row r="627" customHeight="1" spans="1:9">
      <c r="A627" s="2" t="s">
        <v>505</v>
      </c>
      <c r="B627" s="2" t="str">
        <f>IFERROR(__xludf.DUMMYFUNCTION("IF(A627&lt;&gt;"""", GOOGLETRANSLATE(A627, ""en"", ""te""),"""")"),"[ 'కెరీర్లో 6 వ అత్యంత బాతులు (8)']")</f>
        <v>[ 'కెరీర్లో 6 వ అత్యంత బాతులు (8)']</v>
      </c>
      <c r="C627" s="2"/>
      <c r="D627" s="2" t="str">
        <f>IFERROR(__xludf.DUMMYFUNCTION("IF(C627&lt;&gt;"""", GOOGLETRANSLATE(C627, ""en"", ""te""),"""")"),"")</f>
        <v/>
      </c>
      <c r="E627" s="2" t="s">
        <v>506</v>
      </c>
      <c r="F627" s="2" t="str">
        <f>IFERROR(__xludf.DUMMYFUNCTION("IF(E627&lt;&gt;"""", GOOGLETRANSLATE(E627, ""en"", ""te""),"""")"),"[ '26 ఒక సిరీస్లో అత్యధిక క్యాచ్లు (7)', '43 వ వరుస మ్యాచ్లు ప్రదర్శనల మధ్య (31) జట్టు తప్పిన']")</f>
        <v>[ '26 ఒక సిరీస్లో అత్యధిక క్యాచ్లు (7)', '43 వ వరుస మ్యాచ్లు ప్రదర్శనల మధ్య (31) జట్టు తప్పిన']</v>
      </c>
      <c r="G627" s="2" t="s">
        <v>507</v>
      </c>
      <c r="H627" s="2" t="str">
        <f>IFERROR(__xludf.DUMMYFUNCTION("IF(G627&lt;&gt;"""", GOOGLETRANSLATE(G627, ""en"", ""te""),"""")"),"[ 'మొదటి డక్ (23) ముందు 13 వ అత్యంత ఇన్నింగ్స్' 6 వ కెరీర్ బాతులు (8) ',' 36 వ కెరీర్ (22) లో అత్యధిక క్యాచ్లు ']")</f>
        <v>[ 'మొదటి డక్ (23) ముందు 13 వ అత్యంత ఇన్నింగ్స్' 6 వ కెరీర్ బాతులు (8) ',' 36 వ కెరీర్ (22) లో అత్యధిక క్యాచ్లు ']</v>
      </c>
      <c r="I627" s="3"/>
    </row>
    <row r="628" customHeight="1" spans="1:9">
      <c r="A628" s="2"/>
      <c r="B628" s="2" t="str">
        <f>IFERROR(__xludf.DUMMYFUNCTION("IF(A628&lt;&gt;"""", GOOGLETRANSLATE(A628, ""en"", ""te""),"""")"),"")</f>
        <v/>
      </c>
      <c r="C628" s="2"/>
      <c r="D628" s="2" t="str">
        <f>IFERROR(__xludf.DUMMYFUNCTION("IF(C628&lt;&gt;"""", GOOGLETRANSLATE(C628, ""en"", ""te""),"""")"),"")</f>
        <v/>
      </c>
      <c r="E628" s="2"/>
      <c r="F628" s="2" t="str">
        <f>IFERROR(__xludf.DUMMYFUNCTION("IF(E628&lt;&gt;"""", GOOGLETRANSLATE(E628, ""en"", ""te""),"""")"),"")</f>
        <v/>
      </c>
      <c r="G628" s="2"/>
      <c r="H628" s="2" t="str">
        <f>IFERROR(__xludf.DUMMYFUNCTION("IF(G628&lt;&gt;"""", GOOGLETRANSLATE(G628, ""en"", ""te""),"""")"),"")</f>
        <v/>
      </c>
      <c r="I628" s="3"/>
    </row>
    <row r="629" customHeight="1" spans="1:9">
      <c r="A629" s="2"/>
      <c r="B629" s="2" t="str">
        <f>IFERROR(__xludf.DUMMYFUNCTION("IF(A629&lt;&gt;"""", GOOGLETRANSLATE(A629, ""en"", ""te""),"""")"),"")</f>
        <v/>
      </c>
      <c r="C629" s="2"/>
      <c r="D629" s="2" t="str">
        <f>IFERROR(__xludf.DUMMYFUNCTION("IF(C629&lt;&gt;"""", GOOGLETRANSLATE(C629, ""en"", ""te""),"""")"),"")</f>
        <v/>
      </c>
      <c r="E629" s="2"/>
      <c r="F629" s="2" t="str">
        <f>IFERROR(__xludf.DUMMYFUNCTION("IF(E629&lt;&gt;"""", GOOGLETRANSLATE(E629, ""en"", ""te""),"""")"),"")</f>
        <v/>
      </c>
      <c r="G629" s="2"/>
      <c r="H629" s="2" t="str">
        <f>IFERROR(__xludf.DUMMYFUNCTION("IF(G629&lt;&gt;"""", GOOGLETRANSLATE(G629, ""en"", ""te""),"""")"),"")</f>
        <v/>
      </c>
      <c r="I629" s="3"/>
    </row>
    <row r="630" customHeight="1" spans="1:9">
      <c r="A630" s="2" t="s">
        <v>508</v>
      </c>
      <c r="B630" s="2" t="str">
        <f>IFERROR(__xludf.DUMMYFUNCTION("IF(A630&lt;&gt;"""", GOOGLETRANSLATE(A630, ""en"", ""te""),"""")"),"[ '9 వ అత్యంత ఆకర్షించింది తీసుకోబడిన వికెట్ల వికెట్కీపర్గా (9) ద్వారా' '1 వ చెత్త కెరీర్ సగటు (51.40) బౌలింగ్']")</f>
        <v>[ '9 వ అత్యంత ఆకర్షించింది తీసుకోబడిన వికెట్ల వికెట్కీపర్గా (9) ద్వారా' '1 వ చెత్త కెరీర్ సగటు (51.40) బౌలింగ్']</v>
      </c>
      <c r="C630" s="2"/>
      <c r="D630" s="2" t="str">
        <f>IFERROR(__xludf.DUMMYFUNCTION("IF(C630&lt;&gt;"""", GOOGLETRANSLATE(C630, ""en"", ""te""),"""")"),"")</f>
        <v/>
      </c>
      <c r="E630" s="2" t="s">
        <v>509</v>
      </c>
      <c r="F630" s="2" t="str">
        <f>IFERROR(__xludf.DUMMYFUNCTION("IF(E630&lt;&gt;"""", GOOGLETRANSLATE(E630, ""en"", ""te""),"""")"),"[ '15 వ ఇన్నింగ్స్ లో అత్యధిక పరుగులు (బ్యాటింగ్ స్థానంలో ప్రకారం) (15 *)', '1st చెత్త కెరీర్ సగటు (51.40) బౌలింగ్', '6 వ చెత్త కెరీర్లో ఆర్థిక రేటు (4.83)', '14 వ చెత్త కెరీర్లో సమ్మె రేటు (63.7) ',' 26 ఒక సిరీస్లో అత్యధిక క్యాచ్లు (7) ']")</f>
        <v>[ '15 వ ఇన్నింగ్స్ లో అత్యధిక పరుగులు (బ్యాటింగ్ స్థానంలో ప్రకారం) (15 *)', '1st చెత్త కెరీర్ సగటు (51.40) బౌలింగ్', '6 వ చెత్త కెరీర్లో ఆర్థిక రేటు (4.83)', '14 వ చెత్త కెరీర్లో సమ్మె రేటు (63.7) ',' 26 ఒక సిరీస్లో అత్యధిక క్యాచ్లు (7) ']</v>
      </c>
      <c r="G630" s="2" t="s">
        <v>510</v>
      </c>
      <c r="H630" s="2" t="str">
        <f>IFERROR(__xludf.DUMMYFUNCTION("IF(G630&lt;&gt;"""", GOOGLETRANSLATE(G630, ""en"", ""te""),"""")"),"[ '33 వ ఉత్తమ ఇన్నింగ్స్ లో సమ్మె రేటు (4.0)', '11 వ చెత్త కెరీర్ సగటు (28.93) బౌలింగ్', '11 వ చెత్త కెరీర్లో ఆర్థిక రేటు (6.54)', '14 వ చెత్త కెరీర్లో సమ్మె రేటు (26.5)', '43 వ అత్యంత ఒక ఇన్నింగ్స్ లో సాధించిన పరుగులు (44) ',' 38 వ అత్యధిక వికెట్లు తీసుక"&amp;"ున్న ఆకర్షించింది (27) ',' 9 వ అత్యధిక వికెట్లు ఒక వికెట్ కీపర్ చే కాట్ తీసుకున్న (9) ',' పదవ వికెట్ను (11) కోసం 32 వ అత్యధిక భాగస్వామ్యం ']")</f>
        <v>[ '33 వ ఉత్తమ ఇన్నింగ్స్ లో సమ్మె రేటు (4.0)', '11 వ చెత్త కెరీర్ సగటు (28.93) బౌలింగ్', '11 వ చెత్త కెరీర్లో ఆర్థిక రేటు (6.54)', '14 వ చెత్త కెరీర్లో సమ్మె రేటు (26.5)', '43 వ అత్యంత ఒక ఇన్నింగ్స్ లో సాధించిన పరుగులు (44) ',' 38 వ అత్యధిక వికెట్లు తీసుకున్న ఆకర్షించింది (27) ',' 9 వ అత్యధిక వికెట్లు ఒక వికెట్ కీపర్ చే కాట్ తీసుకున్న (9) ',' పదవ వికెట్ను (11) కోసం 32 వ అత్యధిక భాగస్వామ్యం ']</v>
      </c>
      <c r="I630" s="3"/>
    </row>
    <row r="631" customHeight="1" spans="1:9">
      <c r="A631" s="2" t="s">
        <v>511</v>
      </c>
      <c r="B631" s="2" t="str">
        <f>IFERROR(__xludf.DUMMYFUNCTION("IF(A631&lt;&gt;"""", GOOGLETRANSLATE(A631, ""en"", ""te""),"""")"),"[ '8 వ 50 వికెట్లు (9) వేగంగా', '7 వ అత్యుత్తమ బౌలింగ్ ఇన్నింగ్స్ లో విశ్లేషించడం (6/15)', '8 వ ఉత్తమ కెరీర్ సగటు బౌలింగ్' 5 వ అత్యుత్తమ బౌలింగ్ (8/29) ఇన్నింగ్స్ విశ్లేషణలలో '(20.66 ) ']")</f>
        <v>[ '8 వ 50 వికెట్లు (9) వేగంగా', '7 వ అత్యుత్తమ బౌలింగ్ ఇన్నింగ్స్ లో విశ్లేషించడం (6/15)', '8 వ ఉత్తమ కెరీర్ సగటు బౌలింగ్' 5 వ అత్యుత్తమ బౌలింగ్ (8/29) ఇన్నింగ్స్ విశ్లేషణలలో '(20.66 ) ']</v>
      </c>
      <c r="C631" s="2" t="s">
        <v>512</v>
      </c>
      <c r="D631" s="2" t="str">
        <f>IFERROR(__xludf.DUMMYFUNCTION("IF(C631&lt;&gt;"""", GOOGLETRANSLATE(C631, ""en"", ""te""),"""")"),"[ '24 వ ఉత్తమ ఇన్నింగ్స్ లో సంఖ్యలు (8/29)', 'వరుస 33 వ అత్యధిక వికెట్లు (33)', '5 వ అత్యుత్తమ బౌలింగ్ ఇన్నింగ్స్ లో విశ్లేషించడం (8/29)', '32 వ ఉత్తమ కెరీర్ సమ్మె రేటు (49.3 ) ',' 50 వికెట్లు (9) ', '21 వ వేగంగా 8 వ వేగవంతమైన 100 వికెట్లు (21) కు']")</f>
        <v>[ '24 వ ఉత్తమ ఇన్నింగ్స్ లో సంఖ్యలు (8/29)', 'వరుస 33 వ అత్యధిక వికెట్లు (33)', '5 వ అత్యుత్తమ బౌలింగ్ ఇన్నింగ్స్ లో విశ్లేషించడం (8/29)', '32 వ ఉత్తమ కెరీర్ సమ్మె రేటు (49.3 ) ',' 50 వికెట్లు (9) ', '21 వ వేగంగా 8 వ వేగవంతమైన 100 వికెట్లు (21) కు']</v>
      </c>
      <c r="E631" s="2" t="s">
        <v>513</v>
      </c>
      <c r="F631" s="2" t="str">
        <f>IFERROR(__xludf.DUMMYFUNCTION("IF(E631&lt;&gt;"""", GOOGLETRANSLATE(E631, ""en"", ""te""),"""")"),"[ 'ఇన్నింగ్స్ లో 7 వ అత్యుత్తమ బౌలింగ్ విశ్లేషణలు (6/15)' '19 వ ఉత్తమ ఇన్నింగ్స్ లో సంఖ్యలు (6/15)', '8 వ ఉత్తమ కెరీర్ సగటు (20.66) బౌలింగ్', '12 వ ఉత్తమ కెరీర్ ఆర్థిక రేటు (3.47) ']")</f>
        <v>[ 'ఇన్నింగ్స్ లో 7 వ అత్యుత్తమ బౌలింగ్ విశ్లేషణలు (6/15)' '19 వ ఉత్తమ ఇన్నింగ్స్ లో సంఖ్యలు (6/15)', '8 వ ఉత్తమ కెరీర్ సగటు (20.66) బౌలింగ్', '12 వ ఉత్తమ కెరీర్ ఆర్థిక రేటు (3.47) ']</v>
      </c>
      <c r="G631" s="2"/>
      <c r="H631" s="2" t="str">
        <f>IFERROR(__xludf.DUMMYFUNCTION("IF(G631&lt;&gt;"""", GOOGLETRANSLATE(G631, ""en"", ""te""),"""")"),"")</f>
        <v/>
      </c>
      <c r="I631" s="3"/>
    </row>
    <row r="632" customHeight="1" spans="1:9">
      <c r="A632" s="2"/>
      <c r="B632" s="2" t="str">
        <f>IFERROR(__xludf.DUMMYFUNCTION("IF(A632&lt;&gt;"""", GOOGLETRANSLATE(A632, ""en"", ""te""),"""")"),"")</f>
        <v/>
      </c>
      <c r="C632" s="2"/>
      <c r="D632" s="2" t="str">
        <f>IFERROR(__xludf.DUMMYFUNCTION("IF(C632&lt;&gt;"""", GOOGLETRANSLATE(C632, ""en"", ""te""),"""")"),"")</f>
        <v/>
      </c>
      <c r="E632" s="2"/>
      <c r="F632" s="2" t="str">
        <f>IFERROR(__xludf.DUMMYFUNCTION("IF(E632&lt;&gt;"""", GOOGLETRANSLATE(E632, ""en"", ""te""),"""")"),"")</f>
        <v/>
      </c>
      <c r="G632" s="2"/>
      <c r="H632" s="2" t="str">
        <f>IFERROR(__xludf.DUMMYFUNCTION("IF(G632&lt;&gt;"""", GOOGLETRANSLATE(G632, ""en"", ""te""),"""")"),"")</f>
        <v/>
      </c>
      <c r="I632" s="3"/>
    </row>
    <row r="633" customHeight="1" spans="1:9">
      <c r="A633" s="2"/>
      <c r="B633" s="2" t="str">
        <f>IFERROR(__xludf.DUMMYFUNCTION("IF(A633&lt;&gt;"""", GOOGLETRANSLATE(A633, ""en"", ""te""),"""")"),"")</f>
        <v/>
      </c>
      <c r="C633" s="2"/>
      <c r="D633" s="2" t="str">
        <f>IFERROR(__xludf.DUMMYFUNCTION("IF(C633&lt;&gt;"""", GOOGLETRANSLATE(C633, ""en"", ""te""),"""")"),"")</f>
        <v/>
      </c>
      <c r="E633" s="2"/>
      <c r="F633" s="2" t="str">
        <f>IFERROR(__xludf.DUMMYFUNCTION("IF(E633&lt;&gt;"""", GOOGLETRANSLATE(E633, ""en"", ""te""),"""")"),"")</f>
        <v/>
      </c>
      <c r="G633" s="2"/>
      <c r="H633" s="2" t="str">
        <f>IFERROR(__xludf.DUMMYFUNCTION("IF(G633&lt;&gt;"""", GOOGLETRANSLATE(G633, ""en"", ""te""),"""")"),"")</f>
        <v/>
      </c>
      <c r="I633" s="3"/>
    </row>
    <row r="634" customHeight="1" spans="1:9">
      <c r="A634" s="2"/>
      <c r="B634" s="2" t="str">
        <f>IFERROR(__xludf.DUMMYFUNCTION("IF(A634&lt;&gt;"""", GOOGLETRANSLATE(A634, ""en"", ""te""),"""")"),"")</f>
        <v/>
      </c>
      <c r="C634" s="2" t="s">
        <v>514</v>
      </c>
      <c r="D634" s="2" t="str">
        <f>IFERROR(__xludf.DUMMYFUNCTION("IF(C634&lt;&gt;"""", GOOGLETRANSLATE(C634, ""en"", ""te""),"""")"),"[ '47 వ ఉత్తమ కెరీర్ (15.00) (అర్హత లేకుండా) సగటు బౌలింగ్', 'తొలి ఇన్నింగ్స్లో 14 బెస్ట్ ఫిగర్స్ (4)', 'తొలి 16 వ ఓల్డెస్ట్ క్రీడాకారులు (36y 24d)']")</f>
        <v>[ '47 వ ఉత్తమ కెరీర్ (15.00) (అర్హత లేకుండా) సగటు బౌలింగ్', 'తొలి ఇన్నింగ్స్లో 14 బెస్ట్ ఫిగర్స్ (4)', 'తొలి 16 వ ఓల్డెస్ట్ క్రీడాకారులు (36y 24d)']</v>
      </c>
      <c r="E634" s="2" t="s">
        <v>515</v>
      </c>
      <c r="F634" s="2" t="str">
        <f>IFERROR(__xludf.DUMMYFUNCTION("IF(E634&lt;&gt;"""", GOOGLETRANSLATE(E634, ""en"", ""te""),"""")"),"[ 'తొలి 19 ఓల్డెస్ట్ క్రీడాకారులు (35y 151d)']")</f>
        <v>[ 'తొలి 19 ఓల్డెస్ట్ క్రీడాకారులు (35y 151d)']</v>
      </c>
      <c r="G634" s="2"/>
      <c r="H634" s="2" t="str">
        <f>IFERROR(__xludf.DUMMYFUNCTION("IF(G634&lt;&gt;"""", GOOGLETRANSLATE(G634, ""en"", ""te""),"""")"),"")</f>
        <v/>
      </c>
      <c r="I634" s="3"/>
    </row>
    <row r="635" customHeight="1" spans="1:9">
      <c r="A635" s="2"/>
      <c r="B635" s="2" t="str">
        <f>IFERROR(__xludf.DUMMYFUNCTION("IF(A635&lt;&gt;"""", GOOGLETRANSLATE(A635, ""en"", ""te""),"""")"),"")</f>
        <v/>
      </c>
      <c r="C635" s="2"/>
      <c r="D635" s="2" t="str">
        <f>IFERROR(__xludf.DUMMYFUNCTION("IF(C635&lt;&gt;"""", GOOGLETRANSLATE(C635, ""en"", ""te""),"""")"),"")</f>
        <v/>
      </c>
      <c r="E635" s="2"/>
      <c r="F635" s="2" t="str">
        <f>IFERROR(__xludf.DUMMYFUNCTION("IF(E635&lt;&gt;"""", GOOGLETRANSLATE(E635, ""en"", ""te""),"""")"),"")</f>
        <v/>
      </c>
      <c r="G635" s="2"/>
      <c r="H635" s="2" t="str">
        <f>IFERROR(__xludf.DUMMYFUNCTION("IF(G635&lt;&gt;"""", GOOGLETRANSLATE(G635, ""en"", ""te""),"""")"),"")</f>
        <v/>
      </c>
      <c r="I635" s="3"/>
    </row>
    <row r="636" customHeight="1" spans="1:9">
      <c r="A636" s="2"/>
      <c r="B636" s="2" t="str">
        <f>IFERROR(__xludf.DUMMYFUNCTION("IF(A636&lt;&gt;"""", GOOGLETRANSLATE(A636, ""en"", ""te""),"""")"),"")</f>
        <v/>
      </c>
      <c r="C636" s="2"/>
      <c r="D636" s="2" t="str">
        <f>IFERROR(__xludf.DUMMYFUNCTION("IF(C636&lt;&gt;"""", GOOGLETRANSLATE(C636, ""en"", ""te""),"""")"),"")</f>
        <v/>
      </c>
      <c r="E636" s="2"/>
      <c r="F636" s="2" t="str">
        <f>IFERROR(__xludf.DUMMYFUNCTION("IF(E636&lt;&gt;"""", GOOGLETRANSLATE(E636, ""en"", ""te""),"""")"),"")</f>
        <v/>
      </c>
      <c r="G636" s="2"/>
      <c r="H636" s="2" t="str">
        <f>IFERROR(__xludf.DUMMYFUNCTION("IF(G636&lt;&gt;"""", GOOGLETRANSLATE(G636, ""en"", ""te""),"""")"),"")</f>
        <v/>
      </c>
      <c r="I636" s="3"/>
    </row>
    <row r="637" customHeight="1" spans="1:9">
      <c r="A637" s="2"/>
      <c r="B637" s="2" t="str">
        <f>IFERROR(__xludf.DUMMYFUNCTION("IF(A637&lt;&gt;"""", GOOGLETRANSLATE(A637, ""en"", ""te""),"""")"),"")</f>
        <v/>
      </c>
      <c r="C637" s="2"/>
      <c r="D637" s="2" t="str">
        <f>IFERROR(__xludf.DUMMYFUNCTION("IF(C637&lt;&gt;"""", GOOGLETRANSLATE(C637, ""en"", ""te""),"""")"),"")</f>
        <v/>
      </c>
      <c r="E637" s="2"/>
      <c r="F637" s="2" t="str">
        <f>IFERROR(__xludf.DUMMYFUNCTION("IF(E637&lt;&gt;"""", GOOGLETRANSLATE(E637, ""en"", ""te""),"""")"),"")</f>
        <v/>
      </c>
      <c r="G637" s="2"/>
      <c r="H637" s="2" t="str">
        <f>IFERROR(__xludf.DUMMYFUNCTION("IF(G637&lt;&gt;"""", GOOGLETRANSLATE(G637, ""en"", ""te""),"""")"),"")</f>
        <v/>
      </c>
      <c r="I637" s="3"/>
    </row>
    <row r="638" customHeight="1" spans="1:9">
      <c r="A638" s="2"/>
      <c r="B638" s="2" t="str">
        <f>IFERROR(__xludf.DUMMYFUNCTION("IF(A638&lt;&gt;"""", GOOGLETRANSLATE(A638, ""en"", ""te""),"""")"),"")</f>
        <v/>
      </c>
      <c r="C638" s="2"/>
      <c r="D638" s="2" t="str">
        <f>IFERROR(__xludf.DUMMYFUNCTION("IF(C638&lt;&gt;"""", GOOGLETRANSLATE(C638, ""en"", ""te""),"""")"),"")</f>
        <v/>
      </c>
      <c r="E638" s="2"/>
      <c r="F638" s="2" t="str">
        <f>IFERROR(__xludf.DUMMYFUNCTION("IF(E638&lt;&gt;"""", GOOGLETRANSLATE(E638, ""en"", ""te""),"""")"),"")</f>
        <v/>
      </c>
      <c r="G638" s="2"/>
      <c r="H638" s="2" t="str">
        <f>IFERROR(__xludf.DUMMYFUNCTION("IF(G638&lt;&gt;"""", GOOGLETRANSLATE(G638, ""en"", ""te""),"""")"),"")</f>
        <v/>
      </c>
      <c r="I638" s="3"/>
    </row>
    <row r="639" customHeight="1" spans="1:9">
      <c r="A639" s="2"/>
      <c r="B639" s="2" t="str">
        <f>IFERROR(__xludf.DUMMYFUNCTION("IF(A639&lt;&gt;"""", GOOGLETRANSLATE(A639, ""en"", ""te""),"""")"),"")</f>
        <v/>
      </c>
      <c r="C639" s="2"/>
      <c r="D639" s="2" t="str">
        <f>IFERROR(__xludf.DUMMYFUNCTION("IF(C639&lt;&gt;"""", GOOGLETRANSLATE(C639, ""en"", ""te""),"""")"),"")</f>
        <v/>
      </c>
      <c r="E639" s="2"/>
      <c r="F639" s="2" t="str">
        <f>IFERROR(__xludf.DUMMYFUNCTION("IF(E639&lt;&gt;"""", GOOGLETRANSLATE(E639, ""en"", ""te""),"""")"),"")</f>
        <v/>
      </c>
      <c r="G639" s="2"/>
      <c r="H639" s="2" t="str">
        <f>IFERROR(__xludf.DUMMYFUNCTION("IF(G639&lt;&gt;"""", GOOGLETRANSLATE(G639, ""en"", ""te""),"""")"),"")</f>
        <v/>
      </c>
      <c r="I639" s="3"/>
    </row>
    <row r="640" customHeight="1" spans="1:9">
      <c r="A640" s="2"/>
      <c r="B640" s="2" t="str">
        <f>IFERROR(__xludf.DUMMYFUNCTION("IF(A640&lt;&gt;"""", GOOGLETRANSLATE(A640, ""en"", ""te""),"""")"),"")</f>
        <v/>
      </c>
      <c r="C640" s="2"/>
      <c r="D640" s="2" t="str">
        <f>IFERROR(__xludf.DUMMYFUNCTION("IF(C640&lt;&gt;"""", GOOGLETRANSLATE(C640, ""en"", ""te""),"""")"),"")</f>
        <v/>
      </c>
      <c r="E640" s="2"/>
      <c r="F640" s="2" t="str">
        <f>IFERROR(__xludf.DUMMYFUNCTION("IF(E640&lt;&gt;"""", GOOGLETRANSLATE(E640, ""en"", ""te""),"""")"),"")</f>
        <v/>
      </c>
      <c r="G640" s="2"/>
      <c r="H640" s="2" t="str">
        <f>IFERROR(__xludf.DUMMYFUNCTION("IF(G640&lt;&gt;"""", GOOGLETRANSLATE(G640, ""en"", ""te""),"""")"),"")</f>
        <v/>
      </c>
      <c r="I640" s="3"/>
    </row>
    <row r="641" customHeight="1" spans="1:9">
      <c r="A641" s="2"/>
      <c r="B641" s="2" t="str">
        <f>IFERROR(__xludf.DUMMYFUNCTION("IF(A641&lt;&gt;"""", GOOGLETRANSLATE(A641, ""en"", ""te""),"""")"),"")</f>
        <v/>
      </c>
      <c r="C641" s="2"/>
      <c r="D641" s="2" t="str">
        <f>IFERROR(__xludf.DUMMYFUNCTION("IF(C641&lt;&gt;"""", GOOGLETRANSLATE(C641, ""en"", ""te""),"""")"),"")</f>
        <v/>
      </c>
      <c r="E641" s="2"/>
      <c r="F641" s="2" t="str">
        <f>IFERROR(__xludf.DUMMYFUNCTION("IF(E641&lt;&gt;"""", GOOGLETRANSLATE(E641, ""en"", ""te""),"""")"),"")</f>
        <v/>
      </c>
      <c r="G641" s="2"/>
      <c r="H641" s="2" t="str">
        <f>IFERROR(__xludf.DUMMYFUNCTION("IF(G641&lt;&gt;"""", GOOGLETRANSLATE(G641, ""en"", ""te""),"""")"),"")</f>
        <v/>
      </c>
      <c r="I641" s="3"/>
    </row>
    <row r="642" customHeight="1" spans="1:9">
      <c r="A642" s="2"/>
      <c r="B642" s="2" t="str">
        <f>IFERROR(__xludf.DUMMYFUNCTION("IF(A642&lt;&gt;"""", GOOGLETRANSLATE(A642, ""en"", ""te""),"""")"),"")</f>
        <v/>
      </c>
      <c r="C642" s="2"/>
      <c r="D642" s="2" t="str">
        <f>IFERROR(__xludf.DUMMYFUNCTION("IF(C642&lt;&gt;"""", GOOGLETRANSLATE(C642, ""en"", ""te""),"""")"),"")</f>
        <v/>
      </c>
      <c r="E642" s="2"/>
      <c r="F642" s="2" t="str">
        <f>IFERROR(__xludf.DUMMYFUNCTION("IF(E642&lt;&gt;"""", GOOGLETRANSLATE(E642, ""en"", ""te""),"""")"),"")</f>
        <v/>
      </c>
      <c r="G642" s="2"/>
      <c r="H642" s="2" t="str">
        <f>IFERROR(__xludf.DUMMYFUNCTION("IF(G642&lt;&gt;"""", GOOGLETRANSLATE(G642, ""en"", ""te""),"""")"),"")</f>
        <v/>
      </c>
      <c r="I642" s="3"/>
    </row>
    <row r="643" customHeight="1" spans="1:9">
      <c r="A643" s="2" t="s">
        <v>516</v>
      </c>
      <c r="B643" s="2" t="str">
        <f>IFERROR(__xludf.DUMMYFUNCTION("IF(A643&lt;&gt;"""", GOOGLETRANSLATE(A643, ""en"", ""te""),"""")"),"[ 'కెరీర్లో 5 వ అత్యధిక వికెట్లు (102)', 'వికెట్ను కాపాడుకున్నాడు చేసిన 1st కెప్టెన్ల (71)', 'ఇన్నింగ్స్ (4) 3 వ అత్యధిక క్యాచ్లు' 'కెప్టెన్ 5 వ అత్యధిక మ్యాచ్లు (74)', '9 వ అత్యంత కెరీర్లో స్టంపింగ్లు (26) ',' 6 వ చాలా కెరీర్ లో ఒక ఇన్నింగ్స్ (11) ',' 6 "&amp;"వ మోస్ట్ రన్స్ వంద (1752) ',' 200 పరుగులు మరియు ఒక సిరీస్లో 10 వికెట్కీపింగ్ తొలగింపులకు ',' 4 వ లేకుండా సాధించిన బైస్ కెరీర్లో అత్యధిక వికెట్లు (70) ',' ఇన్నింగ్స్ లో వికెట్ ఉంచింది చేసిన 1st కెప్టెన్ల (65) ',' 4 వ కెరీర్లో అత్యధిక క్యాచ్లు (36) ',' 5 వ"&amp;" కెరీర్ స్టంపింగ్లు (34) ',' 10 వ అత్యధిక పరుగులు (26) ఒక డక్ (55) లేకుండా 6 వ అత్యధిక వరుస ఇన్నింగ్స్ (బ్యాటింగ్ స్థానంలో ద్వారా) ',' ']")</f>
        <v>[ 'కెరీర్లో 5 వ అత్యధిక వికెట్లు (102)', 'వికెట్ను కాపాడుకున్నాడు చేసిన 1st కెప్టెన్ల (71)', 'ఇన్నింగ్స్ (4) 3 వ అత్యధిక క్యాచ్లు' 'కెప్టెన్ 5 వ అత్యధిక మ్యాచ్లు (74)', '9 వ అత్యంత కెరీర్లో స్టంపింగ్లు (26) ',' 6 వ చాలా కెరీర్ లో ఒక ఇన్నింగ్స్ (11) ',' 6 వ మోస్ట్ రన్స్ వంద (1752) ',' 200 పరుగులు మరియు ఒక సిరీస్లో 10 వికెట్కీపింగ్ తొలగింపులకు ',' 4 వ లేకుండా సాధించిన బైస్ కెరీర్లో అత్యధిక వికెట్లు (70) ',' ఇన్నింగ్స్ లో వికెట్ ఉంచింది చేసిన 1st కెప్టెన్ల (65) ',' 4 వ కెరీర్లో అత్యధిక క్యాచ్లు (36) ',' 5 వ కెరీర్ స్టంపింగ్లు (34) ',' 10 వ అత్యధిక పరుగులు (26) ఒక డక్ (55) లేకుండా 6 వ అత్యధిక వరుస ఇన్నింగ్స్ (బ్యాటింగ్ స్థానంలో ద్వారా) ',' ']</v>
      </c>
      <c r="C643" s="2"/>
      <c r="D643" s="2" t="str">
        <f>IFERROR(__xludf.DUMMYFUNCTION("IF(C643&lt;&gt;"""", GOOGLETRANSLATE(C643, ""en"", ""te""),"""")"),"")</f>
        <v/>
      </c>
      <c r="E643" s="2" t="s">
        <v>517</v>
      </c>
      <c r="F643" s="2" t="str">
        <f>IFERROR(__xludf.DUMMYFUNCTION("IF(E643&lt;&gt;"""", GOOGLETRANSLATE(E643, ""en"", ""te""),"""")"),"[ 'వరుస వికెట్లు 14 వ అత్యధిక పరుగులు (232)' '49 వ అత్యధిక కెరీర్ లో పరుగులు (1752)', 'ఇన్నింగ్స్ లో 7 వ అత్యధిక పరుగులు (బ్యాటింగ్ స్థానంలో ప్రకారం) (47 *)', '6 వ అత్యంత పరుగులు వంద (1752) ',' ఒక డక్ లేకుండా 48 వ వరుస ఇన్నింగ్స్ (31) ',' 15 వ కెరీర్ బాతు"&amp;"లు (10) ',' 30 వ అత్యధిక మ్యాచ్లు కెరీర్లో (112) ',' 5 వ ఎక్కువగా అగ్గిపెట్ట లేకుండా వృత్తి కెప్టెన్ (74) ',' ఒక జట్టు కెప్టెన్గా 9 వ వరుస మ్యాచ్లు (36) ',' 26th పిన్న కాప్టెన్ (23y 84d) ',' వికెట్ (71) ఉంచింది చేసిన 1st కెప్టెన్ల ',' వికెట్ను కాపాడుకున్న"&amp;"ాడు చేసిన 6 వ కెప్టెన్ల మరియు ఒక సిరీస్ లో ఒక ఇన్నింగ్స్ (4) ',' 17 వ అత్యధిక వికెట్లు (14) ',' 4 వ అత్యధిక కెరీర్ లో క్యాచ్లు కెరీర్లో (4) ',' 5 వ అత్యధిక వికెట్లు (102) ',' 17 వ అత్యధిక వికెట్లు బ్యాటింగ్ ప్రారంభించాడు (76) ',' ఇన్నింగ్స్ లో 3 వ అత్యధిక"&amp;" క్యాచ్లు (4) ',' 16 వ ఒక సిరీస్లో అత్యధిక క్యాచ్లు కెరీర్లో (9) ',' 9 వ అత్యంత స్టంపింగ్లు (26) ',' 17 వ ఒక సిరీస్లో అత్యధిక స్టంపింగ్లు (6) ',' 6 వ అత్యంత ఇన్నింగ్స్ లో సాధించిన బైస్ (11) ']")</f>
        <v>[ 'వరుస వికెట్లు 14 వ అత్యధిక పరుగులు (232)' '49 వ అత్యధిక కెరీర్ లో పరుగులు (1752)', 'ఇన్నింగ్స్ లో 7 వ అత్యధిక పరుగులు (బ్యాటింగ్ స్థానంలో ప్రకారం) (47 *)', '6 వ అత్యంత పరుగులు వంద (1752) ',' ఒక డక్ లేకుండా 48 వ వరుస ఇన్నింగ్స్ (31) ',' 15 వ కెరీర్ బాతులు (10) ',' 30 వ అత్యధిక మ్యాచ్లు కెరీర్లో (112) ',' 5 వ ఎక్కువగా అగ్గిపెట్ట లేకుండా వృత్తి కెప్టెన్ (74) ',' ఒక జట్టు కెప్టెన్గా 9 వ వరుస మ్యాచ్లు (36) ',' 26th పిన్న కాప్టెన్ (23y 84d) ',' వికెట్ (71) ఉంచింది చేసిన 1st కెప్టెన్ల ',' వికెట్ను కాపాడుకున్నాడు చేసిన 6 వ కెప్టెన్ల మరియు ఒక సిరీస్ లో ఒక ఇన్నింగ్స్ (4) ',' 17 వ అత్యధిక వికెట్లు (14) ',' 4 వ అత్యధిక కెరీర్ లో క్యాచ్లు కెరీర్లో (4) ',' 5 వ అత్యధిక వికెట్లు (102) ',' 17 వ అత్యధిక వికెట్లు బ్యాటింగ్ ప్రారంభించాడు (76) ',' ఇన్నింగ్స్ లో 3 వ అత్యధిక క్యాచ్లు (4) ',' 16 వ ఒక సిరీస్లో అత్యధిక క్యాచ్లు కెరీర్లో (9) ',' 9 వ అత్యంత స్టంపింగ్లు (26) ',' 17 వ ఒక సిరీస్లో అత్యధిక స్టంపింగ్లు (6) ',' 6 వ అత్యంత ఇన్నింగ్స్ లో సాధించిన బైస్ (11) ']</v>
      </c>
      <c r="G643" s="2" t="s">
        <v>518</v>
      </c>
      <c r="H643" s="2" t="str">
        <f>IFERROR(__xludf.DUMMYFUNCTION("IF(G643&lt;&gt;"""", GOOGLETRANSLATE(G643, ""en"", ""te""),"""")"),"[ '10 వ ఇన్నింగ్స్ లో అత్యధిక పరుగులు (బ్యాటింగ్ స్థానంలో ప్రకారం) (26)', 'ఒక డక్ లేకుండా 6 వ అత్యధిక వరుస ఇన్నింగ్స్ (55)', '15 వ అతి తక్కువ కెరీర్ లో బాతులు (36)', '33 వ అత్యధిక ఐదవ వికెట్ కొరకు చేసిన భాగస్వామ్యం (57) ',' 20 వ కెరీర్ లో అత్యధిక మ్యాచ్లు"&amp;" (95) ',' 3 వ అత్యంత కెప్టెన్గా పోటీలు (73) ',' వికెట్ (65) ఉంచింది చేసిన 1st కెప్టెన్ల ',' వికెట్ను కాపాడుకున్నాడు మరియు బ్యాటింగ్ తెరిచారు ఎవరు 2nd కెప్టెన్ల (1) ',' 4 వ అత్యంత ఇన్నింగ్స్ లో కెరీర్లో కెరీర్లో కెరీర్లో వికెట్లు (70) ',' 4 వ అత్యధిక క్యాచ"&amp;"్లు (36) ',' చాలా 5 వ స్టంపింగ్లు (34) ',' 9 వ అత్యంత స్టంపింగ్లు (3) ', '23 వ బైలు ఇన్నింగ్స్ (5) సాధించిన]")</f>
        <v>[ '10 వ ఇన్నింగ్స్ లో అత్యధిక పరుగులు (బ్యాటింగ్ స్థానంలో ప్రకారం) (26)', 'ఒక డక్ లేకుండా 6 వ అత్యధిక వరుస ఇన్నింగ్స్ (55)', '15 వ అతి తక్కువ కెరీర్ లో బాతులు (36)', '33 వ అత్యధిక ఐదవ వికెట్ కొరకు చేసిన భాగస్వామ్యం (57) ',' 20 వ కెరీర్ లో అత్యధిక మ్యాచ్లు (95) ',' 3 వ అత్యంత కెప్టెన్గా పోటీలు (73) ',' వికెట్ (65) ఉంచింది చేసిన 1st కెప్టెన్ల ',' వికెట్ను కాపాడుకున్నాడు మరియు బ్యాటింగ్ తెరిచారు ఎవరు 2nd కెప్టెన్ల (1) ',' 4 వ అత్యంత ఇన్నింగ్స్ లో కెరీర్లో కెరీర్లో కెరీర్లో వికెట్లు (70) ',' 4 వ అత్యధిక క్యాచ్లు (36) ',' చాలా 5 వ స్టంపింగ్లు (34) ',' 9 వ అత్యంత స్టంపింగ్లు (3) ', '23 వ బైలు ఇన్నింగ్స్ (5) సాధించిన]</v>
      </c>
      <c r="I643" s="3"/>
    </row>
    <row r="644" customHeight="1" spans="1:9">
      <c r="A644" s="2" t="s">
        <v>519</v>
      </c>
      <c r="B644" s="2" t="str">
        <f>IFERROR(__xludf.DUMMYFUNCTION("IF(A644&lt;&gt;"""", GOOGLETRANSLATE(A644, ""en"", ""te""),"""")"),"[ '7th అత్యంత ప్లేయర్ ఆఫ్ ది మ్యాచ్ అవార్డులు (14)', '7 వ కెరీర్ జతల (3)', '3 వ బౌలర్ / బ్యాటర్ కాంబినేషన్' ఇన్నింగ్స్ (7/25) లో 10 వ అత్యుత్తమ బౌలింగ్ విశ్లేషణలు '( 17) ',' 1000 పరుగులు మరియు 100 వికెట్లు ',' ఇన్నింగ్స్ లో 3 వ ఉత్తమ ఆర్థిక రేటు (0.50) ',"&amp;"' 6 వ అత్యధిక వరుస నాలుగు వికెట్లు-ఇన్-ఒక-ఇన్నింగ్స్ (5) ',' 1 వ బౌలర్ / బ్యాట్స్మన్ కలయికలు ( 21) ']")</f>
        <v>[ '7th అత్యంత ప్లేయర్ ఆఫ్ ది మ్యాచ్ అవార్డులు (14)', '7 వ కెరీర్ జతల (3)', '3 వ బౌలర్ / బ్యాటర్ కాంబినేషన్' ఇన్నింగ్స్ (7/25) లో 10 వ అత్యుత్తమ బౌలింగ్ విశ్లేషణలు '( 17) ',' 1000 పరుగులు మరియు 100 వికెట్లు ',' ఇన్నింగ్స్ లో 3 వ ఉత్తమ ఆర్థిక రేటు (0.50) ',' 6 వ అత్యధిక వరుస నాలుగు వికెట్లు-ఇన్-ఒక-ఇన్నింగ్స్ (5) ',' 1 వ బౌలర్ / బ్యాట్స్మన్ కలయికలు ( 21) ']</v>
      </c>
      <c r="C644" s="2" t="s">
        <v>520</v>
      </c>
      <c r="D644" s="2" t="str">
        <f>IFERROR(__xludf.DUMMYFUNCTION("IF(C644&lt;&gt;"""", GOOGLETRANSLATE(C644, ""en"", ""te""),"""")"),"[ '16 వ అత్యంత వంద (1439) లేకుండా ఒక వృత్తిలో పరుగులు' '10 వ కెరీర్ లో చాలా బాతులు (26)', '7 వ అత్యంత జతల కెరీర్లో (3)', '16 వ అత్యధిక వికెట్లు కెరీర్లో (405)', ' వరుస ఇన్నింగ్స్ లో 37 వ బెస్ట్ ఫిగర్స్ (8/45) ',' 33 వ అత్యధిక వికెట్లు (33) ',' 10 వ అత్యుత"&amp;"్తమ ఇన్నింగ్స్ లో బౌలింగ్ విశ్లేషణలు (7/25) ',' 15 వ ఒకే మైదానంలో అత్యధిక వికెట్లు (66 ) ',' 20 వ ఒక వృత్తిలో సగటు (20.99) ',' 17 వ అత్యంత ఐదు-వికెట్ల లో-ఒక-ఇన్నింగ్స్ బౌలింగ్ ఉత్తమ కెరీర్ (22) ',' 29 వ అత్యధిక పది వికెట్లు లో ఒక మ్యాచ్ ఒక వృత్తిలో ( 3) "&amp;"',' 17 వ కెరీర్ లో బౌల్డ్ చాలా బంతుల్లో (22103) ',' 31 కెరీర్లో సాధించిన అత్యధిక పరుగులు (8501) ',' 3 వ బౌలర్ / బ్యాటర్ కలయికలు (17) ',' 18 వ అత్యధిక వికెట్లు తీసుకున్న బౌల్డ్ (83) ', '13 వ అత్యధిక వికెట్లు తీసుకున్న ఆకర్షించింది (269)', 'ఆకర్షించింది తీస"&amp;"ుకున్న 16 వ అత్యధిక వికెట్లు ఫీల్డర్ చేత (173)', '9 వ అత్యధిక వికెట్లు ఆకర్షించింది అత్యధిక వికెట్లు తీసిన (96)', '30 వ అత్యధిక వికెట్లు తీసుకున్న ఎల్బిడబ్ల్యు (52)', '27 150 వికెట్లు (35) వేగంగా', 'ఫాస్టెస్ట్ 18 200 వికెట్లు (45)', '250 వికెట్లు 19 వేగవం"&amp;"తమైన (58)', '17 వ 300 వికెట్లు (71) వేగంగా', '16 వ ఫాస్ట్ est 350 వికెట్లు (84) ',' ఫాస్టెస్ట్ 400 వికెట్లు (97) ',' 7 వ అత్యంత ప్లేయర్ ఆఫ్ ది మ్యాచ్ అవార్డులు (14) ',' 9 వ అత్యంత ప్లేయర్ ఆఫ్ ది సిరీస్ అవార్డులు 11 వ (6) ']")</f>
        <v>[ '16 వ అత్యంత వంద (1439) లేకుండా ఒక వృత్తిలో పరుగులు' '10 వ కెరీర్ లో చాలా బాతులు (26)', '7 వ అత్యంత జతల కెరీర్లో (3)', '16 వ అత్యధిక వికెట్లు కెరీర్లో (405)', ' వరుస ఇన్నింగ్స్ లో 37 వ బెస్ట్ ఫిగర్స్ (8/45) ',' 33 వ అత్యధిక వికెట్లు (33) ',' 10 వ అత్యుత్తమ ఇన్నింగ్స్ లో బౌలింగ్ విశ్లేషణలు (7/25) ',' 15 వ ఒకే మైదానంలో అత్యధిక వికెట్లు (66 ) ',' 20 వ ఒక వృత్తిలో సగటు (20.99) ',' 17 వ అత్యంత ఐదు-వికెట్ల లో-ఒక-ఇన్నింగ్స్ బౌలింగ్ ఉత్తమ కెరీర్ (22) ',' 29 వ అత్యధిక పది వికెట్లు లో ఒక మ్యాచ్ ఒక వృత్తిలో ( 3) ',' 17 వ కెరీర్ లో బౌల్డ్ చాలా బంతుల్లో (22103) ',' 31 కెరీర్లో సాధించిన అత్యధిక పరుగులు (8501) ',' 3 వ బౌలర్ / బ్యాటర్ కలయికలు (17) ',' 18 వ అత్యధిక వికెట్లు తీసుకున్న బౌల్డ్ (83) ', '13 వ అత్యధిక వికెట్లు తీసుకున్న ఆకర్షించింది (269)', 'ఆకర్షించింది తీసుకున్న 16 వ అత్యధిక వికెట్లు ఫీల్డర్ చేత (173)', '9 వ అత్యధిక వికెట్లు ఆకర్షించింది అత్యధిక వికెట్లు తీసిన (96)', '30 వ అత్యధిక వికెట్లు తీసుకున్న ఎల్బిడబ్ల్యు (52)', '27 150 వికెట్లు (35) వేగంగా', 'ఫాస్టెస్ట్ 18 200 వికెట్లు (45)', '250 వికెట్లు 19 వేగవంతమైన (58)', '17 వ 300 వికెట్లు (71) వేగంగా', '16 వ ఫాస్ట్ est 350 వికెట్లు (84) ',' ఫాస్టెస్ట్ 400 వికెట్లు (97) ',' 7 వ అత్యంత ప్లేయర్ ఆఫ్ ది మ్యాచ్ అవార్డులు (14) ',' 9 వ అత్యంత ప్లేయర్ ఆఫ్ ది సిరీస్ అవార్డులు 11 వ (6) ']</v>
      </c>
      <c r="E644" s="2" t="s">
        <v>521</v>
      </c>
      <c r="F644" s="2" t="str">
        <f>IFERROR(__xludf.DUMMYFUNCTION("IF(E644&lt;&gt;"""", GOOGLETRANSLATE(E644, ""en"", ""te""),"""")"),"[ '33 వ కెరీర్ లో అత్యధిక వికెట్లు (225)', '16 వ ఒక సిరీస్లో అత్యధిక వికెట్లు (21)', '14 వ ఒక ఇన్నింగ్స్ లోని బెస్ట్ ఫిగర్స్ (5) పరాజయం వైపు ఉన్నప్పుడు', '47 వ ఉత్తమ కెరీర్ సగటు బౌలింగ్ (24.12) ',' 13 వ ఉత్తమ కెరీర్ ఆర్థిక రేటు (3.48) ',' ఇన్నింగ్స్ లో 3"&amp;" వ ఉత్తమ ఆర్థిక రేటు (0.50) ',' తొలి ఇన్నింగ్స్ 15 వ బెస్ట్ ఫిగర్స్ (4) ',' 15 వ అత్యంత ఐదు-వికెట్ల లో-ఒక ఒక కెరీర్ (4) ',' 25 వ అత్యంత నాలుగు వికెట్లు-ఇన్-ఒక-ఇన్నింగ్స్ కెరీర్లో (10) ',' 13 వ వరుస నాలుగు వికెట్లు-ఇన్-ఒక-ఇన్నింగ్స్ (2) ',' 28th లో -inning"&amp;"s కెరీర్లో బౌల్డ్ అత్యంత బంతుల్లో (9353) ',' 25 వ బౌలర్ / బ్యాట్స్ కలయికలు (8) ',' 19 వ అత్యధిక వికెట్లు తీసుకున్న బౌల్డ్ (66) ',' 31 అత్యధిక వికెట్లు తీసుకున్న ఆకర్షించింది (144) ',' 35 వ అత్యధిక వికెట్లు పట్టుకుంటే తీసుకున్న ఒక ఫీల్డర్ (98) ',' 24 వ అత్"&amp;"యధిక వికెట్లు 50 వికెట్లు 100 వికెట్లు (26) ',' 19 వ వేగంగా ఒక వికెట్కీపర్గా (46) ',' 11 వ వేగంగా పట్టుకుంటే తీసుకున్న (61) ',' 23 150 వికెట్లు వేగవంతమైన ( 103) ',' 19 వ వేగంగా 200 వికెట్లు (146) ']")</f>
        <v>[ '33 వ కెరీర్ లో అత్యధిక వికెట్లు (225)', '16 వ ఒక సిరీస్లో అత్యధిక వికెట్లు (21)', '14 వ ఒక ఇన్నింగ్స్ లోని బెస్ట్ ఫిగర్స్ (5) పరాజయం వైపు ఉన్నప్పుడు', '47 వ ఉత్తమ కెరీర్ సగటు బౌలింగ్ (24.12) ',' 13 వ ఉత్తమ కెరీర్ ఆర్థిక రేటు (3.48) ',' ఇన్నింగ్స్ లో 3 వ ఉత్తమ ఆర్థిక రేటు (0.50) ',' తొలి ఇన్నింగ్స్ 15 వ బెస్ట్ ఫిగర్స్ (4) ',' 15 వ అత్యంత ఐదు-వికెట్ల లో-ఒక ఒక కెరీర్ (4) ',' 25 వ అత్యంత నాలుగు వికెట్లు-ఇన్-ఒక-ఇన్నింగ్స్ కెరీర్లో (10) ',' 13 వ వరుస నాలుగు వికెట్లు-ఇన్-ఒక-ఇన్నింగ్స్ (2) ',' 28th లో -innings కెరీర్లో బౌల్డ్ అత్యంత బంతుల్లో (9353) ',' 25 వ బౌలర్ / బ్యాట్స్ కలయికలు (8) ',' 19 వ అత్యధిక వికెట్లు తీసుకున్న బౌల్డ్ (66) ',' 31 అత్యధిక వికెట్లు తీసుకున్న ఆకర్షించింది (144) ',' 35 వ అత్యధిక వికెట్లు పట్టుకుంటే తీసుకున్న ఒక ఫీల్డర్ (98) ',' 24 వ అత్యధిక వికెట్లు 50 వికెట్లు 100 వికెట్లు (26) ',' 19 వ వేగంగా ఒక వికెట్కీపర్గా (46) ',' 11 వ వేగంగా పట్టుకుంటే తీసుకున్న (61) ',' 23 150 వికెట్లు వేగవంతమైన ( 103) ',' 19 వ వేగంగా 200 వికెట్లు (146) ']</v>
      </c>
      <c r="G644" s="2"/>
      <c r="H644" s="2" t="str">
        <f>IFERROR(__xludf.DUMMYFUNCTION("IF(G644&lt;&gt;"""", GOOGLETRANSLATE(G644, ""en"", ""te""),"""")"),"")</f>
        <v/>
      </c>
      <c r="I644" s="3"/>
    </row>
    <row r="645" customHeight="1" spans="1:9">
      <c r="A645" s="2"/>
      <c r="B645" s="2" t="str">
        <f>IFERROR(__xludf.DUMMYFUNCTION("IF(A645&lt;&gt;"""", GOOGLETRANSLATE(A645, ""en"", ""te""),"""")"),"")</f>
        <v/>
      </c>
      <c r="C645" s="2"/>
      <c r="D645" s="2" t="str">
        <f>IFERROR(__xludf.DUMMYFUNCTION("IF(C645&lt;&gt;"""", GOOGLETRANSLATE(C645, ""en"", ""te""),"""")"),"")</f>
        <v/>
      </c>
      <c r="E645" s="2"/>
      <c r="F645" s="2" t="str">
        <f>IFERROR(__xludf.DUMMYFUNCTION("IF(E645&lt;&gt;"""", GOOGLETRANSLATE(E645, ""en"", ""te""),"""")"),"")</f>
        <v/>
      </c>
      <c r="G645" s="2"/>
      <c r="H645" s="2" t="str">
        <f>IFERROR(__xludf.DUMMYFUNCTION("IF(G645&lt;&gt;"""", GOOGLETRANSLATE(G645, ""en"", ""te""),"""")"),"")</f>
        <v/>
      </c>
      <c r="I645" s="3"/>
    </row>
    <row r="646" customHeight="1" spans="1:9">
      <c r="A646" s="2"/>
      <c r="B646" s="2" t="str">
        <f>IFERROR(__xludf.DUMMYFUNCTION("IF(A646&lt;&gt;"""", GOOGLETRANSLATE(A646, ""en"", ""te""),"""")"),"")</f>
        <v/>
      </c>
      <c r="C646" s="2"/>
      <c r="D646" s="2" t="str">
        <f>IFERROR(__xludf.DUMMYFUNCTION("IF(C646&lt;&gt;"""", GOOGLETRANSLATE(C646, ""en"", ""te""),"""")"),"")</f>
        <v/>
      </c>
      <c r="E646" s="2"/>
      <c r="F646" s="2" t="str">
        <f>IFERROR(__xludf.DUMMYFUNCTION("IF(E646&lt;&gt;"""", GOOGLETRANSLATE(E646, ""en"", ""te""),"""")"),"")</f>
        <v/>
      </c>
      <c r="G646" s="2"/>
      <c r="H646" s="2" t="str">
        <f>IFERROR(__xludf.DUMMYFUNCTION("IF(G646&lt;&gt;"""", GOOGLETRANSLATE(G646, ""en"", ""te""),"""")"),"")</f>
        <v/>
      </c>
      <c r="I646" s="3"/>
    </row>
    <row r="647" customHeight="1" spans="1:9">
      <c r="A647" s="2"/>
      <c r="B647" s="2" t="str">
        <f>IFERROR(__xludf.DUMMYFUNCTION("IF(A647&lt;&gt;"""", GOOGLETRANSLATE(A647, ""en"", ""te""),"""")"),"")</f>
        <v/>
      </c>
      <c r="C647" s="2"/>
      <c r="D647" s="2" t="str">
        <f>IFERROR(__xludf.DUMMYFUNCTION("IF(C647&lt;&gt;"""", GOOGLETRANSLATE(C647, ""en"", ""te""),"""")"),"")</f>
        <v/>
      </c>
      <c r="E647" s="2"/>
      <c r="F647" s="2" t="str">
        <f>IFERROR(__xludf.DUMMYFUNCTION("IF(E647&lt;&gt;"""", GOOGLETRANSLATE(E647, ""en"", ""te""),"""")"),"")</f>
        <v/>
      </c>
      <c r="G647" s="2" t="s">
        <v>522</v>
      </c>
      <c r="H647" s="2" t="str">
        <f>IFERROR(__xludf.DUMMYFUNCTION("IF(G647&lt;&gt;"""", GOOGLETRANSLATE(G647, ""en"", ""te""),"""")"),"[ 'తొలి ఇన్నింగ్స్ 12 వ బెస్ట్ ఫిగర్స్ (3)']")</f>
        <v>[ 'తొలి ఇన్నింగ్స్ 12 వ బెస్ట్ ఫిగర్స్ (3)']</v>
      </c>
      <c r="I647" s="3"/>
    </row>
    <row r="648" customHeight="1" spans="1:9">
      <c r="A648" s="2"/>
      <c r="B648" s="2" t="str">
        <f>IFERROR(__xludf.DUMMYFUNCTION("IF(A648&lt;&gt;"""", GOOGLETRANSLATE(A648, ""en"", ""te""),"""")"),"")</f>
        <v/>
      </c>
      <c r="C648" s="2"/>
      <c r="D648" s="2" t="str">
        <f>IFERROR(__xludf.DUMMYFUNCTION("IF(C648&lt;&gt;"""", GOOGLETRANSLATE(C648, ""en"", ""te""),"""")"),"")</f>
        <v/>
      </c>
      <c r="E648" s="2"/>
      <c r="F648" s="2" t="str">
        <f>IFERROR(__xludf.DUMMYFUNCTION("IF(E648&lt;&gt;"""", GOOGLETRANSLATE(E648, ""en"", ""te""),"""")"),"")</f>
        <v/>
      </c>
      <c r="G648" s="2"/>
      <c r="H648" s="2" t="str">
        <f>IFERROR(__xludf.DUMMYFUNCTION("IF(G648&lt;&gt;"""", GOOGLETRANSLATE(G648, ""en"", ""te""),"""")"),"")</f>
        <v/>
      </c>
      <c r="I648" s="3"/>
    </row>
    <row r="649" customHeight="1" spans="1:9">
      <c r="A649" s="2"/>
      <c r="B649" s="2" t="str">
        <f>IFERROR(__xludf.DUMMYFUNCTION("IF(A649&lt;&gt;"""", GOOGLETRANSLATE(A649, ""en"", ""te""),"""")"),"")</f>
        <v/>
      </c>
      <c r="C649" s="2"/>
      <c r="D649" s="2" t="str">
        <f>IFERROR(__xludf.DUMMYFUNCTION("IF(C649&lt;&gt;"""", GOOGLETRANSLATE(C649, ""en"", ""te""),"""")"),"")</f>
        <v/>
      </c>
      <c r="E649" s="2" t="s">
        <v>523</v>
      </c>
      <c r="F649" s="2" t="str">
        <f>IFERROR(__xludf.DUMMYFUNCTION("IF(E649&lt;&gt;"""", GOOGLETRANSLATE(E649, ""en"", ""te""),"""")"),"[40 వ లాంగెస్ట్ నివసించారు క్రీడాకారులు (60y 155d) ']")</f>
        <v>[40 వ లాంగెస్ట్ నివసించారు క్రీడాకారులు (60y 155d) ']</v>
      </c>
      <c r="G649" s="2"/>
      <c r="H649" s="2" t="str">
        <f>IFERROR(__xludf.DUMMYFUNCTION("IF(G649&lt;&gt;"""", GOOGLETRANSLATE(G649, ""en"", ""te""),"""")"),"")</f>
        <v/>
      </c>
      <c r="I649" s="3"/>
    </row>
    <row r="650" customHeight="1" spans="1:9">
      <c r="A650" s="2" t="s">
        <v>524</v>
      </c>
      <c r="B650" s="2" t="str">
        <f>IFERROR(__xludf.DUMMYFUNCTION("IF(A650&lt;&gt;"""", GOOGLETRANSLATE(A650, ""en"", ""te""),"""")"),"[ 'ఒక కెప్టెన్తో పెయిర్' 'ఒక మ్యాచ్ లో రెండు అజేయంగా అర్ధ', '1 వ అత్యుత్తమ బౌలింగ్ ఇన్నింగ్స్ (1/0) విశ్లేషణలలో' 'ఒక మ్యాచ్ (6) లో 8 వ అత్యధిక క్యాచ్లు']")</f>
        <v>[ 'ఒక కెప్టెన్తో పెయిర్' 'ఒక మ్యాచ్ లో రెండు అజేయంగా అర్ధ', '1 వ అత్యుత్తమ బౌలింగ్ ఇన్నింగ్స్ (1/0) విశ్లేషణలలో' 'ఒక మ్యాచ్ (6) లో 8 వ అత్యధిక క్యాచ్లు']</v>
      </c>
      <c r="C650" s="2" t="s">
        <v>525</v>
      </c>
      <c r="D650" s="2" t="str">
        <f>IFERROR(__xludf.DUMMYFUNCTION("IF(C650&lt;&gt;"""", GOOGLETRANSLATE(C650, ""en"", ""te""),"""")"),"[, '1st అత్యుత్తమ బౌలింగ్ ఇన్నింగ్స్ లో విశ్లేషించడం (1/0)' 'ఫాస్టెస్ట్ 1000 పరుగులు (18) 13 వ' 'మొదటి డక్ (37) ముందు 26 వ అధిక ఇన్నింగ్స్', '44th చెత్త కెరీర్ బౌలింగ్ సరాసరి (49.48)', 'ఒక మ్యాచ్లో 8 వ అత్యధిక క్యాచ్లు (6)', 'ఎనిమిదవ వికెట్ (148) కోసం 23 "&amp;"అత్యధిక భాగస్వామ్యం']")</f>
        <v>[, '1st అత్యుత్తమ బౌలింగ్ ఇన్నింగ్స్ లో విశ్లేషించడం (1/0)' 'ఫాస్టెస్ట్ 1000 పరుగులు (18) 13 వ' 'మొదటి డక్ (37) ముందు 26 వ అధిక ఇన్నింగ్స్', '44th చెత్త కెరీర్ బౌలింగ్ సరాసరి (49.48)', 'ఒక మ్యాచ్లో 8 వ అత్యధిక క్యాచ్లు (6)', 'ఎనిమిదవ వికెట్ (148) కోసం 23 అత్యధిక భాగస్వామ్యం']</v>
      </c>
      <c r="E650" s="2" t="s">
        <v>526</v>
      </c>
      <c r="F650" s="2" t="str">
        <f>IFERROR(__xludf.DUMMYFUNCTION("IF(E650&lt;&gt;"""", GOOGLETRANSLATE(E650, ""en"", ""te""),"""")"),"[ '13 వ అత్యంత వంద (2204) లేకుండా ఒక వృత్తిలో పరుగులు' 'వరుస 24 వ అత్యధిక క్యాచ్లు (8)', ఒక ఇన్నింగ్స్ లో, '23 వ సాధించిన బైస్' 16 వ ఇన్నింగ్స్ (5) అత్యధిక వికెట్లు '(10 ) ']")</f>
        <v>[ '13 వ అత్యంత వంద (2204) లేకుండా ఒక వృత్తిలో పరుగులు' 'వరుస 24 వ అత్యధిక క్యాచ్లు (8)', ఒక ఇన్నింగ్స్ లో, '23 వ సాధించిన బైస్' 16 వ ఇన్నింగ్స్ (5) అత్యధిక వికెట్లు '(10 ) ']</v>
      </c>
      <c r="G650" s="2"/>
      <c r="H650" s="2" t="str">
        <f>IFERROR(__xludf.DUMMYFUNCTION("IF(G650&lt;&gt;"""", GOOGLETRANSLATE(G650, ""en"", ""te""),"""")"),"")</f>
        <v/>
      </c>
      <c r="I650" s="3"/>
    </row>
    <row r="651" customHeight="1" spans="1:9">
      <c r="A651" s="2"/>
      <c r="B651" s="2" t="str">
        <f>IFERROR(__xludf.DUMMYFUNCTION("IF(A651&lt;&gt;"""", GOOGLETRANSLATE(A651, ""en"", ""te""),"""")"),"")</f>
        <v/>
      </c>
      <c r="C651" s="2"/>
      <c r="D651" s="2" t="str">
        <f>IFERROR(__xludf.DUMMYFUNCTION("IF(C651&lt;&gt;"""", GOOGLETRANSLATE(C651, ""en"", ""te""),"""")"),"")</f>
        <v/>
      </c>
      <c r="E651" s="2" t="s">
        <v>527</v>
      </c>
      <c r="F651" s="2" t="str">
        <f>IFERROR(__xludf.DUMMYFUNCTION("IF(E651&lt;&gt;"""", GOOGLETRANSLATE(E651, ""en"", ""te""),"""")"),"[18 వ అత్యధిక తొలి వంద (148) ',' 39 వ ఇన్నింగ్స్ లో వచ్చిన ఎక్కువ ఫోర్లు (19) ']")</f>
        <v>[18 వ అత్యధిక తొలి వంద (148) ',' 39 వ ఇన్నింగ్స్ లో వచ్చిన ఎక్కువ ఫోర్లు (19) ']</v>
      </c>
      <c r="G651" s="2"/>
      <c r="H651" s="2" t="str">
        <f>IFERROR(__xludf.DUMMYFUNCTION("IF(G651&lt;&gt;"""", GOOGLETRANSLATE(G651, ""en"", ""te""),"""")"),"")</f>
        <v/>
      </c>
      <c r="I651" s="3"/>
    </row>
    <row r="652" customHeight="1" spans="1:9">
      <c r="A652" s="2"/>
      <c r="B652" s="2" t="str">
        <f>IFERROR(__xludf.DUMMYFUNCTION("IF(A652&lt;&gt;"""", GOOGLETRANSLATE(A652, ""en"", ""te""),"""")"),"")</f>
        <v/>
      </c>
      <c r="C652" s="2"/>
      <c r="D652" s="2" t="str">
        <f>IFERROR(__xludf.DUMMYFUNCTION("IF(C652&lt;&gt;"""", GOOGLETRANSLATE(C652, ""en"", ""te""),"""")"),"")</f>
        <v/>
      </c>
      <c r="E652" s="2"/>
      <c r="F652" s="2" t="str">
        <f>IFERROR(__xludf.DUMMYFUNCTION("IF(E652&lt;&gt;"""", GOOGLETRANSLATE(E652, ""en"", ""te""),"""")"),"")</f>
        <v/>
      </c>
      <c r="G652" s="2"/>
      <c r="H652" s="2" t="str">
        <f>IFERROR(__xludf.DUMMYFUNCTION("IF(G652&lt;&gt;"""", GOOGLETRANSLATE(G652, ""en"", ""te""),"""")"),"")</f>
        <v/>
      </c>
      <c r="I652" s="3"/>
    </row>
    <row r="653" customHeight="1" spans="1:9">
      <c r="A653" s="2"/>
      <c r="B653" s="2" t="str">
        <f>IFERROR(__xludf.DUMMYFUNCTION("IF(A653&lt;&gt;"""", GOOGLETRANSLATE(A653, ""en"", ""te""),"""")"),"")</f>
        <v/>
      </c>
      <c r="C653" s="2"/>
      <c r="D653" s="2" t="str">
        <f>IFERROR(__xludf.DUMMYFUNCTION("IF(C653&lt;&gt;"""", GOOGLETRANSLATE(C653, ""en"", ""te""),"""")"),"")</f>
        <v/>
      </c>
      <c r="E653" s="2"/>
      <c r="F653" s="2" t="str">
        <f>IFERROR(__xludf.DUMMYFUNCTION("IF(E653&lt;&gt;"""", GOOGLETRANSLATE(E653, ""en"", ""te""),"""")"),"")</f>
        <v/>
      </c>
      <c r="G653" s="2"/>
      <c r="H653" s="2" t="str">
        <f>IFERROR(__xludf.DUMMYFUNCTION("IF(G653&lt;&gt;"""", GOOGLETRANSLATE(G653, ""en"", ""te""),"""")"),"")</f>
        <v/>
      </c>
      <c r="I653" s="3"/>
    </row>
    <row r="654" customHeight="1" spans="1:9">
      <c r="A654" s="2"/>
      <c r="B654" s="2" t="str">
        <f>IFERROR(__xludf.DUMMYFUNCTION("IF(A654&lt;&gt;"""", GOOGLETRANSLATE(A654, ""en"", ""te""),"""")"),"")</f>
        <v/>
      </c>
      <c r="C654" s="2"/>
      <c r="D654" s="2" t="str">
        <f>IFERROR(__xludf.DUMMYFUNCTION("IF(C654&lt;&gt;"""", GOOGLETRANSLATE(C654, ""en"", ""te""),"""")"),"")</f>
        <v/>
      </c>
      <c r="E654" s="2" t="s">
        <v>528</v>
      </c>
      <c r="F654" s="2" t="str">
        <f>IFERROR(__xludf.DUMMYFUNCTION("IF(E654&lt;&gt;"""", GOOGLETRANSLATE(E654, ""en"", ""te""),"""")"),"[ '49 వ చెత్త కెరీర్ బౌలింగ్ సరాసరి (అర్హత లేకుండా) (104.20)']")</f>
        <v>[ '49 వ చెత్త కెరీర్ బౌలింగ్ సరాసరి (అర్హత లేకుండా) (104.20)']</v>
      </c>
      <c r="G654" s="2"/>
      <c r="H654" s="2" t="str">
        <f>IFERROR(__xludf.DUMMYFUNCTION("IF(G654&lt;&gt;"""", GOOGLETRANSLATE(G654, ""en"", ""te""),"""")"),"")</f>
        <v/>
      </c>
      <c r="I654" s="3"/>
    </row>
    <row r="655" customHeight="1" spans="1:9">
      <c r="A655" s="2" t="s">
        <v>9</v>
      </c>
      <c r="B655" s="2" t="str">
        <f>IFERROR(__xludf.DUMMYFUNCTION("IF(A655&lt;&gt;"""", GOOGLETRANSLATE(A655, ""en"", ""te""),"""")"),"[ 'హండ్రెడ్ మరియు ఒక మ్యాచ్లో ఒక డక్']")</f>
        <v>[ 'హండ్రెడ్ మరియు ఒక మ్యాచ్లో ఒక డక్']</v>
      </c>
      <c r="C655" s="2" t="s">
        <v>529</v>
      </c>
      <c r="D655" s="2" t="str">
        <f>IFERROR(__xludf.DUMMYFUNCTION("IF(C655&lt;&gt;"""", GOOGLETRANSLATE(C655, ""en"", ""te""),"""")"),"[ '15 వ చెత్త కెరీర్ బౌలింగ్ సరాసరి (అర్హత లేకుండా) (183.00)']")</f>
        <v>[ '15 వ చెత్త కెరీర్ బౌలింగ్ సరాసరి (అర్హత లేకుండా) (183.00)']</v>
      </c>
      <c r="E655" s="2" t="s">
        <v>530</v>
      </c>
      <c r="F655" s="2" t="str">
        <f>IFERROR(__xludf.DUMMYFUNCTION("IF(E655&lt;&gt;"""", GOOGLETRANSLATE(E655, ""en"", ""te""),"""")"),"[ '6 వ అత్యంత బాతులు సిరీస్ (3) లో' '22 వ అత్యంత జీవితంలో వంద (1904) లేకుండా పరుగులు']")</f>
        <v>[ '6 వ అత్యంత బాతులు సిరీస్ (3) లో' '22 వ అత్యంత జీవితంలో వంద (1904) లేకుండా పరుగులు']</v>
      </c>
      <c r="G655" s="2"/>
      <c r="H655" s="2" t="str">
        <f>IFERROR(__xludf.DUMMYFUNCTION("IF(G655&lt;&gt;"""", GOOGLETRANSLATE(G655, ""en"", ""te""),"""")"),"")</f>
        <v/>
      </c>
      <c r="I655" s="3"/>
    </row>
    <row r="656" customHeight="1" spans="1:9">
      <c r="A656" s="2"/>
      <c r="B656" s="2" t="str">
        <f>IFERROR(__xludf.DUMMYFUNCTION("IF(A656&lt;&gt;"""", GOOGLETRANSLATE(A656, ""en"", ""te""),"""")"),"")</f>
        <v/>
      </c>
      <c r="C656" s="2" t="s">
        <v>531</v>
      </c>
      <c r="D656" s="2" t="str">
        <f>IFERROR(__xludf.DUMMYFUNCTION("IF(C656&lt;&gt;"""", GOOGLETRANSLATE(C656, ""en"", ""te""),"""")"),"[ '44 వ చెత్త కెరీర్లో సమ్మె రేటు (109.3)']")</f>
        <v>[ '44 వ చెత్త కెరీర్లో సమ్మె రేటు (109.3)']</v>
      </c>
      <c r="E656" s="2"/>
      <c r="F656" s="2" t="str">
        <f>IFERROR(__xludf.DUMMYFUNCTION("IF(E656&lt;&gt;"""", GOOGLETRANSLATE(E656, ""en"", ""te""),"""")"),"")</f>
        <v/>
      </c>
      <c r="G656" s="2"/>
      <c r="H656" s="2" t="str">
        <f>IFERROR(__xludf.DUMMYFUNCTION("IF(G656&lt;&gt;"""", GOOGLETRANSLATE(G656, ""en"", ""te""),"""")"),"")</f>
        <v/>
      </c>
      <c r="I656" s="3"/>
    </row>
    <row r="657" customHeight="1" spans="1:9">
      <c r="A657" s="2"/>
      <c r="B657" s="2" t="str">
        <f>IFERROR(__xludf.DUMMYFUNCTION("IF(A657&lt;&gt;"""", GOOGLETRANSLATE(A657, ""en"", ""te""),"""")"),"")</f>
        <v/>
      </c>
      <c r="C657" s="2"/>
      <c r="D657" s="2" t="str">
        <f>IFERROR(__xludf.DUMMYFUNCTION("IF(C657&lt;&gt;"""", GOOGLETRANSLATE(C657, ""en"", ""te""),"""")"),"")</f>
        <v/>
      </c>
      <c r="E657" s="2"/>
      <c r="F657" s="2" t="str">
        <f>IFERROR(__xludf.DUMMYFUNCTION("IF(E657&lt;&gt;"""", GOOGLETRANSLATE(E657, ""en"", ""te""),"""")"),"")</f>
        <v/>
      </c>
      <c r="G657" s="2"/>
      <c r="H657" s="2" t="str">
        <f>IFERROR(__xludf.DUMMYFUNCTION("IF(G657&lt;&gt;"""", GOOGLETRANSLATE(G657, ""en"", ""te""),"""")"),"")</f>
        <v/>
      </c>
      <c r="I657" s="3"/>
    </row>
    <row r="658" customHeight="1" spans="1:9">
      <c r="A658" s="2" t="s">
        <v>532</v>
      </c>
      <c r="B658" s="2" t="str">
        <f>IFERROR(__xludf.DUMMYFUNCTION("IF(A658&lt;&gt;"""", GOOGLETRANSLATE(A658, ""en"", ""te""),"""")"),"[ 'వికెట్ను కాపాడుకున్నాడు మరియు బ్యాటింగ్ (2) తెరిచిన చేసిన 2 వ కెప్టెన్ల' 'ఒక వికెట్ కీపర్ సిరీస్లో 5 వ అత్యధిక పరుగులు (484)', 'ఒక మ్యాచ్ లో రెండు అజేయంగా అర్ధ', 'హండ్రెడ్ మరియు ఒక మ్యాచ్లో ఒక డక్' '300 పరుగులు మరియు ఒక సిరీస్లో 15 వికెట్కీపింగ్ తొలగిం"&amp;"పులకు']")</f>
        <v>[ 'వికెట్ను కాపాడుకున్నాడు మరియు బ్యాటింగ్ (2) తెరిచిన చేసిన 2 వ కెప్టెన్ల' 'ఒక వికెట్ కీపర్ సిరీస్లో 5 వ అత్యధిక పరుగులు (484)', 'ఒక మ్యాచ్ లో రెండు అజేయంగా అర్ధ', 'హండ్రెడ్ మరియు ఒక మ్యాచ్లో ఒక డక్' '300 పరుగులు మరియు ఒక సిరీస్లో 15 వికెట్కీపింగ్ తొలగింపులకు']</v>
      </c>
      <c r="C658" s="2" t="s">
        <v>533</v>
      </c>
      <c r="D658" s="2" t="str">
        <f>IFERROR(__xludf.DUMMYFUNCTION("IF(C658&lt;&gt;"""", GOOGLETRANSLATE(C658, ""en"", ""te""),"""")"),"[ 'ఒక వికెట్ కీపర్ సిరీస్లో 5 వ అత్యధిక పరుగులు (484)', 'వికెట్ (18) ఉంచింది చేసిన 4 వ కెప్టెన్ల', '2 వ కెప్టెన్ల వికెట్ను కాపాడుకున్నాడు మరియు బ్యాటింగ్ తెరిచారు ఎవరు (2)', '19 చాలా లో తొలగింపులకు వరుస కెరీర్లో సిరీస్ (23) ',' 49 వ అత్యధిక క్యాచ్లు (85) "&amp;"',' 29 వ అత్యధిక క్యాచ్లు (22) ']")</f>
        <v>[ 'ఒక వికెట్ కీపర్ సిరీస్లో 5 వ అత్యధిక పరుగులు (484)', 'వికెట్ (18) ఉంచింది చేసిన 4 వ కెప్టెన్ల', '2 వ కెప్టెన్ల వికెట్ను కాపాడుకున్నాడు మరియు బ్యాటింగ్ తెరిచారు ఎవరు (2)', '19 చాలా లో తొలగింపులకు వరుస కెరీర్లో సిరీస్ (23) ',' 49 వ అత్యధిక క్యాచ్లు (85) ',' 29 వ అత్యధిక క్యాచ్లు (22) ']</v>
      </c>
      <c r="E658" s="2"/>
      <c r="F658" s="2" t="str">
        <f>IFERROR(__xludf.DUMMYFUNCTION("IF(E658&lt;&gt;"""", GOOGLETRANSLATE(E658, ""en"", ""te""),"""")"),"")</f>
        <v/>
      </c>
      <c r="G658" s="2"/>
      <c r="H658" s="2" t="str">
        <f>IFERROR(__xludf.DUMMYFUNCTION("IF(G658&lt;&gt;"""", GOOGLETRANSLATE(G658, ""en"", ""te""),"""")"),"")</f>
        <v/>
      </c>
      <c r="I658" s="3"/>
    </row>
    <row r="659" customHeight="1" spans="1:9">
      <c r="A659" s="2" t="s">
        <v>534</v>
      </c>
      <c r="B659" s="2" t="str">
        <f>IFERROR(__xludf.DUMMYFUNCTION("IF(A659&lt;&gt;"""", GOOGLETRANSLATE(A659, ""en"", ""te""),"""")"),"[ 'ఇన్నింగ్స్ లో 2 వ అత్యధిక పరుగులు (బ్యాటింగ్ స్థానంలో ప్రకారం) (219)', 'ఒక కెప్టెన్ ద్వారా 5th ఒక ఇన్నింగ్స్ లోని బెస్ట్ ఫిగర్స్ (7)', 'నూట ఒక ఇన్నింగ్స్ లో ఐదు వికెట్లు', '1 వ అత్యధిక కొరకు చేసిన భాగస్వామ్యం ఏడవ వికెట్ (347) ']")</f>
        <v>[ 'ఇన్నింగ్స్ లో 2 వ అత్యధిక పరుగులు (బ్యాటింగ్ స్థానంలో ప్రకారం) (219)', 'ఒక కెప్టెన్ ద్వారా 5th ఒక ఇన్నింగ్స్ లోని బెస్ట్ ఫిగర్స్ (7)', 'నూట ఒక ఇన్నింగ్స్ లో ఐదు వికెట్లు', '1 వ అత్యధిక కొరకు చేసిన భాగస్వామ్యం ఏడవ వికెట్ (347) ']</v>
      </c>
      <c r="C659" s="2" t="s">
        <v>535</v>
      </c>
      <c r="D659" s="2" t="str">
        <f>IFERROR(__xludf.DUMMYFUNCTION("IF(C659&lt;&gt;"""", GOOGLETRANSLATE(C659, ""en"", ""te""),"""")"),"[ '17 వ అత్యధిక తొలి వంద (219)' 'కెప్టెన్ (219) ద్వారా 43 వ ఇన్నింగ్స్ లో అత్యధిక పరుగులు' 'ఇన్నింగ్స్ లో 2 వ అత్యధిక పరుగులు (బ్యాటింగ్ స్థానంలో ప్రకారం) (219)', 'ఒక ఇన్నింగ్స్ లో 5 వ ఉత్తమ బొమ్మలు ఒక కెప్టెన్తో (7) ',' 24th ఒక ఇన్నింగ్స్ లోని బెస్ట్ ఫిగ"&amp;"ర్స్ ఉన్నప్పుడు పరాజయం వైపు (7) ',' 17 వ ఉత్తమ కెరీర్ ఆర్థిక రేటు (1.90) ',' 41 వ చెత్త కెరీర్లో సమ్మె రేటు (110.6) ',' 23 వ చెత్త ఒక ఇన్నింగ్స్ లో సమ్మె రేటు (372.0) ',' 40 వ ఏ వికెట్కు (347) ',' వికెట్ తేడాతో 7 వ అత్యధిక భాగస్వామ్యాల (7) ',' 1 వ అత్యధి"&amp;"క భాగస్వామ్యం ఇన్నింగ్స్ (432) ',' 47 వ అత్యధిక భాగస్వామ్య బౌల్డ్ చాలా బంతుల్లో ఏడవ వికెట్కు (347) ']")</f>
        <v>[ '17 వ అత్యధిక తొలి వంద (219)' 'కెప్టెన్ (219) ద్వారా 43 వ ఇన్నింగ్స్ లో అత్యధిక పరుగులు' 'ఇన్నింగ్స్ లో 2 వ అత్యధిక పరుగులు (బ్యాటింగ్ స్థానంలో ప్రకారం) (219)', 'ఒక ఇన్నింగ్స్ లో 5 వ ఉత్తమ బొమ్మలు ఒక కెప్టెన్తో (7) ',' 24th ఒక ఇన్నింగ్స్ లోని బెస్ట్ ఫిగర్స్ ఉన్నప్పుడు పరాజయం వైపు (7) ',' 17 వ ఉత్తమ కెరీర్ ఆర్థిక రేటు (1.90) ',' 41 వ చెత్త కెరీర్లో సమ్మె రేటు (110.6) ',' 23 వ చెత్త ఒక ఇన్నింగ్స్ లో సమ్మె రేటు (372.0) ',' 40 వ ఏ వికెట్కు (347) ',' వికెట్ తేడాతో 7 వ అత్యధిక భాగస్వామ్యాల (7) ',' 1 వ అత్యధిక భాగస్వామ్యం ఇన్నింగ్స్ (432) ',' 47 వ అత్యధిక భాగస్వామ్య బౌల్డ్ చాలా బంతుల్లో ఏడవ వికెట్కు (347) ']</v>
      </c>
      <c r="E659" s="2"/>
      <c r="F659" s="2" t="str">
        <f>IFERROR(__xludf.DUMMYFUNCTION("IF(E659&lt;&gt;"""", GOOGLETRANSLATE(E659, ""en"", ""te""),"""")"),"")</f>
        <v/>
      </c>
      <c r="G659" s="2"/>
      <c r="H659" s="2" t="str">
        <f>IFERROR(__xludf.DUMMYFUNCTION("IF(G659&lt;&gt;"""", GOOGLETRANSLATE(G659, ""en"", ""te""),"""")"),"")</f>
        <v/>
      </c>
      <c r="I659" s="3"/>
    </row>
    <row r="660" customHeight="1" spans="1:9">
      <c r="A660" s="2" t="s">
        <v>536</v>
      </c>
      <c r="B660" s="2" t="str">
        <f>IFERROR(__xludf.DUMMYFUNCTION("IF(A660&lt;&gt;"""", GOOGLETRANSLATE(A660, ""en"", ""te""),"""")"),"[ '7th వరుస మ్యాచ్లు ఆడి మధ్య జట్టు (317) కోసం తప్పిన']")</f>
        <v>[ '7th వరుస మ్యాచ్లు ఆడి మధ్య జట్టు (317) కోసం తప్పిన']</v>
      </c>
      <c r="C660" s="2"/>
      <c r="D660" s="2" t="str">
        <f>IFERROR(__xludf.DUMMYFUNCTION("IF(C660&lt;&gt;"""", GOOGLETRANSLATE(C660, ""en"", ""te""),"""")"),"")</f>
        <v/>
      </c>
      <c r="E660" s="2"/>
      <c r="F660" s="2" t="str">
        <f>IFERROR(__xludf.DUMMYFUNCTION("IF(E660&lt;&gt;"""", GOOGLETRANSLATE(E660, ""en"", ""te""),"""")"),"")</f>
        <v/>
      </c>
      <c r="G660" s="2"/>
      <c r="H660" s="2" t="str">
        <f>IFERROR(__xludf.DUMMYFUNCTION("IF(G660&lt;&gt;"""", GOOGLETRANSLATE(G660, ""en"", ""te""),"""")"),"")</f>
        <v/>
      </c>
      <c r="I660" s="3"/>
    </row>
    <row r="661" customHeight="1" spans="1:9">
      <c r="A661" s="2"/>
      <c r="B661" s="2" t="str">
        <f>IFERROR(__xludf.DUMMYFUNCTION("IF(A661&lt;&gt;"""", GOOGLETRANSLATE(A661, ""en"", ""te""),"""")"),"")</f>
        <v/>
      </c>
      <c r="C661" s="2"/>
      <c r="D661" s="2" t="str">
        <f>IFERROR(__xludf.DUMMYFUNCTION("IF(C661&lt;&gt;"""", GOOGLETRANSLATE(C661, ""en"", ""te""),"""")"),"")</f>
        <v/>
      </c>
      <c r="E661" s="2"/>
      <c r="F661" s="2" t="str">
        <f>IFERROR(__xludf.DUMMYFUNCTION("IF(E661&lt;&gt;"""", GOOGLETRANSLATE(E661, ""en"", ""te""),"""")"),"")</f>
        <v/>
      </c>
      <c r="G661" s="2"/>
      <c r="H661" s="2" t="str">
        <f>IFERROR(__xludf.DUMMYFUNCTION("IF(G661&lt;&gt;"""", GOOGLETRANSLATE(G661, ""en"", ""te""),"""")"),"")</f>
        <v/>
      </c>
      <c r="I661" s="3"/>
    </row>
    <row r="662" customHeight="1" spans="1:9">
      <c r="A662" s="2"/>
      <c r="B662" s="2" t="str">
        <f>IFERROR(__xludf.DUMMYFUNCTION("IF(A662&lt;&gt;"""", GOOGLETRANSLATE(A662, ""en"", ""te""),"""")"),"")</f>
        <v/>
      </c>
      <c r="C662" s="2"/>
      <c r="D662" s="2" t="str">
        <f>IFERROR(__xludf.DUMMYFUNCTION("IF(C662&lt;&gt;"""", GOOGLETRANSLATE(C662, ""en"", ""te""),"""")"),"")</f>
        <v/>
      </c>
      <c r="E662" s="2"/>
      <c r="F662" s="2" t="str">
        <f>IFERROR(__xludf.DUMMYFUNCTION("IF(E662&lt;&gt;"""", GOOGLETRANSLATE(E662, ""en"", ""te""),"""")"),"")</f>
        <v/>
      </c>
      <c r="G662" s="2"/>
      <c r="H662" s="2" t="str">
        <f>IFERROR(__xludf.DUMMYFUNCTION("IF(G662&lt;&gt;"""", GOOGLETRANSLATE(G662, ""en"", ""te""),"""")"),"")</f>
        <v/>
      </c>
      <c r="I662" s="3"/>
    </row>
    <row r="663" customHeight="1" spans="1:9">
      <c r="A663" s="2"/>
      <c r="B663" s="2" t="str">
        <f>IFERROR(__xludf.DUMMYFUNCTION("IF(A663&lt;&gt;"""", GOOGLETRANSLATE(A663, ""en"", ""te""),"""")"),"")</f>
        <v/>
      </c>
      <c r="C663" s="2"/>
      <c r="D663" s="2" t="str">
        <f>IFERROR(__xludf.DUMMYFUNCTION("IF(C663&lt;&gt;"""", GOOGLETRANSLATE(C663, ""en"", ""te""),"""")"),"")</f>
        <v/>
      </c>
      <c r="E663" s="2"/>
      <c r="F663" s="2" t="str">
        <f>IFERROR(__xludf.DUMMYFUNCTION("IF(E663&lt;&gt;"""", GOOGLETRANSLATE(E663, ""en"", ""te""),"""")"),"")</f>
        <v/>
      </c>
      <c r="G663" s="2"/>
      <c r="H663" s="2" t="str">
        <f>IFERROR(__xludf.DUMMYFUNCTION("IF(G663&lt;&gt;"""", GOOGLETRANSLATE(G663, ""en"", ""te""),"""")"),"")</f>
        <v/>
      </c>
      <c r="I663" s="3"/>
    </row>
    <row r="664" customHeight="1" spans="1:9">
      <c r="A664" s="2"/>
      <c r="B664" s="2" t="str">
        <f>IFERROR(__xludf.DUMMYFUNCTION("IF(A664&lt;&gt;"""", GOOGLETRANSLATE(A664, ""en"", ""te""),"""")"),"")</f>
        <v/>
      </c>
      <c r="C664" s="2"/>
      <c r="D664" s="2" t="str">
        <f>IFERROR(__xludf.DUMMYFUNCTION("IF(C664&lt;&gt;"""", GOOGLETRANSLATE(C664, ""en"", ""te""),"""")"),"")</f>
        <v/>
      </c>
      <c r="E664" s="2"/>
      <c r="F664" s="2" t="str">
        <f>IFERROR(__xludf.DUMMYFUNCTION("IF(E664&lt;&gt;"""", GOOGLETRANSLATE(E664, ""en"", ""te""),"""")"),"")</f>
        <v/>
      </c>
      <c r="G664" s="2"/>
      <c r="H664" s="2" t="str">
        <f>IFERROR(__xludf.DUMMYFUNCTION("IF(G664&lt;&gt;"""", GOOGLETRANSLATE(G664, ""en"", ""te""),"""")"),"")</f>
        <v/>
      </c>
      <c r="I664" s="3"/>
    </row>
    <row r="665" customHeight="1" spans="1:9">
      <c r="A665" s="2"/>
      <c r="B665" s="2" t="str">
        <f>IFERROR(__xludf.DUMMYFUNCTION("IF(A665&lt;&gt;"""", GOOGLETRANSLATE(A665, ""en"", ""te""),"""")"),"")</f>
        <v/>
      </c>
      <c r="C665" s="2"/>
      <c r="D665" s="2" t="str">
        <f>IFERROR(__xludf.DUMMYFUNCTION("IF(C665&lt;&gt;"""", GOOGLETRANSLATE(C665, ""en"", ""te""),"""")"),"")</f>
        <v/>
      </c>
      <c r="E665" s="2"/>
      <c r="F665" s="2" t="str">
        <f>IFERROR(__xludf.DUMMYFUNCTION("IF(E665&lt;&gt;"""", GOOGLETRANSLATE(E665, ""en"", ""te""),"""")"),"")</f>
        <v/>
      </c>
      <c r="G665" s="2"/>
      <c r="H665" s="2" t="str">
        <f>IFERROR(__xludf.DUMMYFUNCTION("IF(G665&lt;&gt;"""", GOOGLETRANSLATE(G665, ""en"", ""te""),"""")"),"")</f>
        <v/>
      </c>
      <c r="I665" s="3"/>
    </row>
    <row r="666" customHeight="1" spans="1:9">
      <c r="A666" s="2"/>
      <c r="B666" s="2" t="str">
        <f>IFERROR(__xludf.DUMMYFUNCTION("IF(A666&lt;&gt;"""", GOOGLETRANSLATE(A666, ""en"", ""te""),"""")"),"")</f>
        <v/>
      </c>
      <c r="C666" s="2"/>
      <c r="D666" s="2" t="str">
        <f>IFERROR(__xludf.DUMMYFUNCTION("IF(C666&lt;&gt;"""", GOOGLETRANSLATE(C666, ""en"", ""te""),"""")"),"")</f>
        <v/>
      </c>
      <c r="E666" s="2"/>
      <c r="F666" s="2" t="str">
        <f>IFERROR(__xludf.DUMMYFUNCTION("IF(E666&lt;&gt;"""", GOOGLETRANSLATE(E666, ""en"", ""te""),"""")"),"")</f>
        <v/>
      </c>
      <c r="G666" s="2"/>
      <c r="H666" s="2" t="str">
        <f>IFERROR(__xludf.DUMMYFUNCTION("IF(G666&lt;&gt;"""", GOOGLETRANSLATE(G666, ""en"", ""te""),"""")"),"")</f>
        <v/>
      </c>
      <c r="I666" s="3"/>
    </row>
    <row r="667" customHeight="1" spans="1:9">
      <c r="A667" s="2" t="s">
        <v>537</v>
      </c>
      <c r="B667" s="2" t="str">
        <f>IFERROR(__xludf.DUMMYFUNCTION("IF(A667&lt;&gt;"""", GOOGLETRANSLATE(A667, ""en"", ""te""),"""")"),"[ '(9) ఒక మ్యాచ్లో 8 వ ఎక్కువ సార్లు అవుట్' 'ఒక మ్యాచ్లో 8 వ అత్యధిక క్యాచ్లు (9)', 'వరుస 9 వ అత్యధిక వికెట్లు (19)']")</f>
        <v>[ '(9) ఒక మ్యాచ్లో 8 వ ఎక్కువ సార్లు అవుట్' 'ఒక మ్యాచ్లో 8 వ అత్యధిక క్యాచ్లు (9)', 'వరుస 9 వ అత్యధిక వికెట్లు (19)']</v>
      </c>
      <c r="C667" s="2" t="s">
        <v>182</v>
      </c>
      <c r="D667" s="2" t="str">
        <f>IFERROR(__xludf.DUMMYFUNCTION("IF(C667&lt;&gt;"""", GOOGLETRANSLATE(C667, ""en"", ""te""),"""")"),"[ 'ఒక మ్యాచ్ (9) 8 వ ఎక్కువ సార్లు అవుట్' 'ఒక మ్యాచ్ (9) 8 వ అత్యధిక క్యాచ్లు']")</f>
        <v>[ 'ఒక మ్యాచ్ (9) 8 వ ఎక్కువ సార్లు అవుట్' 'ఒక మ్యాచ్ (9) 8 వ అత్యధిక క్యాచ్లు']</v>
      </c>
      <c r="E667" s="2" t="s">
        <v>538</v>
      </c>
      <c r="F667" s="2" t="str">
        <f>IFERROR(__xludf.DUMMYFUNCTION("IF(E667&lt;&gt;"""", GOOGLETRANSLATE(E667, ""en"", ""te""),"""")"),"[ 'తొమ్మిదవ వికెట్కు 33 వ అత్యధిక భాగస్వామ్యం (71 *)', 'ఇన్నింగ్స్ (5) 16 వ అత్యధిక వికెట్లు' 'కెరీర్లో 41 వ అత్యధిక వికెట్లు (68)', 'వరుస 9 వ అత్యధిక వికెట్లు (19)', '41 వ కెరీర్ లో అత్యధిక క్యాచ్లు (59)', '11 వ ఇన్నింగ్స్ (5) అత్యధిక క్యాచ్లు' 'వరుస (16"&amp;") 12 వ అత్యధిక క్యాచ్లు']")</f>
        <v>[ 'తొమ్మిదవ వికెట్కు 33 వ అత్యధిక భాగస్వామ్యం (71 *)', 'ఇన్నింగ్స్ (5) 16 వ అత్యధిక వికెట్లు' 'కెరీర్లో 41 వ అత్యధిక వికెట్లు (68)', 'వరుస 9 వ అత్యధిక వికెట్లు (19)', '41 వ కెరీర్ లో అత్యధిక క్యాచ్లు (59)', '11 వ ఇన్నింగ్స్ (5) అత్యధిక క్యాచ్లు' 'వరుస (16) 12 వ అత్యధిక క్యాచ్లు']</v>
      </c>
      <c r="G667" s="2"/>
      <c r="H667" s="2" t="str">
        <f>IFERROR(__xludf.DUMMYFUNCTION("IF(G667&lt;&gt;"""", GOOGLETRANSLATE(G667, ""en"", ""te""),"""")"),"")</f>
        <v/>
      </c>
      <c r="I667" s="3"/>
    </row>
    <row r="668" customHeight="1" spans="1:9">
      <c r="A668" s="2"/>
      <c r="B668" s="2" t="str">
        <f>IFERROR(__xludf.DUMMYFUNCTION("IF(A668&lt;&gt;"""", GOOGLETRANSLATE(A668, ""en"", ""te""),"""")"),"")</f>
        <v/>
      </c>
      <c r="C668" s="2"/>
      <c r="D668" s="2" t="str">
        <f>IFERROR(__xludf.DUMMYFUNCTION("IF(C668&lt;&gt;"""", GOOGLETRANSLATE(C668, ""en"", ""te""),"""")"),"")</f>
        <v/>
      </c>
      <c r="E668" s="2"/>
      <c r="F668" s="2" t="str">
        <f>IFERROR(__xludf.DUMMYFUNCTION("IF(E668&lt;&gt;"""", GOOGLETRANSLATE(E668, ""en"", ""te""),"""")"),"")</f>
        <v/>
      </c>
      <c r="G668" s="2"/>
      <c r="H668" s="2" t="str">
        <f>IFERROR(__xludf.DUMMYFUNCTION("IF(G668&lt;&gt;"""", GOOGLETRANSLATE(G668, ""en"", ""te""),"""")"),"")</f>
        <v/>
      </c>
      <c r="I668" s="3"/>
    </row>
    <row r="669" customHeight="1" spans="1:9">
      <c r="A669" s="2" t="s">
        <v>539</v>
      </c>
      <c r="B669" s="2" t="str">
        <f>IFERROR(__xludf.DUMMYFUNCTION("IF(A669&lt;&gt;"""", GOOGLETRANSLATE(A669, ""en"", ""te""),"""")"),"[ 'మొదటి డక్ (46) ముందు 8 వ అత్యంత ఇన్నింగ్స్]")</f>
        <v>[ 'మొదటి డక్ (46) ముందు 8 వ అత్యంత ఇన్నింగ్స్]</v>
      </c>
      <c r="C669" s="2" t="s">
        <v>540</v>
      </c>
      <c r="D669" s="2" t="str">
        <f>IFERROR(__xludf.DUMMYFUNCTION("IF(C669&lt;&gt;"""", GOOGLETRANSLATE(C669, ""en"", ""te""),"""")"),"[ 'మొదటి డక్ ముందు 8 వ అత్యంత ఇన్నింగ్స్ (46)', 'కెరీర్లో 42 వ అతి తక్కువ బాతులు (26)', 'ఒక ఇన్నింగ్స్లో పరుగుల 34 వ అత్యధిక శాతం (58.07)']")</f>
        <v>[ 'మొదటి డక్ ముందు 8 వ అత్యంత ఇన్నింగ్స్ (46)', 'కెరీర్లో 42 వ అతి తక్కువ బాతులు (26)', 'ఒక ఇన్నింగ్స్లో పరుగుల 34 వ అత్యధిక శాతం (58.07)']</v>
      </c>
      <c r="E669" s="2"/>
      <c r="F669" s="2" t="str">
        <f>IFERROR(__xludf.DUMMYFUNCTION("IF(E669&lt;&gt;"""", GOOGLETRANSLATE(E669, ""en"", ""te""),"""")"),"")</f>
        <v/>
      </c>
      <c r="G669" s="2"/>
      <c r="H669" s="2" t="str">
        <f>IFERROR(__xludf.DUMMYFUNCTION("IF(G669&lt;&gt;"""", GOOGLETRANSLATE(G669, ""en"", ""te""),"""")"),"")</f>
        <v/>
      </c>
      <c r="I669" s="3"/>
    </row>
    <row r="670" customHeight="1" spans="1:9">
      <c r="A670" s="2"/>
      <c r="B670" s="2" t="str">
        <f>IFERROR(__xludf.DUMMYFUNCTION("IF(A670&lt;&gt;"""", GOOGLETRANSLATE(A670, ""en"", ""te""),"""")"),"")</f>
        <v/>
      </c>
      <c r="C670" s="2"/>
      <c r="D670" s="2" t="str">
        <f>IFERROR(__xludf.DUMMYFUNCTION("IF(C670&lt;&gt;"""", GOOGLETRANSLATE(C670, ""en"", ""te""),"""")"),"")</f>
        <v/>
      </c>
      <c r="E670" s="2"/>
      <c r="F670" s="2" t="str">
        <f>IFERROR(__xludf.DUMMYFUNCTION("IF(E670&lt;&gt;"""", GOOGLETRANSLATE(E670, ""en"", ""te""),"""")"),"")</f>
        <v/>
      </c>
      <c r="G670" s="2"/>
      <c r="H670" s="2" t="str">
        <f>IFERROR(__xludf.DUMMYFUNCTION("IF(G670&lt;&gt;"""", GOOGLETRANSLATE(G670, ""en"", ""te""),"""")"),"")</f>
        <v/>
      </c>
      <c r="I670" s="3"/>
    </row>
    <row r="671" customHeight="1" spans="1:9">
      <c r="A671" s="2" t="s">
        <v>541</v>
      </c>
      <c r="B671" s="2" t="str">
        <f>IFERROR(__xludf.DUMMYFUNCTION("IF(A671&lt;&gt;"""", GOOGLETRANSLATE(A671, ""en"", ""te""),"""")"),"[ '9 వ ఉత్తమ కెరీర్ బౌలింగ్ సరాసరి (అర్హత లేకుండా) (5.00)']")</f>
        <v>[ '9 వ ఉత్తమ కెరీర్ బౌలింగ్ సరాసరి (అర్హత లేకుండా) (5.00)']</v>
      </c>
      <c r="C671" s="2" t="s">
        <v>542</v>
      </c>
      <c r="D671" s="2" t="str">
        <f>IFERROR(__xludf.DUMMYFUNCTION("IF(C671&lt;&gt;"""", GOOGLETRANSLATE(C671, ""en"", ""te""),"""")"),"[ '9 వ ఉత్తమ కెరీర్ బౌలింగ్ సరాసరి (అర్హత లేకుండా) (5.00)', '41 వ పిన్న క్రీడాకారులు (18y 31d)']")</f>
        <v>[ '9 వ ఉత్తమ కెరీర్ బౌలింగ్ సరాసరి (అర్హత లేకుండా) (5.00)', '41 వ పిన్న క్రీడాకారులు (18y 31d)']</v>
      </c>
      <c r="E671" s="2"/>
      <c r="F671" s="2" t="str">
        <f>IFERROR(__xludf.DUMMYFUNCTION("IF(E671&lt;&gt;"""", GOOGLETRANSLATE(E671, ""en"", ""te""),"""")"),"")</f>
        <v/>
      </c>
      <c r="G671" s="2"/>
      <c r="H671" s="2" t="str">
        <f>IFERROR(__xludf.DUMMYFUNCTION("IF(G671&lt;&gt;"""", GOOGLETRANSLATE(G671, ""en"", ""te""),"""")"),"")</f>
        <v/>
      </c>
      <c r="I671" s="3"/>
    </row>
    <row r="672" customHeight="1" spans="1:9">
      <c r="A672" s="2"/>
      <c r="B672" s="2" t="str">
        <f>IFERROR(__xludf.DUMMYFUNCTION("IF(A672&lt;&gt;"""", GOOGLETRANSLATE(A672, ""en"", ""te""),"""")"),"")</f>
        <v/>
      </c>
      <c r="C672" s="2" t="s">
        <v>543</v>
      </c>
      <c r="D672" s="2" t="str">
        <f>IFERROR(__xludf.DUMMYFUNCTION("IF(C672&lt;&gt;"""", GOOGLETRANSLATE(C672, ""en"", ""te""),"""")"),"[ 'తొలి 36 వ ఓల్డెస్ట్ క్రీడాకారులు (37y 259d)']")</f>
        <v>[ 'తొలి 36 వ ఓల్డెస్ట్ క్రీడాకారులు (37y 259d)']</v>
      </c>
      <c r="E672" s="2"/>
      <c r="F672" s="2" t="str">
        <f>IFERROR(__xludf.DUMMYFUNCTION("IF(E672&lt;&gt;"""", GOOGLETRANSLATE(E672, ""en"", ""te""),"""")"),"")</f>
        <v/>
      </c>
      <c r="G672" s="2"/>
      <c r="H672" s="2" t="str">
        <f>IFERROR(__xludf.DUMMYFUNCTION("IF(G672&lt;&gt;"""", GOOGLETRANSLATE(G672, ""en"", ""te""),"""")"),"")</f>
        <v/>
      </c>
      <c r="I672" s="3"/>
    </row>
    <row r="673" customHeight="1" spans="1:9">
      <c r="A673" s="2" t="s">
        <v>544</v>
      </c>
      <c r="B673" s="2" t="str">
        <f>IFERROR(__xludf.DUMMYFUNCTION("IF(A673&lt;&gt;"""", GOOGLETRANSLATE(A673, ""en"", ""te""),"""")"),"[ '6 వ చెత్త కెరీర్ బౌలింగ్ సరాసరి (అర్హత లేకుండా) (242.00)']")</f>
        <v>[ '6 వ చెత్త కెరీర్ బౌలింగ్ సరాసరి (అర్హత లేకుండా) (242.00)']</v>
      </c>
      <c r="C673" s="2" t="s">
        <v>544</v>
      </c>
      <c r="D673" s="2" t="str">
        <f>IFERROR(__xludf.DUMMYFUNCTION("IF(C673&lt;&gt;"""", GOOGLETRANSLATE(C673, ""en"", ""te""),"""")"),"[ '6 వ చెత్త కెరీర్ బౌలింగ్ సరాసరి (అర్హత లేకుండా) (242.00)']")</f>
        <v>[ '6 వ చెత్త కెరీర్ బౌలింగ్ సరాసరి (అర్హత లేకుండా) (242.00)']</v>
      </c>
      <c r="E673" s="2" t="s">
        <v>545</v>
      </c>
      <c r="F673" s="2" t="str">
        <f>IFERROR(__xludf.DUMMYFUNCTION("IF(E673&lt;&gt;"""", GOOGLETRANSLATE(E673, ""en"", ""te""),"""")"),"[ '30 వ చెత్త కెరీర్లో ఆర్థిక రేటు (5.80)']")</f>
        <v>[ '30 వ చెత్త కెరీర్లో ఆర్థిక రేటు (5.80)']</v>
      </c>
      <c r="G673" s="2" t="s">
        <v>546</v>
      </c>
      <c r="H673" s="2" t="str">
        <f>IFERROR(__xludf.DUMMYFUNCTION("IF(G673&lt;&gt;"""", GOOGLETRANSLATE(G673, ""en"", ""te""),"""")"),"[ '21 వ ఇన్నింగ్స్ లో అత్యధిక పరుగులు (బ్యాటింగ్ స్థానంలో ప్రకారం) (34 *)', '14 వ అత్యధిక ఇన్నింగ్స్ లో సమ్మె రేటు (340.00)', '20 వ ఒక ఇన్నింగ్స్ లోని బెస్ట్ ఫిగర్స్ ఒక కెప్టెన్తో (3)', '10 వ చెత్త కెరీర్ బౌలింగ్ సరాసరి (32.67) ',' 13 వ చెత్త కెరీర్లో ఆర్"&amp;"థిక రేటు (8.57) ',' 50 వ కెరీర్ లో సాధించిన అత్యధిక పరుగులు (1013) ',' 43 వ ఇన్నింగ్స్ లో సాధించిన అత్యధిక పరుగులు (56) ',' 17 వ బౌలర్ / బ్యాట్స్ కాంబినేషన్ (3) ఎనిమిదో వికెట్కు ',' 31 అత్యధిక భాగస్వామ్యం (38) ',' 14 వ అత్యధిక మ్యాచ్లు కెప్టెన్గా (30) ']")</f>
        <v>[ '21 వ ఇన్నింగ్స్ లో అత్యధిక పరుగులు (బ్యాటింగ్ స్థానంలో ప్రకారం) (34 *)', '14 వ అత్యధిక ఇన్నింగ్స్ లో సమ్మె రేటు (340.00)', '20 వ ఒక ఇన్నింగ్స్ లోని బెస్ట్ ఫిగర్స్ ఒక కెప్టెన్తో (3)', '10 వ చెత్త కెరీర్ బౌలింగ్ సరాసరి (32.67) ',' 13 వ చెత్త కెరీర్లో ఆర్థిక రేటు (8.57) ',' 50 వ కెరీర్ లో సాధించిన అత్యధిక పరుగులు (1013) ',' 43 వ ఇన్నింగ్స్ లో సాధించిన అత్యధిక పరుగులు (56) ',' 17 వ బౌలర్ / బ్యాట్స్ కాంబినేషన్ (3) ఎనిమిదో వికెట్కు ',' 31 అత్యధిక భాగస్వామ్యం (38) ',' 14 వ అత్యధిక మ్యాచ్లు కెప్టెన్గా (30) ']</v>
      </c>
      <c r="I673" s="3"/>
    </row>
    <row r="674" customHeight="1" spans="1:9">
      <c r="A674" s="2" t="s">
        <v>547</v>
      </c>
      <c r="B674" s="2" t="str">
        <f>IFERROR(__xludf.DUMMYFUNCTION("IF(A674&lt;&gt;"""", GOOGLETRANSLATE(A674, ""en"", ""te""),"""")"),"[ '2nd అత్యంత ఇన్నింగ్స్ లో నడుస్తుంది (బ్యాటింగ్ స్థానం) (95)']")</f>
        <v>[ '2nd అత్యంత ఇన్నింగ్స్ లో నడుస్తుంది (బ్యాటింగ్ స్థానం) (95)']</v>
      </c>
      <c r="C674" s="2" t="s">
        <v>548</v>
      </c>
      <c r="D674" s="2" t="str">
        <f>IFERROR(__xludf.DUMMYFUNCTION("IF(C674&lt;&gt;"""", GOOGLETRANSLATE(C674, ""en"", ""te""),"""")"),"[ '2 వ భాగం (బ్యాటింగ్ స్థానంలో ద్వారా) ఒక ఇన్నింగ్స్ లో నడుస్తుంది (95)', '20 వ చెత్త కెరీర్లో ఆర్థిక రేటు (3.69)']")</f>
        <v>[ '2 వ భాగం (బ్యాటింగ్ స్థానంలో ద్వారా) ఒక ఇన్నింగ్స్ లో నడుస్తుంది (95)', '20 వ చెత్త కెరీర్లో ఆర్థిక రేటు (3.69)']</v>
      </c>
      <c r="E674" s="2" t="s">
        <v>549</v>
      </c>
      <c r="F674" s="2" t="str">
        <f>IFERROR(__xludf.DUMMYFUNCTION("IF(E674&lt;&gt;"""", GOOGLETRANSLATE(E674, ""en"", ""te""),"""")"),"[ 'తొలి ఇన్నింగ్స్ 15 వ బెస్ట్ ఫిగర్స్ (4)']")</f>
        <v>[ 'తొలి ఇన్నింగ్స్ 15 వ బెస్ట్ ఫిగర్స్ (4)']</v>
      </c>
      <c r="G674" s="2" t="s">
        <v>550</v>
      </c>
      <c r="H674" s="2" t="str">
        <f>IFERROR(__xludf.DUMMYFUNCTION("IF(G674&lt;&gt;"""", GOOGLETRANSLATE(G674, ""en"", ""te""),"""")"),"[ 'పదవ వికెట్కు 28 అత్యధిక భాగస్వామ్యం (19 *)']")</f>
        <v>[ 'పదవ వికెట్కు 28 అత్యధిక భాగస్వామ్యం (19 *)']</v>
      </c>
      <c r="I674" s="3"/>
    </row>
    <row r="675" customHeight="1" spans="1:9">
      <c r="A675" s="2"/>
      <c r="B675" s="2" t="str">
        <f>IFERROR(__xludf.DUMMYFUNCTION("IF(A675&lt;&gt;"""", GOOGLETRANSLATE(A675, ""en"", ""te""),"""")"),"")</f>
        <v/>
      </c>
      <c r="C675" s="2" t="s">
        <v>551</v>
      </c>
      <c r="D675" s="2" t="str">
        <f>IFERROR(__xludf.DUMMYFUNCTION("IF(C675&lt;&gt;"""", GOOGLETRANSLATE(C675, ""en"", ""te""),"""")"),"[ '11 వ అత్యధిక తొలి వంద (250)']")</f>
        <v>[ '11 వ అత్యధిక తొలి వంద (250)']</v>
      </c>
      <c r="E675" s="2"/>
      <c r="F675" s="2" t="str">
        <f>IFERROR(__xludf.DUMMYFUNCTION("IF(E675&lt;&gt;"""", GOOGLETRANSLATE(E675, ""en"", ""te""),"""")"),"")</f>
        <v/>
      </c>
      <c r="G675" s="2"/>
      <c r="H675" s="2" t="str">
        <f>IFERROR(__xludf.DUMMYFUNCTION("IF(G675&lt;&gt;"""", GOOGLETRANSLATE(G675, ""en"", ""te""),"""")"),"")</f>
        <v/>
      </c>
      <c r="I675" s="3"/>
    </row>
    <row r="676" customHeight="1" spans="1:9">
      <c r="A676" s="2"/>
      <c r="B676" s="2" t="str">
        <f>IFERROR(__xludf.DUMMYFUNCTION("IF(A676&lt;&gt;"""", GOOGLETRANSLATE(A676, ""en"", ""te""),"""")"),"")</f>
        <v/>
      </c>
      <c r="C676" s="2"/>
      <c r="D676" s="2" t="str">
        <f>IFERROR(__xludf.DUMMYFUNCTION("IF(C676&lt;&gt;"""", GOOGLETRANSLATE(C676, ""en"", ""te""),"""")"),"")</f>
        <v/>
      </c>
      <c r="E676" s="2"/>
      <c r="F676" s="2" t="str">
        <f>IFERROR(__xludf.DUMMYFUNCTION("IF(E676&lt;&gt;"""", GOOGLETRANSLATE(E676, ""en"", ""te""),"""")"),"")</f>
        <v/>
      </c>
      <c r="G676" s="2"/>
      <c r="H676" s="2" t="str">
        <f>IFERROR(__xludf.DUMMYFUNCTION("IF(G676&lt;&gt;"""", GOOGLETRANSLATE(G676, ""en"", ""te""),"""")"),"")</f>
        <v/>
      </c>
      <c r="I676" s="3"/>
    </row>
    <row r="677" customHeight="1" spans="1:9">
      <c r="A677" s="2" t="s">
        <v>552</v>
      </c>
      <c r="B677" s="2" t="str">
        <f>IFERROR(__xludf.DUMMYFUNCTION("IF(A677&lt;&gt;"""", GOOGLETRANSLATE(A677, ""en"", ""te""),"""")"),"[ 'వరుస (3) 6 వ అత్యంత బాతులు' '8 వ అత్యుత్తమ బౌలింగ్ ఇన్నింగ్స్ లో విశ్లేషించడం (2/2)',]")</f>
        <v>[ 'వరుస (3) 6 వ అత్యంత బాతులు' '8 వ అత్యుత్తమ బౌలింగ్ ఇన్నింగ్స్ లో విశ్లేషించడం (2/2)',]</v>
      </c>
      <c r="C677" s="2" t="s">
        <v>553</v>
      </c>
      <c r="D677" s="2" t="str">
        <f>IFERROR(__xludf.DUMMYFUNCTION("IF(C677&lt;&gt;"""", GOOGLETRANSLATE(C677, ""en"", ""te""),"""")"),"[ '8 వ అత్యుత్తమ ఇన్నింగ్స్ (2/2) విశ్లేషణలలో బౌలింగ్']")</f>
        <v>[ '8 వ అత్యుత్తమ ఇన్నింగ్స్ (2/2) విశ్లేషణలలో బౌలింగ్']</v>
      </c>
      <c r="E677" s="2" t="s">
        <v>175</v>
      </c>
      <c r="F677" s="2" t="str">
        <f>IFERROR(__xludf.DUMMYFUNCTION("IF(E677&lt;&gt;"""", GOOGLETRANSLATE(E677, ""en"", ""te""),"""")"),"[ 'ఒక సిరీస్లో 6 వ అత్యంత బాతులు (3)']")</f>
        <v>[ 'ఒక సిరీస్లో 6 వ అత్యంత బాతులు (3)']</v>
      </c>
      <c r="G677" s="2"/>
      <c r="H677" s="2" t="str">
        <f>IFERROR(__xludf.DUMMYFUNCTION("IF(G677&lt;&gt;"""", GOOGLETRANSLATE(G677, ""en"", ""te""),"""")"),"")</f>
        <v/>
      </c>
      <c r="I677" s="3"/>
    </row>
    <row r="678" customHeight="1" spans="1:9">
      <c r="A678" s="2"/>
      <c r="B678" s="2" t="str">
        <f>IFERROR(__xludf.DUMMYFUNCTION("IF(A678&lt;&gt;"""", GOOGLETRANSLATE(A678, ""en"", ""te""),"""")"),"")</f>
        <v/>
      </c>
      <c r="C678" s="2"/>
      <c r="D678" s="2" t="str">
        <f>IFERROR(__xludf.DUMMYFUNCTION("IF(C678&lt;&gt;"""", GOOGLETRANSLATE(C678, ""en"", ""te""),"""")"),"")</f>
        <v/>
      </c>
      <c r="E678" s="2"/>
      <c r="F678" s="2" t="str">
        <f>IFERROR(__xludf.DUMMYFUNCTION("IF(E678&lt;&gt;"""", GOOGLETRANSLATE(E678, ""en"", ""te""),"""")"),"")</f>
        <v/>
      </c>
      <c r="G678" s="2"/>
      <c r="H678" s="2" t="str">
        <f>IFERROR(__xludf.DUMMYFUNCTION("IF(G678&lt;&gt;"""", GOOGLETRANSLATE(G678, ""en"", ""te""),"""")"),"")</f>
        <v/>
      </c>
      <c r="I678" s="3"/>
    </row>
    <row r="679" customHeight="1" spans="1:9">
      <c r="A679" s="2" t="s">
        <v>554</v>
      </c>
      <c r="B679" s="2" t="str">
        <f>IFERROR(__xludf.DUMMYFUNCTION("IF(A679&lt;&gt;"""", GOOGLETRANSLATE(A679, ""en"", ""te""),"""")"),"[ 'ఇన్నింగ్స్ లో 1 వ అత్యధిక క్యాచ్లు (5)']")</f>
        <v>[ 'ఇన్నింగ్స్ లో 1 వ అత్యధిక క్యాచ్లు (5)']</v>
      </c>
      <c r="C679" s="2" t="s">
        <v>554</v>
      </c>
      <c r="D679" s="2" t="str">
        <f>IFERROR(__xludf.DUMMYFUNCTION("IF(C679&lt;&gt;"""", GOOGLETRANSLATE(C679, ""en"", ""te""),"""")"),"[ 'ఇన్నింగ్స్ లో 1 వ అత్యధిక క్యాచ్లు (5)']")</f>
        <v>[ 'ఇన్నింగ్స్ లో 1 వ అత్యధిక క్యాచ్లు (5)']</v>
      </c>
      <c r="E679" s="2"/>
      <c r="F679" s="2" t="str">
        <f>IFERROR(__xludf.DUMMYFUNCTION("IF(E679&lt;&gt;"""", GOOGLETRANSLATE(E679, ""en"", ""te""),"""")"),"")</f>
        <v/>
      </c>
      <c r="G679" s="2"/>
      <c r="H679" s="2" t="str">
        <f>IFERROR(__xludf.DUMMYFUNCTION("IF(G679&lt;&gt;"""", GOOGLETRANSLATE(G679, ""en"", ""te""),"""")"),"")</f>
        <v/>
      </c>
      <c r="I679" s="3"/>
    </row>
    <row r="680" customHeight="1" spans="1:9">
      <c r="A680" s="2"/>
      <c r="B680" s="2" t="str">
        <f>IFERROR(__xludf.DUMMYFUNCTION("IF(A680&lt;&gt;"""", GOOGLETRANSLATE(A680, ""en"", ""te""),"""")"),"")</f>
        <v/>
      </c>
      <c r="C680" s="2"/>
      <c r="D680" s="2" t="str">
        <f>IFERROR(__xludf.DUMMYFUNCTION("IF(C680&lt;&gt;"""", GOOGLETRANSLATE(C680, ""en"", ""te""),"""")"),"")</f>
        <v/>
      </c>
      <c r="E680" s="2"/>
      <c r="F680" s="2" t="str">
        <f>IFERROR(__xludf.DUMMYFUNCTION("IF(E680&lt;&gt;"""", GOOGLETRANSLATE(E680, ""en"", ""te""),"""")"),"")</f>
        <v/>
      </c>
      <c r="G680" s="2"/>
      <c r="H680" s="2" t="str">
        <f>IFERROR(__xludf.DUMMYFUNCTION("IF(G680&lt;&gt;"""", GOOGLETRANSLATE(G680, ""en"", ""te""),"""")"),"")</f>
        <v/>
      </c>
      <c r="I680" s="3"/>
    </row>
    <row r="681" customHeight="1" spans="1:9">
      <c r="A681" s="2"/>
      <c r="B681" s="2" t="str">
        <f>IFERROR(__xludf.DUMMYFUNCTION("IF(A681&lt;&gt;"""", GOOGLETRANSLATE(A681, ""en"", ""te""),"""")"),"")</f>
        <v/>
      </c>
      <c r="C681" s="2"/>
      <c r="D681" s="2" t="str">
        <f>IFERROR(__xludf.DUMMYFUNCTION("IF(C681&lt;&gt;"""", GOOGLETRANSLATE(C681, ""en"", ""te""),"""")"),"")</f>
        <v/>
      </c>
      <c r="E681" s="2"/>
      <c r="F681" s="2" t="str">
        <f>IFERROR(__xludf.DUMMYFUNCTION("IF(E681&lt;&gt;"""", GOOGLETRANSLATE(E681, ""en"", ""te""),"""")"),"")</f>
        <v/>
      </c>
      <c r="G681" s="2"/>
      <c r="H681" s="2" t="str">
        <f>IFERROR(__xludf.DUMMYFUNCTION("IF(G681&lt;&gt;"""", GOOGLETRANSLATE(G681, ""en"", ""te""),"""")"),"")</f>
        <v/>
      </c>
      <c r="I681" s="3"/>
    </row>
    <row r="682" customHeight="1" spans="1:9">
      <c r="A682" s="2" t="s">
        <v>555</v>
      </c>
      <c r="B682" s="2" t="str">
        <f>IFERROR(__xludf.DUMMYFUNCTION("IF(A682&lt;&gt;"""", GOOGLETRANSLATE(A682, ""en"", ""te""),"""")"),"[ '9 వ పిన్న కాప్టెన్ (24y 52d)', 'మొదటి డక్ ముందు 8 వ అత్యంత ఇన్నింగ్స్ (13)', '8 వ పిన్న కాప్టెన్ (21y 99d)']")</f>
        <v>[ '9 వ పిన్న కాప్టెన్ (24y 52d)', 'మొదటి డక్ ముందు 8 వ అత్యంత ఇన్నింగ్స్ (13)', '8 వ పిన్న కాప్టెన్ (21y 99d)']</v>
      </c>
      <c r="C682" s="2" t="s">
        <v>556</v>
      </c>
      <c r="D682" s="2" t="str">
        <f>IFERROR(__xludf.DUMMYFUNCTION("IF(C682&lt;&gt;"""", GOOGLETRANSLATE(C682, ""en"", ""te""),"""")"),"[18 వ ఎక్కువ (328) ఒక క్యాలెండర్ సంవత్సరంలో పరుగులు '' మొదటి డక్ ముందు 8 వ అత్యంత ఇన్నింగ్స్ (13) ',' 9 వ పిన్న కాప్టెన్ (24y 52d) ']")</f>
        <v>[18 వ ఎక్కువ (328) ఒక క్యాలెండర్ సంవత్సరంలో పరుగులు '' మొదటి డక్ ముందు 8 వ అత్యంత ఇన్నింగ్స్ (13) ',' 9 వ పిన్న కాప్టెన్ (24y 52d) ']</v>
      </c>
      <c r="E682" s="2" t="s">
        <v>557</v>
      </c>
      <c r="F682" s="2" t="str">
        <f>IFERROR(__xludf.DUMMYFUNCTION("IF(E682&lt;&gt;"""", GOOGLETRANSLATE(E682, ""en"", ""te""),"""")"),"[ '8 వ పిన్న కాప్టెన్ (21y 99d)']")</f>
        <v>[ '8 వ పిన్న కాప్టెన్ (21y 99d)']</v>
      </c>
      <c r="G682" s="2"/>
      <c r="H682" s="2" t="str">
        <f>IFERROR(__xludf.DUMMYFUNCTION("IF(G682&lt;&gt;"""", GOOGLETRANSLATE(G682, ""en"", ""te""),"""")"),"")</f>
        <v/>
      </c>
      <c r="I682" s="3"/>
    </row>
    <row r="683" customHeight="1" spans="1:9">
      <c r="A683" s="2" t="s">
        <v>9</v>
      </c>
      <c r="B683" s="2" t="str">
        <f>IFERROR(__xludf.DUMMYFUNCTION("IF(A683&lt;&gt;"""", GOOGLETRANSLATE(A683, ""en"", ""te""),"""")"),"[ 'హండ్రెడ్ మరియు ఒక మ్యాచ్లో ఒక డక్']")</f>
        <v>[ 'హండ్రెడ్ మరియు ఒక మ్యాచ్లో ఒక డక్']</v>
      </c>
      <c r="C683" s="2"/>
      <c r="D683" s="2" t="str">
        <f>IFERROR(__xludf.DUMMYFUNCTION("IF(C683&lt;&gt;"""", GOOGLETRANSLATE(C683, ""en"", ""te""),"""")"),"")</f>
        <v/>
      </c>
      <c r="E683" s="2"/>
      <c r="F683" s="2" t="str">
        <f>IFERROR(__xludf.DUMMYFUNCTION("IF(E683&lt;&gt;"""", GOOGLETRANSLATE(E683, ""en"", ""te""),"""")"),"")</f>
        <v/>
      </c>
      <c r="G683" s="2"/>
      <c r="H683" s="2" t="str">
        <f>IFERROR(__xludf.DUMMYFUNCTION("IF(G683&lt;&gt;"""", GOOGLETRANSLATE(G683, ""en"", ""te""),"""")"),"")</f>
        <v/>
      </c>
      <c r="I683" s="3"/>
    </row>
    <row r="684" customHeight="1" spans="1:9">
      <c r="A684" s="2"/>
      <c r="B684" s="2" t="str">
        <f>IFERROR(__xludf.DUMMYFUNCTION("IF(A684&lt;&gt;"""", GOOGLETRANSLATE(A684, ""en"", ""te""),"""")"),"")</f>
        <v/>
      </c>
      <c r="C684" s="2"/>
      <c r="D684" s="2" t="str">
        <f>IFERROR(__xludf.DUMMYFUNCTION("IF(C684&lt;&gt;"""", GOOGLETRANSLATE(C684, ""en"", ""te""),"""")"),"")</f>
        <v/>
      </c>
      <c r="E684" s="2" t="s">
        <v>549</v>
      </c>
      <c r="F684" s="2" t="str">
        <f>IFERROR(__xludf.DUMMYFUNCTION("IF(E684&lt;&gt;"""", GOOGLETRANSLATE(E684, ""en"", ""te""),"""")"),"[ 'తొలి ఇన్నింగ్స్ 15 వ బెస్ట్ ఫిగర్స్ (4)']")</f>
        <v>[ 'తొలి ఇన్నింగ్స్ 15 వ బెస్ట్ ఫిగర్స్ (4)']</v>
      </c>
      <c r="G684" s="2"/>
      <c r="H684" s="2" t="str">
        <f>IFERROR(__xludf.DUMMYFUNCTION("IF(G684&lt;&gt;"""", GOOGLETRANSLATE(G684, ""en"", ""te""),"""")"),"")</f>
        <v/>
      </c>
      <c r="I684" s="3"/>
    </row>
    <row r="685" customHeight="1" spans="1:9">
      <c r="A685" s="2"/>
      <c r="B685" s="2" t="str">
        <f>IFERROR(__xludf.DUMMYFUNCTION("IF(A685&lt;&gt;"""", GOOGLETRANSLATE(A685, ""en"", ""te""),"""")"),"")</f>
        <v/>
      </c>
      <c r="C685" s="2"/>
      <c r="D685" s="2" t="str">
        <f>IFERROR(__xludf.DUMMYFUNCTION("IF(C685&lt;&gt;"""", GOOGLETRANSLATE(C685, ""en"", ""te""),"""")"),"")</f>
        <v/>
      </c>
      <c r="E685" s="2"/>
      <c r="F685" s="2" t="str">
        <f>IFERROR(__xludf.DUMMYFUNCTION("IF(E685&lt;&gt;"""", GOOGLETRANSLATE(E685, ""en"", ""te""),"""")"),"")</f>
        <v/>
      </c>
      <c r="G685" s="2"/>
      <c r="H685" s="2" t="str">
        <f>IFERROR(__xludf.DUMMYFUNCTION("IF(G685&lt;&gt;"""", GOOGLETRANSLATE(G685, ""en"", ""te""),"""")"),"")</f>
        <v/>
      </c>
      <c r="I685" s="3"/>
    </row>
    <row r="686" customHeight="1" spans="1:9">
      <c r="A686" s="2" t="s">
        <v>558</v>
      </c>
      <c r="B686" s="2" t="str">
        <f>IFERROR(__xludf.DUMMYFUNCTION("IF(A686&lt;&gt;"""", GOOGLETRANSLATE(A686, ""en"", ""te""),"""")"),"[ 'హండ్రెడ్ తొలి (105 *)']")</f>
        <v>[ 'హండ్రెడ్ తొలి (105 *)']</v>
      </c>
      <c r="C686" s="2"/>
      <c r="D686" s="2" t="str">
        <f>IFERROR(__xludf.DUMMYFUNCTION("IF(C686&lt;&gt;"""", GOOGLETRANSLATE(C686, ""en"", ""te""),"""")"),"")</f>
        <v/>
      </c>
      <c r="E686" s="2"/>
      <c r="F686" s="2" t="str">
        <f>IFERROR(__xludf.DUMMYFUNCTION("IF(E686&lt;&gt;"""", GOOGLETRANSLATE(E686, ""en"", ""te""),"""")"),"")</f>
        <v/>
      </c>
      <c r="G686" s="2"/>
      <c r="H686" s="2" t="str">
        <f>IFERROR(__xludf.DUMMYFUNCTION("IF(G686&lt;&gt;"""", GOOGLETRANSLATE(G686, ""en"", ""te""),"""")"),"")</f>
        <v/>
      </c>
      <c r="I686" s="3"/>
    </row>
    <row r="687" customHeight="1" spans="1:9">
      <c r="A687" s="2"/>
      <c r="B687" s="2" t="str">
        <f>IFERROR(__xludf.DUMMYFUNCTION("IF(A687&lt;&gt;"""", GOOGLETRANSLATE(A687, ""en"", ""te""),"""")"),"")</f>
        <v/>
      </c>
      <c r="C687" s="2"/>
      <c r="D687" s="2" t="str">
        <f>IFERROR(__xludf.DUMMYFUNCTION("IF(C687&lt;&gt;"""", GOOGLETRANSLATE(C687, ""en"", ""te""),"""")"),"")</f>
        <v/>
      </c>
      <c r="E687" s="2"/>
      <c r="F687" s="2" t="str">
        <f>IFERROR(__xludf.DUMMYFUNCTION("IF(E687&lt;&gt;"""", GOOGLETRANSLATE(E687, ""en"", ""te""),"""")"),"")</f>
        <v/>
      </c>
      <c r="G687" s="2"/>
      <c r="H687" s="2" t="str">
        <f>IFERROR(__xludf.DUMMYFUNCTION("IF(G687&lt;&gt;"""", GOOGLETRANSLATE(G687, ""en"", ""te""),"""")"),"")</f>
        <v/>
      </c>
      <c r="I687" s="3"/>
    </row>
    <row r="688" customHeight="1" spans="1:9">
      <c r="A688" s="2"/>
      <c r="B688" s="2" t="str">
        <f>IFERROR(__xludf.DUMMYFUNCTION("IF(A688&lt;&gt;"""", GOOGLETRANSLATE(A688, ""en"", ""te""),"""")"),"")</f>
        <v/>
      </c>
      <c r="C688" s="2" t="s">
        <v>559</v>
      </c>
      <c r="D688" s="2" t="str">
        <f>IFERROR(__xludf.DUMMYFUNCTION("IF(C688&lt;&gt;"""", GOOGLETRANSLATE(C688, ""en"", ""te""),"""")"),"[ '47 వ చెత్త కెరీర్ బౌలింగ్ సరాసరి (48.82)', '26th అత్యధిక పరుగులు ఇన్నింగ్స్ (204) లో సాధించిన]")</f>
        <v>[ '47 వ చెత్త కెరీర్ బౌలింగ్ సరాసరి (48.82)', '26th అత్యధిక పరుగులు ఇన్నింగ్స్ (204) లో సాధించిన]</v>
      </c>
      <c r="E688" s="2"/>
      <c r="F688" s="2" t="str">
        <f>IFERROR(__xludf.DUMMYFUNCTION("IF(E688&lt;&gt;"""", GOOGLETRANSLATE(E688, ""en"", ""te""),"""")"),"")</f>
        <v/>
      </c>
      <c r="G688" s="2"/>
      <c r="H688" s="2" t="str">
        <f>IFERROR(__xludf.DUMMYFUNCTION("IF(G688&lt;&gt;"""", GOOGLETRANSLATE(G688, ""en"", ""te""),"""")"),"")</f>
        <v/>
      </c>
      <c r="I688" s="3"/>
    </row>
    <row r="689" customHeight="1" spans="1:9">
      <c r="A689" s="2"/>
      <c r="B689" s="2" t="str">
        <f>IFERROR(__xludf.DUMMYFUNCTION("IF(A689&lt;&gt;"""", GOOGLETRANSLATE(A689, ""en"", ""te""),"""")"),"")</f>
        <v/>
      </c>
      <c r="C689" s="2"/>
      <c r="D689" s="2" t="str">
        <f>IFERROR(__xludf.DUMMYFUNCTION("IF(C689&lt;&gt;"""", GOOGLETRANSLATE(C689, ""en"", ""te""),"""")"),"")</f>
        <v/>
      </c>
      <c r="E689" s="2"/>
      <c r="F689" s="2" t="str">
        <f>IFERROR(__xludf.DUMMYFUNCTION("IF(E689&lt;&gt;"""", GOOGLETRANSLATE(E689, ""en"", ""te""),"""")"),"")</f>
        <v/>
      </c>
      <c r="G689" s="2"/>
      <c r="H689" s="2" t="str">
        <f>IFERROR(__xludf.DUMMYFUNCTION("IF(G689&lt;&gt;"""", GOOGLETRANSLATE(G689, ""en"", ""te""),"""")"),"")</f>
        <v/>
      </c>
      <c r="I689" s="3"/>
    </row>
    <row r="690" customHeight="1" spans="1:9">
      <c r="A690" s="2" t="s">
        <v>560</v>
      </c>
      <c r="B690" s="2" t="str">
        <f>IFERROR(__xludf.DUMMYFUNCTION("IF(A690&lt;&gt;"""", GOOGLETRANSLATE(A690, ""en"", ""te""),"""")"),"[ '3 వ అత్యుత్తమ బౌలింగ్ ఇన్నింగ్స్ లో విశ్లేషించడం (4/6)', '5 వ చెత్త కెరీర్లో సమ్మె రేటు (28.0)', '1 వ ఇన్నింగ్స్ లో వచ్చిన ఎక్కువ పనికత్తెలయొద్ద (2)']")</f>
        <v>[ '3 వ అత్యుత్తమ బౌలింగ్ ఇన్నింగ్స్ లో విశ్లేషించడం (4/6)', '5 వ చెత్త కెరీర్లో సమ్మె రేటు (28.0)', '1 వ ఇన్నింగ్స్ లో వచ్చిన ఎక్కువ పనికత్తెలయొద్ద (2)']</v>
      </c>
      <c r="C690" s="2" t="s">
        <v>561</v>
      </c>
      <c r="D690" s="2" t="str">
        <f>IFERROR(__xludf.DUMMYFUNCTION("IF(C690&lt;&gt;"""", GOOGLETRANSLATE(C690, ""en"", ""te""),"""")"),"[ 'పదవ వికెట్కు 48 వ అత్యధిక భాగస్వామ్యం (82)']")</f>
        <v>[ 'పదవ వికెట్కు 48 వ అత్యధిక భాగస్వామ్యం (82)']</v>
      </c>
      <c r="E690" s="2" t="s">
        <v>562</v>
      </c>
      <c r="F690" s="2" t="str">
        <f>IFERROR(__xludf.DUMMYFUNCTION("IF(E690&lt;&gt;"""", GOOGLETRANSLATE(E690, ""en"", ""te""),"""")"),"[ '32 వ చెత్త కెరీర్ బౌలింగ్ సరాసరి (49.05)', '31 చెత్త కెరీర్లో సమ్మె రేటు (61.2)', '13 వ వరుస నాలుగు వికెట్లు-ఇన్-ఒక-ఇన్నింగ్స్ (2)']")</f>
        <v>[ '32 వ చెత్త కెరీర్ బౌలింగ్ సరాసరి (49.05)', '31 చెత్త కెరీర్లో సమ్మె రేటు (61.2)', '13 వ వరుస నాలుగు వికెట్లు-ఇన్-ఒక-ఇన్నింగ్స్ (2)']</v>
      </c>
      <c r="G690" s="2" t="s">
        <v>563</v>
      </c>
      <c r="H690" s="2" t="str">
        <f>IFERROR(__xludf.DUMMYFUNCTION("IF(G690&lt;&gt;"""", GOOGLETRANSLATE(G690, ""en"", ""te""),"""")"),"[ '3 వ అత్యుత్తమ బౌలింగ్ ఇన్నింగ్స్ లో విశ్లేషించడం (4/6)', '8 వ ఒక ఇన్నింగ్స్ లోని బెస్ట్ ఫిగర్స్ ఉన్నప్పుడు పరాజయం వైపు (4)', '5 వ చెత్త కెరీర్ సగటు (33.66) బౌలింగ్', '5 వ చెత్త కెరీర్లో సమ్మె రేటు (28.0) ',' ఇన్నింగ్స్ లో 15 వ అత్యధిక క్యాచ్లు (3) ','"&amp;" 38 వ వరుస మ్యాచ్లు కెరీర్లో ప్రదర్శనలు (39) ',' 19 వ అత్యంత పనికత్తెలయొద్ద మధ్య జట్టుకు దూరమయ్యాడు (3) ',' 1st చాల వరకు ఒక లో పనికత్తెలయొద్ద ఇన్నింగ్స్ (2) ']")</f>
        <v>[ '3 వ అత్యుత్తమ బౌలింగ్ ఇన్నింగ్స్ లో విశ్లేషించడం (4/6)', '8 వ ఒక ఇన్నింగ్స్ లోని బెస్ట్ ఫిగర్స్ ఉన్నప్పుడు పరాజయం వైపు (4)', '5 వ చెత్త కెరీర్ సగటు (33.66) బౌలింగ్', '5 వ చెత్త కెరీర్లో సమ్మె రేటు (28.0) ',' ఇన్నింగ్స్ లో 15 వ అత్యధిక క్యాచ్లు (3) ',' 38 వ వరుస మ్యాచ్లు కెరీర్లో ప్రదర్శనలు (39) ',' 19 వ అత్యంత పనికత్తెలయొద్ద మధ్య జట్టుకు దూరమయ్యాడు (3) ',' 1st చాల వరకు ఒక లో పనికత్తెలయొద్ద ఇన్నింగ్స్ (2) ']</v>
      </c>
      <c r="I690" s="3"/>
    </row>
    <row r="691" customHeight="1" spans="1:9">
      <c r="A691" s="2" t="s">
        <v>564</v>
      </c>
      <c r="B691" s="2" t="str">
        <f>IFERROR(__xludf.DUMMYFUNCTION("IF(A691&lt;&gt;"""", GOOGLETRANSLATE(A691, ""en"", ""te""),"""")"),"[ 'ఇన్నింగ్స్ లో 1 వ అత్యధిక క్యాచ్లు (5)', 'మూడో వికెట్ (258) 1 వ అత్యధిక భాగస్వామ్యం']")</f>
        <v>[ 'ఇన్నింగ్స్ లో 1 వ అత్యధిక క్యాచ్లు (5)', 'మూడో వికెట్ (258) 1 వ అత్యధిక భాగస్వామ్యం']</v>
      </c>
      <c r="C691" s="2" t="s">
        <v>565</v>
      </c>
      <c r="D691" s="2" t="str">
        <f>IFERROR(__xludf.DUMMYFUNCTION("IF(C691&lt;&gt;"""", GOOGLETRANSLATE(C691, ""en"", ""te""),"""")"),"[ 'మొదటి డక్ (40) ముందు 19 మోస్ట్ ఇన్నింగ్స్' '49 వ కెరీర్ లో వచ్చిన ఎక్కువ సిక్స్ (41)', '1 వ ఇన్నింగ్స్ లో అత్యధిక క్యాచ్లు (5)', 'ఒక మ్యాచ్లో 8 వ అత్యధిక క్యాచ్లు (6)', '16 వ మూడో వికెట్కు అత్యధిక భాగస్వామ్యం (326) ']")</f>
        <v>[ 'మొదటి డక్ (40) ముందు 19 మోస్ట్ ఇన్నింగ్స్' '49 వ కెరీర్ లో వచ్చిన ఎక్కువ సిక్స్ (41)', '1 వ ఇన్నింగ్స్ లో అత్యధిక క్యాచ్లు (5)', 'ఒక మ్యాచ్లో 8 వ అత్యధిక క్యాచ్లు (6)', '16 వ మూడో వికెట్కు అత్యధిక భాగస్వామ్యం (326) ']</v>
      </c>
      <c r="E691" s="2" t="s">
        <v>566</v>
      </c>
      <c r="F691" s="2" t="str">
        <f>IFERROR(__xludf.DUMMYFUNCTION("IF(E691&lt;&gt;"""", GOOGLETRANSLATE(E691, ""en"", ""te""),"""")"),"[ '16 వ హండ్రెడ్ గత మ్యాచ్ (102) లో', 'ఇన్నింగ్స్ (8) లో 44 వ ఎక్కువ సిక్స్', '17 వ అత్యధిక భాగస్వామ్యాలు ఏ వికెట్కు (258)', 'వికెట్ తేడాతో 3 వ అత్యధిక భాగస్వామ్యాల (3 వ)', '1 వ అత్యధిక మూడో వికెట్కు భాగస్వామ్యం (258) ',' ఐదో వికెట్కు (156) కోసం 33 వ అత్య"&amp;"ధిక భాగస్వామ్యం ']")</f>
        <v>[ '16 వ హండ్రెడ్ గత మ్యాచ్ (102) లో', 'ఇన్నింగ్స్ (8) లో 44 వ ఎక్కువ సిక్స్', '17 వ అత్యధిక భాగస్వామ్యాలు ఏ వికెట్కు (258)', 'వికెట్ తేడాతో 3 వ అత్యధిక భాగస్వామ్యాల (3 వ)', '1 వ అత్యధిక మూడో వికెట్కు భాగస్వామ్యం (258) ',' ఐదో వికెట్కు (156) కోసం 33 వ అత్యధిక భాగస్వామ్యం ']</v>
      </c>
      <c r="G691" s="2" t="s">
        <v>567</v>
      </c>
      <c r="H691" s="2" t="str">
        <f>IFERROR(__xludf.DUMMYFUNCTION("IF(G691&lt;&gt;"""", GOOGLETRANSLATE(G691, ""en"", ""te""),"""")"),"[ 'నాలుగో వికెట్కు (87 *) కోసం 41 వ అత్యధిక భాగస్వామ్యం']")</f>
        <v>[ 'నాలుగో వికెట్కు (87 *) కోసం 41 వ అత్యధిక భాగస్వామ్యం']</v>
      </c>
      <c r="I691" s="3"/>
    </row>
    <row r="692" customHeight="1" spans="1:9">
      <c r="A692" s="2" t="s">
        <v>568</v>
      </c>
      <c r="B692" s="2" t="str">
        <f>IFERROR(__xludf.DUMMYFUNCTION("IF(A692&lt;&gt;"""", GOOGLETRANSLATE(A692, ""en"", ""te""),"""")"),"[ 'తొమ్మిదవ వికెట్ (150) కోసం 10 వ అత్యధిక భాగస్వామ్యం']")</f>
        <v>[ 'తొమ్మిదవ వికెట్ (150) కోసం 10 వ అత్యధిక భాగస్వామ్యం']</v>
      </c>
      <c r="C692" s="2" t="s">
        <v>568</v>
      </c>
      <c r="D692" s="2" t="str">
        <f>IFERROR(__xludf.DUMMYFUNCTION("IF(C692&lt;&gt;"""", GOOGLETRANSLATE(C692, ""en"", ""te""),"""")"),"[ 'తొమ్మిదవ వికెట్ (150) కోసం 10 వ అత్యధిక భాగస్వామ్యం']")</f>
        <v>[ 'తొమ్మిదవ వికెట్ (150) కోసం 10 వ అత్యధిక భాగస్వామ్యం']</v>
      </c>
      <c r="E692" s="2" t="s">
        <v>569</v>
      </c>
      <c r="F692" s="2" t="str">
        <f>IFERROR(__xludf.DUMMYFUNCTION("IF(E692&lt;&gt;"""", GOOGLETRANSLATE(E692, ""en"", ""te""),"""")"),"[ '30 వ చెత్త కెరీర్లో సమ్మె రేటు (61.5)']")</f>
        <v>[ '30 వ చెత్త కెరీర్లో సమ్మె రేటు (61.5)']</v>
      </c>
      <c r="G692" s="2"/>
      <c r="H692" s="2" t="str">
        <f>IFERROR(__xludf.DUMMYFUNCTION("IF(G692&lt;&gt;"""", GOOGLETRANSLATE(G692, ""en"", ""te""),"""")"),"")</f>
        <v/>
      </c>
      <c r="I692" s="3"/>
    </row>
    <row r="693" customHeight="1" spans="1:9">
      <c r="A693" s="2"/>
      <c r="B693" s="2" t="str">
        <f>IFERROR(__xludf.DUMMYFUNCTION("IF(A693&lt;&gt;"""", GOOGLETRANSLATE(A693, ""en"", ""te""),"""")"),"")</f>
        <v/>
      </c>
      <c r="C693" s="2"/>
      <c r="D693" s="2" t="str">
        <f>IFERROR(__xludf.DUMMYFUNCTION("IF(C693&lt;&gt;"""", GOOGLETRANSLATE(C693, ""en"", ""te""),"""")"),"")</f>
        <v/>
      </c>
      <c r="E693" s="2"/>
      <c r="F693" s="2" t="str">
        <f>IFERROR(__xludf.DUMMYFUNCTION("IF(E693&lt;&gt;"""", GOOGLETRANSLATE(E693, ""en"", ""te""),"""")"),"")</f>
        <v/>
      </c>
      <c r="G693" s="2"/>
      <c r="H693" s="2" t="str">
        <f>IFERROR(__xludf.DUMMYFUNCTION("IF(G693&lt;&gt;"""", GOOGLETRANSLATE(G693, ""en"", ""te""),"""")"),"")</f>
        <v/>
      </c>
      <c r="I693" s="3"/>
    </row>
    <row r="694" customHeight="1" spans="1:9">
      <c r="A694" s="2"/>
      <c r="B694" s="2" t="str">
        <f>IFERROR(__xludf.DUMMYFUNCTION("IF(A694&lt;&gt;"""", GOOGLETRANSLATE(A694, ""en"", ""te""),"""")"),"")</f>
        <v/>
      </c>
      <c r="C694" s="2"/>
      <c r="D694" s="2" t="str">
        <f>IFERROR(__xludf.DUMMYFUNCTION("IF(C694&lt;&gt;"""", GOOGLETRANSLATE(C694, ""en"", ""te""),"""")"),"")</f>
        <v/>
      </c>
      <c r="E694" s="2"/>
      <c r="F694" s="2" t="str">
        <f>IFERROR(__xludf.DUMMYFUNCTION("IF(E694&lt;&gt;"""", GOOGLETRANSLATE(E694, ""en"", ""te""),"""")"),"")</f>
        <v/>
      </c>
      <c r="G694" s="2"/>
      <c r="H694" s="2" t="str">
        <f>IFERROR(__xludf.DUMMYFUNCTION("IF(G694&lt;&gt;"""", GOOGLETRANSLATE(G694, ""en"", ""te""),"""")"),"")</f>
        <v/>
      </c>
      <c r="I694" s="3"/>
    </row>
    <row r="695" customHeight="1" spans="1:9">
      <c r="A695" s="2"/>
      <c r="B695" s="2" t="str">
        <f>IFERROR(__xludf.DUMMYFUNCTION("IF(A695&lt;&gt;"""", GOOGLETRANSLATE(A695, ""en"", ""te""),"""")"),"")</f>
        <v/>
      </c>
      <c r="C695" s="2"/>
      <c r="D695" s="2" t="str">
        <f>IFERROR(__xludf.DUMMYFUNCTION("IF(C695&lt;&gt;"""", GOOGLETRANSLATE(C695, ""en"", ""te""),"""")"),"")</f>
        <v/>
      </c>
      <c r="E695" s="2"/>
      <c r="F695" s="2" t="str">
        <f>IFERROR(__xludf.DUMMYFUNCTION("IF(E695&lt;&gt;"""", GOOGLETRANSLATE(E695, ""en"", ""te""),"""")"),"")</f>
        <v/>
      </c>
      <c r="G695" s="2"/>
      <c r="H695" s="2" t="str">
        <f>IFERROR(__xludf.DUMMYFUNCTION("IF(G695&lt;&gt;"""", GOOGLETRANSLATE(G695, ""en"", ""te""),"""")"),"")</f>
        <v/>
      </c>
      <c r="I695" s="3"/>
    </row>
    <row r="696" customHeight="1" spans="1:9">
      <c r="A696" s="2"/>
      <c r="B696" s="2" t="str">
        <f>IFERROR(__xludf.DUMMYFUNCTION("IF(A696&lt;&gt;"""", GOOGLETRANSLATE(A696, ""en"", ""te""),"""")"),"")</f>
        <v/>
      </c>
      <c r="C696" s="2"/>
      <c r="D696" s="2" t="str">
        <f>IFERROR(__xludf.DUMMYFUNCTION("IF(C696&lt;&gt;"""", GOOGLETRANSLATE(C696, ""en"", ""te""),"""")"),"")</f>
        <v/>
      </c>
      <c r="E696" s="2"/>
      <c r="F696" s="2" t="str">
        <f>IFERROR(__xludf.DUMMYFUNCTION("IF(E696&lt;&gt;"""", GOOGLETRANSLATE(E696, ""en"", ""te""),"""")"),"")</f>
        <v/>
      </c>
      <c r="G696" s="2"/>
      <c r="H696" s="2" t="str">
        <f>IFERROR(__xludf.DUMMYFUNCTION("IF(G696&lt;&gt;"""", GOOGLETRANSLATE(G696, ""en"", ""te""),"""")"),"")</f>
        <v/>
      </c>
      <c r="I696" s="3"/>
    </row>
    <row r="697" customHeight="1" spans="1:9">
      <c r="A697" s="2"/>
      <c r="B697" s="2" t="str">
        <f>IFERROR(__xludf.DUMMYFUNCTION("IF(A697&lt;&gt;"""", GOOGLETRANSLATE(A697, ""en"", ""te""),"""")"),"")</f>
        <v/>
      </c>
      <c r="C697" s="2"/>
      <c r="D697" s="2" t="str">
        <f>IFERROR(__xludf.DUMMYFUNCTION("IF(C697&lt;&gt;"""", GOOGLETRANSLATE(C697, ""en"", ""te""),"""")"),"")</f>
        <v/>
      </c>
      <c r="E697" s="2"/>
      <c r="F697" s="2" t="str">
        <f>IFERROR(__xludf.DUMMYFUNCTION("IF(E697&lt;&gt;"""", GOOGLETRANSLATE(E697, ""en"", ""te""),"""")"),"")</f>
        <v/>
      </c>
      <c r="G697" s="2"/>
      <c r="H697" s="2" t="str">
        <f>IFERROR(__xludf.DUMMYFUNCTION("IF(G697&lt;&gt;"""", GOOGLETRANSLATE(G697, ""en"", ""te""),"""")"),"")</f>
        <v/>
      </c>
      <c r="I697" s="3"/>
    </row>
    <row r="698" customHeight="1" spans="1:9">
      <c r="A698" s="2"/>
      <c r="B698" s="2" t="str">
        <f>IFERROR(__xludf.DUMMYFUNCTION("IF(A698&lt;&gt;"""", GOOGLETRANSLATE(A698, ""en"", ""te""),"""")"),"")</f>
        <v/>
      </c>
      <c r="C698" s="2" t="s">
        <v>570</v>
      </c>
      <c r="D698" s="2" t="str">
        <f>IFERROR(__xludf.DUMMYFUNCTION("IF(C698&lt;&gt;"""", GOOGLETRANSLATE(C698, ""en"", ""te""),"""")"),"[ '12 వ ఇన్నింగ్స్ లో అత్యధిక పరుగులు (బ్యాటింగ్ స్థానంలో ప్రకారం) (72)', '26th పరాజయం వైపు ఒక మ్యాచ్లో అత్యధిక పరుగులు (84)', 'మొదటి డక్ (10) ముందు 16 వ ఇన్నింగ్స్]")</f>
        <v>[ '12 వ ఇన్నింగ్స్ లో అత్యధిక పరుగులు (బ్యాటింగ్ స్థానంలో ప్రకారం) (72)', '26th పరాజయం వైపు ఒక మ్యాచ్లో అత్యధిక పరుగులు (84)', 'మొదటి డక్ (10) ముందు 16 వ ఇన్నింగ్స్]</v>
      </c>
      <c r="E698" s="2" t="s">
        <v>571</v>
      </c>
      <c r="F698" s="2" t="str">
        <f>IFERROR(__xludf.DUMMYFUNCTION("IF(E698&lt;&gt;"""", GOOGLETRANSLATE(E698, ""en"", ""te""),"""")"),"[ '31 పిన్న క్రీడాకారులు (16y 88D)']")</f>
        <v>[ '31 పిన్న క్రీడాకారులు (16y 88D)']</v>
      </c>
      <c r="G698" s="2"/>
      <c r="H698" s="2" t="str">
        <f>IFERROR(__xludf.DUMMYFUNCTION("IF(G698&lt;&gt;"""", GOOGLETRANSLATE(G698, ""en"", ""te""),"""")"),"")</f>
        <v/>
      </c>
      <c r="I698" s="3"/>
    </row>
    <row r="699" customHeight="1" spans="1:9">
      <c r="A699" s="2"/>
      <c r="B699" s="2" t="str">
        <f>IFERROR(__xludf.DUMMYFUNCTION("IF(A699&lt;&gt;"""", GOOGLETRANSLATE(A699, ""en"", ""te""),"""")"),"")</f>
        <v/>
      </c>
      <c r="C699" s="2"/>
      <c r="D699" s="2" t="str">
        <f>IFERROR(__xludf.DUMMYFUNCTION("IF(C699&lt;&gt;"""", GOOGLETRANSLATE(C699, ""en"", ""te""),"""")"),"")</f>
        <v/>
      </c>
      <c r="E699" s="2"/>
      <c r="F699" s="2" t="str">
        <f>IFERROR(__xludf.DUMMYFUNCTION("IF(E699&lt;&gt;"""", GOOGLETRANSLATE(E699, ""en"", ""te""),"""")"),"")</f>
        <v/>
      </c>
      <c r="G699" s="2"/>
      <c r="H699" s="2" t="str">
        <f>IFERROR(__xludf.DUMMYFUNCTION("IF(G699&lt;&gt;"""", GOOGLETRANSLATE(G699, ""en"", ""te""),"""")"),"")</f>
        <v/>
      </c>
      <c r="I699" s="3"/>
    </row>
    <row r="700" customHeight="1" spans="1:9">
      <c r="A700" s="2" t="s">
        <v>572</v>
      </c>
      <c r="B700" s="2" t="str">
        <f>IFERROR(__xludf.DUMMYFUNCTION("IF(A700&lt;&gt;"""", GOOGLETRANSLATE(A700, ""en"", ""te""),"""")"),"[ '3 వ అత్యధిక వికెట్లు తీసిన హిట్ వికెట్ (2)']")</f>
        <v>[ '3 వ అత్యధిక వికెట్లు తీసిన హిట్ వికెట్ (2)']</v>
      </c>
      <c r="C700" s="2" t="s">
        <v>573</v>
      </c>
      <c r="D700" s="2" t="str">
        <f>IFERROR(__xludf.DUMMYFUNCTION("IF(C700&lt;&gt;"""", GOOGLETRANSLATE(C700, ""en"", ""te""),"""")"),"[50 వికెట్లు వేగంగా 41 వ (11) ',' 11 వ వరుస (4) అత్యంత బాతులు ''21 వ 100 వికెట్లు వేగంగా (21)', '36 వ 150 వికెట్లు (36) వేగంగా']")</f>
        <v>[50 వికెట్లు వేగంగా 41 వ (11) ',' 11 వ వరుస (4) అత్యంత బాతులు ''21 వ 100 వికెట్లు వేగంగా (21)', '36 వ 150 వికెట్లు (36) వేగంగా']</v>
      </c>
      <c r="E700" s="2" t="s">
        <v>574</v>
      </c>
      <c r="F700" s="2" t="str">
        <f>IFERROR(__xludf.DUMMYFUNCTION("IF(E700&lt;&gt;"""", GOOGLETRANSLATE(E700, ""en"", ""te""),"""")"),"[ '43 వ అత్యంత ఐదు-వికెట్ల లో-ఒక-ఇన్నింగ్స్ కెరీర్ (2) లో', '36 వ అత్యంత నాలుగు వికెట్లు-ఇన్-ఒక-ఇన్నింగ్స్ కెరీర్లో (9)', '13 వ వరుస నాలుగు వికెట్లు ఇన్ -an-ఇన్నింగ్స్ (2) ',' ఐదు వికెట్ల లో-ఒక-ఇన్నింగ్స్ పడుతుంది 25 పిన్న ఆటగాడు (21y 69d) ',' 3 వ అత్యంత "&amp;"తీసుకోబడిన వికెట్ల హిట్ వికెట్ (2) ',' 24 వ వేగంగా 50 వికెట్లు (28 ) ',' 100 వికెట్లు వేగంగా 19 (61) ']")</f>
        <v>[ '43 వ అత్యంత ఐదు-వికెట్ల లో-ఒక-ఇన్నింగ్స్ కెరీర్ (2) లో', '36 వ అత్యంత నాలుగు వికెట్లు-ఇన్-ఒక-ఇన్నింగ్స్ కెరీర్లో (9)', '13 వ వరుస నాలుగు వికెట్లు ఇన్ -an-ఇన్నింగ్స్ (2) ',' ఐదు వికెట్ల లో-ఒక-ఇన్నింగ్స్ పడుతుంది 25 పిన్న ఆటగాడు (21y 69d) ',' 3 వ అత్యంత తీసుకోబడిన వికెట్ల హిట్ వికెట్ (2) ',' 24 వ వేగంగా 50 వికెట్లు (28 ) ',' 100 వికెట్లు వేగంగా 19 (61) ']</v>
      </c>
      <c r="G700" s="2"/>
      <c r="H700" s="2" t="str">
        <f>IFERROR(__xludf.DUMMYFUNCTION("IF(G700&lt;&gt;"""", GOOGLETRANSLATE(G700, ""en"", ""te""),"""")"),"")</f>
        <v/>
      </c>
      <c r="I700" s="3"/>
    </row>
    <row r="701" customHeight="1" spans="1:9">
      <c r="A701" s="2"/>
      <c r="B701" s="2" t="str">
        <f>IFERROR(__xludf.DUMMYFUNCTION("IF(A701&lt;&gt;"""", GOOGLETRANSLATE(A701, ""en"", ""te""),"""")"),"")</f>
        <v/>
      </c>
      <c r="C701" s="2"/>
      <c r="D701" s="2" t="str">
        <f>IFERROR(__xludf.DUMMYFUNCTION("IF(C701&lt;&gt;"""", GOOGLETRANSLATE(C701, ""en"", ""te""),"""")"),"")</f>
        <v/>
      </c>
      <c r="E701" s="2"/>
      <c r="F701" s="2" t="str">
        <f>IFERROR(__xludf.DUMMYFUNCTION("IF(E701&lt;&gt;"""", GOOGLETRANSLATE(E701, ""en"", ""te""),"""")"),"")</f>
        <v/>
      </c>
      <c r="G701" s="2"/>
      <c r="H701" s="2" t="str">
        <f>IFERROR(__xludf.DUMMYFUNCTION("IF(G701&lt;&gt;"""", GOOGLETRANSLATE(G701, ""en"", ""te""),"""")"),"")</f>
        <v/>
      </c>
      <c r="I701" s="3"/>
    </row>
    <row r="702" customHeight="1" spans="1:9">
      <c r="A702" s="2"/>
      <c r="B702" s="2" t="str">
        <f>IFERROR(__xludf.DUMMYFUNCTION("IF(A702&lt;&gt;"""", GOOGLETRANSLATE(A702, ""en"", ""te""),"""")"),"")</f>
        <v/>
      </c>
      <c r="C702" s="2"/>
      <c r="D702" s="2" t="str">
        <f>IFERROR(__xludf.DUMMYFUNCTION("IF(C702&lt;&gt;"""", GOOGLETRANSLATE(C702, ""en"", ""te""),"""")"),"")</f>
        <v/>
      </c>
      <c r="E702" s="2"/>
      <c r="F702" s="2" t="str">
        <f>IFERROR(__xludf.DUMMYFUNCTION("IF(E702&lt;&gt;"""", GOOGLETRANSLATE(E702, ""en"", ""te""),"""")"),"")</f>
        <v/>
      </c>
      <c r="G702" s="2"/>
      <c r="H702" s="2" t="str">
        <f>IFERROR(__xludf.DUMMYFUNCTION("IF(G702&lt;&gt;"""", GOOGLETRANSLATE(G702, ""en"", ""te""),"""")"),"")</f>
        <v/>
      </c>
      <c r="I702" s="3"/>
    </row>
    <row r="703" customHeight="1" spans="1:9">
      <c r="A703" s="2"/>
      <c r="B703" s="2" t="str">
        <f>IFERROR(__xludf.DUMMYFUNCTION("IF(A703&lt;&gt;"""", GOOGLETRANSLATE(A703, ""en"", ""te""),"""")"),"")</f>
        <v/>
      </c>
      <c r="C703" s="2"/>
      <c r="D703" s="2" t="str">
        <f>IFERROR(__xludf.DUMMYFUNCTION("IF(C703&lt;&gt;"""", GOOGLETRANSLATE(C703, ""en"", ""te""),"""")"),"")</f>
        <v/>
      </c>
      <c r="E703" s="2"/>
      <c r="F703" s="2" t="str">
        <f>IFERROR(__xludf.DUMMYFUNCTION("IF(E703&lt;&gt;"""", GOOGLETRANSLATE(E703, ""en"", ""te""),"""")"),"")</f>
        <v/>
      </c>
      <c r="G703" s="2"/>
      <c r="H703" s="2" t="str">
        <f>IFERROR(__xludf.DUMMYFUNCTION("IF(G703&lt;&gt;"""", GOOGLETRANSLATE(G703, ""en"", ""te""),"""")"),"")</f>
        <v/>
      </c>
      <c r="I703" s="3"/>
    </row>
    <row r="704" customHeight="1" spans="1:9">
      <c r="A704" s="2" t="s">
        <v>575</v>
      </c>
      <c r="B704" s="2" t="str">
        <f>IFERROR(__xludf.DUMMYFUNCTION("IF(A704&lt;&gt;"""", GOOGLETRANSLATE(A704, ""en"", ""te""),"""")"),"[ 'ఒక కెప్టెన్తో ఒక ఇన్నింగ్స్ లో 2 వ బెస్ట్ ఫిగర్స్ (6)', '1000 పరుగులు మరియు 100 వికెట్లు', '1000 పరుగులు, 50 వికెట్లు, 50 క్యాచ్లు', '1st లాంగెస్ట్ కెరీర్లు (15y 19d)', '10 వ అత్యంత బంతులను బౌలింగ్ చేశాడు కెరీర్లో (1223) ',' 8 వ కెరీర్ (1682) లో సాధించ"&amp;"ిన అత్యధిక పరుగులు ',' 3 వ అత్యంత క్యాచ్ మరియు బౌల్డ్ తీసుకోబడిన వికెట్ల (5) ',' తొమ్మిదవ వికెట్ (66) కోసం 1 వ అత్యధిక భాగస్వామ్యం ']")</f>
        <v>[ 'ఒక కెప్టెన్తో ఒక ఇన్నింగ్స్ లో 2 వ బెస్ట్ ఫిగర్స్ (6)', '1000 పరుగులు మరియు 100 వికెట్లు', '1000 పరుగులు, 50 వికెట్లు, 50 క్యాచ్లు', '1st లాంగెస్ట్ కెరీర్లు (15y 19d)', '10 వ అత్యంత బంతులను బౌలింగ్ చేశాడు కెరీర్లో (1223) ',' 8 వ కెరీర్ (1682) లో సాధించిన అత్యధిక పరుగులు ',' 3 వ అత్యంత క్యాచ్ మరియు బౌల్డ్ తీసుకోబడిన వికెట్ల (5) ',' తొమ్మిదవ వికెట్ (66) కోసం 1 వ అత్యధిక భాగస్వామ్యం ']</v>
      </c>
      <c r="C704" s="2" t="s">
        <v>576</v>
      </c>
      <c r="D704" s="2" t="str">
        <f>IFERROR(__xludf.DUMMYFUNCTION("IF(C704&lt;&gt;"""", GOOGLETRANSLATE(C704, ""en"", ""te""),"""")"),"[ '29 చెత్త ఇన్నింగ్స్ లో ఆర్థిక రేటు (6.60)', 'ఏడవ వికెట్కు 29 అత్యధిక భాగస్వామ్యం (182)', '20 వ పిన్న కాప్టెన్ (24y 95d)']")</f>
        <v>[ '29 చెత్త ఇన్నింగ్స్ లో ఆర్థిక రేటు (6.60)', 'ఏడవ వికెట్కు 29 అత్యధిక భాగస్వామ్యం (182)', '20 వ పిన్న కాప్టెన్ (24y 95d)']</v>
      </c>
      <c r="E704" s="2" t="s">
        <v>577</v>
      </c>
      <c r="F704" s="2" t="str">
        <f>IFERROR(__xludf.DUMMYFUNCTION("IF(E704&lt;&gt;"""", GOOGLETRANSLATE(E704, ""en"", ""te""),"""")"),"[ '38 వ కెరీర్ లో అత్యధిక వికెట్లు (199)', 'ఒక కెప్టెన్తో ఒక ఇన్నింగ్స్ లో 2 వ బెస్ట్ ఫిగర్స్ (6)', '46 వ అత్యధిక కెరీర్ లో సాధించిన పరుగులు (5874)', '34 వ అత్యధిక వికెట్లు తీసుకున్న బౌల్డ్ (52)', '39 వ అత్యంత ఆకర్షించింది తీసుకోబడిన వికెట్ల (132)', '25 వ"&amp;" అత్యధిక వికెట్లు తీసుకున్న క్యాచ్ మరియు బౌల్డ్ (11)', '33 వ అత్యధిక వికెట్లు ఒక ఫీల్డర్ చేత క్యాచ్ తీసుకున్న (100)', '26th పిన్న కాప్టెన్ (24y 58d)']")</f>
        <v>[ '38 వ కెరీర్ లో అత్యధిక వికెట్లు (199)', 'ఒక కెప్టెన్తో ఒక ఇన్నింగ్స్ లో 2 వ బెస్ట్ ఫిగర్స్ (6)', '46 వ అత్యధిక కెరీర్ లో సాధించిన పరుగులు (5874)', '34 వ అత్యధిక వికెట్లు తీసుకున్న బౌల్డ్ (52)', '39 వ అత్యంత ఆకర్షించింది తీసుకోబడిన వికెట్ల (132)', '25 వ అత్యధిక వికెట్లు తీసుకున్న క్యాచ్ మరియు బౌల్డ్ (11)', '33 వ అత్యధిక వికెట్లు ఒక ఫీల్డర్ చేత క్యాచ్ తీసుకున్న (100)', '26th పిన్న కాప్టెన్ (24y 58d)']</v>
      </c>
      <c r="G704" s="2" t="s">
        <v>578</v>
      </c>
      <c r="H704" s="2" t="str">
        <f>IFERROR(__xludf.DUMMYFUNCTION("IF(G704&lt;&gt;"""", GOOGLETRANSLATE(G704, ""en"", ""te""),"""")"),"[ 'ఇన్నింగ్స్ లో 42 వ అత్యధిక పరుగులు (బ్యాటింగ్ స్థానంలో ప్రకారం) (51)', 'ఇన్నింగ్స్ లో 17 వ అత్యధిక స్ట్రైక్ రేట్ (318.18)', '32 వ కెరీర్ బాతులు (5)', '40 వ కెరీర్ లో వచ్చిన ఎక్కువ సిక్స్ (50 ) ',' 17 వ కెరీర్ లో అత్యధిక వికెట్లు (62) ',' 23 వ చెత్త కె"&amp;"రీర్లో ఆర్థిక రేటు (8.25) ',' 16 వ అత్యంత నాలుగు వికెట్లు-ఇన్-ఒక-ఇన్నింగ్స్ కెరీర్లో (2) ',' 10 వ అత్యంత బంతులను బౌలింగ్ చేశాడు కెరీర్లో (1223) ',' కెరీర్ లో సాధించిన 8 వ అత్యధిక పరుగులు (1682) ',' 17 వ బౌలర్ / బ్యాట్స్ కలయికలు (3) ',' 26th బౌలర్ / ఫీల్డర"&amp;"్ కలయికలు (7) ',' 48 వ అత్యధిక వికెట్లు తీసుకున్న బౌల్డ్ (10) ',' 7 వ అత్యధిక వికెట్లు తీసుకున్న ఆకర్షించింది (49) ',' 3 వ అత్యంత క్యాచ్ మరియు బౌల్డ్ (5) ',' 6 వ అత్యధిక వికెట్లు ఒక ఫీల్డర్ చేత క్యాచ్ తీసుకున్న (44) ',' 48 వ అత్యధిక వికెట్లు ఒక వికెట్ కీప"&amp;"ర్ చే కాట్ తీసుకోబడిన వికెట్ల తీసుకున్న ( 5) ',' అతని 15 వ అత్యధిక క్యాచ్లు (37) ',' 15 వ ఇన్నింగ్స్ లో అత్యధిక క్యాచ్లు (3) ',' వికెట్ తేడాతో 9 వ అత్యధిక భాగస్వామ్యాల (9) ',' 23 వ ఆరవ వికెట్కు అత్యధిక భాగస్వామ్యం (71) ' 'తొమ్మిదవ వికెట్కు 1st అత్యధిక భాగ"&amp;"స్వామ్యం (66)', '32 వ కెరీర్ లో అత్యధిక మ్యాచ్లు (74)', '47 వ వరుస matche ప్రదర్శనల మధ్య ఒక జట్టుకు దూరమయ్యాడు .ఆ (37) ',' 1st లాంగెస్ట్ కెరీర్లు (15y 19d) ',' 24th పిన్న కాప్టెన్ (24y 70d) ']")</f>
        <v>[ 'ఇన్నింగ్స్ లో 42 వ అత్యధిక పరుగులు (బ్యాటింగ్ స్థానంలో ప్రకారం) (51)', 'ఇన్నింగ్స్ లో 17 వ అత్యధిక స్ట్రైక్ రేట్ (318.18)', '32 వ కెరీర్ బాతులు (5)', '40 వ కెరీర్ లో వచ్చిన ఎక్కువ సిక్స్ (50 ) ',' 17 వ కెరీర్ లో అత్యధిక వికెట్లు (62) ',' 23 వ చెత్త కెరీర్లో ఆర్థిక రేటు (8.25) ',' 16 వ అత్యంత నాలుగు వికెట్లు-ఇన్-ఒక-ఇన్నింగ్స్ కెరీర్లో (2) ',' 10 వ అత్యంత బంతులను బౌలింగ్ చేశాడు కెరీర్లో (1223) ',' కెరీర్ లో సాధించిన 8 వ అత్యధిక పరుగులు (1682) ',' 17 వ బౌలర్ / బ్యాట్స్ కలయికలు (3) ',' 26th బౌలర్ / ఫీల్డర్ కలయికలు (7) ',' 48 వ అత్యధిక వికెట్లు తీసుకున్న బౌల్డ్ (10) ',' 7 వ అత్యధిక వికెట్లు తీసుకున్న ఆకర్షించింది (49) ',' 3 వ అత్యంత క్యాచ్ మరియు బౌల్డ్ (5) ',' 6 వ అత్యధిక వికెట్లు ఒక ఫీల్డర్ చేత క్యాచ్ తీసుకున్న (44) ',' 48 వ అత్యధిక వికెట్లు ఒక వికెట్ కీపర్ చే కాట్ తీసుకోబడిన వికెట్ల తీసుకున్న ( 5) ',' అతని 15 వ అత్యధిక క్యాచ్లు (37) ',' 15 వ ఇన్నింగ్స్ లో అత్యధిక క్యాచ్లు (3) ',' వికెట్ తేడాతో 9 వ అత్యధిక భాగస్వామ్యాల (9) ',' 23 వ ఆరవ వికెట్కు అత్యధిక భాగస్వామ్యం (71) ' 'తొమ్మిదవ వికెట్కు 1st అత్యధిక భాగస్వామ్యం (66)', '32 వ కెరీర్ లో అత్యధిక మ్యాచ్లు (74)', '47 వ వరుస matche ప్రదర్శనల మధ్య ఒక జట్టుకు దూరమయ్యాడు .ఆ (37) ',' 1st లాంగెస్ట్ కెరీర్లు (15y 19d) ',' 24th పిన్న కాప్టెన్ (24y 70d) ']</v>
      </c>
      <c r="I704" s="3"/>
    </row>
    <row r="705" customHeight="1" spans="1:9">
      <c r="A705" s="2"/>
      <c r="B705" s="2" t="str">
        <f>IFERROR(__xludf.DUMMYFUNCTION("IF(A705&lt;&gt;"""", GOOGLETRANSLATE(A705, ""en"", ""te""),"""")"),"")</f>
        <v/>
      </c>
      <c r="C705" s="2" t="s">
        <v>579</v>
      </c>
      <c r="D705" s="2" t="str">
        <f>IFERROR(__xludf.DUMMYFUNCTION("IF(C705&lt;&gt;"""", GOOGLETRANSLATE(C705, ""en"", ""te""),"""")"),"[ '31 లాంగెస్ట్ క్రీడాకారులు (92y 277d) నివసించారు']")</f>
        <v>[ '31 లాంగెస్ట్ క్రీడాకారులు (92y 277d) నివసించారు']</v>
      </c>
      <c r="E705" s="2"/>
      <c r="F705" s="2" t="str">
        <f>IFERROR(__xludf.DUMMYFUNCTION("IF(E705&lt;&gt;"""", GOOGLETRANSLATE(E705, ""en"", ""te""),"""")"),"")</f>
        <v/>
      </c>
      <c r="G705" s="2"/>
      <c r="H705" s="2" t="str">
        <f>IFERROR(__xludf.DUMMYFUNCTION("IF(G705&lt;&gt;"""", GOOGLETRANSLATE(G705, ""en"", ""te""),"""")"),"")</f>
        <v/>
      </c>
      <c r="I705" s="3"/>
    </row>
    <row r="706" customHeight="1" spans="1:9">
      <c r="A706" s="2" t="s">
        <v>580</v>
      </c>
      <c r="B706" s="2" t="str">
        <f>IFERROR(__xludf.DUMMYFUNCTION("IF(A706&lt;&gt;"""", GOOGLETRANSLATE(A706, ""en"", ""te""),"""")"),"[ 'ఒక ఇన్నింగ్స్ లో 5 వ ఉత్తమ సంఖ్యలు ఉన్నప్పుడు పరాజయం వైపు (8)', '6 వ అత్యధిక వరుస బాతులు (3)', '4 వ ఉత్తమ తొలి ఇన్నింగ్స్లో గణాంకాలు (4)', '1 వ అత్యధిక వికెట్లు తీసిన హిట్ వికెట్ ( 1) ']")</f>
        <v>[ 'ఒక ఇన్నింగ్స్ లో 5 వ ఉత్తమ సంఖ్యలు ఉన్నప్పుడు పరాజయం వైపు (8)', '6 వ అత్యధిక వరుస బాతులు (3)', '4 వ ఉత్తమ తొలి ఇన్నింగ్స్లో గణాంకాలు (4)', '1 వ అత్యధిక వికెట్లు తీసిన హిట్ వికెట్ ( 1) ']</v>
      </c>
      <c r="C706" s="2" t="s">
        <v>581</v>
      </c>
      <c r="D706" s="2" t="str">
        <f>IFERROR(__xludf.DUMMYFUNCTION("IF(C706&lt;&gt;"""", GOOGLETRANSLATE(C706, ""en"", ""te""),"""")"),"[ '39 వ ఇన్నింగ్స్ లో బెస్ట్ ఫిగర్స్ (8/49)', '5 వ ఒక ఇన్నింగ్స్ లోని బెస్ట్ ఫిగర్స్ ఉన్నప్పుడు పరాజయం వైపు (8)', '40 వ మ్యాచ్ లో బెస్ట్ ఫిగర్స్ ఉన్నప్పుడు పరాజయం వైపు (10)', ' ఒక ఇన్నింగ్స్ లో 19 చెత్త ఆర్థిక రేటు (6.81) ',' 18 వ అత్యధిక పరుగులు ఇన్నిం"&amp;"గ్స్ లో సాధించిన (217) ',' 25 వ అత్యధిక వికెట్లు తీసుకున్న స్టంప్ (10) ']")</f>
        <v>[ '39 వ ఇన్నింగ్స్ లో బెస్ట్ ఫిగర్స్ (8/49)', '5 వ ఒక ఇన్నింగ్స్ లోని బెస్ట్ ఫిగర్స్ ఉన్నప్పుడు పరాజయం వైపు (8)', '40 వ మ్యాచ్ లో బెస్ట్ ఫిగర్స్ ఉన్నప్పుడు పరాజయం వైపు (10)', ' ఒక ఇన్నింగ్స్ లో 19 చెత్త ఆర్థిక రేటు (6.81) ',' 18 వ అత్యధిక పరుగులు ఇన్నింగ్స్ లో సాధించిన (217) ',' 25 వ అత్యధిక వికెట్లు తీసుకున్న స్టంప్ (10) ']</v>
      </c>
      <c r="E706" s="2" t="s">
        <v>582</v>
      </c>
      <c r="F706" s="2" t="str">
        <f>IFERROR(__xludf.DUMMYFUNCTION("IF(E706&lt;&gt;"""", GOOGLETRANSLATE(E706, ""en"", ""te""),"""")"),"[ '6 వ అత్యధిక వరుస బాతులు (3)', 'పదవ వికెట్కు 20 వ అత్యధిక భాగస్వామ్యం (59 *)']")</f>
        <v>[ '6 వ అత్యధిక వరుస బాతులు (3)', 'పదవ వికెట్కు 20 వ అత్యధిక భాగస్వామ్యం (59 *)']</v>
      </c>
      <c r="G706" s="2" t="s">
        <v>583</v>
      </c>
      <c r="H706" s="2" t="str">
        <f>IFERROR(__xludf.DUMMYFUNCTION("IF(G706&lt;&gt;"""", GOOGLETRANSLATE(G706, ""en"", ""te""),"""")"),"[ 'తొలి ఇన్నింగ్స్లో 4 వ ఉత్తమ బొమ్మలు (4)', '1 వ అత్యధిక వికెట్లు తీసిన హిట్ వికెట్ (1)', '42 వ వరుస మ్యాచ్లు ప్రదర్శనల మధ్య బృందం (38) తప్పిన']")</f>
        <v>[ 'తొలి ఇన్నింగ్స్లో 4 వ ఉత్తమ బొమ్మలు (4)', '1 వ అత్యధిక వికెట్లు తీసిన హిట్ వికెట్ (1)', '42 వ వరుస మ్యాచ్లు ప్రదర్శనల మధ్య బృందం (38) తప్పిన']</v>
      </c>
      <c r="I706" s="3"/>
    </row>
    <row r="707" customHeight="1" spans="1:9">
      <c r="A707" s="2"/>
      <c r="B707" s="2" t="str">
        <f>IFERROR(__xludf.DUMMYFUNCTION("IF(A707&lt;&gt;"""", GOOGLETRANSLATE(A707, ""en"", ""te""),"""")"),"")</f>
        <v/>
      </c>
      <c r="C707" s="2"/>
      <c r="D707" s="2" t="str">
        <f>IFERROR(__xludf.DUMMYFUNCTION("IF(C707&lt;&gt;"""", GOOGLETRANSLATE(C707, ""en"", ""te""),"""")"),"")</f>
        <v/>
      </c>
      <c r="E707" s="2"/>
      <c r="F707" s="2" t="str">
        <f>IFERROR(__xludf.DUMMYFUNCTION("IF(E707&lt;&gt;"""", GOOGLETRANSLATE(E707, ""en"", ""te""),"""")"),"")</f>
        <v/>
      </c>
      <c r="G707" s="2"/>
      <c r="H707" s="2" t="str">
        <f>IFERROR(__xludf.DUMMYFUNCTION("IF(G707&lt;&gt;"""", GOOGLETRANSLATE(G707, ""en"", ""te""),"""")"),"")</f>
        <v/>
      </c>
      <c r="I707" s="3"/>
    </row>
    <row r="708" customHeight="1" spans="1:9">
      <c r="A708" s="2" t="s">
        <v>584</v>
      </c>
      <c r="B708" s="2" t="str">
        <f>IFERROR(__xludf.DUMMYFUNCTION("IF(A708&lt;&gt;"""", GOOGLETRANSLATE(A708, ""en"", ""te""),"""")"),"[ '1st వరుస బాతులు (4)']")</f>
        <v>[ '1st వరుస బాతులు (4)']</v>
      </c>
      <c r="C708" s="2"/>
      <c r="D708" s="2" t="str">
        <f>IFERROR(__xludf.DUMMYFUNCTION("IF(C708&lt;&gt;"""", GOOGLETRANSLATE(C708, ""en"", ""te""),"""")"),"")</f>
        <v/>
      </c>
      <c r="E708" s="2" t="s">
        <v>585</v>
      </c>
      <c r="F708" s="2" t="str">
        <f>IFERROR(__xludf.DUMMYFUNCTION("IF(E708&lt;&gt;"""", GOOGLETRANSLATE(E708, ""en"", ""te""),"""")"),"[ 'మొదటి డక్ ముందు 34 వ అత్యంత ఇన్నింగ్స్ (33)', '1 వ వరుస బాతులు (4)']")</f>
        <v>[ 'మొదటి డక్ ముందు 34 వ అత్యంత ఇన్నింగ్స్ (33)', '1 వ వరుస బాతులు (4)']</v>
      </c>
      <c r="G708" s="2"/>
      <c r="H708" s="2" t="str">
        <f>IFERROR(__xludf.DUMMYFUNCTION("IF(G708&lt;&gt;"""", GOOGLETRANSLATE(G708, ""en"", ""te""),"""")"),"")</f>
        <v/>
      </c>
      <c r="I708" s="3"/>
    </row>
    <row r="709" customHeight="1" spans="1:9">
      <c r="A709" s="2"/>
      <c r="B709" s="2" t="str">
        <f>IFERROR(__xludf.DUMMYFUNCTION("IF(A709&lt;&gt;"""", GOOGLETRANSLATE(A709, ""en"", ""te""),"""")"),"")</f>
        <v/>
      </c>
      <c r="C709" s="2"/>
      <c r="D709" s="2" t="str">
        <f>IFERROR(__xludf.DUMMYFUNCTION("IF(C709&lt;&gt;"""", GOOGLETRANSLATE(C709, ""en"", ""te""),"""")"),"")</f>
        <v/>
      </c>
      <c r="E709" s="2"/>
      <c r="F709" s="2" t="str">
        <f>IFERROR(__xludf.DUMMYFUNCTION("IF(E709&lt;&gt;"""", GOOGLETRANSLATE(E709, ""en"", ""te""),"""")"),"")</f>
        <v/>
      </c>
      <c r="G709" s="2"/>
      <c r="H709" s="2" t="str">
        <f>IFERROR(__xludf.DUMMYFUNCTION("IF(G709&lt;&gt;"""", GOOGLETRANSLATE(G709, ""en"", ""te""),"""")"),"")</f>
        <v/>
      </c>
      <c r="I709" s="3"/>
    </row>
    <row r="710" customHeight="1" spans="1:9">
      <c r="A710" s="2"/>
      <c r="B710" s="2" t="str">
        <f>IFERROR(__xludf.DUMMYFUNCTION("IF(A710&lt;&gt;"""", GOOGLETRANSLATE(A710, ""en"", ""te""),"""")"),"")</f>
        <v/>
      </c>
      <c r="C710" s="2"/>
      <c r="D710" s="2" t="str">
        <f>IFERROR(__xludf.DUMMYFUNCTION("IF(C710&lt;&gt;"""", GOOGLETRANSLATE(C710, ""en"", ""te""),"""")"),"")</f>
        <v/>
      </c>
      <c r="E710" s="2"/>
      <c r="F710" s="2" t="str">
        <f>IFERROR(__xludf.DUMMYFUNCTION("IF(E710&lt;&gt;"""", GOOGLETRANSLATE(E710, ""en"", ""te""),"""")"),"")</f>
        <v/>
      </c>
      <c r="G710" s="2"/>
      <c r="H710" s="2" t="str">
        <f>IFERROR(__xludf.DUMMYFUNCTION("IF(G710&lt;&gt;"""", GOOGLETRANSLATE(G710, ""en"", ""te""),"""")"),"")</f>
        <v/>
      </c>
      <c r="I710" s="3"/>
    </row>
    <row r="711" customHeight="1" spans="1:9">
      <c r="A711" s="2" t="s">
        <v>586</v>
      </c>
      <c r="B711" s="2" t="str">
        <f>IFERROR(__xludf.DUMMYFUNCTION("IF(A711&lt;&gt;"""", GOOGLETRANSLATE(A711, ""en"", ""te""),"""")"),"[ 'కెరీర్లో 2 వ అత్యంత జతల (1)', '7th ఒక క్యాలెండర్ సంవత్సరంలో అత్యధిక వికెట్లు (21)', '7 వ అరంగేట్రంలోనే ఇన్నింగ్స్ లోని బెస్ట్ ఫిగర్స్ (5)', '4 వ అత్యధిక వికెట్లు తీసుకున్న క్యాచ్ మరియు బౌల్డ్ (5) ',' ఒక సిరీస్లో 4 అత్యధిక క్యాచ్లు (8) ']")</f>
        <v>[ 'కెరీర్లో 2 వ అత్యంత జతల (1)', '7th ఒక క్యాలెండర్ సంవత్సరంలో అత్యధిక వికెట్లు (21)', '7 వ అరంగేట్రంలోనే ఇన్నింగ్స్ లోని బెస్ట్ ఫిగర్స్ (5)', '4 వ అత్యధిక వికెట్లు తీసుకున్న క్యాచ్ మరియు బౌల్డ్ (5) ',' ఒక సిరీస్లో 4 అత్యధిక క్యాచ్లు (8) ']</v>
      </c>
      <c r="C711" s="2" t="s">
        <v>587</v>
      </c>
      <c r="D711" s="2" t="str">
        <f>IFERROR(__xludf.DUMMYFUNCTION("IF(C711&lt;&gt;"""", GOOGLETRANSLATE(C711, ""en"", ""te""),"""")"),"[ 'కెరీర్లో 2 వ అత్యంత జతల (1)', '32 వ కెరీర్ లో అత్యధిక వికెట్లు (25)', '7th ఒక క్యాలెండర్ సంవత్సరంలో అత్యధిక వికెట్లు (21)', '20 వ ఉత్తమ' 26 ఉత్తమ కెరీర్ సగటు (20.12) బౌలింగ్ ' వృత్తి ఆర్థిక రేటు (1.58) ',' తొలి ఇన్నింగ్స్లో 7 వ బెస్ట్ ఫిగర్స్ (5) ', '2"&amp;"1 వ అరంగేట్రంలోనే మ్యాచ్లో ఉత్తమ బొమ్మలు (5)', '36 వ కెరీర్ లో బౌల్డ్ చాలా బంతుల్లో (1909)', '4 వ ఎక్కువ వికెట్లు క్యాచ్ మరియు బౌల్డ్ తీసుకోకూడదు (5) ',' 12 వ అత్యధిక వికెట్లు తీసుకున్న ఎల్బిడబ్ల్యు (8) ',' 4 వ ఒక సిరీస్లో అత్యధిక క్యాచ్లు (8) ']")</f>
        <v>[ 'కెరీర్లో 2 వ అత్యంత జతల (1)', '32 వ కెరీర్ లో అత్యధిక వికెట్లు (25)', '7th ఒక క్యాలెండర్ సంవత్సరంలో అత్యధిక వికెట్లు (21)', '20 వ ఉత్తమ' 26 ఉత్తమ కెరీర్ సగటు (20.12) బౌలింగ్ ' వృత్తి ఆర్థిక రేటు (1.58) ',' తొలి ఇన్నింగ్స్లో 7 వ బెస్ట్ ఫిగర్స్ (5) ', '21 వ అరంగేట్రంలోనే మ్యాచ్లో ఉత్తమ బొమ్మలు (5)', '36 వ కెరీర్ లో బౌల్డ్ చాలా బంతుల్లో (1909)', '4 వ ఎక్కువ వికెట్లు క్యాచ్ మరియు బౌల్డ్ తీసుకోకూడదు (5) ',' 12 వ అత్యధిక వికెట్లు తీసుకున్న ఎల్బిడబ్ల్యు (8) ',' 4 వ ఒక సిరీస్లో అత్యధిక క్యాచ్లు (8) ']</v>
      </c>
      <c r="E711" s="2" t="s">
        <v>588</v>
      </c>
      <c r="F711" s="2" t="str">
        <f>IFERROR(__xludf.DUMMYFUNCTION("IF(E711&lt;&gt;"""", GOOGLETRANSLATE(E711, ""en"", ""te""),"""")"),"[ '17 వ తొలి మ్యాచ్లో అత్యధిక పరుగులు (61)']")</f>
        <v>[ '17 వ తొలి మ్యాచ్లో అత్యధిక పరుగులు (61)']</v>
      </c>
      <c r="G711" s="2"/>
      <c r="H711" s="2" t="str">
        <f>IFERROR(__xludf.DUMMYFUNCTION("IF(G711&lt;&gt;"""", GOOGLETRANSLATE(G711, ""en"", ""te""),"""")"),"")</f>
        <v/>
      </c>
      <c r="I711" s="3"/>
    </row>
    <row r="712" customHeight="1" spans="1:9">
      <c r="A712" s="2" t="s">
        <v>589</v>
      </c>
      <c r="B712" s="2" t="str">
        <f>IFERROR(__xludf.DUMMYFUNCTION("IF(A712&lt;&gt;"""", GOOGLETRANSLATE(A712, ""en"", ""te""),"""")"),"[ '7th కన్య వందల (36y 57d) స్కోర్ అత్యంత వృద్ధ ఆటగాడు' '9 వ ఉత్తమ కెరీర్ సగటు (5.00) (అర్హత లేకుండా) బౌలింగ్', 'రెండు దేశాలకు ప్రాతినిధ్యం', 'రెండు దేశాలకు ప్రాతినిధ్యం']")</f>
        <v>[ '7th కన్య వందల (36y 57d) స్కోర్ అత్యంత వృద్ధ ఆటగాడు' '9 వ ఉత్తమ కెరీర్ సగటు (5.00) (అర్హత లేకుండా) బౌలింగ్', 'రెండు దేశాలకు ప్రాతినిధ్యం', 'రెండు దేశాలకు ప్రాతినిధ్యం']</v>
      </c>
      <c r="C712" s="2" t="s">
        <v>590</v>
      </c>
      <c r="D712" s="2" t="str">
        <f>IFERROR(__xludf.DUMMYFUNCTION("IF(C712&lt;&gt;"""", GOOGLETRANSLATE(C712, ""en"", ""te""),"""")"),"[ '16 వ అత్యంత వృద్ధ ఆటగాడు తొలి వంద (36y 38d) స్కోర్', '9 వ ఉత్తమ కెరీర్ (5.00) (అర్హత లేకుండా) సగటు బౌలింగ్', '48 వ వరుస మ్యాచ్లు ప్రదర్శనల మధ్య బృందం (51) కోసం తప్పిన']")</f>
        <v>[ '16 వ అత్యంత వృద్ధ ఆటగాడు తొలి వంద (36y 38d) స్కోర్', '9 వ ఉత్తమ కెరీర్ (5.00) (అర్హత లేకుండా) సగటు బౌలింగ్', '48 వ వరుస మ్యాచ్లు ప్రదర్శనల మధ్య బృందం (51) కోసం తప్పిన']</v>
      </c>
      <c r="E712" s="2" t="s">
        <v>591</v>
      </c>
      <c r="F712" s="2" t="str">
        <f>IFERROR(__xludf.DUMMYFUNCTION("IF(E712&lt;&gt;"""", GOOGLETRANSLATE(E712, ""en"", ""te""),"""")"),"[ '7th అత్యంత వృద్ధ ఆటగాడు తొలి వంద (36y 57d) స్కోర్', 'మూడో వికెట్కు 50 వ అత్యధిక భాగస్వామ్యం (185)', '14 వ ఓల్డెస్ట్ క్రీడాకారులు (42y 213d' 22 వ అత్యంత వృద్ధ ఆటగాడు వంద (36y 57d) స్కోర్ ', ) ',' ప్రదర్శనల మధ్య 50 వ లాంగెస్ట్ వ్యవధిలో (6y 158d) ',' 36 వ"&amp;" వరుస మ్యాచ్లు (ప్రదర్శనల మధ్య ఒక జట్టు 131 దూరమయ్యాడు) ']")</f>
        <v>[ '7th అత్యంత వృద్ధ ఆటగాడు తొలి వంద (36y 57d) స్కోర్', 'మూడో వికెట్కు 50 వ అత్యధిక భాగస్వామ్యం (185)', '14 వ ఓల్డెస్ట్ క్రీడాకారులు (42y 213d' 22 వ అత్యంత వృద్ధ ఆటగాడు వంద (36y 57d) స్కోర్ ', ) ',' ప్రదర్శనల మధ్య 50 వ లాంగెస్ట్ వ్యవధిలో (6y 158d) ',' 36 వ వరుస మ్యాచ్లు (ప్రదర్శనల మధ్య ఒక జట్టు 131 దూరమయ్యాడు) ']</v>
      </c>
      <c r="G712" s="2"/>
      <c r="H712" s="2" t="str">
        <f>IFERROR(__xludf.DUMMYFUNCTION("IF(G712&lt;&gt;"""", GOOGLETRANSLATE(G712, ""en"", ""te""),"""")"),"")</f>
        <v/>
      </c>
      <c r="I712" s="3"/>
    </row>
    <row r="713" customHeight="1" spans="1:9">
      <c r="A713" s="2" t="s">
        <v>592</v>
      </c>
      <c r="B713" s="2" t="str">
        <f>IFERROR(__xludf.DUMMYFUNCTION("IF(A713&lt;&gt;"""", GOOGLETRANSLATE(A713, ""en"", ""te""),"""")"),"[ 'ఒక కెప్టెన్తో ఇన్నింగ్స్ లో 1 వ అత్యధిక పరుగులు (400 *)', 'హండ్రెడ్ ఒక మ్యాచ్లో ప్రతి ఇన్నింగ్స్లో', 'హండ్రెడ్ మరియు ఒక మ్యాచ్లో తొంభై', '10 వ కెరీర్ లో చాలా అర్ధ (82)', 'హండ్రెడ్ మరియు ఒక మ్యాచ్ ',' కెరీర్ లో 3 వ అత్యంత ఫోర్లు ఒక డక్ (1559) ',' 7 వ ల"&amp;"ాంగెస్ట్ వ్యక్తిగత ఇన్నింగ్స్ (నిమిషాలు) (778) ',' 10000 పరుగులు (195) ',' 4 వ చాలా లో క్యాచ్లు కు 1 వ వేగవంతమైన సిరీస్ (13) ',' 5000 పరుగులు మరియు 50 ఫీల్డింగ్ వికెట్లు ',' ఆరవ వికెట్కు 10 వ అత్యధిక భాగస్వామ్యం (282 *) ',' 10 వ అత్యంత ప్లేయర్ ఆఫ్ ది మ్య"&amp;"ాచ్ అవార్డులు (30) ',' 6 వ అత్యంత పరుగులు ఇన్నింగ్స్ (బ్యాటింగ్ స్థానం) (169) ',' 6 వ అత్యంత బాతులు వరుస (3) ',' 6 వ 9000 పరుగులు (239) ',' 5000 పరుగులు మరియు 50 ఫీల్డింగ్ వికెట్లు ',' 8 వ అత్యంత ప్లేయర్ ఆఫ్ వేగంగా -ది-మ్యాచ్ అవార్డులు (42) ',' 8 వ కెరీర్"&amp;" లో అత్యధిక పరుగులు (22358) ',' 8 వ ఒక వృత్తిలో అత్యధిక వందలు (53) ',' కెరీర్లో 9 వ అత్యంత యాభైలలో (164) ',' 6 వ అత్యంత ఫోర్లు వృత్తి (2601) ',' కెరీర్ (284) లో 9 వ అత్యధిక క్యాచ్లు ']")</f>
        <v>[ 'ఒక కెప్టెన్తో ఇన్నింగ్స్ లో 1 వ అత్యధిక పరుగులు (400 *)', 'హండ్రెడ్ ఒక మ్యాచ్లో ప్రతి ఇన్నింగ్స్లో', 'హండ్రెడ్ మరియు ఒక మ్యాచ్లో తొంభై', '10 వ కెరీర్ లో చాలా అర్ధ (82)', 'హండ్రెడ్ మరియు ఒక మ్యాచ్ ',' కెరీర్ లో 3 వ అత్యంత ఫోర్లు ఒక డక్ (1559) ',' 7 వ లాంగెస్ట్ వ్యక్తిగత ఇన్నింగ్స్ (నిమిషాలు) (778) ',' 10000 పరుగులు (195) ',' 4 వ చాలా లో క్యాచ్లు కు 1 వ వేగవంతమైన సిరీస్ (13) ',' 5000 పరుగులు మరియు 50 ఫీల్డింగ్ వికెట్లు ',' ఆరవ వికెట్కు 10 వ అత్యధిక భాగస్వామ్యం (282 *) ',' 10 వ అత్యంత ప్లేయర్ ఆఫ్ ది మ్యాచ్ అవార్డులు (30) ',' 6 వ అత్యంత పరుగులు ఇన్నింగ్స్ (బ్యాటింగ్ స్థానం) (169) ',' 6 వ అత్యంత బాతులు వరుస (3) ',' 6 వ 9000 పరుగులు (239) ',' 5000 పరుగులు మరియు 50 ఫీల్డింగ్ వికెట్లు ',' 8 వ అత్యంత ప్లేయర్ ఆఫ్ వేగంగా -ది-మ్యాచ్ అవార్డులు (42) ',' 8 వ కెరీర్ లో అత్యధిక పరుగులు (22358) ',' 8 వ ఒక వృత్తిలో అత్యధిక వందలు (53) ',' కెరీర్లో 9 వ అత్యంత యాభైలలో (164) ',' 6 వ అత్యంత ఫోర్లు వృత్తి (2601) ',' కెరీర్ (284) లో 9 వ అత్యధిక క్యాచ్లు ']</v>
      </c>
      <c r="C713" s="2" t="s">
        <v>593</v>
      </c>
      <c r="D713" s="2" t="str">
        <f>IFERROR(__xludf.DUMMYFUNCTION("IF(C713&lt;&gt;"""", GOOGLETRANSLATE(C713, ""en"", ""te""),"""")"),"[ 'కెరీర్లో 7 వ అత్యధిక పరుగులు (11953)', ఒక మ్యాచ్లో 'ఇన్నింగ్స్ (400 *) లో 1 వ అత్యధిక పరుగులు' 'ఇన్నింగ్స్ లో 9 వ అత్యధిక పరుగులు (ప్రగతిశీల రికార్డు హోల్డర్) (375)', '4 వ అత్యధిక పరుగులు ( 400) ',' 10th ఒక సిరీస్లో అత్యధిక పరుగులు (798) ',' 27 ఒక క్యా"&amp;"లెండర్ సంవత్సరంలో అత్యధిక పరుగులు (1344) ',' 1 వ ఇన్నింగ్స్ లో అత్యధిక పరుగులు (బ్యాటింగ్ స్థానంలో ప్రకారం) (400 *) ',' 1st చాలా పరాజయం వైపు ఒక మ్యాచ్లో పరుగులు (351) ',' 10th చాలా రోజులో ఒకే క్రీడా (1650) పరుగులు ',' 13 వ అత్యధిక పరుగులు (227) ',' 31 ఒక"&amp;" కెప్టెన్ ద్వారా ఒక సిరీస్లో అత్యధిక పరుగులు (546 ) ',' ఒక కెప్టెన్తో ఇన్నింగ్స్ లో 1 వ అత్యధిక పరుగులు (400 *) ',' 25 వ అత్యధిక కెరీర్ బ్యాటింగ్ సగటు (52.88) ',' ఇన్నింగ్స్ లో 30 వ అత్యధిక స్ట్రైక్ రేట్ (187.50) ',' 6 వ అత్యంత జీవితంలో వందల (34) ',' (9)"&amp;" ',' ఒక వృత్తిగా 3 వ అత్యధిక డబుల్ సెంచరీలు (2) ',' 19 ఒక క్యాలెండర్ సంవత్సరంలో అత్యధిక వందలు (5) ',' 9 వ అత్యధిక వందలు వ్యతిరేకంగా ఒక వృత్తిలో 1st అత్యధిక ట్రిపుల్ వందల జట్టు (9) ',' వరుస మ్యాచ్లలో 21 వందల (3) ',' 5 వ అత్యధిక తొలి వంద (277) ',' 24th పిన్"&amp;"న ఆటగాడు డబుల్ సెంచరీ (23y 245d) స్కోర్ ',' 5 వ పిన్న ఆటగాడు కెరీర్లో ',' ట్రిపుల్ వందల (24y 349d) స్కోర్ 10 వ అత్యంత తొంభైల (6) ',' 10 వ కెరీర్ లో చాలా అర్ధ (82) ',' 39 వ కెరీర్ బాతులు (17) ',' 6 వ ఎక్కువ సిక్స్ కెరీర్లో (88) ',' కెరీర్ లో 3 వ అత్యంత ఫో"&amp;"ర్లు (1559) ',' 19 వ ఇన్నింగ్స్ లో వచ్చిన ఎక్కువ సిక్స్ (7) ',' 4 వ ఇన్నింగ్స్ లో వచ్చిన ఎక్కువ ఫోర్లు (45) ',' 6 వ ఫోర్లు, సిక్సర్లు నుండి అత్యధిక పరుగులు ఒక ఇన్నింగ్స్ లో (196) ',' 7 వ లాంగెస్ట్ వ్యక్తిగత ఇన్నింగ్స్ (నిమిషాలు) (778) ',' 11 వ లాంగెస్ట్ వ"&amp;"్యక్తిగత ఇన్నింగ్స్ (బంతులతో) (582) ',' ఒక ఇన్నింగ్స్లో పరుగులు 23 వ అత్యధిక శాతం (59.45) ' '35 వ 1000 పరుగులు (21) వేగంగా', '2000 పరుగులు 5 వ వేగవంతమైన (35)', '3 వ 3000 పరుగులు (52) వేగంగా', '4000 పరుగులు 6 వ వేగవంతమైన (76)', '13 వ 5000 వేగంగా పరుగులు "&amp;"(104) ',' 16 వ 6000 పరుగులు వేగంగా (126) ',' 16 వ 7000 పరుగులు (146) ',' ఫాస్టెస్ట్ 8000 పరుగులు (164) ',' 3 వ అత్యంత వేగంగా 9000 పరుగులు (177) 7 'వేగంగా, '1 వ వేగవంతమైన వరకు 10000 పరుగులు (195)', '2 వ వేగవంతమైన వరకు 11000 పరుగులు (213)', '9 వ అత్యధిక క"&amp;"్యాచ్లు కెరీర్లో (164)', 'ఒక సిరీస్లో 4 అత్యధిక క్యాచ్లు (13)', '10 వ అత్యధిక భాగం ఐదో వికెట్కు (322) ',' ఆరవ వికెట్ (282 *) కోసం 10 వ అత్యధిక భాగస్వామ్యం ',' 20 వ కెరీర్ లో అత్యధిక మ్యాచ్లు (131) ',' ఒక జట్టు కోసం 29 వరుస మ్యాచ్లు (64) ',' 11 nership అత్"&amp;"యంత ప్లేయర్ ఆఫ్ ది మ్యాచ్ అవార్డులు (12) ',' 24 వ అత్యంత ప్లేయర్ ఆఫ్ ది సిరీస్ అవార్డులు (4) ',' 22 వ అత్యధిక మ్యాచ్లు కెప్టెన్ గా కెప్టెన్గా (47) ',' 44 వ వరుస మ్యాచ్లు జట్టు (22) ']")</f>
        <v>[ 'కెరీర్లో 7 వ అత్యధిక పరుగులు (11953)', ఒక మ్యాచ్లో 'ఇన్నింగ్స్ (400 *) లో 1 వ అత్యధిక పరుగులు' 'ఇన్నింగ్స్ లో 9 వ అత్యధిక పరుగులు (ప్రగతిశీల రికార్డు హోల్డర్) (375)', '4 వ అత్యధిక పరుగులు ( 400) ',' 10th ఒక సిరీస్లో అత్యధిక పరుగులు (798) ',' 27 ఒక క్యాలెండర్ సంవత్సరంలో అత్యధిక పరుగులు (1344) ',' 1 వ ఇన్నింగ్స్ లో అత్యధిక పరుగులు (బ్యాటింగ్ స్థానంలో ప్రకారం) (400 *) ',' 1st చాలా పరాజయం వైపు ఒక మ్యాచ్లో పరుగులు (351) ',' 10th చాలా రోజులో ఒకే క్రీడా (1650) పరుగులు ',' 13 వ అత్యధిక పరుగులు (227) ',' 31 ఒక కెప్టెన్ ద్వారా ఒక సిరీస్లో అత్యధిక పరుగులు (546 ) ',' ఒక కెప్టెన్తో ఇన్నింగ్స్ లో 1 వ అత్యధిక పరుగులు (400 *) ',' 25 వ అత్యధిక కెరీర్ బ్యాటింగ్ సగటు (52.88) ',' ఇన్నింగ్స్ లో 30 వ అత్యధిక స్ట్రైక్ రేట్ (187.50) ',' 6 వ అత్యంత జీవితంలో వందల (34) ',' (9) ',' ఒక వృత్తిగా 3 వ అత్యధిక డబుల్ సెంచరీలు (2) ',' 19 ఒక క్యాలెండర్ సంవత్సరంలో అత్యధిక వందలు (5) ',' 9 వ అత్యధిక వందలు వ్యతిరేకంగా ఒక వృత్తిలో 1st అత్యధిక ట్రిపుల్ వందల జట్టు (9) ',' వరుస మ్యాచ్లలో 21 వందల (3) ',' 5 వ అత్యధిక తొలి వంద (277) ',' 24th పిన్న ఆటగాడు డబుల్ సెంచరీ (23y 245d) స్కోర్ ',' 5 వ పిన్న ఆటగాడు కెరీర్లో ',' ట్రిపుల్ వందల (24y 349d) స్కోర్ 10 వ అత్యంత తొంభైల (6) ',' 10 వ కెరీర్ లో చాలా అర్ధ (82) ',' 39 వ కెరీర్ బాతులు (17) ',' 6 వ ఎక్కువ సిక్స్ కెరీర్లో (88) ',' కెరీర్ లో 3 వ అత్యంత ఫోర్లు (1559) ',' 19 వ ఇన్నింగ్స్ లో వచ్చిన ఎక్కువ సిక్స్ (7) ',' 4 వ ఇన్నింగ్స్ లో వచ్చిన ఎక్కువ ఫోర్లు (45) ',' 6 వ ఫోర్లు, సిక్సర్లు నుండి అత్యధిక పరుగులు ఒక ఇన్నింగ్స్ లో (196) ',' 7 వ లాంగెస్ట్ వ్యక్తిగత ఇన్నింగ్స్ (నిమిషాలు) (778) ',' 11 వ లాంగెస్ట్ వ్యక్తిగత ఇన్నింగ్స్ (బంతులతో) (582) ',' ఒక ఇన్నింగ్స్లో పరుగులు 23 వ అత్యధిక శాతం (59.45) ' '35 వ 1000 పరుగులు (21) వేగంగా', '2000 పరుగులు 5 వ వేగవంతమైన (35)', '3 వ 3000 పరుగులు (52) వేగంగా', '4000 పరుగులు 6 వ వేగవంతమైన (76)', '13 వ 5000 వేగంగా పరుగులు (104) ',' 16 వ 6000 పరుగులు వేగంగా (126) ',' 16 వ 7000 పరుగులు (146) ',' ఫాస్టెస్ట్ 8000 పరుగులు (164) ',' 3 వ అత్యంత వేగంగా 9000 పరుగులు (177) 7 'వేగంగా, '1 వ వేగవంతమైన వరకు 10000 పరుగులు (195)', '2 వ వేగవంతమైన వరకు 11000 పరుగులు (213)', '9 వ అత్యధిక క్యాచ్లు కెరీర్లో (164)', 'ఒక సిరీస్లో 4 అత్యధిక క్యాచ్లు (13)', '10 వ అత్యధిక భాగం ఐదో వికెట్కు (322) ',' ఆరవ వికెట్ (282 *) కోసం 10 వ అత్యధిక భాగస్వామ్యం ',' 20 వ కెరీర్ లో అత్యధిక మ్యాచ్లు (131) ',' ఒక జట్టు కోసం 29 వరుస మ్యాచ్లు (64) ',' 11 nership అత్యంత ప్లేయర్ ఆఫ్ ది మ్యాచ్ అవార్డులు (12) ',' 24 వ అత్యంత ప్లేయర్ ఆఫ్ ది సిరీస్ అవార్డులు (4) ',' 22 వ అత్యధిక మ్యాచ్లు కెప్టెన్ గా కెప్టెన్గా (47) ',' 44 వ వరుస మ్యాచ్లు జట్టు (22) ']</v>
      </c>
      <c r="E713" s="2" t="s">
        <v>594</v>
      </c>
      <c r="F713" s="2" t="str">
        <f>IFERROR(__xludf.DUMMYFUNCTION("IF(E713&lt;&gt;"""", GOOGLETRANSLATE(E713, ""en"", ""te""),"""")"),"[ఒకే నేలపై '13 వ అత్యధిక కెరీర్ లో పరుగులు (10405)', '22 వ ఒక క్యాలెండర్ సంవత్సరంలో అత్యధిక పరుగులు (1349)', '6 వ ఇన్నింగ్స్ లో అత్యధిక పరుగులు (బ్యాటింగ్ స్థానంలో ప్రకారం) (169)', '27 వ అత్యధిక పరుగులు (1276) ',' ఒక కెప్టెన్తో ఇన్నింగ్స్ లో 14 వ అత్యధిక"&amp;" పరుగులు (156) ',' 15 కెరీర్లో అత్యధిక వందలు (19) ',' 29th ఒక క్యాలెండర్ సంవత్సరంలో అత్యధిక వందలు (4) ',' 19 వ అత్యంత వ్యతిరేకంగా వందల వంద (35y 271d) స్కోర్ ఒక జట్టు (5) ',' 34 వ అత్యంత వృద్ధ ఆటగాడు ',' 34 వ కెరీర్ తొంభైల (4) ',' 12 వ కెరీర్ అర్ధ (82) ',"&amp;"' వరుస ఇన్నింగ్స్లో 44 వ యాభైల్లో ( 4) ',' 29th వరుస ఒక డక్ లేకుండా ఇన్నింగ్స్ (71) ',' 37 వ అత్యంత బాతులు కెరీర్ లో (16) ',' 6 వ ఒక సిరీస్లో అత్యధిక బాతులు (3) ',' 20 వ ఎక్కువ సిక్స్ కెరీర్లో (133) ' 'కెరీర్లో 12 వ అత్యంత ఫోర్లు (1042)', '14 వ ఇన్నింగ్స"&amp;"్ లో వచ్చిన ఎక్కువ ఫోర్లు (21)', '24th 2000 పరుగులు (54) వేగంగా', '16 వ వేగవంతమైన 3000 పరుగులు (79)', '10 వ వేగంగా 4000 పరుగులు (100) ',' 5000 పరుగులు (118) ',' 8 వ వేగవంతమైన వరకు 6000 పరుగులు (155) ',' 6 వ వేగవంతమైన 7000 పరుగులు (183) ',' 8 వ వేగవంతమె"&amp;"ౖన 8000 పరుగులు 7 వేగంగా (211) ' '6 9000 పరుగులు (239) ',' కెరీర్లో 10000 పరుగులు (278) ',' 16 వ అత్యధిక క్యాచ్లు వేగంగా 7 వ వ వేగవంతమైన (120) ',' 24 వ వరుస (8) ',' 47 వ అత్యధిక భాగస్వామ్యం అత్యధిక క్యాచ్లు రెండో వికెట్కు (197) మూడో వికెట్కు ',' 44 వ అత్"&amp;"యధిక భాగస్వామ్యం (187) ',' 22 వ కెరీర్ లో అత్యధిక మ్యాచ్లు (299) ',' 10 వ అత్యంత ప్లేయర్ ఆఫ్ ది మ్యాచ్ అవార్డులు (30) ',' 24 వ అత్యంత ప్లేయర్ ఆఫ్ ది సిరీస్ అవార్డులు (4) ',' 31 లాంగెస్ట్ కెరీర్లు (16y 163d) ',' 12 వ అత్యధిక మ్యాచ్లు కెప్టెన్గా (125) ',' 4"&amp;"8 వ వరుస అన్ని టాస్ గెలిచిన (3) ',' 23 వ ఓల్డెస్ట్ కాప్టెన్ (37y 354d) ']")</f>
        <v>[ఒకే నేలపై '13 వ అత్యధిక కెరీర్ లో పరుగులు (10405)', '22 వ ఒక క్యాలెండర్ సంవత్సరంలో అత్యధిక పరుగులు (1349)', '6 వ ఇన్నింగ్స్ లో అత్యధిక పరుగులు (బ్యాటింగ్ స్థానంలో ప్రకారం) (169)', '27 వ అత్యధిక పరుగులు (1276) ',' ఒక కెప్టెన్తో ఇన్నింగ్స్ లో 14 వ అత్యధిక పరుగులు (156) ',' 15 కెరీర్లో అత్యధిక వందలు (19) ',' 29th ఒక క్యాలెండర్ సంవత్సరంలో అత్యధిక వందలు (4) ',' 19 వ అత్యంత వ్యతిరేకంగా వందల వంద (35y 271d) స్కోర్ ఒక జట్టు (5) ',' 34 వ అత్యంత వృద్ధ ఆటగాడు ',' 34 వ కెరీర్ తొంభైల (4) ',' 12 వ కెరీర్ అర్ధ (82) ',' వరుస ఇన్నింగ్స్లో 44 వ యాభైల్లో ( 4) ',' 29th వరుస ఒక డక్ లేకుండా ఇన్నింగ్స్ (71) ',' 37 వ అత్యంత బాతులు కెరీర్ లో (16) ',' 6 వ ఒక సిరీస్లో అత్యధిక బాతులు (3) ',' 20 వ ఎక్కువ సిక్స్ కెరీర్లో (133) ' 'కెరీర్లో 12 వ అత్యంత ఫోర్లు (1042)', '14 వ ఇన్నింగ్స్ లో వచ్చిన ఎక్కువ ఫోర్లు (21)', '24th 2000 పరుగులు (54) వేగంగా', '16 వ వేగవంతమైన 3000 పరుగులు (79)', '10 వ వేగంగా 4000 పరుగులు (100) ',' 5000 పరుగులు (118) ',' 8 వ వేగవంతమైన వరకు 6000 పరుగులు (155) ',' 6 వ వేగవంతమైన 7000 పరుగులు (183) ',' 8 వ వేగవంతమైన 8000 పరుగులు 7 వేగంగా (211) ' '6 9000 పరుగులు (239) ',' కెరీర్లో 10000 పరుగులు (278) ',' 16 వ అత్యధిక క్యాచ్లు వేగంగా 7 వ వ వేగవంతమైన (120) ',' 24 వ వరుస (8) ',' 47 వ అత్యధిక భాగస్వామ్యం అత్యధిక క్యాచ్లు రెండో వికెట్కు (197) మూడో వికెట్కు ',' 44 వ అత్యధిక భాగస్వామ్యం (187) ',' 22 వ కెరీర్ లో అత్యధిక మ్యాచ్లు (299) ',' 10 వ అత్యంత ప్లేయర్ ఆఫ్ ది మ్యాచ్ అవార్డులు (30) ',' 24 వ అత్యంత ప్లేయర్ ఆఫ్ ది సిరీస్ అవార్డులు (4) ',' 31 లాంగెస్ట్ కెరీర్లు (16y 163d) ',' 12 వ అత్యధిక మ్యాచ్లు కెప్టెన్గా (125) ',' 48 వ వరుస అన్ని టాస్ గెలిచిన (3) ',' 23 వ ఓల్డెస్ట్ కాప్టెన్ (37y 354d) ']</v>
      </c>
      <c r="G713" s="2"/>
      <c r="H713" s="2" t="str">
        <f>IFERROR(__xludf.DUMMYFUNCTION("IF(G713&lt;&gt;"""", GOOGLETRANSLATE(G713, ""en"", ""te""),"""")"),"")</f>
        <v/>
      </c>
      <c r="I713" s="3"/>
    </row>
    <row r="714" customHeight="1" spans="1:9">
      <c r="A714" s="2" t="s">
        <v>595</v>
      </c>
      <c r="B714" s="2" t="str">
        <f>IFERROR(__xludf.DUMMYFUNCTION("IF(A714&lt;&gt;"""", GOOGLETRANSLATE(A714, ""en"", ""te""),"""")"),"[ 'పరాజయం వైపు ఒక మ్యాచ్ (176 *) లో 4 వ అత్యధిక పరుగులు', 'నాటౌట్ 99 (199, 299 etc) (99 *)', '7 వ ఇన్నింగ్స్ లో అత్యధిక పరుగులు (బ్యాటింగ్ స్థానంలో ప్రకారం) (125 * ) ',' 5 వ అత్యధిక కెరీర్ సమ్మె రేటు (155.74) ',' వరుస ఇన్నింగ్స్లో 3 వ యాభైల్లో (3) ',' 5"&amp;" వ ఇన్నింగ్స్ లో వచ్చిన ఎక్కువ సిక్స్ (12) ']")</f>
        <v>[ 'పరాజయం వైపు ఒక మ్యాచ్ (176 *) లో 4 వ అత్యధిక పరుగులు', 'నాటౌట్ 99 (199, 299 etc) (99 *)', '7 వ ఇన్నింగ్స్ లో అత్యధిక పరుగులు (బ్యాటింగ్ స్థానంలో ప్రకారం) (125 * ) ',' 5 వ అత్యధిక కెరీర్ సమ్మె రేటు (155.74) ',' వరుస ఇన్నింగ్స్లో 3 వ యాభైల్లో (3) ',' 5 వ ఇన్నింగ్స్ లో వచ్చిన ఎక్కువ సిక్స్ (12) ']</v>
      </c>
      <c r="C714" s="2"/>
      <c r="D714" s="2" t="str">
        <f>IFERROR(__xludf.DUMMYFUNCTION("IF(C714&lt;&gt;"""", GOOGLETRANSLATE(C714, ""en"", ""te""),"""")"),"")</f>
        <v/>
      </c>
      <c r="E714" s="2" t="s">
        <v>596</v>
      </c>
      <c r="F714" s="2" t="str">
        <f>IFERROR(__xludf.DUMMYFUNCTION("IF(E714&lt;&gt;"""", GOOGLETRANSLATE(E714, ""en"", ""te""),"""")"),"[ '33 వ ఇన్నింగ్స్ లో అత్యధిక పరుగులు (176 *)', 'పరాజయం వైపు ఒక మ్యాచ్లో 4 వ అత్యధిక పరుగులు (176 *)', '18 వ అత్యధిక తొలి వంద (148)', 'లో ఫోర్లు, సిక్సర్లు నుండి 28 అత్యధిక పరుగులు ఇన్నింగ్స్ (110) ',' ఐదవ వికెట్కు 18 అత్యధిక భాగస్వామ్యం (168 *) ']")</f>
        <v>[ '33 వ ఇన్నింగ్స్ లో అత్యధిక పరుగులు (176 *)', 'పరాజయం వైపు ఒక మ్యాచ్లో 4 వ అత్యధిక పరుగులు (176 *)', '18 వ అత్యధిక తొలి వంద (148)', 'లో ఫోర్లు, సిక్సర్లు నుండి 28 అత్యధిక పరుగులు ఇన్నింగ్స్ (110) ',' ఐదవ వికెట్కు 18 అత్యధిక భాగస్వామ్యం (168 *) ']</v>
      </c>
      <c r="G714" s="2" t="s">
        <v>597</v>
      </c>
      <c r="H714" s="2" t="str">
        <f>IFERROR(__xludf.DUMMYFUNCTION("IF(G714&lt;&gt;"""", GOOGLETRANSLATE(G714, ""en"", ""te""),"""")"),"[ 'ఇన్నింగ్స్ లో 7 వ అత్యధిక పరుగులు (125 *)', '7 వ ఇన్నింగ్స్ లో అత్యధిక పరుగులు (బ్యాటింగ్ స్థానంలో ప్రకారం) (125 *)', '43 వ అత్యధిక కెరీర్ బ్యాటింగ్ సగటు (30.90)', '5 వ అత్యధిక కెరీర్ సమ్మె రేటు ( 155.74) ',' కెరీర్ లో ఒక ఇన్నింగ్స్ (280.00) ',' 32 వ అ"&amp;"త్యంత యాభైలలో 42 వ అత్యధిక స్ట్రైక్ రేట్ (8) ',' కెరీర్ లో వరుస ఇన్నింగ్స్లో 3 వ యాభైల్లో (3) ',' 14 వ ఎక్కువ సిక్స్ (77) ', 'ఇన్నింగ్స్ లో ఫోర్లు, సిక్సర్లు నుండి 9 వ అత్యధిక పరుగులు (96)' 'చాలా 5 వ ఇన్నింగ్స్ లో సిక్సర్లు (12)', '36 వ లాంగెస్ట్ వ్యక్"&amp;"తిగత ఇన్నింగ్స్ (బంతులతో) (62)', 'రెండవ వికెట్కు 32 వ అత్యధిక భాగస్వామ్యం (112 *) ',' 28 వ అతి ప్లేయర్ ఆఫ్ ది మ్యాచ్ అవార్డులు (5) ']")</f>
        <v>[ 'ఇన్నింగ్స్ లో 7 వ అత్యధిక పరుగులు (125 *)', '7 వ ఇన్నింగ్స్ లో అత్యధిక పరుగులు (బ్యాటింగ్ స్థానంలో ప్రకారం) (125 *)', '43 వ అత్యధిక కెరీర్ బ్యాటింగ్ సగటు (30.90)', '5 వ అత్యధిక కెరీర్ సమ్మె రేటు ( 155.74) ',' కెరీర్ లో ఒక ఇన్నింగ్స్ (280.00) ',' 32 వ అత్యంత యాభైలలో 42 వ అత్యధిక స్ట్రైక్ రేట్ (8) ',' కెరీర్ లో వరుస ఇన్నింగ్స్లో 3 వ యాభైల్లో (3) ',' 14 వ ఎక్కువ సిక్స్ (77) ', 'ఇన్నింగ్స్ లో ఫోర్లు, సిక్సర్లు నుండి 9 వ అత్యధిక పరుగులు (96)' 'చాలా 5 వ ఇన్నింగ్స్ లో సిక్సర్లు (12)', '36 వ లాంగెస్ట్ వ్యక్తిగత ఇన్నింగ్స్ (బంతులతో) (62)', 'రెండవ వికెట్కు 32 వ అత్యధిక భాగస్వామ్యం (112 *) ',' 28 వ అతి ప్లేయర్ ఆఫ్ ది మ్యాచ్ అవార్డులు (5) ']</v>
      </c>
      <c r="I714" s="3"/>
    </row>
    <row r="715" customHeight="1" spans="1:9">
      <c r="A715" s="2"/>
      <c r="B715" s="2" t="str">
        <f>IFERROR(__xludf.DUMMYFUNCTION("IF(A715&lt;&gt;"""", GOOGLETRANSLATE(A715, ""en"", ""te""),"""")"),"")</f>
        <v/>
      </c>
      <c r="C715" s="2"/>
      <c r="D715" s="2" t="str">
        <f>IFERROR(__xludf.DUMMYFUNCTION("IF(C715&lt;&gt;"""", GOOGLETRANSLATE(C715, ""en"", ""te""),"""")"),"")</f>
        <v/>
      </c>
      <c r="E715" s="2"/>
      <c r="F715" s="2" t="str">
        <f>IFERROR(__xludf.DUMMYFUNCTION("IF(E715&lt;&gt;"""", GOOGLETRANSLATE(E715, ""en"", ""te""),"""")"),"")</f>
        <v/>
      </c>
      <c r="G715" s="2"/>
      <c r="H715" s="2" t="str">
        <f>IFERROR(__xludf.DUMMYFUNCTION("IF(G715&lt;&gt;"""", GOOGLETRANSLATE(G715, ""en"", ""te""),"""")"),"")</f>
        <v/>
      </c>
      <c r="I715" s="3"/>
    </row>
    <row r="716" customHeight="1" spans="1:9">
      <c r="A716" s="2"/>
      <c r="B716" s="2" t="str">
        <f>IFERROR(__xludf.DUMMYFUNCTION("IF(A716&lt;&gt;"""", GOOGLETRANSLATE(A716, ""en"", ""te""),"""")"),"")</f>
        <v/>
      </c>
      <c r="C716" s="2" t="s">
        <v>598</v>
      </c>
      <c r="D716" s="2" t="str">
        <f>IFERROR(__xludf.DUMMYFUNCTION("IF(C716&lt;&gt;"""", GOOGLETRANSLATE(C716, ""en"", ""te""),"""")"),"[ '13 వ వరుస మ్యాచ్లు ప్రదర్శనల మధ్య (81) జట్టు తప్పిన']")</f>
        <v>[ '13 వ వరుస మ్యాచ్లు ప్రదర్శనల మధ్య (81) జట్టు తప్పిన']</v>
      </c>
      <c r="E716" s="2" t="s">
        <v>599</v>
      </c>
      <c r="F716" s="2" t="str">
        <f>IFERROR(__xludf.DUMMYFUNCTION("IF(E716&lt;&gt;"""", GOOGLETRANSLATE(E716, ""en"", ""te""),"""")"),"[ 'పదవ వికెట్కు 45 వ అత్యధిక భాగస్వామ్యం (47)', 'ప్రదర్శనల మధ్య 28 లాంగెస్ట్ వ్యవధిలో (7y 11d)', '17 వ వరుస మ్యాచ్లు ఆడి మధ్య జట్టు (163) కోసం తప్పిన']")</f>
        <v>[ 'పదవ వికెట్కు 45 వ అత్యధిక భాగస్వామ్యం (47)', 'ప్రదర్శనల మధ్య 28 లాంగెస్ట్ వ్యవధిలో (7y 11d)', '17 వ వరుస మ్యాచ్లు ఆడి మధ్య జట్టు (163) కోసం తప్పిన']</v>
      </c>
      <c r="G716" s="2"/>
      <c r="H716" s="2" t="str">
        <f>IFERROR(__xludf.DUMMYFUNCTION("IF(G716&lt;&gt;"""", GOOGLETRANSLATE(G716, ""en"", ""te""),"""")"),"")</f>
        <v/>
      </c>
      <c r="I716" s="3"/>
    </row>
    <row r="717" customHeight="1" spans="1:9">
      <c r="A717" s="2"/>
      <c r="B717" s="2" t="str">
        <f>IFERROR(__xludf.DUMMYFUNCTION("IF(A717&lt;&gt;"""", GOOGLETRANSLATE(A717, ""en"", ""te""),"""")"),"")</f>
        <v/>
      </c>
      <c r="C717" s="2"/>
      <c r="D717" s="2" t="str">
        <f>IFERROR(__xludf.DUMMYFUNCTION("IF(C717&lt;&gt;"""", GOOGLETRANSLATE(C717, ""en"", ""te""),"""")"),"")</f>
        <v/>
      </c>
      <c r="E717" s="2"/>
      <c r="F717" s="2" t="str">
        <f>IFERROR(__xludf.DUMMYFUNCTION("IF(E717&lt;&gt;"""", GOOGLETRANSLATE(E717, ""en"", ""te""),"""")"),"")</f>
        <v/>
      </c>
      <c r="G717" s="2"/>
      <c r="H717" s="2" t="str">
        <f>IFERROR(__xludf.DUMMYFUNCTION("IF(G717&lt;&gt;"""", GOOGLETRANSLATE(G717, ""en"", ""te""),"""")"),"")</f>
        <v/>
      </c>
      <c r="I717" s="3"/>
    </row>
    <row r="718" customHeight="1" spans="1:9">
      <c r="A718" s="2"/>
      <c r="B718" s="2" t="str">
        <f>IFERROR(__xludf.DUMMYFUNCTION("IF(A718&lt;&gt;"""", GOOGLETRANSLATE(A718, ""en"", ""te""),"""")"),"")</f>
        <v/>
      </c>
      <c r="C718" s="2"/>
      <c r="D718" s="2" t="str">
        <f>IFERROR(__xludf.DUMMYFUNCTION("IF(C718&lt;&gt;"""", GOOGLETRANSLATE(C718, ""en"", ""te""),"""")"),"")</f>
        <v/>
      </c>
      <c r="E718" s="2"/>
      <c r="F718" s="2" t="str">
        <f>IFERROR(__xludf.DUMMYFUNCTION("IF(E718&lt;&gt;"""", GOOGLETRANSLATE(E718, ""en"", ""te""),"""")"),"")</f>
        <v/>
      </c>
      <c r="G718" s="2"/>
      <c r="H718" s="2" t="str">
        <f>IFERROR(__xludf.DUMMYFUNCTION("IF(G718&lt;&gt;"""", GOOGLETRANSLATE(G718, ""en"", ""te""),"""")"),"")</f>
        <v/>
      </c>
      <c r="I718" s="3"/>
    </row>
    <row r="719" customHeight="1" spans="1:9">
      <c r="A719" s="2" t="s">
        <v>352</v>
      </c>
      <c r="B719" s="2" t="str">
        <f>IFERROR(__xludf.DUMMYFUNCTION("IF(A719&lt;&gt;"""", GOOGLETRANSLATE(A719, ""en"", ""te""),"""")"),"[ 'బ్యాటింగ్ ప్రారంభించుటకు మరియు అదే మ్యాచ్ లో బౌలింగ్']")</f>
        <v>[ 'బ్యాటింగ్ ప్రారంభించుటకు మరియు అదే మ్యాచ్ లో బౌలింగ్']</v>
      </c>
      <c r="C719" s="2"/>
      <c r="D719" s="2" t="str">
        <f>IFERROR(__xludf.DUMMYFUNCTION("IF(C719&lt;&gt;"""", GOOGLETRANSLATE(C719, ""en"", ""te""),"""")"),"")</f>
        <v/>
      </c>
      <c r="E719" s="2" t="s">
        <v>600</v>
      </c>
      <c r="F719" s="2" t="str">
        <f>IFERROR(__xludf.DUMMYFUNCTION("IF(E719&lt;&gt;"""", GOOGLETRANSLATE(E719, ""en"", ""te""),"""")"),"[ 'తొలి 33 వ ఓల్డెస్ట్ క్రీడాకారులు (33y 218d)', '22 వ ఓల్డెస్ట్ క్రీడాకారులు (39y 224d)']")</f>
        <v>[ 'తొలి 33 వ ఓల్డెస్ట్ క్రీడాకారులు (33y 218d)', '22 వ ఓల్డెస్ట్ క్రీడాకారులు (39y 224d)']</v>
      </c>
      <c r="G719" s="2" t="s">
        <v>601</v>
      </c>
      <c r="H719" s="2" t="str">
        <f>IFERROR(__xludf.DUMMYFUNCTION("IF(G719&lt;&gt;"""", GOOGLETRANSLATE(G719, ""en"", ""te""),"""")"),"[ '12 వ చెత్త ఇన్నింగ్స్ లో ఆర్థిక రేటు (16.50)', '33 వ తొలి ఓల్డెస్ట్ క్రీడాకారులు (38y 325d)', '29th ఓల్డెస్ట్ క్రీడాకారులు (39y 311d)']")</f>
        <v>[ '12 వ చెత్త ఇన్నింగ్స్ లో ఆర్థిక రేటు (16.50)', '33 వ తొలి ఓల్డెస్ట్ క్రీడాకారులు (38y 325d)', '29th ఓల్డెస్ట్ క్రీడాకారులు (39y 311d)']</v>
      </c>
      <c r="I719" s="3"/>
    </row>
    <row r="720" customHeight="1" spans="1:9">
      <c r="A720" s="2"/>
      <c r="B720" s="2" t="str">
        <f>IFERROR(__xludf.DUMMYFUNCTION("IF(A720&lt;&gt;"""", GOOGLETRANSLATE(A720, ""en"", ""te""),"""")"),"")</f>
        <v/>
      </c>
      <c r="C720" s="2"/>
      <c r="D720" s="2" t="str">
        <f>IFERROR(__xludf.DUMMYFUNCTION("IF(C720&lt;&gt;"""", GOOGLETRANSLATE(C720, ""en"", ""te""),"""")"),"")</f>
        <v/>
      </c>
      <c r="E720" s="2"/>
      <c r="F720" s="2" t="str">
        <f>IFERROR(__xludf.DUMMYFUNCTION("IF(E720&lt;&gt;"""", GOOGLETRANSLATE(E720, ""en"", ""te""),"""")"),"")</f>
        <v/>
      </c>
      <c r="G720" s="2"/>
      <c r="H720" s="2" t="str">
        <f>IFERROR(__xludf.DUMMYFUNCTION("IF(G720&lt;&gt;"""", GOOGLETRANSLATE(G720, ""en"", ""te""),"""")"),"")</f>
        <v/>
      </c>
      <c r="I720" s="3"/>
    </row>
    <row r="721" customHeight="1" spans="1:9">
      <c r="A721" s="2"/>
      <c r="B721" s="2" t="str">
        <f>IFERROR(__xludf.DUMMYFUNCTION("IF(A721&lt;&gt;"""", GOOGLETRANSLATE(A721, ""en"", ""te""),"""")"),"")</f>
        <v/>
      </c>
      <c r="C721" s="2"/>
      <c r="D721" s="2" t="str">
        <f>IFERROR(__xludf.DUMMYFUNCTION("IF(C721&lt;&gt;"""", GOOGLETRANSLATE(C721, ""en"", ""te""),"""")"),"")</f>
        <v/>
      </c>
      <c r="E721" s="2"/>
      <c r="F721" s="2" t="str">
        <f>IFERROR(__xludf.DUMMYFUNCTION("IF(E721&lt;&gt;"""", GOOGLETRANSLATE(E721, ""en"", ""te""),"""")"),"")</f>
        <v/>
      </c>
      <c r="G721" s="2"/>
      <c r="H721" s="2" t="str">
        <f>IFERROR(__xludf.DUMMYFUNCTION("IF(G721&lt;&gt;"""", GOOGLETRANSLATE(G721, ""en"", ""te""),"""")"),"")</f>
        <v/>
      </c>
      <c r="I721" s="3"/>
    </row>
    <row r="722" customHeight="1" spans="1:9">
      <c r="A722" s="2" t="s">
        <v>602</v>
      </c>
      <c r="B722" s="2" t="str">
        <f>IFERROR(__xludf.DUMMYFUNCTION("IF(A722&lt;&gt;"""", GOOGLETRANSLATE(A722, ""en"", ""te""),"""")"),"[ '4 వ ఉత్తమ కెరీర్ బౌలింగ్ సరాసరి (అర్హత లేకుండా) (1.00)']")</f>
        <v>[ '4 వ ఉత్తమ కెరీర్ బౌలింగ్ సరాసరి (అర్హత లేకుండా) (1.00)']</v>
      </c>
      <c r="C722" s="2" t="s">
        <v>602</v>
      </c>
      <c r="D722" s="2" t="str">
        <f>IFERROR(__xludf.DUMMYFUNCTION("IF(C722&lt;&gt;"""", GOOGLETRANSLATE(C722, ""en"", ""te""),"""")"),"[ '4 వ ఉత్తమ కెరీర్ బౌలింగ్ సరాసరి (అర్హత లేకుండా) (1.00)']")</f>
        <v>[ '4 వ ఉత్తమ కెరీర్ బౌలింగ్ సరాసరి (అర్హత లేకుండా) (1.00)']</v>
      </c>
      <c r="E722" s="2"/>
      <c r="F722" s="2" t="str">
        <f>IFERROR(__xludf.DUMMYFUNCTION("IF(E722&lt;&gt;"""", GOOGLETRANSLATE(E722, ""en"", ""te""),"""")"),"")</f>
        <v/>
      </c>
      <c r="G722" s="2"/>
      <c r="H722" s="2" t="str">
        <f>IFERROR(__xludf.DUMMYFUNCTION("IF(G722&lt;&gt;"""", GOOGLETRANSLATE(G722, ""en"", ""te""),"""")"),"")</f>
        <v/>
      </c>
      <c r="I722" s="3"/>
    </row>
    <row r="723" customHeight="1" spans="1:9">
      <c r="A723" s="2" t="s">
        <v>603</v>
      </c>
      <c r="B723" s="2" t="str">
        <f>IFERROR(__xludf.DUMMYFUNCTION("IF(A723&lt;&gt;"""", GOOGLETRANSLATE(A723, ""en"", ""te""),"""")"),"[ 'కెప్టెన్గా 5 వ అత్యధిక మ్యాచ్లు (74)', '8 వ ఒక మ్యాచ్ రిఫరీ గా అత్యధిక మ్యాచ్లు (53)', '3 వ అత్యంత ఇన్నింగ్స్ తొలి డక్ ముందు (58)', '5000 పరుగులు మరియు 50 ఫీల్డింగ్ వికెట్లు', '6 వ అత్యధిక భాగస్వామ్యం తొమ్మిదవ వికెట్కు (161) ',' 9 వ మ్యాచ్ రిఫరీ (133) "&amp;"',' కెరీర్ లో 7 వ అతి తక్కువ బాతులు (69) ',' 1 వ అత్యుత్తమ బౌలింగ్ ఇన్నింగ్స్ విశ్లేషణలలో వంటి అత్యధిక మ్యాచ్లు (1/0) ',' 9 వ ఒక మ్యాచ్ రిఫరీ గా అత్యధిక మ్యాచ్లు (188) ',' మొదటి డక్ (59) ముందు, 7 వ అత్యంత ఇన్నింగ్స్]")</f>
        <v>[ 'కెప్టెన్గా 5 వ అత్యధిక మ్యాచ్లు (74)', '8 వ ఒక మ్యాచ్ రిఫరీ గా అత్యధిక మ్యాచ్లు (53)', '3 వ అత్యంత ఇన్నింగ్స్ తొలి డక్ ముందు (58)', '5000 పరుగులు మరియు 50 ఫీల్డింగ్ వికెట్లు', '6 వ అత్యధిక భాగస్వామ్యం తొమ్మిదవ వికెట్కు (161) ',' 9 వ మ్యాచ్ రిఫరీ (133) ',' కెరీర్ లో 7 వ అతి తక్కువ బాతులు (69) ',' 1 వ అత్యుత్తమ బౌలింగ్ ఇన్నింగ్స్ విశ్లేషణలలో వంటి అత్యధిక మ్యాచ్లు (1/0) ',' 9 వ ఒక మ్యాచ్ రిఫరీ గా అత్యధిక మ్యాచ్లు (188) ',' మొదటి డక్ (59) ముందు, 7 వ అత్యంత ఇన్నింగ్స్]</v>
      </c>
      <c r="C723" s="2" t="s">
        <v>604</v>
      </c>
      <c r="D723" s="2" t="str">
        <f>IFERROR(__xludf.DUMMYFUNCTION("IF(C723&lt;&gt;"""", GOOGLETRANSLATE(C723, ""en"", ""te""),"""")"),"[40 వ అత్యధిక కెరీర్ లో పరుగులు (7515) ',' ఒక సిరీస్లో ఒక కెప్టెన్తో 14 అత్యధిక పరుగులు (636) ',' ఒక కెప్టెన్తో ఇన్నింగ్స్ 24 వ అత్యధిక పరుగులు (242 *) ',' 38 వ తొలి మ్యాచ్లో అత్యధిక పరుగులు (160) ',' 47 వ ఒక వృత్తిలో అత్యధిక వందలు (19) ',' 33 వ ఒక జట్టు "&amp;"(7) ',' 16 వ అత్యంత వృద్ధ ఆటగాడు వ్యతిరేకంగా అత్యధిక వందలు వంద (40y 84d) ',' 31 మోస్ట్ అర్ధ కెరీర్లో (స్కోర్ 58) ',' వరుస ఇన్నింగ్స్లో 32 వ యాభైల్లో (5) ',' 3 వ అత్యంత ఇన్నింగ్స్ తొలి డక్ ముందు (58) ',' ఒక డక్ లేకుండా 11 వ వరుస ఇన్నింగ్స్ (కెరీర్ (43.75 "&amp;"74) ',' 10 వ అతి తక్కువ బాతులు) ' '17 వ ఎక్కువ సిక్స్ కెరీర్లో (70)', 'కెరీర్లో 49 వ అత్యధిక క్యాచ్లు (90)', '22 వ అత్యధిక పార్టనర్షిప్ ఫర్' 32 వ వేగవంతమైన 7000 పరుగులు (163) కు '' ఫాస్టెస్ట్ 6000 పరుగులు (146) కు 44 వ ' ఆరవ వికెట్ (250) తొమ్మిదవ వికెట్క"&amp;"ు ',' 6 వ అత్యధిక భాగస్వామ్యం (161) ',' 45 వ కెరీర్ లో అత్యధిక మ్యాచ్లు (110) ',' 40 వ లాంగెస్ట్ కెరీర్లు (18y 20D) ',' 5 వ కెప్టెన్గా అత్యధిక మ్యాచ్లు (74 ) ',' 24 వ వరుస మ్యాచ్లు ఒక జట్టు కెప్టెన్గా (29) ',' 32 వ వరుస అన్ని టాస్ గెలిచిన (5) ',' 20 వ ఓల్"&amp;"డెస్ట్ స్వాధీనం ఇన్లు (40y 124d) ',' ఒక మ్యాచ్ రిఫరీ గా 8 వ అత్యధిక మ్యాచ్లు (53) ']")</f>
        <v>[40 వ అత్యధిక కెరీర్ లో పరుగులు (7515) ',' ఒక సిరీస్లో ఒక కెప్టెన్తో 14 అత్యధిక పరుగులు (636) ',' ఒక కెప్టెన్తో ఇన్నింగ్స్ 24 వ అత్యధిక పరుగులు (242 *) ',' 38 వ తొలి మ్యాచ్లో అత్యధిక పరుగులు (160) ',' 47 వ ఒక వృత్తిలో అత్యధిక వందలు (19) ',' 33 వ ఒక జట్టు (7) ',' 16 వ అత్యంత వృద్ధ ఆటగాడు వ్యతిరేకంగా అత్యధిక వందలు వంద (40y 84d) ',' 31 మోస్ట్ అర్ధ కెరీర్లో (స్కోర్ 58) ',' వరుస ఇన్నింగ్స్లో 32 వ యాభైల్లో (5) ',' 3 వ అత్యంత ఇన్నింగ్స్ తొలి డక్ ముందు (58) ',' ఒక డక్ లేకుండా 11 వ వరుస ఇన్నింగ్స్ (కెరీర్ (43.75 74) ',' 10 వ అతి తక్కువ బాతులు) ' '17 వ ఎక్కువ సిక్స్ కెరీర్లో (70)', 'కెరీర్లో 49 వ అత్యధిక క్యాచ్లు (90)', '22 వ అత్యధిక పార్టనర్షిప్ ఫర్' 32 వ వేగవంతమైన 7000 పరుగులు (163) కు '' ఫాస్టెస్ట్ 6000 పరుగులు (146) కు 44 వ ' ఆరవ వికెట్ (250) తొమ్మిదవ వికెట్కు ',' 6 వ అత్యధిక భాగస్వామ్యం (161) ',' 45 వ కెరీర్ లో అత్యధిక మ్యాచ్లు (110) ',' 40 వ లాంగెస్ట్ కెరీర్లు (18y 20D) ',' 5 వ కెప్టెన్గా అత్యధిక మ్యాచ్లు (74 ) ',' 24 వ వరుస మ్యాచ్లు ఒక జట్టు కెప్టెన్గా (29) ',' 32 వ వరుస అన్ని టాస్ గెలిచిన (5) ',' 20 వ ఓల్డెస్ట్ స్వాధీనం ఇన్లు (40y 124d) ',' ఒక మ్యాచ్ రిఫరీ గా 8 వ అత్యధిక మ్యాచ్లు (53) ']</v>
      </c>
      <c r="E723" s="2" t="s">
        <v>605</v>
      </c>
      <c r="F723" s="2" t="str">
        <f>IFERROR(__xludf.DUMMYFUNCTION("IF(E723&lt;&gt;"""", GOOGLETRANSLATE(E723, ""en"", ""te""),"""")"),"[ '19 మోస్ట్ ఒక కెప్టెన్ ద్వారా ఒక సిరీస్లో పరుగులు (432)', 'కెరీర్ లో 7 వ అతి తక్కువ బాతులు (69)', వరుస, '12 వ అత్యధిక క్యాచ్లు' 1st అత్యుత్తమ బౌలింగ్ ఇన్నింగ్స్ (1/0) విశ్లేషణలలో '( 9) ',' 37 వ ఓల్డెస్ట్ క్రీడాకారులు (40y 187d) ',' 29th అత్యధిక మ్యాచ్లు"&amp;" కెప్టెన్గా (84) ',' 12 వ ఓల్డెస్ట్ కాప్టెన్ (40y 187d) ',' 9 వ మ్యాచ్ రిఫరీ (133 గా అత్యధిక మ్యాచ్లు) ']")</f>
        <v>[ '19 మోస్ట్ ఒక కెప్టెన్ ద్వారా ఒక సిరీస్లో పరుగులు (432)', 'కెరీర్ లో 7 వ అతి తక్కువ బాతులు (69)', వరుస, '12 వ అత్యధిక క్యాచ్లు' 1st అత్యుత్తమ బౌలింగ్ ఇన్నింగ్స్ (1/0) విశ్లేషణలలో '( 9) ',' 37 వ ఓల్డెస్ట్ క్రీడాకారులు (40y 187d) ',' 29th అత్యధిక మ్యాచ్లు కెప్టెన్గా (84) ',' 12 వ ఓల్డెస్ట్ కాప్టెన్ (40y 187d) ',' 9 వ మ్యాచ్ రిఫరీ (133 గా అత్యధిక మ్యాచ్లు) ']</v>
      </c>
      <c r="G723" s="2"/>
      <c r="H723" s="2" t="str">
        <f>IFERROR(__xludf.DUMMYFUNCTION("IF(G723&lt;&gt;"""", GOOGLETRANSLATE(G723, ""en"", ""te""),"""")"),"")</f>
        <v/>
      </c>
      <c r="I723" s="3"/>
    </row>
    <row r="724" customHeight="1" spans="1:9">
      <c r="A724" s="2"/>
      <c r="B724" s="2" t="str">
        <f>IFERROR(__xludf.DUMMYFUNCTION("IF(A724&lt;&gt;"""", GOOGLETRANSLATE(A724, ""en"", ""te""),"""")"),"")</f>
        <v/>
      </c>
      <c r="C724" s="2"/>
      <c r="D724" s="2" t="str">
        <f>IFERROR(__xludf.DUMMYFUNCTION("IF(C724&lt;&gt;"""", GOOGLETRANSLATE(C724, ""en"", ""te""),"""")"),"")</f>
        <v/>
      </c>
      <c r="E724" s="2"/>
      <c r="F724" s="2" t="str">
        <f>IFERROR(__xludf.DUMMYFUNCTION("IF(E724&lt;&gt;"""", GOOGLETRANSLATE(E724, ""en"", ""te""),"""")"),"")</f>
        <v/>
      </c>
      <c r="G724" s="2"/>
      <c r="H724" s="2" t="str">
        <f>IFERROR(__xludf.DUMMYFUNCTION("IF(G724&lt;&gt;"""", GOOGLETRANSLATE(G724, ""en"", ""te""),"""")"),"")</f>
        <v/>
      </c>
      <c r="I724" s="3"/>
    </row>
    <row r="725" customHeight="1" spans="1:9">
      <c r="A725" s="2"/>
      <c r="B725" s="2" t="str">
        <f>IFERROR(__xludf.DUMMYFUNCTION("IF(A725&lt;&gt;"""", GOOGLETRANSLATE(A725, ""en"", ""te""),"""")"),"")</f>
        <v/>
      </c>
      <c r="C725" s="2"/>
      <c r="D725" s="2" t="str">
        <f>IFERROR(__xludf.DUMMYFUNCTION("IF(C725&lt;&gt;"""", GOOGLETRANSLATE(C725, ""en"", ""te""),"""")"),"")</f>
        <v/>
      </c>
      <c r="E725" s="2" t="s">
        <v>606</v>
      </c>
      <c r="F725" s="2" t="str">
        <f>IFERROR(__xludf.DUMMYFUNCTION("IF(E725&lt;&gt;"""", GOOGLETRANSLATE(E725, ""en"", ""te""),"""")"),"[ 'మొదటి డక్ (21) ముందు 20 వ అత్యంత ఇన్నింగ్స్' '11 వ ఒక ఇన్నింగ్స్ లోని బెస్ట్ ఫిగర్స్ ఉన్నప్పుడు పరాజయం వైపు (4)', 'తొలి 16 వ ఓల్డెస్ట్ క్రీడాకారులు (36y 10d)', '13 వ ఓల్డెస్ట్ క్రీడాకారులు (41y 39d) ']")</f>
        <v>[ 'మొదటి డక్ (21) ముందు 20 వ అత్యంత ఇన్నింగ్స్' '11 వ ఒక ఇన్నింగ్స్ లోని బెస్ట్ ఫిగర్స్ ఉన్నప్పుడు పరాజయం వైపు (4)', 'తొలి 16 వ ఓల్డెస్ట్ క్రీడాకారులు (36y 10d)', '13 వ ఓల్డెస్ట్ క్రీడాకారులు (41y 39d) ']</v>
      </c>
      <c r="G725" s="2" t="s">
        <v>607</v>
      </c>
      <c r="H725" s="2" t="str">
        <f>IFERROR(__xludf.DUMMYFUNCTION("IF(G725&lt;&gt;"""", GOOGLETRANSLATE(G725, ""en"", ""te""),"""")"),"[ '34 వ పరాజయం వైపు ఒక మ్యాచ్లో అత్యధిక పరుగులు (61)', 'ఐదవ వికెట్కు 33 వ అత్యధిక భాగస్వామ్యం (57)', 18 వ ఓల్డెస్ట్ క్రీడాకారుల తొలి 22 ఓల్డెస్ట్ క్రీడాకారులు (40y 91d) ',' (41y 63d) ']")</f>
        <v>[ '34 వ పరాజయం వైపు ఒక మ్యాచ్లో అత్యధిక పరుగులు (61)', 'ఐదవ వికెట్కు 33 వ అత్యధిక భాగస్వామ్యం (57)', 18 వ ఓల్డెస్ట్ క్రీడాకారుల తొలి 22 ఓల్డెస్ట్ క్రీడాకారులు (40y 91d) ',' (41y 63d) ']</v>
      </c>
      <c r="I725" s="3"/>
    </row>
    <row r="726" customHeight="1" spans="1:9">
      <c r="A726" s="2"/>
      <c r="B726" s="2" t="str">
        <f>IFERROR(__xludf.DUMMYFUNCTION("IF(A726&lt;&gt;"""", GOOGLETRANSLATE(A726, ""en"", ""te""),"""")"),"")</f>
        <v/>
      </c>
      <c r="C726" s="2"/>
      <c r="D726" s="2" t="str">
        <f>IFERROR(__xludf.DUMMYFUNCTION("IF(C726&lt;&gt;"""", GOOGLETRANSLATE(C726, ""en"", ""te""),"""")"),"")</f>
        <v/>
      </c>
      <c r="E726" s="2"/>
      <c r="F726" s="2" t="str">
        <f>IFERROR(__xludf.DUMMYFUNCTION("IF(E726&lt;&gt;"""", GOOGLETRANSLATE(E726, ""en"", ""te""),"""")"),"")</f>
        <v/>
      </c>
      <c r="G726" s="2"/>
      <c r="H726" s="2" t="str">
        <f>IFERROR(__xludf.DUMMYFUNCTION("IF(G726&lt;&gt;"""", GOOGLETRANSLATE(G726, ""en"", ""te""),"""")"),"")</f>
        <v/>
      </c>
      <c r="I726" s="3"/>
    </row>
    <row r="727" customHeight="1" spans="1:9">
      <c r="A727" s="2"/>
      <c r="B727" s="2" t="str">
        <f>IFERROR(__xludf.DUMMYFUNCTION("IF(A727&lt;&gt;"""", GOOGLETRANSLATE(A727, ""en"", ""te""),"""")"),"")</f>
        <v/>
      </c>
      <c r="C727" s="2"/>
      <c r="D727" s="2" t="str">
        <f>IFERROR(__xludf.DUMMYFUNCTION("IF(C727&lt;&gt;"""", GOOGLETRANSLATE(C727, ""en"", ""te""),"""")"),"")</f>
        <v/>
      </c>
      <c r="E727" s="2"/>
      <c r="F727" s="2" t="str">
        <f>IFERROR(__xludf.DUMMYFUNCTION("IF(E727&lt;&gt;"""", GOOGLETRANSLATE(E727, ""en"", ""te""),"""")"),"")</f>
        <v/>
      </c>
      <c r="G727" s="2"/>
      <c r="H727" s="2" t="str">
        <f>IFERROR(__xludf.DUMMYFUNCTION("IF(G727&lt;&gt;"""", GOOGLETRANSLATE(G727, ""en"", ""te""),"""")"),"")</f>
        <v/>
      </c>
      <c r="I727" s="3"/>
    </row>
    <row r="728" customHeight="1" spans="1:9">
      <c r="A728" s="2"/>
      <c r="B728" s="2" t="str">
        <f>IFERROR(__xludf.DUMMYFUNCTION("IF(A728&lt;&gt;"""", GOOGLETRANSLATE(A728, ""en"", ""te""),"""")"),"")</f>
        <v/>
      </c>
      <c r="C728" s="2"/>
      <c r="D728" s="2" t="str">
        <f>IFERROR(__xludf.DUMMYFUNCTION("IF(C728&lt;&gt;"""", GOOGLETRANSLATE(C728, ""en"", ""te""),"""")"),"")</f>
        <v/>
      </c>
      <c r="E728" s="2"/>
      <c r="F728" s="2" t="str">
        <f>IFERROR(__xludf.DUMMYFUNCTION("IF(E728&lt;&gt;"""", GOOGLETRANSLATE(E728, ""en"", ""te""),"""")"),"")</f>
        <v/>
      </c>
      <c r="G728" s="2"/>
      <c r="H728" s="2" t="str">
        <f>IFERROR(__xludf.DUMMYFUNCTION("IF(G728&lt;&gt;"""", GOOGLETRANSLATE(G728, ""en"", ""te""),"""")"),"")</f>
        <v/>
      </c>
      <c r="I728" s="3"/>
    </row>
    <row r="729" customHeight="1" spans="1:9">
      <c r="A729" s="2" t="s">
        <v>608</v>
      </c>
      <c r="B729" s="2" t="str">
        <f>IFERROR(__xludf.DUMMYFUNCTION("IF(A729&lt;&gt;"""", GOOGLETRANSLATE(A729, ""en"", ""te""),"""")"),"[ '6 వ చెత్త కెరీర్లో ఆర్థిక రేటు (3.83)' '1 వ అత్యుత్తమ బౌలింగ్ (6/3) ఇన్నింగ్స్ విశ్లేషణలలో']")</f>
        <v>[ '6 వ చెత్త కెరీర్లో ఆర్థిక రేటు (3.83)' '1 వ అత్యుత్తమ బౌలింగ్ (6/3) ఇన్నింగ్స్ విశ్లేషణలలో']</v>
      </c>
      <c r="C729" s="2" t="s">
        <v>609</v>
      </c>
      <c r="D729" s="2" t="str">
        <f>IFERROR(__xludf.DUMMYFUNCTION("IF(C729&lt;&gt;"""", GOOGLETRANSLATE(C729, ""en"", ""te""),"""")"),"[ '1st అత్యుత్తమ బౌలింగ్ ఇన్నింగ్స్ లో విశ్లేషించడం (6/3)', '18 వ ఉత్తమ కెరీర్ సమ్మె రేటు (46.3)', 'ఇన్నింగ్స్ లో 18 వ ఉత్తమ సమ్మె రేటు (6.8)', '6 వ చెత్త కెరీర్లో ఆర్థిక రేటు (3.83)' ]")</f>
        <v>[ '1st అత్యుత్తమ బౌలింగ్ ఇన్నింగ్స్ లో విశ్లేషించడం (6/3)', '18 వ ఉత్తమ కెరీర్ సమ్మె రేటు (46.3)', 'ఇన్నింగ్స్ లో 18 వ ఉత్తమ సమ్మె రేటు (6.8)', '6 వ చెత్త కెరీర్లో ఆర్థిక రేటు (3.83)' ]</v>
      </c>
      <c r="E729" s="2"/>
      <c r="F729" s="2" t="str">
        <f>IFERROR(__xludf.DUMMYFUNCTION("IF(E729&lt;&gt;"""", GOOGLETRANSLATE(E729, ""en"", ""te""),"""")"),"")</f>
        <v/>
      </c>
      <c r="G729" s="2"/>
      <c r="H729" s="2" t="str">
        <f>IFERROR(__xludf.DUMMYFUNCTION("IF(G729&lt;&gt;"""", GOOGLETRANSLATE(G729, ""en"", ""te""),"""")"),"")</f>
        <v/>
      </c>
      <c r="I729" s="3"/>
    </row>
    <row r="730" customHeight="1" spans="1:9">
      <c r="A730" s="2"/>
      <c r="B730" s="2" t="str">
        <f>IFERROR(__xludf.DUMMYFUNCTION("IF(A730&lt;&gt;"""", GOOGLETRANSLATE(A730, ""en"", ""te""),"""")"),"")</f>
        <v/>
      </c>
      <c r="C730" s="2"/>
      <c r="D730" s="2" t="str">
        <f>IFERROR(__xludf.DUMMYFUNCTION("IF(C730&lt;&gt;"""", GOOGLETRANSLATE(C730, ""en"", ""te""),"""")"),"")</f>
        <v/>
      </c>
      <c r="E730" s="2"/>
      <c r="F730" s="2" t="str">
        <f>IFERROR(__xludf.DUMMYFUNCTION("IF(E730&lt;&gt;"""", GOOGLETRANSLATE(E730, ""en"", ""te""),"""")"),"")</f>
        <v/>
      </c>
      <c r="G730" s="2"/>
      <c r="H730" s="2" t="str">
        <f>IFERROR(__xludf.DUMMYFUNCTION("IF(G730&lt;&gt;"""", GOOGLETRANSLATE(G730, ""en"", ""te""),"""")"),"")</f>
        <v/>
      </c>
      <c r="I730" s="3"/>
    </row>
    <row r="731" customHeight="1" spans="1:9">
      <c r="A731" s="2"/>
      <c r="B731" s="2" t="str">
        <f>IFERROR(__xludf.DUMMYFUNCTION("IF(A731&lt;&gt;"""", GOOGLETRANSLATE(A731, ""en"", ""te""),"""")"),"")</f>
        <v/>
      </c>
      <c r="C731" s="2"/>
      <c r="D731" s="2" t="str">
        <f>IFERROR(__xludf.DUMMYFUNCTION("IF(C731&lt;&gt;"""", GOOGLETRANSLATE(C731, ""en"", ""te""),"""")"),"")</f>
        <v/>
      </c>
      <c r="E731" s="2"/>
      <c r="F731" s="2" t="str">
        <f>IFERROR(__xludf.DUMMYFUNCTION("IF(E731&lt;&gt;"""", GOOGLETRANSLATE(E731, ""en"", ""te""),"""")"),"")</f>
        <v/>
      </c>
      <c r="G731" s="2"/>
      <c r="H731" s="2" t="str">
        <f>IFERROR(__xludf.DUMMYFUNCTION("IF(G731&lt;&gt;"""", GOOGLETRANSLATE(G731, ""en"", ""te""),"""")"),"")</f>
        <v/>
      </c>
      <c r="I731" s="3"/>
    </row>
    <row r="732" customHeight="1" spans="1:9">
      <c r="A732" s="2" t="s">
        <v>610</v>
      </c>
      <c r="B732" s="2" t="str">
        <f>IFERROR(__xludf.DUMMYFUNCTION("IF(A732&lt;&gt;"""", GOOGLETRANSLATE(A732, ""en"", ""te""),"""")"),"[ 'ఇన్నింగ్స్ లో 4 వ అత్యధిక పరుగులు (బ్యాటింగ్ స్థానంలో ప్రకారం) (104 *)', '10 వ కెరీర్ లో అత్యంత తొంభైల (2)', '1 వ అత్యుత్తమ బౌలింగ్ ఇన్నింగ్స్ లో విశ్లేషించడం (2/0)', ​​'8 వ చెత్త కెరీర్లో ఆర్థిక రేటు (4.78) ',' 250 పరుగులు మరియు ఒక సిరీస్లో 10 వికెట్"&amp;"లు ',' 3 వ అత్యధిక కెరీర్ లో (118) ',' 1 వ ఇన్నింగ్స్ లో అత్యధిక పరుగులు (బ్యాటింగ్ స్థానంలో ప్రకారం) (112 *) ',' 7 వ అత్యంత అర్ధ మ్యాచ్లు కెరీర్లో (14) ',' కెరీర్ లో 2 వ పెద్ద బాతులు (11) ',' ఒక ఇన్నింగ్స్లో పరుగుల 1st అత్యధిక శాతం (70.44) ',' 10th 2000 "&amp;"పరుగులు (96) ',' 5 వ అత్యుత్తమ బౌలింగ్ విశ్లేషణలలో వేగంగా ఇన్నింగ్స్ (5/5) ',' 10 వ అత్యధిక వికెట్లు తీసుకున్న బౌల్డ్ (23) ',' ఇన్నింగ్స్ లో 3 వ అత్యధిక క్యాచ్లు (3) ',' ఐదవ వికెట్కు 8 వ అత్యధిక భాగస్వామ్యం (76) ']")</f>
        <v>[ 'ఇన్నింగ్స్ లో 4 వ అత్యధిక పరుగులు (బ్యాటింగ్ స్థానంలో ప్రకారం) (104 *)', '10 వ కెరీర్ లో అత్యంత తొంభైల (2)', '1 వ అత్యుత్తమ బౌలింగ్ ఇన్నింగ్స్ లో విశ్లేషించడం (2/0)', ​​'8 వ చెత్త కెరీర్లో ఆర్థిక రేటు (4.78) ',' 250 పరుగులు మరియు ఒక సిరీస్లో 10 వికెట్లు ',' 3 వ అత్యధిక కెరీర్ లో (118) ',' 1 వ ఇన్నింగ్స్ లో అత్యధిక పరుగులు (బ్యాటింగ్ స్థానంలో ప్రకారం) (112 *) ',' 7 వ అత్యంత అర్ధ మ్యాచ్లు కెరీర్లో (14) ',' కెరీర్ లో 2 వ పెద్ద బాతులు (11) ',' ఒక ఇన్నింగ్స్లో పరుగుల 1st అత్యధిక శాతం (70.44) ',' 10th 2000 పరుగులు (96) ',' 5 వ అత్యుత్తమ బౌలింగ్ విశ్లేషణలలో వేగంగా ఇన్నింగ్స్ (5/5) ',' 10 వ అత్యధిక వికెట్లు తీసుకున్న బౌల్డ్ (23) ',' ఇన్నింగ్స్ లో 3 వ అత్యధిక క్యాచ్లు (3) ',' ఐదవ వికెట్కు 8 వ అత్యధిక భాగస్వామ్యం (76) ']</v>
      </c>
      <c r="C732" s="2"/>
      <c r="D732" s="2" t="str">
        <f>IFERROR(__xludf.DUMMYFUNCTION("IF(C732&lt;&gt;"""", GOOGLETRANSLATE(C732, ""en"", ""te""),"""")"),"")</f>
        <v/>
      </c>
      <c r="E732" s="2" t="s">
        <v>611</v>
      </c>
      <c r="F732" s="2" t="str">
        <f>IFERROR(__xludf.DUMMYFUNCTION("IF(E732&lt;&gt;"""", GOOGLETRANSLATE(E732, ""en"", ""te""),"""")"),"[ '20 వ అత్యంత కెరీర్లో పరుగులు (2833)', 'వరుస 24 వ అత్యధిక పరుగులు (592)', '4 వ ఇన్నింగ్స్ లో అత్యధిక పరుగులు (బ్యాటింగ్ స్థానంలో ప్రకారం) (104 *)', '24th ఒకే మైదానంలో అత్యధిక పరుగులు (386) ',' 10 వ కెరీర్ లో అత్యంత తొంభైల (2) ',' 20 వ అత్యంత అర్ధ కెరీ"&amp;"ర్లో (20) ',' వరుస ఇన్నింగ్స్లో 28 యాభైల్లో (3) ', '21 వ అత్యంత బాతులు కెరీర్లో (9)', ' కెరీర్లో 49 వ అత్యధిక వికెట్లు (69) ',' 38 వ ఒక సిరీస్లో అత్యధిక వికెట్లు (18) ',' 1 వ అత్యుత్తమ బౌలింగ్ ఇన్నింగ్స్ లో విశ్లేషించడం (2/0) ',' 11 వ ఒక ఇన్నింగ్స్ లోని "&amp;"బెస్ట్ ఫిగర్స్ పరాజయం వైపు ఉన్నప్పుడు ( 4) ',' 15 వ ఉత్తమ కెరీర్ సమ్మె రేటు (32.1) ',' 8 వ చెత్త కెరీర్లో ఆర్థిక రేటు (4.78) ',' 25 వ అత్యంత నాలుగు వికెట్లు-ఇన్-ఒక-ఇన్నింగ్స్ కెరీర్లో (4) ',' 43 వ అత్యధిక పరుగులు కెరీర్లో సాధించిన (1769) ',' 31 అత్యధిక వ"&amp;"ికెట్లు తీసుకున్న బౌల్డ్ (20) ',' 29 వ అత్యధిక వికెట్లు తీసుకున్న ఎల్బిడబ్ల్యు (14) ',' వరుస కెరీర్లో 44 వ అత్యధిక క్యాచ్లు (28) ',' 47 వ అత్యధిక క్యాచ్లు (6 ) ',' రెండవ వికెట్ ఐదవ వికెట్కు (143) నాలుగవ వికెట్కు ',' 50 వ అత్యధిక భాగస్వామ్యం (97) ',' 30 వ "&amp;"అత్యధిక భాగస్వామ్యం కోసం 40 వ అత్యధిక భాగస్వామ్యం (94) ',' ఆరవ వికెట్కు 41 వ అత్యధిక భాగస్వామ్యం (66) ',' ఎనిమిదవ వికెట్కు 45 వ అత్యధిక భాగస్వామ్యం (43) ',' 24 వ అత్యధిక కెరీర్ లో మ్యాచ్లు (117) ',' 27 వ వరుస జట్టు మ్యాచ్లు (46) ']")</f>
        <v>[ '20 వ అత్యంత కెరీర్లో పరుగులు (2833)', 'వరుస 24 వ అత్యధిక పరుగులు (592)', '4 వ ఇన్నింగ్స్ లో అత్యధిక పరుగులు (బ్యాటింగ్ స్థానంలో ప్రకారం) (104 *)', '24th ఒకే మైదానంలో అత్యధిక పరుగులు (386) ',' 10 వ కెరీర్ లో అత్యంత తొంభైల (2) ',' 20 వ అత్యంత అర్ధ కెరీర్లో (20) ',' వరుస ఇన్నింగ్స్లో 28 యాభైల్లో (3) ', '21 వ అత్యంత బాతులు కెరీర్లో (9)', ' కెరీర్లో 49 వ అత్యధిక వికెట్లు (69) ',' 38 వ ఒక సిరీస్లో అత్యధిక వికెట్లు (18) ',' 1 వ అత్యుత్తమ బౌలింగ్ ఇన్నింగ్స్ లో విశ్లేషించడం (2/0) ',' 11 వ ఒక ఇన్నింగ్స్ లోని బెస్ట్ ఫిగర్స్ పరాజయం వైపు ఉన్నప్పుడు ( 4) ',' 15 వ ఉత్తమ కెరీర్ సమ్మె రేటు (32.1) ',' 8 వ చెత్త కెరీర్లో ఆర్థిక రేటు (4.78) ',' 25 వ అత్యంత నాలుగు వికెట్లు-ఇన్-ఒక-ఇన్నింగ్స్ కెరీర్లో (4) ',' 43 వ అత్యధిక పరుగులు కెరీర్లో సాధించిన (1769) ',' 31 అత్యధిక వికెట్లు తీసుకున్న బౌల్డ్ (20) ',' 29 వ అత్యధిక వికెట్లు తీసుకున్న ఎల్బిడబ్ల్యు (14) ',' వరుస కెరీర్లో 44 వ అత్యధిక క్యాచ్లు (28) ',' 47 వ అత్యధిక క్యాచ్లు (6 ) ',' రెండవ వికెట్ ఐదవ వికెట్కు (143) నాలుగవ వికెట్కు ',' 50 వ అత్యధిక భాగస్వామ్యం (97) ',' 30 వ అత్యధిక భాగస్వామ్యం కోసం 40 వ అత్యధిక భాగస్వామ్యం (94) ',' ఆరవ వికెట్కు 41 వ అత్యధిక భాగస్వామ్యం (66) ',' ఎనిమిదవ వికెట్కు 45 వ అత్యధిక భాగస్వామ్యం (43) ',' 24 వ అత్యధిక కెరీర్ లో మ్యాచ్లు (117) ',' 27 వ వరుస జట్టు మ్యాచ్లు (46) ']</v>
      </c>
      <c r="G732" s="2" t="s">
        <v>612</v>
      </c>
      <c r="H732" s="2" t="str">
        <f>IFERROR(__xludf.DUMMYFUNCTION("IF(G732&lt;&gt;"""", GOOGLETRANSLATE(G732, ""en"", ""te""),"""")"),"[ 'కెరీర్లో 5 వ అత్యధిక పరుగులు (2565)', '15 వ ఇన్నింగ్స్ లో అత్యధిక పరుగులు (112 *)', '3 వ భాగం (ప్రగతిశీల రికార్డు హోల్డర్) ఒక ఇన్నింగ్స్ లో నడుస్తుంది (112 *)' ఇన్నింగ్స్ లో, '1st అత్యధిక పరుగులు (బ్యాటింగ్ స్థానం) (112 *) ',' 20 వ పరాజయం వైపు ఒక మ్యా"&amp;"చ్లో అత్యధిక పరుగులు (69) ',' 25 వ ఒకే మైదానంలో అత్యధిక పరుగులు (209) ',' 20 వ అత్యధిక కెరీర్ బ్యాటింగ్ సగటు (26.44) ' 'కెరీర్ లో 7 వ అత్యంత అర్ధ (14)', 'కెరీర్ లో 2 వ పెద్ద బాతులు (11)', 'ఒక ఇన్నింగ్స్లో పరుగుల 1st అత్యధిక శాతం (70.44)', '10th 2000 పరుగ"&amp;"ులు వేగంగా (96)', ' కెరీర్లో 24 వ అత్యధిక వికెట్లు (61) ',' 11 వ ఒక ఇన్నింగ్స్ లోని బెస్ట్ ఫిగర్స్ (5/5) ',' 5 వ అత్యుత్తమ బౌలింగ్ ఇన్నింగ్స్ లో విశ్లేషించడం (5/5) ',' 33 వ ఉత్తమ కెరీర్ బౌలింగ్ సరాసరి (18.44) ', '15 వ ఉత్తమ కెరీర్ సమ్మె రేటు (17.6)', '20 "&amp;"వ చెత్త కెరీర్లో ఆర్థిక రేటు (6.27)', '13 వ అత్యంత నాలుగు వికెట్లు-ఇన్-ఒక-ఇన్నింగ్స్ కెరీర్లో (2)', '35 వ కెరీర్ లో బౌల్డ్ చాలా బంతుల్లో ( 1075) ',' 29th కెరీర్లో సాధించిన అత్యధిక పరుగులు (1125) ',' 18 వ బౌలర్ / బ్యాట్స్ కలయికలు (4) ',' 10 వ అత్యధిక వికెట"&amp;"్లు తీసుకున్న బౌల్డ్ (23) ',' 30 వ అత్యంత వికెట్లు ఆకర్షించింది తీసుకోకూడదు (31) ',' 20 వ అత్యధిక వికెట్లు ఆకర్షించింది తీసుకున్న మరియు బౌల్డ్ (3) ',' 35 వ అత్యధిక వికెట్లు ఒక ఫీల్డర్ చేత క్యాచ్ తీసుకున్న (24) ',' 12 వ అత్యధిక వికెట్లు ఒక వికెట్ కీపర్ చే "&amp;"కాట్ తీసుకోకూడదు (7) ',' (7) ',' 17 వ అత్యధిక క్యాచ్లు కెరీర్లో (31) ',' ఇన్నింగ్స్ లో 3 వ అత్యధిక క్యాచ్లు (3) ',' మూడో వికెట్కు 11 వ అత్యధిక భాగస్వామ్యం (109 *) ',' 8 వ అత్యధిక 24 వ అత్యంత ఎల్బిడబ్ల్యు తీసుకోబడిన వికెట్ల ఐదవ వికెట్కు భాగస్వామ్యం (76) ',"&amp;"' 3 వ అత్యధిక కెరీర్ లో పోటీలు (118) ',' ఒక జట్టు 6 వ వరుస మ్యాచ్లు (61) ']")</f>
        <v>[ 'కెరీర్లో 5 వ అత్యధిక పరుగులు (2565)', '15 వ ఇన్నింగ్స్ లో అత్యధిక పరుగులు (112 *)', '3 వ భాగం (ప్రగతిశీల రికార్డు హోల్డర్) ఒక ఇన్నింగ్స్ లో నడుస్తుంది (112 *)' ఇన్నింగ్స్ లో, '1st అత్యధిక పరుగులు (బ్యాటింగ్ స్థానం) (112 *) ',' 20 వ పరాజయం వైపు ఒక మ్యాచ్లో అత్యధిక పరుగులు (69) ',' 25 వ ఒకే మైదానంలో అత్యధిక పరుగులు (209) ',' 20 వ అత్యధిక కెరీర్ బ్యాటింగ్ సగటు (26.44) ' 'కెరీర్ లో 7 వ అత్యంత అర్ధ (14)', 'కెరీర్ లో 2 వ పెద్ద బాతులు (11)', 'ఒక ఇన్నింగ్స్లో పరుగుల 1st అత్యధిక శాతం (70.44)', '10th 2000 పరుగులు వేగంగా (96)', ' కెరీర్లో 24 వ అత్యధిక వికెట్లు (61) ',' 11 వ ఒక ఇన్నింగ్స్ లోని బెస్ట్ ఫిగర్స్ (5/5) ',' 5 వ అత్యుత్తమ బౌలింగ్ ఇన్నింగ్స్ లో విశ్లేషించడం (5/5) ',' 33 వ ఉత్తమ కెరీర్ బౌలింగ్ సరాసరి (18.44) ', '15 వ ఉత్తమ కెరీర్ సమ్మె రేటు (17.6)', '20 వ చెత్త కెరీర్లో ఆర్థిక రేటు (6.27)', '13 వ అత్యంత నాలుగు వికెట్లు-ఇన్-ఒక-ఇన్నింగ్స్ కెరీర్లో (2)', '35 వ కెరీర్ లో బౌల్డ్ చాలా బంతుల్లో ( 1075) ',' 29th కెరీర్లో సాధించిన అత్యధిక పరుగులు (1125) ',' 18 వ బౌలర్ / బ్యాట్స్ కలయికలు (4) ',' 10 వ అత్యధిక వికెట్లు తీసుకున్న బౌల్డ్ (23) ',' 30 వ అత్యంత వికెట్లు ఆకర్షించింది తీసుకోకూడదు (31) ',' 20 వ అత్యధిక వికెట్లు ఆకర్షించింది తీసుకున్న మరియు బౌల్డ్ (3) ',' 35 వ అత్యధిక వికెట్లు ఒక ఫీల్డర్ చేత క్యాచ్ తీసుకున్న (24) ',' 12 వ అత్యధిక వికెట్లు ఒక వికెట్ కీపర్ చే కాట్ తీసుకోకూడదు (7) ',' (7) ',' 17 వ అత్యధిక క్యాచ్లు కెరీర్లో (31) ',' ఇన్నింగ్స్ లో 3 వ అత్యధిక క్యాచ్లు (3) ',' మూడో వికెట్కు 11 వ అత్యధిక భాగస్వామ్యం (109 *) ',' 8 వ అత్యధిక 24 వ అత్యంత ఎల్బిడబ్ల్యు తీసుకోబడిన వికెట్ల ఐదవ వికెట్కు భాగస్వామ్యం (76) ',' 3 వ అత్యధిక కెరీర్ లో పోటీలు (118) ',' ఒక జట్టు 6 వ వరుస మ్యాచ్లు (61) ']</v>
      </c>
      <c r="I732" s="3"/>
    </row>
    <row r="733" customHeight="1" spans="1:9">
      <c r="A733" s="2"/>
      <c r="B733" s="2" t="str">
        <f>IFERROR(__xludf.DUMMYFUNCTION("IF(A733&lt;&gt;"""", GOOGLETRANSLATE(A733, ""en"", ""te""),"""")"),"")</f>
        <v/>
      </c>
      <c r="C733" s="2"/>
      <c r="D733" s="2" t="str">
        <f>IFERROR(__xludf.DUMMYFUNCTION("IF(C733&lt;&gt;"""", GOOGLETRANSLATE(C733, ""en"", ""te""),"""")"),"")</f>
        <v/>
      </c>
      <c r="E733" s="2"/>
      <c r="F733" s="2" t="str">
        <f>IFERROR(__xludf.DUMMYFUNCTION("IF(E733&lt;&gt;"""", GOOGLETRANSLATE(E733, ""en"", ""te""),"""")"),"")</f>
        <v/>
      </c>
      <c r="G733" s="2"/>
      <c r="H733" s="2" t="str">
        <f>IFERROR(__xludf.DUMMYFUNCTION("IF(G733&lt;&gt;"""", GOOGLETRANSLATE(G733, ""en"", ""te""),"""")"),"")</f>
        <v/>
      </c>
      <c r="I733" s="3"/>
    </row>
    <row r="734" customHeight="1" spans="1:9">
      <c r="A734" s="2" t="s">
        <v>613</v>
      </c>
      <c r="B734" s="2" t="str">
        <f>IFERROR(__xludf.DUMMYFUNCTION("IF(A734&lt;&gt;"""", GOOGLETRANSLATE(A734, ""en"", ""te""),"""")"),"[ '2 వ కెరీర్ జతల (4)']")</f>
        <v>[ '2 వ కెరీర్ జతల (4)']</v>
      </c>
      <c r="C734" s="2" t="s">
        <v>614</v>
      </c>
      <c r="D734" s="2" t="str">
        <f>IFERROR(__xludf.DUMMYFUNCTION("IF(C734&lt;&gt;"""", GOOGLETRANSLATE(C734, ""en"", ""te""),"""")"),"[ '10 వ కెరీర్ లో చాలా బాతులు (26)', '4 వ అత్యధిక వరుస బాతులు (4)', 'కెరీర్ (4) 2 వ అత్యంత జతల']")</f>
        <v>[ '10 వ కెరీర్ లో చాలా బాతులు (26)', '4 వ అత్యధిక వరుస బాతులు (4)', 'కెరీర్ (4) 2 వ అత్యంత జతల']</v>
      </c>
      <c r="E734" s="2" t="s">
        <v>615</v>
      </c>
      <c r="F734" s="2" t="str">
        <f>IFERROR(__xludf.DUMMYFUNCTION("IF(E734&lt;&gt;"""", GOOGLETRANSLATE(E734, ""en"", ""te""),"""")"),"[ 'ఒక సిరీస్లో 6 వ అత్యంత బాతులు (3)', '6 వ అత్యధిక వరుస బాతులు (3)', '14 వ ఒక ఇన్నింగ్స్ లోని బెస్ట్ ఫిగర్స్ ఉన్నప్పుడు పరాజయం వైపు (5)', ఒక ఇన్నింగ్స్ లో '48 వ బెస్ట్ ఆర్థిక రేటు (1.00 ) ',' 25 వ అత్యంత ఐదు-వికెట్ల లో-ఒక-ఇన్నింగ్స్ కెరీర్లో (3) ']")</f>
        <v>[ 'ఒక సిరీస్లో 6 వ అత్యంత బాతులు (3)', '6 వ అత్యధిక వరుస బాతులు (3)', '14 వ ఒక ఇన్నింగ్స్ లోని బెస్ట్ ఫిగర్స్ ఉన్నప్పుడు పరాజయం వైపు (5)', ఒక ఇన్నింగ్స్ లో '48 వ బెస్ట్ ఆర్థిక రేటు (1.00 ) ',' 25 వ అత్యంత ఐదు-వికెట్ల లో-ఒక-ఇన్నింగ్స్ కెరీర్లో (3) ']</v>
      </c>
      <c r="G734" s="2"/>
      <c r="H734" s="2" t="str">
        <f>IFERROR(__xludf.DUMMYFUNCTION("IF(G734&lt;&gt;"""", GOOGLETRANSLATE(G734, ""en"", ""te""),"""")"),"")</f>
        <v/>
      </c>
      <c r="I734" s="3"/>
    </row>
    <row r="735" customHeight="1" spans="1:9">
      <c r="A735" s="2"/>
      <c r="B735" s="2" t="str">
        <f>IFERROR(__xludf.DUMMYFUNCTION("IF(A735&lt;&gt;"""", GOOGLETRANSLATE(A735, ""en"", ""te""),"""")"),"")</f>
        <v/>
      </c>
      <c r="C735" s="2"/>
      <c r="D735" s="2" t="str">
        <f>IFERROR(__xludf.DUMMYFUNCTION("IF(C735&lt;&gt;"""", GOOGLETRANSLATE(C735, ""en"", ""te""),"""")"),"")</f>
        <v/>
      </c>
      <c r="E735" s="2"/>
      <c r="F735" s="2" t="str">
        <f>IFERROR(__xludf.DUMMYFUNCTION("IF(E735&lt;&gt;"""", GOOGLETRANSLATE(E735, ""en"", ""te""),"""")"),"")</f>
        <v/>
      </c>
      <c r="G735" s="2"/>
      <c r="H735" s="2" t="str">
        <f>IFERROR(__xludf.DUMMYFUNCTION("IF(G735&lt;&gt;"""", GOOGLETRANSLATE(G735, ""en"", ""te""),"""")"),"")</f>
        <v/>
      </c>
      <c r="I735" s="3"/>
    </row>
    <row r="736" customHeight="1" spans="1:9">
      <c r="A736" s="2" t="s">
        <v>616</v>
      </c>
      <c r="B736" s="2" t="str">
        <f>IFERROR(__xludf.DUMMYFUNCTION("IF(A736&lt;&gt;"""", GOOGLETRANSLATE(A736, ""en"", ""te""),"""")"),"[ '8 వ కెరీర్ (29) వెనుదిరిగాడు']")</f>
        <v>[ '8 వ కెరీర్ (29) వెనుదిరిగాడు']</v>
      </c>
      <c r="C736" s="2"/>
      <c r="D736" s="2" t="str">
        <f>IFERROR(__xludf.DUMMYFUNCTION("IF(C736&lt;&gt;"""", GOOGLETRANSLATE(C736, ""en"", ""te""),"""")"),"")</f>
        <v/>
      </c>
      <c r="E736" s="2" t="s">
        <v>616</v>
      </c>
      <c r="F736" s="2" t="str">
        <f>IFERROR(__xludf.DUMMYFUNCTION("IF(E736&lt;&gt;"""", GOOGLETRANSLATE(E736, ""en"", ""te""),"""")"),"[ '8 వ కెరీర్ (29) వెనుదిరిగాడు']")</f>
        <v>[ '8 వ కెరీర్ (29) వెనుదిరిగాడు']</v>
      </c>
      <c r="G736" s="2" t="s">
        <v>617</v>
      </c>
      <c r="H736" s="2" t="str">
        <f>IFERROR(__xludf.DUMMYFUNCTION("IF(G736&lt;&gt;"""", GOOGLETRANSLATE(G736, ""en"", ""te""),"""")"),"[ 'ఎనిమిదవ వికెట్ (40 *) కోసం 23 అత్యధిక భాగస్వామ్యం']")</f>
        <v>[ 'ఎనిమిదవ వికెట్ (40 *) కోసం 23 అత్యధిక భాగస్వామ్యం']</v>
      </c>
      <c r="I736" s="3"/>
    </row>
    <row r="737" customHeight="1" spans="1:9">
      <c r="A737" s="2"/>
      <c r="B737" s="2" t="str">
        <f>IFERROR(__xludf.DUMMYFUNCTION("IF(A737&lt;&gt;"""", GOOGLETRANSLATE(A737, ""en"", ""te""),"""")"),"")</f>
        <v/>
      </c>
      <c r="C737" s="2"/>
      <c r="D737" s="2" t="str">
        <f>IFERROR(__xludf.DUMMYFUNCTION("IF(C737&lt;&gt;"""", GOOGLETRANSLATE(C737, ""en"", ""te""),"""")"),"")</f>
        <v/>
      </c>
      <c r="E737" s="2" t="s">
        <v>618</v>
      </c>
      <c r="F737" s="2" t="str">
        <f>IFERROR(__xludf.DUMMYFUNCTION("IF(E737&lt;&gt;"""", GOOGLETRANSLATE(E737, ""en"", ""te""),"""")"),"[ '35 వ అత్యంత వృద్ధ ఆటగాడు తొలి వంద (32y 154d) స్కోర్']")</f>
        <v>[ '35 వ అత్యంత వృద్ధ ఆటగాడు తొలి వంద (32y 154d) స్కోర్']</v>
      </c>
      <c r="G737" s="2"/>
      <c r="H737" s="2" t="str">
        <f>IFERROR(__xludf.DUMMYFUNCTION("IF(G737&lt;&gt;"""", GOOGLETRANSLATE(G737, ""en"", ""te""),"""")"),"")</f>
        <v/>
      </c>
      <c r="I737" s="3"/>
    </row>
    <row r="738" customHeight="1" spans="1:9">
      <c r="A738" s="2"/>
      <c r="B738" s="2" t="str">
        <f>IFERROR(__xludf.DUMMYFUNCTION("IF(A738&lt;&gt;"""", GOOGLETRANSLATE(A738, ""en"", ""te""),"""")"),"")</f>
        <v/>
      </c>
      <c r="C738" s="2" t="s">
        <v>619</v>
      </c>
      <c r="D738" s="2" t="str">
        <f>IFERROR(__xludf.DUMMYFUNCTION("IF(C738&lt;&gt;"""", GOOGLETRANSLATE(C738, ""en"", ""te""),"""")"),"[ '12 వ మ్యాచ్లో (3) అత్యంత స్టంపింగ్లు']")</f>
        <v>[ '12 వ మ్యాచ్లో (3) అత్యంత స్టంపింగ్లు']</v>
      </c>
      <c r="E738" s="2"/>
      <c r="F738" s="2" t="str">
        <f>IFERROR(__xludf.DUMMYFUNCTION("IF(E738&lt;&gt;"""", GOOGLETRANSLATE(E738, ""en"", ""te""),"""")"),"")</f>
        <v/>
      </c>
      <c r="G738" s="2"/>
      <c r="H738" s="2" t="str">
        <f>IFERROR(__xludf.DUMMYFUNCTION("IF(G738&lt;&gt;"""", GOOGLETRANSLATE(G738, ""en"", ""te""),"""")"),"")</f>
        <v/>
      </c>
      <c r="I738" s="3"/>
    </row>
    <row r="739" customHeight="1" spans="1:9">
      <c r="A739" s="2"/>
      <c r="B739" s="2" t="str">
        <f>IFERROR(__xludf.DUMMYFUNCTION("IF(A739&lt;&gt;"""", GOOGLETRANSLATE(A739, ""en"", ""te""),"""")"),"")</f>
        <v/>
      </c>
      <c r="C739" s="2"/>
      <c r="D739" s="2" t="str">
        <f>IFERROR(__xludf.DUMMYFUNCTION("IF(C739&lt;&gt;"""", GOOGLETRANSLATE(C739, ""en"", ""te""),"""")"),"")</f>
        <v/>
      </c>
      <c r="E739" s="2"/>
      <c r="F739" s="2" t="str">
        <f>IFERROR(__xludf.DUMMYFUNCTION("IF(E739&lt;&gt;"""", GOOGLETRANSLATE(E739, ""en"", ""te""),"""")"),"")</f>
        <v/>
      </c>
      <c r="G739" s="2"/>
      <c r="H739" s="2" t="str">
        <f>IFERROR(__xludf.DUMMYFUNCTION("IF(G739&lt;&gt;"""", GOOGLETRANSLATE(G739, ""en"", ""te""),"""")"),"")</f>
        <v/>
      </c>
      <c r="I739" s="3"/>
    </row>
    <row r="740" customHeight="1" spans="1:9">
      <c r="A740" s="2" t="s">
        <v>620</v>
      </c>
      <c r="B740" s="2" t="str">
        <f>IFERROR(__xludf.DUMMYFUNCTION("IF(A740&lt;&gt;"""", GOOGLETRANSLATE(A740, ""en"", ""te""),"""")"),"[ 'కెరీర్లో 6 వ అత్యధిక వికెట్లు (270)', '5 వ కెరీర్లో అత్యధిక క్యాచ్లు (265)', '300 పరుగులు మరియు ఒక సిరీస్లో 15 వికెట్కీపింగ్ తొలగింపులకు', 'వరుస 2 వ అత్యధిక వికెట్లు (23)', 'చాలా 5 వ వరుస క్యాచ్లు (20) ',' 10 వ ఇన్నింగ్స్ లో (12) ',' 200 పరుగులు మరియు "&amp;"ఒక సిరీస్లో 10 వికెట్కీపింగ్ తొలగింపులకు ',' కెరీర్ లో 7 వ అత్యధిక వికెట్లు (474) ',' 8 వ అత్యధిక క్యాచ్లు సాధించింది చాలా బైలు కెరీర్ (448) ']")</f>
        <v>[ 'కెరీర్లో 6 వ అత్యధిక వికెట్లు (270)', '5 వ కెరీర్లో అత్యధిక క్యాచ్లు (265)', '300 పరుగులు మరియు ఒక సిరీస్లో 15 వికెట్కీపింగ్ తొలగింపులకు', 'వరుస 2 వ అత్యధిక వికెట్లు (23)', 'చాలా 5 వ వరుస క్యాచ్లు (20) ',' 10 వ ఇన్నింగ్స్ లో (12) ',' 200 పరుగులు మరియు ఒక సిరీస్లో 10 వికెట్కీపింగ్ తొలగింపులకు ',' కెరీర్ లో 7 వ అత్యధిక వికెట్లు (474) ',' 8 వ అత్యధిక క్యాచ్లు సాధించింది చాలా బైలు కెరీర్ (448) ']</v>
      </c>
      <c r="C740" s="2" t="s">
        <v>621</v>
      </c>
      <c r="D740" s="2" t="str">
        <f>IFERROR(__xludf.DUMMYFUNCTION("IF(C740&lt;&gt;"""", GOOGLETRANSLATE(C740, ""en"", ""te""),"""")"),"[, 'ఆరవ వికెట్కు 41 వ అత్యధిక భాగస్వామ్యం (207)', 'ఫాస్టెస్ట్ 35 వ 1000 పరుగులు (21) కు' '18 వ అత్యంత వరుస వికెట్కీపర్గా (367) ద్వారా పరుగులు' '6 వ అత్యధిక కెరీర్ (270) లో తొలగింపులకు' '19 వ ఒక సిరీస్లో అత్యధిక వికెట్లు (23)', 'కెరీర్ లో 5 వ అత్యధిక క్యాచ"&amp;"్లు (265)', '20 వ ఒక సిరీస్లో అత్యధిక క్యాచ్లు (23)']")</f>
        <v>[, 'ఆరవ వికెట్కు 41 వ అత్యధిక భాగస్వామ్యం (207)', 'ఫాస్టెస్ట్ 35 వ 1000 పరుగులు (21) కు' '18 వ అత్యంత వరుస వికెట్కీపర్గా (367) ద్వారా పరుగులు' '6 వ అత్యధిక కెరీర్ (270) లో తొలగింపులకు' '19 వ ఒక సిరీస్లో అత్యధిక వికెట్లు (23)', 'కెరీర్ లో 5 వ అత్యధిక క్యాచ్లు (265)', '20 వ ఒక సిరీస్లో అత్యధిక క్యాచ్లు (23)']</v>
      </c>
      <c r="E740" s="2" t="s">
        <v>622</v>
      </c>
      <c r="F740" s="2" t="str">
        <f>IFERROR(__xludf.DUMMYFUNCTION("IF(E740&lt;&gt;"""", GOOGLETRANSLATE(E740, ""en"", ""te""),"""")"),"[ 'వికెట్ను కాపాడుకున్నాడు చేసిన 31 కెప్టెన్ల (1)', కెప్టెన్సీ తొలి '50 వ ఓల్డెస్ట్ కాప్టెన్ (33y,' ఏడవ వికెట్ (115) కోసం 14 అత్యధిక భాగస్వామ్యం ''21 వ అత్యంత వంద (1945) లేకుండా ఒక వృత్తిలో పరుగులు' 291d) ',' 12 వ అత్యంత వరుస వరుస కెరీర్లో వికెట్లు (204) "&amp;"',' 2 వ అత్యధిక వికెట్లు (23) ',' 9 వ కెరీర్లో అత్యధిక క్యాచ్లు (183) ',' 5 వ అత్యధిక క్యాచ్లు (20) ', '23 వ కెరీర్ స్టంపింగ్లు (21)', '10 వ అత్యంత బైలు ఇన్నింగ్స్ (12) లో సాధించిన]")</f>
        <v>[ 'వికెట్ను కాపాడుకున్నాడు చేసిన 31 కెప్టెన్ల (1)', కెప్టెన్సీ తొలి '50 వ ఓల్డెస్ట్ కాప్టెన్ (33y,' ఏడవ వికెట్ (115) కోసం 14 అత్యధిక భాగస్వామ్యం ''21 వ అత్యంత వంద (1945) లేకుండా ఒక వృత్తిలో పరుగులు' 291d) ',' 12 వ అత్యంత వరుస వరుస కెరీర్లో వికెట్లు (204) ',' 2 వ అత్యధిక వికెట్లు (23) ',' 9 వ కెరీర్లో అత్యధిక క్యాచ్లు (183) ',' 5 వ అత్యధిక క్యాచ్లు (20) ', '23 వ కెరీర్ స్టంపింగ్లు (21)', '10 వ అత్యంత బైలు ఇన్నింగ్స్ (12) లో సాధించిన]</v>
      </c>
      <c r="G740" s="2"/>
      <c r="H740" s="2" t="str">
        <f>IFERROR(__xludf.DUMMYFUNCTION("IF(G740&lt;&gt;"""", GOOGLETRANSLATE(G740, ""en"", ""te""),"""")"),"")</f>
        <v/>
      </c>
      <c r="I740" s="3"/>
    </row>
    <row r="741" customHeight="1" spans="1:9">
      <c r="A741" s="2"/>
      <c r="B741" s="2" t="str">
        <f>IFERROR(__xludf.DUMMYFUNCTION("IF(A741&lt;&gt;"""", GOOGLETRANSLATE(A741, ""en"", ""te""),"""")"),"")</f>
        <v/>
      </c>
      <c r="C741" s="2"/>
      <c r="D741" s="2" t="str">
        <f>IFERROR(__xludf.DUMMYFUNCTION("IF(C741&lt;&gt;"""", GOOGLETRANSLATE(C741, ""en"", ""te""),"""")"),"")</f>
        <v/>
      </c>
      <c r="E741" s="2" t="s">
        <v>623</v>
      </c>
      <c r="F741" s="2" t="str">
        <f>IFERROR(__xludf.DUMMYFUNCTION("IF(E741&lt;&gt;"""", GOOGLETRANSLATE(E741, ""en"", ""te""),"""")"),"[ 'తొమ్మిదవ వికెట్కు 28 అత్యధిక భాగస్వామ్యం (37 *)']")</f>
        <v>[ 'తొమ్మిదవ వికెట్కు 28 అత్యధిక భాగస్వామ్యం (37 *)']</v>
      </c>
      <c r="G741" s="2"/>
      <c r="H741" s="2" t="str">
        <f>IFERROR(__xludf.DUMMYFUNCTION("IF(G741&lt;&gt;"""", GOOGLETRANSLATE(G741, ""en"", ""te""),"""")"),"")</f>
        <v/>
      </c>
      <c r="I741" s="3"/>
    </row>
    <row r="742" customHeight="1" spans="1:9">
      <c r="A742" s="2"/>
      <c r="B742" s="2" t="str">
        <f>IFERROR(__xludf.DUMMYFUNCTION("IF(A742&lt;&gt;"""", GOOGLETRANSLATE(A742, ""en"", ""te""),"""")"),"")</f>
        <v/>
      </c>
      <c r="C742" s="2"/>
      <c r="D742" s="2" t="str">
        <f>IFERROR(__xludf.DUMMYFUNCTION("IF(C742&lt;&gt;"""", GOOGLETRANSLATE(C742, ""en"", ""te""),"""")"),"")</f>
        <v/>
      </c>
      <c r="E742" s="2"/>
      <c r="F742" s="2" t="str">
        <f>IFERROR(__xludf.DUMMYFUNCTION("IF(E742&lt;&gt;"""", GOOGLETRANSLATE(E742, ""en"", ""te""),"""")"),"")</f>
        <v/>
      </c>
      <c r="G742" s="2"/>
      <c r="H742" s="2" t="str">
        <f>IFERROR(__xludf.DUMMYFUNCTION("IF(G742&lt;&gt;"""", GOOGLETRANSLATE(G742, ""en"", ""te""),"""")"),"")</f>
        <v/>
      </c>
      <c r="I742" s="3"/>
    </row>
    <row r="743" customHeight="1" spans="1:9">
      <c r="A743" s="2"/>
      <c r="B743" s="2" t="str">
        <f>IFERROR(__xludf.DUMMYFUNCTION("IF(A743&lt;&gt;"""", GOOGLETRANSLATE(A743, ""en"", ""te""),"""")"),"")</f>
        <v/>
      </c>
      <c r="C743" s="2" t="s">
        <v>624</v>
      </c>
      <c r="D743" s="2" t="str">
        <f>IFERROR(__xludf.DUMMYFUNCTION("IF(C743&lt;&gt;"""", GOOGLETRANSLATE(C743, ""en"", ""te""),"""")"),"[ '16 వ షార్టేస్ట్ క్రీడాకారులు నివసించారు (29y 20D)']")</f>
        <v>[ '16 వ షార్టేస్ట్ క్రీడాకారులు నివసించారు (29y 20D)']</v>
      </c>
      <c r="E743" s="2"/>
      <c r="F743" s="2" t="str">
        <f>IFERROR(__xludf.DUMMYFUNCTION("IF(E743&lt;&gt;"""", GOOGLETRANSLATE(E743, ""en"", ""te""),"""")"),"")</f>
        <v/>
      </c>
      <c r="G743" s="2"/>
      <c r="H743" s="2" t="str">
        <f>IFERROR(__xludf.DUMMYFUNCTION("IF(G743&lt;&gt;"""", GOOGLETRANSLATE(G743, ""en"", ""te""),"""")"),"")</f>
        <v/>
      </c>
      <c r="I743" s="3"/>
    </row>
    <row r="744" customHeight="1" spans="1:9">
      <c r="A744" s="2"/>
      <c r="B744" s="2" t="str">
        <f>IFERROR(__xludf.DUMMYFUNCTION("IF(A744&lt;&gt;"""", GOOGLETRANSLATE(A744, ""en"", ""te""),"""")"),"")</f>
        <v/>
      </c>
      <c r="C744" s="2"/>
      <c r="D744" s="2" t="str">
        <f>IFERROR(__xludf.DUMMYFUNCTION("IF(C744&lt;&gt;"""", GOOGLETRANSLATE(C744, ""en"", ""te""),"""")"),"")</f>
        <v/>
      </c>
      <c r="E744" s="2"/>
      <c r="F744" s="2" t="str">
        <f>IFERROR(__xludf.DUMMYFUNCTION("IF(E744&lt;&gt;"""", GOOGLETRANSLATE(E744, ""en"", ""te""),"""")"),"")</f>
        <v/>
      </c>
      <c r="G744" s="2"/>
      <c r="H744" s="2" t="str">
        <f>IFERROR(__xludf.DUMMYFUNCTION("IF(G744&lt;&gt;"""", GOOGLETRANSLATE(G744, ""en"", ""te""),"""")"),"")</f>
        <v/>
      </c>
      <c r="I744" s="3"/>
    </row>
    <row r="745" customHeight="1" spans="1:9">
      <c r="A745" s="2"/>
      <c r="B745" s="2" t="str">
        <f>IFERROR(__xludf.DUMMYFUNCTION("IF(A745&lt;&gt;"""", GOOGLETRANSLATE(A745, ""en"", ""te""),"""")"),"")</f>
        <v/>
      </c>
      <c r="C745" s="2" t="s">
        <v>625</v>
      </c>
      <c r="D745" s="2" t="str">
        <f>IFERROR(__xludf.DUMMYFUNCTION("IF(C745&lt;&gt;"""", GOOGLETRANSLATE(C745, ""en"", ""te""),"""")"),"[ '32 వ పురాతన దేశం ఆటగాళ్ళు (87y 221d)']")</f>
        <v>[ '32 వ పురాతన దేశం ఆటగాళ్ళు (87y 221d)']</v>
      </c>
      <c r="E745" s="2"/>
      <c r="F745" s="2" t="str">
        <f>IFERROR(__xludf.DUMMYFUNCTION("IF(E745&lt;&gt;"""", GOOGLETRANSLATE(E745, ""en"", ""te""),"""")"),"")</f>
        <v/>
      </c>
      <c r="G745" s="2"/>
      <c r="H745" s="2" t="str">
        <f>IFERROR(__xludf.DUMMYFUNCTION("IF(G745&lt;&gt;"""", GOOGLETRANSLATE(G745, ""en"", ""te""),"""")"),"")</f>
        <v/>
      </c>
      <c r="I745" s="3"/>
    </row>
    <row r="746" customHeight="1" spans="1:9">
      <c r="A746" s="2" t="s">
        <v>626</v>
      </c>
      <c r="B746" s="2" t="str">
        <f>IFERROR(__xludf.DUMMYFUNCTION("IF(A746&lt;&gt;"""", GOOGLETRANSLATE(A746, ""en"", ""te""),"""")"),"[ 'హండ్రెడ్ మరియు ఒక మ్యాచ్లో ఒక డక్', 'ఏడవ వికెట్కు 3 వ అత్యధిక భాగస్వామ్యం (295 *)']")</f>
        <v>[ 'హండ్రెడ్ మరియు ఒక మ్యాచ్లో ఒక డక్', 'ఏడవ వికెట్కు 3 వ అత్యధిక భాగస్వామ్యం (295 *)']</v>
      </c>
      <c r="C746" s="2" t="s">
        <v>627</v>
      </c>
      <c r="D746" s="2" t="str">
        <f>IFERROR(__xludf.DUMMYFUNCTION("IF(C746&lt;&gt;"""", GOOGLETRANSLATE(C746, ""en"", ""te""),"""")"),"[ 'ఏడవ వికెట్ (295 *) 3 వ అత్యధిక భాగస్వామ్యం', 'ఎనిమిదవ వికెట్కు 9 వ అత్యధిక భాగస్వామ్యం (212)', '49 వ కెరీర్ లో అత్యధిక క్యాచ్లు (85)']")</f>
        <v>[ 'ఏడవ వికెట్ (295 *) 3 వ అత్యధిక భాగస్వామ్యం', 'ఎనిమిదవ వికెట్కు 9 వ అత్యధిక భాగస్వామ్యం (212)', '49 వ కెరీర్ లో అత్యధిక క్యాచ్లు (85)']</v>
      </c>
      <c r="E746" s="2"/>
      <c r="F746" s="2" t="str">
        <f>IFERROR(__xludf.DUMMYFUNCTION("IF(E746&lt;&gt;"""", GOOGLETRANSLATE(E746, ""en"", ""te""),"""")"),"")</f>
        <v/>
      </c>
      <c r="G746" s="2"/>
      <c r="H746" s="2" t="str">
        <f>IFERROR(__xludf.DUMMYFUNCTION("IF(G746&lt;&gt;"""", GOOGLETRANSLATE(G746, ""en"", ""te""),"""")"),"")</f>
        <v/>
      </c>
      <c r="I746" s="3"/>
    </row>
    <row r="747" customHeight="1" spans="1:9">
      <c r="A747" s="2"/>
      <c r="B747" s="2" t="str">
        <f>IFERROR(__xludf.DUMMYFUNCTION("IF(A747&lt;&gt;"""", GOOGLETRANSLATE(A747, ""en"", ""te""),"""")"),"")</f>
        <v/>
      </c>
      <c r="C747" s="2"/>
      <c r="D747" s="2" t="str">
        <f>IFERROR(__xludf.DUMMYFUNCTION("IF(C747&lt;&gt;"""", GOOGLETRANSLATE(C747, ""en"", ""te""),"""")"),"")</f>
        <v/>
      </c>
      <c r="E747" s="2"/>
      <c r="F747" s="2" t="str">
        <f>IFERROR(__xludf.DUMMYFUNCTION("IF(E747&lt;&gt;"""", GOOGLETRANSLATE(E747, ""en"", ""te""),"""")"),"")</f>
        <v/>
      </c>
      <c r="G747" s="2"/>
      <c r="H747" s="2" t="str">
        <f>IFERROR(__xludf.DUMMYFUNCTION("IF(G747&lt;&gt;"""", GOOGLETRANSLATE(G747, ""en"", ""te""),"""")"),"")</f>
        <v/>
      </c>
      <c r="I747" s="3"/>
    </row>
    <row r="748" customHeight="1" spans="1:9">
      <c r="A748" s="2" t="s">
        <v>628</v>
      </c>
      <c r="B748" s="2" t="str">
        <f>IFERROR(__xludf.DUMMYFUNCTION("IF(A748&lt;&gt;"""", GOOGLETRANSLATE(A748, ""en"", ""te""),"""")"),"[ '1st చాలా వరుసగా నాలుగు వికెట్లు-ఇన్-ఒక-ఇన్నింగ్స్ (3)']")</f>
        <v>[ '1st చాలా వరుసగా నాలుగు వికెట్లు-ఇన్-ఒక-ఇన్నింగ్స్ (3)']</v>
      </c>
      <c r="C748" s="2"/>
      <c r="D748" s="2" t="str">
        <f>IFERROR(__xludf.DUMMYFUNCTION("IF(C748&lt;&gt;"""", GOOGLETRANSLATE(C748, ""en"", ""te""),"""")"),"")</f>
        <v/>
      </c>
      <c r="E748" s="2" t="s">
        <v>629</v>
      </c>
      <c r="F748" s="2" t="str">
        <f>IFERROR(__xludf.DUMMYFUNCTION("IF(E748&lt;&gt;"""", GOOGLETRANSLATE(E748, ""en"", ""te""),"""")"),"[ '43 వ అత్యంత ఐదు-వికెట్ల లో-ఒక-ఇన్నింగ్స్ కెరీర్లో (2)', '1 వ వరుస నాలుగు వికెట్లు-ఇన్-ఒక-ఇన్నింగ్స్ (3)', 'ఐదు వికెట్ల తేడాతో తీసుకోవాలని 28 అత్యంత వృద్ధ ఆటగాడు -an-ఇన్నింగ్స్ (33y 211d) ',' 17 వ అత్యంత వృద్ధ ఆటగాడు తొలి తీసుకుని ఐదు-వికెట్ల లో-ఒక-ఇన్న"&amp;"ింగ్స్ (33y 202d) ',' ప్రదర్శనలు (7y 179d) ',' 24 వ వరుస మ్యాచ్లు మధ్య 22 లాంగెస్ట్ వ్యవధిలో ప్రదర్శనల మధ్య ఒక జట్టుకు దూరమయ్యాడు (153) ']")</f>
        <v>[ '43 వ అత్యంత ఐదు-వికెట్ల లో-ఒక-ఇన్నింగ్స్ కెరీర్లో (2)', '1 వ వరుస నాలుగు వికెట్లు-ఇన్-ఒక-ఇన్నింగ్స్ (3)', 'ఐదు వికెట్ల తేడాతో తీసుకోవాలని 28 అత్యంత వృద్ధ ఆటగాడు -an-ఇన్నింగ్స్ (33y 211d) ',' 17 వ అత్యంత వృద్ధ ఆటగాడు తొలి తీసుకుని ఐదు-వికెట్ల లో-ఒక-ఇన్నింగ్స్ (33y 202d) ',' ప్రదర్శనలు (7y 179d) ',' 24 వ వరుస మ్యాచ్లు మధ్య 22 లాంగెస్ట్ వ్యవధిలో ప్రదర్శనల మధ్య ఒక జట్టుకు దూరమయ్యాడు (153) ']</v>
      </c>
      <c r="G748" s="2"/>
      <c r="H748" s="2" t="str">
        <f>IFERROR(__xludf.DUMMYFUNCTION("IF(G748&lt;&gt;"""", GOOGLETRANSLATE(G748, ""en"", ""te""),"""")"),"")</f>
        <v/>
      </c>
      <c r="I748" s="3"/>
    </row>
    <row r="749" customHeight="1" spans="1:9">
      <c r="A749" s="2"/>
      <c r="B749" s="2" t="str">
        <f>IFERROR(__xludf.DUMMYFUNCTION("IF(A749&lt;&gt;"""", GOOGLETRANSLATE(A749, ""en"", ""te""),"""")"),"")</f>
        <v/>
      </c>
      <c r="C749" s="2"/>
      <c r="D749" s="2" t="str">
        <f>IFERROR(__xludf.DUMMYFUNCTION("IF(C749&lt;&gt;"""", GOOGLETRANSLATE(C749, ""en"", ""te""),"""")"),"")</f>
        <v/>
      </c>
      <c r="E749" s="2" t="s">
        <v>630</v>
      </c>
      <c r="F749" s="2" t="str">
        <f>IFERROR(__xludf.DUMMYFUNCTION("IF(E749&lt;&gt;"""", GOOGLETRANSLATE(E749, ""en"", ""te""),"""")"),"[ '12 వ ఇన్నింగ్స్ లో బెస్ట్ ఫిగర్స్ (7/51)', 'ఇన్నింగ్స్ లో 11 వ అత్యుత్తమ బౌలింగ్ విశ్లేషణలు (7/51)']")</f>
        <v>[ '12 వ ఇన్నింగ్స్ లో బెస్ట్ ఫిగర్స్ (7/51)', 'ఇన్నింగ్స్ లో 11 వ అత్యుత్తమ బౌలింగ్ విశ్లేషణలు (7/51)']</v>
      </c>
      <c r="G749" s="2"/>
      <c r="H749" s="2" t="str">
        <f>IFERROR(__xludf.DUMMYFUNCTION("IF(G749&lt;&gt;"""", GOOGLETRANSLATE(G749, ""en"", ""te""),"""")"),"")</f>
        <v/>
      </c>
      <c r="I749" s="3"/>
    </row>
    <row r="750" customHeight="1" spans="1:9">
      <c r="A750" s="2"/>
      <c r="B750" s="2" t="str">
        <f>IFERROR(__xludf.DUMMYFUNCTION("IF(A750&lt;&gt;"""", GOOGLETRANSLATE(A750, ""en"", ""te""),"""")"),"")</f>
        <v/>
      </c>
      <c r="C750" s="2"/>
      <c r="D750" s="2" t="str">
        <f>IFERROR(__xludf.DUMMYFUNCTION("IF(C750&lt;&gt;"""", GOOGLETRANSLATE(C750, ""en"", ""te""),"""")"),"")</f>
        <v/>
      </c>
      <c r="E750" s="2"/>
      <c r="F750" s="2" t="str">
        <f>IFERROR(__xludf.DUMMYFUNCTION("IF(E750&lt;&gt;"""", GOOGLETRANSLATE(E750, ""en"", ""te""),"""")"),"")</f>
        <v/>
      </c>
      <c r="G750" s="2"/>
      <c r="H750" s="2" t="str">
        <f>IFERROR(__xludf.DUMMYFUNCTION("IF(G750&lt;&gt;"""", GOOGLETRANSLATE(G750, ""en"", ""te""),"""")"),"")</f>
        <v/>
      </c>
      <c r="I750" s="3"/>
    </row>
    <row r="751" customHeight="1" spans="1:9">
      <c r="A751" s="2" t="s">
        <v>631</v>
      </c>
      <c r="B751" s="2" t="str">
        <f>IFERROR(__xludf.DUMMYFUNCTION("IF(A751&lt;&gt;"""", GOOGLETRANSLATE(A751, ""en"", ""te""),"""")"),"[ 'ఇన్నింగ్స్ లో 6 వ అత్యధిక పరుగులు (బ్యాటింగ్ స్థానంలో ప్రకారం) (38 *)', '10 వ అత్యధిక వికెట్లు ఆకర్షించింది తీసుకున్న మరియు బౌల్డ్ (8)', 'ఇన్నింగ్స్ లో 4 వ అత్యధిక క్యాచ్లు (3)', '6 వ ఒక లో అత్యధిక వికెట్లు ఒకే భూమి (12) ',' 8 వ ఉత్తమ కెరీర్ ఆర్థిక రేట"&amp;"ు (4.89) ',' 4 వ అత్యంత నాలుగు వికెట్లు-ఇన్-ఒక-ఇన్నింగ్స్ కెరీర్లో (3) ',' 6 వ అత్యధిక వికెట్లు తీసుకున్న ఎల్బిడబ్ల్యు (12) ',' 2 వ ఐదవ వికెట్కు అత్యధిక భాగస్వామ్యం (118) ']")</f>
        <v>[ 'ఇన్నింగ్స్ లో 6 వ అత్యధిక పరుగులు (బ్యాటింగ్ స్థానంలో ప్రకారం) (38 *)', '10 వ అత్యధిక వికెట్లు ఆకర్షించింది తీసుకున్న మరియు బౌల్డ్ (8)', 'ఇన్నింగ్స్ లో 4 వ అత్యధిక క్యాచ్లు (3)', '6 వ ఒక లో అత్యధిక వికెట్లు ఒకే భూమి (12) ',' 8 వ ఉత్తమ కెరీర్ ఆర్థిక రేటు (4.89) ',' 4 వ అత్యంత నాలుగు వికెట్లు-ఇన్-ఒక-ఇన్నింగ్స్ కెరీర్లో (3) ',' 6 వ అత్యధిక వికెట్లు తీసుకున్న ఎల్బిడబ్ల్యు (12) ',' 2 వ ఐదవ వికెట్కు అత్యధిక భాగస్వామ్యం (118) ']</v>
      </c>
      <c r="C751" s="2"/>
      <c r="D751" s="2" t="str">
        <f>IFERROR(__xludf.DUMMYFUNCTION("IF(C751&lt;&gt;"""", GOOGLETRANSLATE(C751, ""en"", ""te""),"""")"),"")</f>
        <v/>
      </c>
      <c r="E751" s="2" t="s">
        <v>632</v>
      </c>
      <c r="F751" s="2" t="str">
        <f>IFERROR(__xludf.DUMMYFUNCTION("IF(E751&lt;&gt;"""", GOOGLETRANSLATE(E751, ""en"", ""te""),"""")"),"[ '6 వ అత్యంత ఇన్నింగ్స్ లో నడుస్తుంది (బ్యాటింగ్ స్థానం) (38 *)' 'కెరీర్లో 40 వ అత్యధిక వికెట్లు (73)', 'వంద (1001) లేకుండా ఒక వృత్తిలో 35 వ అత్యధిక పరుగులు', '46 వ అత్యంత వికెట్లు ఒక క్యాలెండర్ ఏడాది (21) ',' 33 వ ఒకే మైదానంలో అత్యధిక వికెట్లు (12) ','"&amp;" 43 వ కెరీర్ లో బౌల్డ్ చాలా బంతుల్లో (2977) ',' 48 వ అత్యధిక పరుగులు కెరీర్లో సాధించిన (1701) ',' 44 వ బౌలర్ / ఫీల్డర్ కలయికలు (10) ',' 34 వ అత్యధిక వికెట్లు ఆకర్షించింది తీసుకున్న (46) ',' 10 వ అత్యధిక వికెట్లు తీసుకున్న క్యాచ్ మరియు బౌల్డ్ (8) ',' 35 వ "&amp;"అత్యధిక వికెట్లు ఒక ఫీల్డర్ చేత క్యాచ్ తీసుకున్న (37) ',' 36 వ అత్యధిక వికెట్లు తీసుకున్న LBW (12) ',' 4 వ అత్యధిక క్యాచ్లు ఒక ఇన్నింగ్స్ లో (3) తొమ్మిదవ వికెట్ (46) కోసం ',' 11 వ అత్యధిక భాగస్వామ్యం ']")</f>
        <v>[ '6 వ అత్యంత ఇన్నింగ్స్ లో నడుస్తుంది (బ్యాటింగ్ స్థానం) (38 *)' 'కెరీర్లో 40 వ అత్యధిక వికెట్లు (73)', 'వంద (1001) లేకుండా ఒక వృత్తిలో 35 వ అత్యధిక పరుగులు', '46 వ అత్యంత వికెట్లు ఒక క్యాలెండర్ ఏడాది (21) ',' 33 వ ఒకే మైదానంలో అత్యధిక వికెట్లు (12) ',' 43 వ కెరీర్ లో బౌల్డ్ చాలా బంతుల్లో (2977) ',' 48 వ అత్యధిక పరుగులు కెరీర్లో సాధించిన (1701) ',' 44 వ బౌలర్ / ఫీల్డర్ కలయికలు (10) ',' 34 వ అత్యధిక వికెట్లు ఆకర్షించింది తీసుకున్న (46) ',' 10 వ అత్యధిక వికెట్లు తీసుకున్న క్యాచ్ మరియు బౌల్డ్ (8) ',' 35 వ అత్యధిక వికెట్లు ఒక ఫీల్డర్ చేత క్యాచ్ తీసుకున్న (37) ',' 36 వ అత్యధిక వికెట్లు తీసుకున్న LBW (12) ',' 4 వ అత్యధిక క్యాచ్లు ఒక ఇన్నింగ్స్ లో (3) తొమ్మిదవ వికెట్ (46) కోసం ',' 11 వ అత్యధిక భాగస్వామ్యం ']</v>
      </c>
      <c r="G751" s="2" t="s">
        <v>633</v>
      </c>
      <c r="H751" s="2" t="str">
        <f>IFERROR(__xludf.DUMMYFUNCTION("IF(G751&lt;&gt;"""", GOOGLETRANSLATE(G751, ""en"", ""te""),"""")"),"[ 'మొదటి డక్ (16) ముందు 28 మోస్ట్ ఇన్నింగ్స్' '34 వ కెరీర్ బాతులు (5)', '16 వ కెరీర్ లో అత్యధిక వికెట్లు (72)', '31 ఉత్తమ ఇన్నింగ్స్ లో సంఖ్యలు (5/15)', ' ఒక క్యాలెండర్ సంవత్సరంలో 22 వ అత్యధిక వికెట్లు (20) ',' 6 వ ఒకే మైదానంలో అత్యధిక వికెట్లు (12) ',' "&amp;"13 వ ఉత్తమ కెరీర్ సగటు బౌలింగ్ (15.45) ',' 8 వ ఉత్తమ కెరీర్ ఆర్థిక రేటు (4.89) ',' 31 బెస్ట్ వృత్తి సమ్మె రేటు (18.9) ',' ఇన్నింగ్స్ లో 43 చెత్త ఆర్థిక రేటు (14.00) ',' 4 వ అత్యంత నాలుగు వికెట్లు-ఇన్-ఒక-ఇన్నింగ్స్ కెరీర్లో (3) ', '21 వ కెరీర్ లో బౌల్డ్ చా"&amp;"లా బంతుల్లో (1363 ) ',' 30 వ కెరీర్ లో సాధించిన అత్యధిక పరుగులు (1113) ',' 18 వ బౌలర్ / బ్యాట్స్ కలయికలు (4) ', '21 వ బౌలర్ / ఫీల్డర్ కలయికలు (9)', '11 వ అత్యధిక వికెట్లు తీసుకున్న బౌల్డ్ (21)', '38 వ ఎక్కువ వికెట్లు తీసుకున్న ఆకర్షించింది (27) ',' 20 వ అ"&amp;"త్యధిక వికెట్లు క్యాచ్ మరియు బౌల్డ్ తీసుకోకూడదు (3) ',' 41 వ అత్యధిక వికెట్లు చిక్కుకున్న ఫీల్డర్ తీసుకున్న (22) ',' 23 వ అత్యధిక వికెట్లు ఆకర్షించింది అత్యధిక వికెట్లు తీసిన (5) ', '6 వ అత్యధిక వికెట్లు తీసుకున్న ఎల్బిడబ్ల్యు (12)', '8 వ అత్యధిక వికెట్లు"&amp;" స్టంప్ తీసుకోకూడదు (12)', 'ఏ వికెట్కు 47 వ అత్యధిక భాగస్వామ్యాల (118)', '2n ఐదవ వికెట్కు d అత్యధిక భాగస్వామ్యం (118) ',' 42 వ వరుస జట్టు మ్యాచ్లు (38) ',' 15 వ కెరీర్ (8) అత్యంత పనికత్తెలయొద్ద ']")</f>
        <v>[ 'మొదటి డక్ (16) ముందు 28 మోస్ట్ ఇన్నింగ్స్' '34 వ కెరీర్ బాతులు (5)', '16 వ కెరీర్ లో అత్యధిక వికెట్లు (72)', '31 ఉత్తమ ఇన్నింగ్స్ లో సంఖ్యలు (5/15)', ' ఒక క్యాలెండర్ సంవత్సరంలో 22 వ అత్యధిక వికెట్లు (20) ',' 6 వ ఒకే మైదానంలో అత్యధిక వికెట్లు (12) ',' 13 వ ఉత్తమ కెరీర్ సగటు బౌలింగ్ (15.45) ',' 8 వ ఉత్తమ కెరీర్ ఆర్థిక రేటు (4.89) ',' 31 బెస్ట్ వృత్తి సమ్మె రేటు (18.9) ',' ఇన్నింగ్స్ లో 43 చెత్త ఆర్థిక రేటు (14.00) ',' 4 వ అత్యంత నాలుగు వికెట్లు-ఇన్-ఒక-ఇన్నింగ్స్ కెరీర్లో (3) ', '21 వ కెరీర్ లో బౌల్డ్ చాలా బంతుల్లో (1363 ) ',' 30 వ కెరీర్ లో సాధించిన అత్యధిక పరుగులు (1113) ',' 18 వ బౌలర్ / బ్యాట్స్ కలయికలు (4) ', '21 వ బౌలర్ / ఫీల్డర్ కలయికలు (9)', '11 వ అత్యధిక వికెట్లు తీసుకున్న బౌల్డ్ (21)', '38 వ ఎక్కువ వికెట్లు తీసుకున్న ఆకర్షించింది (27) ',' 20 వ అత్యధిక వికెట్లు క్యాచ్ మరియు బౌల్డ్ తీసుకోకూడదు (3) ',' 41 వ అత్యధిక వికెట్లు చిక్కుకున్న ఫీల్డర్ తీసుకున్న (22) ',' 23 వ అత్యధిక వికెట్లు ఆకర్షించింది అత్యధిక వికెట్లు తీసిన (5) ', '6 వ అత్యధిక వికెట్లు తీసుకున్న ఎల్బిడబ్ల్యు (12)', '8 వ అత్యధిక వికెట్లు స్టంప్ తీసుకోకూడదు (12)', 'ఏ వికెట్కు 47 వ అత్యధిక భాగస్వామ్యాల (118)', '2n ఐదవ వికెట్కు d అత్యధిక భాగస్వామ్యం (118) ',' 42 వ వరుస జట్టు మ్యాచ్లు (38) ',' 15 వ కెరీర్ (8) అత్యంత పనికత్తెలయొద్ద ']</v>
      </c>
      <c r="I751" s="3"/>
    </row>
    <row r="752" customHeight="1" spans="1:9">
      <c r="A752" s="2"/>
      <c r="B752" s="2" t="str">
        <f>IFERROR(__xludf.DUMMYFUNCTION("IF(A752&lt;&gt;"""", GOOGLETRANSLATE(A752, ""en"", ""te""),"""")"),"")</f>
        <v/>
      </c>
      <c r="C752" s="2"/>
      <c r="D752" s="2" t="str">
        <f>IFERROR(__xludf.DUMMYFUNCTION("IF(C752&lt;&gt;"""", GOOGLETRANSLATE(C752, ""en"", ""te""),"""")"),"")</f>
        <v/>
      </c>
      <c r="E752" s="2"/>
      <c r="F752" s="2" t="str">
        <f>IFERROR(__xludf.DUMMYFUNCTION("IF(E752&lt;&gt;"""", GOOGLETRANSLATE(E752, ""en"", ""te""),"""")"),"")</f>
        <v/>
      </c>
      <c r="G752" s="2"/>
      <c r="H752" s="2" t="str">
        <f>IFERROR(__xludf.DUMMYFUNCTION("IF(G752&lt;&gt;"""", GOOGLETRANSLATE(G752, ""en"", ""te""),"""")"),"")</f>
        <v/>
      </c>
      <c r="I752" s="3"/>
    </row>
    <row r="753" customHeight="1" spans="1:9">
      <c r="A753" s="2" t="s">
        <v>634</v>
      </c>
      <c r="B753" s="2" t="str">
        <f>IFERROR(__xludf.DUMMYFUNCTION("IF(A753&lt;&gt;"""", GOOGLETRANSLATE(A753, ""en"", ""te""),"""")"),"[ 'ఒక మ్యాచ్ లో రెండు అజేయంగా అర్ధ', 'హండ్రెడ్ మరియు ఒక మ్యాచ్లో ఒక డక్']")</f>
        <v>[ 'ఒక మ్యాచ్ లో రెండు అజేయంగా అర్ధ', 'హండ్రెడ్ మరియు ఒక మ్యాచ్లో ఒక డక్']</v>
      </c>
      <c r="C753" s="2" t="s">
        <v>635</v>
      </c>
      <c r="D753" s="2" t="str">
        <f>IFERROR(__xludf.DUMMYFUNCTION("IF(C753&lt;&gt;"""", GOOGLETRANSLATE(C753, ""en"", ""te""),"""")"),"[ '20 వ అత్యధిక కెరీర్ బ్యాటింగ్ సగటు (54.20)', '50 వ వేగవంతమైన 1000 పరుగులు (22)', 'బౌలింగ్ 25th చెత్త కెరీర్ సగటు (అర్హత లేకుండా) (165.00)', 'ఆరవ వికెట్ (254) 20 అత్యధిక భాగస్వామ్యం' ]")</f>
        <v>[ '20 వ అత్యధిక కెరీర్ బ్యాటింగ్ సగటు (54.20)', '50 వ వేగవంతమైన 1000 పరుగులు (22)', 'బౌలింగ్ 25th చెత్త కెరీర్ సగటు (అర్హత లేకుండా) (165.00)', 'ఆరవ వికెట్ (254) 20 అత్యధిక భాగస్వామ్యం' ]</v>
      </c>
      <c r="E753" s="2"/>
      <c r="F753" s="2" t="str">
        <f>IFERROR(__xludf.DUMMYFUNCTION("IF(E753&lt;&gt;"""", GOOGLETRANSLATE(E753, ""en"", ""te""),"""")"),"")</f>
        <v/>
      </c>
      <c r="G753" s="2"/>
      <c r="H753" s="2" t="str">
        <f>IFERROR(__xludf.DUMMYFUNCTION("IF(G753&lt;&gt;"""", GOOGLETRANSLATE(G753, ""en"", ""te""),"""")"),"")</f>
        <v/>
      </c>
      <c r="I753" s="3"/>
    </row>
    <row r="754" customHeight="1" spans="1:9">
      <c r="A754" s="2"/>
      <c r="B754" s="2" t="str">
        <f>IFERROR(__xludf.DUMMYFUNCTION("IF(A754&lt;&gt;"""", GOOGLETRANSLATE(A754, ""en"", ""te""),"""")"),"")</f>
        <v/>
      </c>
      <c r="C754" s="2"/>
      <c r="D754" s="2" t="str">
        <f>IFERROR(__xludf.DUMMYFUNCTION("IF(C754&lt;&gt;"""", GOOGLETRANSLATE(C754, ""en"", ""te""),"""")"),"")</f>
        <v/>
      </c>
      <c r="E754" s="2"/>
      <c r="F754" s="2" t="str">
        <f>IFERROR(__xludf.DUMMYFUNCTION("IF(E754&lt;&gt;"""", GOOGLETRANSLATE(E754, ""en"", ""te""),"""")"),"")</f>
        <v/>
      </c>
      <c r="G754" s="2"/>
      <c r="H754" s="2" t="str">
        <f>IFERROR(__xludf.DUMMYFUNCTION("IF(G754&lt;&gt;"""", GOOGLETRANSLATE(G754, ""en"", ""te""),"""")"),"")</f>
        <v/>
      </c>
      <c r="I754" s="3"/>
    </row>
    <row r="755" customHeight="1" spans="1:9">
      <c r="A755" s="2"/>
      <c r="B755" s="2" t="str">
        <f>IFERROR(__xludf.DUMMYFUNCTION("IF(A755&lt;&gt;"""", GOOGLETRANSLATE(A755, ""en"", ""te""),"""")"),"")</f>
        <v/>
      </c>
      <c r="C755" s="2"/>
      <c r="D755" s="2" t="str">
        <f>IFERROR(__xludf.DUMMYFUNCTION("IF(C755&lt;&gt;"""", GOOGLETRANSLATE(C755, ""en"", ""te""),"""")"),"")</f>
        <v/>
      </c>
      <c r="E755" s="2"/>
      <c r="F755" s="2" t="str">
        <f>IFERROR(__xludf.DUMMYFUNCTION("IF(E755&lt;&gt;"""", GOOGLETRANSLATE(E755, ""en"", ""te""),"""")"),"")</f>
        <v/>
      </c>
      <c r="G755" s="2"/>
      <c r="H755" s="2" t="str">
        <f>IFERROR(__xludf.DUMMYFUNCTION("IF(G755&lt;&gt;"""", GOOGLETRANSLATE(G755, ""en"", ""te""),"""")"),"")</f>
        <v/>
      </c>
      <c r="I755" s="3"/>
    </row>
    <row r="756" customHeight="1" spans="1:9">
      <c r="A756" s="2"/>
      <c r="B756" s="2" t="str">
        <f>IFERROR(__xludf.DUMMYFUNCTION("IF(A756&lt;&gt;"""", GOOGLETRANSLATE(A756, ""en"", ""te""),"""")"),"")</f>
        <v/>
      </c>
      <c r="C756" s="2"/>
      <c r="D756" s="2" t="str">
        <f>IFERROR(__xludf.DUMMYFUNCTION("IF(C756&lt;&gt;"""", GOOGLETRANSLATE(C756, ""en"", ""te""),"""")"),"")</f>
        <v/>
      </c>
      <c r="E756" s="2"/>
      <c r="F756" s="2" t="str">
        <f>IFERROR(__xludf.DUMMYFUNCTION("IF(E756&lt;&gt;"""", GOOGLETRANSLATE(E756, ""en"", ""te""),"""")"),"")</f>
        <v/>
      </c>
      <c r="G756" s="2"/>
      <c r="H756" s="2" t="str">
        <f>IFERROR(__xludf.DUMMYFUNCTION("IF(G756&lt;&gt;"""", GOOGLETRANSLATE(G756, ""en"", ""te""),"""")"),"")</f>
        <v/>
      </c>
      <c r="I756" s="3"/>
    </row>
    <row r="757" customHeight="1" spans="1:9">
      <c r="A757" s="2" t="s">
        <v>636</v>
      </c>
      <c r="B757" s="2" t="str">
        <f>IFERROR(__xludf.DUMMYFUNCTION("IF(A757&lt;&gt;"""", GOOGLETRANSLATE(A757, ""en"", ""te""),"""")"),"[ 'వికెట్ను కాపాడుకున్నాడు మరియు బ్యాటింగ్ (7) తెరిచిన చేసిన 1st కెప్టెన్ల' 'వరుస 1 వ అత్యంత స్టంపింగ్లు (9)']")</f>
        <v>[ 'వికెట్ను కాపాడుకున్నాడు మరియు బ్యాటింగ్ (7) తెరిచిన చేసిన 1st కెప్టెన్ల' 'వరుస 1 వ అత్యంత స్టంపింగ్లు (9)']</v>
      </c>
      <c r="C757" s="2" t="s">
        <v>637</v>
      </c>
      <c r="D757" s="2" t="str">
        <f>IFERROR(__xludf.DUMMYFUNCTION("IF(C757&lt;&gt;"""", GOOGLETRANSLATE(C757, ""en"", ""te""),"""")"),"[ 'పదవ వికెట్కు 34 వ అత్యధిక భాగస్వామ్యం (94)', '34 వ పిన్న కాప్టెన్ (25y 138d)', '6 వ కెప్టెన్ల వికెట్ (13) ఉంచింది చేసిన', 'వికెట్ను కాపాడుకున్నాడు మరియు బ్యాటింగ్ తెరిచారు 1 వ కెప్టెన్ల (7) ',' ఒక మ్యాచ్లో కెరీర్లో 25 వ అత్యంత స్టంపింగ్లు (16) ',' 4 వ "&amp;"ఇన్నింగ్స్ లో వచ్చిన ఎక్కువ స్టంపింగ్లు (3) ',' 12 వ అత్యంత స్టంపింగ్లు (3) ',' 1st ఒక సిరీస్లో అత్యధిక స్టంపింగ్లు (9) ']")</f>
        <v>[ 'పదవ వికెట్కు 34 వ అత్యధిక భాగస్వామ్యం (94)', '34 వ పిన్న కాప్టెన్ (25y 138d)', '6 వ కెప్టెన్ల వికెట్ (13) ఉంచింది చేసిన', 'వికెట్ను కాపాడుకున్నాడు మరియు బ్యాటింగ్ తెరిచారు 1 వ కెప్టెన్ల (7) ',' ఒక మ్యాచ్లో కెరీర్లో 25 వ అత్యంత స్టంపింగ్లు (16) ',' 4 వ ఇన్నింగ్స్ లో వచ్చిన ఎక్కువ స్టంపింగ్లు (3) ',' 12 వ అత్యంత స్టంపింగ్లు (3) ',' 1st ఒక సిరీస్లో అత్యధిక స్టంపింగ్లు (9) ']</v>
      </c>
      <c r="E757" s="2"/>
      <c r="F757" s="2" t="str">
        <f>IFERROR(__xludf.DUMMYFUNCTION("IF(E757&lt;&gt;"""", GOOGLETRANSLATE(E757, ""en"", ""te""),"""")"),"")</f>
        <v/>
      </c>
      <c r="G757" s="2"/>
      <c r="H757" s="2" t="str">
        <f>IFERROR(__xludf.DUMMYFUNCTION("IF(G757&lt;&gt;"""", GOOGLETRANSLATE(G757, ""en"", ""te""),"""")"),"")</f>
        <v/>
      </c>
      <c r="I757" s="3"/>
    </row>
    <row r="758" customHeight="1" spans="1:9">
      <c r="A758" s="2" t="s">
        <v>638</v>
      </c>
      <c r="B758" s="2" t="str">
        <f>IFERROR(__xludf.DUMMYFUNCTION("IF(A758&lt;&gt;"""", GOOGLETRANSLATE(A758, ""en"", ""te""),"""")"),"[ 'కెప్టెన్గా 1st అత్యధిక మ్యాచ్లు (109)', 'హండ్రెడ్ మరియు ఒక మ్యాచ్లో ఒక డక్', '9 వ' వరుస (2) 2 వ అధిక రెండొందల పరుగులు '' 3 వ భాగం ఒక క్యాలెండర్ ఏడాది (1656) లో నడుస్తుంది ', ఒక ఇన్నింగ్స్ లో 1000 పరుగులు (17) ',' 1 వ అత్యధిక క్యాచ్లు వేగవంతమైన (5) ','"&amp;" 5000 పరుగులు మరియు 50 ఫీల్డింగ్ వికెట్లు కెప్టెన్గా ',' ఐదవ వికెట్కు 6 వ అత్యధిక భాగస్వామ్యం (338) ',' 7 వ అత్యధిక మ్యాచ్లు ( 150) ',' 1 వ 99 (199, 299 etc) (99) అవుటయ్యాడు ',' మొదటి డక్ (67) ముందు చాలా 5 వ ఇన్నింగ్స్ ',' ఇన్నింగ్స్ లో 2 వ అత్యధిక క్యాచ్"&amp;"లు (4) ',' 5000 పరుగులు మరియు 50 ఫీల్డింగ్ వికెట్లు ',' మొదటి వికెట్కు 6 వ అత్యధిక భాగస్వామ్యం (170) ',' 4 వ అత్యధిక మ్యాచ్లు కెప్టెన్గా (286) ',' వరుస మ్యాచ్లలో 4 వ వందల (4) ',' 7 వ కెరీర్ (292) లో అత్యధిక క్యాచ్లు ']")</f>
        <v>[ 'కెప్టెన్గా 1st అత్యధిక మ్యాచ్లు (109)', 'హండ్రెడ్ మరియు ఒక మ్యాచ్లో ఒక డక్', '9 వ' వరుస (2) 2 వ అధిక రెండొందల పరుగులు '' 3 వ భాగం ఒక క్యాలెండర్ ఏడాది (1656) లో నడుస్తుంది ', ఒక ఇన్నింగ్స్ లో 1000 పరుగులు (17) ',' 1 వ అత్యధిక క్యాచ్లు వేగవంతమైన (5) ',' 5000 పరుగులు మరియు 50 ఫీల్డింగ్ వికెట్లు కెప్టెన్గా ',' ఐదవ వికెట్కు 6 వ అత్యధిక భాగస్వామ్యం (338) ',' 7 వ అత్యధిక మ్యాచ్లు ( 150) ',' 1 వ 99 (199, 299 etc) (99) అవుటయ్యాడు ',' మొదటి డక్ (67) ముందు చాలా 5 వ ఇన్నింగ్స్ ',' ఇన్నింగ్స్ లో 2 వ అత్యధిక క్యాచ్లు (4) ',' 5000 పరుగులు మరియు 50 ఫీల్డింగ్ వికెట్లు ',' మొదటి వికెట్కు 6 వ అత్యధిక భాగస్వామ్యం (170) ',' 4 వ అత్యధిక మ్యాచ్లు కెప్టెన్గా (286) ',' వరుస మ్యాచ్లలో 4 వ వందల (4) ',' 7 వ కెరీర్ (292) లో అత్యధిక క్యాచ్లు ']</v>
      </c>
      <c r="C758" s="2" t="s">
        <v>639</v>
      </c>
      <c r="D758" s="2" t="str">
        <f>IFERROR(__xludf.DUMMYFUNCTION("IF(C758&lt;&gt;"""", GOOGLETRANSLATE(C758, ""en"", ""te""),"""")"),"[ '15 వ అత్యధిక కెరీర్ లో పరుగులు (9265)', '46 వ ఇన్నింగ్స్ లో అత్యధిక పరుగులు (277)', 'ఒక మ్యాచ్లో 12 వ అత్యధిక పరుగులు (362)', '28th ఒక సిరీస్లో అత్యధిక పరుగులు (714)', '3 వ ఒక క్యాలెండర్ సంవత్సరంలో అత్యధిక పరుగులు (1656) ',' 22 వ ఒకే మైదానంలో అత్యధిక "&amp;"పరుగులు (1363) ',' 15 వ రోజుకు లో అత్యధిక పరుగులు (223) ',' ఒక కెప్టెన్ (714) ద్వారా సిరీస్ లో 7 వ అత్యధిక పరుగులు ' 'ఒక కెప్టెన్తో ఇన్నింగ్స్ లో 11 వ అత్యధిక పరుగులు (277)', '17 వ ఒక వృత్తిలో అత్యధిక వందలు (27)', వరుస, '2 వ అధిక రెండొందల పరుగులు (5) ఒక వ"&amp;"ృత్తిలో 13 వ అధిక రెండొందల పరుగులు' ( 2) ',' ఒక క్యాలెండర్ సంవత్సరంలో 6 వ అత్యధిక వందలు (6) ',' 33 వ ఒక జట్టు (వ్యతిరేకంగా అత్యధిక వందలు 7) ',' వరుస మ్యాచ్లలో 21 వందల (3) ',' 40 వ అత్యధిక తొలి వంద (200) ', 'వందవ మ్యాచ్లో 8 వ హండ్రెడ్ (131)', 'కెరీర్ లో 24"&amp;" వ అత్యంత అర్ధ (65)' '5 వ పిన్న ఆటగాడు డబుల్ సెంచరీ (21y 259d) స్కోర్', 'కెరీర్ లో 13 వ అత్యంత ఫోర్లు (1165)', '36 వ ఒక ఇన్నింగ్స్ లో చాలా ఫోర్లు (35) ',' 1000 పరుగులు 9 వ వేగవంతమైన (17) ',' 14 వ 2000 పరుగులు (39) ',' 17 వ వేగవంతమైన 3000 పరుగులు (63) ',"&amp;"' 27th 4000 పరుగులు వేగంగా వేగంగా ( వేగవంతమైన 7000 పరుగులు (148) ',' 17 వ 5000 పరుగులు (111) ',' 6000 పరుగులు (128) ',' 18 వ వేగంగా 21 వరకు వేగంగా 89) ',' 32 వ 8000 పరుగులు (173) ',' 10 వ వేగంగా వేగవంతమైన 9000 పరుగులు కెరీర్లో (195) ',' 8 వ అత్యధిక క్యా"&amp;"చ్లు (169) ',' ఒక మ్యాచ్లో ఇన్నింగ్స్ (5) ',' 8 వ అత్యధిక క్యాచ్లు లో 1 వ అత్యధిక క్యాచ్లు (6) ',' 42 వ అత్యంత ఒక లో క్యాచ్లు సిరీస్ (10) ',' 31 అత్యధిక ఏ వికెట్కు (368) ',' మొదటి వికెట్కు 6 వ అత్యధిక భాగస్వామ్యం (368) ',' రెండవ వికెట్కు 32 వ అత్యధిక భాగస"&amp;"్వామ్యం (272) ',' 6 వ అత్యధిక భాగస్వామ్యం కోసం భాగస్వామ్యాలు ఐదో వికెట్కు (338) ',' 33 వ కెరీర్ లో అత్యధిక మ్యాచ్లు (117) ',' 11 వ అత్యంత ప్లేయర్ ఆఫ్ ది మ్యాచ్ అవార్డులు (12) ',' 24 వ అత్యంత ప్లేయర్ ఆఫ్ ది సిరీస్ అవార్డులు (4) ', 'కెప్టెన్ 1st అత్యధిక మ్య"&amp;"ాచ్లు (109)', '7 వ వరుస మ్యాచ్లు ఒక జట్టు కెప్టెన్గా (40)', '47 వ వరుస అన్ని టాస్ గెలిచిన (3)', '5 వ పిన్న కాప్టెన్ (22y 82d)']")</f>
        <v>[ '15 వ అత్యధిక కెరీర్ లో పరుగులు (9265)', '46 వ ఇన్నింగ్స్ లో అత్యధిక పరుగులు (277)', 'ఒక మ్యాచ్లో 12 వ అత్యధిక పరుగులు (362)', '28th ఒక సిరీస్లో అత్యధిక పరుగులు (714)', '3 వ ఒక క్యాలెండర్ సంవత్సరంలో అత్యధిక పరుగులు (1656) ',' 22 వ ఒకే మైదానంలో అత్యధిక పరుగులు (1363) ',' 15 వ రోజుకు లో అత్యధిక పరుగులు (223) ',' ఒక కెప్టెన్ (714) ద్వారా సిరీస్ లో 7 వ అత్యధిక పరుగులు ' 'ఒక కెప్టెన్తో ఇన్నింగ్స్ లో 11 వ అత్యధిక పరుగులు (277)', '17 వ ఒక వృత్తిలో అత్యధిక వందలు (27)', వరుస, '2 వ అధిక రెండొందల పరుగులు (5) ఒక వృత్తిలో 13 వ అధిక రెండొందల పరుగులు' ( 2) ',' ఒక క్యాలెండర్ సంవత్సరంలో 6 వ అత్యధిక వందలు (6) ',' 33 వ ఒక జట్టు (వ్యతిరేకంగా అత్యధిక వందలు 7) ',' వరుస మ్యాచ్లలో 21 వందల (3) ',' 40 వ అత్యధిక తొలి వంద (200) ', 'వందవ మ్యాచ్లో 8 వ హండ్రెడ్ (131)', 'కెరీర్ లో 24 వ అత్యంత అర్ధ (65)' '5 వ పిన్న ఆటగాడు డబుల్ సెంచరీ (21y 259d) స్కోర్', 'కెరీర్ లో 13 వ అత్యంత ఫోర్లు (1165)', '36 వ ఒక ఇన్నింగ్స్ లో చాలా ఫోర్లు (35) ',' 1000 పరుగులు 9 వ వేగవంతమైన (17) ',' 14 వ 2000 పరుగులు (39) ',' 17 వ వేగవంతమైన 3000 పరుగులు (63) ',' 27th 4000 పరుగులు వేగంగా వేగంగా ( వేగవంతమైన 7000 పరుగులు (148) ',' 17 వ 5000 పరుగులు (111) ',' 6000 పరుగులు (128) ',' 18 వ వేగంగా 21 వరకు వేగంగా 89) ',' 32 వ 8000 పరుగులు (173) ',' 10 వ వేగంగా వేగవంతమైన 9000 పరుగులు కెరీర్లో (195) ',' 8 వ అత్యధిక క్యాచ్లు (169) ',' ఒక మ్యాచ్లో ఇన్నింగ్స్ (5) ',' 8 వ అత్యధిక క్యాచ్లు లో 1 వ అత్యధిక క్యాచ్లు (6) ',' 42 వ అత్యంత ఒక లో క్యాచ్లు సిరీస్ (10) ',' 31 అత్యధిక ఏ వికెట్కు (368) ',' మొదటి వికెట్కు 6 వ అత్యధిక భాగస్వామ్యం (368) ',' రెండవ వికెట్కు 32 వ అత్యధిక భాగస్వామ్యం (272) ',' 6 వ అత్యధిక భాగస్వామ్యం కోసం భాగస్వామ్యాలు ఐదో వికెట్కు (338) ',' 33 వ కెరీర్ లో అత్యధిక మ్యాచ్లు (117) ',' 11 వ అత్యంత ప్లేయర్ ఆఫ్ ది మ్యాచ్ అవార్డులు (12) ',' 24 వ అత్యంత ప్లేయర్ ఆఫ్ ది సిరీస్ అవార్డులు (4) ', 'కెప్టెన్ 1st అత్యధిక మ్యాచ్లు (109)', '7 వ వరుస మ్యాచ్లు ఒక జట్టు కెప్టెన్గా (40)', '47 వ వరుస అన్ని టాస్ గెలిచిన (3)', '5 వ పిన్న కాప్టెన్ (22y 82d)']</v>
      </c>
      <c r="E758" s="2" t="s">
        <v>640</v>
      </c>
      <c r="F758" s="2" t="str">
        <f>IFERROR(__xludf.DUMMYFUNCTION("IF(E758&lt;&gt;"""", GOOGLETRANSLATE(E758, ""en"", ""te""),"""")"),"[ 'పరాజయం వైపు ఒక మ్యాచ్లో 34 వ అత్యధిక పరుగులు (141)' '43 వ అత్యధిక కెరీర్ లో పరుగులు (6989)', 'ఒక కెప్టెన్ ద్వారా ఒక సిరీస్లో 17 వ అత్యధిక పరుగులు (443)', '27 వ ఇన్నింగ్స్ లో పరుగులు ఒక కెప్టెన్తో (141) ',' 11 వ ఒక క్యాలెండర్ సంవత్సరంలో అత్యధిక వందలు ("&amp;"5) ',' 22 వ కెరీర్ తొంభైల (5) ',' 1 వ 99 (199, 299 etc) (99) అవుటయ్యాడు ',' కెరీర్లో 36 వ అత్యంత అర్ధ (57) ',' వరుస ఇన్నింగ్స్లో 44 వ యాభైల్లో (4) ',' చాలా 5 వ ఇన్నింగ్స్ తొలి డక్ ముందు (67) ',' ఒక డక్ లేకుండా 28 వరుస ఇన్నింగ్స్ (72 *) ',' 26 వ అధిక కెర"&amp;"ీర్లో ఫోర్లు (788) ',' 25 వ అత్యంత 1000 పరుగులు ఇన్నింగ్స్ లో ఫోర్లు (20) ',' 36 వ వేగంగా (28) ',' 41 వ 2000 పరుగులు వేగంగా (57) ',' 20 వ 3000 పరుగులు వేగంగా (80 వేగవంతమైన 5000) ',' 4000 పరుగులు (107) ',' 16 వ వేగంగా 18 పరుగులు (131) ',' 11 వ 6000 పరుగుల"&amp;"ు (160) ',' 17 వ చెత్త కెరీర్ సగటు (52.83) ',' 30 వ చెత్త బౌలింగ్ చేయడానికి వేగవంతమైన ఒక ఇన్నింగ్స్ లో ఆర్థిక రేటు (11.20) ',' 27 వ కెరీర్ లో అత్యధిక క్యాచ్లు (105) ',' వరుస (8) ',' 47 వ అత్యధిక భాగం లో ఒక ఇన్నింగ్స్ లో 2 వ అత్యధిక క్యాచ్లు (4) ',' 24 వ "&amp;"అత్యధిక క్యాచ్లు మూడో వికెట్కు nership (186) ',' 45 వ అత్యంత ప్లేయర్ ఆఫ్ ది సిరీస్ అవార్డులు కెప్టెన్గా (3) ',' 7 వ అత్యధిక మ్యాచ్లు (150) ',' 8 వ పిన్న కాప్టెన్ (22y 71d) ']")</f>
        <v>[ 'పరాజయం వైపు ఒక మ్యాచ్లో 34 వ అత్యధిక పరుగులు (141)' '43 వ అత్యధిక కెరీర్ లో పరుగులు (6989)', 'ఒక కెప్టెన్ ద్వారా ఒక సిరీస్లో 17 వ అత్యధిక పరుగులు (443)', '27 వ ఇన్నింగ్స్ లో పరుగులు ఒక కెప్టెన్తో (141) ',' 11 వ ఒక క్యాలెండర్ సంవత్సరంలో అత్యధిక వందలు (5) ',' 22 వ కెరీర్ తొంభైల (5) ',' 1 వ 99 (199, 299 etc) (99) అవుటయ్యాడు ',' కెరీర్లో 36 వ అత్యంత అర్ధ (57) ',' వరుస ఇన్నింగ్స్లో 44 వ యాభైల్లో (4) ',' చాలా 5 వ ఇన్నింగ్స్ తొలి డక్ ముందు (67) ',' ఒక డక్ లేకుండా 28 వరుస ఇన్నింగ్స్ (72 *) ',' 26 వ అధిక కెరీర్లో ఫోర్లు (788) ',' 25 వ అత్యంత 1000 పరుగులు ఇన్నింగ్స్ లో ఫోర్లు (20) ',' 36 వ వేగంగా (28) ',' 41 వ 2000 పరుగులు వేగంగా (57) ',' 20 వ 3000 పరుగులు వేగంగా (80 వేగవంతమైన 5000) ',' 4000 పరుగులు (107) ',' 16 వ వేగంగా 18 పరుగులు (131) ',' 11 వ 6000 పరుగులు (160) ',' 17 వ చెత్త కెరీర్ సగటు (52.83) ',' 30 వ చెత్త బౌలింగ్ చేయడానికి వేగవంతమైన ఒక ఇన్నింగ్స్ లో ఆర్థిక రేటు (11.20) ',' 27 వ కెరీర్ లో అత్యధిక క్యాచ్లు (105) ',' వరుస (8) ',' 47 వ అత్యధిక భాగం లో ఒక ఇన్నింగ్స్ లో 2 వ అత్యధిక క్యాచ్లు (4) ',' 24 వ అత్యధిక క్యాచ్లు మూడో వికెట్కు nership (186) ',' 45 వ అత్యంత ప్లేయర్ ఆఫ్ ది సిరీస్ అవార్డులు కెప్టెన్గా (3) ',' 7 వ అత్యధిక మ్యాచ్లు (150) ',' 8 వ పిన్న కాప్టెన్ (22y 71d) ']</v>
      </c>
      <c r="G758" s="2" t="s">
        <v>641</v>
      </c>
      <c r="H758" s="2" t="str">
        <f>IFERROR(__xludf.DUMMYFUNCTION("IF(G758&lt;&gt;"""", GOOGLETRANSLATE(G758, ""en"", ""te""),"""")"),"[ '16 వ ఒకే మైదానంలో అత్యధిక పరుగులు (341)', 'ఒక కెప్టెన్తో ఇన్నింగ్స్ లో 20 వ అత్యధిక పరుగులు (89 *)', '31 అత్యధిక కెరీర్ బ్యాటింగ్ సగటు (31.67)', '25 వ తొలి మ్యాచ్లో అత్యధిక పరుగులు (61 ) ',' 13 వ అత్యంత ఇన్నింగ్స్ తొలి డక్ ముందు (31) ',' ఒక డక్ లేకుండ"&amp;"ా 47 వ వరుస ఇన్నింగ్స్ (31) ',' 37 వ కెరీర్ ఫోర్లు (123) ',' 31 మోస్ట్ ఇన్నింగ్స్ లో ఫోర్లు (11) ' 'ఏ వికెట్కు 8 వ అత్యధిక భాగస్వామ్యాల (170)', 'మొదటి వికెట్కు 6 వ అత్యధిక భాగస్వామ్యం (170)', 'కెప్టెన్ 22 అత్యధిక మ్యాచ్లు (27)', 'రెండవ వికెట్ (111) కోసం 3"&amp;"3 వ అత్యధిక భాగస్వామ్యం', '29th పిన్న కాప్టెన్ (24y 262d)']")</f>
        <v>[ '16 వ ఒకే మైదానంలో అత్యధిక పరుగులు (341)', 'ఒక కెప్టెన్తో ఇన్నింగ్స్ లో 20 వ అత్యధిక పరుగులు (89 *)', '31 అత్యధిక కెరీర్ బ్యాటింగ్ సగటు (31.67)', '25 వ తొలి మ్యాచ్లో అత్యధిక పరుగులు (61 ) ',' 13 వ అత్యంత ఇన్నింగ్స్ తొలి డక్ ముందు (31) ',' ఒక డక్ లేకుండా 47 వ వరుస ఇన్నింగ్స్ (31) ',' 37 వ కెరీర్ ఫోర్లు (123) ',' 31 మోస్ట్ ఇన్నింగ్స్ లో ఫోర్లు (11) ' 'ఏ వికెట్కు 8 వ అత్యధిక భాగస్వామ్యాల (170)', 'మొదటి వికెట్కు 6 వ అత్యధిక భాగస్వామ్యం (170)', 'కెప్టెన్ 22 అత్యధిక మ్యాచ్లు (27)', 'రెండవ వికెట్ (111) కోసం 33 వ అత్యధిక భాగస్వామ్యం', '29th పిన్న కాప్టెన్ (24y 262d)']</v>
      </c>
      <c r="I758" s="3"/>
    </row>
    <row r="759" customHeight="1" spans="1:9">
      <c r="A759" s="2"/>
      <c r="B759" s="2" t="str">
        <f>IFERROR(__xludf.DUMMYFUNCTION("IF(A759&lt;&gt;"""", GOOGLETRANSLATE(A759, ""en"", ""te""),"""")"),"")</f>
        <v/>
      </c>
      <c r="C759" s="2"/>
      <c r="D759" s="2" t="str">
        <f>IFERROR(__xludf.DUMMYFUNCTION("IF(C759&lt;&gt;"""", GOOGLETRANSLATE(C759, ""en"", ""te""),"""")"),"")</f>
        <v/>
      </c>
      <c r="E759" s="2"/>
      <c r="F759" s="2" t="str">
        <f>IFERROR(__xludf.DUMMYFUNCTION("IF(E759&lt;&gt;"""", GOOGLETRANSLATE(E759, ""en"", ""te""),"""")"),"")</f>
        <v/>
      </c>
      <c r="G759" s="2"/>
      <c r="H759" s="2" t="str">
        <f>IFERROR(__xludf.DUMMYFUNCTION("IF(G759&lt;&gt;"""", GOOGLETRANSLATE(G759, ""en"", ""te""),"""")"),"")</f>
        <v/>
      </c>
      <c r="I759" s="3"/>
    </row>
    <row r="760" customHeight="1" spans="1:9">
      <c r="A760" s="2"/>
      <c r="B760" s="2" t="str">
        <f>IFERROR(__xludf.DUMMYFUNCTION("IF(A760&lt;&gt;"""", GOOGLETRANSLATE(A760, ""en"", ""te""),"""")"),"")</f>
        <v/>
      </c>
      <c r="C760" s="2"/>
      <c r="D760" s="2" t="str">
        <f>IFERROR(__xludf.DUMMYFUNCTION("IF(C760&lt;&gt;"""", GOOGLETRANSLATE(C760, ""en"", ""te""),"""")"),"")</f>
        <v/>
      </c>
      <c r="E760" s="2"/>
      <c r="F760" s="2" t="str">
        <f>IFERROR(__xludf.DUMMYFUNCTION("IF(E760&lt;&gt;"""", GOOGLETRANSLATE(E760, ""en"", ""te""),"""")"),"")</f>
        <v/>
      </c>
      <c r="G760" s="2"/>
      <c r="H760" s="2" t="str">
        <f>IFERROR(__xludf.DUMMYFUNCTION("IF(G760&lt;&gt;"""", GOOGLETRANSLATE(G760, ""en"", ""te""),"""")"),"")</f>
        <v/>
      </c>
      <c r="I760" s="3"/>
    </row>
    <row r="761" customHeight="1" spans="1:9">
      <c r="A761" s="2" t="s">
        <v>642</v>
      </c>
      <c r="B761" s="2" t="str">
        <f>IFERROR(__xludf.DUMMYFUNCTION("IF(A761&lt;&gt;"""", GOOGLETRANSLATE(A761, ""en"", ""te""),"""")"),"[ 'హండ్రెడ్ మరియు ఒక మ్యాచ్లో ఒక డక్', 'బ్యాటింగ్ తెరవడం మరియు అదే మ్యాచ్ లో బౌలింగ్']")</f>
        <v>[ 'హండ్రెడ్ మరియు ఒక మ్యాచ్లో ఒక డక్', 'బ్యాటింగ్ తెరవడం మరియు అదే మ్యాచ్ లో బౌలింగ్']</v>
      </c>
      <c r="C761" s="2" t="s">
        <v>643</v>
      </c>
      <c r="D761" s="2" t="str">
        <f>IFERROR(__xludf.DUMMYFUNCTION("IF(C761&lt;&gt;"""", GOOGLETRANSLATE(C761, ""en"", ""te""),"""")"),"[ '36 వ ఇన్నింగ్స్ లో వచ్చిన ఎక్కువ సిక్స్ (6)', 'ఒక ఇన్నింగ్స్లో పరుగుల 19 అత్యధిక శాతం (59.88)', 'ఇన్నింగ్స్ లో 40 వ చెత్త ఆర్థిక రేటు (6.45)']")</f>
        <v>[ '36 వ ఇన్నింగ్స్ లో వచ్చిన ఎక్కువ సిక్స్ (6)', 'ఒక ఇన్నింగ్స్లో పరుగుల 19 అత్యధిక శాతం (59.88)', 'ఇన్నింగ్స్ లో 40 వ చెత్త ఆర్థిక రేటు (6.45)']</v>
      </c>
      <c r="E761" s="2"/>
      <c r="F761" s="2" t="str">
        <f>IFERROR(__xludf.DUMMYFUNCTION("IF(E761&lt;&gt;"""", GOOGLETRANSLATE(E761, ""en"", ""te""),"""")"),"")</f>
        <v/>
      </c>
      <c r="G761" s="2"/>
      <c r="H761" s="2" t="str">
        <f>IFERROR(__xludf.DUMMYFUNCTION("IF(G761&lt;&gt;"""", GOOGLETRANSLATE(G761, ""en"", ""te""),"""")"),"")</f>
        <v/>
      </c>
      <c r="I761" s="3"/>
    </row>
    <row r="762" customHeight="1" spans="1:9">
      <c r="A762" s="2" t="s">
        <v>644</v>
      </c>
      <c r="B762" s="2" t="str">
        <f>IFERROR(__xludf.DUMMYFUNCTION("IF(A762&lt;&gt;"""", GOOGLETRANSLATE(A762, ""en"", ""te""),"""")"),"[ 'తొలి వికెట్కు (209) కోసం 8 వ అత్యధిక భాగస్వామ్యం']")</f>
        <v>[ 'తొలి వికెట్కు (209) కోసం 8 వ అత్యధిక భాగస్వామ్యం']</v>
      </c>
      <c r="C762" s="2"/>
      <c r="D762" s="2" t="str">
        <f>IFERROR(__xludf.DUMMYFUNCTION("IF(C762&lt;&gt;"""", GOOGLETRANSLATE(C762, ""en"", ""te""),"""")"),"")</f>
        <v/>
      </c>
      <c r="E762" s="2" t="s">
        <v>645</v>
      </c>
      <c r="F762" s="2" t="str">
        <f>IFERROR(__xludf.DUMMYFUNCTION("IF(E762&lt;&gt;"""", GOOGLETRANSLATE(E762, ""en"", ""te""),"""")"),"[ '27 అత్యధిక తొలి వంద (117)', '14 వ పిన్న ఆటగాడు వంద (177d 20y) స్కోర్' 'ఏ వికెట్కు 20 వ అత్యధిక భాగస్వామ్యాల (209)', 'మొదటి వికెట్కు 8 వ అత్యధిక భాగస్వామ్యం (209)', 'రెండవ వికెట్కు 33 వ అత్యధిక భాగస్వామ్యం (151)']")</f>
        <v>[ '27 అత్యధిక తొలి వంద (117)', '14 వ పిన్న ఆటగాడు వంద (177d 20y) స్కోర్' 'ఏ వికెట్కు 20 వ అత్యధిక భాగస్వామ్యాల (209)', 'మొదటి వికెట్కు 8 వ అత్యధిక భాగస్వామ్యం (209)', 'రెండవ వికెట్కు 33 వ అత్యధిక భాగస్వామ్యం (151)']</v>
      </c>
      <c r="G762" s="2"/>
      <c r="H762" s="2" t="str">
        <f>IFERROR(__xludf.DUMMYFUNCTION("IF(G762&lt;&gt;"""", GOOGLETRANSLATE(G762, ""en"", ""te""),"""")"),"")</f>
        <v/>
      </c>
      <c r="I762" s="3"/>
    </row>
    <row r="763" customHeight="1" spans="1:9">
      <c r="A763" s="2"/>
      <c r="B763" s="2" t="str">
        <f>IFERROR(__xludf.DUMMYFUNCTION("IF(A763&lt;&gt;"""", GOOGLETRANSLATE(A763, ""en"", ""te""),"""")"),"")</f>
        <v/>
      </c>
      <c r="C763" s="2"/>
      <c r="D763" s="2" t="str">
        <f>IFERROR(__xludf.DUMMYFUNCTION("IF(C763&lt;&gt;"""", GOOGLETRANSLATE(C763, ""en"", ""te""),"""")"),"")</f>
        <v/>
      </c>
      <c r="E763" s="2"/>
      <c r="F763" s="2" t="str">
        <f>IFERROR(__xludf.DUMMYFUNCTION("IF(E763&lt;&gt;"""", GOOGLETRANSLATE(E763, ""en"", ""te""),"""")"),"")</f>
        <v/>
      </c>
      <c r="G763" s="2"/>
      <c r="H763" s="2" t="str">
        <f>IFERROR(__xludf.DUMMYFUNCTION("IF(G763&lt;&gt;"""", GOOGLETRANSLATE(G763, ""en"", ""te""),"""")"),"")</f>
        <v/>
      </c>
      <c r="I763" s="3"/>
    </row>
    <row r="764" customHeight="1" spans="1:9">
      <c r="A764" s="2"/>
      <c r="B764" s="2" t="str">
        <f>IFERROR(__xludf.DUMMYFUNCTION("IF(A764&lt;&gt;"""", GOOGLETRANSLATE(A764, ""en"", ""te""),"""")"),"")</f>
        <v/>
      </c>
      <c r="C764" s="2"/>
      <c r="D764" s="2" t="str">
        <f>IFERROR(__xludf.DUMMYFUNCTION("IF(C764&lt;&gt;"""", GOOGLETRANSLATE(C764, ""en"", ""te""),"""")"),"")</f>
        <v/>
      </c>
      <c r="E764" s="2"/>
      <c r="F764" s="2" t="str">
        <f>IFERROR(__xludf.DUMMYFUNCTION("IF(E764&lt;&gt;"""", GOOGLETRANSLATE(E764, ""en"", ""te""),"""")"),"")</f>
        <v/>
      </c>
      <c r="G764" s="2"/>
      <c r="H764" s="2" t="str">
        <f>IFERROR(__xludf.DUMMYFUNCTION("IF(G764&lt;&gt;"""", GOOGLETRANSLATE(G764, ""en"", ""te""),"""")"),"")</f>
        <v/>
      </c>
      <c r="I764" s="3"/>
    </row>
    <row r="765" customHeight="1" spans="1:9">
      <c r="A765" s="2"/>
      <c r="B765" s="2" t="str">
        <f>IFERROR(__xludf.DUMMYFUNCTION("IF(A765&lt;&gt;"""", GOOGLETRANSLATE(A765, ""en"", ""te""),"""")"),"")</f>
        <v/>
      </c>
      <c r="C765" s="2"/>
      <c r="D765" s="2" t="str">
        <f>IFERROR(__xludf.DUMMYFUNCTION("IF(C765&lt;&gt;"""", GOOGLETRANSLATE(C765, ""en"", ""te""),"""")"),"")</f>
        <v/>
      </c>
      <c r="E765" s="2"/>
      <c r="F765" s="2" t="str">
        <f>IFERROR(__xludf.DUMMYFUNCTION("IF(E765&lt;&gt;"""", GOOGLETRANSLATE(E765, ""en"", ""te""),"""")"),"")</f>
        <v/>
      </c>
      <c r="G765" s="2"/>
      <c r="H765" s="2" t="str">
        <f>IFERROR(__xludf.DUMMYFUNCTION("IF(G765&lt;&gt;"""", GOOGLETRANSLATE(G765, ""en"", ""te""),"""")"),"")</f>
        <v/>
      </c>
      <c r="I765" s="3"/>
    </row>
    <row r="766" customHeight="1" spans="1:9">
      <c r="A766" s="2" t="s">
        <v>646</v>
      </c>
      <c r="B766" s="2" t="str">
        <f>IFERROR(__xludf.DUMMYFUNCTION("IF(A766&lt;&gt;"""", GOOGLETRANSLATE(A766, ""en"", ""te""),"""")"),"[ '3 వ అత్యుత్తమ బౌలింగ్ ఇన్నింగ్స్ లో విశ్లేషించడం (6/8)', '7 వ ఉత్తమ కెరీర్ సమ్మె రేటు (42.3)', '4 వ అత్యధిక వరుస పది వికెట్లు లో ఒక మ్యాచ్ (2)', '5 వ అత్యధిక వికెట్లు తీసుకున్న వికెట్కీపర్గా (109) ',' 3 వ పట్టుకుంటే 400 వికెట్లు (80) ',' 1000 పరుగులు మ"&amp;"రియు 100 వికెట్లు ',' 1st ఒక ఇన్నింగ్స్ లోని బెస్ట్ ఫిగర్స్ పరాజయం వైపు (6) ',' 7 వ అత్యధిక వికెట్లు తీసుకున్న ఉన్నప్పుడు వేగంగా 50 వికెట్లు వికెట్కీపర్గా (10) ',' ఫాస్టెస్ట్ 6 వ పట్టుకుంటే (35) ',' 10 వ అత్యధిక వికెట్లు తీసుకున్న ఆకర్షించింది (473) ']")</f>
        <v>[ '3 వ అత్యుత్తమ బౌలింగ్ ఇన్నింగ్స్ లో విశ్లేషించడం (6/8)', '7 వ ఉత్తమ కెరీర్ సమ్మె రేటు (42.3)', '4 వ అత్యధిక వరుస పది వికెట్లు లో ఒక మ్యాచ్ (2)', '5 వ అత్యధిక వికెట్లు తీసుకున్న వికెట్కీపర్గా (109) ',' 3 వ పట్టుకుంటే 400 వికెట్లు (80) ',' 1000 పరుగులు మరియు 100 వికెట్లు ',' 1st ఒక ఇన్నింగ్స్ లోని బెస్ట్ ఫిగర్స్ పరాజయం వైపు (6) ',' 7 వ అత్యధిక వికెట్లు తీసుకున్న ఉన్నప్పుడు వేగంగా 50 వికెట్లు వికెట్కీపర్గా (10) ',' ఫాస్టెస్ట్ 6 వ పట్టుకుంటే (35) ',' 10 వ అత్యధిక వికెట్లు తీసుకున్న ఆకర్షించింది (473) ']</v>
      </c>
      <c r="C766" s="2" t="s">
        <v>647</v>
      </c>
      <c r="D766" s="2" t="str">
        <f>IFERROR(__xludf.DUMMYFUNCTION("IF(C766&lt;&gt;"""", GOOGLETRANSLATE(C766, ""en"", ""te""),"""")"),"[ '11 వ ఇన్నింగ్స్ లో అత్యధిక పరుగులు (బ్యాటింగ్ స్థానంలో ప్రకారం) (76)', '29th ఒక జీవితంలో అత్యధిక పరుగులు లేకుండా వంద (1251)', 'ఇన్నింగ్స్ లో 19 అత్యధిక స్ట్రైక్ రేట్ (207.14)', '8 వ అత్యధిక వికెట్లు కెరీర్లో (439) ',' 9 వ ఒక క్యాలెండర్ సంవత్సరంలో అత్య"&amp;"ధిక వికెట్లు (74) ',' ఇన్నింగ్స్ లో 3 వ అత్యుత్తమ బౌలింగ్ విశ్లేషణలు (6/8) ',' ఒకే మైదానంలో 12 వ అత్యధిక వికెట్లు (74) ',' 7th ఉత్తమ కెరీర్ సమ్మె రేటు (42.3) ',' ఇన్నింగ్స్ లో 31 ఉత్తమ సమ్మె రేటు (8.1) ',' 10 వ అత్యంత ఐదు-వికెట్ల లో-ఒక-ఇన్నింగ్స్ కెరీర్ల"&amp;"ో (26) ',' 12 వ అత్యంత పది వికెట్ల లో ఒక వృత్తిలో -a మ్యాచ్ల (5) ',' 4 వ అత్యధిక వరుస పది వికెట్లు లో ఒక మ్యాచ్ (2) ',' 29th కెరీర్లో బౌల్డ్ చాలా బంతుల్లో (18608) ',' 18 వ కెరీర్ లో సాధించిన అత్యధిక పరుగులు ( 10077) ',' 14 వ బౌలర్ / ఫీల్డర్ కలయికలు (58) '"&amp;",' 13 వ అత్యధిక వికెట్లు తీసుకున్న బౌల్డ్ (90) ',' 10 వ అత్యధిక వికెట్లు ఆకర్షించింది తీసుకున్న (285) ',' 13 వ అత్యధిక వికెట్లు ఆకర్షించింది తీసుకున్న మరియు బౌల్డ్ (11) ', '13 వ అత్యధిక వికెట్లు ఒక ఫీల్డర్ (176) పట్టుకుంటే తీసుకున్న' '5 వ అత్యధిక వికెట్లు"&amp;" తీసుకున్న వికెట్ కీపర్ చే కాట్ (109)', '23 వ అత్యధిక వికెట్లు తీసుకున్న ఎల్బిడబ్ల్యు (64)', '13 వ 200 వికెట్లు వేగవంతమైన 100 వికెట్లు (20) ',' 5 వ అత్యంత వేగంగా 150 వికెట్లు (29) ',' 6 వ అత్యంత వేగంగా (39) ',' 250 వికెట్లు వేగవంతమైన 3 వ (49) ',' 4 వ 30"&amp;"0 వికెట్లు వేగవంతమైన (61 ) ',' 350 వికెట్లు వేగంగా 3 వ (69) ',' 400 వికెట్లు 3 వ అత్యంత వేగంగా (80) ',' 32 వ అత్యంత ప్లేయర్ ఆఫ్ ది మ్యాచ్ అవార్డులు (9) ',' 12 వ అత్యంత ప్లేయర్ ఆఫ్ ది సిరీస్ అవార్డులు (5) ']")</f>
        <v>[ '11 వ ఇన్నింగ్స్ లో అత్యధిక పరుగులు (బ్యాటింగ్ స్థానంలో ప్రకారం) (76)', '29th ఒక జీవితంలో అత్యధిక పరుగులు లేకుండా వంద (1251)', 'ఇన్నింగ్స్ లో 19 అత్యధిక స్ట్రైక్ రేట్ (207.14)', '8 వ అత్యధిక వికెట్లు కెరీర్లో (439) ',' 9 వ ఒక క్యాలెండర్ సంవత్సరంలో అత్యధిక వికెట్లు (74) ',' ఇన్నింగ్స్ లో 3 వ అత్యుత్తమ బౌలింగ్ విశ్లేషణలు (6/8) ',' ఒకే మైదానంలో 12 వ అత్యధిక వికెట్లు (74) ',' 7th ఉత్తమ కెరీర్ సమ్మె రేటు (42.3) ',' ఇన్నింగ్స్ లో 31 ఉత్తమ సమ్మె రేటు (8.1) ',' 10 వ అత్యంత ఐదు-వికెట్ల లో-ఒక-ఇన్నింగ్స్ కెరీర్లో (26) ',' 12 వ అత్యంత పది వికెట్ల లో ఒక వృత్తిలో -a మ్యాచ్ల (5) ',' 4 వ అత్యధిక వరుస పది వికెట్లు లో ఒక మ్యాచ్ (2) ',' 29th కెరీర్లో బౌల్డ్ చాలా బంతుల్లో (18608) ',' 18 వ కెరీర్ లో సాధించిన అత్యధిక పరుగులు ( 10077) ',' 14 వ బౌలర్ / ఫీల్డర్ కలయికలు (58) ',' 13 వ అత్యధిక వికెట్లు తీసుకున్న బౌల్డ్ (90) ',' 10 వ అత్యధిక వికెట్లు ఆకర్షించింది తీసుకున్న (285) ',' 13 వ అత్యధిక వికెట్లు ఆకర్షించింది తీసుకున్న మరియు బౌల్డ్ (11) ', '13 వ అత్యధిక వికెట్లు ఒక ఫీల్డర్ (176) పట్టుకుంటే తీసుకున్న' '5 వ అత్యధిక వికెట్లు తీసుకున్న వికెట్ కీపర్ చే కాట్ (109)', '23 వ అత్యధిక వికెట్లు తీసుకున్న ఎల్బిడబ్ల్యు (64)', '13 వ 200 వికెట్లు వేగవంతమైన 100 వికెట్లు (20) ',' 5 వ అత్యంత వేగంగా 150 వికెట్లు (29) ',' 6 వ అత్యంత వేగంగా (39) ',' 250 వికెట్లు వేగవంతమైన 3 వ (49) ',' 4 వ 300 వికెట్లు వేగవంతమైన (61 ) ',' 350 వికెట్లు వేగంగా 3 వ (69) ',' 400 వికెట్లు 3 వ అత్యంత వేగంగా (80) ',' 32 వ అత్యంత ప్లేయర్ ఆఫ్ ది మ్యాచ్ అవార్డులు (9) ',' 12 వ అత్యంత ప్లేయర్ ఆఫ్ ది సిరీస్ అవార్డులు (5) ']</v>
      </c>
      <c r="E766" s="2" t="s">
        <v>648</v>
      </c>
      <c r="F766" s="2" t="str">
        <f>IFERROR(__xludf.DUMMYFUNCTION("IF(E766&lt;&gt;"""", GOOGLETRANSLATE(E766, ""en"", ""te""),"""")"),"[ '11 వ ఇన్నింగ్స్ లో అత్యధిక పరుగులు (బ్యాటింగ్ స్థానంలో ప్రకారం) (60)', '40 వ కెరీర్ లో అత్యధిక వికెట్లు (196)', '1st ఒక ఇన్నింగ్స్ లోని బెస్ట్ ఫిగర్స్ ఉన్నప్పుడు పరాజయం వైపు (6)', '49 వ ఉత్తమ కెరీర్ సమ్మె రేటు (31.9) ',' ఇన్నింగ్స్ లో 19 చెత్త ఆర్థిక "&amp;"రేటు (11.60) ',' 25 వ అత్యంత ఐదు-వికెట్ల లో-ఒక-ఇన్నింగ్స్ కెరీర్లో (3) ',' 19 వ ఇన్నింగ్స్ లో సాధించిన అత్యధిక పరుగులు (96 ) ',' 31 అత్యధిక వికెట్లు తీసుకున్న ఆకర్షించింది (144) ',' 29 వ అత్యధిక వికెట్లు ఒక ఫీల్డర్ (103) ',' 30 వ అత్యధిక వికెట్లు సాధించిన"&amp;" వికెట్కీపర్గా (41) ',' 150 వికెట్లు వేగంగా 15 పట్టుకుంటే తీసుకున్న (96 పట్టుకుంటే తీసుకున్న ) ']")</f>
        <v>[ '11 వ ఇన్నింగ్స్ లో అత్యధిక పరుగులు (బ్యాటింగ్ స్థానంలో ప్రకారం) (60)', '40 వ కెరీర్ లో అత్యధిక వికెట్లు (196)', '1st ఒక ఇన్నింగ్స్ లోని బెస్ట్ ఫిగర్స్ ఉన్నప్పుడు పరాజయం వైపు (6)', '49 వ ఉత్తమ కెరీర్ సమ్మె రేటు (31.9) ',' ఇన్నింగ్స్ లో 19 చెత్త ఆర్థిక రేటు (11.60) ',' 25 వ అత్యంత ఐదు-వికెట్ల లో-ఒక-ఇన్నింగ్స్ కెరీర్లో (3) ',' 19 వ ఇన్నింగ్స్ లో సాధించిన అత్యధిక పరుగులు (96 ) ',' 31 అత్యధిక వికెట్లు తీసుకున్న ఆకర్షించింది (144) ',' 29 వ అత్యధిక వికెట్లు ఒక ఫీల్డర్ (103) ',' 30 వ అత్యధిక వికెట్లు సాధించిన వికెట్కీపర్గా (41) ',' 150 వికెట్లు వేగంగా 15 పట్టుకుంటే తీసుకున్న (96 పట్టుకుంటే తీసుకున్న ) ']</v>
      </c>
      <c r="G766" s="2" t="s">
        <v>649</v>
      </c>
      <c r="H766" s="2" t="str">
        <f>IFERROR(__xludf.DUMMYFUNCTION("IF(G766&lt;&gt;"""", GOOGLETRANSLATE(G766, ""en"", ""te""),"""")"),"[ '15 వ కెరీర్ లో అత్యధిక వికెట్లు (64)', '13 వ అత్యుత్తమ బౌలింగ్ ఇన్నింగ్స్ లో విశ్లేషించడం (4/9)', '8 వ ఒక ఇన్నింగ్స్ లోని బెస్ట్ ఫిగర్స్ పరాజయం వైపు (4) ఉన్నప్పుడు', '15 వ ఉత్తమ కెరీర్ సగటు బౌలింగ్ (18.35) ',' 38 వ ఉత్తమ కెరీర్ ఆర్థిక రేటు (6.94) ',' "&amp;"18 వ ఉత్తమ కెరీర్ సమ్మె రేటు (15.8) ',' ఇన్నింగ్స్ లో 31 ఉత్తమ సమ్మె రేటు (4.5) ',' 16 వ అత్యంత నాలుగు వికెట్లు-ఇన్-ఒక ఒక వృత్తిలో -innings (2) ',' 33 వ కెరీర్ లో బౌల్డ్ చాలా బంతుల్లో (1015) ',' 37 వ అత్యధిక పరుగులు కెరీర్ (1175) లో సాధించిన ',' 17 వ బౌలర"&amp;"్ / బ్యాట్స్ కలయికలు (3) ',' 45 వ బౌలర్ / ఫీల్డర్ కలయికలు (6) ',' 8 వ అత్యధిక వికెట్లు తీసుకున్న బౌల్డ్ (18) ',' 12 వ అత్యధిక వికెట్లు తీసుకున్న ఆకర్షించింది (44) ',' 17 వ అత్యధిక వికెట్లు ఒక ఫీల్డర్ చేత క్యాచ్ తీసుకున్న (34) ',' 7 వ అత్యధిక వికెట్లు ఒక ప"&amp;"ట్టుకుంటే తీసుకున్న వికెట్కీపర్గా (10) ',' 50 వికెట్లు 6 వ వేగవంతమైన (35) ',' 28th లాంగెస్ట్ కెరీర్లు (12y 90D) ',' 19 వ కెరీర్ (3) అత్యంత పనికత్తెలయొద్ద ']")</f>
        <v>[ '15 వ కెరీర్ లో అత్యధిక వికెట్లు (64)', '13 వ అత్యుత్తమ బౌలింగ్ ఇన్నింగ్స్ లో విశ్లేషించడం (4/9)', '8 వ ఒక ఇన్నింగ్స్ లోని బెస్ట్ ఫిగర్స్ పరాజయం వైపు (4) ఉన్నప్పుడు', '15 వ ఉత్తమ కెరీర్ సగటు బౌలింగ్ (18.35) ',' 38 వ ఉత్తమ కెరీర్ ఆర్థిక రేటు (6.94) ',' 18 వ ఉత్తమ కెరీర్ సమ్మె రేటు (15.8) ',' ఇన్నింగ్స్ లో 31 ఉత్తమ సమ్మె రేటు (4.5) ',' 16 వ అత్యంత నాలుగు వికెట్లు-ఇన్-ఒక ఒక వృత్తిలో -innings (2) ',' 33 వ కెరీర్ లో బౌల్డ్ చాలా బంతుల్లో (1015) ',' 37 వ అత్యధిక పరుగులు కెరీర్ (1175) లో సాధించిన ',' 17 వ బౌలర్ / బ్యాట్స్ కలయికలు (3) ',' 45 వ బౌలర్ / ఫీల్డర్ కలయికలు (6) ',' 8 వ అత్యధిక వికెట్లు తీసుకున్న బౌల్డ్ (18) ',' 12 వ అత్యధిక వికెట్లు తీసుకున్న ఆకర్షించింది (44) ',' 17 వ అత్యధిక వికెట్లు ఒక ఫీల్డర్ చేత క్యాచ్ తీసుకున్న (34) ',' 7 వ అత్యధిక వికెట్లు ఒక పట్టుకుంటే తీసుకున్న వికెట్కీపర్గా (10) ',' 50 వికెట్లు 6 వ వేగవంతమైన (35) ',' 28th లాంగెస్ట్ కెరీర్లు (12y 90D) ',' 19 వ కెరీర్ (3) అత్యంత పనికత్తెలయొద్ద ']</v>
      </c>
      <c r="I766" s="3"/>
    </row>
    <row r="767" customHeight="1" spans="1:9">
      <c r="A767" s="2"/>
      <c r="B767" s="2" t="str">
        <f>IFERROR(__xludf.DUMMYFUNCTION("IF(A767&lt;&gt;"""", GOOGLETRANSLATE(A767, ""en"", ""te""),"""")"),"")</f>
        <v/>
      </c>
      <c r="C767" s="2"/>
      <c r="D767" s="2" t="str">
        <f>IFERROR(__xludf.DUMMYFUNCTION("IF(C767&lt;&gt;"""", GOOGLETRANSLATE(C767, ""en"", ""te""),"""")"),"")</f>
        <v/>
      </c>
      <c r="E767" s="2"/>
      <c r="F767" s="2" t="str">
        <f>IFERROR(__xludf.DUMMYFUNCTION("IF(E767&lt;&gt;"""", GOOGLETRANSLATE(E767, ""en"", ""te""),"""")"),"")</f>
        <v/>
      </c>
      <c r="G767" s="2"/>
      <c r="H767" s="2" t="str">
        <f>IFERROR(__xludf.DUMMYFUNCTION("IF(G767&lt;&gt;"""", GOOGLETRANSLATE(G767, ""en"", ""te""),"""")"),"")</f>
        <v/>
      </c>
      <c r="I767" s="3"/>
    </row>
    <row r="768" customHeight="1" spans="1:9">
      <c r="A768" s="2"/>
      <c r="B768" s="2" t="str">
        <f>IFERROR(__xludf.DUMMYFUNCTION("IF(A768&lt;&gt;"""", GOOGLETRANSLATE(A768, ""en"", ""te""),"""")"),"")</f>
        <v/>
      </c>
      <c r="C768" s="2"/>
      <c r="D768" s="2" t="str">
        <f>IFERROR(__xludf.DUMMYFUNCTION("IF(C768&lt;&gt;"""", GOOGLETRANSLATE(C768, ""en"", ""te""),"""")"),"")</f>
        <v/>
      </c>
      <c r="E768" s="2"/>
      <c r="F768" s="2" t="str">
        <f>IFERROR(__xludf.DUMMYFUNCTION("IF(E768&lt;&gt;"""", GOOGLETRANSLATE(E768, ""en"", ""te""),"""")"),"")</f>
        <v/>
      </c>
      <c r="G768" s="2"/>
      <c r="H768" s="2" t="str">
        <f>IFERROR(__xludf.DUMMYFUNCTION("IF(G768&lt;&gt;"""", GOOGLETRANSLATE(G768, ""en"", ""te""),"""")"),"")</f>
        <v/>
      </c>
      <c r="I768" s="3"/>
    </row>
    <row r="769" customHeight="1" spans="1:9">
      <c r="A769" s="2"/>
      <c r="B769" s="2" t="str">
        <f>IFERROR(__xludf.DUMMYFUNCTION("IF(A769&lt;&gt;"""", GOOGLETRANSLATE(A769, ""en"", ""te""),"""")"),"")</f>
        <v/>
      </c>
      <c r="C769" s="2"/>
      <c r="D769" s="2" t="str">
        <f>IFERROR(__xludf.DUMMYFUNCTION("IF(C769&lt;&gt;"""", GOOGLETRANSLATE(C769, ""en"", ""te""),"""")"),"")</f>
        <v/>
      </c>
      <c r="E769" s="2"/>
      <c r="F769" s="2" t="str">
        <f>IFERROR(__xludf.DUMMYFUNCTION("IF(E769&lt;&gt;"""", GOOGLETRANSLATE(E769, ""en"", ""te""),"""")"),"")</f>
        <v/>
      </c>
      <c r="G769" s="2"/>
      <c r="H769" s="2" t="str">
        <f>IFERROR(__xludf.DUMMYFUNCTION("IF(G769&lt;&gt;"""", GOOGLETRANSLATE(G769, ""en"", ""te""),"""")"),"")</f>
        <v/>
      </c>
      <c r="I769" s="3"/>
    </row>
    <row r="770" customHeight="1" spans="1:9">
      <c r="A770" s="2"/>
      <c r="B770" s="2" t="str">
        <f>IFERROR(__xludf.DUMMYFUNCTION("IF(A770&lt;&gt;"""", GOOGLETRANSLATE(A770, ""en"", ""te""),"""")"),"")</f>
        <v/>
      </c>
      <c r="C770" s="2"/>
      <c r="D770" s="2" t="str">
        <f>IFERROR(__xludf.DUMMYFUNCTION("IF(C770&lt;&gt;"""", GOOGLETRANSLATE(C770, ""en"", ""te""),"""")"),"")</f>
        <v/>
      </c>
      <c r="E770" s="2"/>
      <c r="F770" s="2" t="str">
        <f>IFERROR(__xludf.DUMMYFUNCTION("IF(E770&lt;&gt;"""", GOOGLETRANSLATE(E770, ""en"", ""te""),"""")"),"")</f>
        <v/>
      </c>
      <c r="G770" s="2"/>
      <c r="H770" s="2" t="str">
        <f>IFERROR(__xludf.DUMMYFUNCTION("IF(G770&lt;&gt;"""", GOOGLETRANSLATE(G770, ""en"", ""te""),"""")"),"")</f>
        <v/>
      </c>
      <c r="I770" s="3"/>
    </row>
    <row r="771" customHeight="1" spans="1:9">
      <c r="A771" s="2"/>
      <c r="B771" s="2" t="str">
        <f>IFERROR(__xludf.DUMMYFUNCTION("IF(A771&lt;&gt;"""", GOOGLETRANSLATE(A771, ""en"", ""te""),"""")"),"")</f>
        <v/>
      </c>
      <c r="C771" s="2"/>
      <c r="D771" s="2" t="str">
        <f>IFERROR(__xludf.DUMMYFUNCTION("IF(C771&lt;&gt;"""", GOOGLETRANSLATE(C771, ""en"", ""te""),"""")"),"")</f>
        <v/>
      </c>
      <c r="E771" s="2"/>
      <c r="F771" s="2" t="str">
        <f>IFERROR(__xludf.DUMMYFUNCTION("IF(E771&lt;&gt;"""", GOOGLETRANSLATE(E771, ""en"", ""te""),"""")"),"")</f>
        <v/>
      </c>
      <c r="G771" s="2"/>
      <c r="H771" s="2" t="str">
        <f>IFERROR(__xludf.DUMMYFUNCTION("IF(G771&lt;&gt;"""", GOOGLETRANSLATE(G771, ""en"", ""te""),"""")"),"")</f>
        <v/>
      </c>
      <c r="I771" s="3"/>
    </row>
    <row r="772" customHeight="1" spans="1:9">
      <c r="A772" s="2"/>
      <c r="B772" s="2" t="str">
        <f>IFERROR(__xludf.DUMMYFUNCTION("IF(A772&lt;&gt;"""", GOOGLETRANSLATE(A772, ""en"", ""te""),"""")"),"")</f>
        <v/>
      </c>
      <c r="C772" s="2"/>
      <c r="D772" s="2" t="str">
        <f>IFERROR(__xludf.DUMMYFUNCTION("IF(C772&lt;&gt;"""", GOOGLETRANSLATE(C772, ""en"", ""te""),"""")"),"")</f>
        <v/>
      </c>
      <c r="E772" s="2"/>
      <c r="F772" s="2" t="str">
        <f>IFERROR(__xludf.DUMMYFUNCTION("IF(E772&lt;&gt;"""", GOOGLETRANSLATE(E772, ""en"", ""te""),"""")"),"")</f>
        <v/>
      </c>
      <c r="G772" s="2"/>
      <c r="H772" s="2" t="str">
        <f>IFERROR(__xludf.DUMMYFUNCTION("IF(G772&lt;&gt;"""", GOOGLETRANSLATE(G772, ""en"", ""te""),"""")"),"")</f>
        <v/>
      </c>
      <c r="I772" s="3"/>
    </row>
    <row r="773" customHeight="1" spans="1:9">
      <c r="A773" s="2" t="s">
        <v>248</v>
      </c>
      <c r="B773" s="2" t="str">
        <f>IFERROR(__xludf.DUMMYFUNCTION("IF(A773&lt;&gt;"""", GOOGLETRANSLATE(A773, ""en"", ""te""),"""")"),"[ '1st అత్యధిక వికెట్లు తీసిన హిట్ వికెట్ (1)']")</f>
        <v>[ '1st అత్యధిక వికెట్లు తీసిన హిట్ వికెట్ (1)']</v>
      </c>
      <c r="C773" s="2"/>
      <c r="D773" s="2" t="str">
        <f>IFERROR(__xludf.DUMMYFUNCTION("IF(C773&lt;&gt;"""", GOOGLETRANSLATE(C773, ""en"", ""te""),"""")"),"")</f>
        <v/>
      </c>
      <c r="E773" s="2" t="s">
        <v>248</v>
      </c>
      <c r="F773" s="2" t="str">
        <f>IFERROR(__xludf.DUMMYFUNCTION("IF(E773&lt;&gt;"""", GOOGLETRANSLATE(E773, ""en"", ""te""),"""")"),"[ '1st అత్యధిక వికెట్లు తీసిన హిట్ వికెట్ (1)']")</f>
        <v>[ '1st అత్యధిక వికెట్లు తీసిన హిట్ వికెట్ (1)']</v>
      </c>
      <c r="G773" s="2"/>
      <c r="H773" s="2" t="str">
        <f>IFERROR(__xludf.DUMMYFUNCTION("IF(G773&lt;&gt;"""", GOOGLETRANSLATE(G773, ""en"", ""te""),"""")"),"")</f>
        <v/>
      </c>
      <c r="I773" s="3"/>
    </row>
    <row r="774" customHeight="1" spans="1:9">
      <c r="A774" s="2"/>
      <c r="B774" s="2" t="str">
        <f>IFERROR(__xludf.DUMMYFUNCTION("IF(A774&lt;&gt;"""", GOOGLETRANSLATE(A774, ""en"", ""te""),"""")"),"")</f>
        <v/>
      </c>
      <c r="C774" s="2"/>
      <c r="D774" s="2" t="str">
        <f>IFERROR(__xludf.DUMMYFUNCTION("IF(C774&lt;&gt;"""", GOOGLETRANSLATE(C774, ""en"", ""te""),"""")"),"")</f>
        <v/>
      </c>
      <c r="E774" s="2"/>
      <c r="F774" s="2" t="str">
        <f>IFERROR(__xludf.DUMMYFUNCTION("IF(E774&lt;&gt;"""", GOOGLETRANSLATE(E774, ""en"", ""te""),"""")"),"")</f>
        <v/>
      </c>
      <c r="G774" s="2"/>
      <c r="H774" s="2" t="str">
        <f>IFERROR(__xludf.DUMMYFUNCTION("IF(G774&lt;&gt;"""", GOOGLETRANSLATE(G774, ""en"", ""te""),"""")"),"")</f>
        <v/>
      </c>
      <c r="I774" s="3"/>
    </row>
    <row r="775" customHeight="1" spans="1:9">
      <c r="A775" s="2"/>
      <c r="B775" s="2" t="str">
        <f>IFERROR(__xludf.DUMMYFUNCTION("IF(A775&lt;&gt;"""", GOOGLETRANSLATE(A775, ""en"", ""te""),"""")"),"")</f>
        <v/>
      </c>
      <c r="C775" s="2"/>
      <c r="D775" s="2" t="str">
        <f>IFERROR(__xludf.DUMMYFUNCTION("IF(C775&lt;&gt;"""", GOOGLETRANSLATE(C775, ""en"", ""te""),"""")"),"")</f>
        <v/>
      </c>
      <c r="E775" s="2"/>
      <c r="F775" s="2" t="str">
        <f>IFERROR(__xludf.DUMMYFUNCTION("IF(E775&lt;&gt;"""", GOOGLETRANSLATE(E775, ""en"", ""te""),"""")"),"")</f>
        <v/>
      </c>
      <c r="G775" s="2"/>
      <c r="H775" s="2" t="str">
        <f>IFERROR(__xludf.DUMMYFUNCTION("IF(G775&lt;&gt;"""", GOOGLETRANSLATE(G775, ""en"", ""te""),"""")"),"")</f>
        <v/>
      </c>
      <c r="I775" s="3"/>
    </row>
    <row r="776" customHeight="1" spans="1:9">
      <c r="A776" s="2"/>
      <c r="B776" s="2" t="str">
        <f>IFERROR(__xludf.DUMMYFUNCTION("IF(A776&lt;&gt;"""", GOOGLETRANSLATE(A776, ""en"", ""te""),"""")"),"")</f>
        <v/>
      </c>
      <c r="C776" s="2"/>
      <c r="D776" s="2" t="str">
        <f>IFERROR(__xludf.DUMMYFUNCTION("IF(C776&lt;&gt;"""", GOOGLETRANSLATE(C776, ""en"", ""te""),"""")"),"")</f>
        <v/>
      </c>
      <c r="E776" s="2"/>
      <c r="F776" s="2" t="str">
        <f>IFERROR(__xludf.DUMMYFUNCTION("IF(E776&lt;&gt;"""", GOOGLETRANSLATE(E776, ""en"", ""te""),"""")"),"")</f>
        <v/>
      </c>
      <c r="G776" s="2"/>
      <c r="H776" s="2" t="str">
        <f>IFERROR(__xludf.DUMMYFUNCTION("IF(G776&lt;&gt;"""", GOOGLETRANSLATE(G776, ""en"", ""te""),"""")"),"")</f>
        <v/>
      </c>
      <c r="I776" s="3"/>
    </row>
    <row r="777" customHeight="1" spans="1:9">
      <c r="A777" s="2"/>
      <c r="B777" s="2" t="str">
        <f>IFERROR(__xludf.DUMMYFUNCTION("IF(A777&lt;&gt;"""", GOOGLETRANSLATE(A777, ""en"", ""te""),"""")"),"")</f>
        <v/>
      </c>
      <c r="C777" s="2"/>
      <c r="D777" s="2" t="str">
        <f>IFERROR(__xludf.DUMMYFUNCTION("IF(C777&lt;&gt;"""", GOOGLETRANSLATE(C777, ""en"", ""te""),"""")"),"")</f>
        <v/>
      </c>
      <c r="E777" s="2"/>
      <c r="F777" s="2" t="str">
        <f>IFERROR(__xludf.DUMMYFUNCTION("IF(E777&lt;&gt;"""", GOOGLETRANSLATE(E777, ""en"", ""te""),"""")"),"")</f>
        <v/>
      </c>
      <c r="G777" s="2"/>
      <c r="H777" s="2" t="str">
        <f>IFERROR(__xludf.DUMMYFUNCTION("IF(G777&lt;&gt;"""", GOOGLETRANSLATE(G777, ""en"", ""te""),"""")"),"")</f>
        <v/>
      </c>
      <c r="I777" s="3"/>
    </row>
    <row r="778" customHeight="1" spans="1:9">
      <c r="A778" s="2"/>
      <c r="B778" s="2" t="str">
        <f>IFERROR(__xludf.DUMMYFUNCTION("IF(A778&lt;&gt;"""", GOOGLETRANSLATE(A778, ""en"", ""te""),"""")"),"")</f>
        <v/>
      </c>
      <c r="C778" s="2"/>
      <c r="D778" s="2" t="str">
        <f>IFERROR(__xludf.DUMMYFUNCTION("IF(C778&lt;&gt;"""", GOOGLETRANSLATE(C778, ""en"", ""te""),"""")"),"")</f>
        <v/>
      </c>
      <c r="E778" s="2"/>
      <c r="F778" s="2" t="str">
        <f>IFERROR(__xludf.DUMMYFUNCTION("IF(E778&lt;&gt;"""", GOOGLETRANSLATE(E778, ""en"", ""te""),"""")"),"")</f>
        <v/>
      </c>
      <c r="G778" s="2"/>
      <c r="H778" s="2" t="str">
        <f>IFERROR(__xludf.DUMMYFUNCTION("IF(G778&lt;&gt;"""", GOOGLETRANSLATE(G778, ""en"", ""te""),"""")"),"")</f>
        <v/>
      </c>
      <c r="I778" s="3"/>
    </row>
    <row r="779" customHeight="1" spans="1:9">
      <c r="A779" s="2"/>
      <c r="B779" s="2" t="str">
        <f>IFERROR(__xludf.DUMMYFUNCTION("IF(A779&lt;&gt;"""", GOOGLETRANSLATE(A779, ""en"", ""te""),"""")"),"")</f>
        <v/>
      </c>
      <c r="C779" s="2"/>
      <c r="D779" s="2" t="str">
        <f>IFERROR(__xludf.DUMMYFUNCTION("IF(C779&lt;&gt;"""", GOOGLETRANSLATE(C779, ""en"", ""te""),"""")"),"")</f>
        <v/>
      </c>
      <c r="E779" s="2"/>
      <c r="F779" s="2" t="str">
        <f>IFERROR(__xludf.DUMMYFUNCTION("IF(E779&lt;&gt;"""", GOOGLETRANSLATE(E779, ""en"", ""te""),"""")"),"")</f>
        <v/>
      </c>
      <c r="G779" s="2"/>
      <c r="H779" s="2" t="str">
        <f>IFERROR(__xludf.DUMMYFUNCTION("IF(G779&lt;&gt;"""", GOOGLETRANSLATE(G779, ""en"", ""te""),"""")"),"")</f>
        <v/>
      </c>
      <c r="I779" s="3"/>
    </row>
    <row r="780" customHeight="1" spans="1:9">
      <c r="A780" s="2" t="s">
        <v>650</v>
      </c>
      <c r="B780" s="2" t="str">
        <f>IFERROR(__xludf.DUMMYFUNCTION("IF(A780&lt;&gt;"""", GOOGLETRANSLATE(A780, ""en"", ""te""),"""")"),"[ 'ఇన్నింగ్స్ లో 8 వ చెత్త ఆర్థిక రేటు (4.76)', '5 వ అత్యుత్తమ బౌలింగ్ ఇన్నింగ్స్ (2/4) విశ్లేషణలలో' '4 వ అత్యుత్తమ బౌలింగ్ ఇన్నింగ్స్ లో విశ్లేషించడం (5/7)', 'బ్యాటింగ్ మరియు బౌలింగ్ తెరవడం ఒకే మ్యాచ్ లో ']")</f>
        <v>[ 'ఇన్నింగ్స్ లో 8 వ చెత్త ఆర్థిక రేటు (4.76)', '5 వ అత్యుత్తమ బౌలింగ్ ఇన్నింగ్స్ (2/4) విశ్లేషణలలో' '4 వ అత్యుత్తమ బౌలింగ్ ఇన్నింగ్స్ లో విశ్లేషించడం (5/7)', 'బ్యాటింగ్ మరియు బౌలింగ్ తెరవడం ఒకే మ్యాచ్ లో ']</v>
      </c>
      <c r="C780" s="2" t="s">
        <v>651</v>
      </c>
      <c r="D780" s="2" t="str">
        <f>IFERROR(__xludf.DUMMYFUNCTION("IF(C780&lt;&gt;"""", GOOGLETRANSLATE(C780, ""en"", ""te""),"""")"),"[ '5 వ అత్యుత్తమ బౌలింగ్ ఇన్నింగ్స్ లో విశ్లేషించడం (2/4)', 'ఇన్నింగ్స్ లో 8 వ చెత్త ఆర్థిక రేటు (4.76)']")</f>
        <v>[ '5 వ అత్యుత్తమ బౌలింగ్ ఇన్నింగ్స్ లో విశ్లేషించడం (2/4)', 'ఇన్నింగ్స్ లో 8 వ చెత్త ఆర్థిక రేటు (4.76)']</v>
      </c>
      <c r="E780" s="2" t="s">
        <v>652</v>
      </c>
      <c r="F780" s="2" t="str">
        <f>IFERROR(__xludf.DUMMYFUNCTION("IF(E780&lt;&gt;"""", GOOGLETRANSLATE(E780, ""en"", ""te""),"""")"),"[ 'మొదటి డక్ ముందు 33 వ అత్యంత ఇన్నింగ్స్ (16)', '21 వ ఉత్తమ ఇన్నింగ్స్ (5/7) లో బొమ్మల '4 వ అత్యుత్తమ బౌలింగ్ ఇన్నింగ్స్ లో విశ్లేషించడం (5/7)', '24th ఒకే మైదానంలో అత్యధిక వికెట్లు (13) ',' 11 వ ఒక ఇన్నింగ్స్ లోని బెస్ట్ ఫిగర్స్ ఉన్నప్పుడు పరాజయం వైపు "&amp;"(4) ',' 27 వ ఉత్తమ కెరీర్ సమ్మె రేటు (33.9) ',' ఐదు వికెట్ల లో-ఒక-ఇన్నింగ్స్ (తీసుకోవాలని 37 వ పిన్న ఆటగాడు 23y 348d) ',' 15 వ అత్యధిక వికెట్లు ఒక వికెట్ కీపర్ చే కాట్ తీసుకున్న (13) ',' 47 వ పిన్న కాప్టెన్ (24y 364d) ']")</f>
        <v>[ 'మొదటి డక్ ముందు 33 వ అత్యంత ఇన్నింగ్స్ (16)', '21 వ ఉత్తమ ఇన్నింగ్స్ (5/7) లో బొమ్మల '4 వ అత్యుత్తమ బౌలింగ్ ఇన్నింగ్స్ లో విశ్లేషించడం (5/7)', '24th ఒకే మైదానంలో అత్యధిక వికెట్లు (13) ',' 11 వ ఒక ఇన్నింగ్స్ లోని బెస్ట్ ఫిగర్స్ ఉన్నప్పుడు పరాజయం వైపు (4) ',' 27 వ ఉత్తమ కెరీర్ సమ్మె రేటు (33.9) ',' ఐదు వికెట్ల లో-ఒక-ఇన్నింగ్స్ (తీసుకోవాలని 37 వ పిన్న ఆటగాడు 23y 348d) ',' 15 వ అత్యధిక వికెట్లు ఒక వికెట్ కీపర్ చే కాట్ తీసుకున్న (13) ',' 47 వ పిన్న కాప్టెన్ (24y 364d) ']</v>
      </c>
      <c r="G780" s="2"/>
      <c r="H780" s="2" t="str">
        <f>IFERROR(__xludf.DUMMYFUNCTION("IF(G780&lt;&gt;"""", GOOGLETRANSLATE(G780, ""en"", ""te""),"""")"),"")</f>
        <v/>
      </c>
      <c r="I780" s="3"/>
    </row>
    <row r="781" customHeight="1" spans="1:9">
      <c r="A781" s="2"/>
      <c r="B781" s="2" t="str">
        <f>IFERROR(__xludf.DUMMYFUNCTION("IF(A781&lt;&gt;"""", GOOGLETRANSLATE(A781, ""en"", ""te""),"""")"),"")</f>
        <v/>
      </c>
      <c r="C781" s="2"/>
      <c r="D781" s="2" t="str">
        <f>IFERROR(__xludf.DUMMYFUNCTION("IF(C781&lt;&gt;"""", GOOGLETRANSLATE(C781, ""en"", ""te""),"""")"),"")</f>
        <v/>
      </c>
      <c r="E781" s="2"/>
      <c r="F781" s="2" t="str">
        <f>IFERROR(__xludf.DUMMYFUNCTION("IF(E781&lt;&gt;"""", GOOGLETRANSLATE(E781, ""en"", ""te""),"""")"),"")</f>
        <v/>
      </c>
      <c r="G781" s="2"/>
      <c r="H781" s="2" t="str">
        <f>IFERROR(__xludf.DUMMYFUNCTION("IF(G781&lt;&gt;"""", GOOGLETRANSLATE(G781, ""en"", ""te""),"""")"),"")</f>
        <v/>
      </c>
      <c r="I781" s="3"/>
    </row>
    <row r="782" customHeight="1" spans="1:9">
      <c r="A782" s="2"/>
      <c r="B782" s="2" t="str">
        <f>IFERROR(__xludf.DUMMYFUNCTION("IF(A782&lt;&gt;"""", GOOGLETRANSLATE(A782, ""en"", ""te""),"""")"),"")</f>
        <v/>
      </c>
      <c r="C782" s="2"/>
      <c r="D782" s="2" t="str">
        <f>IFERROR(__xludf.DUMMYFUNCTION("IF(C782&lt;&gt;"""", GOOGLETRANSLATE(C782, ""en"", ""te""),"""")"),"")</f>
        <v/>
      </c>
      <c r="E782" s="2"/>
      <c r="F782" s="2" t="str">
        <f>IFERROR(__xludf.DUMMYFUNCTION("IF(E782&lt;&gt;"""", GOOGLETRANSLATE(E782, ""en"", ""te""),"""")"),"")</f>
        <v/>
      </c>
      <c r="G782" s="2"/>
      <c r="H782" s="2" t="str">
        <f>IFERROR(__xludf.DUMMYFUNCTION("IF(G782&lt;&gt;"""", GOOGLETRANSLATE(G782, ""en"", ""te""),"""")"),"")</f>
        <v/>
      </c>
      <c r="I782" s="3"/>
    </row>
    <row r="783" customHeight="1" spans="1:9">
      <c r="A783" s="2"/>
      <c r="B783" s="2" t="str">
        <f>IFERROR(__xludf.DUMMYFUNCTION("IF(A783&lt;&gt;"""", GOOGLETRANSLATE(A783, ""en"", ""te""),"""")"),"")</f>
        <v/>
      </c>
      <c r="C783" s="2"/>
      <c r="D783" s="2" t="str">
        <f>IFERROR(__xludf.DUMMYFUNCTION("IF(C783&lt;&gt;"""", GOOGLETRANSLATE(C783, ""en"", ""te""),"""")"),"")</f>
        <v/>
      </c>
      <c r="E783" s="2"/>
      <c r="F783" s="2" t="str">
        <f>IFERROR(__xludf.DUMMYFUNCTION("IF(E783&lt;&gt;"""", GOOGLETRANSLATE(E783, ""en"", ""te""),"""")"),"")</f>
        <v/>
      </c>
      <c r="G783" s="2"/>
      <c r="H783" s="2" t="str">
        <f>IFERROR(__xludf.DUMMYFUNCTION("IF(G783&lt;&gt;"""", GOOGLETRANSLATE(G783, ""en"", ""te""),"""")"),"")</f>
        <v/>
      </c>
      <c r="I783" s="3"/>
    </row>
    <row r="784" customHeight="1" spans="1:9">
      <c r="A784" s="2"/>
      <c r="B784" s="2" t="str">
        <f>IFERROR(__xludf.DUMMYFUNCTION("IF(A784&lt;&gt;"""", GOOGLETRANSLATE(A784, ""en"", ""te""),"""")"),"")</f>
        <v/>
      </c>
      <c r="C784" s="2"/>
      <c r="D784" s="2" t="str">
        <f>IFERROR(__xludf.DUMMYFUNCTION("IF(C784&lt;&gt;"""", GOOGLETRANSLATE(C784, ""en"", ""te""),"""")"),"")</f>
        <v/>
      </c>
      <c r="E784" s="2"/>
      <c r="F784" s="2" t="str">
        <f>IFERROR(__xludf.DUMMYFUNCTION("IF(E784&lt;&gt;"""", GOOGLETRANSLATE(E784, ""en"", ""te""),"""")"),"")</f>
        <v/>
      </c>
      <c r="G784" s="2"/>
      <c r="H784" s="2" t="str">
        <f>IFERROR(__xludf.DUMMYFUNCTION("IF(G784&lt;&gt;"""", GOOGLETRANSLATE(G784, ""en"", ""te""),"""")"),"")</f>
        <v/>
      </c>
      <c r="I784" s="3"/>
    </row>
    <row r="785" customHeight="1" spans="1:9">
      <c r="A785" s="2"/>
      <c r="B785" s="2" t="str">
        <f>IFERROR(__xludf.DUMMYFUNCTION("IF(A785&lt;&gt;"""", GOOGLETRANSLATE(A785, ""en"", ""te""),"""")"),"")</f>
        <v/>
      </c>
      <c r="C785" s="2"/>
      <c r="D785" s="2" t="str">
        <f>IFERROR(__xludf.DUMMYFUNCTION("IF(C785&lt;&gt;"""", GOOGLETRANSLATE(C785, ""en"", ""te""),"""")"),"")</f>
        <v/>
      </c>
      <c r="E785" s="2"/>
      <c r="F785" s="2" t="str">
        <f>IFERROR(__xludf.DUMMYFUNCTION("IF(E785&lt;&gt;"""", GOOGLETRANSLATE(E785, ""en"", ""te""),"""")"),"")</f>
        <v/>
      </c>
      <c r="G785" s="2"/>
      <c r="H785" s="2" t="str">
        <f>IFERROR(__xludf.DUMMYFUNCTION("IF(G785&lt;&gt;"""", GOOGLETRANSLATE(G785, ""en"", ""te""),"""")"),"")</f>
        <v/>
      </c>
      <c r="I785" s="3"/>
    </row>
    <row r="786" customHeight="1" spans="1:9">
      <c r="A786" s="2"/>
      <c r="B786" s="2" t="str">
        <f>IFERROR(__xludf.DUMMYFUNCTION("IF(A786&lt;&gt;"""", GOOGLETRANSLATE(A786, ""en"", ""te""),"""")"),"")</f>
        <v/>
      </c>
      <c r="C786" s="2"/>
      <c r="D786" s="2" t="str">
        <f>IFERROR(__xludf.DUMMYFUNCTION("IF(C786&lt;&gt;"""", GOOGLETRANSLATE(C786, ""en"", ""te""),"""")"),"")</f>
        <v/>
      </c>
      <c r="E786" s="2"/>
      <c r="F786" s="2" t="str">
        <f>IFERROR(__xludf.DUMMYFUNCTION("IF(E786&lt;&gt;"""", GOOGLETRANSLATE(E786, ""en"", ""te""),"""")"),"")</f>
        <v/>
      </c>
      <c r="G786" s="2"/>
      <c r="H786" s="2" t="str">
        <f>IFERROR(__xludf.DUMMYFUNCTION("IF(G786&lt;&gt;"""", GOOGLETRANSLATE(G786, ""en"", ""te""),"""")"),"")</f>
        <v/>
      </c>
      <c r="I786" s="3"/>
    </row>
    <row r="787" customHeight="1" spans="1:9">
      <c r="A787" s="2"/>
      <c r="B787" s="2" t="str">
        <f>IFERROR(__xludf.DUMMYFUNCTION("IF(A787&lt;&gt;"""", GOOGLETRANSLATE(A787, ""en"", ""te""),"""")"),"")</f>
        <v/>
      </c>
      <c r="C787" s="2"/>
      <c r="D787" s="2" t="str">
        <f>IFERROR(__xludf.DUMMYFUNCTION("IF(C787&lt;&gt;"""", GOOGLETRANSLATE(C787, ""en"", ""te""),"""")"),"")</f>
        <v/>
      </c>
      <c r="E787" s="2"/>
      <c r="F787" s="2" t="str">
        <f>IFERROR(__xludf.DUMMYFUNCTION("IF(E787&lt;&gt;"""", GOOGLETRANSLATE(E787, ""en"", ""te""),"""")"),"")</f>
        <v/>
      </c>
      <c r="G787" s="2"/>
      <c r="H787" s="2" t="str">
        <f>IFERROR(__xludf.DUMMYFUNCTION("IF(G787&lt;&gt;"""", GOOGLETRANSLATE(G787, ""en"", ""te""),"""")"),"")</f>
        <v/>
      </c>
      <c r="I787" s="3"/>
    </row>
    <row r="788" customHeight="1" spans="1:9">
      <c r="A788" s="2"/>
      <c r="B788" s="2" t="str">
        <f>IFERROR(__xludf.DUMMYFUNCTION("IF(A788&lt;&gt;"""", GOOGLETRANSLATE(A788, ""en"", ""te""),"""")"),"")</f>
        <v/>
      </c>
      <c r="C788" s="2"/>
      <c r="D788" s="2" t="str">
        <f>IFERROR(__xludf.DUMMYFUNCTION("IF(C788&lt;&gt;"""", GOOGLETRANSLATE(C788, ""en"", ""te""),"""")"),"")</f>
        <v/>
      </c>
      <c r="E788" s="2"/>
      <c r="F788" s="2" t="str">
        <f>IFERROR(__xludf.DUMMYFUNCTION("IF(E788&lt;&gt;"""", GOOGLETRANSLATE(E788, ""en"", ""te""),"""")"),"")</f>
        <v/>
      </c>
      <c r="G788" s="2"/>
      <c r="H788" s="2" t="str">
        <f>IFERROR(__xludf.DUMMYFUNCTION("IF(G788&lt;&gt;"""", GOOGLETRANSLATE(G788, ""en"", ""te""),"""")"),"")</f>
        <v/>
      </c>
      <c r="I788" s="3"/>
    </row>
    <row r="789" customHeight="1" spans="1:9">
      <c r="A789" s="2"/>
      <c r="B789" s="2" t="str">
        <f>IFERROR(__xludf.DUMMYFUNCTION("IF(A789&lt;&gt;"""", GOOGLETRANSLATE(A789, ""en"", ""te""),"""")"),"")</f>
        <v/>
      </c>
      <c r="C789" s="2"/>
      <c r="D789" s="2" t="str">
        <f>IFERROR(__xludf.DUMMYFUNCTION("IF(C789&lt;&gt;"""", GOOGLETRANSLATE(C789, ""en"", ""te""),"""")"),"")</f>
        <v/>
      </c>
      <c r="E789" s="2"/>
      <c r="F789" s="2" t="str">
        <f>IFERROR(__xludf.DUMMYFUNCTION("IF(E789&lt;&gt;"""", GOOGLETRANSLATE(E789, ""en"", ""te""),"""")"),"")</f>
        <v/>
      </c>
      <c r="G789" s="2"/>
      <c r="H789" s="2" t="str">
        <f>IFERROR(__xludf.DUMMYFUNCTION("IF(G789&lt;&gt;"""", GOOGLETRANSLATE(G789, ""en"", ""te""),"""")"),"")</f>
        <v/>
      </c>
      <c r="I789" s="3"/>
    </row>
    <row r="790" customHeight="1" spans="1:9">
      <c r="A790" s="2"/>
      <c r="B790" s="2" t="str">
        <f>IFERROR(__xludf.DUMMYFUNCTION("IF(A790&lt;&gt;"""", GOOGLETRANSLATE(A790, ""en"", ""te""),"""")"),"")</f>
        <v/>
      </c>
      <c r="C790" s="2" t="s">
        <v>653</v>
      </c>
      <c r="D790" s="2" t="str">
        <f>IFERROR(__xludf.DUMMYFUNCTION("IF(C790&lt;&gt;"""", GOOGLETRANSLATE(C790, ""en"", ""te""),"""")"),"[ '49 వ ఓల్డెస్ట్ క్రీడాకారులు (42y 21d)', 'ప్రదర్శనల మధ్య 22 లాంగెస్ట్ వ్యవధిలో (10y 158d)']")</f>
        <v>[ '49 వ ఓల్డెస్ట్ క్రీడాకారులు (42y 21d)', 'ప్రదర్శనల మధ్య 22 లాంగెస్ట్ వ్యవధిలో (10y 158d)']</v>
      </c>
      <c r="E790" s="2"/>
      <c r="F790" s="2" t="str">
        <f>IFERROR(__xludf.DUMMYFUNCTION("IF(E790&lt;&gt;"""", GOOGLETRANSLATE(E790, ""en"", ""te""),"""")"),"")</f>
        <v/>
      </c>
      <c r="G790" s="2"/>
      <c r="H790" s="2" t="str">
        <f>IFERROR(__xludf.DUMMYFUNCTION("IF(G790&lt;&gt;"""", GOOGLETRANSLATE(G790, ""en"", ""te""),"""")"),"")</f>
        <v/>
      </c>
      <c r="I790" s="3"/>
    </row>
    <row r="791" customHeight="1" spans="1:9">
      <c r="A791" s="2"/>
      <c r="B791" s="2" t="str">
        <f>IFERROR(__xludf.DUMMYFUNCTION("IF(A791&lt;&gt;"""", GOOGLETRANSLATE(A791, ""en"", ""te""),"""")"),"")</f>
        <v/>
      </c>
      <c r="C791" s="2"/>
      <c r="D791" s="2" t="str">
        <f>IFERROR(__xludf.DUMMYFUNCTION("IF(C791&lt;&gt;"""", GOOGLETRANSLATE(C791, ""en"", ""te""),"""")"),"")</f>
        <v/>
      </c>
      <c r="E791" s="2"/>
      <c r="F791" s="2" t="str">
        <f>IFERROR(__xludf.DUMMYFUNCTION("IF(E791&lt;&gt;"""", GOOGLETRANSLATE(E791, ""en"", ""te""),"""")"),"")</f>
        <v/>
      </c>
      <c r="G791" s="2"/>
      <c r="H791" s="2" t="str">
        <f>IFERROR(__xludf.DUMMYFUNCTION("IF(G791&lt;&gt;"""", GOOGLETRANSLATE(G791, ""en"", ""te""),"""")"),"")</f>
        <v/>
      </c>
      <c r="I791" s="3"/>
    </row>
    <row r="792" customHeight="1" spans="1:9">
      <c r="A792" s="2"/>
      <c r="B792" s="2" t="str">
        <f>IFERROR(__xludf.DUMMYFUNCTION("IF(A792&lt;&gt;"""", GOOGLETRANSLATE(A792, ""en"", ""te""),"""")"),"")</f>
        <v/>
      </c>
      <c r="C792" s="2"/>
      <c r="D792" s="2" t="str">
        <f>IFERROR(__xludf.DUMMYFUNCTION("IF(C792&lt;&gt;"""", GOOGLETRANSLATE(C792, ""en"", ""te""),"""")"),"")</f>
        <v/>
      </c>
      <c r="E792" s="2"/>
      <c r="F792" s="2" t="str">
        <f>IFERROR(__xludf.DUMMYFUNCTION("IF(E792&lt;&gt;"""", GOOGLETRANSLATE(E792, ""en"", ""te""),"""")"),"")</f>
        <v/>
      </c>
      <c r="G792" s="2"/>
      <c r="H792" s="2" t="str">
        <f>IFERROR(__xludf.DUMMYFUNCTION("IF(G792&lt;&gt;"""", GOOGLETRANSLATE(G792, ""en"", ""te""),"""")"),"")</f>
        <v/>
      </c>
      <c r="I792" s="3"/>
    </row>
    <row r="793" customHeight="1" spans="1:9">
      <c r="A793" s="2"/>
      <c r="B793" s="2" t="str">
        <f>IFERROR(__xludf.DUMMYFUNCTION("IF(A793&lt;&gt;"""", GOOGLETRANSLATE(A793, ""en"", ""te""),"""")"),"")</f>
        <v/>
      </c>
      <c r="C793" s="2"/>
      <c r="D793" s="2" t="str">
        <f>IFERROR(__xludf.DUMMYFUNCTION("IF(C793&lt;&gt;"""", GOOGLETRANSLATE(C793, ""en"", ""te""),"""")"),"")</f>
        <v/>
      </c>
      <c r="E793" s="2"/>
      <c r="F793" s="2" t="str">
        <f>IFERROR(__xludf.DUMMYFUNCTION("IF(E793&lt;&gt;"""", GOOGLETRANSLATE(E793, ""en"", ""te""),"""")"),"")</f>
        <v/>
      </c>
      <c r="G793" s="2"/>
      <c r="H793" s="2" t="str">
        <f>IFERROR(__xludf.DUMMYFUNCTION("IF(G793&lt;&gt;"""", GOOGLETRANSLATE(G793, ""en"", ""te""),"""")"),"")</f>
        <v/>
      </c>
      <c r="I793" s="3"/>
    </row>
    <row r="794" customHeight="1" spans="1:9">
      <c r="A794" s="2"/>
      <c r="B794" s="2" t="str">
        <f>IFERROR(__xludf.DUMMYFUNCTION("IF(A794&lt;&gt;"""", GOOGLETRANSLATE(A794, ""en"", ""te""),"""")"),"")</f>
        <v/>
      </c>
      <c r="C794" s="2"/>
      <c r="D794" s="2" t="str">
        <f>IFERROR(__xludf.DUMMYFUNCTION("IF(C794&lt;&gt;"""", GOOGLETRANSLATE(C794, ""en"", ""te""),"""")"),"")</f>
        <v/>
      </c>
      <c r="E794" s="2"/>
      <c r="F794" s="2" t="str">
        <f>IFERROR(__xludf.DUMMYFUNCTION("IF(E794&lt;&gt;"""", GOOGLETRANSLATE(E794, ""en"", ""te""),"""")"),"")</f>
        <v/>
      </c>
      <c r="G794" s="2"/>
      <c r="H794" s="2" t="str">
        <f>IFERROR(__xludf.DUMMYFUNCTION("IF(G794&lt;&gt;"""", GOOGLETRANSLATE(G794, ""en"", ""te""),"""")"),"")</f>
        <v/>
      </c>
      <c r="I794" s="3"/>
    </row>
    <row r="795" customHeight="1" spans="1:9">
      <c r="A795" s="2"/>
      <c r="B795" s="2" t="str">
        <f>IFERROR(__xludf.DUMMYFUNCTION("IF(A795&lt;&gt;"""", GOOGLETRANSLATE(A795, ""en"", ""te""),"""")"),"")</f>
        <v/>
      </c>
      <c r="C795" s="2"/>
      <c r="D795" s="2" t="str">
        <f>IFERROR(__xludf.DUMMYFUNCTION("IF(C795&lt;&gt;"""", GOOGLETRANSLATE(C795, ""en"", ""te""),"""")"),"")</f>
        <v/>
      </c>
      <c r="E795" s="2"/>
      <c r="F795" s="2" t="str">
        <f>IFERROR(__xludf.DUMMYFUNCTION("IF(E795&lt;&gt;"""", GOOGLETRANSLATE(E795, ""en"", ""te""),"""")"),"")</f>
        <v/>
      </c>
      <c r="G795" s="2"/>
      <c r="H795" s="2" t="str">
        <f>IFERROR(__xludf.DUMMYFUNCTION("IF(G795&lt;&gt;"""", GOOGLETRANSLATE(G795, ""en"", ""te""),"""")"),"")</f>
        <v/>
      </c>
      <c r="I795" s="3"/>
    </row>
    <row r="796" customHeight="1" spans="1:9">
      <c r="A796" s="2"/>
      <c r="B796" s="2" t="str">
        <f>IFERROR(__xludf.DUMMYFUNCTION("IF(A796&lt;&gt;"""", GOOGLETRANSLATE(A796, ""en"", ""te""),"""")"),"")</f>
        <v/>
      </c>
      <c r="C796" s="2"/>
      <c r="D796" s="2" t="str">
        <f>IFERROR(__xludf.DUMMYFUNCTION("IF(C796&lt;&gt;"""", GOOGLETRANSLATE(C796, ""en"", ""te""),"""")"),"")</f>
        <v/>
      </c>
      <c r="E796" s="2"/>
      <c r="F796" s="2" t="str">
        <f>IFERROR(__xludf.DUMMYFUNCTION("IF(E796&lt;&gt;"""", GOOGLETRANSLATE(E796, ""en"", ""te""),"""")"),"")</f>
        <v/>
      </c>
      <c r="G796" s="2"/>
      <c r="H796" s="2" t="str">
        <f>IFERROR(__xludf.DUMMYFUNCTION("IF(G796&lt;&gt;"""", GOOGLETRANSLATE(G796, ""en"", ""te""),"""")"),"")</f>
        <v/>
      </c>
      <c r="I796" s="3"/>
    </row>
    <row r="797" customHeight="1" spans="1:9">
      <c r="A797" s="2"/>
      <c r="B797" s="2" t="str">
        <f>IFERROR(__xludf.DUMMYFUNCTION("IF(A797&lt;&gt;"""", GOOGLETRANSLATE(A797, ""en"", ""te""),"""")"),"")</f>
        <v/>
      </c>
      <c r="C797" s="2"/>
      <c r="D797" s="2" t="str">
        <f>IFERROR(__xludf.DUMMYFUNCTION("IF(C797&lt;&gt;"""", GOOGLETRANSLATE(C797, ""en"", ""te""),"""")"),"")</f>
        <v/>
      </c>
      <c r="E797" s="2"/>
      <c r="F797" s="2" t="str">
        <f>IFERROR(__xludf.DUMMYFUNCTION("IF(E797&lt;&gt;"""", GOOGLETRANSLATE(E797, ""en"", ""te""),"""")"),"")</f>
        <v/>
      </c>
      <c r="G797" s="2"/>
      <c r="H797" s="2" t="str">
        <f>IFERROR(__xludf.DUMMYFUNCTION("IF(G797&lt;&gt;"""", GOOGLETRANSLATE(G797, ""en"", ""te""),"""")"),"")</f>
        <v/>
      </c>
      <c r="I797" s="3"/>
    </row>
    <row r="798" customHeight="1" spans="1:9">
      <c r="A798" s="2"/>
      <c r="B798" s="2" t="str">
        <f>IFERROR(__xludf.DUMMYFUNCTION("IF(A798&lt;&gt;"""", GOOGLETRANSLATE(A798, ""en"", ""te""),"""")"),"")</f>
        <v/>
      </c>
      <c r="C798" s="2"/>
      <c r="D798" s="2" t="str">
        <f>IFERROR(__xludf.DUMMYFUNCTION("IF(C798&lt;&gt;"""", GOOGLETRANSLATE(C798, ""en"", ""te""),"""")"),"")</f>
        <v/>
      </c>
      <c r="E798" s="2"/>
      <c r="F798" s="2" t="str">
        <f>IFERROR(__xludf.DUMMYFUNCTION("IF(E798&lt;&gt;"""", GOOGLETRANSLATE(E798, ""en"", ""te""),"""")"),"")</f>
        <v/>
      </c>
      <c r="G798" s="2"/>
      <c r="H798" s="2" t="str">
        <f>IFERROR(__xludf.DUMMYFUNCTION("IF(G798&lt;&gt;"""", GOOGLETRANSLATE(G798, ""en"", ""te""),"""")"),"")</f>
        <v/>
      </c>
      <c r="I798" s="3"/>
    </row>
    <row r="799" customHeight="1" spans="1:9">
      <c r="A799" s="2"/>
      <c r="B799" s="2" t="str">
        <f>IFERROR(__xludf.DUMMYFUNCTION("IF(A799&lt;&gt;"""", GOOGLETRANSLATE(A799, ""en"", ""te""),"""")"),"")</f>
        <v/>
      </c>
      <c r="C799" s="2"/>
      <c r="D799" s="2" t="str">
        <f>IFERROR(__xludf.DUMMYFUNCTION("IF(C799&lt;&gt;"""", GOOGLETRANSLATE(C799, ""en"", ""te""),"""")"),"")</f>
        <v/>
      </c>
      <c r="E799" s="2"/>
      <c r="F799" s="2" t="str">
        <f>IFERROR(__xludf.DUMMYFUNCTION("IF(E799&lt;&gt;"""", GOOGLETRANSLATE(E799, ""en"", ""te""),"""")"),"")</f>
        <v/>
      </c>
      <c r="G799" s="2"/>
      <c r="H799" s="2" t="str">
        <f>IFERROR(__xludf.DUMMYFUNCTION("IF(G799&lt;&gt;"""", GOOGLETRANSLATE(G799, ""en"", ""te""),"""")"),"")</f>
        <v/>
      </c>
      <c r="I799" s="3"/>
    </row>
    <row r="800" customHeight="1" spans="1:9">
      <c r="A800" s="2"/>
      <c r="B800" s="2" t="str">
        <f>IFERROR(__xludf.DUMMYFUNCTION("IF(A800&lt;&gt;"""", GOOGLETRANSLATE(A800, ""en"", ""te""),"""")"),"")</f>
        <v/>
      </c>
      <c r="C800" s="2"/>
      <c r="D800" s="2" t="str">
        <f>IFERROR(__xludf.DUMMYFUNCTION("IF(C800&lt;&gt;"""", GOOGLETRANSLATE(C800, ""en"", ""te""),"""")"),"")</f>
        <v/>
      </c>
      <c r="E800" s="2"/>
      <c r="F800" s="2" t="str">
        <f>IFERROR(__xludf.DUMMYFUNCTION("IF(E800&lt;&gt;"""", GOOGLETRANSLATE(E800, ""en"", ""te""),"""")"),"")</f>
        <v/>
      </c>
      <c r="G800" s="2"/>
      <c r="H800" s="2" t="str">
        <f>IFERROR(__xludf.DUMMYFUNCTION("IF(G800&lt;&gt;"""", GOOGLETRANSLATE(G800, ""en"", ""te""),"""")"),"")</f>
        <v/>
      </c>
      <c r="I800" s="3"/>
    </row>
    <row r="801" customHeight="1" spans="1:9">
      <c r="A801" s="2"/>
      <c r="B801" s="2" t="str">
        <f>IFERROR(__xludf.DUMMYFUNCTION("IF(A801&lt;&gt;"""", GOOGLETRANSLATE(A801, ""en"", ""te""),"""")"),"")</f>
        <v/>
      </c>
      <c r="C801" s="2"/>
      <c r="D801" s="2" t="str">
        <f>IFERROR(__xludf.DUMMYFUNCTION("IF(C801&lt;&gt;"""", GOOGLETRANSLATE(C801, ""en"", ""te""),"""")"),"")</f>
        <v/>
      </c>
      <c r="E801" s="2"/>
      <c r="F801" s="2" t="str">
        <f>IFERROR(__xludf.DUMMYFUNCTION("IF(E801&lt;&gt;"""", GOOGLETRANSLATE(E801, ""en"", ""te""),"""")"),"")</f>
        <v/>
      </c>
      <c r="G801" s="2"/>
      <c r="H801" s="2" t="str">
        <f>IFERROR(__xludf.DUMMYFUNCTION("IF(G801&lt;&gt;"""", GOOGLETRANSLATE(G801, ""en"", ""te""),"""")"),"")</f>
        <v/>
      </c>
      <c r="I801" s="3"/>
    </row>
    <row r="802" customHeight="1" spans="1:9">
      <c r="A802" s="2"/>
      <c r="B802" s="2" t="str">
        <f>IFERROR(__xludf.DUMMYFUNCTION("IF(A802&lt;&gt;"""", GOOGLETRANSLATE(A802, ""en"", ""te""),"""")"),"")</f>
        <v/>
      </c>
      <c r="C802" s="2"/>
      <c r="D802" s="2" t="str">
        <f>IFERROR(__xludf.DUMMYFUNCTION("IF(C802&lt;&gt;"""", GOOGLETRANSLATE(C802, ""en"", ""te""),"""")"),"")</f>
        <v/>
      </c>
      <c r="E802" s="2"/>
      <c r="F802" s="2" t="str">
        <f>IFERROR(__xludf.DUMMYFUNCTION("IF(E802&lt;&gt;"""", GOOGLETRANSLATE(E802, ""en"", ""te""),"""")"),"")</f>
        <v/>
      </c>
      <c r="G802" s="2"/>
      <c r="H802" s="2" t="str">
        <f>IFERROR(__xludf.DUMMYFUNCTION("IF(G802&lt;&gt;"""", GOOGLETRANSLATE(G802, ""en"", ""te""),"""")"),"")</f>
        <v/>
      </c>
      <c r="I802" s="3"/>
    </row>
    <row r="803" customHeight="1" spans="1:9">
      <c r="A803" s="2"/>
      <c r="B803" s="2" t="str">
        <f>IFERROR(__xludf.DUMMYFUNCTION("IF(A803&lt;&gt;"""", GOOGLETRANSLATE(A803, ""en"", ""te""),"""")"),"")</f>
        <v/>
      </c>
      <c r="C803" s="2"/>
      <c r="D803" s="2" t="str">
        <f>IFERROR(__xludf.DUMMYFUNCTION("IF(C803&lt;&gt;"""", GOOGLETRANSLATE(C803, ""en"", ""te""),"""")"),"")</f>
        <v/>
      </c>
      <c r="E803" s="2"/>
      <c r="F803" s="2" t="str">
        <f>IFERROR(__xludf.DUMMYFUNCTION("IF(E803&lt;&gt;"""", GOOGLETRANSLATE(E803, ""en"", ""te""),"""")"),"")</f>
        <v/>
      </c>
      <c r="G803" s="2"/>
      <c r="H803" s="2" t="str">
        <f>IFERROR(__xludf.DUMMYFUNCTION("IF(G803&lt;&gt;"""", GOOGLETRANSLATE(G803, ""en"", ""te""),"""")"),"")</f>
        <v/>
      </c>
      <c r="I803" s="3"/>
    </row>
    <row r="804" customHeight="1" spans="1:9">
      <c r="A804" s="2"/>
      <c r="B804" s="2" t="str">
        <f>IFERROR(__xludf.DUMMYFUNCTION("IF(A804&lt;&gt;"""", GOOGLETRANSLATE(A804, ""en"", ""te""),"""")"),"")</f>
        <v/>
      </c>
      <c r="C804" s="2"/>
      <c r="D804" s="2" t="str">
        <f>IFERROR(__xludf.DUMMYFUNCTION("IF(C804&lt;&gt;"""", GOOGLETRANSLATE(C804, ""en"", ""te""),"""")"),"")</f>
        <v/>
      </c>
      <c r="E804" s="2"/>
      <c r="F804" s="2" t="str">
        <f>IFERROR(__xludf.DUMMYFUNCTION("IF(E804&lt;&gt;"""", GOOGLETRANSLATE(E804, ""en"", ""te""),"""")"),"")</f>
        <v/>
      </c>
      <c r="G804" s="2"/>
      <c r="H804" s="2" t="str">
        <f>IFERROR(__xludf.DUMMYFUNCTION("IF(G804&lt;&gt;"""", GOOGLETRANSLATE(G804, ""en"", ""te""),"""")"),"")</f>
        <v/>
      </c>
      <c r="I804" s="3"/>
    </row>
    <row r="805" customHeight="1" spans="1:9">
      <c r="A805" s="2"/>
      <c r="B805" s="2" t="str">
        <f>IFERROR(__xludf.DUMMYFUNCTION("IF(A805&lt;&gt;"""", GOOGLETRANSLATE(A805, ""en"", ""te""),"""")"),"")</f>
        <v/>
      </c>
      <c r="C805" s="2"/>
      <c r="D805" s="2" t="str">
        <f>IFERROR(__xludf.DUMMYFUNCTION("IF(C805&lt;&gt;"""", GOOGLETRANSLATE(C805, ""en"", ""te""),"""")"),"")</f>
        <v/>
      </c>
      <c r="E805" s="2"/>
      <c r="F805" s="2" t="str">
        <f>IFERROR(__xludf.DUMMYFUNCTION("IF(E805&lt;&gt;"""", GOOGLETRANSLATE(E805, ""en"", ""te""),"""")"),"")</f>
        <v/>
      </c>
      <c r="G805" s="2"/>
      <c r="H805" s="2" t="str">
        <f>IFERROR(__xludf.DUMMYFUNCTION("IF(G805&lt;&gt;"""", GOOGLETRANSLATE(G805, ""en"", ""te""),"""")"),"")</f>
        <v/>
      </c>
      <c r="I805" s="3"/>
    </row>
    <row r="806" customHeight="1" spans="1:9">
      <c r="A806" s="2"/>
      <c r="B806" s="2" t="str">
        <f>IFERROR(__xludf.DUMMYFUNCTION("IF(A806&lt;&gt;"""", GOOGLETRANSLATE(A806, ""en"", ""te""),"""")"),"")</f>
        <v/>
      </c>
      <c r="C806" s="2"/>
      <c r="D806" s="2" t="str">
        <f>IFERROR(__xludf.DUMMYFUNCTION("IF(C806&lt;&gt;"""", GOOGLETRANSLATE(C806, ""en"", ""te""),"""")"),"")</f>
        <v/>
      </c>
      <c r="E806" s="2"/>
      <c r="F806" s="2" t="str">
        <f>IFERROR(__xludf.DUMMYFUNCTION("IF(E806&lt;&gt;"""", GOOGLETRANSLATE(E806, ""en"", ""te""),"""")"),"")</f>
        <v/>
      </c>
      <c r="G806" s="2"/>
      <c r="H806" s="2" t="str">
        <f>IFERROR(__xludf.DUMMYFUNCTION("IF(G806&lt;&gt;"""", GOOGLETRANSLATE(G806, ""en"", ""te""),"""")"),"")</f>
        <v/>
      </c>
      <c r="I806" s="3"/>
    </row>
    <row r="807" customHeight="1" spans="1:9">
      <c r="A807" s="2"/>
      <c r="B807" s="2" t="str">
        <f>IFERROR(__xludf.DUMMYFUNCTION("IF(A807&lt;&gt;"""", GOOGLETRANSLATE(A807, ""en"", ""te""),"""")"),"")</f>
        <v/>
      </c>
      <c r="C807" s="2"/>
      <c r="D807" s="2" t="str">
        <f>IFERROR(__xludf.DUMMYFUNCTION("IF(C807&lt;&gt;"""", GOOGLETRANSLATE(C807, ""en"", ""te""),"""")"),"")</f>
        <v/>
      </c>
      <c r="E807" s="2"/>
      <c r="F807" s="2" t="str">
        <f>IFERROR(__xludf.DUMMYFUNCTION("IF(E807&lt;&gt;"""", GOOGLETRANSLATE(E807, ""en"", ""te""),"""")"),"")</f>
        <v/>
      </c>
      <c r="G807" s="2"/>
      <c r="H807" s="2" t="str">
        <f>IFERROR(__xludf.DUMMYFUNCTION("IF(G807&lt;&gt;"""", GOOGLETRANSLATE(G807, ""en"", ""te""),"""")"),"")</f>
        <v/>
      </c>
      <c r="I807" s="3"/>
    </row>
    <row r="808" customHeight="1" spans="1:9">
      <c r="A808" s="2" t="s">
        <v>352</v>
      </c>
      <c r="B808" s="2" t="str">
        <f>IFERROR(__xludf.DUMMYFUNCTION("IF(A808&lt;&gt;"""", GOOGLETRANSLATE(A808, ""en"", ""te""),"""")"),"[ 'బ్యాటింగ్ ప్రారంభించుటకు మరియు అదే మ్యాచ్ లో బౌలింగ్']")</f>
        <v>[ 'బ్యాటింగ్ ప్రారంభించుటకు మరియు అదే మ్యాచ్ లో బౌలింగ్']</v>
      </c>
      <c r="C808" s="2"/>
      <c r="D808" s="2" t="str">
        <f>IFERROR(__xludf.DUMMYFUNCTION("IF(C808&lt;&gt;"""", GOOGLETRANSLATE(C808, ""en"", ""te""),"""")"),"")</f>
        <v/>
      </c>
      <c r="E808" s="2"/>
      <c r="F808" s="2" t="str">
        <f>IFERROR(__xludf.DUMMYFUNCTION("IF(E808&lt;&gt;"""", GOOGLETRANSLATE(E808, ""en"", ""te""),"""")"),"")</f>
        <v/>
      </c>
      <c r="G808" s="2"/>
      <c r="H808" s="2" t="str">
        <f>IFERROR(__xludf.DUMMYFUNCTION("IF(G808&lt;&gt;"""", GOOGLETRANSLATE(G808, ""en"", ""te""),"""")"),"")</f>
        <v/>
      </c>
      <c r="I808" s="3"/>
    </row>
    <row r="809" customHeight="1" spans="1:9">
      <c r="A809" s="2"/>
      <c r="B809" s="2" t="str">
        <f>IFERROR(__xludf.DUMMYFUNCTION("IF(A809&lt;&gt;"""", GOOGLETRANSLATE(A809, ""en"", ""te""),"""")"),"")</f>
        <v/>
      </c>
      <c r="C809" s="2"/>
      <c r="D809" s="2" t="str">
        <f>IFERROR(__xludf.DUMMYFUNCTION("IF(C809&lt;&gt;"""", GOOGLETRANSLATE(C809, ""en"", ""te""),"""")"),"")</f>
        <v/>
      </c>
      <c r="E809" s="2"/>
      <c r="F809" s="2" t="str">
        <f>IFERROR(__xludf.DUMMYFUNCTION("IF(E809&lt;&gt;"""", GOOGLETRANSLATE(E809, ""en"", ""te""),"""")"),"")</f>
        <v/>
      </c>
      <c r="G809" s="2"/>
      <c r="H809" s="2" t="str">
        <f>IFERROR(__xludf.DUMMYFUNCTION("IF(G809&lt;&gt;"""", GOOGLETRANSLATE(G809, ""en"", ""te""),"""")"),"")</f>
        <v/>
      </c>
      <c r="I809" s="3"/>
    </row>
    <row r="810" customHeight="1" spans="1:9">
      <c r="A810" s="2"/>
      <c r="B810" s="2" t="str">
        <f>IFERROR(__xludf.DUMMYFUNCTION("IF(A810&lt;&gt;"""", GOOGLETRANSLATE(A810, ""en"", ""te""),"""")"),"")</f>
        <v/>
      </c>
      <c r="C810" s="2"/>
      <c r="D810" s="2" t="str">
        <f>IFERROR(__xludf.DUMMYFUNCTION("IF(C810&lt;&gt;"""", GOOGLETRANSLATE(C810, ""en"", ""te""),"""")"),"")</f>
        <v/>
      </c>
      <c r="E810" s="2"/>
      <c r="F810" s="2" t="str">
        <f>IFERROR(__xludf.DUMMYFUNCTION("IF(E810&lt;&gt;"""", GOOGLETRANSLATE(E810, ""en"", ""te""),"""")"),"")</f>
        <v/>
      </c>
      <c r="G810" s="2"/>
      <c r="H810" s="2" t="str">
        <f>IFERROR(__xludf.DUMMYFUNCTION("IF(G810&lt;&gt;"""", GOOGLETRANSLATE(G810, ""en"", ""te""),"""")"),"")</f>
        <v/>
      </c>
      <c r="I810" s="3"/>
    </row>
    <row r="811" customHeight="1" spans="1:9">
      <c r="A811" s="2"/>
      <c r="B811" s="2" t="str">
        <f>IFERROR(__xludf.DUMMYFUNCTION("IF(A811&lt;&gt;"""", GOOGLETRANSLATE(A811, ""en"", ""te""),"""")"),"")</f>
        <v/>
      </c>
      <c r="C811" s="2"/>
      <c r="D811" s="2" t="str">
        <f>IFERROR(__xludf.DUMMYFUNCTION("IF(C811&lt;&gt;"""", GOOGLETRANSLATE(C811, ""en"", ""te""),"""")"),"")</f>
        <v/>
      </c>
      <c r="E811" s="2"/>
      <c r="F811" s="2" t="str">
        <f>IFERROR(__xludf.DUMMYFUNCTION("IF(E811&lt;&gt;"""", GOOGLETRANSLATE(E811, ""en"", ""te""),"""")"),"")</f>
        <v/>
      </c>
      <c r="G811" s="2"/>
      <c r="H811" s="2" t="str">
        <f>IFERROR(__xludf.DUMMYFUNCTION("IF(G811&lt;&gt;"""", GOOGLETRANSLATE(G811, ""en"", ""te""),"""")"),"")</f>
        <v/>
      </c>
      <c r="I811" s="3"/>
    </row>
    <row r="812" customHeight="1" spans="1:9">
      <c r="A812" s="2"/>
      <c r="B812" s="2" t="str">
        <f>IFERROR(__xludf.DUMMYFUNCTION("IF(A812&lt;&gt;"""", GOOGLETRANSLATE(A812, ""en"", ""te""),"""")"),"")</f>
        <v/>
      </c>
      <c r="C812" s="2"/>
      <c r="D812" s="2" t="str">
        <f>IFERROR(__xludf.DUMMYFUNCTION("IF(C812&lt;&gt;"""", GOOGLETRANSLATE(C812, ""en"", ""te""),"""")"),"")</f>
        <v/>
      </c>
      <c r="E812" s="2"/>
      <c r="F812" s="2" t="str">
        <f>IFERROR(__xludf.DUMMYFUNCTION("IF(E812&lt;&gt;"""", GOOGLETRANSLATE(E812, ""en"", ""te""),"""")"),"")</f>
        <v/>
      </c>
      <c r="G812" s="2"/>
      <c r="H812" s="2" t="str">
        <f>IFERROR(__xludf.DUMMYFUNCTION("IF(G812&lt;&gt;"""", GOOGLETRANSLATE(G812, ""en"", ""te""),"""")"),"")</f>
        <v/>
      </c>
      <c r="I812" s="3"/>
    </row>
    <row r="813" customHeight="1" spans="1:9">
      <c r="A813" s="2"/>
      <c r="B813" s="2" t="str">
        <f>IFERROR(__xludf.DUMMYFUNCTION("IF(A813&lt;&gt;"""", GOOGLETRANSLATE(A813, ""en"", ""te""),"""")"),"")</f>
        <v/>
      </c>
      <c r="C813" s="2" t="s">
        <v>654</v>
      </c>
      <c r="D813" s="2" t="str">
        <f>IFERROR(__xludf.DUMMYFUNCTION("IF(C813&lt;&gt;"""", GOOGLETRANSLATE(C813, ""en"", ""te""),"""")"),"[ '26 ఉత్తమ కెరీర్ సమ్మె రేటు (47.9)', '27 వ అత్యంత వృద్ధ ఆటగాడు తొలి తీసుకుని ఐదు-వికెట్ల లో-ఒక-ఇన్నింగ్స్ (35y 219d)']")</f>
        <v>[ '26 ఉత్తమ కెరీర్ సమ్మె రేటు (47.9)', '27 వ అత్యంత వృద్ధ ఆటగాడు తొలి తీసుకుని ఐదు-వికెట్ల లో-ఒక-ఇన్నింగ్స్ (35y 219d)']</v>
      </c>
      <c r="E813" s="2"/>
      <c r="F813" s="2" t="str">
        <f>IFERROR(__xludf.DUMMYFUNCTION("IF(E813&lt;&gt;"""", GOOGLETRANSLATE(E813, ""en"", ""te""),"""")"),"")</f>
        <v/>
      </c>
      <c r="G813" s="2"/>
      <c r="H813" s="2" t="str">
        <f>IFERROR(__xludf.DUMMYFUNCTION("IF(G813&lt;&gt;"""", GOOGLETRANSLATE(G813, ""en"", ""te""),"""")"),"")</f>
        <v/>
      </c>
      <c r="I813" s="3"/>
    </row>
    <row r="814" customHeight="1" spans="1:9">
      <c r="A814" s="2"/>
      <c r="B814" s="2" t="str">
        <f>IFERROR(__xludf.DUMMYFUNCTION("IF(A814&lt;&gt;"""", GOOGLETRANSLATE(A814, ""en"", ""te""),"""")"),"")</f>
        <v/>
      </c>
      <c r="C814" s="2"/>
      <c r="D814" s="2" t="str">
        <f>IFERROR(__xludf.DUMMYFUNCTION("IF(C814&lt;&gt;"""", GOOGLETRANSLATE(C814, ""en"", ""te""),"""")"),"")</f>
        <v/>
      </c>
      <c r="E814" s="2"/>
      <c r="F814" s="2" t="str">
        <f>IFERROR(__xludf.DUMMYFUNCTION("IF(E814&lt;&gt;"""", GOOGLETRANSLATE(E814, ""en"", ""te""),"""")"),"")</f>
        <v/>
      </c>
      <c r="G814" s="2"/>
      <c r="H814" s="2" t="str">
        <f>IFERROR(__xludf.DUMMYFUNCTION("IF(G814&lt;&gt;"""", GOOGLETRANSLATE(G814, ""en"", ""te""),"""")"),"")</f>
        <v/>
      </c>
      <c r="I814" s="3"/>
    </row>
    <row r="815" customHeight="1" spans="1:9">
      <c r="A815" s="2"/>
      <c r="B815" s="2" t="str">
        <f>IFERROR(__xludf.DUMMYFUNCTION("IF(A815&lt;&gt;"""", GOOGLETRANSLATE(A815, ""en"", ""te""),"""")"),"")</f>
        <v/>
      </c>
      <c r="C815" s="2"/>
      <c r="D815" s="2" t="str">
        <f>IFERROR(__xludf.DUMMYFUNCTION("IF(C815&lt;&gt;"""", GOOGLETRANSLATE(C815, ""en"", ""te""),"""")"),"")</f>
        <v/>
      </c>
      <c r="E815" s="2"/>
      <c r="F815" s="2" t="str">
        <f>IFERROR(__xludf.DUMMYFUNCTION("IF(E815&lt;&gt;"""", GOOGLETRANSLATE(E815, ""en"", ""te""),"""")"),"")</f>
        <v/>
      </c>
      <c r="G815" s="2"/>
      <c r="H815" s="2" t="str">
        <f>IFERROR(__xludf.DUMMYFUNCTION("IF(G815&lt;&gt;"""", GOOGLETRANSLATE(G815, ""en"", ""te""),"""")"),"")</f>
        <v/>
      </c>
      <c r="I815" s="3"/>
    </row>
    <row r="816" customHeight="1" spans="1:9">
      <c r="A816" s="2" t="s">
        <v>352</v>
      </c>
      <c r="B816" s="2" t="str">
        <f>IFERROR(__xludf.DUMMYFUNCTION("IF(A816&lt;&gt;"""", GOOGLETRANSLATE(A816, ""en"", ""te""),"""")"),"[ 'బ్యాటింగ్ ప్రారంభించుటకు మరియు అదే మ్యాచ్ లో బౌలింగ్']")</f>
        <v>[ 'బ్యాటింగ్ ప్రారంభించుటకు మరియు అదే మ్యాచ్ లో బౌలింగ్']</v>
      </c>
      <c r="C816" s="2" t="s">
        <v>655</v>
      </c>
      <c r="D816" s="2" t="str">
        <f>IFERROR(__xludf.DUMMYFUNCTION("IF(C816&lt;&gt;"""", GOOGLETRANSLATE(C816, ""en"", ""te""),"""")"),"[ '33 వ ప్రవేశం (8) ఒక మ్యాచ్లో బెస్ట్ ఫిగర్స్']")</f>
        <v>[ '33 వ ప్రవేశం (8) ఒక మ్యాచ్లో బెస్ట్ ఫిగర్స్']</v>
      </c>
      <c r="E816" s="2" t="s">
        <v>656</v>
      </c>
      <c r="F816" s="2" t="str">
        <f>IFERROR(__xludf.DUMMYFUNCTION("IF(E816&lt;&gt;"""", GOOGLETRANSLATE(E816, ""en"", ""te""),"""")"),"[ 'పదవ వికెట్కు 35 వ అత్యధిక భాగస్వామ్యం (51)']")</f>
        <v>[ 'పదవ వికెట్కు 35 వ అత్యధిక భాగస్వామ్యం (51)']</v>
      </c>
      <c r="G816" s="2"/>
      <c r="H816" s="2" t="str">
        <f>IFERROR(__xludf.DUMMYFUNCTION("IF(G816&lt;&gt;"""", GOOGLETRANSLATE(G816, ""en"", ""te""),"""")"),"")</f>
        <v/>
      </c>
      <c r="I816" s="3"/>
    </row>
    <row r="817" customHeight="1" spans="1:9">
      <c r="A817" s="2"/>
      <c r="B817" s="2" t="str">
        <f>IFERROR(__xludf.DUMMYFUNCTION("IF(A817&lt;&gt;"""", GOOGLETRANSLATE(A817, ""en"", ""te""),"""")"),"")</f>
        <v/>
      </c>
      <c r="C817" s="2"/>
      <c r="D817" s="2" t="str">
        <f>IFERROR(__xludf.DUMMYFUNCTION("IF(C817&lt;&gt;"""", GOOGLETRANSLATE(C817, ""en"", ""te""),"""")"),"")</f>
        <v/>
      </c>
      <c r="E817" s="2"/>
      <c r="F817" s="2" t="str">
        <f>IFERROR(__xludf.DUMMYFUNCTION("IF(E817&lt;&gt;"""", GOOGLETRANSLATE(E817, ""en"", ""te""),"""")"),"")</f>
        <v/>
      </c>
      <c r="G817" s="2"/>
      <c r="H817" s="2" t="str">
        <f>IFERROR(__xludf.DUMMYFUNCTION("IF(G817&lt;&gt;"""", GOOGLETRANSLATE(G817, ""en"", ""te""),"""")"),"")</f>
        <v/>
      </c>
      <c r="I817" s="3"/>
    </row>
    <row r="818" customHeight="1" spans="1:9">
      <c r="A818" s="2"/>
      <c r="B818" s="2" t="str">
        <f>IFERROR(__xludf.DUMMYFUNCTION("IF(A818&lt;&gt;"""", GOOGLETRANSLATE(A818, ""en"", ""te""),"""")"),"")</f>
        <v/>
      </c>
      <c r="C818" s="2"/>
      <c r="D818" s="2" t="str">
        <f>IFERROR(__xludf.DUMMYFUNCTION("IF(C818&lt;&gt;"""", GOOGLETRANSLATE(C818, ""en"", ""te""),"""")"),"")</f>
        <v/>
      </c>
      <c r="E818" s="2"/>
      <c r="F818" s="2" t="str">
        <f>IFERROR(__xludf.DUMMYFUNCTION("IF(E818&lt;&gt;"""", GOOGLETRANSLATE(E818, ""en"", ""te""),"""")"),"")</f>
        <v/>
      </c>
      <c r="G818" s="2"/>
      <c r="H818" s="2" t="str">
        <f>IFERROR(__xludf.DUMMYFUNCTION("IF(G818&lt;&gt;"""", GOOGLETRANSLATE(G818, ""en"", ""te""),"""")"),"")</f>
        <v/>
      </c>
      <c r="I818" s="3"/>
    </row>
    <row r="819" customHeight="1" spans="1:9">
      <c r="A819" s="2"/>
      <c r="B819" s="2" t="str">
        <f>IFERROR(__xludf.DUMMYFUNCTION("IF(A819&lt;&gt;"""", GOOGLETRANSLATE(A819, ""en"", ""te""),"""")"),"")</f>
        <v/>
      </c>
      <c r="C819" s="2"/>
      <c r="D819" s="2" t="str">
        <f>IFERROR(__xludf.DUMMYFUNCTION("IF(C819&lt;&gt;"""", GOOGLETRANSLATE(C819, ""en"", ""te""),"""")"),"")</f>
        <v/>
      </c>
      <c r="E819" s="2"/>
      <c r="F819" s="2" t="str">
        <f>IFERROR(__xludf.DUMMYFUNCTION("IF(E819&lt;&gt;"""", GOOGLETRANSLATE(E819, ""en"", ""te""),"""")"),"")</f>
        <v/>
      </c>
      <c r="G819" s="2"/>
      <c r="H819" s="2" t="str">
        <f>IFERROR(__xludf.DUMMYFUNCTION("IF(G819&lt;&gt;"""", GOOGLETRANSLATE(G819, ""en"", ""te""),"""")"),"")</f>
        <v/>
      </c>
      <c r="I819" s="3"/>
    </row>
    <row r="820" customHeight="1" spans="1:9">
      <c r="A820" s="2"/>
      <c r="B820" s="2" t="str">
        <f>IFERROR(__xludf.DUMMYFUNCTION("IF(A820&lt;&gt;"""", GOOGLETRANSLATE(A820, ""en"", ""te""),"""")"),"")</f>
        <v/>
      </c>
      <c r="C820" s="2"/>
      <c r="D820" s="2" t="str">
        <f>IFERROR(__xludf.DUMMYFUNCTION("IF(C820&lt;&gt;"""", GOOGLETRANSLATE(C820, ""en"", ""te""),"""")"),"")</f>
        <v/>
      </c>
      <c r="E820" s="2" t="s">
        <v>657</v>
      </c>
      <c r="F820" s="2" t="str">
        <f>IFERROR(__xludf.DUMMYFUNCTION("IF(E820&lt;&gt;"""", GOOGLETRANSLATE(E820, ""en"", ""te""),"""")"),"[ '15 వ ఉత్తమ కెరీర్ బౌలింగ్ సరాసరి (అర్హత లేకుండా) (8.00)']")</f>
        <v>[ '15 వ ఉత్తమ కెరీర్ బౌలింగ్ సరాసరి (అర్హత లేకుండా) (8.00)']</v>
      </c>
      <c r="G820" s="2"/>
      <c r="H820" s="2" t="str">
        <f>IFERROR(__xludf.DUMMYFUNCTION("IF(G820&lt;&gt;"""", GOOGLETRANSLATE(G820, ""en"", ""te""),"""")"),"")</f>
        <v/>
      </c>
      <c r="I820" s="3"/>
    </row>
    <row r="821" customHeight="1" spans="1:9">
      <c r="A821" s="2"/>
      <c r="B821" s="2" t="str">
        <f>IFERROR(__xludf.DUMMYFUNCTION("IF(A821&lt;&gt;"""", GOOGLETRANSLATE(A821, ""en"", ""te""),"""")"),"")</f>
        <v/>
      </c>
      <c r="C821" s="2"/>
      <c r="D821" s="2" t="str">
        <f>IFERROR(__xludf.DUMMYFUNCTION("IF(C821&lt;&gt;"""", GOOGLETRANSLATE(C821, ""en"", ""te""),"""")"),"")</f>
        <v/>
      </c>
      <c r="E821" s="2"/>
      <c r="F821" s="2" t="str">
        <f>IFERROR(__xludf.DUMMYFUNCTION("IF(E821&lt;&gt;"""", GOOGLETRANSLATE(E821, ""en"", ""te""),"""")"),"")</f>
        <v/>
      </c>
      <c r="G821" s="2"/>
      <c r="H821" s="2" t="str">
        <f>IFERROR(__xludf.DUMMYFUNCTION("IF(G821&lt;&gt;"""", GOOGLETRANSLATE(G821, ""en"", ""te""),"""")"),"")</f>
        <v/>
      </c>
      <c r="I821" s="3"/>
    </row>
    <row r="822" customHeight="1" spans="1:9">
      <c r="A822" s="2"/>
      <c r="B822" s="2" t="str">
        <f>IFERROR(__xludf.DUMMYFUNCTION("IF(A822&lt;&gt;"""", GOOGLETRANSLATE(A822, ""en"", ""te""),"""")"),"")</f>
        <v/>
      </c>
      <c r="C822" s="2"/>
      <c r="D822" s="2" t="str">
        <f>IFERROR(__xludf.DUMMYFUNCTION("IF(C822&lt;&gt;"""", GOOGLETRANSLATE(C822, ""en"", ""te""),"""")"),"")</f>
        <v/>
      </c>
      <c r="E822" s="2"/>
      <c r="F822" s="2" t="str">
        <f>IFERROR(__xludf.DUMMYFUNCTION("IF(E822&lt;&gt;"""", GOOGLETRANSLATE(E822, ""en"", ""te""),"""")"),"")</f>
        <v/>
      </c>
      <c r="G822" s="2"/>
      <c r="H822" s="2" t="str">
        <f>IFERROR(__xludf.DUMMYFUNCTION("IF(G822&lt;&gt;"""", GOOGLETRANSLATE(G822, ""en"", ""te""),"""")"),"")</f>
        <v/>
      </c>
      <c r="I822" s="3"/>
    </row>
    <row r="823" customHeight="1" spans="1:9">
      <c r="A823" s="2"/>
      <c r="B823" s="2" t="str">
        <f>IFERROR(__xludf.DUMMYFUNCTION("IF(A823&lt;&gt;"""", GOOGLETRANSLATE(A823, ""en"", ""te""),"""")"),"")</f>
        <v/>
      </c>
      <c r="C823" s="2"/>
      <c r="D823" s="2" t="str">
        <f>IFERROR(__xludf.DUMMYFUNCTION("IF(C823&lt;&gt;"""", GOOGLETRANSLATE(C823, ""en"", ""te""),"""")"),"")</f>
        <v/>
      </c>
      <c r="E823" s="2"/>
      <c r="F823" s="2" t="str">
        <f>IFERROR(__xludf.DUMMYFUNCTION("IF(E823&lt;&gt;"""", GOOGLETRANSLATE(E823, ""en"", ""te""),"""")"),"")</f>
        <v/>
      </c>
      <c r="G823" s="2"/>
      <c r="H823" s="2" t="str">
        <f>IFERROR(__xludf.DUMMYFUNCTION("IF(G823&lt;&gt;"""", GOOGLETRANSLATE(G823, ""en"", ""te""),"""")"),"")</f>
        <v/>
      </c>
      <c r="I823" s="3"/>
    </row>
    <row r="824" customHeight="1" spans="1:9">
      <c r="A824" s="2"/>
      <c r="B824" s="2" t="str">
        <f>IFERROR(__xludf.DUMMYFUNCTION("IF(A824&lt;&gt;"""", GOOGLETRANSLATE(A824, ""en"", ""te""),"""")"),"")</f>
        <v/>
      </c>
      <c r="C824" s="2"/>
      <c r="D824" s="2" t="str">
        <f>IFERROR(__xludf.DUMMYFUNCTION("IF(C824&lt;&gt;"""", GOOGLETRANSLATE(C824, ""en"", ""te""),"""")"),"")</f>
        <v/>
      </c>
      <c r="E824" s="2"/>
      <c r="F824" s="2" t="str">
        <f>IFERROR(__xludf.DUMMYFUNCTION("IF(E824&lt;&gt;"""", GOOGLETRANSLATE(E824, ""en"", ""te""),"""")"),"")</f>
        <v/>
      </c>
      <c r="G824" s="2"/>
      <c r="H824" s="2" t="str">
        <f>IFERROR(__xludf.DUMMYFUNCTION("IF(G824&lt;&gt;"""", GOOGLETRANSLATE(G824, ""en"", ""te""),"""")"),"")</f>
        <v/>
      </c>
      <c r="I824" s="3"/>
    </row>
    <row r="825" customHeight="1" spans="1:9">
      <c r="A825" s="2" t="s">
        <v>658</v>
      </c>
      <c r="B825" s="2" t="str">
        <f>IFERROR(__xludf.DUMMYFUNCTION("IF(A825&lt;&gt;"""", GOOGLETRANSLATE(A825, ""en"", ""te""),"""")"),"[ '3 వ వరుస మ్యాచ్లు ఆడి మధ్య జట్టు (218) కోసం తప్పిన']")</f>
        <v>[ '3 వ వరుస మ్యాచ్లు ఆడి మధ్య జట్టు (218) కోసం తప్పిన']</v>
      </c>
      <c r="C825" s="2"/>
      <c r="D825" s="2" t="str">
        <f>IFERROR(__xludf.DUMMYFUNCTION("IF(C825&lt;&gt;"""", GOOGLETRANSLATE(C825, ""en"", ""te""),"""")"),"")</f>
        <v/>
      </c>
      <c r="E825" s="2" t="s">
        <v>659</v>
      </c>
      <c r="F825" s="2" t="str">
        <f>IFERROR(__xludf.DUMMYFUNCTION("IF(E825&lt;&gt;"""", GOOGLETRANSLATE(E825, ""en"", ""te""),"""")"),"[ '3 వ వరుస మ్యాచ్లు ఆడి మధ్య జట్టు (218) కోసం తప్పిన' 'ప్రదర్శనల మధ్య 11 వ లాంగెస్ట్ వ్యవధిలో (8y 251d)',]")</f>
        <v>[ '3 వ వరుస మ్యాచ్లు ఆడి మధ్య జట్టు (218) కోసం తప్పిన' 'ప్రదర్శనల మధ్య 11 వ లాంగెస్ట్ వ్యవధిలో (8y 251d)',]</v>
      </c>
      <c r="G825" s="2"/>
      <c r="H825" s="2" t="str">
        <f>IFERROR(__xludf.DUMMYFUNCTION("IF(G825&lt;&gt;"""", GOOGLETRANSLATE(G825, ""en"", ""te""),"""")"),"")</f>
        <v/>
      </c>
      <c r="I825" s="3"/>
    </row>
    <row r="826" customHeight="1" spans="1:9">
      <c r="A826" s="2"/>
      <c r="B826" s="2" t="str">
        <f>IFERROR(__xludf.DUMMYFUNCTION("IF(A826&lt;&gt;"""", GOOGLETRANSLATE(A826, ""en"", ""te""),"""")"),"")</f>
        <v/>
      </c>
      <c r="C826" s="2"/>
      <c r="D826" s="2" t="str">
        <f>IFERROR(__xludf.DUMMYFUNCTION("IF(C826&lt;&gt;"""", GOOGLETRANSLATE(C826, ""en"", ""te""),"""")"),"")</f>
        <v/>
      </c>
      <c r="E826" s="2"/>
      <c r="F826" s="2" t="str">
        <f>IFERROR(__xludf.DUMMYFUNCTION("IF(E826&lt;&gt;"""", GOOGLETRANSLATE(E826, ""en"", ""te""),"""")"),"")</f>
        <v/>
      </c>
      <c r="G826" s="2"/>
      <c r="H826" s="2" t="str">
        <f>IFERROR(__xludf.DUMMYFUNCTION("IF(G826&lt;&gt;"""", GOOGLETRANSLATE(G826, ""en"", ""te""),"""")"),"")</f>
        <v/>
      </c>
      <c r="I826" s="3"/>
    </row>
    <row r="827" customHeight="1" spans="1:9">
      <c r="A827" s="2"/>
      <c r="B827" s="2" t="str">
        <f>IFERROR(__xludf.DUMMYFUNCTION("IF(A827&lt;&gt;"""", GOOGLETRANSLATE(A827, ""en"", ""te""),"""")"),"")</f>
        <v/>
      </c>
      <c r="C827" s="2" t="s">
        <v>660</v>
      </c>
      <c r="D827" s="2" t="str">
        <f>IFERROR(__xludf.DUMMYFUNCTION("IF(C827&lt;&gt;"""", GOOGLETRANSLATE(C827, ""en"", ""te""),"""")"),"[ '12 వ ఉత్తమ కెరీర్ బౌలింగ్ సరాసరి (అర్హత లేకుండా) (6.00)']")</f>
        <v>[ '12 వ ఉత్తమ కెరీర్ బౌలింగ్ సరాసరి (అర్హత లేకుండా) (6.00)']</v>
      </c>
      <c r="E827" s="2"/>
      <c r="F827" s="2" t="str">
        <f>IFERROR(__xludf.DUMMYFUNCTION("IF(E827&lt;&gt;"""", GOOGLETRANSLATE(E827, ""en"", ""te""),"""")"),"")</f>
        <v/>
      </c>
      <c r="G827" s="2"/>
      <c r="H827" s="2" t="str">
        <f>IFERROR(__xludf.DUMMYFUNCTION("IF(G827&lt;&gt;"""", GOOGLETRANSLATE(G827, ""en"", ""te""),"""")"),"")</f>
        <v/>
      </c>
      <c r="I827" s="3"/>
    </row>
    <row r="828" customHeight="1" spans="1:9">
      <c r="A828" s="2"/>
      <c r="B828" s="2" t="str">
        <f>IFERROR(__xludf.DUMMYFUNCTION("IF(A828&lt;&gt;"""", GOOGLETRANSLATE(A828, ""en"", ""te""),"""")"),"")</f>
        <v/>
      </c>
      <c r="C828" s="2"/>
      <c r="D828" s="2" t="str">
        <f>IFERROR(__xludf.DUMMYFUNCTION("IF(C828&lt;&gt;"""", GOOGLETRANSLATE(C828, ""en"", ""te""),"""")"),"")</f>
        <v/>
      </c>
      <c r="E828" s="2"/>
      <c r="F828" s="2" t="str">
        <f>IFERROR(__xludf.DUMMYFUNCTION("IF(E828&lt;&gt;"""", GOOGLETRANSLATE(E828, ""en"", ""te""),"""")"),"")</f>
        <v/>
      </c>
      <c r="G828" s="2"/>
      <c r="H828" s="2" t="str">
        <f>IFERROR(__xludf.DUMMYFUNCTION("IF(G828&lt;&gt;"""", GOOGLETRANSLATE(G828, ""en"", ""te""),"""")"),"")</f>
        <v/>
      </c>
      <c r="I828" s="3"/>
    </row>
    <row r="829" customHeight="1" spans="1:9">
      <c r="A829" s="2"/>
      <c r="B829" s="2" t="str">
        <f>IFERROR(__xludf.DUMMYFUNCTION("IF(A829&lt;&gt;"""", GOOGLETRANSLATE(A829, ""en"", ""te""),"""")"),"")</f>
        <v/>
      </c>
      <c r="C829" s="2"/>
      <c r="D829" s="2" t="str">
        <f>IFERROR(__xludf.DUMMYFUNCTION("IF(C829&lt;&gt;"""", GOOGLETRANSLATE(C829, ""en"", ""te""),"""")"),"")</f>
        <v/>
      </c>
      <c r="E829" s="2"/>
      <c r="F829" s="2" t="str">
        <f>IFERROR(__xludf.DUMMYFUNCTION("IF(E829&lt;&gt;"""", GOOGLETRANSLATE(E829, ""en"", ""te""),"""")"),"")</f>
        <v/>
      </c>
      <c r="G829" s="2"/>
      <c r="H829" s="2" t="str">
        <f>IFERROR(__xludf.DUMMYFUNCTION("IF(G829&lt;&gt;"""", GOOGLETRANSLATE(G829, ""en"", ""te""),"""")"),"")</f>
        <v/>
      </c>
      <c r="I829" s="3"/>
    </row>
    <row r="830" customHeight="1" spans="1:9">
      <c r="A830" s="2" t="s">
        <v>661</v>
      </c>
      <c r="B830" s="2" t="str">
        <f>IFERROR(__xludf.DUMMYFUNCTION("IF(A830&lt;&gt;"""", GOOGLETRANSLATE(A830, ""en"", ""te""),"""")"),"[ '1st చెత్త కెరీర్ బౌలింగ్ సరాసరి (అర్హత లేకుండా) (178.00)']")</f>
        <v>[ '1st చెత్త కెరీర్ బౌలింగ్ సరాసరి (అర్హత లేకుండా) (178.00)']</v>
      </c>
      <c r="C830" s="2"/>
      <c r="D830" s="2" t="str">
        <f>IFERROR(__xludf.DUMMYFUNCTION("IF(C830&lt;&gt;"""", GOOGLETRANSLATE(C830, ""en"", ""te""),"""")"),"")</f>
        <v/>
      </c>
      <c r="E830" s="2"/>
      <c r="F830" s="2" t="str">
        <f>IFERROR(__xludf.DUMMYFUNCTION("IF(E830&lt;&gt;"""", GOOGLETRANSLATE(E830, ""en"", ""te""),"""")"),"")</f>
        <v/>
      </c>
      <c r="G830" s="2" t="s">
        <v>661</v>
      </c>
      <c r="H830" s="2" t="str">
        <f>IFERROR(__xludf.DUMMYFUNCTION("IF(G830&lt;&gt;"""", GOOGLETRANSLATE(G830, ""en"", ""te""),"""")"),"[ '1st చెత్త కెరీర్ బౌలింగ్ సరాసరి (అర్హత లేకుండా) (178.00)']")</f>
        <v>[ '1st చెత్త కెరీర్ బౌలింగ్ సరాసరి (అర్హత లేకుండా) (178.00)']</v>
      </c>
      <c r="I830" s="3"/>
    </row>
    <row r="831" customHeight="1" spans="1:9">
      <c r="A831" s="2"/>
      <c r="B831" s="2" t="str">
        <f>IFERROR(__xludf.DUMMYFUNCTION("IF(A831&lt;&gt;"""", GOOGLETRANSLATE(A831, ""en"", ""te""),"""")"),"")</f>
        <v/>
      </c>
      <c r="C831" s="2"/>
      <c r="D831" s="2" t="str">
        <f>IFERROR(__xludf.DUMMYFUNCTION("IF(C831&lt;&gt;"""", GOOGLETRANSLATE(C831, ""en"", ""te""),"""")"),"")</f>
        <v/>
      </c>
      <c r="E831" s="2"/>
      <c r="F831" s="2" t="str">
        <f>IFERROR(__xludf.DUMMYFUNCTION("IF(E831&lt;&gt;"""", GOOGLETRANSLATE(E831, ""en"", ""te""),"""")"),"")</f>
        <v/>
      </c>
      <c r="G831" s="2"/>
      <c r="H831" s="2" t="str">
        <f>IFERROR(__xludf.DUMMYFUNCTION("IF(G831&lt;&gt;"""", GOOGLETRANSLATE(G831, ""en"", ""te""),"""")"),"")</f>
        <v/>
      </c>
      <c r="I831" s="3"/>
    </row>
    <row r="832" customHeight="1" spans="1:9">
      <c r="A832" s="2"/>
      <c r="B832" s="2" t="str">
        <f>IFERROR(__xludf.DUMMYFUNCTION("IF(A832&lt;&gt;"""", GOOGLETRANSLATE(A832, ""en"", ""te""),"""")"),"")</f>
        <v/>
      </c>
      <c r="C832" s="2"/>
      <c r="D832" s="2" t="str">
        <f>IFERROR(__xludf.DUMMYFUNCTION("IF(C832&lt;&gt;"""", GOOGLETRANSLATE(C832, ""en"", ""te""),"""")"),"")</f>
        <v/>
      </c>
      <c r="E832" s="2"/>
      <c r="F832" s="2" t="str">
        <f>IFERROR(__xludf.DUMMYFUNCTION("IF(E832&lt;&gt;"""", GOOGLETRANSLATE(E832, ""en"", ""te""),"""")"),"")</f>
        <v/>
      </c>
      <c r="G832" s="2"/>
      <c r="H832" s="2" t="str">
        <f>IFERROR(__xludf.DUMMYFUNCTION("IF(G832&lt;&gt;"""", GOOGLETRANSLATE(G832, ""en"", ""te""),"""")"),"")</f>
        <v/>
      </c>
      <c r="I832" s="3"/>
    </row>
    <row r="833" customHeight="1" spans="1:9">
      <c r="A833" s="2"/>
      <c r="B833" s="2" t="str">
        <f>IFERROR(__xludf.DUMMYFUNCTION("IF(A833&lt;&gt;"""", GOOGLETRANSLATE(A833, ""en"", ""te""),"""")"),"")</f>
        <v/>
      </c>
      <c r="C833" s="2"/>
      <c r="D833" s="2" t="str">
        <f>IFERROR(__xludf.DUMMYFUNCTION("IF(C833&lt;&gt;"""", GOOGLETRANSLATE(C833, ""en"", ""te""),"""")"),"")</f>
        <v/>
      </c>
      <c r="E833" s="2"/>
      <c r="F833" s="2" t="str">
        <f>IFERROR(__xludf.DUMMYFUNCTION("IF(E833&lt;&gt;"""", GOOGLETRANSLATE(E833, ""en"", ""te""),"""")"),"")</f>
        <v/>
      </c>
      <c r="G833" s="2"/>
      <c r="H833" s="2" t="str">
        <f>IFERROR(__xludf.DUMMYFUNCTION("IF(G833&lt;&gt;"""", GOOGLETRANSLATE(G833, ""en"", ""te""),"""")"),"")</f>
        <v/>
      </c>
      <c r="I833" s="3"/>
    </row>
    <row r="834" customHeight="1" spans="1:9">
      <c r="A834" s="2"/>
      <c r="B834" s="2" t="str">
        <f>IFERROR(__xludf.DUMMYFUNCTION("IF(A834&lt;&gt;"""", GOOGLETRANSLATE(A834, ""en"", ""te""),"""")"),"")</f>
        <v/>
      </c>
      <c r="C834" s="2"/>
      <c r="D834" s="2" t="str">
        <f>IFERROR(__xludf.DUMMYFUNCTION("IF(C834&lt;&gt;"""", GOOGLETRANSLATE(C834, ""en"", ""te""),"""")"),"")</f>
        <v/>
      </c>
      <c r="E834" s="2"/>
      <c r="F834" s="2" t="str">
        <f>IFERROR(__xludf.DUMMYFUNCTION("IF(E834&lt;&gt;"""", GOOGLETRANSLATE(E834, ""en"", ""te""),"""")"),"")</f>
        <v/>
      </c>
      <c r="G834" s="2"/>
      <c r="H834" s="2" t="str">
        <f>IFERROR(__xludf.DUMMYFUNCTION("IF(G834&lt;&gt;"""", GOOGLETRANSLATE(G834, ""en"", ""te""),"""")"),"")</f>
        <v/>
      </c>
      <c r="I834" s="3"/>
    </row>
    <row r="835" customHeight="1" spans="1:9">
      <c r="A835" s="2"/>
      <c r="B835" s="2" t="str">
        <f>IFERROR(__xludf.DUMMYFUNCTION("IF(A835&lt;&gt;"""", GOOGLETRANSLATE(A835, ""en"", ""te""),"""")"),"")</f>
        <v/>
      </c>
      <c r="C835" s="2"/>
      <c r="D835" s="2" t="str">
        <f>IFERROR(__xludf.DUMMYFUNCTION("IF(C835&lt;&gt;"""", GOOGLETRANSLATE(C835, ""en"", ""te""),"""")"),"")</f>
        <v/>
      </c>
      <c r="E835" s="2"/>
      <c r="F835" s="2" t="str">
        <f>IFERROR(__xludf.DUMMYFUNCTION("IF(E835&lt;&gt;"""", GOOGLETRANSLATE(E835, ""en"", ""te""),"""")"),"")</f>
        <v/>
      </c>
      <c r="G835" s="2"/>
      <c r="H835" s="2" t="str">
        <f>IFERROR(__xludf.DUMMYFUNCTION("IF(G835&lt;&gt;"""", GOOGLETRANSLATE(G835, ""en"", ""te""),"""")"),"")</f>
        <v/>
      </c>
      <c r="I835" s="3"/>
    </row>
    <row r="836" customHeight="1" spans="1:9">
      <c r="A836" s="2"/>
      <c r="B836" s="2" t="str">
        <f>IFERROR(__xludf.DUMMYFUNCTION("IF(A836&lt;&gt;"""", GOOGLETRANSLATE(A836, ""en"", ""te""),"""")"),"")</f>
        <v/>
      </c>
      <c r="C836" s="2"/>
      <c r="D836" s="2" t="str">
        <f>IFERROR(__xludf.DUMMYFUNCTION("IF(C836&lt;&gt;"""", GOOGLETRANSLATE(C836, ""en"", ""te""),"""")"),"")</f>
        <v/>
      </c>
      <c r="E836" s="2"/>
      <c r="F836" s="2" t="str">
        <f>IFERROR(__xludf.DUMMYFUNCTION("IF(E836&lt;&gt;"""", GOOGLETRANSLATE(E836, ""en"", ""te""),"""")"),"")</f>
        <v/>
      </c>
      <c r="G836" s="2"/>
      <c r="H836" s="2" t="str">
        <f>IFERROR(__xludf.DUMMYFUNCTION("IF(G836&lt;&gt;"""", GOOGLETRANSLATE(G836, ""en"", ""te""),"""")"),"")</f>
        <v/>
      </c>
      <c r="I836" s="3"/>
    </row>
    <row r="837" customHeight="1" spans="1:9">
      <c r="A837" s="2"/>
      <c r="B837" s="2" t="str">
        <f>IFERROR(__xludf.DUMMYFUNCTION("IF(A837&lt;&gt;"""", GOOGLETRANSLATE(A837, ""en"", ""te""),"""")"),"")</f>
        <v/>
      </c>
      <c r="C837" s="2"/>
      <c r="D837" s="2" t="str">
        <f>IFERROR(__xludf.DUMMYFUNCTION("IF(C837&lt;&gt;"""", GOOGLETRANSLATE(C837, ""en"", ""te""),"""")"),"")</f>
        <v/>
      </c>
      <c r="E837" s="2"/>
      <c r="F837" s="2" t="str">
        <f>IFERROR(__xludf.DUMMYFUNCTION("IF(E837&lt;&gt;"""", GOOGLETRANSLATE(E837, ""en"", ""te""),"""")"),"")</f>
        <v/>
      </c>
      <c r="G837" s="2"/>
      <c r="H837" s="2" t="str">
        <f>IFERROR(__xludf.DUMMYFUNCTION("IF(G837&lt;&gt;"""", GOOGLETRANSLATE(G837, ""en"", ""te""),"""")"),"")</f>
        <v/>
      </c>
      <c r="I837" s="3"/>
    </row>
    <row r="838" customHeight="1" spans="1:9">
      <c r="A838" s="2" t="s">
        <v>662</v>
      </c>
      <c r="B838" s="2" t="str">
        <f>IFERROR(__xludf.DUMMYFUNCTION("IF(A838&lt;&gt;"""", GOOGLETRANSLATE(A838, ""en"", ""te""),"""")"),"[ 'ఒక ఇన్నింగ్స్ లో 8 వ బెస్ట్ ఫిగర్స్ ఉన్నప్పుడు పరాజయం వైపు (4)', '1 వ బౌలర్ / బ్యాట్స్ కలయికలు (4)']")</f>
        <v>[ 'ఒక ఇన్నింగ్స్ లో 8 వ బెస్ట్ ఫిగర్స్ ఉన్నప్పుడు పరాజయం వైపు (4)', '1 వ బౌలర్ / బ్యాట్స్ కలయికలు (4)']</v>
      </c>
      <c r="C838" s="2"/>
      <c r="D838" s="2" t="str">
        <f>IFERROR(__xludf.DUMMYFUNCTION("IF(C838&lt;&gt;"""", GOOGLETRANSLATE(C838, ""en"", ""te""),"""")"),"")</f>
        <v/>
      </c>
      <c r="E838" s="2"/>
      <c r="F838" s="2" t="str">
        <f>IFERROR(__xludf.DUMMYFUNCTION("IF(E838&lt;&gt;"""", GOOGLETRANSLATE(E838, ""en"", ""te""),"""")"),"")</f>
        <v/>
      </c>
      <c r="G838" s="2" t="s">
        <v>663</v>
      </c>
      <c r="H838" s="2" t="str">
        <f>IFERROR(__xludf.DUMMYFUNCTION("IF(G838&lt;&gt;"""", GOOGLETRANSLATE(G838, ""en"", ""te""),"""")"),"[ 'పరాజయం వైపు (4) ఒక ఇన్నింగ్స్ లో 8 వ బెస్ట్ ఫిగర్స్' '37 వ అత్యధిక పరుగులు ఇన్నింగ్స్ లో సాధించిన (57)', '1 వ బౌలర్ / బ్యాట్స్ కలయికలు (4)']")</f>
        <v>[ 'పరాజయం వైపు (4) ఒక ఇన్నింగ్స్ లో 8 వ బెస్ట్ ఫిగర్స్' '37 వ అత్యధిక పరుగులు ఇన్నింగ్స్ లో సాధించిన (57)', '1 వ బౌలర్ / బ్యాట్స్ కలయికలు (4)']</v>
      </c>
      <c r="I838" s="3"/>
    </row>
    <row r="839" customHeight="1" spans="1:9">
      <c r="A839" s="2"/>
      <c r="B839" s="2" t="str">
        <f>IFERROR(__xludf.DUMMYFUNCTION("IF(A839&lt;&gt;"""", GOOGLETRANSLATE(A839, ""en"", ""te""),"""")"),"")</f>
        <v/>
      </c>
      <c r="C839" s="2"/>
      <c r="D839" s="2" t="str">
        <f>IFERROR(__xludf.DUMMYFUNCTION("IF(C839&lt;&gt;"""", GOOGLETRANSLATE(C839, ""en"", ""te""),"""")"),"")</f>
        <v/>
      </c>
      <c r="E839" s="2"/>
      <c r="F839" s="2" t="str">
        <f>IFERROR(__xludf.DUMMYFUNCTION("IF(E839&lt;&gt;"""", GOOGLETRANSLATE(E839, ""en"", ""te""),"""")"),"")</f>
        <v/>
      </c>
      <c r="G839" s="2"/>
      <c r="H839" s="2" t="str">
        <f>IFERROR(__xludf.DUMMYFUNCTION("IF(G839&lt;&gt;"""", GOOGLETRANSLATE(G839, ""en"", ""te""),"""")"),"")</f>
        <v/>
      </c>
      <c r="I839" s="3"/>
    </row>
    <row r="840" customHeight="1" spans="1:9">
      <c r="A840" s="2"/>
      <c r="B840" s="2" t="str">
        <f>IFERROR(__xludf.DUMMYFUNCTION("IF(A840&lt;&gt;"""", GOOGLETRANSLATE(A840, ""en"", ""te""),"""")"),"")</f>
        <v/>
      </c>
      <c r="C840" s="2"/>
      <c r="D840" s="2" t="str">
        <f>IFERROR(__xludf.DUMMYFUNCTION("IF(C840&lt;&gt;"""", GOOGLETRANSLATE(C840, ""en"", ""te""),"""")"),"")</f>
        <v/>
      </c>
      <c r="E840" s="2"/>
      <c r="F840" s="2" t="str">
        <f>IFERROR(__xludf.DUMMYFUNCTION("IF(E840&lt;&gt;"""", GOOGLETRANSLATE(E840, ""en"", ""te""),"""")"),"")</f>
        <v/>
      </c>
      <c r="G840" s="2"/>
      <c r="H840" s="2" t="str">
        <f>IFERROR(__xludf.DUMMYFUNCTION("IF(G840&lt;&gt;"""", GOOGLETRANSLATE(G840, ""en"", ""te""),"""")"),"")</f>
        <v/>
      </c>
      <c r="I840" s="3"/>
    </row>
    <row r="841" customHeight="1" spans="1:9">
      <c r="A841" s="2"/>
      <c r="B841" s="2" t="str">
        <f>IFERROR(__xludf.DUMMYFUNCTION("IF(A841&lt;&gt;"""", GOOGLETRANSLATE(A841, ""en"", ""te""),"""")"),"")</f>
        <v/>
      </c>
      <c r="C841" s="2"/>
      <c r="D841" s="2" t="str">
        <f>IFERROR(__xludf.DUMMYFUNCTION("IF(C841&lt;&gt;"""", GOOGLETRANSLATE(C841, ""en"", ""te""),"""")"),"")</f>
        <v/>
      </c>
      <c r="E841" s="2"/>
      <c r="F841" s="2" t="str">
        <f>IFERROR(__xludf.DUMMYFUNCTION("IF(E841&lt;&gt;"""", GOOGLETRANSLATE(E841, ""en"", ""te""),"""")"),"")</f>
        <v/>
      </c>
      <c r="G841" s="2"/>
      <c r="H841" s="2" t="str">
        <f>IFERROR(__xludf.DUMMYFUNCTION("IF(G841&lt;&gt;"""", GOOGLETRANSLATE(G841, ""en"", ""te""),"""")"),"")</f>
        <v/>
      </c>
      <c r="I841" s="3"/>
    </row>
    <row r="842" customHeight="1" spans="1:9">
      <c r="A842" s="2"/>
      <c r="B842" s="2" t="str">
        <f>IFERROR(__xludf.DUMMYFUNCTION("IF(A842&lt;&gt;"""", GOOGLETRANSLATE(A842, ""en"", ""te""),"""")"),"")</f>
        <v/>
      </c>
      <c r="C842" s="2"/>
      <c r="D842" s="2" t="str">
        <f>IFERROR(__xludf.DUMMYFUNCTION("IF(C842&lt;&gt;"""", GOOGLETRANSLATE(C842, ""en"", ""te""),"""")"),"")</f>
        <v/>
      </c>
      <c r="E842" s="2"/>
      <c r="F842" s="2" t="str">
        <f>IFERROR(__xludf.DUMMYFUNCTION("IF(E842&lt;&gt;"""", GOOGLETRANSLATE(E842, ""en"", ""te""),"""")"),"")</f>
        <v/>
      </c>
      <c r="G842" s="2"/>
      <c r="H842" s="2" t="str">
        <f>IFERROR(__xludf.DUMMYFUNCTION("IF(G842&lt;&gt;"""", GOOGLETRANSLATE(G842, ""en"", ""te""),"""")"),"")</f>
        <v/>
      </c>
      <c r="I842" s="3"/>
    </row>
    <row r="843" customHeight="1" spans="1:9">
      <c r="A843" s="2"/>
      <c r="B843" s="2" t="str">
        <f>IFERROR(__xludf.DUMMYFUNCTION("IF(A843&lt;&gt;"""", GOOGLETRANSLATE(A843, ""en"", ""te""),"""")"),"")</f>
        <v/>
      </c>
      <c r="C843" s="2"/>
      <c r="D843" s="2" t="str">
        <f>IFERROR(__xludf.DUMMYFUNCTION("IF(C843&lt;&gt;"""", GOOGLETRANSLATE(C843, ""en"", ""te""),"""")"),"")</f>
        <v/>
      </c>
      <c r="E843" s="2"/>
      <c r="F843" s="2" t="str">
        <f>IFERROR(__xludf.DUMMYFUNCTION("IF(E843&lt;&gt;"""", GOOGLETRANSLATE(E843, ""en"", ""te""),"""")"),"")</f>
        <v/>
      </c>
      <c r="G843" s="2"/>
      <c r="H843" s="2" t="str">
        <f>IFERROR(__xludf.DUMMYFUNCTION("IF(G843&lt;&gt;"""", GOOGLETRANSLATE(G843, ""en"", ""te""),"""")"),"")</f>
        <v/>
      </c>
      <c r="I843" s="3"/>
    </row>
    <row r="844" customHeight="1" spans="1:9">
      <c r="A844" s="2"/>
      <c r="B844" s="2" t="str">
        <f>IFERROR(__xludf.DUMMYFUNCTION("IF(A844&lt;&gt;"""", GOOGLETRANSLATE(A844, ""en"", ""te""),"""")"),"")</f>
        <v/>
      </c>
      <c r="C844" s="2"/>
      <c r="D844" s="2" t="str">
        <f>IFERROR(__xludf.DUMMYFUNCTION("IF(C844&lt;&gt;"""", GOOGLETRANSLATE(C844, ""en"", ""te""),"""")"),"")</f>
        <v/>
      </c>
      <c r="E844" s="2"/>
      <c r="F844" s="2" t="str">
        <f>IFERROR(__xludf.DUMMYFUNCTION("IF(E844&lt;&gt;"""", GOOGLETRANSLATE(E844, ""en"", ""te""),"""")"),"")</f>
        <v/>
      </c>
      <c r="G844" s="2"/>
      <c r="H844" s="2" t="str">
        <f>IFERROR(__xludf.DUMMYFUNCTION("IF(G844&lt;&gt;"""", GOOGLETRANSLATE(G844, ""en"", ""te""),"""")"),"")</f>
        <v/>
      </c>
      <c r="I844" s="3"/>
    </row>
    <row r="845" customHeight="1" spans="1:9">
      <c r="A845" s="2"/>
      <c r="B845" s="2" t="str">
        <f>IFERROR(__xludf.DUMMYFUNCTION("IF(A845&lt;&gt;"""", GOOGLETRANSLATE(A845, ""en"", ""te""),"""")"),"")</f>
        <v/>
      </c>
      <c r="C845" s="2"/>
      <c r="D845" s="2" t="str">
        <f>IFERROR(__xludf.DUMMYFUNCTION("IF(C845&lt;&gt;"""", GOOGLETRANSLATE(C845, ""en"", ""te""),"""")"),"")</f>
        <v/>
      </c>
      <c r="E845" s="2"/>
      <c r="F845" s="2" t="str">
        <f>IFERROR(__xludf.DUMMYFUNCTION("IF(E845&lt;&gt;"""", GOOGLETRANSLATE(E845, ""en"", ""te""),"""")"),"")</f>
        <v/>
      </c>
      <c r="G845" s="2"/>
      <c r="H845" s="2" t="str">
        <f>IFERROR(__xludf.DUMMYFUNCTION("IF(G845&lt;&gt;"""", GOOGLETRANSLATE(G845, ""en"", ""te""),"""")"),"")</f>
        <v/>
      </c>
      <c r="I845" s="3"/>
    </row>
    <row r="846" customHeight="1" spans="1:9">
      <c r="A846" s="2"/>
      <c r="B846" s="2" t="str">
        <f>IFERROR(__xludf.DUMMYFUNCTION("IF(A846&lt;&gt;"""", GOOGLETRANSLATE(A846, ""en"", ""te""),"""")"),"")</f>
        <v/>
      </c>
      <c r="C846" s="2"/>
      <c r="D846" s="2" t="str">
        <f>IFERROR(__xludf.DUMMYFUNCTION("IF(C846&lt;&gt;"""", GOOGLETRANSLATE(C846, ""en"", ""te""),"""")"),"")</f>
        <v/>
      </c>
      <c r="E846" s="2"/>
      <c r="F846" s="2" t="str">
        <f>IFERROR(__xludf.DUMMYFUNCTION("IF(E846&lt;&gt;"""", GOOGLETRANSLATE(E846, ""en"", ""te""),"""")"),"")</f>
        <v/>
      </c>
      <c r="G846" s="2"/>
      <c r="H846" s="2" t="str">
        <f>IFERROR(__xludf.DUMMYFUNCTION("IF(G846&lt;&gt;"""", GOOGLETRANSLATE(G846, ""en"", ""te""),"""")"),"")</f>
        <v/>
      </c>
      <c r="I846" s="3"/>
    </row>
    <row r="847" customHeight="1" spans="1:9">
      <c r="A847" s="2"/>
      <c r="B847" s="2" t="str">
        <f>IFERROR(__xludf.DUMMYFUNCTION("IF(A847&lt;&gt;"""", GOOGLETRANSLATE(A847, ""en"", ""te""),"""")"),"")</f>
        <v/>
      </c>
      <c r="C847" s="2" t="s">
        <v>664</v>
      </c>
      <c r="D847" s="2" t="str">
        <f>IFERROR(__xludf.DUMMYFUNCTION("IF(C847&lt;&gt;"""", GOOGLETRANSLATE(C847, ""en"", ""te""),"""")"),"[ '15 వ ఉత్తమ కెరీర్ బౌలింగ్ సరాసరి (అర్హత లేకుండా) (7.00)']")</f>
        <v>[ '15 వ ఉత్తమ కెరీర్ బౌలింగ్ సరాసరి (అర్హత లేకుండా) (7.00)']</v>
      </c>
      <c r="E847" s="2"/>
      <c r="F847" s="2" t="str">
        <f>IFERROR(__xludf.DUMMYFUNCTION("IF(E847&lt;&gt;"""", GOOGLETRANSLATE(E847, ""en"", ""te""),"""")"),"")</f>
        <v/>
      </c>
      <c r="G847" s="2"/>
      <c r="H847" s="2" t="str">
        <f>IFERROR(__xludf.DUMMYFUNCTION("IF(G847&lt;&gt;"""", GOOGLETRANSLATE(G847, ""en"", ""te""),"""")"),"")</f>
        <v/>
      </c>
      <c r="I847" s="3"/>
    </row>
    <row r="848" customHeight="1" spans="1:9">
      <c r="A848" s="2"/>
      <c r="B848" s="2" t="str">
        <f>IFERROR(__xludf.DUMMYFUNCTION("IF(A848&lt;&gt;"""", GOOGLETRANSLATE(A848, ""en"", ""te""),"""")"),"")</f>
        <v/>
      </c>
      <c r="C848" s="2"/>
      <c r="D848" s="2" t="str">
        <f>IFERROR(__xludf.DUMMYFUNCTION("IF(C848&lt;&gt;"""", GOOGLETRANSLATE(C848, ""en"", ""te""),"""")"),"")</f>
        <v/>
      </c>
      <c r="E848" s="2"/>
      <c r="F848" s="2" t="str">
        <f>IFERROR(__xludf.DUMMYFUNCTION("IF(E848&lt;&gt;"""", GOOGLETRANSLATE(E848, ""en"", ""te""),"""")"),"")</f>
        <v/>
      </c>
      <c r="G848" s="2"/>
      <c r="H848" s="2" t="str">
        <f>IFERROR(__xludf.DUMMYFUNCTION("IF(G848&lt;&gt;"""", GOOGLETRANSLATE(G848, ""en"", ""te""),"""")"),"")</f>
        <v/>
      </c>
      <c r="I848" s="3"/>
    </row>
    <row r="849" customHeight="1" spans="1:9">
      <c r="A849" s="2" t="s">
        <v>665</v>
      </c>
      <c r="B849" s="2" t="str">
        <f>IFERROR(__xludf.DUMMYFUNCTION("IF(A849&lt;&gt;"""", GOOGLETRANSLATE(A849, ""en"", ""te""),"""")"),"[ 'ఇన్నింగ్స్ లో 3 వ అత్యధిక పరుగులు (బ్యాటింగ్ స్థానంలో ప్రకారం) (108)', 'ఇన్నింగ్స్ లో 1 వ అత్యుత్తమ బౌలింగ్ విశ్లేషించడం (1/0)', ​​'10 వ అత్యంత వృద్ధ ఆటగాడు తొలి వంద (37y 306d) స్కోర్']")</f>
        <v>[ 'ఇన్నింగ్స్ లో 3 వ అత్యధిక పరుగులు (బ్యాటింగ్ స్థానంలో ప్రకారం) (108)', 'ఇన్నింగ్స్ లో 1 వ అత్యుత్తమ బౌలింగ్ విశ్లేషించడం (1/0)', ​​'10 వ అత్యంత వృద్ధ ఆటగాడు తొలి వంద (37y 306d) స్కోర్']</v>
      </c>
      <c r="C849" s="2" t="s">
        <v>665</v>
      </c>
      <c r="D849" s="2" t="str">
        <f>IFERROR(__xludf.DUMMYFUNCTION("IF(C849&lt;&gt;"""", GOOGLETRANSLATE(C849, ""en"", ""te""),"""")"),"[ 'ఇన్నింగ్స్ లో 3 వ అత్యధిక పరుగులు (బ్యాటింగ్ స్థానంలో ప్రకారం) (108)', 'ఇన్నింగ్స్ లో 1 వ అత్యుత్తమ బౌలింగ్ విశ్లేషించడం (1/0)', ​​'10 వ అత్యంత వృద్ధ ఆటగాడు తొలి వంద (37y 306d) స్కోర్']")</f>
        <v>[ 'ఇన్నింగ్స్ లో 3 వ అత్యధిక పరుగులు (బ్యాటింగ్ స్థానంలో ప్రకారం) (108)', 'ఇన్నింగ్స్ లో 1 వ అత్యుత్తమ బౌలింగ్ విశ్లేషించడం (1/0)', ​​'10 వ అత్యంత వృద్ధ ఆటగాడు తొలి వంద (37y 306d) స్కోర్']</v>
      </c>
      <c r="E849" s="2"/>
      <c r="F849" s="2" t="str">
        <f>IFERROR(__xludf.DUMMYFUNCTION("IF(E849&lt;&gt;"""", GOOGLETRANSLATE(E849, ""en"", ""te""),"""")"),"")</f>
        <v/>
      </c>
      <c r="G849" s="2"/>
      <c r="H849" s="2" t="str">
        <f>IFERROR(__xludf.DUMMYFUNCTION("IF(G849&lt;&gt;"""", GOOGLETRANSLATE(G849, ""en"", ""te""),"""")"),"")</f>
        <v/>
      </c>
      <c r="I849" s="3"/>
    </row>
    <row r="850" customHeight="1" spans="1:9">
      <c r="A850" s="2"/>
      <c r="B850" s="2" t="str">
        <f>IFERROR(__xludf.DUMMYFUNCTION("IF(A850&lt;&gt;"""", GOOGLETRANSLATE(A850, ""en"", ""te""),"""")"),"")</f>
        <v/>
      </c>
      <c r="C850" s="2"/>
      <c r="D850" s="2" t="str">
        <f>IFERROR(__xludf.DUMMYFUNCTION("IF(C850&lt;&gt;"""", GOOGLETRANSLATE(C850, ""en"", ""te""),"""")"),"")</f>
        <v/>
      </c>
      <c r="E850" s="2"/>
      <c r="F850" s="2" t="str">
        <f>IFERROR(__xludf.DUMMYFUNCTION("IF(E850&lt;&gt;"""", GOOGLETRANSLATE(E850, ""en"", ""te""),"""")"),"")</f>
        <v/>
      </c>
      <c r="G850" s="2" t="s">
        <v>666</v>
      </c>
      <c r="H850" s="2" t="str">
        <f>IFERROR(__xludf.DUMMYFUNCTION("IF(G850&lt;&gt;"""", GOOGLETRANSLATE(G850, ""en"", ""te""),"""")"),"[ '45 వ పురాతన దేశం ఆటగాళ్ళు (47y 353d)']")</f>
        <v>[ '45 వ పురాతన దేశం ఆటగాళ్ళు (47y 353d)']</v>
      </c>
      <c r="I850" s="3"/>
    </row>
    <row r="851" customHeight="1" spans="1:9">
      <c r="A851" s="2"/>
      <c r="B851" s="2" t="str">
        <f>IFERROR(__xludf.DUMMYFUNCTION("IF(A851&lt;&gt;"""", GOOGLETRANSLATE(A851, ""en"", ""te""),"""")"),"")</f>
        <v/>
      </c>
      <c r="C851" s="2"/>
      <c r="D851" s="2" t="str">
        <f>IFERROR(__xludf.DUMMYFUNCTION("IF(C851&lt;&gt;"""", GOOGLETRANSLATE(C851, ""en"", ""te""),"""")"),"")</f>
        <v/>
      </c>
      <c r="E851" s="2"/>
      <c r="F851" s="2" t="str">
        <f>IFERROR(__xludf.DUMMYFUNCTION("IF(E851&lt;&gt;"""", GOOGLETRANSLATE(E851, ""en"", ""te""),"""")"),"")</f>
        <v/>
      </c>
      <c r="G851" s="2"/>
      <c r="H851" s="2" t="str">
        <f>IFERROR(__xludf.DUMMYFUNCTION("IF(G851&lt;&gt;"""", GOOGLETRANSLATE(G851, ""en"", ""te""),"""")"),"")</f>
        <v/>
      </c>
      <c r="I851" s="3"/>
    </row>
    <row r="852" customHeight="1" spans="1:9">
      <c r="A852" s="2"/>
      <c r="B852" s="2" t="str">
        <f>IFERROR(__xludf.DUMMYFUNCTION("IF(A852&lt;&gt;"""", GOOGLETRANSLATE(A852, ""en"", ""te""),"""")"),"")</f>
        <v/>
      </c>
      <c r="C852" s="2"/>
      <c r="D852" s="2" t="str">
        <f>IFERROR(__xludf.DUMMYFUNCTION("IF(C852&lt;&gt;"""", GOOGLETRANSLATE(C852, ""en"", ""te""),"""")"),"")</f>
        <v/>
      </c>
      <c r="E852" s="2"/>
      <c r="F852" s="2" t="str">
        <f>IFERROR(__xludf.DUMMYFUNCTION("IF(E852&lt;&gt;"""", GOOGLETRANSLATE(E852, ""en"", ""te""),"""")"),"")</f>
        <v/>
      </c>
      <c r="G852" s="2"/>
      <c r="H852" s="2" t="str">
        <f>IFERROR(__xludf.DUMMYFUNCTION("IF(G852&lt;&gt;"""", GOOGLETRANSLATE(G852, ""en"", ""te""),"""")"),"")</f>
        <v/>
      </c>
      <c r="I852" s="3"/>
    </row>
    <row r="853" customHeight="1" spans="1:9">
      <c r="A853" s="2"/>
      <c r="B853" s="2" t="str">
        <f>IFERROR(__xludf.DUMMYFUNCTION("IF(A853&lt;&gt;"""", GOOGLETRANSLATE(A853, ""en"", ""te""),"""")"),"")</f>
        <v/>
      </c>
      <c r="C853" s="2"/>
      <c r="D853" s="2" t="str">
        <f>IFERROR(__xludf.DUMMYFUNCTION("IF(C853&lt;&gt;"""", GOOGLETRANSLATE(C853, ""en"", ""te""),"""")"),"")</f>
        <v/>
      </c>
      <c r="E853" s="2"/>
      <c r="F853" s="2" t="str">
        <f>IFERROR(__xludf.DUMMYFUNCTION("IF(E853&lt;&gt;"""", GOOGLETRANSLATE(E853, ""en"", ""te""),"""")"),"")</f>
        <v/>
      </c>
      <c r="G853" s="2"/>
      <c r="H853" s="2" t="str">
        <f>IFERROR(__xludf.DUMMYFUNCTION("IF(G853&lt;&gt;"""", GOOGLETRANSLATE(G853, ""en"", ""te""),"""")"),"")</f>
        <v/>
      </c>
      <c r="I853" s="3"/>
    </row>
    <row r="854" customHeight="1" spans="1:9">
      <c r="A854" s="2"/>
      <c r="B854" s="2" t="str">
        <f>IFERROR(__xludf.DUMMYFUNCTION("IF(A854&lt;&gt;"""", GOOGLETRANSLATE(A854, ""en"", ""te""),"""")"),"")</f>
        <v/>
      </c>
      <c r="C854" s="2"/>
      <c r="D854" s="2" t="str">
        <f>IFERROR(__xludf.DUMMYFUNCTION("IF(C854&lt;&gt;"""", GOOGLETRANSLATE(C854, ""en"", ""te""),"""")"),"")</f>
        <v/>
      </c>
      <c r="E854" s="2"/>
      <c r="F854" s="2" t="str">
        <f>IFERROR(__xludf.DUMMYFUNCTION("IF(E854&lt;&gt;"""", GOOGLETRANSLATE(E854, ""en"", ""te""),"""")"),"")</f>
        <v/>
      </c>
      <c r="G854" s="2"/>
      <c r="H854" s="2" t="str">
        <f>IFERROR(__xludf.DUMMYFUNCTION("IF(G854&lt;&gt;"""", GOOGLETRANSLATE(G854, ""en"", ""te""),"""")"),"")</f>
        <v/>
      </c>
      <c r="I854" s="3"/>
    </row>
    <row r="855" customHeight="1" spans="1:9">
      <c r="A855" s="2" t="s">
        <v>667</v>
      </c>
      <c r="B855" s="2" t="str">
        <f>IFERROR(__xludf.DUMMYFUNCTION("IF(A855&lt;&gt;"""", GOOGLETRANSLATE(A855, ""en"", ""te""),"""")"),"[ 'ఇన్నింగ్స్ లో 1 వ అత్యంత పనికత్తెలయొద్ద (2)']")</f>
        <v>[ 'ఇన్నింగ్స్ లో 1 వ అత్యంత పనికత్తెలయొద్ద (2)']</v>
      </c>
      <c r="C855" s="2"/>
      <c r="D855" s="2" t="str">
        <f>IFERROR(__xludf.DUMMYFUNCTION("IF(C855&lt;&gt;"""", GOOGLETRANSLATE(C855, ""en"", ""te""),"""")"),"")</f>
        <v/>
      </c>
      <c r="E855" s="2" t="s">
        <v>668</v>
      </c>
      <c r="F855" s="2" t="str">
        <f>IFERROR(__xludf.DUMMYFUNCTION("IF(E855&lt;&gt;"""", GOOGLETRANSLATE(E855, ""en"", ""te""),"""")"),"[ '46 వ ఉత్తమ కెరీర్ సమ్మె రేటు (31.5)', '15 వ అరంగేట్రంలోనే ఇన్నింగ్స్ లోని బెస్ట్ ఫిగర్స్ (4)', '13 వ వరుస నాలుగు వికెట్లు-ఇన్-ఒక-ఇన్నింగ్స్ (2)', '17 వ 50 వికెట్లు వేగంగా (27) ']")</f>
        <v>[ '46 వ ఉత్తమ కెరీర్ సమ్మె రేటు (31.5)', '15 వ అరంగేట్రంలోనే ఇన్నింగ్స్ లోని బెస్ట్ ఫిగర్స్ (4)', '13 వ వరుస నాలుగు వికెట్లు-ఇన్-ఒక-ఇన్నింగ్స్ (2)', '17 వ 50 వికెట్లు వేగంగా (27) ']</v>
      </c>
      <c r="G855" s="2" t="s">
        <v>667</v>
      </c>
      <c r="H855" s="2" t="str">
        <f>IFERROR(__xludf.DUMMYFUNCTION("IF(G855&lt;&gt;"""", GOOGLETRANSLATE(G855, ""en"", ""te""),"""")"),"[ 'ఇన్నింగ్స్ లో 1 వ అత్యంత పనికత్తెలయొద్ద (2)']")</f>
        <v>[ 'ఇన్నింగ్స్ లో 1 వ అత్యంత పనికత్తెలయొద్ద (2)']</v>
      </c>
      <c r="I855" s="3"/>
    </row>
    <row r="856" customHeight="1" spans="1:9">
      <c r="A856" s="2"/>
      <c r="B856" s="2" t="str">
        <f>IFERROR(__xludf.DUMMYFUNCTION("IF(A856&lt;&gt;"""", GOOGLETRANSLATE(A856, ""en"", ""te""),"""")"),"")</f>
        <v/>
      </c>
      <c r="C856" s="2"/>
      <c r="D856" s="2" t="str">
        <f>IFERROR(__xludf.DUMMYFUNCTION("IF(C856&lt;&gt;"""", GOOGLETRANSLATE(C856, ""en"", ""te""),"""")"),"")</f>
        <v/>
      </c>
      <c r="E856" s="2"/>
      <c r="F856" s="2" t="str">
        <f>IFERROR(__xludf.DUMMYFUNCTION("IF(E856&lt;&gt;"""", GOOGLETRANSLATE(E856, ""en"", ""te""),"""")"),"")</f>
        <v/>
      </c>
      <c r="G856" s="2"/>
      <c r="H856" s="2" t="str">
        <f>IFERROR(__xludf.DUMMYFUNCTION("IF(G856&lt;&gt;"""", GOOGLETRANSLATE(G856, ""en"", ""te""),"""")"),"")</f>
        <v/>
      </c>
      <c r="I856" s="3"/>
    </row>
    <row r="857" customHeight="1" spans="1:9">
      <c r="A857" s="2"/>
      <c r="B857" s="2" t="str">
        <f>IFERROR(__xludf.DUMMYFUNCTION("IF(A857&lt;&gt;"""", GOOGLETRANSLATE(A857, ""en"", ""te""),"""")"),"")</f>
        <v/>
      </c>
      <c r="C857" s="2"/>
      <c r="D857" s="2" t="str">
        <f>IFERROR(__xludf.DUMMYFUNCTION("IF(C857&lt;&gt;"""", GOOGLETRANSLATE(C857, ""en"", ""te""),"""")"),"")</f>
        <v/>
      </c>
      <c r="E857" s="2"/>
      <c r="F857" s="2" t="str">
        <f>IFERROR(__xludf.DUMMYFUNCTION("IF(E857&lt;&gt;"""", GOOGLETRANSLATE(E857, ""en"", ""te""),"""")"),"")</f>
        <v/>
      </c>
      <c r="G857" s="2"/>
      <c r="H857" s="2" t="str">
        <f>IFERROR(__xludf.DUMMYFUNCTION("IF(G857&lt;&gt;"""", GOOGLETRANSLATE(G857, ""en"", ""te""),"""")"),"")</f>
        <v/>
      </c>
      <c r="I857" s="3"/>
    </row>
    <row r="858" customHeight="1" spans="1:9">
      <c r="A858" s="2" t="s">
        <v>669</v>
      </c>
      <c r="B858" s="2" t="str">
        <f>IFERROR(__xludf.DUMMYFUNCTION("IF(A858&lt;&gt;"""", GOOGLETRANSLATE(A858, ""en"", ""te""),"""")"),"[ '(26 *) ఒక ఇన్నింగ్స్లో ద్వారా బ్యాట్ వాహక']")</f>
        <v>[ '(26 *) ఒక ఇన్నింగ్స్లో ద్వారా బ్యాట్ వాహక']</v>
      </c>
      <c r="C858" s="2"/>
      <c r="D858" s="2" t="str">
        <f>IFERROR(__xludf.DUMMYFUNCTION("IF(C858&lt;&gt;"""", GOOGLETRANSLATE(C858, ""en"", ""te""),"""")"),"")</f>
        <v/>
      </c>
      <c r="E858" s="2"/>
      <c r="F858" s="2" t="str">
        <f>IFERROR(__xludf.DUMMYFUNCTION("IF(E858&lt;&gt;"""", GOOGLETRANSLATE(E858, ""en"", ""te""),"""")"),"")</f>
        <v/>
      </c>
      <c r="G858" s="2"/>
      <c r="H858" s="2" t="str">
        <f>IFERROR(__xludf.DUMMYFUNCTION("IF(G858&lt;&gt;"""", GOOGLETRANSLATE(G858, ""en"", ""te""),"""")"),"")</f>
        <v/>
      </c>
      <c r="I858" s="3"/>
    </row>
    <row r="859" customHeight="1" spans="1:9">
      <c r="A859" s="2" t="s">
        <v>670</v>
      </c>
      <c r="B859" s="2" t="str">
        <f>IFERROR(__xludf.DUMMYFUNCTION("IF(A859&lt;&gt;"""", GOOGLETRANSLATE(A859, ""en"", ""te""),"""")"),"[ 'తొలి 2nd తొంభై (97)', 'పెయిర్ ఒక కెప్టెన్తో']")</f>
        <v>[ 'తొలి 2nd తొంభై (97)', 'పెయిర్ ఒక కెప్టెన్తో']</v>
      </c>
      <c r="C859" s="2" t="s">
        <v>671</v>
      </c>
      <c r="D859" s="2" t="str">
        <f>IFERROR(__xludf.DUMMYFUNCTION("IF(C859&lt;&gt;"""", GOOGLETRANSLATE(C859, ""en"", ""te""),"""")"),"[ 'తొలి 2nd తొంభై (97)', 'కెప్టెన్సీ ప్రవేశం (35y 275d) పై 46 వ ఓల్డెస్ట్ కెప్టెన్లు']")</f>
        <v>[ 'తొలి 2nd తొంభై (97)', 'కెప్టెన్సీ ప్రవేశం (35y 275d) పై 46 వ ఓల్డెస్ట్ కెప్టెన్లు']</v>
      </c>
      <c r="E859" s="2"/>
      <c r="F859" s="2" t="str">
        <f>IFERROR(__xludf.DUMMYFUNCTION("IF(E859&lt;&gt;"""", GOOGLETRANSLATE(E859, ""en"", ""te""),"""")"),"")</f>
        <v/>
      </c>
      <c r="G859" s="2"/>
      <c r="H859" s="2" t="str">
        <f>IFERROR(__xludf.DUMMYFUNCTION("IF(G859&lt;&gt;"""", GOOGLETRANSLATE(G859, ""en"", ""te""),"""")"),"")</f>
        <v/>
      </c>
      <c r="I859" s="3"/>
    </row>
    <row r="860" customHeight="1" spans="1:9">
      <c r="A860" s="2"/>
      <c r="B860" s="2" t="str">
        <f>IFERROR(__xludf.DUMMYFUNCTION("IF(A860&lt;&gt;"""", GOOGLETRANSLATE(A860, ""en"", ""te""),"""")"),"")</f>
        <v/>
      </c>
      <c r="C860" s="2"/>
      <c r="D860" s="2" t="str">
        <f>IFERROR(__xludf.DUMMYFUNCTION("IF(C860&lt;&gt;"""", GOOGLETRANSLATE(C860, ""en"", ""te""),"""")"),"")</f>
        <v/>
      </c>
      <c r="E860" s="2"/>
      <c r="F860" s="2" t="str">
        <f>IFERROR(__xludf.DUMMYFUNCTION("IF(E860&lt;&gt;"""", GOOGLETRANSLATE(E860, ""en"", ""te""),"""")"),"")</f>
        <v/>
      </c>
      <c r="G860" s="2"/>
      <c r="H860" s="2" t="str">
        <f>IFERROR(__xludf.DUMMYFUNCTION("IF(G860&lt;&gt;"""", GOOGLETRANSLATE(G860, ""en"", ""te""),"""")"),"")</f>
        <v/>
      </c>
      <c r="I860" s="3"/>
    </row>
    <row r="861" customHeight="1" spans="1:9">
      <c r="A861" s="2"/>
      <c r="B861" s="2" t="str">
        <f>IFERROR(__xludf.DUMMYFUNCTION("IF(A861&lt;&gt;"""", GOOGLETRANSLATE(A861, ""en"", ""te""),"""")"),"")</f>
        <v/>
      </c>
      <c r="C861" s="2" t="s">
        <v>672</v>
      </c>
      <c r="D861" s="2" t="str">
        <f>IFERROR(__xludf.DUMMYFUNCTION("IF(C861&lt;&gt;"""", GOOGLETRANSLATE(C861, ""en"", ""te""),"""")"),"[ '11 వ ఉత్తమ కెరీర్ బౌలింగ్ సరాసరి (అర్హత లేకుండా) (7.00)']")</f>
        <v>[ '11 వ ఉత్తమ కెరీర్ బౌలింగ్ సరాసరి (అర్హత లేకుండా) (7.00)']</v>
      </c>
      <c r="E861" s="2" t="s">
        <v>673</v>
      </c>
      <c r="F861" s="2" t="str">
        <f>IFERROR(__xludf.DUMMYFUNCTION("IF(E861&lt;&gt;"""", GOOGLETRANSLATE(E861, ""en"", ""te""),"""")"),"[ 'మొదటి డక్ (15) ముందు 40 వ అత్యంత ఇన్నింగ్స్]")</f>
        <v>[ 'మొదటి డక్ (15) ముందు 40 వ అత్యంత ఇన్నింగ్స్]</v>
      </c>
      <c r="G861" s="2"/>
      <c r="H861" s="2" t="str">
        <f>IFERROR(__xludf.DUMMYFUNCTION("IF(G861&lt;&gt;"""", GOOGLETRANSLATE(G861, ""en"", ""te""),"""")"),"")</f>
        <v/>
      </c>
      <c r="I861" s="3"/>
    </row>
    <row r="862" customHeight="1" spans="1:9">
      <c r="A862" s="2" t="s">
        <v>674</v>
      </c>
      <c r="B862" s="2" t="str">
        <f>IFERROR(__xludf.DUMMYFUNCTION("IF(A862&lt;&gt;"""", GOOGLETRANSLATE(A862, ""en"", ""te""),"""")"),"[ 'ఇన్నింగ్స్ లో 2 వ అత్యధిక పరుగులు (బ్యాటింగ్ స్థానంలో ప్రకారం) (92)', '4 వ ఇన్నింగ్స్ లో అత్యధిక క్యాచ్లు (3)', 'ఆరవ వికెట్కు 10 వ అత్యధిక భాగస్వామ్యం (89)', 'చాలా 5 వ ఇన్నింగ్స్ లో పరుగులు (బ్యాటింగ్ స్థానం) (40) ',' 2 వ చెత్త కెరీర్లో ఆర్థిక రేటు (7."&amp;"09) ',' ఏడవ వికెట్కు 7 వ అత్యధిక భాగస్వామ్యం (54) ']")</f>
        <v>[ 'ఇన్నింగ్స్ లో 2 వ అత్యధిక పరుగులు (బ్యాటింగ్ స్థానంలో ప్రకారం) (92)', '4 వ ఇన్నింగ్స్ లో అత్యధిక క్యాచ్లు (3)', 'ఆరవ వికెట్కు 10 వ అత్యధిక భాగస్వామ్యం (89)', 'చాలా 5 వ ఇన్నింగ్స్ లో పరుగులు (బ్యాటింగ్ స్థానం) (40) ',' 2 వ చెత్త కెరీర్లో ఆర్థిక రేటు (7.09) ',' ఏడవ వికెట్కు 7 వ అత్యధిక భాగస్వామ్యం (54) ']</v>
      </c>
      <c r="C862" s="2"/>
      <c r="D862" s="2" t="str">
        <f>IFERROR(__xludf.DUMMYFUNCTION("IF(C862&lt;&gt;"""", GOOGLETRANSLATE(C862, ""en"", ""te""),"""")"),"")</f>
        <v/>
      </c>
      <c r="E862" s="2" t="s">
        <v>675</v>
      </c>
      <c r="F862" s="2" t="str">
        <f>IFERROR(__xludf.DUMMYFUNCTION("IF(E862&lt;&gt;"""", GOOGLETRANSLATE(E862, ""en"", ""te""),"""")"),"[18 వ అత్యధిక పరుగులు జీవితంలో వంద (1233) లేకుండా ',' 16 వ వరుస ఇన్నింగ్స్లో డకౌట్ (43 *) లేకుండా '' 2 వ అత్యంత ఇన్నింగ్స్ లో నడుస్తుంది (బ్యాటింగ్ స్థానం) (92) ',' 27 చెత్త వృత్తి వరుస సగటు (34.88) ',' 47 వ చెత్త కెరీర్లో ఆర్థిక వ్యవస్థ ఇన్నింగ్స్ (3) ',"&amp;"' 12 వ అత్యధిక క్యాచ్లు లో రేటు (4.07) ',' 4 వ అత్యధిక క్యాచ్లు బౌలింగ్ (10) ఆరవ కోసం ',' 10 వ అత్యధిక భాగస్వామ్యం వికెట్ (89) ',' తొమ్మిదవ వికెట్కు 41 వ అత్యధిక భాగస్వామ్యం (36) ',' 27th పిన్న కాప్టెన్ (23y 112d) ']")</f>
        <v>[18 వ అత్యధిక పరుగులు జీవితంలో వంద (1233) లేకుండా ',' 16 వ వరుస ఇన్నింగ్స్లో డకౌట్ (43 *) లేకుండా '' 2 వ అత్యంత ఇన్నింగ్స్ లో నడుస్తుంది (బ్యాటింగ్ స్థానం) (92) ',' 27 చెత్త వృత్తి వరుస సగటు (34.88) ',' 47 వ చెత్త కెరీర్లో ఆర్థిక వ్యవస్థ ఇన్నింగ్స్ (3) ',' 12 వ అత్యధిక క్యాచ్లు లో రేటు (4.07) ',' 4 వ అత్యధిక క్యాచ్లు బౌలింగ్ (10) ఆరవ కోసం ',' 10 వ అత్యధిక భాగస్వామ్యం వికెట్ (89) ',' తొమ్మిదవ వికెట్కు 41 వ అత్యధిక భాగస్వామ్యం (36) ',' 27th పిన్న కాప్టెన్ (23y 112d) ']</v>
      </c>
      <c r="G862" s="2" t="s">
        <v>676</v>
      </c>
      <c r="H862" s="2" t="str">
        <f>IFERROR(__xludf.DUMMYFUNCTION("IF(G862&lt;&gt;"""", GOOGLETRANSLATE(G862, ""en"", ""te""),"""")"),"[ 'మొదటి డక్ ముందు 37 వ అత్యంత ఇన్నింగ్స్ (13)' 'ఇన్నింగ్స్ లో 5 వ అత్యధిక పరుగులు (బ్యాటింగ్ స్థానంలో ప్రకారం) (40)', 'ఒక డక్ లేకుండా 35 వ వరుస ఇన్నింగ్స్ (31)', '5 వ చెత్త కెరీర్ సగటు బౌలింగ్ ( 34.36) ',' 2 వ చెత్త కెరీర్లో ఆర్థిక రేటు (7.09) ',' 8 వ చె"&amp;"త్త కెరీర్లో సమ్మె రేటు (29.0) ',' ఇన్నింగ్స్ లో 9 వ చెత్త ఆర్థిక రేటు (17.00) ',' ఐదవ వికెట్కు 23 అత్యధిక భాగస్వామ్యం (63) ',' ఏడవ వికెట్కు 7 వ అత్యధిక భాగస్వామ్యం (54) ']")</f>
        <v>[ 'మొదటి డక్ ముందు 37 వ అత్యంత ఇన్నింగ్స్ (13)' 'ఇన్నింగ్స్ లో 5 వ అత్యధిక పరుగులు (బ్యాటింగ్ స్థానంలో ప్రకారం) (40)', 'ఒక డక్ లేకుండా 35 వ వరుస ఇన్నింగ్స్ (31)', '5 వ చెత్త కెరీర్ సగటు బౌలింగ్ ( 34.36) ',' 2 వ చెత్త కెరీర్లో ఆర్థిక రేటు (7.09) ',' 8 వ చెత్త కెరీర్లో సమ్మె రేటు (29.0) ',' ఇన్నింగ్స్ లో 9 వ చెత్త ఆర్థిక రేటు (17.00) ',' ఐదవ వికెట్కు 23 అత్యధిక భాగస్వామ్యం (63) ',' ఏడవ వికెట్కు 7 వ అత్యధిక భాగస్వామ్యం (54) ']</v>
      </c>
      <c r="I862" s="3"/>
    </row>
    <row r="863" customHeight="1" spans="1:9">
      <c r="A863" s="2"/>
      <c r="B863" s="2" t="str">
        <f>IFERROR(__xludf.DUMMYFUNCTION("IF(A863&lt;&gt;"""", GOOGLETRANSLATE(A863, ""en"", ""te""),"""")"),"")</f>
        <v/>
      </c>
      <c r="C863" s="2"/>
      <c r="D863" s="2" t="str">
        <f>IFERROR(__xludf.DUMMYFUNCTION("IF(C863&lt;&gt;"""", GOOGLETRANSLATE(C863, ""en"", ""te""),"""")"),"")</f>
        <v/>
      </c>
      <c r="E863" s="2"/>
      <c r="F863" s="2" t="str">
        <f>IFERROR(__xludf.DUMMYFUNCTION("IF(E863&lt;&gt;"""", GOOGLETRANSLATE(E863, ""en"", ""te""),"""")"),"")</f>
        <v/>
      </c>
      <c r="G863" s="2"/>
      <c r="H863" s="2" t="str">
        <f>IFERROR(__xludf.DUMMYFUNCTION("IF(G863&lt;&gt;"""", GOOGLETRANSLATE(G863, ""en"", ""te""),"""")"),"")</f>
        <v/>
      </c>
      <c r="I863" s="3"/>
    </row>
    <row r="864" customHeight="1" spans="1:9">
      <c r="A864" s="2"/>
      <c r="B864" s="2" t="str">
        <f>IFERROR(__xludf.DUMMYFUNCTION("IF(A864&lt;&gt;"""", GOOGLETRANSLATE(A864, ""en"", ""te""),"""")"),"")</f>
        <v/>
      </c>
      <c r="C864" s="2"/>
      <c r="D864" s="2" t="str">
        <f>IFERROR(__xludf.DUMMYFUNCTION("IF(C864&lt;&gt;"""", GOOGLETRANSLATE(C864, ""en"", ""te""),"""")"),"")</f>
        <v/>
      </c>
      <c r="E864" s="2"/>
      <c r="F864" s="2" t="str">
        <f>IFERROR(__xludf.DUMMYFUNCTION("IF(E864&lt;&gt;"""", GOOGLETRANSLATE(E864, ""en"", ""te""),"""")"),"")</f>
        <v/>
      </c>
      <c r="G864" s="2"/>
      <c r="H864" s="2" t="str">
        <f>IFERROR(__xludf.DUMMYFUNCTION("IF(G864&lt;&gt;"""", GOOGLETRANSLATE(G864, ""en"", ""te""),"""")"),"")</f>
        <v/>
      </c>
      <c r="I864" s="3"/>
    </row>
    <row r="865" customHeight="1" spans="1:9">
      <c r="A865" s="2"/>
      <c r="B865" s="2" t="str">
        <f>IFERROR(__xludf.DUMMYFUNCTION("IF(A865&lt;&gt;"""", GOOGLETRANSLATE(A865, ""en"", ""te""),"""")"),"")</f>
        <v/>
      </c>
      <c r="C865" s="2"/>
      <c r="D865" s="2" t="str">
        <f>IFERROR(__xludf.DUMMYFUNCTION("IF(C865&lt;&gt;"""", GOOGLETRANSLATE(C865, ""en"", ""te""),"""")"),"")</f>
        <v/>
      </c>
      <c r="E865" s="2"/>
      <c r="F865" s="2" t="str">
        <f>IFERROR(__xludf.DUMMYFUNCTION("IF(E865&lt;&gt;"""", GOOGLETRANSLATE(E865, ""en"", ""te""),"""")"),"")</f>
        <v/>
      </c>
      <c r="G865" s="2"/>
      <c r="H865" s="2" t="str">
        <f>IFERROR(__xludf.DUMMYFUNCTION("IF(G865&lt;&gt;"""", GOOGLETRANSLATE(G865, ""en"", ""te""),"""")"),"")</f>
        <v/>
      </c>
      <c r="I865" s="3"/>
    </row>
    <row r="866" customHeight="1" spans="1:9">
      <c r="A866" s="2"/>
      <c r="B866" s="2" t="str">
        <f>IFERROR(__xludf.DUMMYFUNCTION("IF(A866&lt;&gt;"""", GOOGLETRANSLATE(A866, ""en"", ""te""),"""")"),"")</f>
        <v/>
      </c>
      <c r="C866" s="2"/>
      <c r="D866" s="2" t="str">
        <f>IFERROR(__xludf.DUMMYFUNCTION("IF(C866&lt;&gt;"""", GOOGLETRANSLATE(C866, ""en"", ""te""),"""")"),"")</f>
        <v/>
      </c>
      <c r="E866" s="2" t="s">
        <v>677</v>
      </c>
      <c r="F866" s="2" t="str">
        <f>IFERROR(__xludf.DUMMYFUNCTION("IF(E866&lt;&gt;"""", GOOGLETRANSLATE(E866, ""en"", ""te""),"""")"),"[ 'ఎనిమిదవ వికెట్కు 16 అత్యధిక భాగస్వామ్యం (55 *)']")</f>
        <v>[ 'ఎనిమిదవ వికెట్కు 16 అత్యధిక భాగస్వామ్యం (55 *)']</v>
      </c>
      <c r="G866" s="2" t="s">
        <v>678</v>
      </c>
      <c r="H866" s="2" t="str">
        <f>IFERROR(__xludf.DUMMYFUNCTION("IF(G866&lt;&gt;"""", GOOGLETRANSLATE(G866, ""en"", ""te""),"""")"),"[ 'ఇన్నింగ్స్ లో 12 వ అత్యంత పనికత్తెలయొద్ద (2)' '15 వ చెత్త ఆర్థిక వ్యవస్థ ఇన్నింగ్స్లో రేటు (16.00)', '43 వ ఇన్నింగ్స్ లో సాధించిన అత్యధిక పరుగులు (44)',]")</f>
        <v>[ 'ఇన్నింగ్స్ లో 12 వ అత్యంత పనికత్తెలయొద్ద (2)' '15 వ చెత్త ఆర్థిక వ్యవస్థ ఇన్నింగ్స్లో రేటు (16.00)', '43 వ ఇన్నింగ్స్ లో సాధించిన అత్యధిక పరుగులు (44)',]</v>
      </c>
      <c r="I866" s="3"/>
    </row>
    <row r="867" customHeight="1" spans="1:9">
      <c r="A867" s="2"/>
      <c r="B867" s="2" t="str">
        <f>IFERROR(__xludf.DUMMYFUNCTION("IF(A867&lt;&gt;"""", GOOGLETRANSLATE(A867, ""en"", ""te""),"""")"),"")</f>
        <v/>
      </c>
      <c r="C867" s="2"/>
      <c r="D867" s="2" t="str">
        <f>IFERROR(__xludf.DUMMYFUNCTION("IF(C867&lt;&gt;"""", GOOGLETRANSLATE(C867, ""en"", ""te""),"""")"),"")</f>
        <v/>
      </c>
      <c r="E867" s="2"/>
      <c r="F867" s="2" t="str">
        <f>IFERROR(__xludf.DUMMYFUNCTION("IF(E867&lt;&gt;"""", GOOGLETRANSLATE(E867, ""en"", ""te""),"""")"),"")</f>
        <v/>
      </c>
      <c r="G867" s="2"/>
      <c r="H867" s="2" t="str">
        <f>IFERROR(__xludf.DUMMYFUNCTION("IF(G867&lt;&gt;"""", GOOGLETRANSLATE(G867, ""en"", ""te""),"""")"),"")</f>
        <v/>
      </c>
      <c r="I867" s="3"/>
    </row>
    <row r="868" customHeight="1" spans="1:9">
      <c r="A868" s="2"/>
      <c r="B868" s="2" t="str">
        <f>IFERROR(__xludf.DUMMYFUNCTION("IF(A868&lt;&gt;"""", GOOGLETRANSLATE(A868, ""en"", ""te""),"""")"),"")</f>
        <v/>
      </c>
      <c r="C868" s="2"/>
      <c r="D868" s="2" t="str">
        <f>IFERROR(__xludf.DUMMYFUNCTION("IF(C868&lt;&gt;"""", GOOGLETRANSLATE(C868, ""en"", ""te""),"""")"),"")</f>
        <v/>
      </c>
      <c r="E868" s="2"/>
      <c r="F868" s="2" t="str">
        <f>IFERROR(__xludf.DUMMYFUNCTION("IF(E868&lt;&gt;"""", GOOGLETRANSLATE(E868, ""en"", ""te""),"""")"),"")</f>
        <v/>
      </c>
      <c r="G868" s="2"/>
      <c r="H868" s="2" t="str">
        <f>IFERROR(__xludf.DUMMYFUNCTION("IF(G868&lt;&gt;"""", GOOGLETRANSLATE(G868, ""en"", ""te""),"""")"),"")</f>
        <v/>
      </c>
      <c r="I868" s="3"/>
    </row>
    <row r="869" customHeight="1" spans="1:9">
      <c r="A869" s="2"/>
      <c r="B869" s="2" t="str">
        <f>IFERROR(__xludf.DUMMYFUNCTION("IF(A869&lt;&gt;"""", GOOGLETRANSLATE(A869, ""en"", ""te""),"""")"),"")</f>
        <v/>
      </c>
      <c r="C869" s="2"/>
      <c r="D869" s="2" t="str">
        <f>IFERROR(__xludf.DUMMYFUNCTION("IF(C869&lt;&gt;"""", GOOGLETRANSLATE(C869, ""en"", ""te""),"""")"),"")</f>
        <v/>
      </c>
      <c r="E869" s="2"/>
      <c r="F869" s="2" t="str">
        <f>IFERROR(__xludf.DUMMYFUNCTION("IF(E869&lt;&gt;"""", GOOGLETRANSLATE(E869, ""en"", ""te""),"""")"),"")</f>
        <v/>
      </c>
      <c r="G869" s="2"/>
      <c r="H869" s="2" t="str">
        <f>IFERROR(__xludf.DUMMYFUNCTION("IF(G869&lt;&gt;"""", GOOGLETRANSLATE(G869, ""en"", ""te""),"""")"),"")</f>
        <v/>
      </c>
      <c r="I869" s="3"/>
    </row>
    <row r="870" customHeight="1" spans="1:9">
      <c r="A870" s="2" t="s">
        <v>352</v>
      </c>
      <c r="B870" s="2" t="str">
        <f>IFERROR(__xludf.DUMMYFUNCTION("IF(A870&lt;&gt;"""", GOOGLETRANSLATE(A870, ""en"", ""te""),"""")"),"[ 'బ్యాటింగ్ ప్రారంభించుటకు మరియు అదే మ్యాచ్ లో బౌలింగ్']")</f>
        <v>[ 'బ్యాటింగ్ ప్రారంభించుటకు మరియు అదే మ్యాచ్ లో బౌలింగ్']</v>
      </c>
      <c r="C870" s="2" t="s">
        <v>679</v>
      </c>
      <c r="D870" s="2" t="str">
        <f>IFERROR(__xludf.DUMMYFUNCTION("IF(C870&lt;&gt;"""", GOOGLETRANSLATE(C870, ""en"", ""te""),"""")"),"[ 'ఒక కెప్టెన్ ద్వారా ఒక సిరీస్లో 22 వ అత్యధిక పరుగులు (582)', '33 వ ఒక జట్టు (7) వ్యతిరేకంగా అత్యధిక వందలు' డకౌట్ లేకుండా '11 వ అత్యంత వృద్ధ ఆటగాడు వంద (41y 241d) స్కోర్', '12 వ వరుస ఇన్నింగ్స్ కెరీర్లో (72) ',' 14 వ అతి తక్కువ బాతులు (38) ',' ఒక ఇన్నింగ"&amp;"్స్లో పరుగుల 18 అత్యధిక శాతం (59.89) ',' 29th ఓల్డెస్ట్ క్రీడాకారులు (42y 301d) ',' 18 వ లాంగెస్ట్ కెరీర్లు (19y 279d) ' '24th పిన్న కాప్టెన్ (24y 222d)']")</f>
        <v>[ 'ఒక కెప్టెన్ ద్వారా ఒక సిరీస్లో 22 వ అత్యధిక పరుగులు (582)', '33 వ ఒక జట్టు (7) వ్యతిరేకంగా అత్యధిక వందలు' డకౌట్ లేకుండా '11 వ అత్యంత వృద్ధ ఆటగాడు వంద (41y 241d) స్కోర్', '12 వ వరుస ఇన్నింగ్స్ కెరీర్లో (72) ',' 14 వ అతి తక్కువ బాతులు (38) ',' ఒక ఇన్నింగ్స్లో పరుగుల 18 అత్యధిక శాతం (59.89) ',' 29th ఓల్డెస్ట్ క్రీడాకారులు (42y 301d) ',' 18 వ లాంగెస్ట్ కెరీర్లు (19y 279d) ' '24th పిన్న కాప్టెన్ (24y 222d)']</v>
      </c>
      <c r="E870" s="2"/>
      <c r="F870" s="2" t="str">
        <f>IFERROR(__xludf.DUMMYFUNCTION("IF(E870&lt;&gt;"""", GOOGLETRANSLATE(E870, ""en"", ""te""),"""")"),"")</f>
        <v/>
      </c>
      <c r="G870" s="2"/>
      <c r="H870" s="2" t="str">
        <f>IFERROR(__xludf.DUMMYFUNCTION("IF(G870&lt;&gt;"""", GOOGLETRANSLATE(G870, ""en"", ""te""),"""")"),"")</f>
        <v/>
      </c>
      <c r="I870" s="3"/>
    </row>
    <row r="871" customHeight="1" spans="1:9">
      <c r="A871" s="2"/>
      <c r="B871" s="2" t="str">
        <f>IFERROR(__xludf.DUMMYFUNCTION("IF(A871&lt;&gt;"""", GOOGLETRANSLATE(A871, ""en"", ""te""),"""")"),"")</f>
        <v/>
      </c>
      <c r="C871" s="2"/>
      <c r="D871" s="2" t="str">
        <f>IFERROR(__xludf.DUMMYFUNCTION("IF(C871&lt;&gt;"""", GOOGLETRANSLATE(C871, ""en"", ""te""),"""")"),"")</f>
        <v/>
      </c>
      <c r="E871" s="2"/>
      <c r="F871" s="2" t="str">
        <f>IFERROR(__xludf.DUMMYFUNCTION("IF(E871&lt;&gt;"""", GOOGLETRANSLATE(E871, ""en"", ""te""),"""")"),"")</f>
        <v/>
      </c>
      <c r="G871" s="2"/>
      <c r="H871" s="2" t="str">
        <f>IFERROR(__xludf.DUMMYFUNCTION("IF(G871&lt;&gt;"""", GOOGLETRANSLATE(G871, ""en"", ""te""),"""")"),"")</f>
        <v/>
      </c>
      <c r="I871" s="3"/>
    </row>
    <row r="872" customHeight="1" spans="1:9">
      <c r="A872" s="2"/>
      <c r="B872" s="2" t="str">
        <f>IFERROR(__xludf.DUMMYFUNCTION("IF(A872&lt;&gt;"""", GOOGLETRANSLATE(A872, ""en"", ""te""),"""")"),"")</f>
        <v/>
      </c>
      <c r="C872" s="2"/>
      <c r="D872" s="2" t="str">
        <f>IFERROR(__xludf.DUMMYFUNCTION("IF(C872&lt;&gt;"""", GOOGLETRANSLATE(C872, ""en"", ""te""),"""")"),"")</f>
        <v/>
      </c>
      <c r="E872" s="2"/>
      <c r="F872" s="2" t="str">
        <f>IFERROR(__xludf.DUMMYFUNCTION("IF(E872&lt;&gt;"""", GOOGLETRANSLATE(E872, ""en"", ""te""),"""")"),"")</f>
        <v/>
      </c>
      <c r="G872" s="2"/>
      <c r="H872" s="2" t="str">
        <f>IFERROR(__xludf.DUMMYFUNCTION("IF(G872&lt;&gt;"""", GOOGLETRANSLATE(G872, ""en"", ""te""),"""")"),"")</f>
        <v/>
      </c>
      <c r="I872" s="3"/>
    </row>
    <row r="873" customHeight="1" spans="1:9">
      <c r="A873" s="2"/>
      <c r="B873" s="2" t="str">
        <f>IFERROR(__xludf.DUMMYFUNCTION("IF(A873&lt;&gt;"""", GOOGLETRANSLATE(A873, ""en"", ""te""),"""")"),"")</f>
        <v/>
      </c>
      <c r="C873" s="2"/>
      <c r="D873" s="2" t="str">
        <f>IFERROR(__xludf.DUMMYFUNCTION("IF(C873&lt;&gt;"""", GOOGLETRANSLATE(C873, ""en"", ""te""),"""")"),"")</f>
        <v/>
      </c>
      <c r="E873" s="2"/>
      <c r="F873" s="2" t="str">
        <f>IFERROR(__xludf.DUMMYFUNCTION("IF(E873&lt;&gt;"""", GOOGLETRANSLATE(E873, ""en"", ""te""),"""")"),"")</f>
        <v/>
      </c>
      <c r="G873" s="2"/>
      <c r="H873" s="2" t="str">
        <f>IFERROR(__xludf.DUMMYFUNCTION("IF(G873&lt;&gt;"""", GOOGLETRANSLATE(G873, ""en"", ""te""),"""")"),"")</f>
        <v/>
      </c>
      <c r="I873" s="3"/>
    </row>
    <row r="874" customHeight="1" spans="1:9">
      <c r="A874" s="2" t="s">
        <v>680</v>
      </c>
      <c r="B874" s="2" t="str">
        <f>IFERROR(__xludf.DUMMYFUNCTION("IF(A874&lt;&gt;"""", GOOGLETRANSLATE(A874, ""en"", ""te""),"""")"),"[ '2nd అత్యంత వృద్ధ ఆటగాడు తొలి వంద (37y 289d) స్కోర్']")</f>
        <v>[ '2nd అత్యంత వృద్ధ ఆటగాడు తొలి వంద (37y 289d) స్కోర్']</v>
      </c>
      <c r="C874" s="2"/>
      <c r="D874" s="2" t="str">
        <f>IFERROR(__xludf.DUMMYFUNCTION("IF(C874&lt;&gt;"""", GOOGLETRANSLATE(C874, ""en"", ""te""),"""")"),"")</f>
        <v/>
      </c>
      <c r="E874" s="2" t="s">
        <v>681</v>
      </c>
      <c r="F874" s="2" t="str">
        <f>IFERROR(__xludf.DUMMYFUNCTION("IF(E874&lt;&gt;"""", GOOGLETRANSLATE(E874, ""en"", ""te""),"""")"),"[ '24 వ అత్యంత వికెట్కీపర్ శ్రేణిలో పరుగులు (200)', 'అత్యధిక వికెట్లు ఇన్నింగ్స్ లో 41 వ అత్యధిక పరుగులు (79)', '32 వ అత్యధిక తొలి వంద (114 *)', '3 వ అత్యంత వృద్ధ ఆటగాడు స్కోర్ వంద (37y 289d) ',' 2 వ అత్యంత వృద్ధ ఆటగాడు తొలి శతకాలను సాధించిన (37y 289d) ',"&amp;"' ఒక డక్ లేకుండా 28 వరుస ఇన్నింగ్స్ (36) ',' ఒక ఇన్నింగ్స్లో పరుగుల 40 వ అత్యధిక శాతం (52.04) ',' 31 మూడో వికెట్కు అత్యధిక భాగస్వామ్యం (131) ',' 30 వ ఓల్డెస్ట్ క్రీడాకారులు (38y 300D) ',' 24 వ కెరీర్ లో అత్యధిక వికెట్లు (33) ',' 24 వ అత్యధిక క్యాచ్లు కెరీ"&amp;"ర్లో కెరీర్లో (22) ',' 24 వ అత్యంత స్టంపింగ్లు (11) ']")</f>
        <v>[ '24 వ అత్యంత వికెట్కీపర్ శ్రేణిలో పరుగులు (200)', 'అత్యధిక వికెట్లు ఇన్నింగ్స్ లో 41 వ అత్యధిక పరుగులు (79)', '32 వ అత్యధిక తొలి వంద (114 *)', '3 వ అత్యంత వృద్ధ ఆటగాడు స్కోర్ వంద (37y 289d) ',' 2 వ అత్యంత వృద్ధ ఆటగాడు తొలి శతకాలను సాధించిన (37y 289d) ',' ఒక డక్ లేకుండా 28 వరుస ఇన్నింగ్స్ (36) ',' ఒక ఇన్నింగ్స్లో పరుగుల 40 వ అత్యధిక శాతం (52.04) ',' 31 మూడో వికెట్కు అత్యధిక భాగస్వామ్యం (131) ',' 30 వ ఓల్డెస్ట్ క్రీడాకారులు (38y 300D) ',' 24 వ కెరీర్ లో అత్యధిక వికెట్లు (33) ',' 24 వ అత్యధిక క్యాచ్లు కెరీర్లో కెరీర్లో (22) ',' 24 వ అత్యంత స్టంపింగ్లు (11) ']</v>
      </c>
      <c r="G874" s="2" t="s">
        <v>682</v>
      </c>
      <c r="H874" s="2" t="str">
        <f>IFERROR(__xludf.DUMMYFUNCTION("IF(G874&lt;&gt;"""", GOOGLETRANSLATE(G874, ""en"", ""te""),"""")"),"[ 'తొలి 34 వ ఓల్డెస్ట్ క్రీడాకారులు (38y 287d)', '44 వ ఓల్డెస్ట్ క్రీడాకారులు (38y 309d)']")</f>
        <v>[ 'తొలి 34 వ ఓల్డెస్ట్ క్రీడాకారులు (38y 287d)', '44 వ ఓల్డెస్ట్ క్రీడాకారులు (38y 309d)']</v>
      </c>
      <c r="I874" s="3"/>
    </row>
    <row r="875" customHeight="1" spans="1:9">
      <c r="A875" s="2"/>
      <c r="B875" s="2" t="str">
        <f>IFERROR(__xludf.DUMMYFUNCTION("IF(A875&lt;&gt;"""", GOOGLETRANSLATE(A875, ""en"", ""te""),"""")"),"")</f>
        <v/>
      </c>
      <c r="C875" s="2"/>
      <c r="D875" s="2" t="str">
        <f>IFERROR(__xludf.DUMMYFUNCTION("IF(C875&lt;&gt;"""", GOOGLETRANSLATE(C875, ""en"", ""te""),"""")"),"")</f>
        <v/>
      </c>
      <c r="E875" s="2"/>
      <c r="F875" s="2" t="str">
        <f>IFERROR(__xludf.DUMMYFUNCTION("IF(E875&lt;&gt;"""", GOOGLETRANSLATE(E875, ""en"", ""te""),"""")"),"")</f>
        <v/>
      </c>
      <c r="G875" s="2"/>
      <c r="H875" s="2" t="str">
        <f>IFERROR(__xludf.DUMMYFUNCTION("IF(G875&lt;&gt;"""", GOOGLETRANSLATE(G875, ""en"", ""te""),"""")"),"")</f>
        <v/>
      </c>
      <c r="I875" s="3"/>
    </row>
    <row r="876" customHeight="1" spans="1:9">
      <c r="A876" s="2" t="s">
        <v>683</v>
      </c>
      <c r="B876" s="2" t="str">
        <f>IFERROR(__xludf.DUMMYFUNCTION("IF(A876&lt;&gt;"""", GOOGLETRANSLATE(A876, ""en"", ""te""),"""")"),"[ '150 వికెట్లు వేగంగా 5 వ (29)' '6 వ అత్యుత్తమ బౌలింగ్ ఇన్నింగ్స్ లో విశ్లేషించడం (7/23)',]")</f>
        <v>[ '150 వికెట్లు వేగంగా 5 వ (29)' '6 వ అత్యుత్తమ బౌలింగ్ ఇన్నింగ్స్ లో విశ్లేషించడం (7/23)',]</v>
      </c>
      <c r="C876" s="2" t="s">
        <v>684</v>
      </c>
      <c r="D876" s="2" t="str">
        <f>IFERROR(__xludf.DUMMYFUNCTION("IF(C876&lt;&gt;"""", GOOGLETRANSLATE(C876, ""en"", ""te""),"""")"),"[, '6 వ అత్యుత్తమ బౌలింగ్ ఇన్నింగ్స్ విశ్లేషణలలో' 13 వ వరుస (37) అత్యధిక వికెట్లు '(7' ఒక మ్యాచ్ (13) 25 వ బెస్ట్ ఫిగర్స్ '' 16 వ ఉత్తమ ఇన్నింగ్స్ లో సంఖ్యలు (9/113) ', / 23) ',' 24th ఒక ఇన్నింగ్స్ లోని బెస్ట్ ఫిగర్స్ ఉన్నప్పుడు పరాజయం వైపు (7) ', '21 వ "&amp;"ఉత్తమ కెరీర్ ఆర్థిక రేటు (1.94)', 'ఇన్నింగ్స్ లో 14 వ చెత్త సమ్మె రేటు (392.0)', '41 వ అత్యంత ఐదు- వికెట్ల లో-ఒక-ఇన్నింగ్స్ కెరీర్లో (14) ',' పది వికెట్ల లో ఒక మ్యాచ్ పడుతుంది 46 వ పిన్న ఆటగాడు (23y 329d) ',' 15 వ ఇన్నింగ్స్ లో బౌల్డ్ చాలా బంతుల్లో (472) "&amp;"',' ఒక మ్యాచ్లో బౌల్డ్ 28 మోస్ట్ బంతుల్లో (640) ',' 13 వ అత్యధిక వికెట్లు ఆకర్షించింది 50 వికెట్లు 100 వికెట్లు (11) ',' 27 వ వేగంగా (22) ',' 5 వ వేగవంతమైన తీసుకున్న మరియు బౌల్డ్ (11) ',' 41 వ వేగంగా 150 వికెట్లు (29) ']")</f>
        <v>[, '6 వ అత్యుత్తమ బౌలింగ్ ఇన్నింగ్స్ విశ్లేషణలలో' 13 వ వరుస (37) అత్యధిక వికెట్లు '(7' ఒక మ్యాచ్ (13) 25 వ బెస్ట్ ఫిగర్స్ '' 16 వ ఉత్తమ ఇన్నింగ్స్ లో సంఖ్యలు (9/113) ', / 23) ',' 24th ఒక ఇన్నింగ్స్ లోని బెస్ట్ ఫిగర్స్ ఉన్నప్పుడు పరాజయం వైపు (7) ', '21 వ ఉత్తమ కెరీర్ ఆర్థిక రేటు (1.94)', 'ఇన్నింగ్స్ లో 14 వ చెత్త సమ్మె రేటు (392.0)', '41 వ అత్యంత ఐదు- వికెట్ల లో-ఒక-ఇన్నింగ్స్ కెరీర్లో (14) ',' పది వికెట్ల లో ఒక మ్యాచ్ పడుతుంది 46 వ పిన్న ఆటగాడు (23y 329d) ',' 15 వ ఇన్నింగ్స్ లో బౌల్డ్ చాలా బంతుల్లో (472) ',' ఒక మ్యాచ్లో బౌల్డ్ 28 మోస్ట్ బంతుల్లో (640) ',' 13 వ అత్యధిక వికెట్లు ఆకర్షించింది 50 వికెట్లు 100 వికెట్లు (11) ',' 27 వ వేగంగా (22) ',' 5 వ వేగవంతమైన తీసుకున్న మరియు బౌల్డ్ (11) ',' 41 వ వేగంగా 150 వికెట్లు (29) ']</v>
      </c>
      <c r="E876" s="2"/>
      <c r="F876" s="2" t="str">
        <f>IFERROR(__xludf.DUMMYFUNCTION("IF(E876&lt;&gt;"""", GOOGLETRANSLATE(E876, ""en"", ""te""),"""")"),"")</f>
        <v/>
      </c>
      <c r="G876" s="2"/>
      <c r="H876" s="2" t="str">
        <f>IFERROR(__xludf.DUMMYFUNCTION("IF(G876&lt;&gt;"""", GOOGLETRANSLATE(G876, ""en"", ""te""),"""")"),"")</f>
        <v/>
      </c>
      <c r="I876" s="3"/>
    </row>
    <row r="877" customHeight="1" spans="1:9">
      <c r="A877" s="2"/>
      <c r="B877" s="2" t="str">
        <f>IFERROR(__xludf.DUMMYFUNCTION("IF(A877&lt;&gt;"""", GOOGLETRANSLATE(A877, ""en"", ""te""),"""")"),"")</f>
        <v/>
      </c>
      <c r="C877" s="2"/>
      <c r="D877" s="2" t="str">
        <f>IFERROR(__xludf.DUMMYFUNCTION("IF(C877&lt;&gt;"""", GOOGLETRANSLATE(C877, ""en"", ""te""),"""")"),"")</f>
        <v/>
      </c>
      <c r="E877" s="2"/>
      <c r="F877" s="2" t="str">
        <f>IFERROR(__xludf.DUMMYFUNCTION("IF(E877&lt;&gt;"""", GOOGLETRANSLATE(E877, ""en"", ""te""),"""")"),"")</f>
        <v/>
      </c>
      <c r="G877" s="2"/>
      <c r="H877" s="2" t="str">
        <f>IFERROR(__xludf.DUMMYFUNCTION("IF(G877&lt;&gt;"""", GOOGLETRANSLATE(G877, ""en"", ""te""),"""")"),"")</f>
        <v/>
      </c>
      <c r="I877" s="3"/>
    </row>
    <row r="878" customHeight="1" spans="1:9">
      <c r="A878" s="2"/>
      <c r="B878" s="2" t="str">
        <f>IFERROR(__xludf.DUMMYFUNCTION("IF(A878&lt;&gt;"""", GOOGLETRANSLATE(A878, ""en"", ""te""),"""")"),"")</f>
        <v/>
      </c>
      <c r="C878" s="2"/>
      <c r="D878" s="2" t="str">
        <f>IFERROR(__xludf.DUMMYFUNCTION("IF(C878&lt;&gt;"""", GOOGLETRANSLATE(C878, ""en"", ""te""),"""")"),"")</f>
        <v/>
      </c>
      <c r="E878" s="2"/>
      <c r="F878" s="2" t="str">
        <f>IFERROR(__xludf.DUMMYFUNCTION("IF(E878&lt;&gt;"""", GOOGLETRANSLATE(E878, ""en"", ""te""),"""")"),"")</f>
        <v/>
      </c>
      <c r="G878" s="2"/>
      <c r="H878" s="2" t="str">
        <f>IFERROR(__xludf.DUMMYFUNCTION("IF(G878&lt;&gt;"""", GOOGLETRANSLATE(G878, ""en"", ""te""),"""")"),"")</f>
        <v/>
      </c>
      <c r="I878" s="3"/>
    </row>
    <row r="879" customHeight="1" spans="1:9">
      <c r="A879" s="2"/>
      <c r="B879" s="2" t="str">
        <f>IFERROR(__xludf.DUMMYFUNCTION("IF(A879&lt;&gt;"""", GOOGLETRANSLATE(A879, ""en"", ""te""),"""")"),"")</f>
        <v/>
      </c>
      <c r="C879" s="2"/>
      <c r="D879" s="2" t="str">
        <f>IFERROR(__xludf.DUMMYFUNCTION("IF(C879&lt;&gt;"""", GOOGLETRANSLATE(C879, ""en"", ""te""),"""")"),"")</f>
        <v/>
      </c>
      <c r="E879" s="2"/>
      <c r="F879" s="2" t="str">
        <f>IFERROR(__xludf.DUMMYFUNCTION("IF(E879&lt;&gt;"""", GOOGLETRANSLATE(E879, ""en"", ""te""),"""")"),"")</f>
        <v/>
      </c>
      <c r="G879" s="2"/>
      <c r="H879" s="2" t="str">
        <f>IFERROR(__xludf.DUMMYFUNCTION("IF(G879&lt;&gt;"""", GOOGLETRANSLATE(G879, ""en"", ""te""),"""")"),"")</f>
        <v/>
      </c>
      <c r="I879" s="3"/>
    </row>
    <row r="880" customHeight="1" spans="1:9">
      <c r="A880" s="2"/>
      <c r="B880" s="2" t="str">
        <f>IFERROR(__xludf.DUMMYFUNCTION("IF(A880&lt;&gt;"""", GOOGLETRANSLATE(A880, ""en"", ""te""),"""")"),"")</f>
        <v/>
      </c>
      <c r="C880" s="2"/>
      <c r="D880" s="2" t="str">
        <f>IFERROR(__xludf.DUMMYFUNCTION("IF(C880&lt;&gt;"""", GOOGLETRANSLATE(C880, ""en"", ""te""),"""")"),"")</f>
        <v/>
      </c>
      <c r="E880" s="2"/>
      <c r="F880" s="2" t="str">
        <f>IFERROR(__xludf.DUMMYFUNCTION("IF(E880&lt;&gt;"""", GOOGLETRANSLATE(E880, ""en"", ""te""),"""")"),"")</f>
        <v/>
      </c>
      <c r="G880" s="2"/>
      <c r="H880" s="2" t="str">
        <f>IFERROR(__xludf.DUMMYFUNCTION("IF(G880&lt;&gt;"""", GOOGLETRANSLATE(G880, ""en"", ""te""),"""")"),"")</f>
        <v/>
      </c>
      <c r="I880" s="3"/>
    </row>
    <row r="881" customHeight="1" spans="1:9">
      <c r="A881" s="2"/>
      <c r="B881" s="2" t="str">
        <f>IFERROR(__xludf.DUMMYFUNCTION("IF(A881&lt;&gt;"""", GOOGLETRANSLATE(A881, ""en"", ""te""),"""")"),"")</f>
        <v/>
      </c>
      <c r="C881" s="2"/>
      <c r="D881" s="2" t="str">
        <f>IFERROR(__xludf.DUMMYFUNCTION("IF(C881&lt;&gt;"""", GOOGLETRANSLATE(C881, ""en"", ""te""),"""")"),"")</f>
        <v/>
      </c>
      <c r="E881" s="2"/>
      <c r="F881" s="2" t="str">
        <f>IFERROR(__xludf.DUMMYFUNCTION("IF(E881&lt;&gt;"""", GOOGLETRANSLATE(E881, ""en"", ""te""),"""")"),"")</f>
        <v/>
      </c>
      <c r="G881" s="2"/>
      <c r="H881" s="2" t="str">
        <f>IFERROR(__xludf.DUMMYFUNCTION("IF(G881&lt;&gt;"""", GOOGLETRANSLATE(G881, ""en"", ""te""),"""")"),"")</f>
        <v/>
      </c>
      <c r="I881" s="3"/>
    </row>
    <row r="882" customHeight="1" spans="1:9">
      <c r="A882" s="2"/>
      <c r="B882" s="2" t="str">
        <f>IFERROR(__xludf.DUMMYFUNCTION("IF(A882&lt;&gt;"""", GOOGLETRANSLATE(A882, ""en"", ""te""),"""")"),"")</f>
        <v/>
      </c>
      <c r="C882" s="2"/>
      <c r="D882" s="2" t="str">
        <f>IFERROR(__xludf.DUMMYFUNCTION("IF(C882&lt;&gt;"""", GOOGLETRANSLATE(C882, ""en"", ""te""),"""")"),"")</f>
        <v/>
      </c>
      <c r="E882" s="2"/>
      <c r="F882" s="2" t="str">
        <f>IFERROR(__xludf.DUMMYFUNCTION("IF(E882&lt;&gt;"""", GOOGLETRANSLATE(E882, ""en"", ""te""),"""")"),"")</f>
        <v/>
      </c>
      <c r="G882" s="2"/>
      <c r="H882" s="2" t="str">
        <f>IFERROR(__xludf.DUMMYFUNCTION("IF(G882&lt;&gt;"""", GOOGLETRANSLATE(G882, ""en"", ""te""),"""")"),"")</f>
        <v/>
      </c>
      <c r="I882" s="3"/>
    </row>
    <row r="883" customHeight="1" spans="1:9">
      <c r="A883" s="2"/>
      <c r="B883" s="2" t="str">
        <f>IFERROR(__xludf.DUMMYFUNCTION("IF(A883&lt;&gt;"""", GOOGLETRANSLATE(A883, ""en"", ""te""),"""")"),"")</f>
        <v/>
      </c>
      <c r="C883" s="2"/>
      <c r="D883" s="2" t="str">
        <f>IFERROR(__xludf.DUMMYFUNCTION("IF(C883&lt;&gt;"""", GOOGLETRANSLATE(C883, ""en"", ""te""),"""")"),"")</f>
        <v/>
      </c>
      <c r="E883" s="2"/>
      <c r="F883" s="2" t="str">
        <f>IFERROR(__xludf.DUMMYFUNCTION("IF(E883&lt;&gt;"""", GOOGLETRANSLATE(E883, ""en"", ""te""),"""")"),"")</f>
        <v/>
      </c>
      <c r="G883" s="2" t="s">
        <v>685</v>
      </c>
      <c r="H883" s="2" t="str">
        <f>IFERROR(__xludf.DUMMYFUNCTION("IF(G883&lt;&gt;"""", GOOGLETRANSLATE(G883, ""en"", ""te""),"""")"),"[40 వ ఉత్తమ కెరీర్ బౌలింగ్ సరాసరి (అర్హత లేకుండా) (8.33) ']")</f>
        <v>[40 వ ఉత్తమ కెరీర్ బౌలింగ్ సరాసరి (అర్హత లేకుండా) (8.33) ']</v>
      </c>
      <c r="I883" s="3"/>
    </row>
    <row r="884" customHeight="1" spans="1:9">
      <c r="A884" s="2" t="s">
        <v>686</v>
      </c>
      <c r="B884" s="2" t="str">
        <f>IFERROR(__xludf.DUMMYFUNCTION("IF(A884&lt;&gt;"""", GOOGLETRANSLATE(A884, ""en"", ""te""),"""")"),"[ '4 వ లాంగెస్ట్ క్రీడాకారులు (97y 212d) నివసించారు']")</f>
        <v>[ '4 వ లాంగెస్ట్ క్రీడాకారులు (97y 212d) నివసించారు']</v>
      </c>
      <c r="C884" s="2" t="s">
        <v>687</v>
      </c>
      <c r="D884" s="2" t="str">
        <f>IFERROR(__xludf.DUMMYFUNCTION("IF(C884&lt;&gt;"""", GOOGLETRANSLATE(C884, ""en"", ""te""),"""")"),"[ '36 వ చెత్త కెరీర్ బౌలింగ్ సరాసరి (51.57)', '40 వ చెత్త కెరీర్లో సమ్మె రేటు (110.7)', '4 వ లాంగెస్ట్ నివసించారు క్రీడాకారులు (97y 212d)']")</f>
        <v>[ '36 వ చెత్త కెరీర్ బౌలింగ్ సరాసరి (51.57)', '40 వ చెత్త కెరీర్లో సమ్మె రేటు (110.7)', '4 వ లాంగెస్ట్ నివసించారు క్రీడాకారులు (97y 212d)']</v>
      </c>
      <c r="E884" s="2"/>
      <c r="F884" s="2" t="str">
        <f>IFERROR(__xludf.DUMMYFUNCTION("IF(E884&lt;&gt;"""", GOOGLETRANSLATE(E884, ""en"", ""te""),"""")"),"")</f>
        <v/>
      </c>
      <c r="G884" s="2"/>
      <c r="H884" s="2" t="str">
        <f>IFERROR(__xludf.DUMMYFUNCTION("IF(G884&lt;&gt;"""", GOOGLETRANSLATE(G884, ""en"", ""te""),"""")"),"")</f>
        <v/>
      </c>
      <c r="I884" s="3"/>
    </row>
    <row r="885" customHeight="1" spans="1:9">
      <c r="A885" s="2"/>
      <c r="B885" s="2" t="str">
        <f>IFERROR(__xludf.DUMMYFUNCTION("IF(A885&lt;&gt;"""", GOOGLETRANSLATE(A885, ""en"", ""te""),"""")"),"")</f>
        <v/>
      </c>
      <c r="C885" s="2"/>
      <c r="D885" s="2" t="str">
        <f>IFERROR(__xludf.DUMMYFUNCTION("IF(C885&lt;&gt;"""", GOOGLETRANSLATE(C885, ""en"", ""te""),"""")"),"")</f>
        <v/>
      </c>
      <c r="E885" s="2"/>
      <c r="F885" s="2" t="str">
        <f>IFERROR(__xludf.DUMMYFUNCTION("IF(E885&lt;&gt;"""", GOOGLETRANSLATE(E885, ""en"", ""te""),"""")"),"")</f>
        <v/>
      </c>
      <c r="G885" s="2"/>
      <c r="H885" s="2" t="str">
        <f>IFERROR(__xludf.DUMMYFUNCTION("IF(G885&lt;&gt;"""", GOOGLETRANSLATE(G885, ""en"", ""te""),"""")"),"")</f>
        <v/>
      </c>
      <c r="I885" s="3"/>
    </row>
    <row r="886" customHeight="1" spans="1:9">
      <c r="A886" s="2" t="s">
        <v>688</v>
      </c>
      <c r="B886" s="2" t="str">
        <f>IFERROR(__xludf.DUMMYFUNCTION("IF(A886&lt;&gt;"""", GOOGLETRANSLATE(A886, ""en"", ""te""),"""")"),"[ 'ఒక సిరీస్లో ఒక కెప్టెన్ (596) ద్వారా 5th అత్యధిక పరుగులు' '10 వ చెత్త కెరీర్ సగటు (90.00) (అర్హత లేకుండా) బౌలింగ్', 'కెరీర్ లో 2 వ అతి తక్కువ బాతులు (40)', '1 వ అత్యుత్తమ బౌలింగ్ ఇన్నింగ్స్ విశ్లేషణలలో (4/0) ',' 4 వ ఉత్తమ సమ్మె ఇన్నింగ్స్ (5.0) ',' 3 వ"&amp;" వరుస నాలుగు వికెట్లు-ఇన్-ఒక-ఇన్నింగ్స్ (2) ',' 1 వ అత్యధిక వికెట్లు తీసిన హిట్ వికెట్ (1) 'లో రేటు, 'ఇన్నింగ్స్ లో 4 వ అత్యధిక క్యాచ్లు (3)', '250 పరుగులు మరియు ఒక సిరీస్లో 10 వికెట్లు', '1000 పరుగులు, 50 వికెట్లు, 50 క్యాచ్లు', '3 వ అత్యంత ఇన్నింగ్స్ లో"&amp;" (బ్యాటింగ్ స్థానం) పరుగులు (34 *) ',' వరుస ఇన్నింగ్స్లో 3 వ యాభైల్లో (3) ',' ఒక డక్ లేకుండా 4 వ అత్యధిక వరుస ఇన్నింగ్స్ (63 *) ',' 1000 పరుగులు (45) ',' 5 వ బౌలర్ / ఫీల్డర్ కలయికలు (12) ',' వేగంగా 8 వ ఒక ఇన్నింగ్స్ లో 3 వ అత్యధిక క్యాచ్లు (3) ఐదో వికెట్"&amp;"కు ',' 5 వ అత్యధిక భాగస్వామ్యం (79) ']")</f>
        <v>[ 'ఒక సిరీస్లో ఒక కెప్టెన్ (596) ద్వారా 5th అత్యధిక పరుగులు' '10 వ చెత్త కెరీర్ సగటు (90.00) (అర్హత లేకుండా) బౌలింగ్', 'కెరీర్ లో 2 వ అతి తక్కువ బాతులు (40)', '1 వ అత్యుత్తమ బౌలింగ్ ఇన్నింగ్స్ విశ్లేషణలలో (4/0) ',' 4 వ ఉత్తమ సమ్మె ఇన్నింగ్స్ (5.0) ',' 3 వ వరుస నాలుగు వికెట్లు-ఇన్-ఒక-ఇన్నింగ్స్ (2) ',' 1 వ అత్యధిక వికెట్లు తీసిన హిట్ వికెట్ (1) 'లో రేటు, 'ఇన్నింగ్స్ లో 4 వ అత్యధిక క్యాచ్లు (3)', '250 పరుగులు మరియు ఒక సిరీస్లో 10 వికెట్లు', '1000 పరుగులు, 50 వికెట్లు, 50 క్యాచ్లు', '3 వ అత్యంత ఇన్నింగ్స్ లో (బ్యాటింగ్ స్థానం) పరుగులు (34 *) ',' వరుస ఇన్నింగ్స్లో 3 వ యాభైల్లో (3) ',' ఒక డక్ లేకుండా 4 వ అత్యధిక వరుస ఇన్నింగ్స్ (63 *) ',' 1000 పరుగులు (45) ',' 5 వ బౌలర్ / ఫీల్డర్ కలయికలు (12) ',' వేగంగా 8 వ ఒక ఇన్నింగ్స్ లో 3 వ అత్యధిక క్యాచ్లు (3) ఐదో వికెట్కు ',' 5 వ అత్యధిక భాగస్వామ్యం (79) ']</v>
      </c>
      <c r="C886" s="2" t="s">
        <v>689</v>
      </c>
      <c r="D886" s="2" t="str">
        <f>IFERROR(__xludf.DUMMYFUNCTION("IF(C886&lt;&gt;"""", GOOGLETRANSLATE(C886, ""en"", ""te""),"""")"),"[ '10 వ చెత్త కెరీర్ (90.00) (అర్హత లేకుండా) సగటు బౌలింగ్', 'ఇన్నింగ్స్ లో 17 చెత్త సమ్మె రేటు (222.0)']")</f>
        <v>[ '10 వ చెత్త కెరీర్ (90.00) (అర్హత లేకుండా) సగటు బౌలింగ్', 'ఇన్నింగ్స్ లో 17 చెత్త సమ్మె రేటు (222.0)']</v>
      </c>
      <c r="E886" s="2" t="s">
        <v>690</v>
      </c>
      <c r="F886" s="2" t="str">
        <f>IFERROR(__xludf.DUMMYFUNCTION("IF(E886&lt;&gt;"""", GOOGLETRANSLATE(E886, ""en"", ""te""),"""")"),"[ '37 వ అత్యధిక కెరీర్ లో పరుగులు (2115)', 'వరుస 23 వ అత్యధిక పరుగులు (596)', '6 వ ఇన్నింగ్స్ లో అత్యధిక పరుగులు (బ్యాటింగ్ స్థానంలో ప్రకారం) (81)', '27 న ఒక మ్యాచ్లో అత్యధిక పరుగులు ఒక కెప్టెన్ ద్వారా ఒక సిరీస్లో వైపు (95) ',' 5 వ అత్యధిక పరుగులు ఓడిపోయ"&amp;"ిన (596) ',' ఒక కెప్టెన్తో ఇన్నింగ్స్ లో 42 వ అత్యధిక పరుగులు (102) ',' 33 వ అత్యధిక కెరీర్ బ్యాటింగ్ సగటు (36.46) ',' 49 వ జీవితంలో అత్యధిక అర్ధ (10) ',' వరుస ఇన్నింగ్స్లో 28 యాభైల్లో (3) ',' ఒక డక్ లేకుండా 21 అత్యధిక వరుస ఇన్నింగ్స్ (39 *) ',' కెరీర్ ల"&amp;"ో 2 వ అతి తక్కువ బాతులు (40) ',' 12 వ అత్యధిక వికెట్లు లో కెరీర్ (130) ',' 41 వ ఉత్తమ శ్రేణిలో ఒక ఇన్నింగ్స్ లో సంఖ్యలు (5/17) ',' 41 వ అత్యధిక వికెట్లు (17) ',' 7th ఒక క్యాలెండర్ సంవత్సరంలో అత్యధిక వికెట్లు (31) ',' 1 వ అత్యుత్తమ బౌలింగ్ విశ్లేషణలు ఒక ఇన"&amp;"్నింగ్స్ లో (4/0) ',' 33 వ ఒకే మైదానంలో అత్యధిక వికెట్లు (12) ',' ఒక కెప్టెన్తో ఒక ఇన్నింగ్స్ లో 9 వ బెస్ట్ ఫిగర్స్ (4) ',' 39 వ ఉత్తమ కెరీర్ బౌలింగ్ సరాసరి (19.60) ',' 22 వ ఉత్తమ కెరీర్ సమ్మె రేటు (33.4) ',' ఇన్నింగ్స్ లో 4 వ ఉత్తమ సమ్మె రేటు (5.0) ',' "&amp;"7 వ అత్యంత ఐదు-వికెట్ల లో-ఒక-ఇన్నింగ్స్ కెరీర్లో (2) ',' 4 వ మోస్ t నాలుగు వికెట్లు-ఇన్-ఒక-ఇన్నింగ్స్ కెరీర్లో (8) ',' 3 వ వరుస నాలుగు వికెట్లు-ఇన్-ఒక-ఇన్నింగ్స్ (2) ',' అయిదు వికెట్లు ఇన్ an- తీసుకోవాలని 10 వ పిన్న ఆటగాడు ఇన్నింగ్స్ (19y 238d) ',' 20 వ క"&amp;"ెరీర్ (4344) ',' 18 వ కెరీర్ లో సాధించిన అత్యధిక పరుగులు (2549) ',' 31 బౌలర్ / బ్యాట్స్ కలయికలు (5) ',' 3 వ బౌలర్ / ఫీల్డర్ కాంబినేషన్ లో బౌల్డ్ చాలా బంతుల్లో (24 ) ',' 20 వ అత్యధిక వికెట్లు బౌల్డ్ తీసుకున్న (25) ',' 13 వ అత్యధిక వికెట్లు తీసుకున్న ఆకర్షి"&amp;"ంచింది (67) ',' 16 వ అత్యధిక వికెట్లు ఆకర్షించింది తీసుకున్న మరియు బౌల్డ్ (7) ',' 11 వ అత్యధిక వికెట్లు ఒక ఫీల్డర్ చేత క్యాచ్ తీసుకున్న (54) ',' 15 వ అత్యధిక వికెట్లు ఒక వికెట్ కీపర్ చే కాట్ తీసుకున్న (13) ',' 11 వ అత్యధిక వికెట్లు తీసుకున్న ఎల్బిడబ్ల్యు "&amp;"(20) ',' 4 వ అత్యధిక వికెట్లు తీసుకున్న స్టంప్ (17) ',' 1 వ అత్యధిక వికెట్లు తీసిన హిట్ వికెట్ (1) ', 'కెరీర్ లో 6 వ అత్యధిక క్యాచ్లు (52)', '4 వ ఇన్నింగ్స్ లో అత్యధిక క్యాచ్లు (3)', '12 వ ఒక సిరీస్లో అత్యధిక క్యాచ్లు (10)', 'ఏడవ వికెట్కు 19 అత్యధిక భాగస్"&amp;"వామ్యం (66)', '26 ఒక జట్టు పదవ వికెట్కు అత్యధిక భాగస్వామ్యం (30) ',' 43 వ కెరీర్ లో అత్యధిక మ్యాచ్లు (102) ',' 40 వ వరుస మ్యాచ్లు (40) ',' 2 2 వ పిన్న క్రీడాకారులు (15y 298d) ',' 12 వ అత్యధిక మ్యాచ్లు కెప్టెన్గా (45) ',' 30 వ పిన్న కాప్టెన్ (23y 147d) ']")</f>
        <v>[ '37 వ అత్యధిక కెరీర్ లో పరుగులు (2115)', 'వరుస 23 వ అత్యధిక పరుగులు (596)', '6 వ ఇన్నింగ్స్ లో అత్యధిక పరుగులు (బ్యాటింగ్ స్థానంలో ప్రకారం) (81)', '27 న ఒక మ్యాచ్లో అత్యధిక పరుగులు ఒక కెప్టెన్ ద్వారా ఒక సిరీస్లో వైపు (95) ',' 5 వ అత్యధిక పరుగులు ఓడిపోయిన (596) ',' ఒక కెప్టెన్తో ఇన్నింగ్స్ లో 42 వ అత్యధిక పరుగులు (102) ',' 33 వ అత్యధిక కెరీర్ బ్యాటింగ్ సగటు (36.46) ',' 49 వ జీవితంలో అత్యధిక అర్ధ (10) ',' వరుస ఇన్నింగ్స్లో 28 యాభైల్లో (3) ',' ఒక డక్ లేకుండా 21 అత్యధిక వరుస ఇన్నింగ్స్ (39 *) ',' కెరీర్ లో 2 వ అతి తక్కువ బాతులు (40) ',' 12 వ అత్యధిక వికెట్లు లో కెరీర్ (130) ',' 41 వ ఉత్తమ శ్రేణిలో ఒక ఇన్నింగ్స్ లో సంఖ్యలు (5/17) ',' 41 వ అత్యధిక వికెట్లు (17) ',' 7th ఒక క్యాలెండర్ సంవత్సరంలో అత్యధిక వికెట్లు (31) ',' 1 వ అత్యుత్తమ బౌలింగ్ విశ్లేషణలు ఒక ఇన్నింగ్స్ లో (4/0) ',' 33 వ ఒకే మైదానంలో అత్యధిక వికెట్లు (12) ',' ఒక కెప్టెన్తో ఒక ఇన్నింగ్స్ లో 9 వ బెస్ట్ ఫిగర్స్ (4) ',' 39 వ ఉత్తమ కెరీర్ బౌలింగ్ సరాసరి (19.60) ',' 22 వ ఉత్తమ కెరీర్ సమ్మె రేటు (33.4) ',' ఇన్నింగ్స్ లో 4 వ ఉత్తమ సమ్మె రేటు (5.0) ',' 7 వ అత్యంత ఐదు-వికెట్ల లో-ఒక-ఇన్నింగ్స్ కెరీర్లో (2) ',' 4 వ మోస్ t నాలుగు వికెట్లు-ఇన్-ఒక-ఇన్నింగ్స్ కెరీర్లో (8) ',' 3 వ వరుస నాలుగు వికెట్లు-ఇన్-ఒక-ఇన్నింగ్స్ (2) ',' అయిదు వికెట్లు ఇన్ an- తీసుకోవాలని 10 వ పిన్న ఆటగాడు ఇన్నింగ్స్ (19y 238d) ',' 20 వ కెరీర్ (4344) ',' 18 వ కెరీర్ లో సాధించిన అత్యధిక పరుగులు (2549) ',' 31 బౌలర్ / బ్యాట్స్ కలయికలు (5) ',' 3 వ బౌలర్ / ఫీల్డర్ కాంబినేషన్ లో బౌల్డ్ చాలా బంతుల్లో (24 ) ',' 20 వ అత్యధిక వికెట్లు బౌల్డ్ తీసుకున్న (25) ',' 13 వ అత్యధిక వికెట్లు తీసుకున్న ఆకర్షించింది (67) ',' 16 వ అత్యధిక వికెట్లు ఆకర్షించింది తీసుకున్న మరియు బౌల్డ్ (7) ',' 11 వ అత్యధిక వికెట్లు ఒక ఫీల్డర్ చేత క్యాచ్ తీసుకున్న (54) ',' 15 వ అత్యధిక వికెట్లు ఒక వికెట్ కీపర్ చే కాట్ తీసుకున్న (13) ',' 11 వ అత్యధిక వికెట్లు తీసుకున్న ఎల్బిడబ్ల్యు (20) ',' 4 వ అత్యధిక వికెట్లు తీసుకున్న స్టంప్ (17) ',' 1 వ అత్యధిక వికెట్లు తీసిన హిట్ వికెట్ (1) ', 'కెరీర్ లో 6 వ అత్యధిక క్యాచ్లు (52)', '4 వ ఇన్నింగ్స్ లో అత్యధిక క్యాచ్లు (3)', '12 వ ఒక సిరీస్లో అత్యధిక క్యాచ్లు (10)', 'ఏడవ వికెట్కు 19 అత్యధిక భాగస్వామ్యం (66)', '26 ఒక జట్టు పదవ వికెట్కు అత్యధిక భాగస్వామ్యం (30) ',' 43 వ కెరీర్ లో అత్యధిక మ్యాచ్లు (102) ',' 40 వ వరుస మ్యాచ్లు (40) ',' 2 2 వ పిన్న క్రీడాకారులు (15y 298d) ',' 12 వ అత్యధిక మ్యాచ్లు కెప్టెన్గా (45) ',' 30 వ పిన్న కాప్టెన్ (23y 147d) ']</v>
      </c>
      <c r="G886" s="2" t="s">
        <v>691</v>
      </c>
      <c r="H886" s="2" t="str">
        <f>IFERROR(__xludf.DUMMYFUNCTION("IF(G886&lt;&gt;"""", GOOGLETRANSLATE(G886, ""en"", ""te""),"""")"),"[ '13 వ అత్యధిక కెరీర్ లో పరుగులు (1839)', '34 వ ఇన్నింగ్స్ లో అత్యధిక పరుగులు (90 *)', 'ఒక క్యాలెండర్ సంవత్సరంలో 14 వ అత్యధిక పరుగులు (490)', 'ఇన్నింగ్స్ లో 3 వ అత్యధిక పరుగులు (బ్యాటింగ్ స్థానంలో ద్వారా) (34 *) ',' 14 వ పరాజయం వైపు ఒక మ్యాచ్లో అత్యధిక "&amp;"పరుగులు (72) ',' ఒక కెప్టెన్తో ఇన్నింగ్స్ లో 31 అత్యధిక పరుగులు (72) ',' 12 వ అత్యధిక కెరీర్ బ్యాటింగ్ సగటు (28.73) ',' 15 వ ఒక డక్ లేకుండా జీవితంలో అత్యధిక అర్ధ (10) ',' వరుస ఇన్నింగ్స్లో 3 వ యాభైల్లో (3) ',' 4 వ అత్యధిక వరుస ఇన్నింగ్స్ (63 *) ',' కెరీర"&amp;"్లో 13 వ అతి తక్కువ బాతుల (37) ',' 40 వ అత్యధిక శాతం ఒక ఇన్నింగ్స్లో పరుగులు (55.81) ',' 8 వ 1000 పరుగులు (45) ', '21 వ కెరీర్ లో అత్యధిక వికెట్లు (63)', 'ఒక కెప్టెన్తో ఒక ఇన్నింగ్స్ లో 21 వ బెస్ట్ ఫిగర్స్ (3)', '25 వ బెస్ట్ వేగంగా వృత్తి ఆర్థిక రేటు (5.4"&amp;"5) ',' ఇన్నింగ్స్ లో 33 వ ఉత్తమ సమ్మె రేటు (4.0) ',' 16 వ కెరీర్ లో బౌల్డ్ చాలా బంతుల్లో (1459) ',' 16 వ కెరీర్ లో సాధించిన అత్యధిక పరుగులు (1327) ',' 5 వ బౌలర్ / ఫీల్డర్ కలయికలు (12) ',' 18 వ అత్యధిక వికెట్లు ఆకర్షించింది తీసుకున్న (39) ',' 16 వ అత్యధిక "&amp;"వికెట్లు ఒక ఫీల్డర్ చేత క్యాచ్ తీసుకున్న (36) ',' 12 వ అత్యధిక వికెట్లు తీసుకున్న స్టంప్ (10) ',' 26th కెరీర్లో అత్యధిక క్యాచ్లు (25) ',' ఇన్నింగ్స్ లో 3 వ అత్యధిక క్యాచ్లు (3) తొలి వికెట్కు ',' 45 వ అత్యధిక భాగస్వామ్యం (96) ',' 49 వ అత్యధిక రెండవ కొరకు చ"&amp;"ేసిన భాగస్వామ్యం వికెట్ (84) ',' నాలుగవ వికెట్కు 25 అత్యధిక భాగస్వామ్యం (75) ',' ఐదవ వికెట్కు 5 వ అత్యధిక భాగస్వామ్యం (79) ',' ఏడవ వికెట్కు 12 వ అత్యధిక భాగస్వామ్యం (46) ',' 14 వ అత్యధిక కొరకు చేసిన భాగస్వామ్యం పదవ వికెట్ను (16 *) ',' 33 వ కెరీర్ లో అత్యధ"&amp;"ిక మ్యాచ్లు (83) ',' 19 వ అత్యధిక మ్యాచ్లు కెప్టెన్గా (27) ',' 26th పిన్న కాప్టెన్ (21y 118d) ']")</f>
        <v>[ '13 వ అత్యధిక కెరీర్ లో పరుగులు (1839)', '34 వ ఇన్నింగ్స్ లో అత్యధిక పరుగులు (90 *)', 'ఒక క్యాలెండర్ సంవత్సరంలో 14 వ అత్యధిక పరుగులు (490)', 'ఇన్నింగ్స్ లో 3 వ అత్యధిక పరుగులు (బ్యాటింగ్ స్థానంలో ద్వారా) (34 *) ',' 14 వ పరాజయం వైపు ఒక మ్యాచ్లో అత్యధిక పరుగులు (72) ',' ఒక కెప్టెన్తో ఇన్నింగ్స్ లో 31 అత్యధిక పరుగులు (72) ',' 12 వ అత్యధిక కెరీర్ బ్యాటింగ్ సగటు (28.73) ',' 15 వ ఒక డక్ లేకుండా జీవితంలో అత్యధిక అర్ధ (10) ',' వరుస ఇన్నింగ్స్లో 3 వ యాభైల్లో (3) ',' 4 వ అత్యధిక వరుస ఇన్నింగ్స్ (63 *) ',' కెరీర్లో 13 వ అతి తక్కువ బాతుల (37) ',' 40 వ అత్యధిక శాతం ఒక ఇన్నింగ్స్లో పరుగులు (55.81) ',' 8 వ 1000 పరుగులు (45) ', '21 వ కెరీర్ లో అత్యధిక వికెట్లు (63)', 'ఒక కెప్టెన్తో ఒక ఇన్నింగ్స్ లో 21 వ బెస్ట్ ఫిగర్స్ (3)', '25 వ బెస్ట్ వేగంగా వృత్తి ఆర్థిక రేటు (5.45) ',' ఇన్నింగ్స్ లో 33 వ ఉత్తమ సమ్మె రేటు (4.0) ',' 16 వ కెరీర్ లో బౌల్డ్ చాలా బంతుల్లో (1459) ',' 16 వ కెరీర్ లో సాధించిన అత్యధిక పరుగులు (1327) ',' 5 వ బౌలర్ / ఫీల్డర్ కలయికలు (12) ',' 18 వ అత్యధిక వికెట్లు ఆకర్షించింది తీసుకున్న (39) ',' 16 వ అత్యధిక వికెట్లు ఒక ఫీల్డర్ చేత క్యాచ్ తీసుకున్న (36) ',' 12 వ అత్యధిక వికెట్లు తీసుకున్న స్టంప్ (10) ',' 26th కెరీర్లో అత్యధిక క్యాచ్లు (25) ',' ఇన్నింగ్స్ లో 3 వ అత్యధిక క్యాచ్లు (3) తొలి వికెట్కు ',' 45 వ అత్యధిక భాగస్వామ్యం (96) ',' 49 వ అత్యధిక రెండవ కొరకు చేసిన భాగస్వామ్యం వికెట్ (84) ',' నాలుగవ వికెట్కు 25 అత్యధిక భాగస్వామ్యం (75) ',' ఐదవ వికెట్కు 5 వ అత్యధిక భాగస్వామ్యం (79) ',' ఏడవ వికెట్కు 12 వ అత్యధిక భాగస్వామ్యం (46) ',' 14 వ అత్యధిక కొరకు చేసిన భాగస్వామ్యం పదవ వికెట్ను (16 *) ',' 33 వ కెరీర్ లో అత్యధిక మ్యాచ్లు (83) ',' 19 వ అత్యధిక మ్యాచ్లు కెప్టెన్గా (27) ',' 26th పిన్న కాప్టెన్ (21y 118d) ']</v>
      </c>
      <c r="I886" s="3"/>
    </row>
    <row r="887" customHeight="1" spans="1:9">
      <c r="A887" s="2"/>
      <c r="B887" s="2" t="str">
        <f>IFERROR(__xludf.DUMMYFUNCTION("IF(A887&lt;&gt;"""", GOOGLETRANSLATE(A887, ""en"", ""te""),"""")"),"")</f>
        <v/>
      </c>
      <c r="C887" s="2"/>
      <c r="D887" s="2" t="str">
        <f>IFERROR(__xludf.DUMMYFUNCTION("IF(C887&lt;&gt;"""", GOOGLETRANSLATE(C887, ""en"", ""te""),"""")"),"")</f>
        <v/>
      </c>
      <c r="E887" s="2"/>
      <c r="F887" s="2" t="str">
        <f>IFERROR(__xludf.DUMMYFUNCTION("IF(E887&lt;&gt;"""", GOOGLETRANSLATE(E887, ""en"", ""te""),"""")"),"")</f>
        <v/>
      </c>
      <c r="G887" s="2"/>
      <c r="H887" s="2" t="str">
        <f>IFERROR(__xludf.DUMMYFUNCTION("IF(G887&lt;&gt;"""", GOOGLETRANSLATE(G887, ""en"", ""te""),"""")"),"")</f>
        <v/>
      </c>
      <c r="I887" s="3"/>
    </row>
    <row r="888" customHeight="1" spans="1:9">
      <c r="A888" s="2"/>
      <c r="B888" s="2" t="str">
        <f>IFERROR(__xludf.DUMMYFUNCTION("IF(A888&lt;&gt;"""", GOOGLETRANSLATE(A888, ""en"", ""te""),"""")"),"")</f>
        <v/>
      </c>
      <c r="C888" s="2"/>
      <c r="D888" s="2" t="str">
        <f>IFERROR(__xludf.DUMMYFUNCTION("IF(C888&lt;&gt;"""", GOOGLETRANSLATE(C888, ""en"", ""te""),"""")"),"")</f>
        <v/>
      </c>
      <c r="E888" s="2"/>
      <c r="F888" s="2" t="str">
        <f>IFERROR(__xludf.DUMMYFUNCTION("IF(E888&lt;&gt;"""", GOOGLETRANSLATE(E888, ""en"", ""te""),"""")"),"")</f>
        <v/>
      </c>
      <c r="G888" s="2"/>
      <c r="H888" s="2" t="str">
        <f>IFERROR(__xludf.DUMMYFUNCTION("IF(G888&lt;&gt;"""", GOOGLETRANSLATE(G888, ""en"", ""te""),"""")"),"")</f>
        <v/>
      </c>
      <c r="I888" s="3"/>
    </row>
    <row r="889" customHeight="1" spans="1:9">
      <c r="A889" s="2"/>
      <c r="B889" s="2" t="str">
        <f>IFERROR(__xludf.DUMMYFUNCTION("IF(A889&lt;&gt;"""", GOOGLETRANSLATE(A889, ""en"", ""te""),"""")"),"")</f>
        <v/>
      </c>
      <c r="C889" s="2"/>
      <c r="D889" s="2" t="str">
        <f>IFERROR(__xludf.DUMMYFUNCTION("IF(C889&lt;&gt;"""", GOOGLETRANSLATE(C889, ""en"", ""te""),"""")"),"")</f>
        <v/>
      </c>
      <c r="E889" s="2"/>
      <c r="F889" s="2" t="str">
        <f>IFERROR(__xludf.DUMMYFUNCTION("IF(E889&lt;&gt;"""", GOOGLETRANSLATE(E889, ""en"", ""te""),"""")"),"")</f>
        <v/>
      </c>
      <c r="G889" s="2"/>
      <c r="H889" s="2" t="str">
        <f>IFERROR(__xludf.DUMMYFUNCTION("IF(G889&lt;&gt;"""", GOOGLETRANSLATE(G889, ""en"", ""te""),"""")"),"")</f>
        <v/>
      </c>
      <c r="I889" s="3"/>
    </row>
    <row r="890" customHeight="1" spans="1:9">
      <c r="A890" s="2"/>
      <c r="B890" s="2" t="str">
        <f>IFERROR(__xludf.DUMMYFUNCTION("IF(A890&lt;&gt;"""", GOOGLETRANSLATE(A890, ""en"", ""te""),"""")"),"")</f>
        <v/>
      </c>
      <c r="C890" s="2"/>
      <c r="D890" s="2" t="str">
        <f>IFERROR(__xludf.DUMMYFUNCTION("IF(C890&lt;&gt;"""", GOOGLETRANSLATE(C890, ""en"", ""te""),"""")"),"")</f>
        <v/>
      </c>
      <c r="E890" s="2"/>
      <c r="F890" s="2" t="str">
        <f>IFERROR(__xludf.DUMMYFUNCTION("IF(E890&lt;&gt;"""", GOOGLETRANSLATE(E890, ""en"", ""te""),"""")"),"")</f>
        <v/>
      </c>
      <c r="G890" s="2"/>
      <c r="H890" s="2" t="str">
        <f>IFERROR(__xludf.DUMMYFUNCTION("IF(G890&lt;&gt;"""", GOOGLETRANSLATE(G890, ""en"", ""te""),"""")"),"")</f>
        <v/>
      </c>
      <c r="I890" s="3"/>
    </row>
    <row r="891" customHeight="1" spans="1:9">
      <c r="A891" s="2"/>
      <c r="B891" s="2" t="str">
        <f>IFERROR(__xludf.DUMMYFUNCTION("IF(A891&lt;&gt;"""", GOOGLETRANSLATE(A891, ""en"", ""te""),"""")"),"")</f>
        <v/>
      </c>
      <c r="C891" s="2"/>
      <c r="D891" s="2" t="str">
        <f>IFERROR(__xludf.DUMMYFUNCTION("IF(C891&lt;&gt;"""", GOOGLETRANSLATE(C891, ""en"", ""te""),"""")"),"")</f>
        <v/>
      </c>
      <c r="E891" s="2"/>
      <c r="F891" s="2" t="str">
        <f>IFERROR(__xludf.DUMMYFUNCTION("IF(E891&lt;&gt;"""", GOOGLETRANSLATE(E891, ""en"", ""te""),"""")"),"")</f>
        <v/>
      </c>
      <c r="G891" s="2"/>
      <c r="H891" s="2" t="str">
        <f>IFERROR(__xludf.DUMMYFUNCTION("IF(G891&lt;&gt;"""", GOOGLETRANSLATE(G891, ""en"", ""te""),"""")"),"")</f>
        <v/>
      </c>
      <c r="I891" s="3"/>
    </row>
    <row r="892" customHeight="1" spans="1:9">
      <c r="A892" s="2" t="s">
        <v>692</v>
      </c>
      <c r="B892" s="2" t="str">
        <f>IFERROR(__xludf.DUMMYFUNCTION("IF(A892&lt;&gt;"""", GOOGLETRANSLATE(A892, ""en"", ""te""),"""")"),"[ 'అత్యధిక వికెట్లు ఇన్నింగ్స్ లో 3 వ అత్యధిక పరుగులు (114 *)', '4 వ లాంగెస్ట్ వ్యక్తిగత ఇన్నింగ్స్ (బంతులతో) (70)']")</f>
        <v>[ 'అత్యధిక వికెట్లు ఇన్నింగ్స్ లో 3 వ అత్యధిక పరుగులు (114 *)', '4 వ లాంగెస్ట్ వ్యక్తిగత ఇన్నింగ్స్ (బంతులతో) (70)']</v>
      </c>
      <c r="C892" s="2"/>
      <c r="D892" s="2" t="str">
        <f>IFERROR(__xludf.DUMMYFUNCTION("IF(C892&lt;&gt;"""", GOOGLETRANSLATE(C892, ""en"", ""te""),"""")"),"")</f>
        <v/>
      </c>
      <c r="E892" s="2"/>
      <c r="F892" s="2" t="str">
        <f>IFERROR(__xludf.DUMMYFUNCTION("IF(E892&lt;&gt;"""", GOOGLETRANSLATE(E892, ""en"", ""te""),"""")"),"")</f>
        <v/>
      </c>
      <c r="G892" s="2" t="s">
        <v>693</v>
      </c>
      <c r="H892" s="2" t="str">
        <f>IFERROR(__xludf.DUMMYFUNCTION("IF(G892&lt;&gt;"""", GOOGLETRANSLATE(G892, ""en"", ""te""),"""")"),"[ '22 వ ఇన్నింగ్స్ (114 *) లో అత్యధిక పరుగులు' 'ఇన్నింగ్స్ లో 17 వ అత్యధిక పరుగులు (బ్యాటింగ్ స్థానంలో ప్రకారం) (114 *)', '3 వ అత్యంత ఒక ఇన్నింగ్స్ లో ఒక వికెట్ (114 *) ద్వారా నడుస్తుంది', '42 వ ఒక ఇన్నింగ్స్ లో వచ్చిన ఎక్కువ సిక్స్ (7) ',' 29th ఇన్నింగ్స"&amp;"్ లో ఫోర్లు, సిక్సర్లు నుండి అత్యధిక పరుగులు (78) ',' 4 వ లాంగెస్ట్ వ్యక్తిగత ఇన్నింగ్స్ (బంతులతో) ఒక ఇన్నింగ్స్లో పరుగుల (70) ',' 26th అత్యధిక శాతం (58.46) ',' తొలి వికెట్కు (111) కోసం 48 వ అత్యధిక భాగస్వామ్యం ']")</f>
        <v>[ '22 వ ఇన్నింగ్స్ (114 *) లో అత్యధిక పరుగులు' 'ఇన్నింగ్స్ లో 17 వ అత్యధిక పరుగులు (బ్యాటింగ్ స్థానంలో ప్రకారం) (114 *)', '3 వ అత్యంత ఒక ఇన్నింగ్స్ లో ఒక వికెట్ (114 *) ద్వారా నడుస్తుంది', '42 వ ఒక ఇన్నింగ్స్ లో వచ్చిన ఎక్కువ సిక్స్ (7) ',' 29th ఇన్నింగ్స్ లో ఫోర్లు, సిక్సర్లు నుండి అత్యధిక పరుగులు (78) ',' 4 వ లాంగెస్ట్ వ్యక్తిగత ఇన్నింగ్స్ (బంతులతో) ఒక ఇన్నింగ్స్లో పరుగుల (70) ',' 26th అత్యధిక శాతం (58.46) ',' తొలి వికెట్కు (111) కోసం 48 వ అత్యధిక భాగస్వామ్యం ']</v>
      </c>
      <c r="I892" s="3"/>
    </row>
    <row r="893" customHeight="1" spans="1:9">
      <c r="A893" s="2"/>
      <c r="B893" s="2" t="str">
        <f>IFERROR(__xludf.DUMMYFUNCTION("IF(A893&lt;&gt;"""", GOOGLETRANSLATE(A893, ""en"", ""te""),"""")"),"")</f>
        <v/>
      </c>
      <c r="C893" s="2"/>
      <c r="D893" s="2" t="str">
        <f>IFERROR(__xludf.DUMMYFUNCTION("IF(C893&lt;&gt;"""", GOOGLETRANSLATE(C893, ""en"", ""te""),"""")"),"")</f>
        <v/>
      </c>
      <c r="E893" s="2"/>
      <c r="F893" s="2" t="str">
        <f>IFERROR(__xludf.DUMMYFUNCTION("IF(E893&lt;&gt;"""", GOOGLETRANSLATE(E893, ""en"", ""te""),"""")"),"")</f>
        <v/>
      </c>
      <c r="G893" s="2"/>
      <c r="H893" s="2" t="str">
        <f>IFERROR(__xludf.DUMMYFUNCTION("IF(G893&lt;&gt;"""", GOOGLETRANSLATE(G893, ""en"", ""te""),"""")"),"")</f>
        <v/>
      </c>
      <c r="I893" s="3"/>
    </row>
    <row r="894" customHeight="1" spans="1:9">
      <c r="A894" s="2"/>
      <c r="B894" s="2" t="str">
        <f>IFERROR(__xludf.DUMMYFUNCTION("IF(A894&lt;&gt;"""", GOOGLETRANSLATE(A894, ""en"", ""te""),"""")"),"")</f>
        <v/>
      </c>
      <c r="C894" s="2"/>
      <c r="D894" s="2" t="str">
        <f>IFERROR(__xludf.DUMMYFUNCTION("IF(C894&lt;&gt;"""", GOOGLETRANSLATE(C894, ""en"", ""te""),"""")"),"")</f>
        <v/>
      </c>
      <c r="E894" s="2"/>
      <c r="F894" s="2" t="str">
        <f>IFERROR(__xludf.DUMMYFUNCTION("IF(E894&lt;&gt;"""", GOOGLETRANSLATE(E894, ""en"", ""te""),"""")"),"")</f>
        <v/>
      </c>
      <c r="G894" s="2"/>
      <c r="H894" s="2" t="str">
        <f>IFERROR(__xludf.DUMMYFUNCTION("IF(G894&lt;&gt;"""", GOOGLETRANSLATE(G894, ""en"", ""te""),"""")"),"")</f>
        <v/>
      </c>
      <c r="I894" s="3"/>
    </row>
    <row r="895" customHeight="1" spans="1:9">
      <c r="A895" s="2"/>
      <c r="B895" s="2" t="str">
        <f>IFERROR(__xludf.DUMMYFUNCTION("IF(A895&lt;&gt;"""", GOOGLETRANSLATE(A895, ""en"", ""te""),"""")"),"")</f>
        <v/>
      </c>
      <c r="C895" s="2"/>
      <c r="D895" s="2" t="str">
        <f>IFERROR(__xludf.DUMMYFUNCTION("IF(C895&lt;&gt;"""", GOOGLETRANSLATE(C895, ""en"", ""te""),"""")"),"")</f>
        <v/>
      </c>
      <c r="E895" s="2"/>
      <c r="F895" s="2" t="str">
        <f>IFERROR(__xludf.DUMMYFUNCTION("IF(E895&lt;&gt;"""", GOOGLETRANSLATE(E895, ""en"", ""te""),"""")"),"")</f>
        <v/>
      </c>
      <c r="G895" s="2"/>
      <c r="H895" s="2" t="str">
        <f>IFERROR(__xludf.DUMMYFUNCTION("IF(G895&lt;&gt;"""", GOOGLETRANSLATE(G895, ""en"", ""te""),"""")"),"")</f>
        <v/>
      </c>
      <c r="I895" s="3"/>
    </row>
    <row r="896" customHeight="1" spans="1:9">
      <c r="A896" s="2"/>
      <c r="B896" s="2" t="str">
        <f>IFERROR(__xludf.DUMMYFUNCTION("IF(A896&lt;&gt;"""", GOOGLETRANSLATE(A896, ""en"", ""te""),"""")"),"")</f>
        <v/>
      </c>
      <c r="C896" s="2"/>
      <c r="D896" s="2" t="str">
        <f>IFERROR(__xludf.DUMMYFUNCTION("IF(C896&lt;&gt;"""", GOOGLETRANSLATE(C896, ""en"", ""te""),"""")"),"")</f>
        <v/>
      </c>
      <c r="E896" s="2"/>
      <c r="F896" s="2" t="str">
        <f>IFERROR(__xludf.DUMMYFUNCTION("IF(E896&lt;&gt;"""", GOOGLETRANSLATE(E896, ""en"", ""te""),"""")"),"")</f>
        <v/>
      </c>
      <c r="G896" s="2"/>
      <c r="H896" s="2" t="str">
        <f>IFERROR(__xludf.DUMMYFUNCTION("IF(G896&lt;&gt;"""", GOOGLETRANSLATE(G896, ""en"", ""te""),"""")"),"")</f>
        <v/>
      </c>
      <c r="I896" s="3"/>
    </row>
    <row r="897" customHeight="1" spans="1:9">
      <c r="A897" s="2"/>
      <c r="B897" s="2" t="str">
        <f>IFERROR(__xludf.DUMMYFUNCTION("IF(A897&lt;&gt;"""", GOOGLETRANSLATE(A897, ""en"", ""te""),"""")"),"")</f>
        <v/>
      </c>
      <c r="C897" s="2"/>
      <c r="D897" s="2" t="str">
        <f>IFERROR(__xludf.DUMMYFUNCTION("IF(C897&lt;&gt;"""", GOOGLETRANSLATE(C897, ""en"", ""te""),"""")"),"")</f>
        <v/>
      </c>
      <c r="E897" s="2"/>
      <c r="F897" s="2" t="str">
        <f>IFERROR(__xludf.DUMMYFUNCTION("IF(E897&lt;&gt;"""", GOOGLETRANSLATE(E897, ""en"", ""te""),"""")"),"")</f>
        <v/>
      </c>
      <c r="G897" s="2"/>
      <c r="H897" s="2" t="str">
        <f>IFERROR(__xludf.DUMMYFUNCTION("IF(G897&lt;&gt;"""", GOOGLETRANSLATE(G897, ""en"", ""te""),"""")"),"")</f>
        <v/>
      </c>
      <c r="I897" s="3"/>
    </row>
    <row r="898" customHeight="1" spans="1:9">
      <c r="A898" s="2"/>
      <c r="B898" s="2" t="str">
        <f>IFERROR(__xludf.DUMMYFUNCTION("IF(A898&lt;&gt;"""", GOOGLETRANSLATE(A898, ""en"", ""te""),"""")"),"")</f>
        <v/>
      </c>
      <c r="C898" s="2"/>
      <c r="D898" s="2" t="str">
        <f>IFERROR(__xludf.DUMMYFUNCTION("IF(C898&lt;&gt;"""", GOOGLETRANSLATE(C898, ""en"", ""te""),"""")"),"")</f>
        <v/>
      </c>
      <c r="E898" s="2"/>
      <c r="F898" s="2" t="str">
        <f>IFERROR(__xludf.DUMMYFUNCTION("IF(E898&lt;&gt;"""", GOOGLETRANSLATE(E898, ""en"", ""te""),"""")"),"")</f>
        <v/>
      </c>
      <c r="G898" s="2"/>
      <c r="H898" s="2" t="str">
        <f>IFERROR(__xludf.DUMMYFUNCTION("IF(G898&lt;&gt;"""", GOOGLETRANSLATE(G898, ""en"", ""te""),"""")"),"")</f>
        <v/>
      </c>
      <c r="I898" s="3"/>
    </row>
    <row r="899" customHeight="1" spans="1:9">
      <c r="A899" s="2" t="s">
        <v>694</v>
      </c>
      <c r="B899" s="2" t="str">
        <f>IFERROR(__xludf.DUMMYFUNCTION("IF(A899&lt;&gt;"""", GOOGLETRANSLATE(A899, ""en"", ""te""),"""")"),"[ '1st అత్యుత్తమ ఇన్నింగ్స్ (1/0) విశ్లేషణలలో బౌలింగ్']")</f>
        <v>[ '1st అత్యుత్తమ ఇన్నింగ్స్ (1/0) విశ్లేషణలలో బౌలింగ్']</v>
      </c>
      <c r="C899" s="2"/>
      <c r="D899" s="2" t="str">
        <f>IFERROR(__xludf.DUMMYFUNCTION("IF(C899&lt;&gt;"""", GOOGLETRANSLATE(C899, ""en"", ""te""),"""")"),"")</f>
        <v/>
      </c>
      <c r="E899" s="2" t="s">
        <v>695</v>
      </c>
      <c r="F899" s="2" t="str">
        <f>IFERROR(__xludf.DUMMYFUNCTION("IF(E899&lt;&gt;"""", GOOGLETRANSLATE(E899, ""en"", ""te""),"""")"),"[ '1st అత్యుత్తమ ఇన్నింగ్స్ లో విశ్లేషణలు బౌలింగ్ (1/0)', ​​'18 వ ఉత్తమ కెరీర్ (అర్హత లేకుండా) సగటు బౌలింగ్ (9.00)']")</f>
        <v>[ '1st అత్యుత్తమ ఇన్నింగ్స్ లో విశ్లేషణలు బౌలింగ్ (1/0)', ​​'18 వ ఉత్తమ కెరీర్ (అర్హత లేకుండా) సగటు బౌలింగ్ (9.00)']</v>
      </c>
      <c r="G899" s="2"/>
      <c r="H899" s="2" t="str">
        <f>IFERROR(__xludf.DUMMYFUNCTION("IF(G899&lt;&gt;"""", GOOGLETRANSLATE(G899, ""en"", ""te""),"""")"),"")</f>
        <v/>
      </c>
      <c r="I899" s="3"/>
    </row>
    <row r="900" customHeight="1" spans="1:9">
      <c r="A900" s="2"/>
      <c r="B900" s="2" t="str">
        <f>IFERROR(__xludf.DUMMYFUNCTION("IF(A900&lt;&gt;"""", GOOGLETRANSLATE(A900, ""en"", ""te""),"""")"),"")</f>
        <v/>
      </c>
      <c r="C900" s="2"/>
      <c r="D900" s="2" t="str">
        <f>IFERROR(__xludf.DUMMYFUNCTION("IF(C900&lt;&gt;"""", GOOGLETRANSLATE(C900, ""en"", ""te""),"""")"),"")</f>
        <v/>
      </c>
      <c r="E900" s="2"/>
      <c r="F900" s="2" t="str">
        <f>IFERROR(__xludf.DUMMYFUNCTION("IF(E900&lt;&gt;"""", GOOGLETRANSLATE(E900, ""en"", ""te""),"""")"),"")</f>
        <v/>
      </c>
      <c r="G900" s="2"/>
      <c r="H900" s="2" t="str">
        <f>IFERROR(__xludf.DUMMYFUNCTION("IF(G900&lt;&gt;"""", GOOGLETRANSLATE(G900, ""en"", ""te""),"""")"),"")</f>
        <v/>
      </c>
      <c r="I900" s="3"/>
    </row>
    <row r="901" customHeight="1" spans="1:9">
      <c r="A901" s="2" t="s">
        <v>696</v>
      </c>
      <c r="B901" s="2" t="str">
        <f>IFERROR(__xludf.DUMMYFUNCTION("IF(A901&lt;&gt;"""", GOOGLETRANSLATE(A901, ""en"", ""te""),"""")"),"[ 'తొలి 5 వ తొంభై (93)']")</f>
        <v>[ 'తొలి 5 వ తొంభై (93)']</v>
      </c>
      <c r="C901" s="2"/>
      <c r="D901" s="2" t="str">
        <f>IFERROR(__xludf.DUMMYFUNCTION("IF(C901&lt;&gt;"""", GOOGLETRANSLATE(C901, ""en"", ""te""),"""")"),"")</f>
        <v/>
      </c>
      <c r="E901" s="2" t="s">
        <v>697</v>
      </c>
      <c r="F901" s="2" t="str">
        <f>IFERROR(__xludf.DUMMYFUNCTION("IF(E901&lt;&gt;"""", GOOGLETRANSLATE(E901, ""en"", ""te""),"""")"),"[ '20 వ తొలి మ్యాచ్లో అత్యధిక పరుగులు (93)', '39 వ అత్యంత వృద్ధ ఆటగాడు తొలి వంద (32y 54d) స్కోర్', 'తొలి 5 వ తొంభై (93)', ఆరవ వికెట్కు '39 వ అత్యధిక భాగస్వామ్యం (127 *) ']")</f>
        <v>[ '20 వ తొలి మ్యాచ్లో అత్యధిక పరుగులు (93)', '39 వ అత్యంత వృద్ధ ఆటగాడు తొలి వంద (32y 54d) స్కోర్', 'తొలి 5 వ తొంభై (93)', ఆరవ వికెట్కు '39 వ అత్యధిక భాగస్వామ్యం (127 *) ']</v>
      </c>
      <c r="G901" s="2" t="s">
        <v>698</v>
      </c>
      <c r="H901" s="2" t="str">
        <f>IFERROR(__xludf.DUMMYFUNCTION("IF(G901&lt;&gt;"""", GOOGLETRANSLATE(G901, ""en"", ""te""),"""")"),"[ '19 ఇన్నింగ్స్ లో అత్యధిక పరుగులు (బ్యాటింగ్ స్థానంలో ప్రకారం) (74 *)', '45 వ అత్యధిక కెరీర్ సమ్మె రేటు (138.63)', '32 వ తొలి మ్యాచ్లో అత్యధిక పరుగులు (56)', 'నాలుగవ వికెట్కు 42 వ అత్యధిక భాగస్వామ్యం (87) ']")</f>
        <v>[ '19 ఇన్నింగ్స్ లో అత్యధిక పరుగులు (బ్యాటింగ్ స్థానంలో ప్రకారం) (74 *)', '45 వ అత్యధిక కెరీర్ సమ్మె రేటు (138.63)', '32 వ తొలి మ్యాచ్లో అత్యధిక పరుగులు (56)', 'నాలుగవ వికెట్కు 42 వ అత్యధిక భాగస్వామ్యం (87) ']</v>
      </c>
      <c r="I901" s="3"/>
    </row>
    <row r="902" customHeight="1" spans="1:9">
      <c r="A902" s="2"/>
      <c r="B902" s="2" t="str">
        <f>IFERROR(__xludf.DUMMYFUNCTION("IF(A902&lt;&gt;"""", GOOGLETRANSLATE(A902, ""en"", ""te""),"""")"),"")</f>
        <v/>
      </c>
      <c r="C902" s="2"/>
      <c r="D902" s="2" t="str">
        <f>IFERROR(__xludf.DUMMYFUNCTION("IF(C902&lt;&gt;"""", GOOGLETRANSLATE(C902, ""en"", ""te""),"""")"),"")</f>
        <v/>
      </c>
      <c r="E902" s="2"/>
      <c r="F902" s="2" t="str">
        <f>IFERROR(__xludf.DUMMYFUNCTION("IF(E902&lt;&gt;"""", GOOGLETRANSLATE(E902, ""en"", ""te""),"""")"),"")</f>
        <v/>
      </c>
      <c r="G902" s="2"/>
      <c r="H902" s="2" t="str">
        <f>IFERROR(__xludf.DUMMYFUNCTION("IF(G902&lt;&gt;"""", GOOGLETRANSLATE(G902, ""en"", ""te""),"""")"),"")</f>
        <v/>
      </c>
      <c r="I902" s="3"/>
    </row>
    <row r="903" customHeight="1" spans="1:9">
      <c r="A903" s="2"/>
      <c r="B903" s="2" t="str">
        <f>IFERROR(__xludf.DUMMYFUNCTION("IF(A903&lt;&gt;"""", GOOGLETRANSLATE(A903, ""en"", ""te""),"""")"),"")</f>
        <v/>
      </c>
      <c r="C903" s="2"/>
      <c r="D903" s="2" t="str">
        <f>IFERROR(__xludf.DUMMYFUNCTION("IF(C903&lt;&gt;"""", GOOGLETRANSLATE(C903, ""en"", ""te""),"""")"),"")</f>
        <v/>
      </c>
      <c r="E903" s="2"/>
      <c r="F903" s="2" t="str">
        <f>IFERROR(__xludf.DUMMYFUNCTION("IF(E903&lt;&gt;"""", GOOGLETRANSLATE(E903, ""en"", ""te""),"""")"),"")</f>
        <v/>
      </c>
      <c r="G903" s="2"/>
      <c r="H903" s="2" t="str">
        <f>IFERROR(__xludf.DUMMYFUNCTION("IF(G903&lt;&gt;"""", GOOGLETRANSLATE(G903, ""en"", ""te""),"""")"),"")</f>
        <v/>
      </c>
      <c r="I903" s="3"/>
    </row>
    <row r="904" customHeight="1" spans="1:9">
      <c r="A904" s="2"/>
      <c r="B904" s="2" t="str">
        <f>IFERROR(__xludf.DUMMYFUNCTION("IF(A904&lt;&gt;"""", GOOGLETRANSLATE(A904, ""en"", ""te""),"""")"),"")</f>
        <v/>
      </c>
      <c r="C904" s="2"/>
      <c r="D904" s="2" t="str">
        <f>IFERROR(__xludf.DUMMYFUNCTION("IF(C904&lt;&gt;"""", GOOGLETRANSLATE(C904, ""en"", ""te""),"""")"),"")</f>
        <v/>
      </c>
      <c r="E904" s="2"/>
      <c r="F904" s="2" t="str">
        <f>IFERROR(__xludf.DUMMYFUNCTION("IF(E904&lt;&gt;"""", GOOGLETRANSLATE(E904, ""en"", ""te""),"""")"),"")</f>
        <v/>
      </c>
      <c r="G904" s="2"/>
      <c r="H904" s="2" t="str">
        <f>IFERROR(__xludf.DUMMYFUNCTION("IF(G904&lt;&gt;"""", GOOGLETRANSLATE(G904, ""en"", ""te""),"""")"),"")</f>
        <v/>
      </c>
      <c r="I904" s="3"/>
    </row>
    <row r="905" customHeight="1" spans="1:9">
      <c r="A905" s="2" t="s">
        <v>175</v>
      </c>
      <c r="B905" s="2" t="str">
        <f>IFERROR(__xludf.DUMMYFUNCTION("IF(A905&lt;&gt;"""", GOOGLETRANSLATE(A905, ""en"", ""te""),"""")"),"[ 'ఒక సిరీస్లో 6 వ అత్యంత బాతులు (3)']")</f>
        <v>[ 'ఒక సిరీస్లో 6 వ అత్యంత బాతులు (3)']</v>
      </c>
      <c r="C905" s="2"/>
      <c r="D905" s="2" t="str">
        <f>IFERROR(__xludf.DUMMYFUNCTION("IF(C905&lt;&gt;"""", GOOGLETRANSLATE(C905, ""en"", ""te""),"""")"),"")</f>
        <v/>
      </c>
      <c r="E905" s="2" t="s">
        <v>175</v>
      </c>
      <c r="F905" s="2" t="str">
        <f>IFERROR(__xludf.DUMMYFUNCTION("IF(E905&lt;&gt;"""", GOOGLETRANSLATE(E905, ""en"", ""te""),"""")"),"[ 'ఒక సిరీస్లో 6 వ అత్యంత బాతులు (3)']")</f>
        <v>[ 'ఒక సిరీస్లో 6 వ అత్యంత బాతులు (3)']</v>
      </c>
      <c r="G905" s="2"/>
      <c r="H905" s="2" t="str">
        <f>IFERROR(__xludf.DUMMYFUNCTION("IF(G905&lt;&gt;"""", GOOGLETRANSLATE(G905, ""en"", ""te""),"""")"),"")</f>
        <v/>
      </c>
      <c r="I905" s="3"/>
    </row>
    <row r="906" customHeight="1" spans="1:9">
      <c r="A906" s="2" t="s">
        <v>699</v>
      </c>
      <c r="B906" s="2" t="str">
        <f>IFERROR(__xludf.DUMMYFUNCTION("IF(A906&lt;&gt;"""", GOOGLETRANSLATE(A906, ""en"", ""te""),"""")"),"[ '1st ఇన్నింగ్స్ లో అత్యధిక పరుగులు (బ్యాటింగ్ స్థానంలో ప్రకారం) (42 *)']")</f>
        <v>[ '1st ఇన్నింగ్స్ లో అత్యధిక పరుగులు (బ్యాటింగ్ స్థానంలో ప్రకారం) (42 *)']</v>
      </c>
      <c r="C906" s="2" t="s">
        <v>700</v>
      </c>
      <c r="D906" s="2" t="str">
        <f>IFERROR(__xludf.DUMMYFUNCTION("IF(C906&lt;&gt;"""", GOOGLETRANSLATE(C906, ""en"", ""te""),"""")"),"['21 వ చెత్త కెరీర్ బౌలింగ్ సరాసరి (అర్హత లేకుండా) (76.66) ']")</f>
        <v>['21 వ చెత్త కెరీర్ బౌలింగ్ సరాసరి (అర్హత లేకుండా) (76.66) ']</v>
      </c>
      <c r="E906" s="2" t="s">
        <v>699</v>
      </c>
      <c r="F906" s="2" t="str">
        <f>IFERROR(__xludf.DUMMYFUNCTION("IF(E906&lt;&gt;"""", GOOGLETRANSLATE(E906, ""en"", ""te""),"""")"),"[ '1st ఇన్నింగ్స్ లో అత్యధిక పరుగులు (బ్యాటింగ్ స్థానంలో ప్రకారం) (42 *)']")</f>
        <v>[ '1st ఇన్నింగ్స్ లో అత్యధిక పరుగులు (బ్యాటింగ్ స్థానంలో ప్రకారం) (42 *)']</v>
      </c>
      <c r="G906" s="2"/>
      <c r="H906" s="2" t="str">
        <f>IFERROR(__xludf.DUMMYFUNCTION("IF(G906&lt;&gt;"""", GOOGLETRANSLATE(G906, ""en"", ""te""),"""")"),"")</f>
        <v/>
      </c>
      <c r="I906" s="3"/>
    </row>
    <row r="907" customHeight="1" spans="1:9">
      <c r="A907" s="2"/>
      <c r="B907" s="2" t="str">
        <f>IFERROR(__xludf.DUMMYFUNCTION("IF(A907&lt;&gt;"""", GOOGLETRANSLATE(A907, ""en"", ""te""),"""")"),"")</f>
        <v/>
      </c>
      <c r="C907" s="2"/>
      <c r="D907" s="2" t="str">
        <f>IFERROR(__xludf.DUMMYFUNCTION("IF(C907&lt;&gt;"""", GOOGLETRANSLATE(C907, ""en"", ""te""),"""")"),"")</f>
        <v/>
      </c>
      <c r="E907" s="2"/>
      <c r="F907" s="2" t="str">
        <f>IFERROR(__xludf.DUMMYFUNCTION("IF(E907&lt;&gt;"""", GOOGLETRANSLATE(E907, ""en"", ""te""),"""")"),"")</f>
        <v/>
      </c>
      <c r="G907" s="2"/>
      <c r="H907" s="2" t="str">
        <f>IFERROR(__xludf.DUMMYFUNCTION("IF(G907&lt;&gt;"""", GOOGLETRANSLATE(G907, ""en"", ""te""),"""")"),"")</f>
        <v/>
      </c>
      <c r="I907" s="3"/>
    </row>
    <row r="908" customHeight="1" spans="1:9">
      <c r="A908" s="2"/>
      <c r="B908" s="2" t="str">
        <f>IFERROR(__xludf.DUMMYFUNCTION("IF(A908&lt;&gt;"""", GOOGLETRANSLATE(A908, ""en"", ""te""),"""")"),"")</f>
        <v/>
      </c>
      <c r="C908" s="2"/>
      <c r="D908" s="2" t="str">
        <f>IFERROR(__xludf.DUMMYFUNCTION("IF(C908&lt;&gt;"""", GOOGLETRANSLATE(C908, ""en"", ""te""),"""")"),"")</f>
        <v/>
      </c>
      <c r="E908" s="2"/>
      <c r="F908" s="2" t="str">
        <f>IFERROR(__xludf.DUMMYFUNCTION("IF(E908&lt;&gt;"""", GOOGLETRANSLATE(E908, ""en"", ""te""),"""")"),"")</f>
        <v/>
      </c>
      <c r="G908" s="2"/>
      <c r="H908" s="2" t="str">
        <f>IFERROR(__xludf.DUMMYFUNCTION("IF(G908&lt;&gt;"""", GOOGLETRANSLATE(G908, ""en"", ""te""),"""")"),"")</f>
        <v/>
      </c>
      <c r="I908" s="3"/>
    </row>
    <row r="909" customHeight="1" spans="1:9">
      <c r="A909" s="2"/>
      <c r="B909" s="2" t="str">
        <f>IFERROR(__xludf.DUMMYFUNCTION("IF(A909&lt;&gt;"""", GOOGLETRANSLATE(A909, ""en"", ""te""),"""")"),"")</f>
        <v/>
      </c>
      <c r="C909" s="2"/>
      <c r="D909" s="2" t="str">
        <f>IFERROR(__xludf.DUMMYFUNCTION("IF(C909&lt;&gt;"""", GOOGLETRANSLATE(C909, ""en"", ""te""),"""")"),"")</f>
        <v/>
      </c>
      <c r="E909" s="2"/>
      <c r="F909" s="2" t="str">
        <f>IFERROR(__xludf.DUMMYFUNCTION("IF(E909&lt;&gt;"""", GOOGLETRANSLATE(E909, ""en"", ""te""),"""")"),"")</f>
        <v/>
      </c>
      <c r="G909" s="2"/>
      <c r="H909" s="2" t="str">
        <f>IFERROR(__xludf.DUMMYFUNCTION("IF(G909&lt;&gt;"""", GOOGLETRANSLATE(G909, ""en"", ""te""),"""")"),"")</f>
        <v/>
      </c>
      <c r="I909" s="3"/>
    </row>
    <row r="910" customHeight="1" spans="1:9">
      <c r="A910" s="2"/>
      <c r="B910" s="2" t="str">
        <f>IFERROR(__xludf.DUMMYFUNCTION("IF(A910&lt;&gt;"""", GOOGLETRANSLATE(A910, ""en"", ""te""),"""")"),"")</f>
        <v/>
      </c>
      <c r="C910" s="2"/>
      <c r="D910" s="2" t="str">
        <f>IFERROR(__xludf.DUMMYFUNCTION("IF(C910&lt;&gt;"""", GOOGLETRANSLATE(C910, ""en"", ""te""),"""")"),"")</f>
        <v/>
      </c>
      <c r="E910" s="2"/>
      <c r="F910" s="2" t="str">
        <f>IFERROR(__xludf.DUMMYFUNCTION("IF(E910&lt;&gt;"""", GOOGLETRANSLATE(E910, ""en"", ""te""),"""")"),"")</f>
        <v/>
      </c>
      <c r="G910" s="2"/>
      <c r="H910" s="2" t="str">
        <f>IFERROR(__xludf.DUMMYFUNCTION("IF(G910&lt;&gt;"""", GOOGLETRANSLATE(G910, ""en"", ""te""),"""")"),"")</f>
        <v/>
      </c>
      <c r="I910" s="3"/>
    </row>
    <row r="911" customHeight="1" spans="1:9">
      <c r="A911" s="2"/>
      <c r="B911" s="2" t="str">
        <f>IFERROR(__xludf.DUMMYFUNCTION("IF(A911&lt;&gt;"""", GOOGLETRANSLATE(A911, ""en"", ""te""),"""")"),"")</f>
        <v/>
      </c>
      <c r="C911" s="2"/>
      <c r="D911" s="2" t="str">
        <f>IFERROR(__xludf.DUMMYFUNCTION("IF(C911&lt;&gt;"""", GOOGLETRANSLATE(C911, ""en"", ""te""),"""")"),"")</f>
        <v/>
      </c>
      <c r="E911" s="2"/>
      <c r="F911" s="2" t="str">
        <f>IFERROR(__xludf.DUMMYFUNCTION("IF(E911&lt;&gt;"""", GOOGLETRANSLATE(E911, ""en"", ""te""),"""")"),"")</f>
        <v/>
      </c>
      <c r="G911" s="2"/>
      <c r="H911" s="2" t="str">
        <f>IFERROR(__xludf.DUMMYFUNCTION("IF(G911&lt;&gt;"""", GOOGLETRANSLATE(G911, ""en"", ""te""),"""")"),"")</f>
        <v/>
      </c>
      <c r="I911" s="3"/>
    </row>
    <row r="912" customHeight="1" spans="1:9">
      <c r="A912" s="2"/>
      <c r="B912" s="2" t="str">
        <f>IFERROR(__xludf.DUMMYFUNCTION("IF(A912&lt;&gt;"""", GOOGLETRANSLATE(A912, ""en"", ""te""),"""")"),"")</f>
        <v/>
      </c>
      <c r="C912" s="2"/>
      <c r="D912" s="2" t="str">
        <f>IFERROR(__xludf.DUMMYFUNCTION("IF(C912&lt;&gt;"""", GOOGLETRANSLATE(C912, ""en"", ""te""),"""")"),"")</f>
        <v/>
      </c>
      <c r="E912" s="2"/>
      <c r="F912" s="2" t="str">
        <f>IFERROR(__xludf.DUMMYFUNCTION("IF(E912&lt;&gt;"""", GOOGLETRANSLATE(E912, ""en"", ""te""),"""")"),"")</f>
        <v/>
      </c>
      <c r="G912" s="2"/>
      <c r="H912" s="2" t="str">
        <f>IFERROR(__xludf.DUMMYFUNCTION("IF(G912&lt;&gt;"""", GOOGLETRANSLATE(G912, ""en"", ""te""),"""")"),"")</f>
        <v/>
      </c>
      <c r="I912" s="3"/>
    </row>
    <row r="913" customHeight="1" spans="1:9">
      <c r="A913" s="2" t="s">
        <v>701</v>
      </c>
      <c r="B913" s="2" t="str">
        <f>IFERROR(__xludf.DUMMYFUNCTION("IF(A913&lt;&gt;"""", GOOGLETRANSLATE(A913, ""en"", ""te""),"""")"),"[ 'ఇన్నింగ్స్ లో 6 వ అత్యధిక పరుగులు (బ్యాటింగ్ స్థానంలో ప్రకారం) (62 *)', '3 వ సంఖ్య ఇన్నింగ్స్ పదకొండు టాప్ స్కోరింగ్ (62 *)', '8 వ ఉత్తమ కెరీర్ సమ్మె రేటు (43.1)', '8 వ అత్యధిక క్యాచ్లు ఒక మ్యాచ్ (6) ']")</f>
        <v>[ 'ఇన్నింగ్స్ లో 6 వ అత్యధిక పరుగులు (బ్యాటింగ్ స్థానంలో ప్రకారం) (62 *)', '3 వ సంఖ్య ఇన్నింగ్స్ పదకొండు టాప్ స్కోరింగ్ (62 *)', '8 వ ఉత్తమ కెరీర్ సమ్మె రేటు (43.1)', '8 వ అత్యధిక క్యాచ్లు ఒక మ్యాచ్ (6) ']</v>
      </c>
      <c r="C913" s="2" t="s">
        <v>702</v>
      </c>
      <c r="D913" s="2" t="str">
        <f>IFERROR(__xludf.DUMMYFUNCTION("IF(C913&lt;&gt;"""", GOOGLETRANSLATE(C913, ""en"", ""te""),"""")"),"[ 'ఇన్నింగ్స్ లో 6 వ అత్యధిక పరుగులు (62 *) (బ్యాటింగ్ స్థానం)', '3 వ సంఖ్య పదకొండు ఇన్నింగ్స్ లో టాప్ స్కోరింగ్ (62 *)', 'వరుస 16 వ అత్యధిక వికెట్లు (36)', '47 వ ఉత్తమ కెరీర్ (43.1) ',' 18 వ వరుస ఐదు వికెట్ల లో-ఒక-ఇన్నింగ్స్ (3) ',' పది వికెట్లు ఇన్ ఒక- "&amp;"తీసుకోవాలని 44 వ అత్యంత వృద్ధ ఆటగాడు సగటు (22.73) ',' 8 వ ఉత్తమ కెరీర్ సమ్మె రేటు బౌలింగ్ మ్యాచ్ ఒక మ్యాచ్లో (33y 34d) ',' 50 వికెట్లు వేగంగా 41 వ (11) ',' 8 వ అత్యధిక క్యాచ్లు (6) ',' 10th ఒక సిరీస్లో అత్యధిక క్యాచ్లు (12) ']")</f>
        <v>[ 'ఇన్నింగ్స్ లో 6 వ అత్యధిక పరుగులు (62 *) (బ్యాటింగ్ స్థానం)', '3 వ సంఖ్య పదకొండు ఇన్నింగ్స్ లో టాప్ స్కోరింగ్ (62 *)', 'వరుస 16 వ అత్యధిక వికెట్లు (36)', '47 వ ఉత్తమ కెరీర్ (43.1) ',' 18 వ వరుస ఐదు వికెట్ల లో-ఒక-ఇన్నింగ్స్ (3) ',' పది వికెట్లు ఇన్ ఒక- తీసుకోవాలని 44 వ అత్యంత వృద్ధ ఆటగాడు సగటు (22.73) ',' 8 వ ఉత్తమ కెరీర్ సమ్మె రేటు బౌలింగ్ మ్యాచ్ ఒక మ్యాచ్లో (33y 34d) ',' 50 వికెట్లు వేగంగా 41 వ (11) ',' 8 వ అత్యధిక క్యాచ్లు (6) ',' 10th ఒక సిరీస్లో అత్యధిక క్యాచ్లు (12) ']</v>
      </c>
      <c r="E913" s="2"/>
      <c r="F913" s="2" t="str">
        <f>IFERROR(__xludf.DUMMYFUNCTION("IF(E913&lt;&gt;"""", GOOGLETRANSLATE(E913, ""en"", ""te""),"""")"),"")</f>
        <v/>
      </c>
      <c r="G913" s="2"/>
      <c r="H913" s="2" t="str">
        <f>IFERROR(__xludf.DUMMYFUNCTION("IF(G913&lt;&gt;"""", GOOGLETRANSLATE(G913, ""en"", ""te""),"""")"),"")</f>
        <v/>
      </c>
      <c r="I913" s="3"/>
    </row>
    <row r="914" customHeight="1" spans="1:9">
      <c r="A914" s="2"/>
      <c r="B914" s="2" t="str">
        <f>IFERROR(__xludf.DUMMYFUNCTION("IF(A914&lt;&gt;"""", GOOGLETRANSLATE(A914, ""en"", ""te""),"""")"),"")</f>
        <v/>
      </c>
      <c r="C914" s="2"/>
      <c r="D914" s="2" t="str">
        <f>IFERROR(__xludf.DUMMYFUNCTION("IF(C914&lt;&gt;"""", GOOGLETRANSLATE(C914, ""en"", ""te""),"""")"),"")</f>
        <v/>
      </c>
      <c r="E914" s="2"/>
      <c r="F914" s="2" t="str">
        <f>IFERROR(__xludf.DUMMYFUNCTION("IF(E914&lt;&gt;"""", GOOGLETRANSLATE(E914, ""en"", ""te""),"""")"),"")</f>
        <v/>
      </c>
      <c r="G914" s="2"/>
      <c r="H914" s="2" t="str">
        <f>IFERROR(__xludf.DUMMYFUNCTION("IF(G914&lt;&gt;"""", GOOGLETRANSLATE(G914, ""en"", ""te""),"""")"),"")</f>
        <v/>
      </c>
      <c r="I914" s="3"/>
    </row>
    <row r="915" customHeight="1" spans="1:9">
      <c r="A915" s="2"/>
      <c r="B915" s="2" t="str">
        <f>IFERROR(__xludf.DUMMYFUNCTION("IF(A915&lt;&gt;"""", GOOGLETRANSLATE(A915, ""en"", ""te""),"""")"),"")</f>
        <v/>
      </c>
      <c r="C915" s="2"/>
      <c r="D915" s="2" t="str">
        <f>IFERROR(__xludf.DUMMYFUNCTION("IF(C915&lt;&gt;"""", GOOGLETRANSLATE(C915, ""en"", ""te""),"""")"),"")</f>
        <v/>
      </c>
      <c r="E915" s="2"/>
      <c r="F915" s="2" t="str">
        <f>IFERROR(__xludf.DUMMYFUNCTION("IF(E915&lt;&gt;"""", GOOGLETRANSLATE(E915, ""en"", ""te""),"""")"),"")</f>
        <v/>
      </c>
      <c r="G915" s="2"/>
      <c r="H915" s="2" t="str">
        <f>IFERROR(__xludf.DUMMYFUNCTION("IF(G915&lt;&gt;"""", GOOGLETRANSLATE(G915, ""en"", ""te""),"""")"),"")</f>
        <v/>
      </c>
      <c r="I915" s="3"/>
    </row>
    <row r="916" customHeight="1" spans="1:9">
      <c r="A916" s="2"/>
      <c r="B916" s="2" t="str">
        <f>IFERROR(__xludf.DUMMYFUNCTION("IF(A916&lt;&gt;"""", GOOGLETRANSLATE(A916, ""en"", ""te""),"""")"),"")</f>
        <v/>
      </c>
      <c r="C916" s="2"/>
      <c r="D916" s="2" t="str">
        <f>IFERROR(__xludf.DUMMYFUNCTION("IF(C916&lt;&gt;"""", GOOGLETRANSLATE(C916, ""en"", ""te""),"""")"),"")</f>
        <v/>
      </c>
      <c r="E916" s="2"/>
      <c r="F916" s="2" t="str">
        <f>IFERROR(__xludf.DUMMYFUNCTION("IF(E916&lt;&gt;"""", GOOGLETRANSLATE(E916, ""en"", ""te""),"""")"),"")</f>
        <v/>
      </c>
      <c r="G916" s="2"/>
      <c r="H916" s="2" t="str">
        <f>IFERROR(__xludf.DUMMYFUNCTION("IF(G916&lt;&gt;"""", GOOGLETRANSLATE(G916, ""en"", ""te""),"""")"),"")</f>
        <v/>
      </c>
      <c r="I916" s="3"/>
    </row>
    <row r="917" customHeight="1" spans="1:9">
      <c r="A917" s="2"/>
      <c r="B917" s="2" t="str">
        <f>IFERROR(__xludf.DUMMYFUNCTION("IF(A917&lt;&gt;"""", GOOGLETRANSLATE(A917, ""en"", ""te""),"""")"),"")</f>
        <v/>
      </c>
      <c r="C917" s="2"/>
      <c r="D917" s="2" t="str">
        <f>IFERROR(__xludf.DUMMYFUNCTION("IF(C917&lt;&gt;"""", GOOGLETRANSLATE(C917, ""en"", ""te""),"""")"),"")</f>
        <v/>
      </c>
      <c r="E917" s="2"/>
      <c r="F917" s="2" t="str">
        <f>IFERROR(__xludf.DUMMYFUNCTION("IF(E917&lt;&gt;"""", GOOGLETRANSLATE(E917, ""en"", ""te""),"""")"),"")</f>
        <v/>
      </c>
      <c r="G917" s="2"/>
      <c r="H917" s="2" t="str">
        <f>IFERROR(__xludf.DUMMYFUNCTION("IF(G917&lt;&gt;"""", GOOGLETRANSLATE(G917, ""en"", ""te""),"""")"),"")</f>
        <v/>
      </c>
      <c r="I917" s="3"/>
    </row>
    <row r="918" customHeight="1" spans="1:9">
      <c r="A918" s="2"/>
      <c r="B918" s="2" t="str">
        <f>IFERROR(__xludf.DUMMYFUNCTION("IF(A918&lt;&gt;"""", GOOGLETRANSLATE(A918, ""en"", ""te""),"""")"),"")</f>
        <v/>
      </c>
      <c r="C918" s="2"/>
      <c r="D918" s="2" t="str">
        <f>IFERROR(__xludf.DUMMYFUNCTION("IF(C918&lt;&gt;"""", GOOGLETRANSLATE(C918, ""en"", ""te""),"""")"),"")</f>
        <v/>
      </c>
      <c r="E918" s="2"/>
      <c r="F918" s="2" t="str">
        <f>IFERROR(__xludf.DUMMYFUNCTION("IF(E918&lt;&gt;"""", GOOGLETRANSLATE(E918, ""en"", ""te""),"""")"),"")</f>
        <v/>
      </c>
      <c r="G918" s="2"/>
      <c r="H918" s="2" t="str">
        <f>IFERROR(__xludf.DUMMYFUNCTION("IF(G918&lt;&gt;"""", GOOGLETRANSLATE(G918, ""en"", ""te""),"""")"),"")</f>
        <v/>
      </c>
      <c r="I918" s="3"/>
    </row>
    <row r="919" customHeight="1" spans="1:9">
      <c r="A919" s="2"/>
      <c r="B919" s="2" t="str">
        <f>IFERROR(__xludf.DUMMYFUNCTION("IF(A919&lt;&gt;"""", GOOGLETRANSLATE(A919, ""en"", ""te""),"""")"),"")</f>
        <v/>
      </c>
      <c r="C919" s="2"/>
      <c r="D919" s="2" t="str">
        <f>IFERROR(__xludf.DUMMYFUNCTION("IF(C919&lt;&gt;"""", GOOGLETRANSLATE(C919, ""en"", ""te""),"""")"),"")</f>
        <v/>
      </c>
      <c r="E919" s="2"/>
      <c r="F919" s="2" t="str">
        <f>IFERROR(__xludf.DUMMYFUNCTION("IF(E919&lt;&gt;"""", GOOGLETRANSLATE(E919, ""en"", ""te""),"""")"),"")</f>
        <v/>
      </c>
      <c r="G919" s="2"/>
      <c r="H919" s="2" t="str">
        <f>IFERROR(__xludf.DUMMYFUNCTION("IF(G919&lt;&gt;"""", GOOGLETRANSLATE(G919, ""en"", ""te""),"""")"),"")</f>
        <v/>
      </c>
      <c r="I919" s="3"/>
    </row>
    <row r="920" customHeight="1" spans="1:9">
      <c r="A920" s="2"/>
      <c r="B920" s="2" t="str">
        <f>IFERROR(__xludf.DUMMYFUNCTION("IF(A920&lt;&gt;"""", GOOGLETRANSLATE(A920, ""en"", ""te""),"""")"),"")</f>
        <v/>
      </c>
      <c r="C920" s="2"/>
      <c r="D920" s="2" t="str">
        <f>IFERROR(__xludf.DUMMYFUNCTION("IF(C920&lt;&gt;"""", GOOGLETRANSLATE(C920, ""en"", ""te""),"""")"),"")</f>
        <v/>
      </c>
      <c r="E920" s="2"/>
      <c r="F920" s="2" t="str">
        <f>IFERROR(__xludf.DUMMYFUNCTION("IF(E920&lt;&gt;"""", GOOGLETRANSLATE(E920, ""en"", ""te""),"""")"),"")</f>
        <v/>
      </c>
      <c r="G920" s="2"/>
      <c r="H920" s="2" t="str">
        <f>IFERROR(__xludf.DUMMYFUNCTION("IF(G920&lt;&gt;"""", GOOGLETRANSLATE(G920, ""en"", ""te""),"""")"),"")</f>
        <v/>
      </c>
      <c r="I920" s="3"/>
    </row>
    <row r="921" customHeight="1" spans="1:9">
      <c r="A921" s="2"/>
      <c r="B921" s="2" t="str">
        <f>IFERROR(__xludf.DUMMYFUNCTION("IF(A921&lt;&gt;"""", GOOGLETRANSLATE(A921, ""en"", ""te""),"""")"),"")</f>
        <v/>
      </c>
      <c r="C921" s="2"/>
      <c r="D921" s="2" t="str">
        <f>IFERROR(__xludf.DUMMYFUNCTION("IF(C921&lt;&gt;"""", GOOGLETRANSLATE(C921, ""en"", ""te""),"""")"),"")</f>
        <v/>
      </c>
      <c r="E921" s="2"/>
      <c r="F921" s="2" t="str">
        <f>IFERROR(__xludf.DUMMYFUNCTION("IF(E921&lt;&gt;"""", GOOGLETRANSLATE(E921, ""en"", ""te""),"""")"),"")</f>
        <v/>
      </c>
      <c r="G921" s="2"/>
      <c r="H921" s="2" t="str">
        <f>IFERROR(__xludf.DUMMYFUNCTION("IF(G921&lt;&gt;"""", GOOGLETRANSLATE(G921, ""en"", ""te""),"""")"),"")</f>
        <v/>
      </c>
      <c r="I921" s="3"/>
    </row>
    <row r="922" customHeight="1" spans="1:9">
      <c r="A922" s="2"/>
      <c r="B922" s="2" t="str">
        <f>IFERROR(__xludf.DUMMYFUNCTION("IF(A922&lt;&gt;"""", GOOGLETRANSLATE(A922, ""en"", ""te""),"""")"),"")</f>
        <v/>
      </c>
      <c r="C922" s="2"/>
      <c r="D922" s="2" t="str">
        <f>IFERROR(__xludf.DUMMYFUNCTION("IF(C922&lt;&gt;"""", GOOGLETRANSLATE(C922, ""en"", ""te""),"""")"),"")</f>
        <v/>
      </c>
      <c r="E922" s="2"/>
      <c r="F922" s="2" t="str">
        <f>IFERROR(__xludf.DUMMYFUNCTION("IF(E922&lt;&gt;"""", GOOGLETRANSLATE(E922, ""en"", ""te""),"""")"),"")</f>
        <v/>
      </c>
      <c r="G922" s="2"/>
      <c r="H922" s="2" t="str">
        <f>IFERROR(__xludf.DUMMYFUNCTION("IF(G922&lt;&gt;"""", GOOGLETRANSLATE(G922, ""en"", ""te""),"""")"),"")</f>
        <v/>
      </c>
      <c r="I922" s="3"/>
    </row>
    <row r="923" customHeight="1" spans="1:9">
      <c r="A923" s="2"/>
      <c r="B923" s="2" t="str">
        <f>IFERROR(__xludf.DUMMYFUNCTION("IF(A923&lt;&gt;"""", GOOGLETRANSLATE(A923, ""en"", ""te""),"""")"),"")</f>
        <v/>
      </c>
      <c r="C923" s="2" t="s">
        <v>703</v>
      </c>
      <c r="D923" s="2" t="str">
        <f>IFERROR(__xludf.DUMMYFUNCTION("IF(C923&lt;&gt;"""", GOOGLETRANSLATE(C923, ""en"", ""te""),"""")"),"[ '15 మ్యాచ్ రిఫరీ గా అత్యధిక మ్యాచ్లు (29)']")</f>
        <v>[ '15 మ్యాచ్ రిఫరీ గా అత్యధిక మ్యాచ్లు (29)']</v>
      </c>
      <c r="E923" s="2" t="s">
        <v>704</v>
      </c>
      <c r="F923" s="2" t="str">
        <f>IFERROR(__xludf.DUMMYFUNCTION("IF(E923&lt;&gt;"""", GOOGLETRANSLATE(E923, ""en"", ""te""),"""")"),"[ '16 వ ఒక మ్యాచ్ రిఫరీ గా అత్యధిక మ్యాచ్లు (71)']")</f>
        <v>[ '16 వ ఒక మ్యాచ్ రిఫరీ గా అత్యధిక మ్యాచ్లు (71)']</v>
      </c>
      <c r="G923" s="2"/>
      <c r="H923" s="2" t="str">
        <f>IFERROR(__xludf.DUMMYFUNCTION("IF(G923&lt;&gt;"""", GOOGLETRANSLATE(G923, ""en"", ""te""),"""")"),"")</f>
        <v/>
      </c>
      <c r="I923" s="3"/>
    </row>
    <row r="924" customHeight="1" spans="1:9">
      <c r="A924" s="2"/>
      <c r="B924" s="2" t="str">
        <f>IFERROR(__xludf.DUMMYFUNCTION("IF(A924&lt;&gt;"""", GOOGLETRANSLATE(A924, ""en"", ""te""),"""")"),"")</f>
        <v/>
      </c>
      <c r="C924" s="2"/>
      <c r="D924" s="2" t="str">
        <f>IFERROR(__xludf.DUMMYFUNCTION("IF(C924&lt;&gt;"""", GOOGLETRANSLATE(C924, ""en"", ""te""),"""")"),"")</f>
        <v/>
      </c>
      <c r="E924" s="2"/>
      <c r="F924" s="2" t="str">
        <f>IFERROR(__xludf.DUMMYFUNCTION("IF(E924&lt;&gt;"""", GOOGLETRANSLATE(E924, ""en"", ""te""),"""")"),"")</f>
        <v/>
      </c>
      <c r="G924" s="2"/>
      <c r="H924" s="2" t="str">
        <f>IFERROR(__xludf.DUMMYFUNCTION("IF(G924&lt;&gt;"""", GOOGLETRANSLATE(G924, ""en"", ""te""),"""")"),"")</f>
        <v/>
      </c>
      <c r="I924" s="3"/>
    </row>
    <row r="925" customHeight="1" spans="1:9">
      <c r="A925" s="2"/>
      <c r="B925" s="2" t="str">
        <f>IFERROR(__xludf.DUMMYFUNCTION("IF(A925&lt;&gt;"""", GOOGLETRANSLATE(A925, ""en"", ""te""),"""")"),"")</f>
        <v/>
      </c>
      <c r="C925" s="2"/>
      <c r="D925" s="2" t="str">
        <f>IFERROR(__xludf.DUMMYFUNCTION("IF(C925&lt;&gt;"""", GOOGLETRANSLATE(C925, ""en"", ""te""),"""")"),"")</f>
        <v/>
      </c>
      <c r="E925" s="2"/>
      <c r="F925" s="2" t="str">
        <f>IFERROR(__xludf.DUMMYFUNCTION("IF(E925&lt;&gt;"""", GOOGLETRANSLATE(E925, ""en"", ""te""),"""")"),"")</f>
        <v/>
      </c>
      <c r="G925" s="2"/>
      <c r="H925" s="2" t="str">
        <f>IFERROR(__xludf.DUMMYFUNCTION("IF(G925&lt;&gt;"""", GOOGLETRANSLATE(G925, ""en"", ""te""),"""")"),"")</f>
        <v/>
      </c>
      <c r="I925" s="3"/>
    </row>
    <row r="926" customHeight="1" spans="1:9">
      <c r="A926" s="2"/>
      <c r="B926" s="2" t="str">
        <f>IFERROR(__xludf.DUMMYFUNCTION("IF(A926&lt;&gt;"""", GOOGLETRANSLATE(A926, ""en"", ""te""),"""")"),"")</f>
        <v/>
      </c>
      <c r="C926" s="2"/>
      <c r="D926" s="2" t="str">
        <f>IFERROR(__xludf.DUMMYFUNCTION("IF(C926&lt;&gt;"""", GOOGLETRANSLATE(C926, ""en"", ""te""),"""")"),"")</f>
        <v/>
      </c>
      <c r="E926" s="2"/>
      <c r="F926" s="2" t="str">
        <f>IFERROR(__xludf.DUMMYFUNCTION("IF(E926&lt;&gt;"""", GOOGLETRANSLATE(E926, ""en"", ""te""),"""")"),"")</f>
        <v/>
      </c>
      <c r="G926" s="2"/>
      <c r="H926" s="2" t="str">
        <f>IFERROR(__xludf.DUMMYFUNCTION("IF(G926&lt;&gt;"""", GOOGLETRANSLATE(G926, ""en"", ""te""),"""")"),"")</f>
        <v/>
      </c>
      <c r="I926" s="3"/>
    </row>
    <row r="927" customHeight="1" spans="1:9">
      <c r="A927" s="2"/>
      <c r="B927" s="2" t="str">
        <f>IFERROR(__xludf.DUMMYFUNCTION("IF(A927&lt;&gt;"""", GOOGLETRANSLATE(A927, ""en"", ""te""),"""")"),"")</f>
        <v/>
      </c>
      <c r="C927" s="2" t="s">
        <v>705</v>
      </c>
      <c r="D927" s="2" t="str">
        <f>IFERROR(__xludf.DUMMYFUNCTION("IF(C927&lt;&gt;"""", GOOGLETRANSLATE(C927, ""en"", ""te""),"""")"),"[ '36 వ లాంగెస్ట్ కెరీర్లు (18y 75d)']")</f>
        <v>[ '36 వ లాంగెస్ట్ కెరీర్లు (18y 75d)']</v>
      </c>
      <c r="E927" s="2"/>
      <c r="F927" s="2" t="str">
        <f>IFERROR(__xludf.DUMMYFUNCTION("IF(E927&lt;&gt;"""", GOOGLETRANSLATE(E927, ""en"", ""te""),"""")"),"")</f>
        <v/>
      </c>
      <c r="G927" s="2"/>
      <c r="H927" s="2" t="str">
        <f>IFERROR(__xludf.DUMMYFUNCTION("IF(G927&lt;&gt;"""", GOOGLETRANSLATE(G927, ""en"", ""te""),"""")"),"")</f>
        <v/>
      </c>
      <c r="I927" s="3"/>
    </row>
    <row r="928" customHeight="1" spans="1:9">
      <c r="A928" s="2"/>
      <c r="B928" s="2" t="str">
        <f>IFERROR(__xludf.DUMMYFUNCTION("IF(A928&lt;&gt;"""", GOOGLETRANSLATE(A928, ""en"", ""te""),"""")"),"")</f>
        <v/>
      </c>
      <c r="C928" s="2"/>
      <c r="D928" s="2" t="str">
        <f>IFERROR(__xludf.DUMMYFUNCTION("IF(C928&lt;&gt;"""", GOOGLETRANSLATE(C928, ""en"", ""te""),"""")"),"")</f>
        <v/>
      </c>
      <c r="E928" s="2"/>
      <c r="F928" s="2" t="str">
        <f>IFERROR(__xludf.DUMMYFUNCTION("IF(E928&lt;&gt;"""", GOOGLETRANSLATE(E928, ""en"", ""te""),"""")"),"")</f>
        <v/>
      </c>
      <c r="G928" s="2"/>
      <c r="H928" s="2" t="str">
        <f>IFERROR(__xludf.DUMMYFUNCTION("IF(G928&lt;&gt;"""", GOOGLETRANSLATE(G928, ""en"", ""te""),"""")"),"")</f>
        <v/>
      </c>
      <c r="I928" s="3"/>
    </row>
    <row r="929" customHeight="1" spans="1:9">
      <c r="A929" s="2"/>
      <c r="B929" s="2" t="str">
        <f>IFERROR(__xludf.DUMMYFUNCTION("IF(A929&lt;&gt;"""", GOOGLETRANSLATE(A929, ""en"", ""te""),"""")"),"")</f>
        <v/>
      </c>
      <c r="C929" s="2"/>
      <c r="D929" s="2" t="str">
        <f>IFERROR(__xludf.DUMMYFUNCTION("IF(C929&lt;&gt;"""", GOOGLETRANSLATE(C929, ""en"", ""te""),"""")"),"")</f>
        <v/>
      </c>
      <c r="E929" s="2"/>
      <c r="F929" s="2" t="str">
        <f>IFERROR(__xludf.DUMMYFUNCTION("IF(E929&lt;&gt;"""", GOOGLETRANSLATE(E929, ""en"", ""te""),"""")"),"")</f>
        <v/>
      </c>
      <c r="G929" s="2"/>
      <c r="H929" s="2" t="str">
        <f>IFERROR(__xludf.DUMMYFUNCTION("IF(G929&lt;&gt;"""", GOOGLETRANSLATE(G929, ""en"", ""te""),"""")"),"")</f>
        <v/>
      </c>
      <c r="I929" s="3"/>
    </row>
    <row r="930" customHeight="1" spans="1:9">
      <c r="A930" s="2"/>
      <c r="B930" s="2" t="str">
        <f>IFERROR(__xludf.DUMMYFUNCTION("IF(A930&lt;&gt;"""", GOOGLETRANSLATE(A930, ""en"", ""te""),"""")"),"")</f>
        <v/>
      </c>
      <c r="C930" s="2" t="s">
        <v>706</v>
      </c>
      <c r="D930" s="2" t="str">
        <f>IFERROR(__xludf.DUMMYFUNCTION("IF(C930&lt;&gt;"""", GOOGLETRANSLATE(C930, ""en"", ""te""),"""")"),"[ '13 వ ఇన్నింగ్స్ లో అత్యధిక పరుగులు (బ్యాటింగ్ స్థానంలో ప్రకారం) (71)', '20 వ పరాజయం వైపు (88) ఒక మ్యాచ్లో అత్యధిక పరుగులు']")</f>
        <v>[ '13 వ ఇన్నింగ్స్ లో అత్యధిక పరుగులు (బ్యాటింగ్ స్థానంలో ప్రకారం) (71)', '20 వ పరాజయం వైపు (88) ఒక మ్యాచ్లో అత్యధిక పరుగులు']</v>
      </c>
      <c r="E930" s="2" t="s">
        <v>707</v>
      </c>
      <c r="F930" s="2" t="str">
        <f>IFERROR(__xludf.DUMMYFUNCTION("IF(E930&lt;&gt;"""", GOOGLETRANSLATE(E930, ""en"", ""te""),"""")"),"[ 'తొమ్మిదవ వికెట్కు 22 అత్యధిక భాగస్వామ్యం (39)', '47 వ పిన్న క్రీడాకారులు (16y 258d)']")</f>
        <v>[ 'తొమ్మిదవ వికెట్కు 22 అత్యధిక భాగస్వామ్యం (39)', '47 వ పిన్న క్రీడాకారులు (16y 258d)']</v>
      </c>
      <c r="G930" s="2"/>
      <c r="H930" s="2" t="str">
        <f>IFERROR(__xludf.DUMMYFUNCTION("IF(G930&lt;&gt;"""", GOOGLETRANSLATE(G930, ""en"", ""te""),"""")"),"")</f>
        <v/>
      </c>
      <c r="I930" s="3"/>
    </row>
    <row r="931" customHeight="1" spans="1:9">
      <c r="A931" s="2"/>
      <c r="B931" s="2" t="str">
        <f>IFERROR(__xludf.DUMMYFUNCTION("IF(A931&lt;&gt;"""", GOOGLETRANSLATE(A931, ""en"", ""te""),"""")"),"")</f>
        <v/>
      </c>
      <c r="C931" s="2"/>
      <c r="D931" s="2" t="str">
        <f>IFERROR(__xludf.DUMMYFUNCTION("IF(C931&lt;&gt;"""", GOOGLETRANSLATE(C931, ""en"", ""te""),"""")"),"")</f>
        <v/>
      </c>
      <c r="E931" s="2"/>
      <c r="F931" s="2" t="str">
        <f>IFERROR(__xludf.DUMMYFUNCTION("IF(E931&lt;&gt;"""", GOOGLETRANSLATE(E931, ""en"", ""te""),"""")"),"")</f>
        <v/>
      </c>
      <c r="G931" s="2"/>
      <c r="H931" s="2" t="str">
        <f>IFERROR(__xludf.DUMMYFUNCTION("IF(G931&lt;&gt;"""", GOOGLETRANSLATE(G931, ""en"", ""te""),"""")"),"")</f>
        <v/>
      </c>
      <c r="I931" s="3"/>
    </row>
    <row r="932" customHeight="1" spans="1:9">
      <c r="A932" s="2"/>
      <c r="B932" s="2" t="str">
        <f>IFERROR(__xludf.DUMMYFUNCTION("IF(A932&lt;&gt;"""", GOOGLETRANSLATE(A932, ""en"", ""te""),"""")"),"")</f>
        <v/>
      </c>
      <c r="C932" s="2"/>
      <c r="D932" s="2" t="str">
        <f>IFERROR(__xludf.DUMMYFUNCTION("IF(C932&lt;&gt;"""", GOOGLETRANSLATE(C932, ""en"", ""te""),"""")"),"")</f>
        <v/>
      </c>
      <c r="E932" s="2"/>
      <c r="F932" s="2" t="str">
        <f>IFERROR(__xludf.DUMMYFUNCTION("IF(E932&lt;&gt;"""", GOOGLETRANSLATE(E932, ""en"", ""te""),"""")"),"")</f>
        <v/>
      </c>
      <c r="G932" s="2"/>
      <c r="H932" s="2" t="str">
        <f>IFERROR(__xludf.DUMMYFUNCTION("IF(G932&lt;&gt;"""", GOOGLETRANSLATE(G932, ""en"", ""te""),"""")"),"")</f>
        <v/>
      </c>
      <c r="I932" s="3"/>
    </row>
    <row r="933" customHeight="1" spans="1:9">
      <c r="A933" s="2"/>
      <c r="B933" s="2" t="str">
        <f>IFERROR(__xludf.DUMMYFUNCTION("IF(A933&lt;&gt;"""", GOOGLETRANSLATE(A933, ""en"", ""te""),"""")"),"")</f>
        <v/>
      </c>
      <c r="C933" s="2"/>
      <c r="D933" s="2" t="str">
        <f>IFERROR(__xludf.DUMMYFUNCTION("IF(C933&lt;&gt;"""", GOOGLETRANSLATE(C933, ""en"", ""te""),"""")"),"")</f>
        <v/>
      </c>
      <c r="E933" s="2"/>
      <c r="F933" s="2" t="str">
        <f>IFERROR(__xludf.DUMMYFUNCTION("IF(E933&lt;&gt;"""", GOOGLETRANSLATE(E933, ""en"", ""te""),"""")"),"")</f>
        <v/>
      </c>
      <c r="G933" s="2"/>
      <c r="H933" s="2" t="str">
        <f>IFERROR(__xludf.DUMMYFUNCTION("IF(G933&lt;&gt;"""", GOOGLETRANSLATE(G933, ""en"", ""te""),"""")"),"")</f>
        <v/>
      </c>
      <c r="I933" s="3"/>
    </row>
    <row r="934" customHeight="1" spans="1:9">
      <c r="A934" s="2" t="s">
        <v>708</v>
      </c>
      <c r="B934" s="2" t="str">
        <f>IFERROR(__xludf.DUMMYFUNCTION("IF(A934&lt;&gt;"""", GOOGLETRANSLATE(A934, ""en"", ""te""),"""")"),"[ 'హండ్రెడ్ తొలి (101 *)']")</f>
        <v>[ 'హండ్రెడ్ తొలి (101 *)']</v>
      </c>
      <c r="C934" s="2"/>
      <c r="D934" s="2" t="str">
        <f>IFERROR(__xludf.DUMMYFUNCTION("IF(C934&lt;&gt;"""", GOOGLETRANSLATE(C934, ""en"", ""te""),"""")"),"")</f>
        <v/>
      </c>
      <c r="E934" s="2"/>
      <c r="F934" s="2" t="str">
        <f>IFERROR(__xludf.DUMMYFUNCTION("IF(E934&lt;&gt;"""", GOOGLETRANSLATE(E934, ""en"", ""te""),"""")"),"")</f>
        <v/>
      </c>
      <c r="G934" s="2"/>
      <c r="H934" s="2" t="str">
        <f>IFERROR(__xludf.DUMMYFUNCTION("IF(G934&lt;&gt;"""", GOOGLETRANSLATE(G934, ""en"", ""te""),"""")"),"")</f>
        <v/>
      </c>
      <c r="I934" s="3"/>
    </row>
    <row r="935" customHeight="1" spans="1:9">
      <c r="A935" s="2"/>
      <c r="B935" s="2" t="str">
        <f>IFERROR(__xludf.DUMMYFUNCTION("IF(A935&lt;&gt;"""", GOOGLETRANSLATE(A935, ""en"", ""te""),"""")"),"")</f>
        <v/>
      </c>
      <c r="C935" s="2"/>
      <c r="D935" s="2" t="str">
        <f>IFERROR(__xludf.DUMMYFUNCTION("IF(C935&lt;&gt;"""", GOOGLETRANSLATE(C935, ""en"", ""te""),"""")"),"")</f>
        <v/>
      </c>
      <c r="E935" s="2"/>
      <c r="F935" s="2" t="str">
        <f>IFERROR(__xludf.DUMMYFUNCTION("IF(E935&lt;&gt;"""", GOOGLETRANSLATE(E935, ""en"", ""te""),"""")"),"")</f>
        <v/>
      </c>
      <c r="G935" s="2"/>
      <c r="H935" s="2" t="str">
        <f>IFERROR(__xludf.DUMMYFUNCTION("IF(G935&lt;&gt;"""", GOOGLETRANSLATE(G935, ""en"", ""te""),"""")"),"")</f>
        <v/>
      </c>
      <c r="I935" s="3"/>
    </row>
    <row r="936" customHeight="1" spans="1:9">
      <c r="A936" s="2"/>
      <c r="B936" s="2" t="str">
        <f>IFERROR(__xludf.DUMMYFUNCTION("IF(A936&lt;&gt;"""", GOOGLETRANSLATE(A936, ""en"", ""te""),"""")"),"")</f>
        <v/>
      </c>
      <c r="C936" s="2"/>
      <c r="D936" s="2" t="str">
        <f>IFERROR(__xludf.DUMMYFUNCTION("IF(C936&lt;&gt;"""", GOOGLETRANSLATE(C936, ""en"", ""te""),"""")"),"")</f>
        <v/>
      </c>
      <c r="E936" s="2"/>
      <c r="F936" s="2" t="str">
        <f>IFERROR(__xludf.DUMMYFUNCTION("IF(E936&lt;&gt;"""", GOOGLETRANSLATE(E936, ""en"", ""te""),"""")"),"")</f>
        <v/>
      </c>
      <c r="G936" s="2"/>
      <c r="H936" s="2" t="str">
        <f>IFERROR(__xludf.DUMMYFUNCTION("IF(G936&lt;&gt;"""", GOOGLETRANSLATE(G936, ""en"", ""te""),"""")"),"")</f>
        <v/>
      </c>
      <c r="I936" s="3"/>
    </row>
    <row r="937" customHeight="1" spans="1:9">
      <c r="A937" s="2"/>
      <c r="B937" s="2" t="str">
        <f>IFERROR(__xludf.DUMMYFUNCTION("IF(A937&lt;&gt;"""", GOOGLETRANSLATE(A937, ""en"", ""te""),"""")"),"")</f>
        <v/>
      </c>
      <c r="C937" s="2"/>
      <c r="D937" s="2" t="str">
        <f>IFERROR(__xludf.DUMMYFUNCTION("IF(C937&lt;&gt;"""", GOOGLETRANSLATE(C937, ""en"", ""te""),"""")"),"")</f>
        <v/>
      </c>
      <c r="E937" s="2"/>
      <c r="F937" s="2" t="str">
        <f>IFERROR(__xludf.DUMMYFUNCTION("IF(E937&lt;&gt;"""", GOOGLETRANSLATE(E937, ""en"", ""te""),"""")"),"")</f>
        <v/>
      </c>
      <c r="G937" s="2"/>
      <c r="H937" s="2" t="str">
        <f>IFERROR(__xludf.DUMMYFUNCTION("IF(G937&lt;&gt;"""", GOOGLETRANSLATE(G937, ""en"", ""te""),"""")"),"")</f>
        <v/>
      </c>
      <c r="I937" s="3"/>
    </row>
    <row r="938" customHeight="1" spans="1:9">
      <c r="A938" s="2"/>
      <c r="B938" s="2" t="str">
        <f>IFERROR(__xludf.DUMMYFUNCTION("IF(A938&lt;&gt;"""", GOOGLETRANSLATE(A938, ""en"", ""te""),"""")"),"")</f>
        <v/>
      </c>
      <c r="C938" s="2"/>
      <c r="D938" s="2" t="str">
        <f>IFERROR(__xludf.DUMMYFUNCTION("IF(C938&lt;&gt;"""", GOOGLETRANSLATE(C938, ""en"", ""te""),"""")"),"")</f>
        <v/>
      </c>
      <c r="E938" s="2"/>
      <c r="F938" s="2" t="str">
        <f>IFERROR(__xludf.DUMMYFUNCTION("IF(E938&lt;&gt;"""", GOOGLETRANSLATE(E938, ""en"", ""te""),"""")"),"")</f>
        <v/>
      </c>
      <c r="G938" s="2"/>
      <c r="H938" s="2" t="str">
        <f>IFERROR(__xludf.DUMMYFUNCTION("IF(G938&lt;&gt;"""", GOOGLETRANSLATE(G938, ""en"", ""te""),"""")"),"")</f>
        <v/>
      </c>
      <c r="I938" s="3"/>
    </row>
    <row r="939" customHeight="1" spans="1:9">
      <c r="A939" s="2"/>
      <c r="B939" s="2" t="str">
        <f>IFERROR(__xludf.DUMMYFUNCTION("IF(A939&lt;&gt;"""", GOOGLETRANSLATE(A939, ""en"", ""te""),"""")"),"")</f>
        <v/>
      </c>
      <c r="C939" s="2"/>
      <c r="D939" s="2" t="str">
        <f>IFERROR(__xludf.DUMMYFUNCTION("IF(C939&lt;&gt;"""", GOOGLETRANSLATE(C939, ""en"", ""te""),"""")"),"")</f>
        <v/>
      </c>
      <c r="E939" s="2"/>
      <c r="F939" s="2" t="str">
        <f>IFERROR(__xludf.DUMMYFUNCTION("IF(E939&lt;&gt;"""", GOOGLETRANSLATE(E939, ""en"", ""te""),"""")"),"")</f>
        <v/>
      </c>
      <c r="G939" s="2"/>
      <c r="H939" s="2" t="str">
        <f>IFERROR(__xludf.DUMMYFUNCTION("IF(G939&lt;&gt;"""", GOOGLETRANSLATE(G939, ""en"", ""te""),"""")"),"")</f>
        <v/>
      </c>
      <c r="I939" s="3"/>
    </row>
    <row r="940" customHeight="1" spans="1:9">
      <c r="A940" s="2"/>
      <c r="B940" s="2" t="str">
        <f>IFERROR(__xludf.DUMMYFUNCTION("IF(A940&lt;&gt;"""", GOOGLETRANSLATE(A940, ""en"", ""te""),"""")"),"")</f>
        <v/>
      </c>
      <c r="C940" s="2"/>
      <c r="D940" s="2" t="str">
        <f>IFERROR(__xludf.DUMMYFUNCTION("IF(C940&lt;&gt;"""", GOOGLETRANSLATE(C940, ""en"", ""te""),"""")"),"")</f>
        <v/>
      </c>
      <c r="E940" s="2"/>
      <c r="F940" s="2" t="str">
        <f>IFERROR(__xludf.DUMMYFUNCTION("IF(E940&lt;&gt;"""", GOOGLETRANSLATE(E940, ""en"", ""te""),"""")"),"")</f>
        <v/>
      </c>
      <c r="G940" s="2"/>
      <c r="H940" s="2" t="str">
        <f>IFERROR(__xludf.DUMMYFUNCTION("IF(G940&lt;&gt;"""", GOOGLETRANSLATE(G940, ""en"", ""te""),"""")"),"")</f>
        <v/>
      </c>
      <c r="I940" s="3"/>
    </row>
    <row r="941" customHeight="1" spans="1:9">
      <c r="A941" s="2"/>
      <c r="B941" s="2" t="str">
        <f>IFERROR(__xludf.DUMMYFUNCTION("IF(A941&lt;&gt;"""", GOOGLETRANSLATE(A941, ""en"", ""te""),"""")"),"")</f>
        <v/>
      </c>
      <c r="C941" s="2"/>
      <c r="D941" s="2" t="str">
        <f>IFERROR(__xludf.DUMMYFUNCTION("IF(C941&lt;&gt;"""", GOOGLETRANSLATE(C941, ""en"", ""te""),"""")"),"")</f>
        <v/>
      </c>
      <c r="E941" s="2"/>
      <c r="F941" s="2" t="str">
        <f>IFERROR(__xludf.DUMMYFUNCTION("IF(E941&lt;&gt;"""", GOOGLETRANSLATE(E941, ""en"", ""te""),"""")"),"")</f>
        <v/>
      </c>
      <c r="G941" s="2"/>
      <c r="H941" s="2" t="str">
        <f>IFERROR(__xludf.DUMMYFUNCTION("IF(G941&lt;&gt;"""", GOOGLETRANSLATE(G941, ""en"", ""te""),"""")"),"")</f>
        <v/>
      </c>
      <c r="I941" s="3"/>
    </row>
    <row r="942" customHeight="1" spans="1:9">
      <c r="A942" s="2"/>
      <c r="B942" s="2" t="str">
        <f>IFERROR(__xludf.DUMMYFUNCTION("IF(A942&lt;&gt;"""", GOOGLETRANSLATE(A942, ""en"", ""te""),"""")"),"")</f>
        <v/>
      </c>
      <c r="C942" s="2"/>
      <c r="D942" s="2" t="str">
        <f>IFERROR(__xludf.DUMMYFUNCTION("IF(C942&lt;&gt;"""", GOOGLETRANSLATE(C942, ""en"", ""te""),"""")"),"")</f>
        <v/>
      </c>
      <c r="E942" s="2"/>
      <c r="F942" s="2" t="str">
        <f>IFERROR(__xludf.DUMMYFUNCTION("IF(E942&lt;&gt;"""", GOOGLETRANSLATE(E942, ""en"", ""te""),"""")"),"")</f>
        <v/>
      </c>
      <c r="G942" s="2"/>
      <c r="H942" s="2" t="str">
        <f>IFERROR(__xludf.DUMMYFUNCTION("IF(G942&lt;&gt;"""", GOOGLETRANSLATE(G942, ""en"", ""te""),"""")"),"")</f>
        <v/>
      </c>
      <c r="I942" s="3"/>
    </row>
    <row r="943" customHeight="1" spans="1:9">
      <c r="A943" s="2"/>
      <c r="B943" s="2" t="str">
        <f>IFERROR(__xludf.DUMMYFUNCTION("IF(A943&lt;&gt;"""", GOOGLETRANSLATE(A943, ""en"", ""te""),"""")"),"")</f>
        <v/>
      </c>
      <c r="C943" s="2"/>
      <c r="D943" s="2" t="str">
        <f>IFERROR(__xludf.DUMMYFUNCTION("IF(C943&lt;&gt;"""", GOOGLETRANSLATE(C943, ""en"", ""te""),"""")"),"")</f>
        <v/>
      </c>
      <c r="E943" s="2"/>
      <c r="F943" s="2" t="str">
        <f>IFERROR(__xludf.DUMMYFUNCTION("IF(E943&lt;&gt;"""", GOOGLETRANSLATE(E943, ""en"", ""te""),"""")"),"")</f>
        <v/>
      </c>
      <c r="G943" s="2"/>
      <c r="H943" s="2" t="str">
        <f>IFERROR(__xludf.DUMMYFUNCTION("IF(G943&lt;&gt;"""", GOOGLETRANSLATE(G943, ""en"", ""te""),"""")"),"")</f>
        <v/>
      </c>
      <c r="I943" s="3"/>
    </row>
    <row r="944" customHeight="1" spans="1:9">
      <c r="A944" s="2"/>
      <c r="B944" s="2" t="str">
        <f>IFERROR(__xludf.DUMMYFUNCTION("IF(A944&lt;&gt;"""", GOOGLETRANSLATE(A944, ""en"", ""te""),"""")"),"")</f>
        <v/>
      </c>
      <c r="C944" s="2"/>
      <c r="D944" s="2" t="str">
        <f>IFERROR(__xludf.DUMMYFUNCTION("IF(C944&lt;&gt;"""", GOOGLETRANSLATE(C944, ""en"", ""te""),"""")"),"")</f>
        <v/>
      </c>
      <c r="E944" s="2"/>
      <c r="F944" s="2" t="str">
        <f>IFERROR(__xludf.DUMMYFUNCTION("IF(E944&lt;&gt;"""", GOOGLETRANSLATE(E944, ""en"", ""te""),"""")"),"")</f>
        <v/>
      </c>
      <c r="G944" s="2"/>
      <c r="H944" s="2" t="str">
        <f>IFERROR(__xludf.DUMMYFUNCTION("IF(G944&lt;&gt;"""", GOOGLETRANSLATE(G944, ""en"", ""te""),"""")"),"")</f>
        <v/>
      </c>
      <c r="I944" s="3"/>
    </row>
    <row r="945" customHeight="1" spans="1:9">
      <c r="A945" s="2"/>
      <c r="B945" s="2" t="str">
        <f>IFERROR(__xludf.DUMMYFUNCTION("IF(A945&lt;&gt;"""", GOOGLETRANSLATE(A945, ""en"", ""te""),"""")"),"")</f>
        <v/>
      </c>
      <c r="C945" s="2"/>
      <c r="D945" s="2" t="str">
        <f>IFERROR(__xludf.DUMMYFUNCTION("IF(C945&lt;&gt;"""", GOOGLETRANSLATE(C945, ""en"", ""te""),"""")"),"")</f>
        <v/>
      </c>
      <c r="E945" s="2"/>
      <c r="F945" s="2" t="str">
        <f>IFERROR(__xludf.DUMMYFUNCTION("IF(E945&lt;&gt;"""", GOOGLETRANSLATE(E945, ""en"", ""te""),"""")"),"")</f>
        <v/>
      </c>
      <c r="G945" s="2"/>
      <c r="H945" s="2" t="str">
        <f>IFERROR(__xludf.DUMMYFUNCTION("IF(G945&lt;&gt;"""", GOOGLETRANSLATE(G945, ""en"", ""te""),"""")"),"")</f>
        <v/>
      </c>
      <c r="I945" s="3"/>
    </row>
    <row r="946" customHeight="1" spans="1:9">
      <c r="A946" s="2" t="s">
        <v>709</v>
      </c>
      <c r="B946" s="2" t="str">
        <f>IFERROR(__xludf.DUMMYFUNCTION("IF(A946&lt;&gt;"""", GOOGLETRANSLATE(A946, ""en"", ""te""),"""")"),"[ '6 వ అత్యధిక వరుస బాతులు (3)', '6 వ వేగవంతమైన 150 వికెట్లు (89)', '3 వ అత్యంత వికెట్కీపర్గా (11) పట్టుకుంటే తీసుకోబడిన వికెట్ల']")</f>
        <v>[ '6 వ అత్యధిక వరుస బాతులు (3)', '6 వ వేగవంతమైన 150 వికెట్లు (89)', '3 వ అత్యంత వికెట్కీపర్గా (11) పట్టుకుంటే తీసుకోబడిన వికెట్ల']</v>
      </c>
      <c r="C946" s="2" t="s">
        <v>710</v>
      </c>
      <c r="D946" s="2" t="str">
        <f>IFERROR(__xludf.DUMMYFUNCTION("IF(C946&lt;&gt;"""", GOOGLETRANSLATE(C946, ""en"", ""te""),"""")"),"[ '16 వ కెరీర్ బాతులు (22)', '31 అత్యధిక వికెట్లు కెరీర్లో (309)', '40 వ కెరీర్ లో బౌల్డ్ చాలా బంతుల్లో (16498)', '30 వ అత్యధిక పరుగులు కెరీర్లో సాధించిన (8550)', '18 వ బౌలర్ / బ్యాటర్ కలయికలు (12) ',' 35 వ బౌలర్ / ఫీల్డర్ కలయికలు (44) ',' 17 వ అత్యధిక వి"&amp;"కెట్లు తీసుకున్న ఆకర్షించింది (233) ',' 22 వ అత్యధిక వికెట్లు ఒక ఫీల్డర్ చేత క్యాచ్ తీసుకున్న (152) ',' 19 వ అత్యధిక వికెట్లు ఆకర్షించింది తీసుకున్న అత్యధిక వికెట్లు (81) ',' ఫాస్టెస్ట్ 250 వికెట్లు 42 వ (74) ',' 300 వికెట్లు వేగంగా 31 (85) ']")</f>
        <v>[ '16 వ కెరీర్ బాతులు (22)', '31 అత్యధిక వికెట్లు కెరీర్లో (309)', '40 వ కెరీర్ లో బౌల్డ్ చాలా బంతుల్లో (16498)', '30 వ అత్యధిక పరుగులు కెరీర్లో సాధించిన (8550)', '18 వ బౌలర్ / బ్యాటర్ కలయికలు (12) ',' 35 వ బౌలర్ / ఫీల్డర్ కలయికలు (44) ',' 17 వ అత్యధిక వికెట్లు తీసుకున్న ఆకర్షించింది (233) ',' 22 వ అత్యధిక వికెట్లు ఒక ఫీల్డర్ చేత క్యాచ్ తీసుకున్న (152) ',' 19 వ అత్యధిక వికెట్లు ఆకర్షించింది తీసుకున్న అత్యధిక వికెట్లు (81) ',' ఫాస్టెస్ట్ 250 వికెట్లు 42 వ (74) ',' 300 వికెట్లు వేగంగా 31 (85) ']</v>
      </c>
      <c r="E946" s="2" t="s">
        <v>711</v>
      </c>
      <c r="F946" s="2" t="str">
        <f>IFERROR(__xludf.DUMMYFUNCTION("IF(E946&lt;&gt;"""", GOOGLETRANSLATE(E946, ""en"", ""te""),"""")"),"[ '6 వ అత్యధిక వరుస బాతులు (3)', 'వరుస (3) 6 వ అత్యంత బాతులు' '46 వ కెరీర్ లో అత్యధిక వికెట్లు (188)', '15 వ అత్యుత్తమ బౌలింగ్ ఇన్నింగ్స్ లో విశ్లేషించడం (4/10)', ' 29 ఉత్తమ కెరీర్ సమ్మె రేటు (30.6) ',' 43 వ అత్యంత ఐదు-వికెట్ల లో-ఒక-ఇన్నింగ్స్ కెరీర్లో (2"&amp;") ',' 36 వ అత్యంత నాలుగు వికెట్లు-ఇన్-ఒక-ఇన్నింగ్స్ కెరీర్ (9) ', '29th బౌలర్ / ఫీల్డర్ కలయికలు (30)', '26th అత్యధిక వికెట్లు తీసుకున్న క్యాచ్ (152)', 'ఒక ఫీల్డర్ చేత 31 అత్యధిక వికెట్లు తీసుకున్న ఆకర్షించింది (102)', '19 వ అత్యధిక వికెట్లు చిక్కుకున్న వి"&amp;"కెట్కీపర్గా (50) తీసుకున్న', '45 వ 50 వికెట్లు వేగంగా (31)', '100 వికెట్లు (59) వేగంగా 12 వ' '6 వ 150 వికెట్లు వేగంగా (89)', 'పదవ వికెట్కు 35 వ అత్యధిక భాగస్వామ్యం (51)']")</f>
        <v>[ '6 వ అత్యధిక వరుస బాతులు (3)', 'వరుస (3) 6 వ అత్యంత బాతులు' '46 వ కెరీర్ లో అత్యధిక వికెట్లు (188)', '15 వ అత్యుత్తమ బౌలింగ్ ఇన్నింగ్స్ లో విశ్లేషించడం (4/10)', ' 29 ఉత్తమ కెరీర్ సమ్మె రేటు (30.6) ',' 43 వ అత్యంత ఐదు-వికెట్ల లో-ఒక-ఇన్నింగ్స్ కెరీర్లో (2) ',' 36 వ అత్యంత నాలుగు వికెట్లు-ఇన్-ఒక-ఇన్నింగ్స్ కెరీర్ (9) ', '29th బౌలర్ / ఫీల్డర్ కలయికలు (30)', '26th అత్యధిక వికెట్లు తీసుకున్న క్యాచ్ (152)', 'ఒక ఫీల్డర్ చేత 31 అత్యధిక వికెట్లు తీసుకున్న ఆకర్షించింది (102)', '19 వ అత్యధిక వికెట్లు చిక్కుకున్న వికెట్కీపర్గా (50) తీసుకున్న', '45 వ 50 వికెట్లు వేగంగా (31)', '100 వికెట్లు (59) వేగంగా 12 వ' '6 వ 150 వికెట్లు వేగంగా (89)', 'పదవ వికెట్కు 35 వ అత్యధిక భాగస్వామ్యం (51)']</v>
      </c>
      <c r="G946" s="2" t="s">
        <v>712</v>
      </c>
      <c r="H946" s="2" t="str">
        <f>IFERROR(__xludf.DUMMYFUNCTION("IF(G946&lt;&gt;"""", GOOGLETRANSLATE(G946, ""en"", ""te""),"""")"),"[ '41 వ కెరీర్ లో అత్యధిక వికెట్లు (47)', 'ఇన్నింగ్స్ లో 31 ఉత్తమ సమ్మె రేటు (4.5)', '16 వ అత్యంత నాలుగు వికెట్లు-ఇన్-ఒక-ఇన్నింగ్స్ కెరీర్లో (2)', '36 వ అత్యంత బంతులను బౌలింగ్ చేశాడు కెరీర్లో (952) ',' 33 వ అత్యధిక పరుగులు కెరీర్లో సాధించిన (1191) ',' 26t"&amp;"h బౌలర్ / ఫీల్డర్ కలయికలు (7) ',' 30 వ అత్యధిక వికెట్లు తీసుకున్న బౌల్డ్ (12) ',' 29 వ అత్యధిక వికెట్లు తీసుకున్న ఆకర్షించింది (35) ',' 3 వ భాగం ఒక వికెట్ కీపర్ చే కాట్ తీసుకోబడిన వికెట్ల (11) ',' 19 వ అత్యంత పనికత్తెలయొద్ద కెరీర్లో (3) ']")</f>
        <v>[ '41 వ కెరీర్ లో అత్యధిక వికెట్లు (47)', 'ఇన్నింగ్స్ లో 31 ఉత్తమ సమ్మె రేటు (4.5)', '16 వ అత్యంత నాలుగు వికెట్లు-ఇన్-ఒక-ఇన్నింగ్స్ కెరీర్లో (2)', '36 వ అత్యంత బంతులను బౌలింగ్ చేశాడు కెరీర్లో (952) ',' 33 వ అత్యధిక పరుగులు కెరీర్లో సాధించిన (1191) ',' 26th బౌలర్ / ఫీల్డర్ కలయికలు (7) ',' 30 వ అత్యధిక వికెట్లు తీసుకున్న బౌల్డ్ (12) ',' 29 వ అత్యధిక వికెట్లు తీసుకున్న ఆకర్షించింది (35) ',' 3 వ భాగం ఒక వికెట్ కీపర్ చే కాట్ తీసుకోబడిన వికెట్ల (11) ',' 19 వ అత్యంత పనికత్తెలయొద్ద కెరీర్లో (3) ']</v>
      </c>
      <c r="I946" s="3"/>
    </row>
    <row r="947" customHeight="1" spans="1:9">
      <c r="A947" s="2"/>
      <c r="B947" s="2" t="str">
        <f>IFERROR(__xludf.DUMMYFUNCTION("IF(A947&lt;&gt;"""", GOOGLETRANSLATE(A947, ""en"", ""te""),"""")"),"")</f>
        <v/>
      </c>
      <c r="C947" s="2"/>
      <c r="D947" s="2" t="str">
        <f>IFERROR(__xludf.DUMMYFUNCTION("IF(C947&lt;&gt;"""", GOOGLETRANSLATE(C947, ""en"", ""te""),"""")"),"")</f>
        <v/>
      </c>
      <c r="E947" s="2"/>
      <c r="F947" s="2" t="str">
        <f>IFERROR(__xludf.DUMMYFUNCTION("IF(E947&lt;&gt;"""", GOOGLETRANSLATE(E947, ""en"", ""te""),"""")"),"")</f>
        <v/>
      </c>
      <c r="G947" s="2"/>
      <c r="H947" s="2" t="str">
        <f>IFERROR(__xludf.DUMMYFUNCTION("IF(G947&lt;&gt;"""", GOOGLETRANSLATE(G947, ""en"", ""te""),"""")"),"")</f>
        <v/>
      </c>
      <c r="I947" s="3"/>
    </row>
    <row r="948" customHeight="1" spans="1:9">
      <c r="A948" s="2"/>
      <c r="B948" s="2" t="str">
        <f>IFERROR(__xludf.DUMMYFUNCTION("IF(A948&lt;&gt;"""", GOOGLETRANSLATE(A948, ""en"", ""te""),"""")"),"")</f>
        <v/>
      </c>
      <c r="C948" s="2" t="s">
        <v>713</v>
      </c>
      <c r="D948" s="2" t="str">
        <f>IFERROR(__xludf.DUMMYFUNCTION("IF(C948&lt;&gt;"""", GOOGLETRANSLATE(C948, ""en"", ""te""),"""")"),"[ '(4/9) 12 వ అత్యుత్తమ ఇన్నింగ్స్ లో బౌలింగ్ విశ్లేషణలు', 'ఐదు వికెట్ల లో-ఒక-ఇన్నింగ్స్ తీసుకోవాలని 23 పిన్న వయస్కుడిగా నిలిచాడు (19y 252d)']")</f>
        <v>[ '(4/9) 12 వ అత్యుత్తమ ఇన్నింగ్స్ లో బౌలింగ్ విశ్లేషణలు', 'ఐదు వికెట్ల లో-ఒక-ఇన్నింగ్స్ తీసుకోవాలని 23 పిన్న వయస్కుడిగా నిలిచాడు (19y 252d)']</v>
      </c>
      <c r="E948" s="2"/>
      <c r="F948" s="2" t="str">
        <f>IFERROR(__xludf.DUMMYFUNCTION("IF(E948&lt;&gt;"""", GOOGLETRANSLATE(E948, ""en"", ""te""),"""")"),"")</f>
        <v/>
      </c>
      <c r="G948" s="2"/>
      <c r="H948" s="2" t="str">
        <f>IFERROR(__xludf.DUMMYFUNCTION("IF(G948&lt;&gt;"""", GOOGLETRANSLATE(G948, ""en"", ""te""),"""")"),"")</f>
        <v/>
      </c>
      <c r="I948" s="3"/>
    </row>
    <row r="949" customHeight="1" spans="1:9">
      <c r="A949" s="2"/>
      <c r="B949" s="2" t="str">
        <f>IFERROR(__xludf.DUMMYFUNCTION("IF(A949&lt;&gt;"""", GOOGLETRANSLATE(A949, ""en"", ""te""),"""")"),"")</f>
        <v/>
      </c>
      <c r="C949" s="2"/>
      <c r="D949" s="2" t="str">
        <f>IFERROR(__xludf.DUMMYFUNCTION("IF(C949&lt;&gt;"""", GOOGLETRANSLATE(C949, ""en"", ""te""),"""")"),"")</f>
        <v/>
      </c>
      <c r="E949" s="2"/>
      <c r="F949" s="2" t="str">
        <f>IFERROR(__xludf.DUMMYFUNCTION("IF(E949&lt;&gt;"""", GOOGLETRANSLATE(E949, ""en"", ""te""),"""")"),"")</f>
        <v/>
      </c>
      <c r="G949" s="2" t="s">
        <v>714</v>
      </c>
      <c r="H949" s="2" t="str">
        <f>IFERROR(__xludf.DUMMYFUNCTION("IF(G949&lt;&gt;"""", GOOGLETRANSLATE(G949, ""en"", ""te""),"""")"),"[ 'ఏడవ వికెట్కు 28 అత్యధిక భాగస్వామ్యం (54)', '32 వ ఇన్నింగ్స్ లో సాధించిన అత్యంత బైలు (5)']")</f>
        <v>[ 'ఏడవ వికెట్కు 28 అత్యధిక భాగస్వామ్యం (54)', '32 వ ఇన్నింగ్స్ లో సాధించిన అత్యంత బైలు (5)']</v>
      </c>
      <c r="I949" s="3"/>
    </row>
    <row r="950" customHeight="1" spans="1:9">
      <c r="A950" s="2"/>
      <c r="B950" s="2" t="str">
        <f>IFERROR(__xludf.DUMMYFUNCTION("IF(A950&lt;&gt;"""", GOOGLETRANSLATE(A950, ""en"", ""te""),"""")"),"")</f>
        <v/>
      </c>
      <c r="C950" s="2"/>
      <c r="D950" s="2" t="str">
        <f>IFERROR(__xludf.DUMMYFUNCTION("IF(C950&lt;&gt;"""", GOOGLETRANSLATE(C950, ""en"", ""te""),"""")"),"")</f>
        <v/>
      </c>
      <c r="E950" s="2"/>
      <c r="F950" s="2" t="str">
        <f>IFERROR(__xludf.DUMMYFUNCTION("IF(E950&lt;&gt;"""", GOOGLETRANSLATE(E950, ""en"", ""te""),"""")"),"")</f>
        <v/>
      </c>
      <c r="G950" s="2"/>
      <c r="H950" s="2" t="str">
        <f>IFERROR(__xludf.DUMMYFUNCTION("IF(G950&lt;&gt;"""", GOOGLETRANSLATE(G950, ""en"", ""te""),"""")"),"")</f>
        <v/>
      </c>
      <c r="I950" s="3"/>
    </row>
    <row r="951" customHeight="1" spans="1:9">
      <c r="A951" s="2"/>
      <c r="B951" s="2" t="str">
        <f>IFERROR(__xludf.DUMMYFUNCTION("IF(A951&lt;&gt;"""", GOOGLETRANSLATE(A951, ""en"", ""te""),"""")"),"")</f>
        <v/>
      </c>
      <c r="C951" s="2"/>
      <c r="D951" s="2" t="str">
        <f>IFERROR(__xludf.DUMMYFUNCTION("IF(C951&lt;&gt;"""", GOOGLETRANSLATE(C951, ""en"", ""te""),"""")"),"")</f>
        <v/>
      </c>
      <c r="E951" s="2"/>
      <c r="F951" s="2" t="str">
        <f>IFERROR(__xludf.DUMMYFUNCTION("IF(E951&lt;&gt;"""", GOOGLETRANSLATE(E951, ""en"", ""te""),"""")"),"")</f>
        <v/>
      </c>
      <c r="G951" s="2"/>
      <c r="H951" s="2" t="str">
        <f>IFERROR(__xludf.DUMMYFUNCTION("IF(G951&lt;&gt;"""", GOOGLETRANSLATE(G951, ""en"", ""te""),"""")"),"")</f>
        <v/>
      </c>
      <c r="I951" s="3"/>
    </row>
    <row r="952" customHeight="1" spans="1:9">
      <c r="A952" s="2"/>
      <c r="B952" s="2" t="str">
        <f>IFERROR(__xludf.DUMMYFUNCTION("IF(A952&lt;&gt;"""", GOOGLETRANSLATE(A952, ""en"", ""te""),"""")"),"")</f>
        <v/>
      </c>
      <c r="C952" s="2"/>
      <c r="D952" s="2" t="str">
        <f>IFERROR(__xludf.DUMMYFUNCTION("IF(C952&lt;&gt;"""", GOOGLETRANSLATE(C952, ""en"", ""te""),"""")"),"")</f>
        <v/>
      </c>
      <c r="E952" s="2"/>
      <c r="F952" s="2" t="str">
        <f>IFERROR(__xludf.DUMMYFUNCTION("IF(E952&lt;&gt;"""", GOOGLETRANSLATE(E952, ""en"", ""te""),"""")"),"")</f>
        <v/>
      </c>
      <c r="G952" s="2"/>
      <c r="H952" s="2" t="str">
        <f>IFERROR(__xludf.DUMMYFUNCTION("IF(G952&lt;&gt;"""", GOOGLETRANSLATE(G952, ""en"", ""te""),"""")"),"")</f>
        <v/>
      </c>
      <c r="I952" s="3"/>
    </row>
    <row r="953" customHeight="1" spans="1:9">
      <c r="A953" s="2"/>
      <c r="B953" s="2" t="str">
        <f>IFERROR(__xludf.DUMMYFUNCTION("IF(A953&lt;&gt;"""", GOOGLETRANSLATE(A953, ""en"", ""te""),"""")"),"")</f>
        <v/>
      </c>
      <c r="C953" s="2"/>
      <c r="D953" s="2" t="str">
        <f>IFERROR(__xludf.DUMMYFUNCTION("IF(C953&lt;&gt;"""", GOOGLETRANSLATE(C953, ""en"", ""te""),"""")"),"")</f>
        <v/>
      </c>
      <c r="E953" s="2"/>
      <c r="F953" s="2" t="str">
        <f>IFERROR(__xludf.DUMMYFUNCTION("IF(E953&lt;&gt;"""", GOOGLETRANSLATE(E953, ""en"", ""te""),"""")"),"")</f>
        <v/>
      </c>
      <c r="G953" s="2"/>
      <c r="H953" s="2" t="str">
        <f>IFERROR(__xludf.DUMMYFUNCTION("IF(G953&lt;&gt;"""", GOOGLETRANSLATE(G953, ""en"", ""te""),"""")"),"")</f>
        <v/>
      </c>
      <c r="I953" s="3"/>
    </row>
    <row r="954" customHeight="1" spans="1:9">
      <c r="A954" s="2"/>
      <c r="B954" s="2" t="str">
        <f>IFERROR(__xludf.DUMMYFUNCTION("IF(A954&lt;&gt;"""", GOOGLETRANSLATE(A954, ""en"", ""te""),"""")"),"")</f>
        <v/>
      </c>
      <c r="C954" s="2"/>
      <c r="D954" s="2" t="str">
        <f>IFERROR(__xludf.DUMMYFUNCTION("IF(C954&lt;&gt;"""", GOOGLETRANSLATE(C954, ""en"", ""te""),"""")"),"")</f>
        <v/>
      </c>
      <c r="E954" s="2"/>
      <c r="F954" s="2" t="str">
        <f>IFERROR(__xludf.DUMMYFUNCTION("IF(E954&lt;&gt;"""", GOOGLETRANSLATE(E954, ""en"", ""te""),"""")"),"")</f>
        <v/>
      </c>
      <c r="G954" s="2"/>
      <c r="H954" s="2" t="str">
        <f>IFERROR(__xludf.DUMMYFUNCTION("IF(G954&lt;&gt;"""", GOOGLETRANSLATE(G954, ""en"", ""te""),"""")"),"")</f>
        <v/>
      </c>
      <c r="I954" s="3"/>
    </row>
    <row r="955" customHeight="1" spans="1:9">
      <c r="A955" s="2"/>
      <c r="B955" s="2" t="str">
        <f>IFERROR(__xludf.DUMMYFUNCTION("IF(A955&lt;&gt;"""", GOOGLETRANSLATE(A955, ""en"", ""te""),"""")"),"")</f>
        <v/>
      </c>
      <c r="C955" s="2"/>
      <c r="D955" s="2" t="str">
        <f>IFERROR(__xludf.DUMMYFUNCTION("IF(C955&lt;&gt;"""", GOOGLETRANSLATE(C955, ""en"", ""te""),"""")"),"")</f>
        <v/>
      </c>
      <c r="E955" s="2"/>
      <c r="F955" s="2" t="str">
        <f>IFERROR(__xludf.DUMMYFUNCTION("IF(E955&lt;&gt;"""", GOOGLETRANSLATE(E955, ""en"", ""te""),"""")"),"")</f>
        <v/>
      </c>
      <c r="G955" s="2"/>
      <c r="H955" s="2" t="str">
        <f>IFERROR(__xludf.DUMMYFUNCTION("IF(G955&lt;&gt;"""", GOOGLETRANSLATE(G955, ""en"", ""te""),"""")"),"")</f>
        <v/>
      </c>
      <c r="I955" s="3"/>
    </row>
    <row r="956" customHeight="1" spans="1:9">
      <c r="A956" s="2"/>
      <c r="B956" s="2" t="str">
        <f>IFERROR(__xludf.DUMMYFUNCTION("IF(A956&lt;&gt;"""", GOOGLETRANSLATE(A956, ""en"", ""te""),"""")"),"")</f>
        <v/>
      </c>
      <c r="C956" s="2"/>
      <c r="D956" s="2" t="str">
        <f>IFERROR(__xludf.DUMMYFUNCTION("IF(C956&lt;&gt;"""", GOOGLETRANSLATE(C956, ""en"", ""te""),"""")"),"")</f>
        <v/>
      </c>
      <c r="E956" s="2"/>
      <c r="F956" s="2" t="str">
        <f>IFERROR(__xludf.DUMMYFUNCTION("IF(E956&lt;&gt;"""", GOOGLETRANSLATE(E956, ""en"", ""te""),"""")"),"")</f>
        <v/>
      </c>
      <c r="G956" s="2"/>
      <c r="H956" s="2" t="str">
        <f>IFERROR(__xludf.DUMMYFUNCTION("IF(G956&lt;&gt;"""", GOOGLETRANSLATE(G956, ""en"", ""te""),"""")"),"")</f>
        <v/>
      </c>
      <c r="I956" s="3"/>
    </row>
    <row r="957" customHeight="1" spans="1:9">
      <c r="A957" s="2"/>
      <c r="B957" s="2" t="str">
        <f>IFERROR(__xludf.DUMMYFUNCTION("IF(A957&lt;&gt;"""", GOOGLETRANSLATE(A957, ""en"", ""te""),"""")"),"")</f>
        <v/>
      </c>
      <c r="C957" s="2"/>
      <c r="D957" s="2" t="str">
        <f>IFERROR(__xludf.DUMMYFUNCTION("IF(C957&lt;&gt;"""", GOOGLETRANSLATE(C957, ""en"", ""te""),"""")"),"")</f>
        <v/>
      </c>
      <c r="E957" s="2"/>
      <c r="F957" s="2" t="str">
        <f>IFERROR(__xludf.DUMMYFUNCTION("IF(E957&lt;&gt;"""", GOOGLETRANSLATE(E957, ""en"", ""te""),"""")"),"")</f>
        <v/>
      </c>
      <c r="G957" s="2"/>
      <c r="H957" s="2" t="str">
        <f>IFERROR(__xludf.DUMMYFUNCTION("IF(G957&lt;&gt;"""", GOOGLETRANSLATE(G957, ""en"", ""te""),"""")"),"")</f>
        <v/>
      </c>
      <c r="I957" s="3"/>
    </row>
    <row r="958" customHeight="1" spans="1:9">
      <c r="A958" s="2"/>
      <c r="B958" s="2" t="str">
        <f>IFERROR(__xludf.DUMMYFUNCTION("IF(A958&lt;&gt;"""", GOOGLETRANSLATE(A958, ""en"", ""te""),"""")"),"")</f>
        <v/>
      </c>
      <c r="C958" s="2"/>
      <c r="D958" s="2" t="str">
        <f>IFERROR(__xludf.DUMMYFUNCTION("IF(C958&lt;&gt;"""", GOOGLETRANSLATE(C958, ""en"", ""te""),"""")"),"")</f>
        <v/>
      </c>
      <c r="E958" s="2"/>
      <c r="F958" s="2" t="str">
        <f>IFERROR(__xludf.DUMMYFUNCTION("IF(E958&lt;&gt;"""", GOOGLETRANSLATE(E958, ""en"", ""te""),"""")"),"")</f>
        <v/>
      </c>
      <c r="G958" s="2"/>
      <c r="H958" s="2" t="str">
        <f>IFERROR(__xludf.DUMMYFUNCTION("IF(G958&lt;&gt;"""", GOOGLETRANSLATE(G958, ""en"", ""te""),"""")"),"")</f>
        <v/>
      </c>
      <c r="I958" s="3"/>
    </row>
    <row r="959" customHeight="1" spans="1:9">
      <c r="A959" s="2"/>
      <c r="B959" s="2" t="str">
        <f>IFERROR(__xludf.DUMMYFUNCTION("IF(A959&lt;&gt;"""", GOOGLETRANSLATE(A959, ""en"", ""te""),"""")"),"")</f>
        <v/>
      </c>
      <c r="C959" s="2"/>
      <c r="D959" s="2" t="str">
        <f>IFERROR(__xludf.DUMMYFUNCTION("IF(C959&lt;&gt;"""", GOOGLETRANSLATE(C959, ""en"", ""te""),"""")"),"")</f>
        <v/>
      </c>
      <c r="E959" s="2"/>
      <c r="F959" s="2" t="str">
        <f>IFERROR(__xludf.DUMMYFUNCTION("IF(E959&lt;&gt;"""", GOOGLETRANSLATE(E959, ""en"", ""te""),"""")"),"")</f>
        <v/>
      </c>
      <c r="G959" s="2"/>
      <c r="H959" s="2" t="str">
        <f>IFERROR(__xludf.DUMMYFUNCTION("IF(G959&lt;&gt;"""", GOOGLETRANSLATE(G959, ""en"", ""te""),"""")"),"")</f>
        <v/>
      </c>
      <c r="I959" s="3"/>
    </row>
    <row r="960" customHeight="1" spans="1:9">
      <c r="A960" s="2"/>
      <c r="B960" s="2" t="str">
        <f>IFERROR(__xludf.DUMMYFUNCTION("IF(A960&lt;&gt;"""", GOOGLETRANSLATE(A960, ""en"", ""te""),"""")"),"")</f>
        <v/>
      </c>
      <c r="C960" s="2"/>
      <c r="D960" s="2" t="str">
        <f>IFERROR(__xludf.DUMMYFUNCTION("IF(C960&lt;&gt;"""", GOOGLETRANSLATE(C960, ""en"", ""te""),"""")"),"")</f>
        <v/>
      </c>
      <c r="E960" s="2"/>
      <c r="F960" s="2" t="str">
        <f>IFERROR(__xludf.DUMMYFUNCTION("IF(E960&lt;&gt;"""", GOOGLETRANSLATE(E960, ""en"", ""te""),"""")"),"")</f>
        <v/>
      </c>
      <c r="G960" s="2"/>
      <c r="H960" s="2" t="str">
        <f>IFERROR(__xludf.DUMMYFUNCTION("IF(G960&lt;&gt;"""", GOOGLETRANSLATE(G960, ""en"", ""te""),"""")"),"")</f>
        <v/>
      </c>
      <c r="I960" s="3"/>
    </row>
    <row r="961" customHeight="1" spans="1:9">
      <c r="A961" s="2"/>
      <c r="B961" s="2" t="str">
        <f>IFERROR(__xludf.DUMMYFUNCTION("IF(A961&lt;&gt;"""", GOOGLETRANSLATE(A961, ""en"", ""te""),"""")"),"")</f>
        <v/>
      </c>
      <c r="C961" s="2"/>
      <c r="D961" s="2" t="str">
        <f>IFERROR(__xludf.DUMMYFUNCTION("IF(C961&lt;&gt;"""", GOOGLETRANSLATE(C961, ""en"", ""te""),"""")"),"")</f>
        <v/>
      </c>
      <c r="E961" s="2"/>
      <c r="F961" s="2" t="str">
        <f>IFERROR(__xludf.DUMMYFUNCTION("IF(E961&lt;&gt;"""", GOOGLETRANSLATE(E961, ""en"", ""te""),"""")"),"")</f>
        <v/>
      </c>
      <c r="G961" s="2"/>
      <c r="H961" s="2" t="str">
        <f>IFERROR(__xludf.DUMMYFUNCTION("IF(G961&lt;&gt;"""", GOOGLETRANSLATE(G961, ""en"", ""te""),"""")"),"")</f>
        <v/>
      </c>
      <c r="I961" s="3"/>
    </row>
    <row r="962" customHeight="1" spans="1:9">
      <c r="A962" s="2"/>
      <c r="B962" s="2" t="str">
        <f>IFERROR(__xludf.DUMMYFUNCTION("IF(A962&lt;&gt;"""", GOOGLETRANSLATE(A962, ""en"", ""te""),"""")"),"")</f>
        <v/>
      </c>
      <c r="C962" s="2"/>
      <c r="D962" s="2" t="str">
        <f>IFERROR(__xludf.DUMMYFUNCTION("IF(C962&lt;&gt;"""", GOOGLETRANSLATE(C962, ""en"", ""te""),"""")"),"")</f>
        <v/>
      </c>
      <c r="E962" s="2"/>
      <c r="F962" s="2" t="str">
        <f>IFERROR(__xludf.DUMMYFUNCTION("IF(E962&lt;&gt;"""", GOOGLETRANSLATE(E962, ""en"", ""te""),"""")"),"")</f>
        <v/>
      </c>
      <c r="G962" s="2"/>
      <c r="H962" s="2" t="str">
        <f>IFERROR(__xludf.DUMMYFUNCTION("IF(G962&lt;&gt;"""", GOOGLETRANSLATE(G962, ""en"", ""te""),"""")"),"")</f>
        <v/>
      </c>
      <c r="I962" s="3"/>
    </row>
    <row r="963" customHeight="1" spans="1:9">
      <c r="A963" s="2"/>
      <c r="B963" s="2" t="str">
        <f>IFERROR(__xludf.DUMMYFUNCTION("IF(A963&lt;&gt;"""", GOOGLETRANSLATE(A963, ""en"", ""te""),"""")"),"")</f>
        <v/>
      </c>
      <c r="C963" s="2"/>
      <c r="D963" s="2" t="str">
        <f>IFERROR(__xludf.DUMMYFUNCTION("IF(C963&lt;&gt;"""", GOOGLETRANSLATE(C963, ""en"", ""te""),"""")"),"")</f>
        <v/>
      </c>
      <c r="E963" s="2"/>
      <c r="F963" s="2" t="str">
        <f>IFERROR(__xludf.DUMMYFUNCTION("IF(E963&lt;&gt;"""", GOOGLETRANSLATE(E963, ""en"", ""te""),"""")"),"")</f>
        <v/>
      </c>
      <c r="G963" s="2"/>
      <c r="H963" s="2" t="str">
        <f>IFERROR(__xludf.DUMMYFUNCTION("IF(G963&lt;&gt;"""", GOOGLETRANSLATE(G963, ""en"", ""te""),"""")"),"")</f>
        <v/>
      </c>
      <c r="I963" s="3"/>
    </row>
    <row r="964" customHeight="1" spans="1:9">
      <c r="A964" s="2"/>
      <c r="B964" s="2" t="str">
        <f>IFERROR(__xludf.DUMMYFUNCTION("IF(A964&lt;&gt;"""", GOOGLETRANSLATE(A964, ""en"", ""te""),"""")"),"")</f>
        <v/>
      </c>
      <c r="C964" s="2"/>
      <c r="D964" s="2" t="str">
        <f>IFERROR(__xludf.DUMMYFUNCTION("IF(C964&lt;&gt;"""", GOOGLETRANSLATE(C964, ""en"", ""te""),"""")"),"")</f>
        <v/>
      </c>
      <c r="E964" s="2"/>
      <c r="F964" s="2" t="str">
        <f>IFERROR(__xludf.DUMMYFUNCTION("IF(E964&lt;&gt;"""", GOOGLETRANSLATE(E964, ""en"", ""te""),"""")"),"")</f>
        <v/>
      </c>
      <c r="G964" s="2"/>
      <c r="H964" s="2" t="str">
        <f>IFERROR(__xludf.DUMMYFUNCTION("IF(G964&lt;&gt;"""", GOOGLETRANSLATE(G964, ""en"", ""te""),"""")"),"")</f>
        <v/>
      </c>
      <c r="I964" s="3"/>
    </row>
    <row r="965" customHeight="1" spans="1:9">
      <c r="A965" s="2"/>
      <c r="B965" s="2" t="str">
        <f>IFERROR(__xludf.DUMMYFUNCTION("IF(A965&lt;&gt;"""", GOOGLETRANSLATE(A965, ""en"", ""te""),"""")"),"")</f>
        <v/>
      </c>
      <c r="C965" s="2"/>
      <c r="D965" s="2" t="str">
        <f>IFERROR(__xludf.DUMMYFUNCTION("IF(C965&lt;&gt;"""", GOOGLETRANSLATE(C965, ""en"", ""te""),"""")"),"")</f>
        <v/>
      </c>
      <c r="E965" s="2"/>
      <c r="F965" s="2" t="str">
        <f>IFERROR(__xludf.DUMMYFUNCTION("IF(E965&lt;&gt;"""", GOOGLETRANSLATE(E965, ""en"", ""te""),"""")"),"")</f>
        <v/>
      </c>
      <c r="G965" s="2"/>
      <c r="H965" s="2" t="str">
        <f>IFERROR(__xludf.DUMMYFUNCTION("IF(G965&lt;&gt;"""", GOOGLETRANSLATE(G965, ""en"", ""te""),"""")"),"")</f>
        <v/>
      </c>
      <c r="I965" s="3"/>
    </row>
    <row r="966" customHeight="1" spans="1:9">
      <c r="A966" s="2"/>
      <c r="B966" s="2" t="str">
        <f>IFERROR(__xludf.DUMMYFUNCTION("IF(A966&lt;&gt;"""", GOOGLETRANSLATE(A966, ""en"", ""te""),"""")"),"")</f>
        <v/>
      </c>
      <c r="C966" s="2"/>
      <c r="D966" s="2" t="str">
        <f>IFERROR(__xludf.DUMMYFUNCTION("IF(C966&lt;&gt;"""", GOOGLETRANSLATE(C966, ""en"", ""te""),"""")"),"")</f>
        <v/>
      </c>
      <c r="E966" s="2"/>
      <c r="F966" s="2" t="str">
        <f>IFERROR(__xludf.DUMMYFUNCTION("IF(E966&lt;&gt;"""", GOOGLETRANSLATE(E966, ""en"", ""te""),"""")"),"")</f>
        <v/>
      </c>
      <c r="G966" s="2"/>
      <c r="H966" s="2" t="str">
        <f>IFERROR(__xludf.DUMMYFUNCTION("IF(G966&lt;&gt;"""", GOOGLETRANSLATE(G966, ""en"", ""te""),"""")"),"")</f>
        <v/>
      </c>
      <c r="I966" s="3"/>
    </row>
    <row r="967" customHeight="1" spans="1:9">
      <c r="A967" s="2"/>
      <c r="B967" s="2" t="str">
        <f>IFERROR(__xludf.DUMMYFUNCTION("IF(A967&lt;&gt;"""", GOOGLETRANSLATE(A967, ""en"", ""te""),"""")"),"")</f>
        <v/>
      </c>
      <c r="C967" s="2"/>
      <c r="D967" s="2" t="str">
        <f>IFERROR(__xludf.DUMMYFUNCTION("IF(C967&lt;&gt;"""", GOOGLETRANSLATE(C967, ""en"", ""te""),"""")"),"")</f>
        <v/>
      </c>
      <c r="E967" s="2"/>
      <c r="F967" s="2" t="str">
        <f>IFERROR(__xludf.DUMMYFUNCTION("IF(E967&lt;&gt;"""", GOOGLETRANSLATE(E967, ""en"", ""te""),"""")"),"")</f>
        <v/>
      </c>
      <c r="G967" s="2"/>
      <c r="H967" s="2" t="str">
        <f>IFERROR(__xludf.DUMMYFUNCTION("IF(G967&lt;&gt;"""", GOOGLETRANSLATE(G967, ""en"", ""te""),"""")"),"")</f>
        <v/>
      </c>
      <c r="I967" s="3"/>
    </row>
    <row r="968" customHeight="1" spans="1:9">
      <c r="A968" s="2"/>
      <c r="B968" s="2" t="str">
        <f>IFERROR(__xludf.DUMMYFUNCTION("IF(A968&lt;&gt;"""", GOOGLETRANSLATE(A968, ""en"", ""te""),"""")"),"")</f>
        <v/>
      </c>
      <c r="C968" s="2" t="s">
        <v>715</v>
      </c>
      <c r="D968" s="2" t="str">
        <f>IFERROR(__xludf.DUMMYFUNCTION("IF(C968&lt;&gt;"""", GOOGLETRANSLATE(C968, ""en"", ""te""),"""")"),"[ '35 వ ఉత్తమ కెరీర్ ఆర్థిక రేటు (1.98)', 'ఇన్నింగ్స్ లో 20 వ ఉత్తమ ఆర్థిక రేటు (0.50)', 'ఇన్నింగ్స్ లో 30 వ చెత్త సమ్మె రేటు (360.0)', '30 వ షార్టేస్ట్ క్రీడాకారులు నివసించారు (31y 216d)']")</f>
        <v>[ '35 వ ఉత్తమ కెరీర్ ఆర్థిక రేటు (1.98)', 'ఇన్నింగ్స్ లో 20 వ ఉత్తమ ఆర్థిక రేటు (0.50)', 'ఇన్నింగ్స్ లో 30 వ చెత్త సమ్మె రేటు (360.0)', '30 వ షార్టేస్ట్ క్రీడాకారులు నివసించారు (31y 216d)']</v>
      </c>
      <c r="E968" s="2"/>
      <c r="F968" s="2" t="str">
        <f>IFERROR(__xludf.DUMMYFUNCTION("IF(E968&lt;&gt;"""", GOOGLETRANSLATE(E968, ""en"", ""te""),"""")"),"")</f>
        <v/>
      </c>
      <c r="G968" s="2"/>
      <c r="H968" s="2" t="str">
        <f>IFERROR(__xludf.DUMMYFUNCTION("IF(G968&lt;&gt;"""", GOOGLETRANSLATE(G968, ""en"", ""te""),"""")"),"")</f>
        <v/>
      </c>
      <c r="I968" s="3"/>
    </row>
    <row r="969" customHeight="1" spans="1:9">
      <c r="A969" s="2"/>
      <c r="B969" s="2" t="str">
        <f>IFERROR(__xludf.DUMMYFUNCTION("IF(A969&lt;&gt;"""", GOOGLETRANSLATE(A969, ""en"", ""te""),"""")"),"")</f>
        <v/>
      </c>
      <c r="C969" s="2"/>
      <c r="D969" s="2" t="str">
        <f>IFERROR(__xludf.DUMMYFUNCTION("IF(C969&lt;&gt;"""", GOOGLETRANSLATE(C969, ""en"", ""te""),"""")"),"")</f>
        <v/>
      </c>
      <c r="E969" s="2"/>
      <c r="F969" s="2" t="str">
        <f>IFERROR(__xludf.DUMMYFUNCTION("IF(E969&lt;&gt;"""", GOOGLETRANSLATE(E969, ""en"", ""te""),"""")"),"")</f>
        <v/>
      </c>
      <c r="G969" s="2"/>
      <c r="H969" s="2" t="str">
        <f>IFERROR(__xludf.DUMMYFUNCTION("IF(G969&lt;&gt;"""", GOOGLETRANSLATE(G969, ""en"", ""te""),"""")"),"")</f>
        <v/>
      </c>
      <c r="I969" s="3"/>
    </row>
    <row r="970" customHeight="1" spans="1:9">
      <c r="A970" s="2"/>
      <c r="B970" s="2" t="str">
        <f>IFERROR(__xludf.DUMMYFUNCTION("IF(A970&lt;&gt;"""", GOOGLETRANSLATE(A970, ""en"", ""te""),"""")"),"")</f>
        <v/>
      </c>
      <c r="C970" s="2"/>
      <c r="D970" s="2" t="str">
        <f>IFERROR(__xludf.DUMMYFUNCTION("IF(C970&lt;&gt;"""", GOOGLETRANSLATE(C970, ""en"", ""te""),"""")"),"")</f>
        <v/>
      </c>
      <c r="E970" s="2"/>
      <c r="F970" s="2" t="str">
        <f>IFERROR(__xludf.DUMMYFUNCTION("IF(E970&lt;&gt;"""", GOOGLETRANSLATE(E970, ""en"", ""te""),"""")"),"")</f>
        <v/>
      </c>
      <c r="G970" s="2"/>
      <c r="H970" s="2" t="str">
        <f>IFERROR(__xludf.DUMMYFUNCTION("IF(G970&lt;&gt;"""", GOOGLETRANSLATE(G970, ""en"", ""te""),"""")"),"")</f>
        <v/>
      </c>
      <c r="I970" s="3"/>
    </row>
    <row r="971" customHeight="1" spans="1:9">
      <c r="A971" s="2"/>
      <c r="B971" s="2" t="str">
        <f>IFERROR(__xludf.DUMMYFUNCTION("IF(A971&lt;&gt;"""", GOOGLETRANSLATE(A971, ""en"", ""te""),"""")"),"")</f>
        <v/>
      </c>
      <c r="C971" s="2"/>
      <c r="D971" s="2" t="str">
        <f>IFERROR(__xludf.DUMMYFUNCTION("IF(C971&lt;&gt;"""", GOOGLETRANSLATE(C971, ""en"", ""te""),"""")"),"")</f>
        <v/>
      </c>
      <c r="E971" s="2"/>
      <c r="F971" s="2" t="str">
        <f>IFERROR(__xludf.DUMMYFUNCTION("IF(E971&lt;&gt;"""", GOOGLETRANSLATE(E971, ""en"", ""te""),"""")"),"")</f>
        <v/>
      </c>
      <c r="G971" s="2"/>
      <c r="H971" s="2" t="str">
        <f>IFERROR(__xludf.DUMMYFUNCTION("IF(G971&lt;&gt;"""", GOOGLETRANSLATE(G971, ""en"", ""te""),"""")"),"")</f>
        <v/>
      </c>
      <c r="I971" s="3"/>
    </row>
    <row r="972" customHeight="1" spans="1:9">
      <c r="A972" s="2"/>
      <c r="B972" s="2" t="str">
        <f>IFERROR(__xludf.DUMMYFUNCTION("IF(A972&lt;&gt;"""", GOOGLETRANSLATE(A972, ""en"", ""te""),"""")"),"")</f>
        <v/>
      </c>
      <c r="C972" s="2"/>
      <c r="D972" s="2" t="str">
        <f>IFERROR(__xludf.DUMMYFUNCTION("IF(C972&lt;&gt;"""", GOOGLETRANSLATE(C972, ""en"", ""te""),"""")"),"")</f>
        <v/>
      </c>
      <c r="E972" s="2"/>
      <c r="F972" s="2" t="str">
        <f>IFERROR(__xludf.DUMMYFUNCTION("IF(E972&lt;&gt;"""", GOOGLETRANSLATE(E972, ""en"", ""te""),"""")"),"")</f>
        <v/>
      </c>
      <c r="G972" s="2"/>
      <c r="H972" s="2" t="str">
        <f>IFERROR(__xludf.DUMMYFUNCTION("IF(G972&lt;&gt;"""", GOOGLETRANSLATE(G972, ""en"", ""te""),"""")"),"")</f>
        <v/>
      </c>
      <c r="I972" s="3"/>
    </row>
    <row r="973" customHeight="1" spans="1:9">
      <c r="A973" s="2"/>
      <c r="B973" s="2" t="str">
        <f>IFERROR(__xludf.DUMMYFUNCTION("IF(A973&lt;&gt;"""", GOOGLETRANSLATE(A973, ""en"", ""te""),"""")"),"")</f>
        <v/>
      </c>
      <c r="C973" s="2"/>
      <c r="D973" s="2" t="str">
        <f>IFERROR(__xludf.DUMMYFUNCTION("IF(C973&lt;&gt;"""", GOOGLETRANSLATE(C973, ""en"", ""te""),"""")"),"")</f>
        <v/>
      </c>
      <c r="E973" s="2"/>
      <c r="F973" s="2" t="str">
        <f>IFERROR(__xludf.DUMMYFUNCTION("IF(E973&lt;&gt;"""", GOOGLETRANSLATE(E973, ""en"", ""te""),"""")"),"")</f>
        <v/>
      </c>
      <c r="G973" s="2"/>
      <c r="H973" s="2" t="str">
        <f>IFERROR(__xludf.DUMMYFUNCTION("IF(G973&lt;&gt;"""", GOOGLETRANSLATE(G973, ""en"", ""te""),"""")"),"")</f>
        <v/>
      </c>
      <c r="I973" s="3"/>
    </row>
    <row r="974" customHeight="1" spans="1:9">
      <c r="A974" s="2" t="s">
        <v>716</v>
      </c>
      <c r="B974" s="2" t="str">
        <f>IFERROR(__xludf.DUMMYFUNCTION("IF(A974&lt;&gt;"""", GOOGLETRANSLATE(A974, ""en"", ""te""),"""")"),"[ 'పదవ వికెట్ను (67 *) 9 వ అత్యధిక భాగస్వామ్యం', '1 వ అత్యుత్తమ బౌలింగ్ ఇన్నింగ్స్ లో విశ్లేషించడం (1/0)', ​​'8 వ చెత్త కెరీర్ బౌలింగ్ సరాసరి (33.23)']")</f>
        <v>[ 'పదవ వికెట్ను (67 *) 9 వ అత్యధిక భాగస్వామ్యం', '1 వ అత్యుత్తమ బౌలింగ్ ఇన్నింగ్స్ లో విశ్లేషించడం (1/0)', ​​'8 వ చెత్త కెరీర్ బౌలింగ్ సరాసరి (33.23)']</v>
      </c>
      <c r="C974" s="2" t="s">
        <v>717</v>
      </c>
      <c r="D974" s="2" t="str">
        <f>IFERROR(__xludf.DUMMYFUNCTION("IF(C974&lt;&gt;"""", GOOGLETRANSLATE(C974, ""en"", ""te""),"""")"),"[ '47 వ చెత్త కెరీర్ బౌలింగ్ సరాసరి (అర్హత లేకుండా) (132.00)']")</f>
        <v>[ '47 వ చెత్త కెరీర్ బౌలింగ్ సరాసరి (అర్హత లేకుండా) (132.00)']</v>
      </c>
      <c r="E974" s="2" t="s">
        <v>718</v>
      </c>
      <c r="F974" s="2" t="str">
        <f>IFERROR(__xludf.DUMMYFUNCTION("IF(E974&lt;&gt;"""", GOOGLETRANSLATE(E974, ""en"", ""te""),"""")"),"[ '33 వ అత్యధిక కెరీర్ సమ్మె రేటు (100.25)', 'ఇన్నింగ్స్ లో 27 అత్యధిక స్ట్రైక్ రేట్ (284.61)', 'మూడో వికెట్కు 47 వ అత్యధిక భాగస్వామ్యం (186)', పదవ వికెట్కు '9 వ అత్యధిక భాగస్వామ్యం (67 *) ']")</f>
        <v>[ '33 వ అత్యధిక కెరీర్ సమ్మె రేటు (100.25)', 'ఇన్నింగ్స్ లో 27 అత్యధిక స్ట్రైక్ రేట్ (284.61)', 'మూడో వికెట్కు 47 వ అత్యధిక భాగస్వామ్యం (186)', పదవ వికెట్కు '9 వ అత్యధిక భాగస్వామ్యం (67 *) ']</v>
      </c>
      <c r="G974" s="2" t="s">
        <v>719</v>
      </c>
      <c r="H974" s="2" t="str">
        <f>IFERROR(__xludf.DUMMYFUNCTION("IF(G974&lt;&gt;"""", GOOGLETRANSLATE(G974, ""en"", ""te""),"""")"),"[ '36 వ ఇన్నింగ్స్ లో అత్యధిక పరుగులు (బ్యాటింగ్ స్థానంలో ప్రకారం) (43)', '27 వ అత్యధిక కెరీర్ సమ్మె రేటు (142.28)', '1 వ అత్యుత్తమ బౌలింగ్ ఇన్నింగ్స్ విశ్లేషణలలో '21 వ మొట్టమొదటి డక్ ముందు (23) చాలా ఇన్నింగ్స్ ( 1/0) ',' సగటు (33.23) ',' 36 వ చెత్త కెరీర"&amp;"్లో ఎకానమీ రేట్ బౌలింగ్ 8 వ చెత్త కెరీర్ (8.01) ',' 11 వ చెత్త కెరీర్లో సమ్మె రేటు (24.8) ',' ఒక జట్టుకు 50 వ వరుస మ్యాచ్లు (28) ']")</f>
        <v>[ '36 వ ఇన్నింగ్స్ లో అత్యధిక పరుగులు (బ్యాటింగ్ స్థానంలో ప్రకారం) (43)', '27 వ అత్యధిక కెరీర్ సమ్మె రేటు (142.28)', '1 వ అత్యుత్తమ బౌలింగ్ ఇన్నింగ్స్ విశ్లేషణలలో '21 వ మొట్టమొదటి డక్ ముందు (23) చాలా ఇన్నింగ్స్ ( 1/0) ',' సగటు (33.23) ',' 36 వ చెత్త కెరీర్లో ఎకానమీ రేట్ బౌలింగ్ 8 వ చెత్త కెరీర్ (8.01) ',' 11 వ చెత్త కెరీర్లో సమ్మె రేటు (24.8) ',' ఒక జట్టుకు 50 వ వరుస మ్యాచ్లు (28) ']</v>
      </c>
      <c r="I974" s="3"/>
    </row>
    <row r="975" customHeight="1" spans="1:9">
      <c r="A975" s="2"/>
      <c r="B975" s="2" t="str">
        <f>IFERROR(__xludf.DUMMYFUNCTION("IF(A975&lt;&gt;"""", GOOGLETRANSLATE(A975, ""en"", ""te""),"""")"),"")</f>
        <v/>
      </c>
      <c r="C975" s="2"/>
      <c r="D975" s="2" t="str">
        <f>IFERROR(__xludf.DUMMYFUNCTION("IF(C975&lt;&gt;"""", GOOGLETRANSLATE(C975, ""en"", ""te""),"""")"),"")</f>
        <v/>
      </c>
      <c r="E975" s="2"/>
      <c r="F975" s="2" t="str">
        <f>IFERROR(__xludf.DUMMYFUNCTION("IF(E975&lt;&gt;"""", GOOGLETRANSLATE(E975, ""en"", ""te""),"""")"),"")</f>
        <v/>
      </c>
      <c r="G975" s="2"/>
      <c r="H975" s="2" t="str">
        <f>IFERROR(__xludf.DUMMYFUNCTION("IF(G975&lt;&gt;"""", GOOGLETRANSLATE(G975, ""en"", ""te""),"""")"),"")</f>
        <v/>
      </c>
      <c r="I975" s="3"/>
    </row>
    <row r="976" customHeight="1" spans="1:9">
      <c r="A976" s="2"/>
      <c r="B976" s="2" t="str">
        <f>IFERROR(__xludf.DUMMYFUNCTION("IF(A976&lt;&gt;"""", GOOGLETRANSLATE(A976, ""en"", ""te""),"""")"),"")</f>
        <v/>
      </c>
      <c r="C976" s="2"/>
      <c r="D976" s="2" t="str">
        <f>IFERROR(__xludf.DUMMYFUNCTION("IF(C976&lt;&gt;"""", GOOGLETRANSLATE(C976, ""en"", ""te""),"""")"),"")</f>
        <v/>
      </c>
      <c r="E976" s="2"/>
      <c r="F976" s="2" t="str">
        <f>IFERROR(__xludf.DUMMYFUNCTION("IF(E976&lt;&gt;"""", GOOGLETRANSLATE(E976, ""en"", ""te""),"""")"),"")</f>
        <v/>
      </c>
      <c r="G976" s="2"/>
      <c r="H976" s="2" t="str">
        <f>IFERROR(__xludf.DUMMYFUNCTION("IF(G976&lt;&gt;"""", GOOGLETRANSLATE(G976, ""en"", ""te""),"""")"),"")</f>
        <v/>
      </c>
      <c r="I976" s="3"/>
    </row>
    <row r="977" customHeight="1" spans="1:9">
      <c r="A977" s="2" t="s">
        <v>720</v>
      </c>
      <c r="B977" s="2" t="str">
        <f>IFERROR(__xludf.DUMMYFUNCTION("IF(A977&lt;&gt;"""", GOOGLETRANSLATE(A977, ""en"", ""te""),"""")"),"[ '9 వ అత్యధిక తొలి వంద (255 *)', 'ఒక ఇన్నింగ్స్లో ద్వారా బ్యాట్ నిదర్శన (127 *)', 'ఏడవ వికెట్కు 8 వ అత్యధిక భాగస్వామ్యం (246)']")</f>
        <v>[ '9 వ అత్యధిక తొలి వంద (255 *)', 'ఒక ఇన్నింగ్స్లో ద్వారా బ్యాట్ నిదర్శన (127 *)', 'ఏడవ వికెట్కు 8 వ అత్యధిక భాగస్వామ్యం (246)']</v>
      </c>
      <c r="C977" s="2" t="s">
        <v>721</v>
      </c>
      <c r="D977" s="2" t="str">
        <f>IFERROR(__xludf.DUMMYFUNCTION("IF(C977&lt;&gt;"""", GOOGLETRANSLATE(C977, ""en"", ""te""),"""")"),"[ '9 వ అత్యధిక తొలి వంద (255 *)', '27th పిన్న ఆటగాడు డబుల్ సెంచరీ స్కోర్ (23y 360d)', 'ఏడవ వికెట్ (246) కోసం 8 వ అత్యధిక భాగస్వామ్యం']")</f>
        <v>[ '9 వ అత్యధిక తొలి వంద (255 *)', '27th పిన్న ఆటగాడు డబుల్ సెంచరీ స్కోర్ (23y 360d)', 'ఏడవ వికెట్ (246) కోసం 8 వ అత్యధిక భాగస్వామ్యం']</v>
      </c>
      <c r="E977" s="2"/>
      <c r="F977" s="2" t="str">
        <f>IFERROR(__xludf.DUMMYFUNCTION("IF(E977&lt;&gt;"""", GOOGLETRANSLATE(E977, ""en"", ""te""),"""")"),"")</f>
        <v/>
      </c>
      <c r="G977" s="2"/>
      <c r="H977" s="2" t="str">
        <f>IFERROR(__xludf.DUMMYFUNCTION("IF(G977&lt;&gt;"""", GOOGLETRANSLATE(G977, ""en"", ""te""),"""")"),"")</f>
        <v/>
      </c>
      <c r="I977" s="3"/>
    </row>
    <row r="978" customHeight="1" spans="1:9">
      <c r="A978" s="2" t="s">
        <v>722</v>
      </c>
      <c r="B978" s="2" t="str">
        <f>IFERROR(__xludf.DUMMYFUNCTION("IF(A978&lt;&gt;"""", GOOGLETRANSLATE(A978, ""en"", ""te""),"""")"),"[ 'ఒక ఇన్నింగ్స్ లో 1 వ బెస్ట్ ఫిగర్స్ పరాజయం వైపు (9) ఉన్నప్పుడు', '3 వ భాగం ఒక మ్యాచ్ (318) లో ఇవ్వబడిన పరుగులలో']")</f>
        <v>[ 'ఒక ఇన్నింగ్స్ లో 1 వ బెస్ట్ ఫిగర్స్ పరాజయం వైపు (9) ఉన్నప్పుడు', '3 వ భాగం ఒక మ్యాచ్ (318) లో ఇవ్వబడిన పరుగులలో']</v>
      </c>
      <c r="C978" s="2" t="s">
        <v>723</v>
      </c>
      <c r="D978" s="2" t="str">
        <f>IFERROR(__xludf.DUMMYFUNCTION("IF(C978&lt;&gt;"""", GOOGLETRANSLATE(C978, ""en"", ""te""),"""")"),"[ '19 ఒక ఇన్నింగ్స్ లోని బెస్ట్ ఫిగర్స్ (9/129)', '1st ఒక ఇన్నింగ్స్ లోని బెస్ట్ ఫిగర్స్ ఉన్నప్పుడు పరాజయం వైపు (9)', '5 వ మ్యాచ్ లో బెస్ట్ ఫిగర్స్ ఉన్నప్పుడు పరాజయం వైపు (12)', ' ఇన్నింగ్స్ (196) ',' 3 వ భాగం ఒక మ్యాచ్లో ఇవ్వబడిన పరుగులలో 39 వ అత్యంత ఇ"&amp;"వ్వబడిన పరుగులలో (318) ',' పదవ వికెట్కు 27 అత్యధిక భాగస్వామ్యం (99) ']")</f>
        <v>[ '19 ఒక ఇన్నింగ్స్ లోని బెస్ట్ ఫిగర్స్ (9/129)', '1st ఒక ఇన్నింగ్స్ లోని బెస్ట్ ఫిగర్స్ ఉన్నప్పుడు పరాజయం వైపు (9)', '5 వ మ్యాచ్ లో బెస్ట్ ఫిగర్స్ ఉన్నప్పుడు పరాజయం వైపు (12)', ' ఇన్నింగ్స్ (196) ',' 3 వ భాగం ఒక మ్యాచ్లో ఇవ్వబడిన పరుగులలో 39 వ అత్యంత ఇవ్వబడిన పరుగులలో (318) ',' పదవ వికెట్కు 27 అత్యధిక భాగస్వామ్యం (99) ']</v>
      </c>
      <c r="E978" s="2"/>
      <c r="F978" s="2" t="str">
        <f>IFERROR(__xludf.DUMMYFUNCTION("IF(E978&lt;&gt;"""", GOOGLETRANSLATE(E978, ""en"", ""te""),"""")"),"")</f>
        <v/>
      </c>
      <c r="G978" s="2"/>
      <c r="H978" s="2" t="str">
        <f>IFERROR(__xludf.DUMMYFUNCTION("IF(G978&lt;&gt;"""", GOOGLETRANSLATE(G978, ""en"", ""te""),"""")"),"")</f>
        <v/>
      </c>
      <c r="I978" s="3"/>
    </row>
    <row r="979" customHeight="1" spans="1:9">
      <c r="A979" s="2"/>
      <c r="B979" s="2" t="str">
        <f>IFERROR(__xludf.DUMMYFUNCTION("IF(A979&lt;&gt;"""", GOOGLETRANSLATE(A979, ""en"", ""te""),"""")"),"")</f>
        <v/>
      </c>
      <c r="C979" s="2"/>
      <c r="D979" s="2" t="str">
        <f>IFERROR(__xludf.DUMMYFUNCTION("IF(C979&lt;&gt;"""", GOOGLETRANSLATE(C979, ""en"", ""te""),"""")"),"")</f>
        <v/>
      </c>
      <c r="E979" s="2"/>
      <c r="F979" s="2" t="str">
        <f>IFERROR(__xludf.DUMMYFUNCTION("IF(E979&lt;&gt;"""", GOOGLETRANSLATE(E979, ""en"", ""te""),"""")"),"")</f>
        <v/>
      </c>
      <c r="G979" s="2"/>
      <c r="H979" s="2" t="str">
        <f>IFERROR(__xludf.DUMMYFUNCTION("IF(G979&lt;&gt;"""", GOOGLETRANSLATE(G979, ""en"", ""te""),"""")"),"")</f>
        <v/>
      </c>
      <c r="I979" s="3"/>
    </row>
    <row r="980" customHeight="1" spans="1:9">
      <c r="A980" s="2"/>
      <c r="B980" s="2" t="str">
        <f>IFERROR(__xludf.DUMMYFUNCTION("IF(A980&lt;&gt;"""", GOOGLETRANSLATE(A980, ""en"", ""te""),"""")"),"")</f>
        <v/>
      </c>
      <c r="C980" s="2"/>
      <c r="D980" s="2" t="str">
        <f>IFERROR(__xludf.DUMMYFUNCTION("IF(C980&lt;&gt;"""", GOOGLETRANSLATE(C980, ""en"", ""te""),"""")"),"")</f>
        <v/>
      </c>
      <c r="E980" s="2"/>
      <c r="F980" s="2" t="str">
        <f>IFERROR(__xludf.DUMMYFUNCTION("IF(E980&lt;&gt;"""", GOOGLETRANSLATE(E980, ""en"", ""te""),"""")"),"")</f>
        <v/>
      </c>
      <c r="G980" s="2"/>
      <c r="H980" s="2" t="str">
        <f>IFERROR(__xludf.DUMMYFUNCTION("IF(G980&lt;&gt;"""", GOOGLETRANSLATE(G980, ""en"", ""te""),"""")"),"")</f>
        <v/>
      </c>
      <c r="I980" s="3"/>
    </row>
    <row r="981" customHeight="1" spans="1:9">
      <c r="A981" s="2"/>
      <c r="B981" s="2" t="str">
        <f>IFERROR(__xludf.DUMMYFUNCTION("IF(A981&lt;&gt;"""", GOOGLETRANSLATE(A981, ""en"", ""te""),"""")"),"")</f>
        <v/>
      </c>
      <c r="C981" s="2"/>
      <c r="D981" s="2" t="str">
        <f>IFERROR(__xludf.DUMMYFUNCTION("IF(C981&lt;&gt;"""", GOOGLETRANSLATE(C981, ""en"", ""te""),"""")"),"")</f>
        <v/>
      </c>
      <c r="E981" s="2" t="s">
        <v>724</v>
      </c>
      <c r="F981" s="2" t="str">
        <f>IFERROR(__xludf.DUMMYFUNCTION("IF(E981&lt;&gt;"""", GOOGLETRANSLATE(E981, ""en"", ""te""),"""")"),"[ '36 వ ఒక క్యాలెండర్ సంవత్సరంలో అత్యధిక వికెట్లు (45)', '39 వ ఉత్తమ కెరీర్ సమ్మె రేటు (31.2)', 'పదవ వికెట్కు 44 వ అత్యధిక భాగస్వామ్యం (48)']")</f>
        <v>[ '36 వ ఒక క్యాలెండర్ సంవత్సరంలో అత్యధిక వికెట్లు (45)', '39 వ ఉత్తమ కెరీర్ సమ్మె రేటు (31.2)', 'పదవ వికెట్కు 44 వ అత్యధిక భాగస్వామ్యం (48)']</v>
      </c>
      <c r="G981" s="2" t="s">
        <v>725</v>
      </c>
      <c r="H981" s="2" t="str">
        <f>IFERROR(__xludf.DUMMYFUNCTION("IF(G981&lt;&gt;"""", GOOGLETRANSLATE(G981, ""en"", ""te""),"""")"),"[ '29 ఒక ఇన్నింగ్స్ లోని బెస్ట్ ఫిగర్స్ (5/19)']")</f>
        <v>[ '29 ఒక ఇన్నింగ్స్ లోని బెస్ట్ ఫిగర్స్ (5/19)']</v>
      </c>
      <c r="I981" s="3"/>
    </row>
    <row r="982" customHeight="1" spans="1:9">
      <c r="A982" s="2"/>
      <c r="B982" s="2" t="str">
        <f>IFERROR(__xludf.DUMMYFUNCTION("IF(A982&lt;&gt;"""", GOOGLETRANSLATE(A982, ""en"", ""te""),"""")"),"")</f>
        <v/>
      </c>
      <c r="C982" s="2"/>
      <c r="D982" s="2" t="str">
        <f>IFERROR(__xludf.DUMMYFUNCTION("IF(C982&lt;&gt;"""", GOOGLETRANSLATE(C982, ""en"", ""te""),"""")"),"")</f>
        <v/>
      </c>
      <c r="E982" s="2"/>
      <c r="F982" s="2" t="str">
        <f>IFERROR(__xludf.DUMMYFUNCTION("IF(E982&lt;&gt;"""", GOOGLETRANSLATE(E982, ""en"", ""te""),"""")"),"")</f>
        <v/>
      </c>
      <c r="G982" s="2"/>
      <c r="H982" s="2" t="str">
        <f>IFERROR(__xludf.DUMMYFUNCTION("IF(G982&lt;&gt;"""", GOOGLETRANSLATE(G982, ""en"", ""te""),"""")"),"")</f>
        <v/>
      </c>
      <c r="I982" s="3"/>
    </row>
    <row r="983" customHeight="1" spans="1:9">
      <c r="A983" s="2"/>
      <c r="B983" s="2" t="str">
        <f>IFERROR(__xludf.DUMMYFUNCTION("IF(A983&lt;&gt;"""", GOOGLETRANSLATE(A983, ""en"", ""te""),"""")"),"")</f>
        <v/>
      </c>
      <c r="C983" s="2"/>
      <c r="D983" s="2" t="str">
        <f>IFERROR(__xludf.DUMMYFUNCTION("IF(C983&lt;&gt;"""", GOOGLETRANSLATE(C983, ""en"", ""te""),"""")"),"")</f>
        <v/>
      </c>
      <c r="E983" s="2"/>
      <c r="F983" s="2" t="str">
        <f>IFERROR(__xludf.DUMMYFUNCTION("IF(E983&lt;&gt;"""", GOOGLETRANSLATE(E983, ""en"", ""te""),"""")"),"")</f>
        <v/>
      </c>
      <c r="G983" s="2"/>
      <c r="H983" s="2" t="str">
        <f>IFERROR(__xludf.DUMMYFUNCTION("IF(G983&lt;&gt;"""", GOOGLETRANSLATE(G983, ""en"", ""te""),"""")"),"")</f>
        <v/>
      </c>
      <c r="I983" s="3"/>
    </row>
    <row r="984" customHeight="1" spans="1:9">
      <c r="A984" s="2" t="s">
        <v>726</v>
      </c>
      <c r="B984" s="2" t="str">
        <f>IFERROR(__xludf.DUMMYFUNCTION("IF(A984&lt;&gt;"""", GOOGLETRANSLATE(A984, ""en"", ""te""),"""")"),"[ 'తొలి 10 వ తొంభై (90)']")</f>
        <v>[ 'తొలి 10 వ తొంభై (90)']</v>
      </c>
      <c r="C984" s="2" t="s">
        <v>726</v>
      </c>
      <c r="D984" s="2" t="str">
        <f>IFERROR(__xludf.DUMMYFUNCTION("IF(C984&lt;&gt;"""", GOOGLETRANSLATE(C984, ""en"", ""te""),"""")"),"[ 'తొలి 10 వ తొంభై (90)']")</f>
        <v>[ 'తొలి 10 వ తొంభై (90)']</v>
      </c>
      <c r="E984" s="2"/>
      <c r="F984" s="2" t="str">
        <f>IFERROR(__xludf.DUMMYFUNCTION("IF(E984&lt;&gt;"""", GOOGLETRANSLATE(E984, ""en"", ""te""),"""")"),"")</f>
        <v/>
      </c>
      <c r="G984" s="2"/>
      <c r="H984" s="2" t="str">
        <f>IFERROR(__xludf.DUMMYFUNCTION("IF(G984&lt;&gt;"""", GOOGLETRANSLATE(G984, ""en"", ""te""),"""")"),"")</f>
        <v/>
      </c>
      <c r="I984" s="3"/>
    </row>
    <row r="985" customHeight="1" spans="1:9">
      <c r="A985" s="2"/>
      <c r="B985" s="2" t="str">
        <f>IFERROR(__xludf.DUMMYFUNCTION("IF(A985&lt;&gt;"""", GOOGLETRANSLATE(A985, ""en"", ""te""),"""")"),"")</f>
        <v/>
      </c>
      <c r="C985" s="2"/>
      <c r="D985" s="2" t="str">
        <f>IFERROR(__xludf.DUMMYFUNCTION("IF(C985&lt;&gt;"""", GOOGLETRANSLATE(C985, ""en"", ""te""),"""")"),"")</f>
        <v/>
      </c>
      <c r="E985" s="2"/>
      <c r="F985" s="2" t="str">
        <f>IFERROR(__xludf.DUMMYFUNCTION("IF(E985&lt;&gt;"""", GOOGLETRANSLATE(E985, ""en"", ""te""),"""")"),"")</f>
        <v/>
      </c>
      <c r="G985" s="2"/>
      <c r="H985" s="2" t="str">
        <f>IFERROR(__xludf.DUMMYFUNCTION("IF(G985&lt;&gt;"""", GOOGLETRANSLATE(G985, ""en"", ""te""),"""")"),"")</f>
        <v/>
      </c>
      <c r="I985" s="3"/>
    </row>
    <row r="986" customHeight="1" spans="1:9">
      <c r="A986" s="2"/>
      <c r="B986" s="2" t="str">
        <f>IFERROR(__xludf.DUMMYFUNCTION("IF(A986&lt;&gt;"""", GOOGLETRANSLATE(A986, ""en"", ""te""),"""")"),"")</f>
        <v/>
      </c>
      <c r="C986" s="2"/>
      <c r="D986" s="2" t="str">
        <f>IFERROR(__xludf.DUMMYFUNCTION("IF(C986&lt;&gt;"""", GOOGLETRANSLATE(C986, ""en"", ""te""),"""")"),"")</f>
        <v/>
      </c>
      <c r="E986" s="2"/>
      <c r="F986" s="2" t="str">
        <f>IFERROR(__xludf.DUMMYFUNCTION("IF(E986&lt;&gt;"""", GOOGLETRANSLATE(E986, ""en"", ""te""),"""")"),"")</f>
        <v/>
      </c>
      <c r="G986" s="2"/>
      <c r="H986" s="2" t="str">
        <f>IFERROR(__xludf.DUMMYFUNCTION("IF(G986&lt;&gt;"""", GOOGLETRANSLATE(G986, ""en"", ""te""),"""")"),"")</f>
        <v/>
      </c>
      <c r="I986" s="3"/>
    </row>
    <row r="987" customHeight="1" spans="1:9">
      <c r="A987" s="2"/>
      <c r="B987" s="2" t="str">
        <f>IFERROR(__xludf.DUMMYFUNCTION("IF(A987&lt;&gt;"""", GOOGLETRANSLATE(A987, ""en"", ""te""),"""")"),"")</f>
        <v/>
      </c>
      <c r="C987" s="2"/>
      <c r="D987" s="2" t="str">
        <f>IFERROR(__xludf.DUMMYFUNCTION("IF(C987&lt;&gt;"""", GOOGLETRANSLATE(C987, ""en"", ""te""),"""")"),"")</f>
        <v/>
      </c>
      <c r="E987" s="2"/>
      <c r="F987" s="2" t="str">
        <f>IFERROR(__xludf.DUMMYFUNCTION("IF(E987&lt;&gt;"""", GOOGLETRANSLATE(E987, ""en"", ""te""),"""")"),"")</f>
        <v/>
      </c>
      <c r="G987" s="2"/>
      <c r="H987" s="2" t="str">
        <f>IFERROR(__xludf.DUMMYFUNCTION("IF(G987&lt;&gt;"""", GOOGLETRANSLATE(G987, ""en"", ""te""),"""")"),"")</f>
        <v/>
      </c>
      <c r="I987" s="3"/>
    </row>
    <row r="988" customHeight="1" spans="1:9">
      <c r="A988" s="2"/>
      <c r="B988" s="2" t="str">
        <f>IFERROR(__xludf.DUMMYFUNCTION("IF(A988&lt;&gt;"""", GOOGLETRANSLATE(A988, ""en"", ""te""),"""")"),"")</f>
        <v/>
      </c>
      <c r="C988" s="2"/>
      <c r="D988" s="2" t="str">
        <f>IFERROR(__xludf.DUMMYFUNCTION("IF(C988&lt;&gt;"""", GOOGLETRANSLATE(C988, ""en"", ""te""),"""")"),"")</f>
        <v/>
      </c>
      <c r="E988" s="2"/>
      <c r="F988" s="2" t="str">
        <f>IFERROR(__xludf.DUMMYFUNCTION("IF(E988&lt;&gt;"""", GOOGLETRANSLATE(E988, ""en"", ""te""),"""")"),"")</f>
        <v/>
      </c>
      <c r="G988" s="2"/>
      <c r="H988" s="2" t="str">
        <f>IFERROR(__xludf.DUMMYFUNCTION("IF(G988&lt;&gt;"""", GOOGLETRANSLATE(G988, ""en"", ""te""),"""")"),"")</f>
        <v/>
      </c>
      <c r="I988" s="3"/>
    </row>
    <row r="989" customHeight="1" spans="1:9">
      <c r="A989" s="2"/>
      <c r="B989" s="2" t="str">
        <f>IFERROR(__xludf.DUMMYFUNCTION("IF(A989&lt;&gt;"""", GOOGLETRANSLATE(A989, ""en"", ""te""),"""")"),"")</f>
        <v/>
      </c>
      <c r="C989" s="2"/>
      <c r="D989" s="2" t="str">
        <f>IFERROR(__xludf.DUMMYFUNCTION("IF(C989&lt;&gt;"""", GOOGLETRANSLATE(C989, ""en"", ""te""),"""")"),"")</f>
        <v/>
      </c>
      <c r="E989" s="2"/>
      <c r="F989" s="2" t="str">
        <f>IFERROR(__xludf.DUMMYFUNCTION("IF(E989&lt;&gt;"""", GOOGLETRANSLATE(E989, ""en"", ""te""),"""")"),"")</f>
        <v/>
      </c>
      <c r="G989" s="2"/>
      <c r="H989" s="2" t="str">
        <f>IFERROR(__xludf.DUMMYFUNCTION("IF(G989&lt;&gt;"""", GOOGLETRANSLATE(G989, ""en"", ""te""),"""")"),"")</f>
        <v/>
      </c>
      <c r="I989" s="3"/>
    </row>
    <row r="990" customHeight="1" spans="1:9">
      <c r="A990" s="2"/>
      <c r="B990" s="2" t="str">
        <f>IFERROR(__xludf.DUMMYFUNCTION("IF(A990&lt;&gt;"""", GOOGLETRANSLATE(A990, ""en"", ""te""),"""")"),"")</f>
        <v/>
      </c>
      <c r="C990" s="2"/>
      <c r="D990" s="2" t="str">
        <f>IFERROR(__xludf.DUMMYFUNCTION("IF(C990&lt;&gt;"""", GOOGLETRANSLATE(C990, ""en"", ""te""),"""")"),"")</f>
        <v/>
      </c>
      <c r="E990" s="2"/>
      <c r="F990" s="2" t="str">
        <f>IFERROR(__xludf.DUMMYFUNCTION("IF(E990&lt;&gt;"""", GOOGLETRANSLATE(E990, ""en"", ""te""),"""")"),"")</f>
        <v/>
      </c>
      <c r="G990" s="2"/>
      <c r="H990" s="2" t="str">
        <f>IFERROR(__xludf.DUMMYFUNCTION("IF(G990&lt;&gt;"""", GOOGLETRANSLATE(G990, ""en"", ""te""),"""")"),"")</f>
        <v/>
      </c>
      <c r="I990" s="3"/>
    </row>
    <row r="991" customHeight="1" spans="1:9">
      <c r="A991" s="2"/>
      <c r="B991" s="2" t="str">
        <f>IFERROR(__xludf.DUMMYFUNCTION("IF(A991&lt;&gt;"""", GOOGLETRANSLATE(A991, ""en"", ""te""),"""")"),"")</f>
        <v/>
      </c>
      <c r="C991" s="2"/>
      <c r="D991" s="2" t="str">
        <f>IFERROR(__xludf.DUMMYFUNCTION("IF(C991&lt;&gt;"""", GOOGLETRANSLATE(C991, ""en"", ""te""),"""")"),"")</f>
        <v/>
      </c>
      <c r="E991" s="2"/>
      <c r="F991" s="2" t="str">
        <f>IFERROR(__xludf.DUMMYFUNCTION("IF(E991&lt;&gt;"""", GOOGLETRANSLATE(E991, ""en"", ""te""),"""")"),"")</f>
        <v/>
      </c>
      <c r="G991" s="2"/>
      <c r="H991" s="2" t="str">
        <f>IFERROR(__xludf.DUMMYFUNCTION("IF(G991&lt;&gt;"""", GOOGLETRANSLATE(G991, ""en"", ""te""),"""")"),"")</f>
        <v/>
      </c>
      <c r="I991" s="3"/>
    </row>
    <row r="992" customHeight="1" spans="1:9">
      <c r="A992" s="2"/>
      <c r="B992" s="2" t="str">
        <f>IFERROR(__xludf.DUMMYFUNCTION("IF(A992&lt;&gt;"""", GOOGLETRANSLATE(A992, ""en"", ""te""),"""")"),"")</f>
        <v/>
      </c>
      <c r="C992" s="2"/>
      <c r="D992" s="2" t="str">
        <f>IFERROR(__xludf.DUMMYFUNCTION("IF(C992&lt;&gt;"""", GOOGLETRANSLATE(C992, ""en"", ""te""),"""")"),"")</f>
        <v/>
      </c>
      <c r="E992" s="2"/>
      <c r="F992" s="2" t="str">
        <f>IFERROR(__xludf.DUMMYFUNCTION("IF(E992&lt;&gt;"""", GOOGLETRANSLATE(E992, ""en"", ""te""),"""")"),"")</f>
        <v/>
      </c>
      <c r="G992" s="2"/>
      <c r="H992" s="2" t="str">
        <f>IFERROR(__xludf.DUMMYFUNCTION("IF(G992&lt;&gt;"""", GOOGLETRANSLATE(G992, ""en"", ""te""),"""")"),"")</f>
        <v/>
      </c>
      <c r="I992" s="3"/>
    </row>
    <row r="993" customHeight="1" spans="1:9">
      <c r="A993" s="2"/>
      <c r="B993" s="2" t="str">
        <f>IFERROR(__xludf.DUMMYFUNCTION("IF(A993&lt;&gt;"""", GOOGLETRANSLATE(A993, ""en"", ""te""),"""")"),"")</f>
        <v/>
      </c>
      <c r="C993" s="2"/>
      <c r="D993" s="2" t="str">
        <f>IFERROR(__xludf.DUMMYFUNCTION("IF(C993&lt;&gt;"""", GOOGLETRANSLATE(C993, ""en"", ""te""),"""")"),"")</f>
        <v/>
      </c>
      <c r="E993" s="2"/>
      <c r="F993" s="2" t="str">
        <f>IFERROR(__xludf.DUMMYFUNCTION("IF(E993&lt;&gt;"""", GOOGLETRANSLATE(E993, ""en"", ""te""),"""")"),"")</f>
        <v/>
      </c>
      <c r="G993" s="2"/>
      <c r="H993" s="2" t="str">
        <f>IFERROR(__xludf.DUMMYFUNCTION("IF(G993&lt;&gt;"""", GOOGLETRANSLATE(G993, ""en"", ""te""),"""")"),"")</f>
        <v/>
      </c>
      <c r="I993" s="3"/>
    </row>
    <row r="994" customHeight="1" spans="1:9">
      <c r="A994" s="2"/>
      <c r="B994" s="2" t="str">
        <f>IFERROR(__xludf.DUMMYFUNCTION("IF(A994&lt;&gt;"""", GOOGLETRANSLATE(A994, ""en"", ""te""),"""")"),"")</f>
        <v/>
      </c>
      <c r="C994" s="2"/>
      <c r="D994" s="2" t="str">
        <f>IFERROR(__xludf.DUMMYFUNCTION("IF(C994&lt;&gt;"""", GOOGLETRANSLATE(C994, ""en"", ""te""),"""")"),"")</f>
        <v/>
      </c>
      <c r="E994" s="2"/>
      <c r="F994" s="2" t="str">
        <f>IFERROR(__xludf.DUMMYFUNCTION("IF(E994&lt;&gt;"""", GOOGLETRANSLATE(E994, ""en"", ""te""),"""")"),"")</f>
        <v/>
      </c>
      <c r="G994" s="2"/>
      <c r="H994" s="2" t="str">
        <f>IFERROR(__xludf.DUMMYFUNCTION("IF(G994&lt;&gt;"""", GOOGLETRANSLATE(G994, ""en"", ""te""),"""")"),"")</f>
        <v/>
      </c>
      <c r="I994" s="3"/>
    </row>
    <row r="995" customHeight="1" spans="1:9">
      <c r="A995" s="2"/>
      <c r="B995" s="2" t="str">
        <f>IFERROR(__xludf.DUMMYFUNCTION("IF(A995&lt;&gt;"""", GOOGLETRANSLATE(A995, ""en"", ""te""),"""")"),"")</f>
        <v/>
      </c>
      <c r="C995" s="2"/>
      <c r="D995" s="2" t="str">
        <f>IFERROR(__xludf.DUMMYFUNCTION("IF(C995&lt;&gt;"""", GOOGLETRANSLATE(C995, ""en"", ""te""),"""")"),"")</f>
        <v/>
      </c>
      <c r="E995" s="2"/>
      <c r="F995" s="2" t="str">
        <f>IFERROR(__xludf.DUMMYFUNCTION("IF(E995&lt;&gt;"""", GOOGLETRANSLATE(E995, ""en"", ""te""),"""")"),"")</f>
        <v/>
      </c>
      <c r="G995" s="2"/>
      <c r="H995" s="2" t="str">
        <f>IFERROR(__xludf.DUMMYFUNCTION("IF(G995&lt;&gt;"""", GOOGLETRANSLATE(G995, ""en"", ""te""),"""")"),"")</f>
        <v/>
      </c>
      <c r="I995" s="3"/>
    </row>
    <row r="996" customHeight="1" spans="1:9">
      <c r="A996" s="2" t="s">
        <v>727</v>
      </c>
      <c r="B996" s="2" t="str">
        <f>IFERROR(__xludf.DUMMYFUNCTION("IF(A996&lt;&gt;"""", GOOGLETRANSLATE(A996, ""en"", ""te""),"""")"),"[ 'ఒక మ్యాచ్లో ప్రతి ఇన్నింగ్స్లో హండ్రెడ్', 'వరుస ఇన్నింగ్స్లో 7 వ యాభైల్లో (6)', 'వరుస ఇన్నింగ్స్లో 3 వ వందల (4)', 'వరుస ఇన్నింగ్స్లో 10 వ యాభైల్లో (6)']")</f>
        <v>[ 'ఒక మ్యాచ్లో ప్రతి ఇన్నింగ్స్లో హండ్రెడ్', 'వరుస ఇన్నింగ్స్లో 7 వ యాభైల్లో (6)', 'వరుస ఇన్నింగ్స్లో 3 వ వందల (4)', 'వరుస ఇన్నింగ్స్లో 10 వ యాభైల్లో (6)']</v>
      </c>
      <c r="C996" s="2" t="s">
        <v>728</v>
      </c>
      <c r="D996" s="2" t="str">
        <f>IFERROR(__xludf.DUMMYFUNCTION("IF(C996&lt;&gt;"""", GOOGLETRANSLATE(C996, ""en"", ""te""),"""")"),"[ '27 వ కెప్టెన్ ద్వారా ఒక సిరీస్లో పరుగులు (569)', 'వరుస ఇన్నింగ్స్లో 2 వ వందల (4)', 'వరుస మ్యాచ్లలో 21 వందల (3)', 'వరుస ఇన్నింగ్స్లో 7 వ యాభైల్లో (6)', ' 19 మూడో వికెట్కు అత్యధిక భాగస్వామ్యం (319) ']")</f>
        <v>[ '27 వ కెప్టెన్ ద్వారా ఒక సిరీస్లో పరుగులు (569)', 'వరుస ఇన్నింగ్స్లో 2 వ వందల (4)', 'వరుస మ్యాచ్లలో 21 వందల (3)', 'వరుస ఇన్నింగ్స్లో 7 వ యాభైల్లో (6)', ' 19 మూడో వికెట్కు అత్యధిక భాగస్వామ్యం (319) ']</v>
      </c>
      <c r="E996" s="2"/>
      <c r="F996" s="2" t="str">
        <f>IFERROR(__xludf.DUMMYFUNCTION("IF(E996&lt;&gt;"""", GOOGLETRANSLATE(E996, ""en"", ""te""),"""")"),"")</f>
        <v/>
      </c>
      <c r="G996" s="2"/>
      <c r="H996" s="2" t="str">
        <f>IFERROR(__xludf.DUMMYFUNCTION("IF(G996&lt;&gt;"""", GOOGLETRANSLATE(G996, ""en"", ""te""),"""")"),"")</f>
        <v/>
      </c>
      <c r="I996" s="3"/>
    </row>
    <row r="997" customHeight="1" spans="1:9">
      <c r="A997" s="2"/>
      <c r="B997" s="2" t="str">
        <f>IFERROR(__xludf.DUMMYFUNCTION("IF(A997&lt;&gt;"""", GOOGLETRANSLATE(A997, ""en"", ""te""),"""")"),"")</f>
        <v/>
      </c>
      <c r="C997" s="2"/>
      <c r="D997" s="2" t="str">
        <f>IFERROR(__xludf.DUMMYFUNCTION("IF(C997&lt;&gt;"""", GOOGLETRANSLATE(C997, ""en"", ""te""),"""")"),"")</f>
        <v/>
      </c>
      <c r="E997" s="2"/>
      <c r="F997" s="2" t="str">
        <f>IFERROR(__xludf.DUMMYFUNCTION("IF(E997&lt;&gt;"""", GOOGLETRANSLATE(E997, ""en"", ""te""),"""")"),"")</f>
        <v/>
      </c>
      <c r="G997" s="2"/>
      <c r="H997" s="2" t="str">
        <f>IFERROR(__xludf.DUMMYFUNCTION("IF(G997&lt;&gt;"""", GOOGLETRANSLATE(G997, ""en"", ""te""),"""")"),"")</f>
        <v/>
      </c>
      <c r="I997" s="3"/>
    </row>
    <row r="998" customHeight="1" spans="1:9">
      <c r="A998" s="2"/>
      <c r="B998" s="2" t="str">
        <f>IFERROR(__xludf.DUMMYFUNCTION("IF(A998&lt;&gt;"""", GOOGLETRANSLATE(A998, ""en"", ""te""),"""")"),"")</f>
        <v/>
      </c>
      <c r="C998" s="2"/>
      <c r="D998" s="2" t="str">
        <f>IFERROR(__xludf.DUMMYFUNCTION("IF(C998&lt;&gt;"""", GOOGLETRANSLATE(C998, ""en"", ""te""),"""")"),"")</f>
        <v/>
      </c>
      <c r="E998" s="2"/>
      <c r="F998" s="2" t="str">
        <f>IFERROR(__xludf.DUMMYFUNCTION("IF(E998&lt;&gt;"""", GOOGLETRANSLATE(E998, ""en"", ""te""),"""")"),"")</f>
        <v/>
      </c>
      <c r="G998" s="2"/>
      <c r="H998" s="2" t="str">
        <f>IFERROR(__xludf.DUMMYFUNCTION("IF(G998&lt;&gt;"""", GOOGLETRANSLATE(G998, ""en"", ""te""),"""")"),"")</f>
        <v/>
      </c>
      <c r="I998" s="3"/>
    </row>
    <row r="999" customHeight="1" spans="1:9">
      <c r="A999" s="2"/>
      <c r="B999" s="2" t="str">
        <f>IFERROR(__xludf.DUMMYFUNCTION("IF(A999&lt;&gt;"""", GOOGLETRANSLATE(A999, ""en"", ""te""),"""")"),"")</f>
        <v/>
      </c>
      <c r="C999" s="2"/>
      <c r="D999" s="2" t="str">
        <f>IFERROR(__xludf.DUMMYFUNCTION("IF(C999&lt;&gt;"""", GOOGLETRANSLATE(C999, ""en"", ""te""),"""")"),"")</f>
        <v/>
      </c>
      <c r="E999" s="2"/>
      <c r="F999" s="2" t="str">
        <f>IFERROR(__xludf.DUMMYFUNCTION("IF(E999&lt;&gt;"""", GOOGLETRANSLATE(E999, ""en"", ""te""),"""")"),"")</f>
        <v/>
      </c>
      <c r="G999" s="2"/>
      <c r="H999" s="2" t="str">
        <f>IFERROR(__xludf.DUMMYFUNCTION("IF(G999&lt;&gt;"""", GOOGLETRANSLATE(G999, ""en"", ""te""),"""")"),"")</f>
        <v/>
      </c>
      <c r="I999" s="3"/>
    </row>
    <row r="1000" customHeight="1" spans="1:9">
      <c r="A1000" s="2"/>
      <c r="B1000" s="2" t="str">
        <f>IFERROR(__xludf.DUMMYFUNCTION("IF(A1000&lt;&gt;"""", GOOGLETRANSLATE(A1000, ""en"", ""te""),"""")"),"")</f>
        <v/>
      </c>
      <c r="C1000" s="2"/>
      <c r="D1000" s="2" t="str">
        <f>IFERROR(__xludf.DUMMYFUNCTION("IF(C1000&lt;&gt;"""", GOOGLETRANSLATE(C1000, ""en"", ""te""),"""")"),"")</f>
        <v/>
      </c>
      <c r="E1000" s="2"/>
      <c r="F1000" s="2" t="str">
        <f>IFERROR(__xludf.DUMMYFUNCTION("IF(E1000&lt;&gt;"""", GOOGLETRANSLATE(E1000, ""en"", ""te""),"""")"),"")</f>
        <v/>
      </c>
      <c r="G1000" s="2"/>
      <c r="H1000" s="2" t="str">
        <f>IFERROR(__xludf.DUMMYFUNCTION("IF(G1000&lt;&gt;"""", GOOGLETRANSLATE(G1000, ""en"", ""te""),"""")"),"")</f>
        <v/>
      </c>
      <c r="I1000" s="3"/>
    </row>
    <row r="1001" customHeight="1" spans="1:9">
      <c r="A1001" s="2"/>
      <c r="B1001" s="2" t="str">
        <f>IFERROR(__xludf.DUMMYFUNCTION("IF(A1001&lt;&gt;"""", GOOGLETRANSLATE(A1001, ""en"", ""te""),"""")"),"")</f>
        <v/>
      </c>
      <c r="C1001" s="2"/>
      <c r="D1001" s="2" t="str">
        <f>IFERROR(__xludf.DUMMYFUNCTION("IF(C1001&lt;&gt;"""", GOOGLETRANSLATE(C1001, ""en"", ""te""),"""")"),"")</f>
        <v/>
      </c>
      <c r="E1001" s="2"/>
      <c r="F1001" s="2" t="str">
        <f>IFERROR(__xludf.DUMMYFUNCTION("IF(E1001&lt;&gt;"""", GOOGLETRANSLATE(E1001, ""en"", ""te""),"""")"),"")</f>
        <v/>
      </c>
      <c r="G1001" s="2"/>
      <c r="H1001" s="2" t="str">
        <f>IFERROR(__xludf.DUMMYFUNCTION("IF(G1001&lt;&gt;"""", GOOGLETRANSLATE(G1001, ""en"", ""te""),"""")"),"")</f>
        <v/>
      </c>
      <c r="I1001" s="3"/>
    </row>
    <row r="1002" customHeight="1" spans="1:9">
      <c r="A1002" s="2" t="s">
        <v>729</v>
      </c>
      <c r="B1002" s="2" t="str">
        <f>IFERROR(__xludf.DUMMYFUNCTION("IF(A1002&lt;&gt;"""", GOOGLETRANSLATE(A1002, ""en"", ""te""),"""")"),"[ 'ఇన్నింగ్స్ లో 8 వ అత్యధిక పరుగులు (బ్యాటింగ్ స్థానంలో ప్రకారం) (139)', 'ఐదవ వికెట్కు 1st అత్యధిక భాగస్వామ్యం (256 *)', 'ఇన్నింగ్స్ లో 3 వ అత్యధిక పరుగులు (85 *) (బ్యాటింగ్ స్థానం)', 'కెరీర్ లో 1 వ లేవు బాతులు (71)', '1 వ ఇన్నింగ్స్ లో అత్యధిక క్యాచ్లు "&amp;"(4)', 'తొమ్మిదవ వికెట్కు 3 వ అత్యధిక భాగస్వామ్యం (58 *)']")</f>
        <v>[ 'ఇన్నింగ్స్ లో 8 వ అత్యధిక పరుగులు (బ్యాటింగ్ స్థానంలో ప్రకారం) (139)', 'ఐదవ వికెట్కు 1st అత్యధిక భాగస్వామ్యం (256 *)', 'ఇన్నింగ్స్ లో 3 వ అత్యధిక పరుగులు (85 *) (బ్యాటింగ్ స్థానం)', 'కెరీర్ లో 1 వ లేవు బాతులు (71)', '1 వ ఇన్నింగ్స్ లో అత్యధిక క్యాచ్లు (4)', 'తొమ్మిదవ వికెట్కు 3 వ అత్యధిక భాగస్వామ్యం (58 *)']</v>
      </c>
      <c r="C1002" s="2"/>
      <c r="D1002" s="2" t="str">
        <f>IFERROR(__xludf.DUMMYFUNCTION("IF(C1002&lt;&gt;"""", GOOGLETRANSLATE(C1002, ""en"", ""te""),"""")"),"")</f>
        <v/>
      </c>
      <c r="E1002" s="2" t="s">
        <v>730</v>
      </c>
      <c r="F1002" s="2" t="str">
        <f>IFERROR(__xludf.DUMMYFUNCTION("IF(E1002&lt;&gt;"""", GOOGLETRANSLATE(E1002, ""en"", ""te""),"""")"),"[ '8 వ ఎక్కువ (బ్యాటింగ్ స్థానంలో ద్వారా) ఒక ఇన్నింగ్స్ లో నడుస్తుంది (139)', '30 వ అత్యధిక కెరీర్ సమ్మె రేటు (101.12)', 'ఇన్నింగ్స్ లో 39 వ అత్యధిక స్ట్రైక్ రేట్ (272.22)', '44 వ కెరీర్ లో వచ్చిన ఎక్కువ సిక్స్ (91 ) ',' 31 ఇన్నింగ్స్ లో వచ్చిన ఎక్కువ సి"&amp;"క్స్ (9) ',' ఏ వికెట్కు 20 వ అత్యధిక భాగస్వామ్యాల (256 *) ',' వికెట్ తేడాతో 5 వ అత్యధిక భాగస్వామ్యాల (5 వ) ',' ఐదవ వికెట్కు 1st అత్యధిక భాగస్వామ్యం (256 * ) ',' ఏడవ వికెట్ (107 *) 28 అత్యధిక భాగస్వామ్యం ',' తొమ్మిదవ వికెట్ (95 11 అత్యధిక భాగస్వామ్యం) ']")</f>
        <v>[ '8 వ ఎక్కువ (బ్యాటింగ్ స్థానంలో ద్వారా) ఒక ఇన్నింగ్స్ లో నడుస్తుంది (139)', '30 వ అత్యధిక కెరీర్ సమ్మె రేటు (101.12)', 'ఇన్నింగ్స్ లో 39 వ అత్యధిక స్ట్రైక్ రేట్ (272.22)', '44 వ కెరీర్ లో వచ్చిన ఎక్కువ సిక్స్ (91 ) ',' 31 ఇన్నింగ్స్ లో వచ్చిన ఎక్కువ సిక్స్ (9) ',' ఏ వికెట్కు 20 వ అత్యధిక భాగస్వామ్యాల (256 *) ',' వికెట్ తేడాతో 5 వ అత్యధిక భాగస్వామ్యాల (5 వ) ',' ఐదవ వికెట్కు 1st అత్యధిక భాగస్వామ్యం (256 * ) ',' ఏడవ వికెట్ (107 *) 28 అత్యధిక భాగస్వామ్యం ',' తొమ్మిదవ వికెట్ (95 11 అత్యధిక భాగస్వామ్యం) ']</v>
      </c>
      <c r="G1002" s="2" t="s">
        <v>731</v>
      </c>
      <c r="H1002" s="2" t="str">
        <f>IFERROR(__xludf.DUMMYFUNCTION("IF(G1002&lt;&gt;"""", GOOGLETRANSLATE(G1002, ""en"", ""te""),"""")"),"[ '34 వ కెరీర్ లో అత్యధిక పరుగులు (1525)', '47 వ ఇన్నింగ్స్ లో అత్యధిక పరుగులు (101 *)', '3 వ భాగం (బ్యాటింగ్ స్థానంలో ద్వారా) ఒక ఇన్నింగ్స్ లో నడుస్తుంది (85 *)', '29th ఒక మ్యాచ్లో అత్యధిక పరుగులు పరాజయం వైపు (85 *) న ',' 40 వ అత్యధిక కెరీర్ బ్యాటింగ్ స"&amp;"గటు (31.12) ',' 40 వ అత్యధిక కెరీర్ సమ్మె రేటు (139.65) ',' ఇన్నింగ్స్ లో 41 వ అత్యధిక స్ట్రైక్ రేట్ (280.55) ',' 1st లేవు బాతులు కెరీర్ (71) ',' 2 వ వరుస ఇన్నింగ్స్లో డకౌట్ లేకుండా (71 *) ',' 24 వ కెరీర్ లో వచ్చిన ఎక్కువ సిక్స్ (69) ',' 17 వ ఇన్నింగ్స్ "&amp;"లో వచ్చిన ఎక్కువ సిక్స్ (9) ',' 22 వ ఫోర్లు నుండి చాలా పరుగులు మరియు ఒక ఇన్నింగ్స్ లో సిక్సర్లు (82) ',' 1st కెరీర్లో అత్యధిక క్యాచ్లు (61) ',' 1 వ ఇన్నింగ్స్ లో (4) ',' ఐదవ వికెట్కు 48 వ అత్యధిక భాగస్వామ్యం (67 *) ', '21 వ అత్యధిక భాగస్వామ్యం అత్యధిక క్య"&amp;"ాచ్లు ఎనిమిదవ వికెట్కు (41) ',' తొమ్మిదవ వికెట్ (58 *) 3 వ అత్యధిక భాగస్వామ్యం ',' 17 వ కెరీర్ లో అత్యధిక మ్యాచ్లు (81) ',' 19 వ అత్యంత ప్లేయర్ ఆఫ్ ది మ్యాచ్ అవార్డులు (6) ']")</f>
        <v>[ '34 వ కెరీర్ లో అత్యధిక పరుగులు (1525)', '47 వ ఇన్నింగ్స్ లో అత్యధిక పరుగులు (101 *)', '3 వ భాగం (బ్యాటింగ్ స్థానంలో ద్వారా) ఒక ఇన్నింగ్స్ లో నడుస్తుంది (85 *)', '29th ఒక మ్యాచ్లో అత్యధిక పరుగులు పరాజయం వైపు (85 *) న ',' 40 వ అత్యధిక కెరీర్ బ్యాటింగ్ సగటు (31.12) ',' 40 వ అత్యధిక కెరీర్ సమ్మె రేటు (139.65) ',' ఇన్నింగ్స్ లో 41 వ అత్యధిక స్ట్రైక్ రేట్ (280.55) ',' 1st లేవు బాతులు కెరీర్ (71) ',' 2 వ వరుస ఇన్నింగ్స్లో డకౌట్ లేకుండా (71 *) ',' 24 వ కెరీర్ లో వచ్చిన ఎక్కువ సిక్స్ (69) ',' 17 వ ఇన్నింగ్స్ లో వచ్చిన ఎక్కువ సిక్స్ (9) ',' 22 వ ఫోర్లు నుండి చాలా పరుగులు మరియు ఒక ఇన్నింగ్స్ లో సిక్సర్లు (82) ',' 1st కెరీర్లో అత్యధిక క్యాచ్లు (61) ',' 1 వ ఇన్నింగ్స్ లో (4) ',' ఐదవ వికెట్కు 48 వ అత్యధిక భాగస్వామ్యం (67 *) ', '21 వ అత్యధిక భాగస్వామ్యం అత్యధిక క్యాచ్లు ఎనిమిదవ వికెట్కు (41) ',' తొమ్మిదవ వికెట్ (58 *) 3 వ అత్యధిక భాగస్వామ్యం ',' 17 వ కెరీర్ లో అత్యధిక మ్యాచ్లు (81) ',' 19 వ అత్యంత ప్లేయర్ ఆఫ్ ది మ్యాచ్ అవార్డులు (6) ']</v>
      </c>
      <c r="I1002" s="3"/>
    </row>
    <row r="1003" customHeight="1" spans="1:9">
      <c r="A1003" s="2" t="s">
        <v>732</v>
      </c>
      <c r="B1003" s="2" t="str">
        <f>IFERROR(__xludf.DUMMYFUNCTION("IF(A1003&lt;&gt;"""", GOOGLETRANSLATE(A1003, ""en"", ""te""),"""")"),"[ 'వరుస ఇన్నింగ్స్లో 3 వ యాభైల్లో (3)' 'బ్యాటింగ్ తెరవడం మరియు అదే మ్యాచ్ లో బౌలింగ్',]")</f>
        <v>[ 'వరుస ఇన్నింగ్స్లో 3 వ యాభైల్లో (3)' 'బ్యాటింగ్ తెరవడం మరియు అదే మ్యాచ్ లో బౌలింగ్',]</v>
      </c>
      <c r="C1003" s="2" t="s">
        <v>733</v>
      </c>
      <c r="D1003" s="2" t="str">
        <f>IFERROR(__xludf.DUMMYFUNCTION("IF(C1003&lt;&gt;"""", GOOGLETRANSLATE(C1003, ""en"", ""te""),"""")"),"[ '42 వ హండ్రెడ్ గత మ్యాచ్లో (108)', '30 వ తొంభై తొలి (97)', 'ఫాస్టెస్ట్ 1000 పరుగులు 13 (18)']")</f>
        <v>[ '42 వ హండ్రెడ్ గత మ్యాచ్లో (108)', '30 వ తొంభై తొలి (97)', 'ఫాస్టెస్ట్ 1000 పరుగులు 13 (18)']</v>
      </c>
      <c r="E1003" s="2" t="s">
        <v>734</v>
      </c>
      <c r="F1003" s="2" t="str">
        <f>IFERROR(__xludf.DUMMYFUNCTION("IF(E1003&lt;&gt;"""", GOOGLETRANSLATE(E1003, ""en"", ""te""),"""")"),"[ '12 వ పిన్న కాప్టెన్ (23y 123d)']")</f>
        <v>[ '12 వ పిన్న కాప్టెన్ (23y 123d)']</v>
      </c>
      <c r="G1003" s="2" t="s">
        <v>735</v>
      </c>
      <c r="H1003" s="2" t="str">
        <f>IFERROR(__xludf.DUMMYFUNCTION("IF(G1003&lt;&gt;"""", GOOGLETRANSLATE(G1003, ""en"", ""te""),"""")"),"[ 'వరుస ఇన్నింగ్స్లో 3 వ యాభైల్లో (3)']")</f>
        <v>[ 'వరుస ఇన్నింగ్స్లో 3 వ యాభైల్లో (3)']</v>
      </c>
      <c r="I1003" s="3"/>
    </row>
    <row r="1004" customHeight="1" spans="1:9">
      <c r="A1004" s="2"/>
      <c r="B1004" s="2" t="str">
        <f>IFERROR(__xludf.DUMMYFUNCTION("IF(A1004&lt;&gt;"""", GOOGLETRANSLATE(A1004, ""en"", ""te""),"""")"),"")</f>
        <v/>
      </c>
      <c r="C1004" s="2"/>
      <c r="D1004" s="2" t="str">
        <f>IFERROR(__xludf.DUMMYFUNCTION("IF(C1004&lt;&gt;"""", GOOGLETRANSLATE(C1004, ""en"", ""te""),"""")"),"")</f>
        <v/>
      </c>
      <c r="E1004" s="2"/>
      <c r="F1004" s="2" t="str">
        <f>IFERROR(__xludf.DUMMYFUNCTION("IF(E1004&lt;&gt;"""", GOOGLETRANSLATE(E1004, ""en"", ""te""),"""")"),"")</f>
        <v/>
      </c>
      <c r="G1004" s="2"/>
      <c r="H1004" s="2" t="str">
        <f>IFERROR(__xludf.DUMMYFUNCTION("IF(G1004&lt;&gt;"""", GOOGLETRANSLATE(G1004, ""en"", ""te""),"""")"),"")</f>
        <v/>
      </c>
      <c r="I1004" s="3"/>
    </row>
    <row r="1005" customHeight="1" spans="1:9">
      <c r="A1005" s="2"/>
      <c r="B1005" s="2" t="str">
        <f>IFERROR(__xludf.DUMMYFUNCTION("IF(A1005&lt;&gt;"""", GOOGLETRANSLATE(A1005, ""en"", ""te""),"""")"),"")</f>
        <v/>
      </c>
      <c r="C1005" s="2"/>
      <c r="D1005" s="2" t="str">
        <f>IFERROR(__xludf.DUMMYFUNCTION("IF(C1005&lt;&gt;"""", GOOGLETRANSLATE(C1005, ""en"", ""te""),"""")"),"")</f>
        <v/>
      </c>
      <c r="E1005" s="2"/>
      <c r="F1005" s="2" t="str">
        <f>IFERROR(__xludf.DUMMYFUNCTION("IF(E1005&lt;&gt;"""", GOOGLETRANSLATE(E1005, ""en"", ""te""),"""")"),"")</f>
        <v/>
      </c>
      <c r="G1005" s="2"/>
      <c r="H1005" s="2" t="str">
        <f>IFERROR(__xludf.DUMMYFUNCTION("IF(G1005&lt;&gt;"""", GOOGLETRANSLATE(G1005, ""en"", ""te""),"""")"),"")</f>
        <v/>
      </c>
      <c r="I1005" s="3"/>
    </row>
    <row r="1006" customHeight="1" spans="1:9">
      <c r="A1006" s="2"/>
      <c r="B1006" s="2" t="str">
        <f>IFERROR(__xludf.DUMMYFUNCTION("IF(A1006&lt;&gt;"""", GOOGLETRANSLATE(A1006, ""en"", ""te""),"""")"),"")</f>
        <v/>
      </c>
      <c r="C1006" s="2"/>
      <c r="D1006" s="2" t="str">
        <f>IFERROR(__xludf.DUMMYFUNCTION("IF(C1006&lt;&gt;"""", GOOGLETRANSLATE(C1006, ""en"", ""te""),"""")"),"")</f>
        <v/>
      </c>
      <c r="E1006" s="2"/>
      <c r="F1006" s="2" t="str">
        <f>IFERROR(__xludf.DUMMYFUNCTION("IF(E1006&lt;&gt;"""", GOOGLETRANSLATE(E1006, ""en"", ""te""),"""")"),"")</f>
        <v/>
      </c>
      <c r="G1006" s="2"/>
      <c r="H1006" s="2" t="str">
        <f>IFERROR(__xludf.DUMMYFUNCTION("IF(G1006&lt;&gt;"""", GOOGLETRANSLATE(G1006, ""en"", ""te""),"""")"),"")</f>
        <v/>
      </c>
      <c r="I1006" s="3"/>
    </row>
    <row r="1007" customHeight="1" spans="1:9">
      <c r="A1007" s="2"/>
      <c r="B1007" s="2" t="str">
        <f>IFERROR(__xludf.DUMMYFUNCTION("IF(A1007&lt;&gt;"""", GOOGLETRANSLATE(A1007, ""en"", ""te""),"""")"),"")</f>
        <v/>
      </c>
      <c r="C1007" s="2"/>
      <c r="D1007" s="2" t="str">
        <f>IFERROR(__xludf.DUMMYFUNCTION("IF(C1007&lt;&gt;"""", GOOGLETRANSLATE(C1007, ""en"", ""te""),"""")"),"")</f>
        <v/>
      </c>
      <c r="E1007" s="2"/>
      <c r="F1007" s="2" t="str">
        <f>IFERROR(__xludf.DUMMYFUNCTION("IF(E1007&lt;&gt;"""", GOOGLETRANSLATE(E1007, ""en"", ""te""),"""")"),"")</f>
        <v/>
      </c>
      <c r="G1007" s="2"/>
      <c r="H1007" s="2" t="str">
        <f>IFERROR(__xludf.DUMMYFUNCTION("IF(G1007&lt;&gt;"""", GOOGLETRANSLATE(G1007, ""en"", ""te""),"""")"),"")</f>
        <v/>
      </c>
      <c r="I1007" s="3"/>
    </row>
    <row r="1008" customHeight="1" spans="1:9">
      <c r="A1008" s="2"/>
      <c r="B1008" s="2" t="str">
        <f>IFERROR(__xludf.DUMMYFUNCTION("IF(A1008&lt;&gt;"""", GOOGLETRANSLATE(A1008, ""en"", ""te""),"""")"),"")</f>
        <v/>
      </c>
      <c r="C1008" s="2"/>
      <c r="D1008" s="2" t="str">
        <f>IFERROR(__xludf.DUMMYFUNCTION("IF(C1008&lt;&gt;"""", GOOGLETRANSLATE(C1008, ""en"", ""te""),"""")"),"")</f>
        <v/>
      </c>
      <c r="E1008" s="2"/>
      <c r="F1008" s="2" t="str">
        <f>IFERROR(__xludf.DUMMYFUNCTION("IF(E1008&lt;&gt;"""", GOOGLETRANSLATE(E1008, ""en"", ""te""),"""")"),"")</f>
        <v/>
      </c>
      <c r="G1008" s="2"/>
      <c r="H1008" s="2" t="str">
        <f>IFERROR(__xludf.DUMMYFUNCTION("IF(G1008&lt;&gt;"""", GOOGLETRANSLATE(G1008, ""en"", ""te""),"""")"),"")</f>
        <v/>
      </c>
      <c r="I1008" s="3"/>
    </row>
    <row r="1009" customHeight="1" spans="1:9">
      <c r="A1009" s="2"/>
      <c r="B1009" s="2" t="str">
        <f>IFERROR(__xludf.DUMMYFUNCTION("IF(A1009&lt;&gt;"""", GOOGLETRANSLATE(A1009, ""en"", ""te""),"""")"),"")</f>
        <v/>
      </c>
      <c r="C1009" s="2"/>
      <c r="D1009" s="2" t="str">
        <f>IFERROR(__xludf.DUMMYFUNCTION("IF(C1009&lt;&gt;"""", GOOGLETRANSLATE(C1009, ""en"", ""te""),"""")"),"")</f>
        <v/>
      </c>
      <c r="E1009" s="2"/>
      <c r="F1009" s="2" t="str">
        <f>IFERROR(__xludf.DUMMYFUNCTION("IF(E1009&lt;&gt;"""", GOOGLETRANSLATE(E1009, ""en"", ""te""),"""")"),"")</f>
        <v/>
      </c>
      <c r="G1009" s="2"/>
      <c r="H1009" s="2" t="str">
        <f>IFERROR(__xludf.DUMMYFUNCTION("IF(G1009&lt;&gt;"""", GOOGLETRANSLATE(G1009, ""en"", ""te""),"""")"),"")</f>
        <v/>
      </c>
      <c r="I1009" s="3"/>
    </row>
    <row r="1010" customHeight="1" spans="1:9">
      <c r="A1010" s="2"/>
      <c r="B1010" s="2" t="str">
        <f>IFERROR(__xludf.DUMMYFUNCTION("IF(A1010&lt;&gt;"""", GOOGLETRANSLATE(A1010, ""en"", ""te""),"""")"),"")</f>
        <v/>
      </c>
      <c r="C1010" s="2"/>
      <c r="D1010" s="2" t="str">
        <f>IFERROR(__xludf.DUMMYFUNCTION("IF(C1010&lt;&gt;"""", GOOGLETRANSLATE(C1010, ""en"", ""te""),"""")"),"")</f>
        <v/>
      </c>
      <c r="E1010" s="2"/>
      <c r="F1010" s="2" t="str">
        <f>IFERROR(__xludf.DUMMYFUNCTION("IF(E1010&lt;&gt;"""", GOOGLETRANSLATE(E1010, ""en"", ""te""),"""")"),"")</f>
        <v/>
      </c>
      <c r="G1010" s="2"/>
      <c r="H1010" s="2" t="str">
        <f>IFERROR(__xludf.DUMMYFUNCTION("IF(G1010&lt;&gt;"""", GOOGLETRANSLATE(G1010, ""en"", ""te""),"""")"),"")</f>
        <v/>
      </c>
      <c r="I1010" s="3"/>
    </row>
    <row r="1011" customHeight="1" spans="1:9">
      <c r="A1011" s="2" t="s">
        <v>736</v>
      </c>
      <c r="B1011" s="2" t="str">
        <f>IFERROR(__xludf.DUMMYFUNCTION("IF(A1011&lt;&gt;"""", GOOGLETRANSLATE(A1011, ""en"", ""te""),"""")"),"[ '1st 99 (199, 299 etc) (99) అవుటయ్యాడు', 'ఒక మ్యాచ్లో ప్రతి ఇన్నింగ్స్లో హండ్రెడ్' 'ఒక మ్యాచ్లో 8 వ అత్యధిక క్యాచ్లు (6)']")</f>
        <v>[ '1st 99 (199, 299 etc) (99) అవుటయ్యాడు', 'ఒక మ్యాచ్లో ప్రతి ఇన్నింగ్స్లో హండ్రెడ్' 'ఒక మ్యాచ్లో 8 వ అత్యధిక క్యాచ్లు (6)']</v>
      </c>
      <c r="C1011" s="2" t="s">
        <v>737</v>
      </c>
      <c r="D1011" s="2" t="str">
        <f>IFERROR(__xludf.DUMMYFUNCTION("IF(C1011&lt;&gt;"""", GOOGLETRANSLATE(C1011, ""en"", ""te""),"""")"),"[ '43 వ మ్యాచ్ లో అత్యధిక పరుగులు (309)', '33 వ ఒక జట్టు వ్యతిరేకంగా అత్యధిక వందలు (7)', '1 వ 99 (199, 299 etc) తీసివేసిన (99)', 'కెరీర్లో 35 వ అతి తక్కువ బాతులు (26.66 ) ',' ఒక మ్యాచ్లో బౌలింగ్ సరాసరి (51.11) ',' 8 వ అత్యధిక క్యాచ్లు 38 వ చెత్త కెరీర్ (6"&amp;") ',' 10th ఒక సిరీస్లో అత్యధిక క్యాచ్లు (12) ',' తొలి వికెట్కు (260 కోసం 29 అత్యధిక భాగస్వామ్యం) ' '19 లాంగెస్ట్ కెరీర్లు (19y 267d)']")</f>
        <v>[ '43 వ మ్యాచ్ లో అత్యధిక పరుగులు (309)', '33 వ ఒక జట్టు వ్యతిరేకంగా అత్యధిక వందలు (7)', '1 వ 99 (199, 299 etc) తీసివేసిన (99)', 'కెరీర్లో 35 వ అతి తక్కువ బాతులు (26.66 ) ',' ఒక మ్యాచ్లో బౌలింగ్ సరాసరి (51.11) ',' 8 వ అత్యధిక క్యాచ్లు 38 వ చెత్త కెరీర్ (6) ',' 10th ఒక సిరీస్లో అత్యధిక క్యాచ్లు (12) ',' తొలి వికెట్కు (260 కోసం 29 అత్యధిక భాగస్వామ్యం) ' '19 లాంగెస్ట్ కెరీర్లు (19y 267d)']</v>
      </c>
      <c r="E1011" s="2"/>
      <c r="F1011" s="2" t="str">
        <f>IFERROR(__xludf.DUMMYFUNCTION("IF(E1011&lt;&gt;"""", GOOGLETRANSLATE(E1011, ""en"", ""te""),"""")"),"")</f>
        <v/>
      </c>
      <c r="G1011" s="2"/>
      <c r="H1011" s="2" t="str">
        <f>IFERROR(__xludf.DUMMYFUNCTION("IF(G1011&lt;&gt;"""", GOOGLETRANSLATE(G1011, ""en"", ""te""),"""")"),"")</f>
        <v/>
      </c>
      <c r="I1011" s="3"/>
    </row>
    <row r="1012" customHeight="1" spans="1:9">
      <c r="A1012" s="2"/>
      <c r="B1012" s="2" t="str">
        <f>IFERROR(__xludf.DUMMYFUNCTION("IF(A1012&lt;&gt;"""", GOOGLETRANSLATE(A1012, ""en"", ""te""),"""")"),"")</f>
        <v/>
      </c>
      <c r="C1012" s="2"/>
      <c r="D1012" s="2" t="str">
        <f>IFERROR(__xludf.DUMMYFUNCTION("IF(C1012&lt;&gt;"""", GOOGLETRANSLATE(C1012, ""en"", ""te""),"""")"),"")</f>
        <v/>
      </c>
      <c r="E1012" s="2"/>
      <c r="F1012" s="2" t="str">
        <f>IFERROR(__xludf.DUMMYFUNCTION("IF(E1012&lt;&gt;"""", GOOGLETRANSLATE(E1012, ""en"", ""te""),"""")"),"")</f>
        <v/>
      </c>
      <c r="G1012" s="2"/>
      <c r="H1012" s="2" t="str">
        <f>IFERROR(__xludf.DUMMYFUNCTION("IF(G1012&lt;&gt;"""", GOOGLETRANSLATE(G1012, ""en"", ""te""),"""")"),"")</f>
        <v/>
      </c>
      <c r="I1012" s="3"/>
    </row>
    <row r="1013" customHeight="1" spans="1:9">
      <c r="A1013" s="2"/>
      <c r="B1013" s="2" t="str">
        <f>IFERROR(__xludf.DUMMYFUNCTION("IF(A1013&lt;&gt;"""", GOOGLETRANSLATE(A1013, ""en"", ""te""),"""")"),"")</f>
        <v/>
      </c>
      <c r="C1013" s="2"/>
      <c r="D1013" s="2" t="str">
        <f>IFERROR(__xludf.DUMMYFUNCTION("IF(C1013&lt;&gt;"""", GOOGLETRANSLATE(C1013, ""en"", ""te""),"""")"),"")</f>
        <v/>
      </c>
      <c r="E1013" s="2"/>
      <c r="F1013" s="2" t="str">
        <f>IFERROR(__xludf.DUMMYFUNCTION("IF(E1013&lt;&gt;"""", GOOGLETRANSLATE(E1013, ""en"", ""te""),"""")"),"")</f>
        <v/>
      </c>
      <c r="G1013" s="2"/>
      <c r="H1013" s="2" t="str">
        <f>IFERROR(__xludf.DUMMYFUNCTION("IF(G1013&lt;&gt;"""", GOOGLETRANSLATE(G1013, ""en"", ""te""),"""")"),"")</f>
        <v/>
      </c>
      <c r="I1013" s="3"/>
    </row>
    <row r="1014" customHeight="1" spans="1:9">
      <c r="A1014" s="2"/>
      <c r="B1014" s="2" t="str">
        <f>IFERROR(__xludf.DUMMYFUNCTION("IF(A1014&lt;&gt;"""", GOOGLETRANSLATE(A1014, ""en"", ""te""),"""")"),"")</f>
        <v/>
      </c>
      <c r="C1014" s="2"/>
      <c r="D1014" s="2" t="str">
        <f>IFERROR(__xludf.DUMMYFUNCTION("IF(C1014&lt;&gt;"""", GOOGLETRANSLATE(C1014, ""en"", ""te""),"""")"),"")</f>
        <v/>
      </c>
      <c r="E1014" s="2"/>
      <c r="F1014" s="2" t="str">
        <f>IFERROR(__xludf.DUMMYFUNCTION("IF(E1014&lt;&gt;"""", GOOGLETRANSLATE(E1014, ""en"", ""te""),"""")"),"")</f>
        <v/>
      </c>
      <c r="G1014" s="2"/>
      <c r="H1014" s="2" t="str">
        <f>IFERROR(__xludf.DUMMYFUNCTION("IF(G1014&lt;&gt;"""", GOOGLETRANSLATE(G1014, ""en"", ""te""),"""")"),"")</f>
        <v/>
      </c>
      <c r="I1014" s="3"/>
    </row>
    <row r="1015" customHeight="1" spans="1:9">
      <c r="A1015" s="2"/>
      <c r="B1015" s="2" t="str">
        <f>IFERROR(__xludf.DUMMYFUNCTION("IF(A1015&lt;&gt;"""", GOOGLETRANSLATE(A1015, ""en"", ""te""),"""")"),"")</f>
        <v/>
      </c>
      <c r="C1015" s="2"/>
      <c r="D1015" s="2" t="str">
        <f>IFERROR(__xludf.DUMMYFUNCTION("IF(C1015&lt;&gt;"""", GOOGLETRANSLATE(C1015, ""en"", ""te""),"""")"),"")</f>
        <v/>
      </c>
      <c r="E1015" s="2"/>
      <c r="F1015" s="2" t="str">
        <f>IFERROR(__xludf.DUMMYFUNCTION("IF(E1015&lt;&gt;"""", GOOGLETRANSLATE(E1015, ""en"", ""te""),"""")"),"")</f>
        <v/>
      </c>
      <c r="G1015" s="2"/>
      <c r="H1015" s="2" t="str">
        <f>IFERROR(__xludf.DUMMYFUNCTION("IF(G1015&lt;&gt;"""", GOOGLETRANSLATE(G1015, ""en"", ""te""),"""")"),"")</f>
        <v/>
      </c>
      <c r="I1015" s="3"/>
    </row>
    <row r="1016" customHeight="1" spans="1:9">
      <c r="A1016" s="2"/>
      <c r="B1016" s="2" t="str">
        <f>IFERROR(__xludf.DUMMYFUNCTION("IF(A1016&lt;&gt;"""", GOOGLETRANSLATE(A1016, ""en"", ""te""),"""")"),"")</f>
        <v/>
      </c>
      <c r="C1016" s="2"/>
      <c r="D1016" s="2" t="str">
        <f>IFERROR(__xludf.DUMMYFUNCTION("IF(C1016&lt;&gt;"""", GOOGLETRANSLATE(C1016, ""en"", ""te""),"""")"),"")</f>
        <v/>
      </c>
      <c r="E1016" s="2"/>
      <c r="F1016" s="2" t="str">
        <f>IFERROR(__xludf.DUMMYFUNCTION("IF(E1016&lt;&gt;"""", GOOGLETRANSLATE(E1016, ""en"", ""te""),"""")"),"")</f>
        <v/>
      </c>
      <c r="G1016" s="2"/>
      <c r="H1016" s="2" t="str">
        <f>IFERROR(__xludf.DUMMYFUNCTION("IF(G1016&lt;&gt;"""", GOOGLETRANSLATE(G1016, ""en"", ""te""),"""")"),"")</f>
        <v/>
      </c>
      <c r="I1016" s="3"/>
    </row>
    <row r="1017" customHeight="1" spans="1:9">
      <c r="A1017" s="2"/>
      <c r="B1017" s="2" t="str">
        <f>IFERROR(__xludf.DUMMYFUNCTION("IF(A1017&lt;&gt;"""", GOOGLETRANSLATE(A1017, ""en"", ""te""),"""")"),"")</f>
        <v/>
      </c>
      <c r="C1017" s="2"/>
      <c r="D1017" s="2" t="str">
        <f>IFERROR(__xludf.DUMMYFUNCTION("IF(C1017&lt;&gt;"""", GOOGLETRANSLATE(C1017, ""en"", ""te""),"""")"),"")</f>
        <v/>
      </c>
      <c r="E1017" s="2"/>
      <c r="F1017" s="2" t="str">
        <f>IFERROR(__xludf.DUMMYFUNCTION("IF(E1017&lt;&gt;"""", GOOGLETRANSLATE(E1017, ""en"", ""te""),"""")"),"")</f>
        <v/>
      </c>
      <c r="G1017" s="2"/>
      <c r="H1017" s="2" t="str">
        <f>IFERROR(__xludf.DUMMYFUNCTION("IF(G1017&lt;&gt;"""", GOOGLETRANSLATE(G1017, ""en"", ""te""),"""")"),"")</f>
        <v/>
      </c>
      <c r="I1017" s="3"/>
    </row>
    <row r="1018" customHeight="1" spans="1:9">
      <c r="A1018" s="2"/>
      <c r="B1018" s="2" t="str">
        <f>IFERROR(__xludf.DUMMYFUNCTION("IF(A1018&lt;&gt;"""", GOOGLETRANSLATE(A1018, ""en"", ""te""),"""")"),"")</f>
        <v/>
      </c>
      <c r="C1018" s="2"/>
      <c r="D1018" s="2" t="str">
        <f>IFERROR(__xludf.DUMMYFUNCTION("IF(C1018&lt;&gt;"""", GOOGLETRANSLATE(C1018, ""en"", ""te""),"""")"),"")</f>
        <v/>
      </c>
      <c r="E1018" s="2"/>
      <c r="F1018" s="2" t="str">
        <f>IFERROR(__xludf.DUMMYFUNCTION("IF(E1018&lt;&gt;"""", GOOGLETRANSLATE(E1018, ""en"", ""te""),"""")"),"")</f>
        <v/>
      </c>
      <c r="G1018" s="2"/>
      <c r="H1018" s="2" t="str">
        <f>IFERROR(__xludf.DUMMYFUNCTION("IF(G1018&lt;&gt;"""", GOOGLETRANSLATE(G1018, ""en"", ""te""),"""")"),"")</f>
        <v/>
      </c>
      <c r="I1018" s="3"/>
    </row>
    <row r="1019" customHeight="1" spans="1:9">
      <c r="A1019" s="2"/>
      <c r="B1019" s="2" t="str">
        <f>IFERROR(__xludf.DUMMYFUNCTION("IF(A1019&lt;&gt;"""", GOOGLETRANSLATE(A1019, ""en"", ""te""),"""")"),"")</f>
        <v/>
      </c>
      <c r="C1019" s="2"/>
      <c r="D1019" s="2" t="str">
        <f>IFERROR(__xludf.DUMMYFUNCTION("IF(C1019&lt;&gt;"""", GOOGLETRANSLATE(C1019, ""en"", ""te""),"""")"),"")</f>
        <v/>
      </c>
      <c r="E1019" s="2"/>
      <c r="F1019" s="2" t="str">
        <f>IFERROR(__xludf.DUMMYFUNCTION("IF(E1019&lt;&gt;"""", GOOGLETRANSLATE(E1019, ""en"", ""te""),"""")"),"")</f>
        <v/>
      </c>
      <c r="G1019" s="2"/>
      <c r="H1019" s="2" t="str">
        <f>IFERROR(__xludf.DUMMYFUNCTION("IF(G1019&lt;&gt;"""", GOOGLETRANSLATE(G1019, ""en"", ""te""),"""")"),"")</f>
        <v/>
      </c>
      <c r="I1019" s="3"/>
    </row>
    <row r="1020" customHeight="1" spans="1:9">
      <c r="A1020" s="2"/>
      <c r="B1020" s="2" t="str">
        <f>IFERROR(__xludf.DUMMYFUNCTION("IF(A1020&lt;&gt;"""", GOOGLETRANSLATE(A1020, ""en"", ""te""),"""")"),"")</f>
        <v/>
      </c>
      <c r="C1020" s="2"/>
      <c r="D1020" s="2" t="str">
        <f>IFERROR(__xludf.DUMMYFUNCTION("IF(C1020&lt;&gt;"""", GOOGLETRANSLATE(C1020, ""en"", ""te""),"""")"),"")</f>
        <v/>
      </c>
      <c r="E1020" s="2"/>
      <c r="F1020" s="2" t="str">
        <f>IFERROR(__xludf.DUMMYFUNCTION("IF(E1020&lt;&gt;"""", GOOGLETRANSLATE(E1020, ""en"", ""te""),"""")"),"")</f>
        <v/>
      </c>
      <c r="G1020" s="2"/>
      <c r="H1020" s="2" t="str">
        <f>IFERROR(__xludf.DUMMYFUNCTION("IF(G1020&lt;&gt;"""", GOOGLETRANSLATE(G1020, ""en"", ""te""),"""")"),"")</f>
        <v/>
      </c>
      <c r="I1020" s="3"/>
    </row>
    <row r="1021" customHeight="1" spans="1:9">
      <c r="A1021" s="2"/>
      <c r="B1021" s="2" t="str">
        <f>IFERROR(__xludf.DUMMYFUNCTION("IF(A1021&lt;&gt;"""", GOOGLETRANSLATE(A1021, ""en"", ""te""),"""")"),"")</f>
        <v/>
      </c>
      <c r="C1021" s="2"/>
      <c r="D1021" s="2" t="str">
        <f>IFERROR(__xludf.DUMMYFUNCTION("IF(C1021&lt;&gt;"""", GOOGLETRANSLATE(C1021, ""en"", ""te""),"""")"),"")</f>
        <v/>
      </c>
      <c r="E1021" s="2"/>
      <c r="F1021" s="2" t="str">
        <f>IFERROR(__xludf.DUMMYFUNCTION("IF(E1021&lt;&gt;"""", GOOGLETRANSLATE(E1021, ""en"", ""te""),"""")"),"")</f>
        <v/>
      </c>
      <c r="G1021" s="2"/>
      <c r="H1021" s="2" t="str">
        <f>IFERROR(__xludf.DUMMYFUNCTION("IF(G1021&lt;&gt;"""", GOOGLETRANSLATE(G1021, ""en"", ""te""),"""")"),"")</f>
        <v/>
      </c>
      <c r="I1021" s="3"/>
    </row>
    <row r="1022" customHeight="1" spans="1:9">
      <c r="A1022" s="2"/>
      <c r="B1022" s="2" t="str">
        <f>IFERROR(__xludf.DUMMYFUNCTION("IF(A1022&lt;&gt;"""", GOOGLETRANSLATE(A1022, ""en"", ""te""),"""")"),"")</f>
        <v/>
      </c>
      <c r="C1022" s="2"/>
      <c r="D1022" s="2" t="str">
        <f>IFERROR(__xludf.DUMMYFUNCTION("IF(C1022&lt;&gt;"""", GOOGLETRANSLATE(C1022, ""en"", ""te""),"""")"),"")</f>
        <v/>
      </c>
      <c r="E1022" s="2"/>
      <c r="F1022" s="2" t="str">
        <f>IFERROR(__xludf.DUMMYFUNCTION("IF(E1022&lt;&gt;"""", GOOGLETRANSLATE(E1022, ""en"", ""te""),"""")"),"")</f>
        <v/>
      </c>
      <c r="G1022" s="2"/>
      <c r="H1022" s="2" t="str">
        <f>IFERROR(__xludf.DUMMYFUNCTION("IF(G1022&lt;&gt;"""", GOOGLETRANSLATE(G1022, ""en"", ""te""),"""")"),"")</f>
        <v/>
      </c>
      <c r="I1022" s="3"/>
    </row>
    <row r="1023" customHeight="1" spans="1:9">
      <c r="A1023" s="2"/>
      <c r="B1023" s="2" t="str">
        <f>IFERROR(__xludf.DUMMYFUNCTION("IF(A1023&lt;&gt;"""", GOOGLETRANSLATE(A1023, ""en"", ""te""),"""")"),"")</f>
        <v/>
      </c>
      <c r="C1023" s="2"/>
      <c r="D1023" s="2" t="str">
        <f>IFERROR(__xludf.DUMMYFUNCTION("IF(C1023&lt;&gt;"""", GOOGLETRANSLATE(C1023, ""en"", ""te""),"""")"),"")</f>
        <v/>
      </c>
      <c r="E1023" s="2"/>
      <c r="F1023" s="2" t="str">
        <f>IFERROR(__xludf.DUMMYFUNCTION("IF(E1023&lt;&gt;"""", GOOGLETRANSLATE(E1023, ""en"", ""te""),"""")"),"")</f>
        <v/>
      </c>
      <c r="G1023" s="2"/>
      <c r="H1023" s="2" t="str">
        <f>IFERROR(__xludf.DUMMYFUNCTION("IF(G1023&lt;&gt;"""", GOOGLETRANSLATE(G1023, ""en"", ""te""),"""")"),"")</f>
        <v/>
      </c>
      <c r="I1023" s="3"/>
    </row>
    <row r="1024" customHeight="1" spans="1:9">
      <c r="A1024" s="2"/>
      <c r="B1024" s="2" t="str">
        <f>IFERROR(__xludf.DUMMYFUNCTION("IF(A1024&lt;&gt;"""", GOOGLETRANSLATE(A1024, ""en"", ""te""),"""")"),"")</f>
        <v/>
      </c>
      <c r="C1024" s="2"/>
      <c r="D1024" s="2" t="str">
        <f>IFERROR(__xludf.DUMMYFUNCTION("IF(C1024&lt;&gt;"""", GOOGLETRANSLATE(C1024, ""en"", ""te""),"""")"),"")</f>
        <v/>
      </c>
      <c r="E1024" s="2"/>
      <c r="F1024" s="2" t="str">
        <f>IFERROR(__xludf.DUMMYFUNCTION("IF(E1024&lt;&gt;"""", GOOGLETRANSLATE(E1024, ""en"", ""te""),"""")"),"")</f>
        <v/>
      </c>
      <c r="G1024" s="2"/>
      <c r="H1024" s="2" t="str">
        <f>IFERROR(__xludf.DUMMYFUNCTION("IF(G1024&lt;&gt;"""", GOOGLETRANSLATE(G1024, ""en"", ""te""),"""")"),"")</f>
        <v/>
      </c>
      <c r="I1024" s="3"/>
    </row>
    <row r="1025" customHeight="1" spans="1:9">
      <c r="A1025" s="2"/>
      <c r="B1025" s="2" t="str">
        <f>IFERROR(__xludf.DUMMYFUNCTION("IF(A1025&lt;&gt;"""", GOOGLETRANSLATE(A1025, ""en"", ""te""),"""")"),"")</f>
        <v/>
      </c>
      <c r="C1025" s="2"/>
      <c r="D1025" s="2" t="str">
        <f>IFERROR(__xludf.DUMMYFUNCTION("IF(C1025&lt;&gt;"""", GOOGLETRANSLATE(C1025, ""en"", ""te""),"""")"),"")</f>
        <v/>
      </c>
      <c r="E1025" s="2"/>
      <c r="F1025" s="2" t="str">
        <f>IFERROR(__xludf.DUMMYFUNCTION("IF(E1025&lt;&gt;"""", GOOGLETRANSLATE(E1025, ""en"", ""te""),"""")"),"")</f>
        <v/>
      </c>
      <c r="G1025" s="2"/>
      <c r="H1025" s="2" t="str">
        <f>IFERROR(__xludf.DUMMYFUNCTION("IF(G1025&lt;&gt;"""", GOOGLETRANSLATE(G1025, ""en"", ""te""),"""")"),"")</f>
        <v/>
      </c>
      <c r="I1025" s="3"/>
    </row>
    <row r="1026" customHeight="1" spans="1:9">
      <c r="A1026" s="2"/>
      <c r="B1026" s="2" t="str">
        <f>IFERROR(__xludf.DUMMYFUNCTION("IF(A1026&lt;&gt;"""", GOOGLETRANSLATE(A1026, ""en"", ""te""),"""")"),"")</f>
        <v/>
      </c>
      <c r="C1026" s="2"/>
      <c r="D1026" s="2" t="str">
        <f>IFERROR(__xludf.DUMMYFUNCTION("IF(C1026&lt;&gt;"""", GOOGLETRANSLATE(C1026, ""en"", ""te""),"""")"),"")</f>
        <v/>
      </c>
      <c r="E1026" s="2"/>
      <c r="F1026" s="2" t="str">
        <f>IFERROR(__xludf.DUMMYFUNCTION("IF(E1026&lt;&gt;"""", GOOGLETRANSLATE(E1026, ""en"", ""te""),"""")"),"")</f>
        <v/>
      </c>
      <c r="G1026" s="2"/>
      <c r="H1026" s="2" t="str">
        <f>IFERROR(__xludf.DUMMYFUNCTION("IF(G1026&lt;&gt;"""", GOOGLETRANSLATE(G1026, ""en"", ""te""),"""")"),"")</f>
        <v/>
      </c>
      <c r="I1026" s="3"/>
    </row>
    <row r="1027" customHeight="1" spans="1:9">
      <c r="A1027" s="2"/>
      <c r="B1027" s="2" t="str">
        <f>IFERROR(__xludf.DUMMYFUNCTION("IF(A1027&lt;&gt;"""", GOOGLETRANSLATE(A1027, ""en"", ""te""),"""")"),"")</f>
        <v/>
      </c>
      <c r="C1027" s="2"/>
      <c r="D1027" s="2" t="str">
        <f>IFERROR(__xludf.DUMMYFUNCTION("IF(C1027&lt;&gt;"""", GOOGLETRANSLATE(C1027, ""en"", ""te""),"""")"),"")</f>
        <v/>
      </c>
      <c r="E1027" s="2"/>
      <c r="F1027" s="2" t="str">
        <f>IFERROR(__xludf.DUMMYFUNCTION("IF(E1027&lt;&gt;"""", GOOGLETRANSLATE(E1027, ""en"", ""te""),"""")"),"")</f>
        <v/>
      </c>
      <c r="G1027" s="2"/>
      <c r="H1027" s="2" t="str">
        <f>IFERROR(__xludf.DUMMYFUNCTION("IF(G1027&lt;&gt;"""", GOOGLETRANSLATE(G1027, ""en"", ""te""),"""")"),"")</f>
        <v/>
      </c>
      <c r="I1027" s="3"/>
    </row>
    <row r="1028" customHeight="1" spans="1:9">
      <c r="A1028" s="2"/>
      <c r="B1028" s="2" t="str">
        <f>IFERROR(__xludf.DUMMYFUNCTION("IF(A1028&lt;&gt;"""", GOOGLETRANSLATE(A1028, ""en"", ""te""),"""")"),"")</f>
        <v/>
      </c>
      <c r="C1028" s="2"/>
      <c r="D1028" s="2" t="str">
        <f>IFERROR(__xludf.DUMMYFUNCTION("IF(C1028&lt;&gt;"""", GOOGLETRANSLATE(C1028, ""en"", ""te""),"""")"),"")</f>
        <v/>
      </c>
      <c r="E1028" s="2"/>
      <c r="F1028" s="2" t="str">
        <f>IFERROR(__xludf.DUMMYFUNCTION("IF(E1028&lt;&gt;"""", GOOGLETRANSLATE(E1028, ""en"", ""te""),"""")"),"")</f>
        <v/>
      </c>
      <c r="G1028" s="2"/>
      <c r="H1028" s="2" t="str">
        <f>IFERROR(__xludf.DUMMYFUNCTION("IF(G1028&lt;&gt;"""", GOOGLETRANSLATE(G1028, ""en"", ""te""),"""")"),"")</f>
        <v/>
      </c>
      <c r="I1028" s="3"/>
    </row>
    <row r="1029" customHeight="1" spans="1:9">
      <c r="A1029" s="2"/>
      <c r="B1029" s="2" t="str">
        <f>IFERROR(__xludf.DUMMYFUNCTION("IF(A1029&lt;&gt;"""", GOOGLETRANSLATE(A1029, ""en"", ""te""),"""")"),"")</f>
        <v/>
      </c>
      <c r="C1029" s="2"/>
      <c r="D1029" s="2" t="str">
        <f>IFERROR(__xludf.DUMMYFUNCTION("IF(C1029&lt;&gt;"""", GOOGLETRANSLATE(C1029, ""en"", ""te""),"""")"),"")</f>
        <v/>
      </c>
      <c r="E1029" s="2"/>
      <c r="F1029" s="2" t="str">
        <f>IFERROR(__xludf.DUMMYFUNCTION("IF(E1029&lt;&gt;"""", GOOGLETRANSLATE(E1029, ""en"", ""te""),"""")"),"")</f>
        <v/>
      </c>
      <c r="G1029" s="2"/>
      <c r="H1029" s="2" t="str">
        <f>IFERROR(__xludf.DUMMYFUNCTION("IF(G1029&lt;&gt;"""", GOOGLETRANSLATE(G1029, ""en"", ""te""),"""")"),"")</f>
        <v/>
      </c>
      <c r="I1029" s="3"/>
    </row>
    <row r="1030" customHeight="1" spans="1:9">
      <c r="A1030" s="2"/>
      <c r="B1030" s="2" t="str">
        <f>IFERROR(__xludf.DUMMYFUNCTION("IF(A1030&lt;&gt;"""", GOOGLETRANSLATE(A1030, ""en"", ""te""),"""")"),"")</f>
        <v/>
      </c>
      <c r="C1030" s="2"/>
      <c r="D1030" s="2" t="str">
        <f>IFERROR(__xludf.DUMMYFUNCTION("IF(C1030&lt;&gt;"""", GOOGLETRANSLATE(C1030, ""en"", ""te""),"""")"),"")</f>
        <v/>
      </c>
      <c r="E1030" s="2"/>
      <c r="F1030" s="2" t="str">
        <f>IFERROR(__xludf.DUMMYFUNCTION("IF(E1030&lt;&gt;"""", GOOGLETRANSLATE(E1030, ""en"", ""te""),"""")"),"")</f>
        <v/>
      </c>
      <c r="G1030" s="2"/>
      <c r="H1030" s="2" t="str">
        <f>IFERROR(__xludf.DUMMYFUNCTION("IF(G1030&lt;&gt;"""", GOOGLETRANSLATE(G1030, ""en"", ""te""),"""")"),"")</f>
        <v/>
      </c>
      <c r="I1030" s="3"/>
    </row>
    <row r="1031" customHeight="1" spans="1:9">
      <c r="A1031" s="2"/>
      <c r="B1031" s="2" t="str">
        <f>IFERROR(__xludf.DUMMYFUNCTION("IF(A1031&lt;&gt;"""", GOOGLETRANSLATE(A1031, ""en"", ""te""),"""")"),"")</f>
        <v/>
      </c>
      <c r="C1031" s="2" t="s">
        <v>8</v>
      </c>
      <c r="D1031" s="2" t="str">
        <f>IFERROR(__xludf.DUMMYFUNCTION("IF(C1031&lt;&gt;"""", GOOGLETRANSLATE(C1031, ""en"", ""te""),"""")"),"[ '17 వ ప్రవేశం (9) ఒక మ్యాచ్లో బెస్ట్ ఫిగర్స్']")</f>
        <v>[ '17 వ ప్రవేశం (9) ఒక మ్యాచ్లో బెస్ట్ ఫిగర్స్']</v>
      </c>
      <c r="E1031" s="2"/>
      <c r="F1031" s="2" t="str">
        <f>IFERROR(__xludf.DUMMYFUNCTION("IF(E1031&lt;&gt;"""", GOOGLETRANSLATE(E1031, ""en"", ""te""),"""")"),"")</f>
        <v/>
      </c>
      <c r="G1031" s="2"/>
      <c r="H1031" s="2" t="str">
        <f>IFERROR(__xludf.DUMMYFUNCTION("IF(G1031&lt;&gt;"""", GOOGLETRANSLATE(G1031, ""en"", ""te""),"""")"),"")</f>
        <v/>
      </c>
      <c r="I1031" s="3"/>
    </row>
    <row r="1032" customHeight="1" spans="1:9">
      <c r="A1032" s="2"/>
      <c r="B1032" s="2" t="str">
        <f>IFERROR(__xludf.DUMMYFUNCTION("IF(A1032&lt;&gt;"""", GOOGLETRANSLATE(A1032, ""en"", ""te""),"""")"),"")</f>
        <v/>
      </c>
      <c r="C1032" s="2"/>
      <c r="D1032" s="2" t="str">
        <f>IFERROR(__xludf.DUMMYFUNCTION("IF(C1032&lt;&gt;"""", GOOGLETRANSLATE(C1032, ""en"", ""te""),"""")"),"")</f>
        <v/>
      </c>
      <c r="E1032" s="2"/>
      <c r="F1032" s="2" t="str">
        <f>IFERROR(__xludf.DUMMYFUNCTION("IF(E1032&lt;&gt;"""", GOOGLETRANSLATE(E1032, ""en"", ""te""),"""")"),"")</f>
        <v/>
      </c>
      <c r="G1032" s="2"/>
      <c r="H1032" s="2" t="str">
        <f>IFERROR(__xludf.DUMMYFUNCTION("IF(G1032&lt;&gt;"""", GOOGLETRANSLATE(G1032, ""en"", ""te""),"""")"),"")</f>
        <v/>
      </c>
      <c r="I1032" s="3"/>
    </row>
    <row r="1033" customHeight="1" spans="1:9">
      <c r="A1033" s="2"/>
      <c r="B1033" s="2" t="str">
        <f>IFERROR(__xludf.DUMMYFUNCTION("IF(A1033&lt;&gt;"""", GOOGLETRANSLATE(A1033, ""en"", ""te""),"""")"),"")</f>
        <v/>
      </c>
      <c r="C1033" s="2"/>
      <c r="D1033" s="2" t="str">
        <f>IFERROR(__xludf.DUMMYFUNCTION("IF(C1033&lt;&gt;"""", GOOGLETRANSLATE(C1033, ""en"", ""te""),"""")"),"")</f>
        <v/>
      </c>
      <c r="E1033" s="2"/>
      <c r="F1033" s="2" t="str">
        <f>IFERROR(__xludf.DUMMYFUNCTION("IF(E1033&lt;&gt;"""", GOOGLETRANSLATE(E1033, ""en"", ""te""),"""")"),"")</f>
        <v/>
      </c>
      <c r="G1033" s="2"/>
      <c r="H1033" s="2" t="str">
        <f>IFERROR(__xludf.DUMMYFUNCTION("IF(G1033&lt;&gt;"""", GOOGLETRANSLATE(G1033, ""en"", ""te""),"""")"),"")</f>
        <v/>
      </c>
      <c r="I1033" s="3"/>
    </row>
    <row r="1034" customHeight="1" spans="1:9">
      <c r="A1034" s="2" t="s">
        <v>738</v>
      </c>
      <c r="B1034" s="2" t="str">
        <f>IFERROR(__xludf.DUMMYFUNCTION("IF(A1034&lt;&gt;"""", GOOGLETRANSLATE(A1034, ""en"", ""te""),"""")"),"[ '8 వ ఉత్తమ కెరీర్ ఆర్థిక రేటు (1.79)']")</f>
        <v>[ '8 వ ఉత్తమ కెరీర్ ఆర్థిక రేటు (1.79)']</v>
      </c>
      <c r="C1034" s="2" t="s">
        <v>739</v>
      </c>
      <c r="D1034" s="2" t="str">
        <f>IFERROR(__xludf.DUMMYFUNCTION("IF(C1034&lt;&gt;"""", GOOGLETRANSLATE(C1034, ""en"", ""te""),"""")"),"[ '8 వ ఉత్తమ కెరీర్ ఆర్థిక రేటు (1.79)', '18 వ చెత్త కెరీర్లో సమ్మె రేటు (131.8)']")</f>
        <v>[ '8 వ ఉత్తమ కెరీర్ ఆర్థిక రేటు (1.79)', '18 వ చెత్త కెరీర్లో సమ్మె రేటు (131.8)']</v>
      </c>
      <c r="E1034" s="2"/>
      <c r="F1034" s="2" t="str">
        <f>IFERROR(__xludf.DUMMYFUNCTION("IF(E1034&lt;&gt;"""", GOOGLETRANSLATE(E1034, ""en"", ""te""),"""")"),"")</f>
        <v/>
      </c>
      <c r="G1034" s="2"/>
      <c r="H1034" s="2" t="str">
        <f>IFERROR(__xludf.DUMMYFUNCTION("IF(G1034&lt;&gt;"""", GOOGLETRANSLATE(G1034, ""en"", ""te""),"""")"),"")</f>
        <v/>
      </c>
      <c r="I1034" s="3"/>
    </row>
    <row r="1035" customHeight="1" spans="1:9">
      <c r="A1035" s="2"/>
      <c r="B1035" s="2" t="str">
        <f>IFERROR(__xludf.DUMMYFUNCTION("IF(A1035&lt;&gt;"""", GOOGLETRANSLATE(A1035, ""en"", ""te""),"""")"),"")</f>
        <v/>
      </c>
      <c r="C1035" s="2"/>
      <c r="D1035" s="2" t="str">
        <f>IFERROR(__xludf.DUMMYFUNCTION("IF(C1035&lt;&gt;"""", GOOGLETRANSLATE(C1035, ""en"", ""te""),"""")"),"")</f>
        <v/>
      </c>
      <c r="E1035" s="2"/>
      <c r="F1035" s="2" t="str">
        <f>IFERROR(__xludf.DUMMYFUNCTION("IF(E1035&lt;&gt;"""", GOOGLETRANSLATE(E1035, ""en"", ""te""),"""")"),"")</f>
        <v/>
      </c>
      <c r="G1035" s="2"/>
      <c r="H1035" s="2" t="str">
        <f>IFERROR(__xludf.DUMMYFUNCTION("IF(G1035&lt;&gt;"""", GOOGLETRANSLATE(G1035, ""en"", ""te""),"""")"),"")</f>
        <v/>
      </c>
      <c r="I1035" s="3"/>
    </row>
    <row r="1036" customHeight="1" spans="1:9">
      <c r="A1036" s="2"/>
      <c r="B1036" s="2" t="str">
        <f>IFERROR(__xludf.DUMMYFUNCTION("IF(A1036&lt;&gt;"""", GOOGLETRANSLATE(A1036, ""en"", ""te""),"""")"),"")</f>
        <v/>
      </c>
      <c r="C1036" s="2"/>
      <c r="D1036" s="2" t="str">
        <f>IFERROR(__xludf.DUMMYFUNCTION("IF(C1036&lt;&gt;"""", GOOGLETRANSLATE(C1036, ""en"", ""te""),"""")"),"")</f>
        <v/>
      </c>
      <c r="E1036" s="2"/>
      <c r="F1036" s="2" t="str">
        <f>IFERROR(__xludf.DUMMYFUNCTION("IF(E1036&lt;&gt;"""", GOOGLETRANSLATE(E1036, ""en"", ""te""),"""")"),"")</f>
        <v/>
      </c>
      <c r="G1036" s="2"/>
      <c r="H1036" s="2" t="str">
        <f>IFERROR(__xludf.DUMMYFUNCTION("IF(G1036&lt;&gt;"""", GOOGLETRANSLATE(G1036, ""en"", ""te""),"""")"),"")</f>
        <v/>
      </c>
      <c r="I1036" s="3"/>
    </row>
    <row r="1037" customHeight="1" spans="1:9">
      <c r="A1037" s="2"/>
      <c r="B1037" s="2" t="str">
        <f>IFERROR(__xludf.DUMMYFUNCTION("IF(A1037&lt;&gt;"""", GOOGLETRANSLATE(A1037, ""en"", ""te""),"""")"),"")</f>
        <v/>
      </c>
      <c r="C1037" s="2"/>
      <c r="D1037" s="2" t="str">
        <f>IFERROR(__xludf.DUMMYFUNCTION("IF(C1037&lt;&gt;"""", GOOGLETRANSLATE(C1037, ""en"", ""te""),"""")"),"")</f>
        <v/>
      </c>
      <c r="E1037" s="2"/>
      <c r="F1037" s="2" t="str">
        <f>IFERROR(__xludf.DUMMYFUNCTION("IF(E1037&lt;&gt;"""", GOOGLETRANSLATE(E1037, ""en"", ""te""),"""")"),"")</f>
        <v/>
      </c>
      <c r="G1037" s="2"/>
      <c r="H1037" s="2" t="str">
        <f>IFERROR(__xludf.DUMMYFUNCTION("IF(G1037&lt;&gt;"""", GOOGLETRANSLATE(G1037, ""en"", ""te""),"""")"),"")</f>
        <v/>
      </c>
      <c r="I1037" s="3"/>
    </row>
    <row r="1038" customHeight="1" spans="1:9">
      <c r="A1038" s="2"/>
      <c r="B1038" s="2" t="str">
        <f>IFERROR(__xludf.DUMMYFUNCTION("IF(A1038&lt;&gt;"""", GOOGLETRANSLATE(A1038, ""en"", ""te""),"""")"),"")</f>
        <v/>
      </c>
      <c r="C1038" s="2"/>
      <c r="D1038" s="2" t="str">
        <f>IFERROR(__xludf.DUMMYFUNCTION("IF(C1038&lt;&gt;"""", GOOGLETRANSLATE(C1038, ""en"", ""te""),"""")"),"")</f>
        <v/>
      </c>
      <c r="E1038" s="2"/>
      <c r="F1038" s="2" t="str">
        <f>IFERROR(__xludf.DUMMYFUNCTION("IF(E1038&lt;&gt;"""", GOOGLETRANSLATE(E1038, ""en"", ""te""),"""")"),"")</f>
        <v/>
      </c>
      <c r="G1038" s="2"/>
      <c r="H1038" s="2" t="str">
        <f>IFERROR(__xludf.DUMMYFUNCTION("IF(G1038&lt;&gt;"""", GOOGLETRANSLATE(G1038, ""en"", ""te""),"""")"),"")</f>
        <v/>
      </c>
      <c r="I1038" s="3"/>
    </row>
    <row r="1039" customHeight="1" spans="1:9">
      <c r="A1039" s="2"/>
      <c r="B1039" s="2" t="str">
        <f>IFERROR(__xludf.DUMMYFUNCTION("IF(A1039&lt;&gt;"""", GOOGLETRANSLATE(A1039, ""en"", ""te""),"""")"),"")</f>
        <v/>
      </c>
      <c r="C1039" s="2"/>
      <c r="D1039" s="2" t="str">
        <f>IFERROR(__xludf.DUMMYFUNCTION("IF(C1039&lt;&gt;"""", GOOGLETRANSLATE(C1039, ""en"", ""te""),"""")"),"")</f>
        <v/>
      </c>
      <c r="E1039" s="2"/>
      <c r="F1039" s="2" t="str">
        <f>IFERROR(__xludf.DUMMYFUNCTION("IF(E1039&lt;&gt;"""", GOOGLETRANSLATE(E1039, ""en"", ""te""),"""")"),"")</f>
        <v/>
      </c>
      <c r="G1039" s="2"/>
      <c r="H1039" s="2" t="str">
        <f>IFERROR(__xludf.DUMMYFUNCTION("IF(G1039&lt;&gt;"""", GOOGLETRANSLATE(G1039, ""en"", ""te""),"""")"),"")</f>
        <v/>
      </c>
      <c r="I1039" s="3"/>
    </row>
    <row r="1040" customHeight="1" spans="1:9">
      <c r="A1040" s="2" t="s">
        <v>399</v>
      </c>
      <c r="B1040" s="2" t="str">
        <f>IFERROR(__xludf.DUMMYFUNCTION("IF(A1040&lt;&gt;"""", GOOGLETRANSLATE(A1040, ""en"", ""te""),"""")"),"[ 'తొలి పెయిర్']")</f>
        <v>[ 'తొలి పెయిర్']</v>
      </c>
      <c r="C1040" s="2" t="s">
        <v>740</v>
      </c>
      <c r="D1040" s="2" t="str">
        <f>IFERROR(__xludf.DUMMYFUNCTION("IF(C1040&lt;&gt;"""", GOOGLETRANSLATE(C1040, ""en"", ""te""),"""")"),"[ '22 వ అరంగేట్రంలోనే ఇన్నింగ్స్ లోని బెస్ట్ ఫిగర్స్ (6)', 'ఐదు వికెట్ల లో-ఒక-ఇన్నింగ్స్ పడుతుంది 26 పిన్న ఆటగాడు (19y 267d)']")</f>
        <v>[ '22 వ అరంగేట్రంలోనే ఇన్నింగ్స్ లోని బెస్ట్ ఫిగర్స్ (6)', 'ఐదు వికెట్ల లో-ఒక-ఇన్నింగ్స్ పడుతుంది 26 పిన్న ఆటగాడు (19y 267d)']</v>
      </c>
      <c r="E1040" s="2"/>
      <c r="F1040" s="2" t="str">
        <f>IFERROR(__xludf.DUMMYFUNCTION("IF(E1040&lt;&gt;"""", GOOGLETRANSLATE(E1040, ""en"", ""te""),"""")"),"")</f>
        <v/>
      </c>
      <c r="G1040" s="2"/>
      <c r="H1040" s="2" t="str">
        <f>IFERROR(__xludf.DUMMYFUNCTION("IF(G1040&lt;&gt;"""", GOOGLETRANSLATE(G1040, ""en"", ""te""),"""")"),"")</f>
        <v/>
      </c>
      <c r="I1040" s="3"/>
    </row>
    <row r="1041" customHeight="1" spans="1:9">
      <c r="A1041" s="2" t="s">
        <v>741</v>
      </c>
      <c r="B1041" s="2" t="str">
        <f>IFERROR(__xludf.DUMMYFUNCTION("IF(A1041&lt;&gt;"""", GOOGLETRANSLATE(A1041, ""en"", ""te""),"""")"),"[ '10 వ ఇన్నింగ్స్ లో అత్యధిక పరుగులు (బ్యాటింగ్ స్థానంలో ప్రకారం) (55 *)']")</f>
        <v>[ '10 వ ఇన్నింగ్స్ లో అత్యధిక పరుగులు (బ్యాటింగ్ స్థానంలో ప్రకారం) (55 *)']</v>
      </c>
      <c r="C1041" s="2" t="s">
        <v>742</v>
      </c>
      <c r="D1041" s="2" t="str">
        <f>IFERROR(__xludf.DUMMYFUNCTION("IF(C1041&lt;&gt;"""", GOOGLETRANSLATE(C1041, ""en"", ""te""),"""")"),"[ '47 వ చెత్త ఇన్నింగ్స్ లో ఆర్థిక రేటు (6.36)']")</f>
        <v>[ '47 వ చెత్త ఇన్నింగ్స్ లో ఆర్థిక రేటు (6.36)']</v>
      </c>
      <c r="E1041" s="2" t="s">
        <v>743</v>
      </c>
      <c r="F1041" s="2" t="str">
        <f>IFERROR(__xludf.DUMMYFUNCTION("IF(E1041&lt;&gt;"""", GOOGLETRANSLATE(E1041, ""en"", ""te""),"""")"),"[ 'కెరీర్లో 12 వ లేవు బాతులు (27)', '13 వ వరుస నాలుగు వికెట్లు-ఇన్-ఒక-ఇన్నింగ్స్ (2)']")</f>
        <v>[ 'కెరీర్లో 12 వ లేవు బాతులు (27)', '13 వ వరుస నాలుగు వికెట్లు-ఇన్-ఒక-ఇన్నింగ్స్ (2)']</v>
      </c>
      <c r="G1041" s="2" t="s">
        <v>744</v>
      </c>
      <c r="H1041" s="2" t="str">
        <f>IFERROR(__xludf.DUMMYFUNCTION("IF(G1041&lt;&gt;"""", GOOGLETRANSLATE(G1041, ""en"", ""te""),"""")"),"[ '10 వ ఇన్నింగ్స్ లో అత్యధిక పరుగులు (55 *) (బ్యాటింగ్ స్థానం)', '48 వ అత్యధిక వికెట్లు తీసుకున్న బౌల్డ్ (10)', 'కెరీర్ లో 19 వ అత్యంత పనికత్తెలయొద్ద (3)']")</f>
        <v>[ '10 వ ఇన్నింగ్స్ లో అత్యధిక పరుగులు (55 *) (బ్యాటింగ్ స్థానం)', '48 వ అత్యధిక వికెట్లు తీసుకున్న బౌల్డ్ (10)', 'కెరీర్ లో 19 వ అత్యంత పనికత్తెలయొద్ద (3)']</v>
      </c>
      <c r="I1041" s="3"/>
    </row>
    <row r="1042" customHeight="1" spans="1:9">
      <c r="A1042" s="2"/>
      <c r="B1042" s="2" t="str">
        <f>IFERROR(__xludf.DUMMYFUNCTION("IF(A1042&lt;&gt;"""", GOOGLETRANSLATE(A1042, ""en"", ""te""),"""")"),"")</f>
        <v/>
      </c>
      <c r="C1042" s="2"/>
      <c r="D1042" s="2" t="str">
        <f>IFERROR(__xludf.DUMMYFUNCTION("IF(C1042&lt;&gt;"""", GOOGLETRANSLATE(C1042, ""en"", ""te""),"""")"),"")</f>
        <v/>
      </c>
      <c r="E1042" s="2"/>
      <c r="F1042" s="2" t="str">
        <f>IFERROR(__xludf.DUMMYFUNCTION("IF(E1042&lt;&gt;"""", GOOGLETRANSLATE(E1042, ""en"", ""te""),"""")"),"")</f>
        <v/>
      </c>
      <c r="G1042" s="2"/>
      <c r="H1042" s="2" t="str">
        <f>IFERROR(__xludf.DUMMYFUNCTION("IF(G1042&lt;&gt;"""", GOOGLETRANSLATE(G1042, ""en"", ""te""),"""")"),"")</f>
        <v/>
      </c>
      <c r="I1042" s="3"/>
    </row>
    <row r="1043" customHeight="1" spans="1:9">
      <c r="A1043" s="2"/>
      <c r="B1043" s="2" t="str">
        <f>IFERROR(__xludf.DUMMYFUNCTION("IF(A1043&lt;&gt;"""", GOOGLETRANSLATE(A1043, ""en"", ""te""),"""")"),"")</f>
        <v/>
      </c>
      <c r="C1043" s="2"/>
      <c r="D1043" s="2" t="str">
        <f>IFERROR(__xludf.DUMMYFUNCTION("IF(C1043&lt;&gt;"""", GOOGLETRANSLATE(C1043, ""en"", ""te""),"""")"),"")</f>
        <v/>
      </c>
      <c r="E1043" s="2"/>
      <c r="F1043" s="2" t="str">
        <f>IFERROR(__xludf.DUMMYFUNCTION("IF(E1043&lt;&gt;"""", GOOGLETRANSLATE(E1043, ""en"", ""te""),"""")"),"")</f>
        <v/>
      </c>
      <c r="G1043" s="2"/>
      <c r="H1043" s="2" t="str">
        <f>IFERROR(__xludf.DUMMYFUNCTION("IF(G1043&lt;&gt;"""", GOOGLETRANSLATE(G1043, ""en"", ""te""),"""")"),"")</f>
        <v/>
      </c>
      <c r="I1043" s="3"/>
    </row>
    <row r="1044" customHeight="1" spans="1:9">
      <c r="A1044" s="2" t="s">
        <v>352</v>
      </c>
      <c r="B1044" s="2" t="str">
        <f>IFERROR(__xludf.DUMMYFUNCTION("IF(A1044&lt;&gt;"""", GOOGLETRANSLATE(A1044, ""en"", ""te""),"""")"),"[ 'బ్యాటింగ్ ప్రారంభించుటకు మరియు అదే మ్యాచ్ లో బౌలింగ్']")</f>
        <v>[ 'బ్యాటింగ్ ప్రారంభించుటకు మరియు అదే మ్యాచ్ లో బౌలింగ్']</v>
      </c>
      <c r="C1044" s="2"/>
      <c r="D1044" s="2" t="str">
        <f>IFERROR(__xludf.DUMMYFUNCTION("IF(C1044&lt;&gt;"""", GOOGLETRANSLATE(C1044, ""en"", ""te""),"""")"),"")</f>
        <v/>
      </c>
      <c r="E1044" s="2"/>
      <c r="F1044" s="2" t="str">
        <f>IFERROR(__xludf.DUMMYFUNCTION("IF(E1044&lt;&gt;"""", GOOGLETRANSLATE(E1044, ""en"", ""te""),"""")"),"")</f>
        <v/>
      </c>
      <c r="G1044" s="2"/>
      <c r="H1044" s="2" t="str">
        <f>IFERROR(__xludf.DUMMYFUNCTION("IF(G1044&lt;&gt;"""", GOOGLETRANSLATE(G1044, ""en"", ""te""),"""")"),"")</f>
        <v/>
      </c>
      <c r="I1044" s="3"/>
    </row>
    <row r="1045" customHeight="1" spans="1:9">
      <c r="A1045" s="2"/>
      <c r="B1045" s="2" t="str">
        <f>IFERROR(__xludf.DUMMYFUNCTION("IF(A1045&lt;&gt;"""", GOOGLETRANSLATE(A1045, ""en"", ""te""),"""")"),"")</f>
        <v/>
      </c>
      <c r="C1045" s="2"/>
      <c r="D1045" s="2" t="str">
        <f>IFERROR(__xludf.DUMMYFUNCTION("IF(C1045&lt;&gt;"""", GOOGLETRANSLATE(C1045, ""en"", ""te""),"""")"),"")</f>
        <v/>
      </c>
      <c r="E1045" s="2"/>
      <c r="F1045" s="2" t="str">
        <f>IFERROR(__xludf.DUMMYFUNCTION("IF(E1045&lt;&gt;"""", GOOGLETRANSLATE(E1045, ""en"", ""te""),"""")"),"")</f>
        <v/>
      </c>
      <c r="G1045" s="2"/>
      <c r="H1045" s="2" t="str">
        <f>IFERROR(__xludf.DUMMYFUNCTION("IF(G1045&lt;&gt;"""", GOOGLETRANSLATE(G1045, ""en"", ""te""),"""")"),"")</f>
        <v/>
      </c>
      <c r="I1045" s="3"/>
    </row>
    <row r="1046" customHeight="1" spans="1:9">
      <c r="A1046" s="2"/>
      <c r="B1046" s="2" t="str">
        <f>IFERROR(__xludf.DUMMYFUNCTION("IF(A1046&lt;&gt;"""", GOOGLETRANSLATE(A1046, ""en"", ""te""),"""")"),"")</f>
        <v/>
      </c>
      <c r="C1046" s="2"/>
      <c r="D1046" s="2" t="str">
        <f>IFERROR(__xludf.DUMMYFUNCTION("IF(C1046&lt;&gt;"""", GOOGLETRANSLATE(C1046, ""en"", ""te""),"""")"),"")</f>
        <v/>
      </c>
      <c r="E1046" s="2"/>
      <c r="F1046" s="2" t="str">
        <f>IFERROR(__xludf.DUMMYFUNCTION("IF(E1046&lt;&gt;"""", GOOGLETRANSLATE(E1046, ""en"", ""te""),"""")"),"")</f>
        <v/>
      </c>
      <c r="G1046" s="2"/>
      <c r="H1046" s="2" t="str">
        <f>IFERROR(__xludf.DUMMYFUNCTION("IF(G1046&lt;&gt;"""", GOOGLETRANSLATE(G1046, ""en"", ""te""),"""")"),"")</f>
        <v/>
      </c>
      <c r="I1046" s="3"/>
    </row>
    <row r="1047" customHeight="1" spans="1:9">
      <c r="A1047" s="2"/>
      <c r="B1047" s="2" t="str">
        <f>IFERROR(__xludf.DUMMYFUNCTION("IF(A1047&lt;&gt;"""", GOOGLETRANSLATE(A1047, ""en"", ""te""),"""")"),"")</f>
        <v/>
      </c>
      <c r="C1047" s="2" t="s">
        <v>745</v>
      </c>
      <c r="D1047" s="2" t="str">
        <f>IFERROR(__xludf.DUMMYFUNCTION("IF(C1047&lt;&gt;"""", GOOGLETRANSLATE(C1047, ""en"", ""te""),"""")"),"[ '11 వ ఒక సిరీస్లో అత్యధిక బాతులు (4)', '20 వ చెత్త కెరీర్లో ఆర్థిక రేటు (3.69)']")</f>
        <v>[ '11 వ ఒక సిరీస్లో అత్యధిక బాతులు (4)', '20 వ చెత్త కెరీర్లో ఆర్థిక రేటు (3.69)']</v>
      </c>
      <c r="E1047" s="2"/>
      <c r="F1047" s="2" t="str">
        <f>IFERROR(__xludf.DUMMYFUNCTION("IF(E1047&lt;&gt;"""", GOOGLETRANSLATE(E1047, ""en"", ""te""),"""")"),"")</f>
        <v/>
      </c>
      <c r="G1047" s="2"/>
      <c r="H1047" s="2" t="str">
        <f>IFERROR(__xludf.DUMMYFUNCTION("IF(G1047&lt;&gt;"""", GOOGLETRANSLATE(G1047, ""en"", ""te""),"""")"),"")</f>
        <v/>
      </c>
      <c r="I1047" s="3"/>
    </row>
    <row r="1048" customHeight="1" spans="1:9">
      <c r="A1048" s="2"/>
      <c r="B1048" s="2" t="str">
        <f>IFERROR(__xludf.DUMMYFUNCTION("IF(A1048&lt;&gt;"""", GOOGLETRANSLATE(A1048, ""en"", ""te""),"""")"),"")</f>
        <v/>
      </c>
      <c r="C1048" s="2"/>
      <c r="D1048" s="2" t="str">
        <f>IFERROR(__xludf.DUMMYFUNCTION("IF(C1048&lt;&gt;"""", GOOGLETRANSLATE(C1048, ""en"", ""te""),"""")"),"")</f>
        <v/>
      </c>
      <c r="E1048" s="2"/>
      <c r="F1048" s="2" t="str">
        <f>IFERROR(__xludf.DUMMYFUNCTION("IF(E1048&lt;&gt;"""", GOOGLETRANSLATE(E1048, ""en"", ""te""),"""")"),"")</f>
        <v/>
      </c>
      <c r="G1048" s="2"/>
      <c r="H1048" s="2" t="str">
        <f>IFERROR(__xludf.DUMMYFUNCTION("IF(G1048&lt;&gt;"""", GOOGLETRANSLATE(G1048, ""en"", ""te""),"""")"),"")</f>
        <v/>
      </c>
      <c r="I1048" s="3"/>
    </row>
    <row r="1049" customHeight="1" spans="1:9">
      <c r="A1049" s="2" t="s">
        <v>746</v>
      </c>
      <c r="B1049" s="2" t="str">
        <f>IFERROR(__xludf.DUMMYFUNCTION("IF(A1049&lt;&gt;"""", GOOGLETRANSLATE(A1049, ""en"", ""te""),"""")"),"[ 'ఒక మ్యాచ్ లో రెండు అజేయంగా అర్ధ', 'ఒక ఇన్నింగ్స్ లో ఒక ప్రత్యామ్నాయంగా ద్వారా 2nd అత్యధిక క్యాచ్లు (3)']")</f>
        <v>[ 'ఒక మ్యాచ్ లో రెండు అజేయంగా అర్ధ', 'ఒక ఇన్నింగ్స్ లో ఒక ప్రత్యామ్నాయంగా ద్వారా 2nd అత్యధిక క్యాచ్లు (3)']</v>
      </c>
      <c r="C1049" s="2" t="s">
        <v>747</v>
      </c>
      <c r="D1049" s="2" t="str">
        <f>IFERROR(__xludf.DUMMYFUNCTION("IF(C1049&lt;&gt;"""", GOOGLETRANSLATE(C1049, ""en"", ""te""),"""")"),"[ 'ఎనిమిదవ వికెట్కు 25 అత్యధిక భాగస్వామ్యం (147 *)']")</f>
        <v>[ 'ఎనిమిదవ వికెట్కు 25 అత్యధిక భాగస్వామ్యం (147 *)']</v>
      </c>
      <c r="E1049" s="2" t="s">
        <v>748</v>
      </c>
      <c r="F1049" s="2" t="str">
        <f>IFERROR(__xludf.DUMMYFUNCTION("IF(E1049&lt;&gt;"""", GOOGLETRANSLATE(E1049, ""en"", ""te""),"""")"),"[ 'ఒక ఇన్నింగ్స్ లో ఒక ప్రత్యామ్నాయంగా (3) 2 వ అత్యధిక క్యాచ్లు']")</f>
        <v>[ 'ఒక ఇన్నింగ్స్ లో ఒక ప్రత్యామ్నాయంగా (3) 2 వ అత్యధిక క్యాచ్లు']</v>
      </c>
      <c r="G1049" s="2"/>
      <c r="H1049" s="2" t="str">
        <f>IFERROR(__xludf.DUMMYFUNCTION("IF(G1049&lt;&gt;"""", GOOGLETRANSLATE(G1049, ""en"", ""te""),"""")"),"")</f>
        <v/>
      </c>
      <c r="I1049" s="3"/>
    </row>
    <row r="1050" customHeight="1" spans="1:9">
      <c r="A1050" s="2"/>
      <c r="B1050" s="2" t="str">
        <f>IFERROR(__xludf.DUMMYFUNCTION("IF(A1050&lt;&gt;"""", GOOGLETRANSLATE(A1050, ""en"", ""te""),"""")"),"")</f>
        <v/>
      </c>
      <c r="C1050" s="2"/>
      <c r="D1050" s="2" t="str">
        <f>IFERROR(__xludf.DUMMYFUNCTION("IF(C1050&lt;&gt;"""", GOOGLETRANSLATE(C1050, ""en"", ""te""),"""")"),"")</f>
        <v/>
      </c>
      <c r="E1050" s="2"/>
      <c r="F1050" s="2" t="str">
        <f>IFERROR(__xludf.DUMMYFUNCTION("IF(E1050&lt;&gt;"""", GOOGLETRANSLATE(E1050, ""en"", ""te""),"""")"),"")</f>
        <v/>
      </c>
      <c r="G1050" s="2"/>
      <c r="H1050" s="2" t="str">
        <f>IFERROR(__xludf.DUMMYFUNCTION("IF(G1050&lt;&gt;"""", GOOGLETRANSLATE(G1050, ""en"", ""te""),"""")"),"")</f>
        <v/>
      </c>
      <c r="I1050" s="3"/>
    </row>
    <row r="1051" customHeight="1" spans="1:9">
      <c r="A1051" s="2"/>
      <c r="B1051" s="2" t="str">
        <f>IFERROR(__xludf.DUMMYFUNCTION("IF(A1051&lt;&gt;"""", GOOGLETRANSLATE(A1051, ""en"", ""te""),"""")"),"")</f>
        <v/>
      </c>
      <c r="C1051" s="2"/>
      <c r="D1051" s="2" t="str">
        <f>IFERROR(__xludf.DUMMYFUNCTION("IF(C1051&lt;&gt;"""", GOOGLETRANSLATE(C1051, ""en"", ""te""),"""")"),"")</f>
        <v/>
      </c>
      <c r="E1051" s="2"/>
      <c r="F1051" s="2" t="str">
        <f>IFERROR(__xludf.DUMMYFUNCTION("IF(E1051&lt;&gt;"""", GOOGLETRANSLATE(E1051, ""en"", ""te""),"""")"),"")</f>
        <v/>
      </c>
      <c r="G1051" s="2"/>
      <c r="H1051" s="2" t="str">
        <f>IFERROR(__xludf.DUMMYFUNCTION("IF(G1051&lt;&gt;"""", GOOGLETRANSLATE(G1051, ""en"", ""te""),"""")"),"")</f>
        <v/>
      </c>
      <c r="I1051" s="3"/>
    </row>
    <row r="1052" customHeight="1" spans="1:9">
      <c r="A1052" s="2"/>
      <c r="B1052" s="2" t="str">
        <f>IFERROR(__xludf.DUMMYFUNCTION("IF(A1052&lt;&gt;"""", GOOGLETRANSLATE(A1052, ""en"", ""te""),"""")"),"")</f>
        <v/>
      </c>
      <c r="C1052" s="2"/>
      <c r="D1052" s="2" t="str">
        <f>IFERROR(__xludf.DUMMYFUNCTION("IF(C1052&lt;&gt;"""", GOOGLETRANSLATE(C1052, ""en"", ""te""),"""")"),"")</f>
        <v/>
      </c>
      <c r="E1052" s="2"/>
      <c r="F1052" s="2" t="str">
        <f>IFERROR(__xludf.DUMMYFUNCTION("IF(E1052&lt;&gt;"""", GOOGLETRANSLATE(E1052, ""en"", ""te""),"""")"),"")</f>
        <v/>
      </c>
      <c r="G1052" s="2"/>
      <c r="H1052" s="2" t="str">
        <f>IFERROR(__xludf.DUMMYFUNCTION("IF(G1052&lt;&gt;"""", GOOGLETRANSLATE(G1052, ""en"", ""te""),"""")"),"")</f>
        <v/>
      </c>
      <c r="I1052" s="3"/>
    </row>
    <row r="1053" customHeight="1" spans="1:9">
      <c r="A1053" s="2"/>
      <c r="B1053" s="2" t="str">
        <f>IFERROR(__xludf.DUMMYFUNCTION("IF(A1053&lt;&gt;"""", GOOGLETRANSLATE(A1053, ""en"", ""te""),"""")"),"")</f>
        <v/>
      </c>
      <c r="C1053" s="2"/>
      <c r="D1053" s="2" t="str">
        <f>IFERROR(__xludf.DUMMYFUNCTION("IF(C1053&lt;&gt;"""", GOOGLETRANSLATE(C1053, ""en"", ""te""),"""")"),"")</f>
        <v/>
      </c>
      <c r="E1053" s="2"/>
      <c r="F1053" s="2" t="str">
        <f>IFERROR(__xludf.DUMMYFUNCTION("IF(E1053&lt;&gt;"""", GOOGLETRANSLATE(E1053, ""en"", ""te""),"""")"),"")</f>
        <v/>
      </c>
      <c r="G1053" s="2"/>
      <c r="H1053" s="2" t="str">
        <f>IFERROR(__xludf.DUMMYFUNCTION("IF(G1053&lt;&gt;"""", GOOGLETRANSLATE(G1053, ""en"", ""te""),"""")"),"")</f>
        <v/>
      </c>
      <c r="I1053" s="3"/>
    </row>
    <row r="1054" customHeight="1" spans="1:9">
      <c r="A1054" s="2"/>
      <c r="B1054" s="2" t="str">
        <f>IFERROR(__xludf.DUMMYFUNCTION("IF(A1054&lt;&gt;"""", GOOGLETRANSLATE(A1054, ""en"", ""te""),"""")"),"")</f>
        <v/>
      </c>
      <c r="C1054" s="2"/>
      <c r="D1054" s="2" t="str">
        <f>IFERROR(__xludf.DUMMYFUNCTION("IF(C1054&lt;&gt;"""", GOOGLETRANSLATE(C1054, ""en"", ""te""),"""")"),"")</f>
        <v/>
      </c>
      <c r="E1054" s="2"/>
      <c r="F1054" s="2" t="str">
        <f>IFERROR(__xludf.DUMMYFUNCTION("IF(E1054&lt;&gt;"""", GOOGLETRANSLATE(E1054, ""en"", ""te""),"""")"),"")</f>
        <v/>
      </c>
      <c r="G1054" s="2"/>
      <c r="H1054" s="2" t="str">
        <f>IFERROR(__xludf.DUMMYFUNCTION("IF(G1054&lt;&gt;"""", GOOGLETRANSLATE(G1054, ""en"", ""te""),"""")"),"")</f>
        <v/>
      </c>
      <c r="I1054" s="3"/>
    </row>
    <row r="1055" customHeight="1" spans="1:9">
      <c r="A1055" s="2"/>
      <c r="B1055" s="2" t="str">
        <f>IFERROR(__xludf.DUMMYFUNCTION("IF(A1055&lt;&gt;"""", GOOGLETRANSLATE(A1055, ""en"", ""te""),"""")"),"")</f>
        <v/>
      </c>
      <c r="C1055" s="2"/>
      <c r="D1055" s="2" t="str">
        <f>IFERROR(__xludf.DUMMYFUNCTION("IF(C1055&lt;&gt;"""", GOOGLETRANSLATE(C1055, ""en"", ""te""),"""")"),"")</f>
        <v/>
      </c>
      <c r="E1055" s="2"/>
      <c r="F1055" s="2" t="str">
        <f>IFERROR(__xludf.DUMMYFUNCTION("IF(E1055&lt;&gt;"""", GOOGLETRANSLATE(E1055, ""en"", ""te""),"""")"),"")</f>
        <v/>
      </c>
      <c r="G1055" s="2"/>
      <c r="H1055" s="2" t="str">
        <f>IFERROR(__xludf.DUMMYFUNCTION("IF(G1055&lt;&gt;"""", GOOGLETRANSLATE(G1055, ""en"", ""te""),"""")"),"")</f>
        <v/>
      </c>
      <c r="I1055" s="3"/>
    </row>
    <row r="1056" customHeight="1" spans="1:9">
      <c r="A1056" s="2"/>
      <c r="B1056" s="2" t="str">
        <f>IFERROR(__xludf.DUMMYFUNCTION("IF(A1056&lt;&gt;"""", GOOGLETRANSLATE(A1056, ""en"", ""te""),"""")"),"")</f>
        <v/>
      </c>
      <c r="C1056" s="2"/>
      <c r="D1056" s="2" t="str">
        <f>IFERROR(__xludf.DUMMYFUNCTION("IF(C1056&lt;&gt;"""", GOOGLETRANSLATE(C1056, ""en"", ""te""),"""")"),"")</f>
        <v/>
      </c>
      <c r="E1056" s="2"/>
      <c r="F1056" s="2" t="str">
        <f>IFERROR(__xludf.DUMMYFUNCTION("IF(E1056&lt;&gt;"""", GOOGLETRANSLATE(E1056, ""en"", ""te""),"""")"),"")</f>
        <v/>
      </c>
      <c r="G1056" s="2"/>
      <c r="H1056" s="2" t="str">
        <f>IFERROR(__xludf.DUMMYFUNCTION("IF(G1056&lt;&gt;"""", GOOGLETRANSLATE(G1056, ""en"", ""te""),"""")"),"")</f>
        <v/>
      </c>
      <c r="I1056" s="3"/>
    </row>
    <row r="1057" customHeight="1" spans="1:9">
      <c r="A1057" s="2"/>
      <c r="B1057" s="2" t="str">
        <f>IFERROR(__xludf.DUMMYFUNCTION("IF(A1057&lt;&gt;"""", GOOGLETRANSLATE(A1057, ""en"", ""te""),"""")"),"")</f>
        <v/>
      </c>
      <c r="C1057" s="2"/>
      <c r="D1057" s="2" t="str">
        <f>IFERROR(__xludf.DUMMYFUNCTION("IF(C1057&lt;&gt;"""", GOOGLETRANSLATE(C1057, ""en"", ""te""),"""")"),"")</f>
        <v/>
      </c>
      <c r="E1057" s="2"/>
      <c r="F1057" s="2" t="str">
        <f>IFERROR(__xludf.DUMMYFUNCTION("IF(E1057&lt;&gt;"""", GOOGLETRANSLATE(E1057, ""en"", ""te""),"""")"),"")</f>
        <v/>
      </c>
      <c r="G1057" s="2"/>
      <c r="H1057" s="2" t="str">
        <f>IFERROR(__xludf.DUMMYFUNCTION("IF(G1057&lt;&gt;"""", GOOGLETRANSLATE(G1057, ""en"", ""te""),"""")"),"")</f>
        <v/>
      </c>
      <c r="I1057" s="3"/>
    </row>
    <row r="1058" customHeight="1" spans="1:9">
      <c r="A1058" s="2"/>
      <c r="B1058" s="2" t="str">
        <f>IFERROR(__xludf.DUMMYFUNCTION("IF(A1058&lt;&gt;"""", GOOGLETRANSLATE(A1058, ""en"", ""te""),"""")"),"")</f>
        <v/>
      </c>
      <c r="C1058" s="2"/>
      <c r="D1058" s="2" t="str">
        <f>IFERROR(__xludf.DUMMYFUNCTION("IF(C1058&lt;&gt;"""", GOOGLETRANSLATE(C1058, ""en"", ""te""),"""")"),"")</f>
        <v/>
      </c>
      <c r="E1058" s="2"/>
      <c r="F1058" s="2" t="str">
        <f>IFERROR(__xludf.DUMMYFUNCTION("IF(E1058&lt;&gt;"""", GOOGLETRANSLATE(E1058, ""en"", ""te""),"""")"),"")</f>
        <v/>
      </c>
      <c r="G1058" s="2"/>
      <c r="H1058" s="2" t="str">
        <f>IFERROR(__xludf.DUMMYFUNCTION("IF(G1058&lt;&gt;"""", GOOGLETRANSLATE(G1058, ""en"", ""te""),"""")"),"")</f>
        <v/>
      </c>
      <c r="I1058" s="3"/>
    </row>
    <row r="1059" customHeight="1" spans="1:9">
      <c r="A1059" s="2"/>
      <c r="B1059" s="2" t="str">
        <f>IFERROR(__xludf.DUMMYFUNCTION("IF(A1059&lt;&gt;"""", GOOGLETRANSLATE(A1059, ""en"", ""te""),"""")"),"")</f>
        <v/>
      </c>
      <c r="C1059" s="2"/>
      <c r="D1059" s="2" t="str">
        <f>IFERROR(__xludf.DUMMYFUNCTION("IF(C1059&lt;&gt;"""", GOOGLETRANSLATE(C1059, ""en"", ""te""),"""")"),"")</f>
        <v/>
      </c>
      <c r="E1059" s="2"/>
      <c r="F1059" s="2" t="str">
        <f>IFERROR(__xludf.DUMMYFUNCTION("IF(E1059&lt;&gt;"""", GOOGLETRANSLATE(E1059, ""en"", ""te""),"""")"),"")</f>
        <v/>
      </c>
      <c r="G1059" s="2"/>
      <c r="H1059" s="2" t="str">
        <f>IFERROR(__xludf.DUMMYFUNCTION("IF(G1059&lt;&gt;"""", GOOGLETRANSLATE(G1059, ""en"", ""te""),"""")"),"")</f>
        <v/>
      </c>
      <c r="I1059" s="3"/>
    </row>
    <row r="1060" customHeight="1" spans="1:9">
      <c r="A1060" s="2" t="s">
        <v>749</v>
      </c>
      <c r="B1060" s="2" t="str">
        <f>IFERROR(__xludf.DUMMYFUNCTION("IF(A1060&lt;&gt;"""", GOOGLETRANSLATE(A1060, ""en"", ""te""),"""")"),"[ '6 వ అత్యధిక వరుస బాతులు (3)']")</f>
        <v>[ '6 వ అత్యధిక వరుస బాతులు (3)']</v>
      </c>
      <c r="C1060" s="2"/>
      <c r="D1060" s="2" t="str">
        <f>IFERROR(__xludf.DUMMYFUNCTION("IF(C1060&lt;&gt;"""", GOOGLETRANSLATE(C1060, ""en"", ""te""),"""")"),"")</f>
        <v/>
      </c>
      <c r="E1060" s="2" t="s">
        <v>750</v>
      </c>
      <c r="F1060" s="2" t="str">
        <f>IFERROR(__xludf.DUMMYFUNCTION("IF(E1060&lt;&gt;"""", GOOGLETRANSLATE(E1060, ""en"", ""te""),"""")"),"[ '6 వ అత్యధిక వరుస బాతులు (3)', 'ఇన్నింగ్స్ లో 15 వ అత్యుత్తమ బౌలింగ్ విశ్లేషణలు (4/10)', '46 వ ఉత్తమ కెరీర్ ఆర్థిక రేటు (3.94)']")</f>
        <v>[ '6 వ అత్యధిక వరుస బాతులు (3)', 'ఇన్నింగ్స్ లో 15 వ అత్యుత్తమ బౌలింగ్ విశ్లేషణలు (4/10)', '46 వ ఉత్తమ కెరీర్ ఆర్థిక రేటు (3.94)']</v>
      </c>
      <c r="G1060" s="2"/>
      <c r="H1060" s="2" t="str">
        <f>IFERROR(__xludf.DUMMYFUNCTION("IF(G1060&lt;&gt;"""", GOOGLETRANSLATE(G1060, ""en"", ""te""),"""")"),"")</f>
        <v/>
      </c>
      <c r="I1060" s="3"/>
    </row>
    <row r="1061" customHeight="1" spans="1:9">
      <c r="A1061" s="2"/>
      <c r="B1061" s="2" t="str">
        <f>IFERROR(__xludf.DUMMYFUNCTION("IF(A1061&lt;&gt;"""", GOOGLETRANSLATE(A1061, ""en"", ""te""),"""")"),"")</f>
        <v/>
      </c>
      <c r="C1061" s="2"/>
      <c r="D1061" s="2" t="str">
        <f>IFERROR(__xludf.DUMMYFUNCTION("IF(C1061&lt;&gt;"""", GOOGLETRANSLATE(C1061, ""en"", ""te""),"""")"),"")</f>
        <v/>
      </c>
      <c r="E1061" s="2"/>
      <c r="F1061" s="2" t="str">
        <f>IFERROR(__xludf.DUMMYFUNCTION("IF(E1061&lt;&gt;"""", GOOGLETRANSLATE(E1061, ""en"", ""te""),"""")"),"")</f>
        <v/>
      </c>
      <c r="G1061" s="2"/>
      <c r="H1061" s="2" t="str">
        <f>IFERROR(__xludf.DUMMYFUNCTION("IF(G1061&lt;&gt;"""", GOOGLETRANSLATE(G1061, ""en"", ""te""),"""")"),"")</f>
        <v/>
      </c>
      <c r="I1061" s="3"/>
    </row>
    <row r="1062" customHeight="1" spans="1:9">
      <c r="A1062" s="2"/>
      <c r="B1062" s="2" t="str">
        <f>IFERROR(__xludf.DUMMYFUNCTION("IF(A1062&lt;&gt;"""", GOOGLETRANSLATE(A1062, ""en"", ""te""),"""")"),"")</f>
        <v/>
      </c>
      <c r="C1062" s="2"/>
      <c r="D1062" s="2" t="str">
        <f>IFERROR(__xludf.DUMMYFUNCTION("IF(C1062&lt;&gt;"""", GOOGLETRANSLATE(C1062, ""en"", ""te""),"""")"),"")</f>
        <v/>
      </c>
      <c r="E1062" s="2"/>
      <c r="F1062" s="2" t="str">
        <f>IFERROR(__xludf.DUMMYFUNCTION("IF(E1062&lt;&gt;"""", GOOGLETRANSLATE(E1062, ""en"", ""te""),"""")"),"")</f>
        <v/>
      </c>
      <c r="G1062" s="2"/>
      <c r="H1062" s="2" t="str">
        <f>IFERROR(__xludf.DUMMYFUNCTION("IF(G1062&lt;&gt;"""", GOOGLETRANSLATE(G1062, ""en"", ""te""),"""")"),"")</f>
        <v/>
      </c>
      <c r="I1062" s="3"/>
    </row>
    <row r="1063" customHeight="1" spans="1:9">
      <c r="A1063" s="2"/>
      <c r="B1063" s="2" t="str">
        <f>IFERROR(__xludf.DUMMYFUNCTION("IF(A1063&lt;&gt;"""", GOOGLETRANSLATE(A1063, ""en"", ""te""),"""")"),"")</f>
        <v/>
      </c>
      <c r="C1063" s="2"/>
      <c r="D1063" s="2" t="str">
        <f>IFERROR(__xludf.DUMMYFUNCTION("IF(C1063&lt;&gt;"""", GOOGLETRANSLATE(C1063, ""en"", ""te""),"""")"),"")</f>
        <v/>
      </c>
      <c r="E1063" s="2"/>
      <c r="F1063" s="2" t="str">
        <f>IFERROR(__xludf.DUMMYFUNCTION("IF(E1063&lt;&gt;"""", GOOGLETRANSLATE(E1063, ""en"", ""te""),"""")"),"")</f>
        <v/>
      </c>
      <c r="G1063" s="2"/>
      <c r="H1063" s="2" t="str">
        <f>IFERROR(__xludf.DUMMYFUNCTION("IF(G1063&lt;&gt;"""", GOOGLETRANSLATE(G1063, ""en"", ""te""),"""")"),"")</f>
        <v/>
      </c>
      <c r="I1063" s="3"/>
    </row>
    <row r="1064" customHeight="1" spans="1:9">
      <c r="A1064" s="2"/>
      <c r="B1064" s="2" t="str">
        <f>IFERROR(__xludf.DUMMYFUNCTION("IF(A1064&lt;&gt;"""", GOOGLETRANSLATE(A1064, ""en"", ""te""),"""")"),"")</f>
        <v/>
      </c>
      <c r="C1064" s="2"/>
      <c r="D1064" s="2" t="str">
        <f>IFERROR(__xludf.DUMMYFUNCTION("IF(C1064&lt;&gt;"""", GOOGLETRANSLATE(C1064, ""en"", ""te""),"""")"),"")</f>
        <v/>
      </c>
      <c r="E1064" s="2"/>
      <c r="F1064" s="2" t="str">
        <f>IFERROR(__xludf.DUMMYFUNCTION("IF(E1064&lt;&gt;"""", GOOGLETRANSLATE(E1064, ""en"", ""te""),"""")"),"")</f>
        <v/>
      </c>
      <c r="G1064" s="2"/>
      <c r="H1064" s="2" t="str">
        <f>IFERROR(__xludf.DUMMYFUNCTION("IF(G1064&lt;&gt;"""", GOOGLETRANSLATE(G1064, ""en"", ""te""),"""")"),"")</f>
        <v/>
      </c>
      <c r="I1064" s="3"/>
    </row>
    <row r="1065" customHeight="1" spans="1:9">
      <c r="A1065" s="2"/>
      <c r="B1065" s="2" t="str">
        <f>IFERROR(__xludf.DUMMYFUNCTION("IF(A1065&lt;&gt;"""", GOOGLETRANSLATE(A1065, ""en"", ""te""),"""")"),"")</f>
        <v/>
      </c>
      <c r="C1065" s="2"/>
      <c r="D1065" s="2" t="str">
        <f>IFERROR(__xludf.DUMMYFUNCTION("IF(C1065&lt;&gt;"""", GOOGLETRANSLATE(C1065, ""en"", ""te""),"""")"),"")</f>
        <v/>
      </c>
      <c r="E1065" s="2"/>
      <c r="F1065" s="2" t="str">
        <f>IFERROR(__xludf.DUMMYFUNCTION("IF(E1065&lt;&gt;"""", GOOGLETRANSLATE(E1065, ""en"", ""te""),"""")"),"")</f>
        <v/>
      </c>
      <c r="G1065" s="2"/>
      <c r="H1065" s="2" t="str">
        <f>IFERROR(__xludf.DUMMYFUNCTION("IF(G1065&lt;&gt;"""", GOOGLETRANSLATE(G1065, ""en"", ""te""),"""")"),"")</f>
        <v/>
      </c>
      <c r="I1065" s="3"/>
    </row>
    <row r="1066" customHeight="1" spans="1:9">
      <c r="A1066" s="2" t="s">
        <v>751</v>
      </c>
      <c r="B1066" s="2" t="str">
        <f>IFERROR(__xludf.DUMMYFUNCTION("IF(A1066&lt;&gt;"""", GOOGLETRANSLATE(A1066, ""en"", ""te""),"""")"),"[ 'హండ్రెడ్ మరియు ఒక మ్యాచ్లో తొంభై', 'తొలి వికెట్కు (415) 1 వ అత్యధిక భాగస్వామ్యం']")</f>
        <v>[ 'హండ్రెడ్ మరియు ఒక మ్యాచ్లో తొంభై', 'తొలి వికెట్కు (415) 1 వ అత్యధిక భాగస్వామ్యం']</v>
      </c>
      <c r="C1066" s="2" t="s">
        <v>752</v>
      </c>
      <c r="D1066" s="2" t="str">
        <f>IFERROR(__xludf.DUMMYFUNCTION("IF(C1066&lt;&gt;"""", GOOGLETRANSLATE(C1066, ""en"", ""te""),"""")"),"[ 'ఏ వికెట్కు 11 వ అత్యధిక భాగస్వామ్యాల (415)', '1 వ అత్యధిక భాగస్వామ్యాలు వికెట్ (1 వ) ద్వారా', 'మొదటి వికెట్కు 1st అత్యధిక భాగస్వామ్యం (415)', 'ఎనిమిదవ వికెట్ (150) 20 అత్యధిక భాగస్వామ్యం']")</f>
        <v>[ 'ఏ వికెట్కు 11 వ అత్యధిక భాగస్వామ్యాల (415)', '1 వ అత్యధిక భాగస్వామ్యాలు వికెట్ (1 వ) ద్వారా', 'మొదటి వికెట్కు 1st అత్యధిక భాగస్వామ్యం (415)', 'ఎనిమిదవ వికెట్ (150) 20 అత్యధిక భాగస్వామ్యం']</v>
      </c>
      <c r="E1066" s="2" t="s">
        <v>753</v>
      </c>
      <c r="F1066" s="2" t="str">
        <f>IFERROR(__xludf.DUMMYFUNCTION("IF(E1066&lt;&gt;"""", GOOGLETRANSLATE(E1066, ""en"", ""te""),"""")"),"[ 'కెరీర్లో 49 వ అతి తక్కువ బాతులు (27.5)']")</f>
        <v>[ 'కెరీర్లో 49 వ అతి తక్కువ బాతులు (27.5)']</v>
      </c>
      <c r="G1066" s="2"/>
      <c r="H1066" s="2" t="str">
        <f>IFERROR(__xludf.DUMMYFUNCTION("IF(G1066&lt;&gt;"""", GOOGLETRANSLATE(G1066, ""en"", ""te""),"""")"),"")</f>
        <v/>
      </c>
      <c r="I1066" s="3"/>
    </row>
    <row r="1067" customHeight="1" spans="1:9">
      <c r="A1067" s="2"/>
      <c r="B1067" s="2" t="str">
        <f>IFERROR(__xludf.DUMMYFUNCTION("IF(A1067&lt;&gt;"""", GOOGLETRANSLATE(A1067, ""en"", ""te""),"""")"),"")</f>
        <v/>
      </c>
      <c r="C1067" s="2"/>
      <c r="D1067" s="2" t="str">
        <f>IFERROR(__xludf.DUMMYFUNCTION("IF(C1067&lt;&gt;"""", GOOGLETRANSLATE(C1067, ""en"", ""te""),"""")"),"")</f>
        <v/>
      </c>
      <c r="E1067" s="2"/>
      <c r="F1067" s="2" t="str">
        <f>IFERROR(__xludf.DUMMYFUNCTION("IF(E1067&lt;&gt;"""", GOOGLETRANSLATE(E1067, ""en"", ""te""),"""")"),"")</f>
        <v/>
      </c>
      <c r="G1067" s="2"/>
      <c r="H1067" s="2" t="str">
        <f>IFERROR(__xludf.DUMMYFUNCTION("IF(G1067&lt;&gt;"""", GOOGLETRANSLATE(G1067, ""en"", ""te""),"""")"),"")</f>
        <v/>
      </c>
      <c r="I1067" s="3"/>
    </row>
    <row r="1068" customHeight="1" spans="1:9">
      <c r="A1068" s="2"/>
      <c r="B1068" s="2" t="str">
        <f>IFERROR(__xludf.DUMMYFUNCTION("IF(A1068&lt;&gt;"""", GOOGLETRANSLATE(A1068, ""en"", ""te""),"""")"),"")</f>
        <v/>
      </c>
      <c r="C1068" s="2"/>
      <c r="D1068" s="2" t="str">
        <f>IFERROR(__xludf.DUMMYFUNCTION("IF(C1068&lt;&gt;"""", GOOGLETRANSLATE(C1068, ""en"", ""te""),"""")"),"")</f>
        <v/>
      </c>
      <c r="E1068" s="2"/>
      <c r="F1068" s="2" t="str">
        <f>IFERROR(__xludf.DUMMYFUNCTION("IF(E1068&lt;&gt;"""", GOOGLETRANSLATE(E1068, ""en"", ""te""),"""")"),"")</f>
        <v/>
      </c>
      <c r="G1068" s="2"/>
      <c r="H1068" s="2" t="str">
        <f>IFERROR(__xludf.DUMMYFUNCTION("IF(G1068&lt;&gt;"""", GOOGLETRANSLATE(G1068, ""en"", ""te""),"""")"),"")</f>
        <v/>
      </c>
      <c r="I1068" s="3"/>
    </row>
    <row r="1069" customHeight="1" spans="1:9">
      <c r="A1069" s="2"/>
      <c r="B1069" s="2" t="str">
        <f>IFERROR(__xludf.DUMMYFUNCTION("IF(A1069&lt;&gt;"""", GOOGLETRANSLATE(A1069, ""en"", ""te""),"""")"),"")</f>
        <v/>
      </c>
      <c r="C1069" s="2"/>
      <c r="D1069" s="2" t="str">
        <f>IFERROR(__xludf.DUMMYFUNCTION("IF(C1069&lt;&gt;"""", GOOGLETRANSLATE(C1069, ""en"", ""te""),"""")"),"")</f>
        <v/>
      </c>
      <c r="E1069" s="2"/>
      <c r="F1069" s="2" t="str">
        <f>IFERROR(__xludf.DUMMYFUNCTION("IF(E1069&lt;&gt;"""", GOOGLETRANSLATE(E1069, ""en"", ""te""),"""")"),"")</f>
        <v/>
      </c>
      <c r="G1069" s="2"/>
      <c r="H1069" s="2" t="str">
        <f>IFERROR(__xludf.DUMMYFUNCTION("IF(G1069&lt;&gt;"""", GOOGLETRANSLATE(G1069, ""en"", ""te""),"""")"),"")</f>
        <v/>
      </c>
      <c r="I1069" s="3"/>
    </row>
    <row r="1070" customHeight="1" spans="1:9">
      <c r="A1070" s="2"/>
      <c r="B1070" s="2" t="str">
        <f>IFERROR(__xludf.DUMMYFUNCTION("IF(A1070&lt;&gt;"""", GOOGLETRANSLATE(A1070, ""en"", ""te""),"""")"),"")</f>
        <v/>
      </c>
      <c r="C1070" s="2"/>
      <c r="D1070" s="2" t="str">
        <f>IFERROR(__xludf.DUMMYFUNCTION("IF(C1070&lt;&gt;"""", GOOGLETRANSLATE(C1070, ""en"", ""te""),"""")"),"")</f>
        <v/>
      </c>
      <c r="E1070" s="2"/>
      <c r="F1070" s="2" t="str">
        <f>IFERROR(__xludf.DUMMYFUNCTION("IF(E1070&lt;&gt;"""", GOOGLETRANSLATE(E1070, ""en"", ""te""),"""")"),"")</f>
        <v/>
      </c>
      <c r="G1070" s="2"/>
      <c r="H1070" s="2" t="str">
        <f>IFERROR(__xludf.DUMMYFUNCTION("IF(G1070&lt;&gt;"""", GOOGLETRANSLATE(G1070, ""en"", ""te""),"""")"),"")</f>
        <v/>
      </c>
      <c r="I1070" s="3"/>
    </row>
    <row r="1071" customHeight="1" spans="1:9">
      <c r="A1071" s="2"/>
      <c r="B1071" s="2" t="str">
        <f>IFERROR(__xludf.DUMMYFUNCTION("IF(A1071&lt;&gt;"""", GOOGLETRANSLATE(A1071, ""en"", ""te""),"""")"),"")</f>
        <v/>
      </c>
      <c r="C1071" s="2"/>
      <c r="D1071" s="2" t="str">
        <f>IFERROR(__xludf.DUMMYFUNCTION("IF(C1071&lt;&gt;"""", GOOGLETRANSLATE(C1071, ""en"", ""te""),"""")"),"")</f>
        <v/>
      </c>
      <c r="E1071" s="2"/>
      <c r="F1071" s="2" t="str">
        <f>IFERROR(__xludf.DUMMYFUNCTION("IF(E1071&lt;&gt;"""", GOOGLETRANSLATE(E1071, ""en"", ""te""),"""")"),"")</f>
        <v/>
      </c>
      <c r="G1071" s="2"/>
      <c r="H1071" s="2" t="str">
        <f>IFERROR(__xludf.DUMMYFUNCTION("IF(G1071&lt;&gt;"""", GOOGLETRANSLATE(G1071, ""en"", ""te""),"""")"),"")</f>
        <v/>
      </c>
      <c r="I1071" s="3"/>
    </row>
    <row r="1072" customHeight="1" spans="1:9">
      <c r="A1072" s="2"/>
      <c r="B1072" s="2" t="str">
        <f>IFERROR(__xludf.DUMMYFUNCTION("IF(A1072&lt;&gt;"""", GOOGLETRANSLATE(A1072, ""en"", ""te""),"""")"),"")</f>
        <v/>
      </c>
      <c r="C1072" s="2"/>
      <c r="D1072" s="2" t="str">
        <f>IFERROR(__xludf.DUMMYFUNCTION("IF(C1072&lt;&gt;"""", GOOGLETRANSLATE(C1072, ""en"", ""te""),"""")"),"")</f>
        <v/>
      </c>
      <c r="E1072" s="2"/>
      <c r="F1072" s="2" t="str">
        <f>IFERROR(__xludf.DUMMYFUNCTION("IF(E1072&lt;&gt;"""", GOOGLETRANSLATE(E1072, ""en"", ""te""),"""")"),"")</f>
        <v/>
      </c>
      <c r="G1072" s="2"/>
      <c r="H1072" s="2" t="str">
        <f>IFERROR(__xludf.DUMMYFUNCTION("IF(G1072&lt;&gt;"""", GOOGLETRANSLATE(G1072, ""en"", ""te""),"""")"),"")</f>
        <v/>
      </c>
      <c r="I1072" s="3"/>
    </row>
    <row r="1073" customHeight="1" spans="1:9">
      <c r="A1073" s="2"/>
      <c r="B1073" s="2" t="str">
        <f>IFERROR(__xludf.DUMMYFUNCTION("IF(A1073&lt;&gt;"""", GOOGLETRANSLATE(A1073, ""en"", ""te""),"""")"),"")</f>
        <v/>
      </c>
      <c r="C1073" s="2"/>
      <c r="D1073" s="2" t="str">
        <f>IFERROR(__xludf.DUMMYFUNCTION("IF(C1073&lt;&gt;"""", GOOGLETRANSLATE(C1073, ""en"", ""te""),"""")"),"")</f>
        <v/>
      </c>
      <c r="E1073" s="2"/>
      <c r="F1073" s="2" t="str">
        <f>IFERROR(__xludf.DUMMYFUNCTION("IF(E1073&lt;&gt;"""", GOOGLETRANSLATE(E1073, ""en"", ""te""),"""")"),"")</f>
        <v/>
      </c>
      <c r="G1073" s="2"/>
      <c r="H1073" s="2" t="str">
        <f>IFERROR(__xludf.DUMMYFUNCTION("IF(G1073&lt;&gt;"""", GOOGLETRANSLATE(G1073, ""en"", ""te""),"""")"),"")</f>
        <v/>
      </c>
      <c r="I1073" s="3"/>
    </row>
    <row r="1074" customHeight="1" spans="1:9">
      <c r="A1074" s="2"/>
      <c r="B1074" s="2" t="str">
        <f>IFERROR(__xludf.DUMMYFUNCTION("IF(A1074&lt;&gt;"""", GOOGLETRANSLATE(A1074, ""en"", ""te""),"""")"),"")</f>
        <v/>
      </c>
      <c r="C1074" s="2"/>
      <c r="D1074" s="2" t="str">
        <f>IFERROR(__xludf.DUMMYFUNCTION("IF(C1074&lt;&gt;"""", GOOGLETRANSLATE(C1074, ""en"", ""te""),"""")"),"")</f>
        <v/>
      </c>
      <c r="E1074" s="2"/>
      <c r="F1074" s="2" t="str">
        <f>IFERROR(__xludf.DUMMYFUNCTION("IF(E1074&lt;&gt;"""", GOOGLETRANSLATE(E1074, ""en"", ""te""),"""")"),"")</f>
        <v/>
      </c>
      <c r="G1074" s="2"/>
      <c r="H1074" s="2" t="str">
        <f>IFERROR(__xludf.DUMMYFUNCTION("IF(G1074&lt;&gt;"""", GOOGLETRANSLATE(G1074, ""en"", ""te""),"""")"),"")</f>
        <v/>
      </c>
      <c r="I1074" s="3"/>
    </row>
    <row r="1075" customHeight="1" spans="1:9">
      <c r="A1075" s="2"/>
      <c r="B1075" s="2" t="str">
        <f>IFERROR(__xludf.DUMMYFUNCTION("IF(A1075&lt;&gt;"""", GOOGLETRANSLATE(A1075, ""en"", ""te""),"""")"),"")</f>
        <v/>
      </c>
      <c r="C1075" s="2"/>
      <c r="D1075" s="2" t="str">
        <f>IFERROR(__xludf.DUMMYFUNCTION("IF(C1075&lt;&gt;"""", GOOGLETRANSLATE(C1075, ""en"", ""te""),"""")"),"")</f>
        <v/>
      </c>
      <c r="E1075" s="2"/>
      <c r="F1075" s="2" t="str">
        <f>IFERROR(__xludf.DUMMYFUNCTION("IF(E1075&lt;&gt;"""", GOOGLETRANSLATE(E1075, ""en"", ""te""),"""")"),"")</f>
        <v/>
      </c>
      <c r="G1075" s="2"/>
      <c r="H1075" s="2" t="str">
        <f>IFERROR(__xludf.DUMMYFUNCTION("IF(G1075&lt;&gt;"""", GOOGLETRANSLATE(G1075, ""en"", ""te""),"""")"),"")</f>
        <v/>
      </c>
      <c r="I1075" s="3"/>
    </row>
    <row r="1076" customHeight="1" spans="1:9">
      <c r="A1076" s="2"/>
      <c r="B1076" s="2" t="str">
        <f>IFERROR(__xludf.DUMMYFUNCTION("IF(A1076&lt;&gt;"""", GOOGLETRANSLATE(A1076, ""en"", ""te""),"""")"),"")</f>
        <v/>
      </c>
      <c r="C1076" s="2" t="s">
        <v>754</v>
      </c>
      <c r="D1076" s="2" t="str">
        <f>IFERROR(__xludf.DUMMYFUNCTION("IF(C1076&lt;&gt;"""", GOOGLETRANSLATE(C1076, ""en"", ""te""),"""")"),"[ '12 వ షార్టేస్ట్ నివసించారు క్రీడాకారులు (27y? డి)']")</f>
        <v>[ '12 వ షార్టేస్ట్ నివసించారు క్రీడాకారులు (27y? డి)']</v>
      </c>
      <c r="E1076" s="2"/>
      <c r="F1076" s="2" t="str">
        <f>IFERROR(__xludf.DUMMYFUNCTION("IF(E1076&lt;&gt;"""", GOOGLETRANSLATE(E1076, ""en"", ""te""),"""")"),"")</f>
        <v/>
      </c>
      <c r="G1076" s="2"/>
      <c r="H1076" s="2" t="str">
        <f>IFERROR(__xludf.DUMMYFUNCTION("IF(G1076&lt;&gt;"""", GOOGLETRANSLATE(G1076, ""en"", ""te""),"""")"),"")</f>
        <v/>
      </c>
      <c r="I1076" s="3"/>
    </row>
    <row r="1077" customHeight="1" spans="1:9">
      <c r="A1077" s="2"/>
      <c r="B1077" s="2" t="str">
        <f>IFERROR(__xludf.DUMMYFUNCTION("IF(A1077&lt;&gt;"""", GOOGLETRANSLATE(A1077, ""en"", ""te""),"""")"),"")</f>
        <v/>
      </c>
      <c r="C1077" s="2"/>
      <c r="D1077" s="2" t="str">
        <f>IFERROR(__xludf.DUMMYFUNCTION("IF(C1077&lt;&gt;"""", GOOGLETRANSLATE(C1077, ""en"", ""te""),"""")"),"")</f>
        <v/>
      </c>
      <c r="E1077" s="2"/>
      <c r="F1077" s="2" t="str">
        <f>IFERROR(__xludf.DUMMYFUNCTION("IF(E1077&lt;&gt;"""", GOOGLETRANSLATE(E1077, ""en"", ""te""),"""")"),"")</f>
        <v/>
      </c>
      <c r="G1077" s="2"/>
      <c r="H1077" s="2" t="str">
        <f>IFERROR(__xludf.DUMMYFUNCTION("IF(G1077&lt;&gt;"""", GOOGLETRANSLATE(G1077, ""en"", ""te""),"""")"),"")</f>
        <v/>
      </c>
      <c r="I1077" s="3"/>
    </row>
    <row r="1078" customHeight="1" spans="1:9">
      <c r="A1078" s="2"/>
      <c r="B1078" s="2" t="str">
        <f>IFERROR(__xludf.DUMMYFUNCTION("IF(A1078&lt;&gt;"""", GOOGLETRANSLATE(A1078, ""en"", ""te""),"""")"),"")</f>
        <v/>
      </c>
      <c r="C1078" s="2"/>
      <c r="D1078" s="2" t="str">
        <f>IFERROR(__xludf.DUMMYFUNCTION("IF(C1078&lt;&gt;"""", GOOGLETRANSLATE(C1078, ""en"", ""te""),"""")"),"")</f>
        <v/>
      </c>
      <c r="E1078" s="2"/>
      <c r="F1078" s="2" t="str">
        <f>IFERROR(__xludf.DUMMYFUNCTION("IF(E1078&lt;&gt;"""", GOOGLETRANSLATE(E1078, ""en"", ""te""),"""")"),"")</f>
        <v/>
      </c>
      <c r="G1078" s="2"/>
      <c r="H1078" s="2" t="str">
        <f>IFERROR(__xludf.DUMMYFUNCTION("IF(G1078&lt;&gt;"""", GOOGLETRANSLATE(G1078, ""en"", ""te""),"""")"),"")</f>
        <v/>
      </c>
      <c r="I1078" s="3"/>
    </row>
    <row r="1079" customHeight="1" spans="1:9">
      <c r="A1079" s="2"/>
      <c r="B1079" s="2" t="str">
        <f>IFERROR(__xludf.DUMMYFUNCTION("IF(A1079&lt;&gt;"""", GOOGLETRANSLATE(A1079, ""en"", ""te""),"""")"),"")</f>
        <v/>
      </c>
      <c r="C1079" s="2"/>
      <c r="D1079" s="2" t="str">
        <f>IFERROR(__xludf.DUMMYFUNCTION("IF(C1079&lt;&gt;"""", GOOGLETRANSLATE(C1079, ""en"", ""te""),"""")"),"")</f>
        <v/>
      </c>
      <c r="E1079" s="2"/>
      <c r="F1079" s="2" t="str">
        <f>IFERROR(__xludf.DUMMYFUNCTION("IF(E1079&lt;&gt;"""", GOOGLETRANSLATE(E1079, ""en"", ""te""),"""")"),"")</f>
        <v/>
      </c>
      <c r="G1079" s="2"/>
      <c r="H1079" s="2" t="str">
        <f>IFERROR(__xludf.DUMMYFUNCTION("IF(G1079&lt;&gt;"""", GOOGLETRANSLATE(G1079, ""en"", ""te""),"""")"),"")</f>
        <v/>
      </c>
      <c r="I1079" s="3"/>
    </row>
    <row r="1080" customHeight="1" spans="1:9">
      <c r="A1080" s="2" t="s">
        <v>755</v>
      </c>
      <c r="B1080" s="2" t="str">
        <f>IFERROR(__xludf.DUMMYFUNCTION("IF(A1080&lt;&gt;"""", GOOGLETRANSLATE(A1080, ""en"", ""te""),"""")"),"[ 'ఒక కెప్టెన్తో ఒక మ్యాచ్లో 5 వ ఉత్తమ బొమ్మలు (11)']")</f>
        <v>[ 'ఒక కెప్టెన్తో ఒక మ్యాచ్లో 5 వ ఉత్తమ బొమ్మలు (11)']</v>
      </c>
      <c r="C1080" s="2" t="s">
        <v>756</v>
      </c>
      <c r="D1080" s="2" t="str">
        <f>IFERROR(__xludf.DUMMYFUNCTION("IF(C1080&lt;&gt;"""", GOOGLETRANSLATE(C1080, ""en"", ""te""),"""")"),"[ '16 వ ఉత్తమ కెప్టెన్ ఒక ఇన్నింగ్స్ లో సంఖ్యలు (6)', 'ఒక కెప్టెన్ (11) ఒక మ్యాచ్లో 5 వ బెస్ట్ ఫిగర్స్']")</f>
        <v>[ '16 వ ఉత్తమ కెప్టెన్ ఒక ఇన్నింగ్స్ లో సంఖ్యలు (6)', 'ఒక కెప్టెన్ (11) ఒక మ్యాచ్లో 5 వ బెస్ట్ ఫిగర్స్']</v>
      </c>
      <c r="E1080" s="2"/>
      <c r="F1080" s="2" t="str">
        <f>IFERROR(__xludf.DUMMYFUNCTION("IF(E1080&lt;&gt;"""", GOOGLETRANSLATE(E1080, ""en"", ""te""),"""")"),"")</f>
        <v/>
      </c>
      <c r="G1080" s="2"/>
      <c r="H1080" s="2" t="str">
        <f>IFERROR(__xludf.DUMMYFUNCTION("IF(G1080&lt;&gt;"""", GOOGLETRANSLATE(G1080, ""en"", ""te""),"""")"),"")</f>
        <v/>
      </c>
      <c r="I1080" s="3"/>
    </row>
    <row r="1081" customHeight="1" spans="1:9">
      <c r="A1081" s="2"/>
      <c r="B1081" s="2" t="str">
        <f>IFERROR(__xludf.DUMMYFUNCTION("IF(A1081&lt;&gt;"""", GOOGLETRANSLATE(A1081, ""en"", ""te""),"""")"),"")</f>
        <v/>
      </c>
      <c r="C1081" s="2"/>
      <c r="D1081" s="2" t="str">
        <f>IFERROR(__xludf.DUMMYFUNCTION("IF(C1081&lt;&gt;"""", GOOGLETRANSLATE(C1081, ""en"", ""te""),"""")"),"")</f>
        <v/>
      </c>
      <c r="E1081" s="2"/>
      <c r="F1081" s="2" t="str">
        <f>IFERROR(__xludf.DUMMYFUNCTION("IF(E1081&lt;&gt;"""", GOOGLETRANSLATE(E1081, ""en"", ""te""),"""")"),"")</f>
        <v/>
      </c>
      <c r="G1081" s="2"/>
      <c r="H1081" s="2" t="str">
        <f>IFERROR(__xludf.DUMMYFUNCTION("IF(G1081&lt;&gt;"""", GOOGLETRANSLATE(G1081, ""en"", ""te""),"""")"),"")</f>
        <v/>
      </c>
      <c r="I1081" s="3"/>
    </row>
    <row r="1082" customHeight="1" spans="1:9">
      <c r="A1082" s="2"/>
      <c r="B1082" s="2" t="str">
        <f>IFERROR(__xludf.DUMMYFUNCTION("IF(A1082&lt;&gt;"""", GOOGLETRANSLATE(A1082, ""en"", ""te""),"""")"),"")</f>
        <v/>
      </c>
      <c r="C1082" s="2"/>
      <c r="D1082" s="2" t="str">
        <f>IFERROR(__xludf.DUMMYFUNCTION("IF(C1082&lt;&gt;"""", GOOGLETRANSLATE(C1082, ""en"", ""te""),"""")"),"")</f>
        <v/>
      </c>
      <c r="E1082" s="2"/>
      <c r="F1082" s="2" t="str">
        <f>IFERROR(__xludf.DUMMYFUNCTION("IF(E1082&lt;&gt;"""", GOOGLETRANSLATE(E1082, ""en"", ""te""),"""")"),"")</f>
        <v/>
      </c>
      <c r="G1082" s="2"/>
      <c r="H1082" s="2" t="str">
        <f>IFERROR(__xludf.DUMMYFUNCTION("IF(G1082&lt;&gt;"""", GOOGLETRANSLATE(G1082, ""en"", ""te""),"""")"),"")</f>
        <v/>
      </c>
      <c r="I1082" s="3"/>
    </row>
    <row r="1083" customHeight="1" spans="1:9">
      <c r="A1083" s="2"/>
      <c r="B1083" s="2" t="str">
        <f>IFERROR(__xludf.DUMMYFUNCTION("IF(A1083&lt;&gt;"""", GOOGLETRANSLATE(A1083, ""en"", ""te""),"""")"),"")</f>
        <v/>
      </c>
      <c r="C1083" s="2"/>
      <c r="D1083" s="2" t="str">
        <f>IFERROR(__xludf.DUMMYFUNCTION("IF(C1083&lt;&gt;"""", GOOGLETRANSLATE(C1083, ""en"", ""te""),"""")"),"")</f>
        <v/>
      </c>
      <c r="E1083" s="2"/>
      <c r="F1083" s="2" t="str">
        <f>IFERROR(__xludf.DUMMYFUNCTION("IF(E1083&lt;&gt;"""", GOOGLETRANSLATE(E1083, ""en"", ""te""),"""")"),"")</f>
        <v/>
      </c>
      <c r="G1083" s="2"/>
      <c r="H1083" s="2" t="str">
        <f>IFERROR(__xludf.DUMMYFUNCTION("IF(G1083&lt;&gt;"""", GOOGLETRANSLATE(G1083, ""en"", ""te""),"""")"),"")</f>
        <v/>
      </c>
      <c r="I1083" s="3"/>
    </row>
    <row r="1084" customHeight="1" spans="1:9">
      <c r="A1084" s="2"/>
      <c r="B1084" s="2" t="str">
        <f>IFERROR(__xludf.DUMMYFUNCTION("IF(A1084&lt;&gt;"""", GOOGLETRANSLATE(A1084, ""en"", ""te""),"""")"),"")</f>
        <v/>
      </c>
      <c r="C1084" s="2"/>
      <c r="D1084" s="2" t="str">
        <f>IFERROR(__xludf.DUMMYFUNCTION("IF(C1084&lt;&gt;"""", GOOGLETRANSLATE(C1084, ""en"", ""te""),"""")"),"")</f>
        <v/>
      </c>
      <c r="E1084" s="2"/>
      <c r="F1084" s="2" t="str">
        <f>IFERROR(__xludf.DUMMYFUNCTION("IF(E1084&lt;&gt;"""", GOOGLETRANSLATE(E1084, ""en"", ""te""),"""")"),"")</f>
        <v/>
      </c>
      <c r="G1084" s="2"/>
      <c r="H1084" s="2" t="str">
        <f>IFERROR(__xludf.DUMMYFUNCTION("IF(G1084&lt;&gt;"""", GOOGLETRANSLATE(G1084, ""en"", ""te""),"""")"),"")</f>
        <v/>
      </c>
      <c r="I1084" s="3"/>
    </row>
    <row r="1085" customHeight="1" spans="1:9">
      <c r="A1085" s="2"/>
      <c r="B1085" s="2" t="str">
        <f>IFERROR(__xludf.DUMMYFUNCTION("IF(A1085&lt;&gt;"""", GOOGLETRANSLATE(A1085, ""en"", ""te""),"""")"),"")</f>
        <v/>
      </c>
      <c r="C1085" s="2"/>
      <c r="D1085" s="2" t="str">
        <f>IFERROR(__xludf.DUMMYFUNCTION("IF(C1085&lt;&gt;"""", GOOGLETRANSLATE(C1085, ""en"", ""te""),"""")"),"")</f>
        <v/>
      </c>
      <c r="E1085" s="2"/>
      <c r="F1085" s="2" t="str">
        <f>IFERROR(__xludf.DUMMYFUNCTION("IF(E1085&lt;&gt;"""", GOOGLETRANSLATE(E1085, ""en"", ""te""),"""")"),"")</f>
        <v/>
      </c>
      <c r="G1085" s="2"/>
      <c r="H1085" s="2" t="str">
        <f>IFERROR(__xludf.DUMMYFUNCTION("IF(G1085&lt;&gt;"""", GOOGLETRANSLATE(G1085, ""en"", ""te""),"""")"),"")</f>
        <v/>
      </c>
      <c r="I1085" s="3"/>
    </row>
    <row r="1086" customHeight="1" spans="1:9">
      <c r="A1086" s="2"/>
      <c r="B1086" s="2" t="str">
        <f>IFERROR(__xludf.DUMMYFUNCTION("IF(A1086&lt;&gt;"""", GOOGLETRANSLATE(A1086, ""en"", ""te""),"""")"),"")</f>
        <v/>
      </c>
      <c r="C1086" s="2"/>
      <c r="D1086" s="2" t="str">
        <f>IFERROR(__xludf.DUMMYFUNCTION("IF(C1086&lt;&gt;"""", GOOGLETRANSLATE(C1086, ""en"", ""te""),"""")"),"")</f>
        <v/>
      </c>
      <c r="E1086" s="2"/>
      <c r="F1086" s="2" t="str">
        <f>IFERROR(__xludf.DUMMYFUNCTION("IF(E1086&lt;&gt;"""", GOOGLETRANSLATE(E1086, ""en"", ""te""),"""")"),"")</f>
        <v/>
      </c>
      <c r="G1086" s="2"/>
      <c r="H1086" s="2" t="str">
        <f>IFERROR(__xludf.DUMMYFUNCTION("IF(G1086&lt;&gt;"""", GOOGLETRANSLATE(G1086, ""en"", ""te""),"""")"),"")</f>
        <v/>
      </c>
      <c r="I1086" s="3"/>
    </row>
    <row r="1087" customHeight="1" spans="1:9">
      <c r="A1087" s="2" t="s">
        <v>757</v>
      </c>
      <c r="B1087" s="2" t="str">
        <f>IFERROR(__xludf.DUMMYFUNCTION("IF(A1087&lt;&gt;"""", GOOGLETRANSLATE(A1087, ""en"", ""te""),"""")"),"[ '4 వ అత్యధిక వరుస పది వికెట్లు లో ఒక మ్యాచ్ (2)', '3 వ బౌలర్ / ఫీల్డర్ కలయికలు (84)', 'ఇన్నింగ్స్ లో 3 వ అత్యధిక పరుగులు (బ్యాటింగ్ స్థానంలో ప్రకారం) (42 *)', '1st బౌలర్ / ఫీల్డర్ కలయికలు (75) ',' 6 వ వేగవంతమైన 200 వికెట్లు (126) ',' 6 వ అత్యధిక వరుస న"&amp;"ాలుగు వికెట్లు-ఇన్-ఒక-ఇన్నింగ్స్ (5) ',' 2 వ బౌలర్ / ఫీల్డర్ కలయికలు (161) ']")</f>
        <v>[ '4 వ అత్యధిక వరుస పది వికెట్లు లో ఒక మ్యాచ్ (2)', '3 వ బౌలర్ / ఫీల్డర్ కలయికలు (84)', 'ఇన్నింగ్స్ లో 3 వ అత్యధిక పరుగులు (బ్యాటింగ్ స్థానంలో ప్రకారం) (42 *)', '1st బౌలర్ / ఫీల్డర్ కలయికలు (75) ',' 6 వ వేగవంతమైన 200 వికెట్లు (126) ',' 6 వ అత్యధిక వరుస నాలుగు వికెట్లు-ఇన్-ఒక-ఇన్నింగ్స్ (5) ',' 2 వ బౌలర్ / ఫీల్డర్ కలయికలు (161) ']</v>
      </c>
      <c r="C1087" s="2" t="s">
        <v>758</v>
      </c>
      <c r="D1087" s="2" t="str">
        <f>IFERROR(__xludf.DUMMYFUNCTION("IF(C1087&lt;&gt;"""", GOOGLETRANSLATE(C1087, ""en"", ""te""),"""")"),"[ '19 కెరీర్ బాతులు (21)', '18 వ అత్యధిక వికెట్లు కెరీర్లో (390)', '25 వ మ్యాచ్ లో బెస్ట్ ఫిగర్స్ (13)', '49 వ ఒక క్యాలెండర్ సంవత్సరంలో అత్యధిక వికెట్లు (59)', '34 వ ఒకే మైదానంలో అత్యధిక వికెట్లు (54) ',' 40 వ ఒక మ్యాచ్ ఉన్నప్పుడు పరాజయం వైపు (10) ',' 2"&amp;"4 వ అత్యంత అయిదు వికెట్లు-ఇన్-ఒక-ఇన్నింగ్స్ కెరీర్లో (18) ',' 19 'బెస్ట్ ఫిగర్స్ అత్యంత పది వికెట్లు లో ఒక మ్యాచ్ ఒక కెరీర్ (4) ',' 4 వ అత్యధిక వరుస పది వికెట్లు లో ఒక మ్యాచ్ (2) ',' 24 వ కెరీర్ లో బౌల్డ్ అత్యంత బంతుల్లో (20834) ',' 13 వ లో కెరీర్లో సాధిం"&amp;"చిన అత్యధిక పరుగులు (11242) ',' 3 వ బౌలర్ / ఫీల్డర్ కలయికలు (84) ',' 24 వ అత్యధిక వికెట్లు తీసుకున్న బౌల్డ్ (72) ',' 8 వ అత్యధిక వికెట్లు తీసుకున్న ఆకర్షించింది (294) ',' 10 వ అత్యధిక వికెట్లు తీసుకున్న పట్టుకుంటే ఒక ఫీల్డర్ (205) ',' 15 వ అత్యధిక వికెట్ల"&amp;"ు చిక్కుకున్న వికెట్కీపర్గా (89) ',' 30 వ సాధించిన వేగవంతమైన 250 వికెట్లు తీసుకున్న (65) ', '21 వ 300 వికెట్లు (74)', '19 350 వికెట్లు వేగంగా వేగంగా ( 90) ',' 24 వ అత్యంత ప్లేయర్ ఆఫ్ ది సిరీస్ అవార్డులు (4) ']")</f>
        <v>[ '19 కెరీర్ బాతులు (21)', '18 వ అత్యధిక వికెట్లు కెరీర్లో (390)', '25 వ మ్యాచ్ లో బెస్ట్ ఫిగర్స్ (13)', '49 వ ఒక క్యాలెండర్ సంవత్సరంలో అత్యధిక వికెట్లు (59)', '34 వ ఒకే మైదానంలో అత్యధిక వికెట్లు (54) ',' 40 వ ఒక మ్యాచ్ ఉన్నప్పుడు పరాజయం వైపు (10) ',' 24 వ అత్యంత అయిదు వికెట్లు-ఇన్-ఒక-ఇన్నింగ్స్ కెరీర్లో (18) ',' 19 'బెస్ట్ ఫిగర్స్ అత్యంత పది వికెట్లు లో ఒక మ్యాచ్ ఒక కెరీర్ (4) ',' 4 వ అత్యధిక వరుస పది వికెట్లు లో ఒక మ్యాచ్ (2) ',' 24 వ కెరీర్ లో బౌల్డ్ అత్యంత బంతుల్లో (20834) ',' 13 వ లో కెరీర్లో సాధించిన అత్యధిక పరుగులు (11242) ',' 3 వ బౌలర్ / ఫీల్డర్ కలయికలు (84) ',' 24 వ అత్యధిక వికెట్లు తీసుకున్న బౌల్డ్ (72) ',' 8 వ అత్యధిక వికెట్లు తీసుకున్న ఆకర్షించింది (294) ',' 10 వ అత్యధిక వికెట్లు తీసుకున్న పట్టుకుంటే ఒక ఫీల్డర్ (205) ',' 15 వ అత్యధిక వికెట్లు చిక్కుకున్న వికెట్కీపర్గా (89) ',' 30 వ సాధించిన వేగవంతమైన 250 వికెట్లు తీసుకున్న (65) ', '21 వ 300 వికెట్లు (74)', '19 350 వికెట్లు వేగంగా వేగంగా ( 90) ',' 24 వ అత్యంత ప్లేయర్ ఆఫ్ ది సిరీస్ అవార్డులు (4) ']</v>
      </c>
      <c r="E1087" s="2" t="s">
        <v>759</v>
      </c>
      <c r="F1087" s="2" t="str">
        <f>IFERROR(__xludf.DUMMYFUNCTION("IF(E1087&lt;&gt;"""", GOOGLETRANSLATE(E1087, ""en"", ""te""),"""")"),"[ 'ఇన్నింగ్స్ లో 3 వ అత్యధిక పరుగులు (బ్యాటింగ్ స్థానంలో ప్రకారం) (42 *)', 'కెరీర్లో 25 వ అత్యధిక వికెట్లు (266)', 'ఇన్నింగ్స్ లో 28 బెస్ట్ ఫిగర్స్ (6/22)', '18 వ ఒక అత్యధిక వికెట్లు క్యాలెండర్ ఏడాది (50) ',' ఇన్నింగ్స్ లో 47 వ ఉత్తమ సమ్మె రేటు (7.2) ',' "&amp;"15 వ అత్యంత ఐదు-వికెట్ల లో-ఒక-ఇన్నింగ్స్ కెరీర్లో (4) ',' 16 వ అత్యంత నాలుగు వికెట్లు-ఇన్-ఒక ఒక వృత్తిలో -innings (12) ',' 31 కెరీర్లో బౌల్డ్ చాలా బంతుల్లో (8687) ',' 33 వ కెరీర్ లో సాధించిన అత్యధిక పరుగులు (6559) ',' 1 వ బౌలర్ / ఫీల్డర్ కలయికలు (75) ',' "&amp;"45 వ అత్యధిక వికెట్లు తీసుకున్న బౌల్డ్ (46) ',' 7 వ అత్యధిక వికెట్లు తీసుకున్న ఆకర్షించింది (211) ',' 17 వ అత్యధిక వికెట్లు ఒక ఫీల్డర్ చేత క్యాచ్ తీసుకున్న (135) ',' 5 వ అత్యధిక వికెట్లు సాధించిన వికెట్కీపర్గా (76) ',' 45 వ 100 వేగవంతమైన పట్టుకుంటే తీసుక"&amp;"ున్న వికెట్లు (69) ',' 17 వ 150 వికెట్లు (97) 200 వికెట్లు (126) కు ',' 6 వ వేగవంతమైన ',' 250 వికెట్లు 7 వేగంగా (162) వేగంగా ']")</f>
        <v>[ 'ఇన్నింగ్స్ లో 3 వ అత్యధిక పరుగులు (బ్యాటింగ్ స్థానంలో ప్రకారం) (42 *)', 'కెరీర్లో 25 వ అత్యధిక వికెట్లు (266)', 'ఇన్నింగ్స్ లో 28 బెస్ట్ ఫిగర్స్ (6/22)', '18 వ ఒక అత్యధిక వికెట్లు క్యాలెండర్ ఏడాది (50) ',' ఇన్నింగ్స్ లో 47 వ ఉత్తమ సమ్మె రేటు (7.2) ',' 15 వ అత్యంత ఐదు-వికెట్ల లో-ఒక-ఇన్నింగ్స్ కెరీర్లో (4) ',' 16 వ అత్యంత నాలుగు వికెట్లు-ఇన్-ఒక ఒక వృత్తిలో -innings (12) ',' 31 కెరీర్లో బౌల్డ్ చాలా బంతుల్లో (8687) ',' 33 వ కెరీర్ లో సాధించిన అత్యధిక పరుగులు (6559) ',' 1 వ బౌలర్ / ఫీల్డర్ కలయికలు (75) ',' 45 వ అత్యధిక వికెట్లు తీసుకున్న బౌల్డ్ (46) ',' 7 వ అత్యధిక వికెట్లు తీసుకున్న ఆకర్షించింది (211) ',' 17 వ అత్యధిక వికెట్లు ఒక ఫీల్డర్ చేత క్యాచ్ తీసుకున్న (135) ',' 5 వ అత్యధిక వికెట్లు సాధించిన వికెట్కీపర్గా (76) ',' 45 వ 100 వేగవంతమైన పట్టుకుంటే తీసుకున్న వికెట్లు (69) ',' 17 వ 150 వికెట్లు (97) 200 వికెట్లు (126) కు ',' 6 వ వేగవంతమైన ',' 250 వికెట్లు 7 వేగంగా (162) వేగంగా ']</v>
      </c>
      <c r="G1087" s="2"/>
      <c r="H1087" s="2" t="str">
        <f>IFERROR(__xludf.DUMMYFUNCTION("IF(G1087&lt;&gt;"""", GOOGLETRANSLATE(G1087, ""en"", ""te""),"""")"),"")</f>
        <v/>
      </c>
      <c r="I1087" s="3"/>
    </row>
    <row r="1088" customHeight="1" spans="1:9">
      <c r="A1088" s="2"/>
      <c r="B1088" s="2" t="str">
        <f>IFERROR(__xludf.DUMMYFUNCTION("IF(A1088&lt;&gt;"""", GOOGLETRANSLATE(A1088, ""en"", ""te""),"""")"),"")</f>
        <v/>
      </c>
      <c r="C1088" s="2"/>
      <c r="D1088" s="2" t="str">
        <f>IFERROR(__xludf.DUMMYFUNCTION("IF(C1088&lt;&gt;"""", GOOGLETRANSLATE(C1088, ""en"", ""te""),"""")"),"")</f>
        <v/>
      </c>
      <c r="E1088" s="2"/>
      <c r="F1088" s="2" t="str">
        <f>IFERROR(__xludf.DUMMYFUNCTION("IF(E1088&lt;&gt;"""", GOOGLETRANSLATE(E1088, ""en"", ""te""),"""")"),"")</f>
        <v/>
      </c>
      <c r="G1088" s="2"/>
      <c r="H1088" s="2" t="str">
        <f>IFERROR(__xludf.DUMMYFUNCTION("IF(G1088&lt;&gt;"""", GOOGLETRANSLATE(G1088, ""en"", ""te""),"""")"),"")</f>
        <v/>
      </c>
      <c r="I1088" s="3"/>
    </row>
    <row r="1089" customHeight="1" spans="1:9">
      <c r="A1089" s="2"/>
      <c r="B1089" s="2" t="str">
        <f>IFERROR(__xludf.DUMMYFUNCTION("IF(A1089&lt;&gt;"""", GOOGLETRANSLATE(A1089, ""en"", ""te""),"""")"),"")</f>
        <v/>
      </c>
      <c r="C1089" s="2"/>
      <c r="D1089" s="2" t="str">
        <f>IFERROR(__xludf.DUMMYFUNCTION("IF(C1089&lt;&gt;"""", GOOGLETRANSLATE(C1089, ""en"", ""te""),"""")"),"")</f>
        <v/>
      </c>
      <c r="E1089" s="2"/>
      <c r="F1089" s="2" t="str">
        <f>IFERROR(__xludf.DUMMYFUNCTION("IF(E1089&lt;&gt;"""", GOOGLETRANSLATE(E1089, ""en"", ""te""),"""")"),"")</f>
        <v/>
      </c>
      <c r="G1089" s="2"/>
      <c r="H1089" s="2" t="str">
        <f>IFERROR(__xludf.DUMMYFUNCTION("IF(G1089&lt;&gt;"""", GOOGLETRANSLATE(G1089, ""en"", ""te""),"""")"),"")</f>
        <v/>
      </c>
      <c r="I1089" s="3"/>
    </row>
    <row r="1090" customHeight="1" spans="1:9">
      <c r="A1090" s="2"/>
      <c r="B1090" s="2" t="str">
        <f>IFERROR(__xludf.DUMMYFUNCTION("IF(A1090&lt;&gt;"""", GOOGLETRANSLATE(A1090, ""en"", ""te""),"""")"),"")</f>
        <v/>
      </c>
      <c r="C1090" s="2"/>
      <c r="D1090" s="2" t="str">
        <f>IFERROR(__xludf.DUMMYFUNCTION("IF(C1090&lt;&gt;"""", GOOGLETRANSLATE(C1090, ""en"", ""te""),"""")"),"")</f>
        <v/>
      </c>
      <c r="E1090" s="2"/>
      <c r="F1090" s="2" t="str">
        <f>IFERROR(__xludf.DUMMYFUNCTION("IF(E1090&lt;&gt;"""", GOOGLETRANSLATE(E1090, ""en"", ""te""),"""")"),"")</f>
        <v/>
      </c>
      <c r="G1090" s="2"/>
      <c r="H1090" s="2" t="str">
        <f>IFERROR(__xludf.DUMMYFUNCTION("IF(G1090&lt;&gt;"""", GOOGLETRANSLATE(G1090, ""en"", ""te""),"""")"),"")</f>
        <v/>
      </c>
      <c r="I1090" s="3"/>
    </row>
    <row r="1091" customHeight="1" spans="1:9">
      <c r="A1091" s="2"/>
      <c r="B1091" s="2" t="str">
        <f>IFERROR(__xludf.DUMMYFUNCTION("IF(A1091&lt;&gt;"""", GOOGLETRANSLATE(A1091, ""en"", ""te""),"""")"),"")</f>
        <v/>
      </c>
      <c r="C1091" s="2"/>
      <c r="D1091" s="2" t="str">
        <f>IFERROR(__xludf.DUMMYFUNCTION("IF(C1091&lt;&gt;"""", GOOGLETRANSLATE(C1091, ""en"", ""te""),"""")"),"")</f>
        <v/>
      </c>
      <c r="E1091" s="2"/>
      <c r="F1091" s="2" t="str">
        <f>IFERROR(__xludf.DUMMYFUNCTION("IF(E1091&lt;&gt;"""", GOOGLETRANSLATE(E1091, ""en"", ""te""),"""")"),"")</f>
        <v/>
      </c>
      <c r="G1091" s="2"/>
      <c r="H1091" s="2" t="str">
        <f>IFERROR(__xludf.DUMMYFUNCTION("IF(G1091&lt;&gt;"""", GOOGLETRANSLATE(G1091, ""en"", ""te""),"""")"),"")</f>
        <v/>
      </c>
      <c r="I1091" s="3"/>
    </row>
    <row r="1092" customHeight="1" spans="1:9">
      <c r="A1092" s="2"/>
      <c r="B1092" s="2" t="str">
        <f>IFERROR(__xludf.DUMMYFUNCTION("IF(A1092&lt;&gt;"""", GOOGLETRANSLATE(A1092, ""en"", ""te""),"""")"),"")</f>
        <v/>
      </c>
      <c r="C1092" s="2"/>
      <c r="D1092" s="2" t="str">
        <f>IFERROR(__xludf.DUMMYFUNCTION("IF(C1092&lt;&gt;"""", GOOGLETRANSLATE(C1092, ""en"", ""te""),"""")"),"")</f>
        <v/>
      </c>
      <c r="E1092" s="2"/>
      <c r="F1092" s="2" t="str">
        <f>IFERROR(__xludf.DUMMYFUNCTION("IF(E1092&lt;&gt;"""", GOOGLETRANSLATE(E1092, ""en"", ""te""),"""")"),"")</f>
        <v/>
      </c>
      <c r="G1092" s="2"/>
      <c r="H1092" s="2" t="str">
        <f>IFERROR(__xludf.DUMMYFUNCTION("IF(G1092&lt;&gt;"""", GOOGLETRANSLATE(G1092, ""en"", ""te""),"""")"),"")</f>
        <v/>
      </c>
      <c r="I1092" s="3"/>
    </row>
    <row r="1093" customHeight="1" spans="1:9">
      <c r="A1093" s="2" t="s">
        <v>760</v>
      </c>
      <c r="B1093" s="2" t="str">
        <f>IFERROR(__xludf.DUMMYFUNCTION("IF(A1093&lt;&gt;"""", GOOGLETRANSLATE(A1093, ""en"", ""te""),"""")"),"[ '3 వ ఉత్తమ కెరీర్ సమ్మె రేటు (24.8)', '8 వ ఒక ఇన్నింగ్స్ లోని బెస్ట్ ఫిగర్స్ ఉన్నప్పుడు పరాజయం వైపు (4)']")</f>
        <v>[ '3 వ ఉత్తమ కెరీర్ సమ్మె రేటు (24.8)', '8 వ ఒక ఇన్నింగ్స్ లోని బెస్ట్ ఫిగర్స్ ఉన్నప్పుడు పరాజయం వైపు (4)']</v>
      </c>
      <c r="C1093" s="2" t="s">
        <v>761</v>
      </c>
      <c r="D1093" s="2" t="str">
        <f>IFERROR(__xludf.DUMMYFUNCTION("IF(C1093&lt;&gt;"""", GOOGLETRANSLATE(C1093, ""en"", ""te""),"""")"),"[ 'తొలి ఇన్నింగ్స్లో 22 బెస్ట్ ఫిగర్స్ (6)']")</f>
        <v>[ 'తొలి ఇన్నింగ్స్లో 22 బెస్ట్ ఫిగర్స్ (6)']</v>
      </c>
      <c r="E1093" s="2" t="s">
        <v>762</v>
      </c>
      <c r="F1093" s="2" t="str">
        <f>IFERROR(__xludf.DUMMYFUNCTION("IF(E1093&lt;&gt;"""", GOOGLETRANSLATE(E1093, ""en"", ""te""),"""")"),"[ '36 వ ఉత్తమ కెరీర్ బౌలింగ్ సరాసరి (23.53)', '3 వ ఉత్తమ కెరీర్ సమ్మె రేటు (24.8)', '40 వ చెత్త కెరీర్లో ఆర్థిక రేటు (5.67)', 'ఫాస్టెస్ట్ 50 వికెట్లు 11 వ (26)']")</f>
        <v>[ '36 వ ఉత్తమ కెరీర్ బౌలింగ్ సరాసరి (23.53)', '3 వ ఉత్తమ కెరీర్ సమ్మె రేటు (24.8)', '40 వ చెత్త కెరీర్లో ఆర్థిక రేటు (5.67)', 'ఫాస్టెస్ట్ 50 వికెట్లు 11 వ (26)']</v>
      </c>
      <c r="G1093" s="2" t="s">
        <v>763</v>
      </c>
      <c r="H1093" s="2" t="str">
        <f>IFERROR(__xludf.DUMMYFUNCTION("IF(G1093&lt;&gt;"""", GOOGLETRANSLATE(G1093, ""en"", ""te""),"""")"),"[ 'ఒక ఇన్నింగ్స్ లో 8 వ బెస్ట్ ఫిగర్స్ పరాజయం వైపు (4) ఉన్నప్పుడు', '33 వ అత్యధిక వికెట్లు సాధించిన వికెట్కీపర్గా (6) పట్టుకుంటే తీసిన]")</f>
        <v>[ 'ఒక ఇన్నింగ్స్ లో 8 వ బెస్ట్ ఫిగర్స్ పరాజయం వైపు (4) ఉన్నప్పుడు', '33 వ అత్యధిక వికెట్లు సాధించిన వికెట్కీపర్గా (6) పట్టుకుంటే తీసిన]</v>
      </c>
      <c r="I1093" s="3"/>
    </row>
    <row r="1094" customHeight="1" spans="1:9">
      <c r="A1094" s="2"/>
      <c r="B1094" s="2" t="str">
        <f>IFERROR(__xludf.DUMMYFUNCTION("IF(A1094&lt;&gt;"""", GOOGLETRANSLATE(A1094, ""en"", ""te""),"""")"),"")</f>
        <v/>
      </c>
      <c r="C1094" s="2"/>
      <c r="D1094" s="2" t="str">
        <f>IFERROR(__xludf.DUMMYFUNCTION("IF(C1094&lt;&gt;"""", GOOGLETRANSLATE(C1094, ""en"", ""te""),"""")"),"")</f>
        <v/>
      </c>
      <c r="E1094" s="2"/>
      <c r="F1094" s="2" t="str">
        <f>IFERROR(__xludf.DUMMYFUNCTION("IF(E1094&lt;&gt;"""", GOOGLETRANSLATE(E1094, ""en"", ""te""),"""")"),"")</f>
        <v/>
      </c>
      <c r="G1094" s="2"/>
      <c r="H1094" s="2" t="str">
        <f>IFERROR(__xludf.DUMMYFUNCTION("IF(G1094&lt;&gt;"""", GOOGLETRANSLATE(G1094, ""en"", ""te""),"""")"),"")</f>
        <v/>
      </c>
      <c r="I1094" s="3"/>
    </row>
    <row r="1095" customHeight="1" spans="1:9">
      <c r="A1095" s="2" t="s">
        <v>323</v>
      </c>
      <c r="B1095" s="2" t="str">
        <f>IFERROR(__xludf.DUMMYFUNCTION("IF(A1095&lt;&gt;"""", GOOGLETRANSLATE(A1095, ""en"", ""te""),"""")"),"[ '4 వ అత్యధిక వరుస బాతులు (4)']")</f>
        <v>[ '4 వ అత్యధిక వరుస బాతులు (4)']</v>
      </c>
      <c r="C1095" s="2" t="s">
        <v>323</v>
      </c>
      <c r="D1095" s="2" t="str">
        <f>IFERROR(__xludf.DUMMYFUNCTION("IF(C1095&lt;&gt;"""", GOOGLETRANSLATE(C1095, ""en"", ""te""),"""")"),"[ '4 వ అత్యధిక వరుస బాతులు (4)']")</f>
        <v>[ '4 వ అత్యధిక వరుస బాతులు (4)']</v>
      </c>
      <c r="E1095" s="2" t="s">
        <v>502</v>
      </c>
      <c r="F1095" s="2" t="str">
        <f>IFERROR(__xludf.DUMMYFUNCTION("IF(E1095&lt;&gt;"""", GOOGLETRANSLATE(E1095, ""en"", ""te""),"""")"),"[ '14 వ ఒక ఇన్నింగ్స్ లోని బెస్ట్ ఫిగర్స్ ఉన్నప్పుడు పరాజయం వైపు (5)']")</f>
        <v>[ '14 వ ఒక ఇన్నింగ్స్ లోని బెస్ట్ ఫిగర్స్ ఉన్నప్పుడు పరాజయం వైపు (5)']</v>
      </c>
      <c r="G1095" s="2"/>
      <c r="H1095" s="2" t="str">
        <f>IFERROR(__xludf.DUMMYFUNCTION("IF(G1095&lt;&gt;"""", GOOGLETRANSLATE(G1095, ""en"", ""te""),"""")"),"")</f>
        <v/>
      </c>
      <c r="I1095" s="3"/>
    </row>
    <row r="1096" customHeight="1" spans="1:9">
      <c r="A1096" s="2"/>
      <c r="B1096" s="2" t="str">
        <f>IFERROR(__xludf.DUMMYFUNCTION("IF(A1096&lt;&gt;"""", GOOGLETRANSLATE(A1096, ""en"", ""te""),"""")"),"")</f>
        <v/>
      </c>
      <c r="C1096" s="2"/>
      <c r="D1096" s="2" t="str">
        <f>IFERROR(__xludf.DUMMYFUNCTION("IF(C1096&lt;&gt;"""", GOOGLETRANSLATE(C1096, ""en"", ""te""),"""")"),"")</f>
        <v/>
      </c>
      <c r="E1096" s="2"/>
      <c r="F1096" s="2" t="str">
        <f>IFERROR(__xludf.DUMMYFUNCTION("IF(E1096&lt;&gt;"""", GOOGLETRANSLATE(E1096, ""en"", ""te""),"""")"),"")</f>
        <v/>
      </c>
      <c r="G1096" s="2"/>
      <c r="H1096" s="2" t="str">
        <f>IFERROR(__xludf.DUMMYFUNCTION("IF(G1096&lt;&gt;"""", GOOGLETRANSLATE(G1096, ""en"", ""te""),"""")"),"")</f>
        <v/>
      </c>
      <c r="I1096" s="3"/>
    </row>
    <row r="1097" customHeight="1" spans="1:9">
      <c r="A1097" s="2"/>
      <c r="B1097" s="2" t="str">
        <f>IFERROR(__xludf.DUMMYFUNCTION("IF(A1097&lt;&gt;"""", GOOGLETRANSLATE(A1097, ""en"", ""te""),"""")"),"")</f>
        <v/>
      </c>
      <c r="C1097" s="2"/>
      <c r="D1097" s="2" t="str">
        <f>IFERROR(__xludf.DUMMYFUNCTION("IF(C1097&lt;&gt;"""", GOOGLETRANSLATE(C1097, ""en"", ""te""),"""")"),"")</f>
        <v/>
      </c>
      <c r="E1097" s="2"/>
      <c r="F1097" s="2" t="str">
        <f>IFERROR(__xludf.DUMMYFUNCTION("IF(E1097&lt;&gt;"""", GOOGLETRANSLATE(E1097, ""en"", ""te""),"""")"),"")</f>
        <v/>
      </c>
      <c r="G1097" s="2"/>
      <c r="H1097" s="2" t="str">
        <f>IFERROR(__xludf.DUMMYFUNCTION("IF(G1097&lt;&gt;"""", GOOGLETRANSLATE(G1097, ""en"", ""te""),"""")"),"")</f>
        <v/>
      </c>
      <c r="I1097" s="3"/>
    </row>
    <row r="1098" customHeight="1" spans="1:9">
      <c r="A1098" s="2"/>
      <c r="B1098" s="2" t="str">
        <f>IFERROR(__xludf.DUMMYFUNCTION("IF(A1098&lt;&gt;"""", GOOGLETRANSLATE(A1098, ""en"", ""te""),"""")"),"")</f>
        <v/>
      </c>
      <c r="C1098" s="2"/>
      <c r="D1098" s="2" t="str">
        <f>IFERROR(__xludf.DUMMYFUNCTION("IF(C1098&lt;&gt;"""", GOOGLETRANSLATE(C1098, ""en"", ""te""),"""")"),"")</f>
        <v/>
      </c>
      <c r="E1098" s="2"/>
      <c r="F1098" s="2" t="str">
        <f>IFERROR(__xludf.DUMMYFUNCTION("IF(E1098&lt;&gt;"""", GOOGLETRANSLATE(E1098, ""en"", ""te""),"""")"),"")</f>
        <v/>
      </c>
      <c r="G1098" s="2"/>
      <c r="H1098" s="2" t="str">
        <f>IFERROR(__xludf.DUMMYFUNCTION("IF(G1098&lt;&gt;"""", GOOGLETRANSLATE(G1098, ""en"", ""te""),"""")"),"")</f>
        <v/>
      </c>
      <c r="I1098" s="3"/>
    </row>
    <row r="1099" customHeight="1" spans="1:9">
      <c r="A1099" s="2"/>
      <c r="B1099" s="2" t="str">
        <f>IFERROR(__xludf.DUMMYFUNCTION("IF(A1099&lt;&gt;"""", GOOGLETRANSLATE(A1099, ""en"", ""te""),"""")"),"")</f>
        <v/>
      </c>
      <c r="C1099" s="2"/>
      <c r="D1099" s="2" t="str">
        <f>IFERROR(__xludf.DUMMYFUNCTION("IF(C1099&lt;&gt;"""", GOOGLETRANSLATE(C1099, ""en"", ""te""),"""")"),"")</f>
        <v/>
      </c>
      <c r="E1099" s="2"/>
      <c r="F1099" s="2" t="str">
        <f>IFERROR(__xludf.DUMMYFUNCTION("IF(E1099&lt;&gt;"""", GOOGLETRANSLATE(E1099, ""en"", ""te""),"""")"),"")</f>
        <v/>
      </c>
      <c r="G1099" s="2"/>
      <c r="H1099" s="2" t="str">
        <f>IFERROR(__xludf.DUMMYFUNCTION("IF(G1099&lt;&gt;"""", GOOGLETRANSLATE(G1099, ""en"", ""te""),"""")"),"")</f>
        <v/>
      </c>
      <c r="I1099" s="3"/>
    </row>
    <row r="1100" customHeight="1" spans="1:9">
      <c r="A1100" s="2"/>
      <c r="B1100" s="2" t="str">
        <f>IFERROR(__xludf.DUMMYFUNCTION("IF(A1100&lt;&gt;"""", GOOGLETRANSLATE(A1100, ""en"", ""te""),"""")"),"")</f>
        <v/>
      </c>
      <c r="C1100" s="2"/>
      <c r="D1100" s="2" t="str">
        <f>IFERROR(__xludf.DUMMYFUNCTION("IF(C1100&lt;&gt;"""", GOOGLETRANSLATE(C1100, ""en"", ""te""),"""")"),"")</f>
        <v/>
      </c>
      <c r="E1100" s="2"/>
      <c r="F1100" s="2" t="str">
        <f>IFERROR(__xludf.DUMMYFUNCTION("IF(E1100&lt;&gt;"""", GOOGLETRANSLATE(E1100, ""en"", ""te""),"""")"),"")</f>
        <v/>
      </c>
      <c r="G1100" s="2"/>
      <c r="H1100" s="2" t="str">
        <f>IFERROR(__xludf.DUMMYFUNCTION("IF(G1100&lt;&gt;"""", GOOGLETRANSLATE(G1100, ""en"", ""te""),"""")"),"")</f>
        <v/>
      </c>
      <c r="I1100" s="3"/>
    </row>
    <row r="1101" customHeight="1" spans="1:9">
      <c r="A1101" s="2" t="s">
        <v>764</v>
      </c>
      <c r="B1101" s="2" t="str">
        <f>IFERROR(__xludf.DUMMYFUNCTION("IF(A1101&lt;&gt;"""", GOOGLETRANSLATE(A1101, ""en"", ""te""),"""")"),"[ '1st అత్యంత వృద్ధ ఆటగాడు తొలి వంద (42y 291d) స్కోర్', '1 వ అత్యుత్తమ బౌలింగ్ ఇన్నింగ్స్ లో విశ్లేషించడం (1/0)']")</f>
        <v>[ '1st అత్యంత వృద్ధ ఆటగాడు తొలి వంద (42y 291d) స్కోర్', '1 వ అత్యుత్తమ బౌలింగ్ ఇన్నింగ్స్ లో విశ్లేషించడం (1/0)']</v>
      </c>
      <c r="C1101" s="2" t="s">
        <v>765</v>
      </c>
      <c r="D1101" s="2" t="str">
        <f>IFERROR(__xludf.DUMMYFUNCTION("IF(C1101&lt;&gt;"""", GOOGLETRANSLATE(C1101, ""en"", ""te""),"""")"),"[ '1st అత్యంత వృద్ధ ఆటగాడు తొలి వంద (42y 291d) స్కోర్', '4 వ అత్యంత వృద్ధ ఆటగాడు వంద (42y 291d) స్కోర్', 'కెరీర్లో 32 వ అతి తక్కువ బాతులు (27.66)', '1 వ అత్యుత్తమ బౌలింగ్ ఇన్నింగ్స్ లో విశ్లేషించడం ( 1/0) ',' 24th ఒక సిరీస్లో అత్యధిక క్యాచ్లు (11) ',' ఎని"&amp;"మిదవ వికెట్కు 46 వ అత్యధిక భాగస్వామ్యం (124) ',' 15 వ ఓల్డెస్ట్ క్రీడాకారులు (45y 207d) ',' 11 వ లాంగెస్ట్ కెరీర్లు (21y 313d) ' ]")</f>
        <v>[ '1st అత్యంత వృద్ధ ఆటగాడు తొలి వంద (42y 291d) స్కోర్', '4 వ అత్యంత వృద్ధ ఆటగాడు వంద (42y 291d) స్కోర్', 'కెరీర్లో 32 వ అతి తక్కువ బాతులు (27.66)', '1 వ అత్యుత్తమ బౌలింగ్ ఇన్నింగ్స్ లో విశ్లేషించడం ( 1/0) ',' 24th ఒక సిరీస్లో అత్యధిక క్యాచ్లు (11) ',' ఎనిమిదవ వికెట్కు 46 వ అత్యధిక భాగస్వామ్యం (124) ',' 15 వ ఓల్డెస్ట్ క్రీడాకారులు (45y 207d) ',' 11 వ లాంగెస్ట్ కెరీర్లు (21y 313d) ' ]</v>
      </c>
      <c r="E1101" s="2"/>
      <c r="F1101" s="2" t="str">
        <f>IFERROR(__xludf.DUMMYFUNCTION("IF(E1101&lt;&gt;"""", GOOGLETRANSLATE(E1101, ""en"", ""te""),"""")"),"")</f>
        <v/>
      </c>
      <c r="G1101" s="2"/>
      <c r="H1101" s="2" t="str">
        <f>IFERROR(__xludf.DUMMYFUNCTION("IF(G1101&lt;&gt;"""", GOOGLETRANSLATE(G1101, ""en"", ""te""),"""")"),"")</f>
        <v/>
      </c>
      <c r="I1101" s="3"/>
    </row>
    <row r="1102" customHeight="1" spans="1:9">
      <c r="A1102" s="2"/>
      <c r="B1102" s="2" t="str">
        <f>IFERROR(__xludf.DUMMYFUNCTION("IF(A1102&lt;&gt;"""", GOOGLETRANSLATE(A1102, ""en"", ""te""),"""")"),"")</f>
        <v/>
      </c>
      <c r="C1102" s="2"/>
      <c r="D1102" s="2" t="str">
        <f>IFERROR(__xludf.DUMMYFUNCTION("IF(C1102&lt;&gt;"""", GOOGLETRANSLATE(C1102, ""en"", ""te""),"""")"),"")</f>
        <v/>
      </c>
      <c r="E1102" s="2"/>
      <c r="F1102" s="2" t="str">
        <f>IFERROR(__xludf.DUMMYFUNCTION("IF(E1102&lt;&gt;"""", GOOGLETRANSLATE(E1102, ""en"", ""te""),"""")"),"")</f>
        <v/>
      </c>
      <c r="G1102" s="2" t="s">
        <v>766</v>
      </c>
      <c r="H1102" s="2" t="str">
        <f>IFERROR(__xludf.DUMMYFUNCTION("IF(G1102&lt;&gt;"""", GOOGLETRANSLATE(G1102, ""en"", ""te""),"""")"),"[ '23 చెత్త కెరీర్ బౌలింగ్ సరాసరి (అర్హత లేకుండా) (75.66)']")</f>
        <v>[ '23 చెత్త కెరీర్ బౌలింగ్ సరాసరి (అర్హత లేకుండా) (75.66)']</v>
      </c>
      <c r="I1102" s="3"/>
    </row>
    <row r="1103" customHeight="1" spans="1:9">
      <c r="A1103" s="2"/>
      <c r="B1103" s="2" t="str">
        <f>IFERROR(__xludf.DUMMYFUNCTION("IF(A1103&lt;&gt;"""", GOOGLETRANSLATE(A1103, ""en"", ""te""),"""")"),"")</f>
        <v/>
      </c>
      <c r="C1103" s="2"/>
      <c r="D1103" s="2" t="str">
        <f>IFERROR(__xludf.DUMMYFUNCTION("IF(C1103&lt;&gt;"""", GOOGLETRANSLATE(C1103, ""en"", ""te""),"""")"),"")</f>
        <v/>
      </c>
      <c r="E1103" s="2"/>
      <c r="F1103" s="2" t="str">
        <f>IFERROR(__xludf.DUMMYFUNCTION("IF(E1103&lt;&gt;"""", GOOGLETRANSLATE(E1103, ""en"", ""te""),"""")"),"")</f>
        <v/>
      </c>
      <c r="G1103" s="2"/>
      <c r="H1103" s="2" t="str">
        <f>IFERROR(__xludf.DUMMYFUNCTION("IF(G1103&lt;&gt;"""", GOOGLETRANSLATE(G1103, ""en"", ""te""),"""")"),"")</f>
        <v/>
      </c>
      <c r="I1103" s="3"/>
    </row>
    <row r="1104" customHeight="1" spans="1:9">
      <c r="A1104" s="2"/>
      <c r="B1104" s="2" t="str">
        <f>IFERROR(__xludf.DUMMYFUNCTION("IF(A1104&lt;&gt;"""", GOOGLETRANSLATE(A1104, ""en"", ""te""),"""")"),"")</f>
        <v/>
      </c>
      <c r="C1104" s="2"/>
      <c r="D1104" s="2" t="str">
        <f>IFERROR(__xludf.DUMMYFUNCTION("IF(C1104&lt;&gt;"""", GOOGLETRANSLATE(C1104, ""en"", ""te""),"""")"),"")</f>
        <v/>
      </c>
      <c r="E1104" s="2"/>
      <c r="F1104" s="2" t="str">
        <f>IFERROR(__xludf.DUMMYFUNCTION("IF(E1104&lt;&gt;"""", GOOGLETRANSLATE(E1104, ""en"", ""te""),"""")"),"")</f>
        <v/>
      </c>
      <c r="G1104" s="2"/>
      <c r="H1104" s="2" t="str">
        <f>IFERROR(__xludf.DUMMYFUNCTION("IF(G1104&lt;&gt;"""", GOOGLETRANSLATE(G1104, ""en"", ""te""),"""")"),"")</f>
        <v/>
      </c>
      <c r="I1104" s="3"/>
    </row>
    <row r="1105" customHeight="1" spans="1:9">
      <c r="A1105" s="2"/>
      <c r="B1105" s="2" t="str">
        <f>IFERROR(__xludf.DUMMYFUNCTION("IF(A1105&lt;&gt;"""", GOOGLETRANSLATE(A1105, ""en"", ""te""),"""")"),"")</f>
        <v/>
      </c>
      <c r="C1105" s="2"/>
      <c r="D1105" s="2" t="str">
        <f>IFERROR(__xludf.DUMMYFUNCTION("IF(C1105&lt;&gt;"""", GOOGLETRANSLATE(C1105, ""en"", ""te""),"""")"),"")</f>
        <v/>
      </c>
      <c r="E1105" s="2"/>
      <c r="F1105" s="2" t="str">
        <f>IFERROR(__xludf.DUMMYFUNCTION("IF(E1105&lt;&gt;"""", GOOGLETRANSLATE(E1105, ""en"", ""te""),"""")"),"")</f>
        <v/>
      </c>
      <c r="G1105" s="2"/>
      <c r="H1105" s="2" t="str">
        <f>IFERROR(__xludf.DUMMYFUNCTION("IF(G1105&lt;&gt;"""", GOOGLETRANSLATE(G1105, ""en"", ""te""),"""")"),"")</f>
        <v/>
      </c>
      <c r="I1105" s="3"/>
    </row>
    <row r="1106" customHeight="1" spans="1:9">
      <c r="A1106" s="2"/>
      <c r="B1106" s="2" t="str">
        <f>IFERROR(__xludf.DUMMYFUNCTION("IF(A1106&lt;&gt;"""", GOOGLETRANSLATE(A1106, ""en"", ""te""),"""")"),"")</f>
        <v/>
      </c>
      <c r="C1106" s="2"/>
      <c r="D1106" s="2" t="str">
        <f>IFERROR(__xludf.DUMMYFUNCTION("IF(C1106&lt;&gt;"""", GOOGLETRANSLATE(C1106, ""en"", ""te""),"""")"),"")</f>
        <v/>
      </c>
      <c r="E1106" s="2"/>
      <c r="F1106" s="2" t="str">
        <f>IFERROR(__xludf.DUMMYFUNCTION("IF(E1106&lt;&gt;"""", GOOGLETRANSLATE(E1106, ""en"", ""te""),"""")"),"")</f>
        <v/>
      </c>
      <c r="G1106" s="2"/>
      <c r="H1106" s="2" t="str">
        <f>IFERROR(__xludf.DUMMYFUNCTION("IF(G1106&lt;&gt;"""", GOOGLETRANSLATE(G1106, ""en"", ""te""),"""")"),"")</f>
        <v/>
      </c>
      <c r="I1106" s="3"/>
    </row>
    <row r="1107" customHeight="1" spans="1:9">
      <c r="A1107" s="2"/>
      <c r="B1107" s="2" t="str">
        <f>IFERROR(__xludf.DUMMYFUNCTION("IF(A1107&lt;&gt;"""", GOOGLETRANSLATE(A1107, ""en"", ""te""),"""")"),"")</f>
        <v/>
      </c>
      <c r="C1107" s="2"/>
      <c r="D1107" s="2" t="str">
        <f>IFERROR(__xludf.DUMMYFUNCTION("IF(C1107&lt;&gt;"""", GOOGLETRANSLATE(C1107, ""en"", ""te""),"""")"),"")</f>
        <v/>
      </c>
      <c r="E1107" s="2"/>
      <c r="F1107" s="2" t="str">
        <f>IFERROR(__xludf.DUMMYFUNCTION("IF(E1107&lt;&gt;"""", GOOGLETRANSLATE(E1107, ""en"", ""te""),"""")"),"")</f>
        <v/>
      </c>
      <c r="G1107" s="2"/>
      <c r="H1107" s="2" t="str">
        <f>IFERROR(__xludf.DUMMYFUNCTION("IF(G1107&lt;&gt;"""", GOOGLETRANSLATE(G1107, ""en"", ""te""),"""")"),"")</f>
        <v/>
      </c>
      <c r="I1107" s="3"/>
    </row>
    <row r="1108" customHeight="1" spans="1:9">
      <c r="A1108" s="2"/>
      <c r="B1108" s="2" t="str">
        <f>IFERROR(__xludf.DUMMYFUNCTION("IF(A1108&lt;&gt;"""", GOOGLETRANSLATE(A1108, ""en"", ""te""),"""")"),"")</f>
        <v/>
      </c>
      <c r="C1108" s="2"/>
      <c r="D1108" s="2" t="str">
        <f>IFERROR(__xludf.DUMMYFUNCTION("IF(C1108&lt;&gt;"""", GOOGLETRANSLATE(C1108, ""en"", ""te""),"""")"),"")</f>
        <v/>
      </c>
      <c r="E1108" s="2"/>
      <c r="F1108" s="2" t="str">
        <f>IFERROR(__xludf.DUMMYFUNCTION("IF(E1108&lt;&gt;"""", GOOGLETRANSLATE(E1108, ""en"", ""te""),"""")"),"")</f>
        <v/>
      </c>
      <c r="G1108" s="2"/>
      <c r="H1108" s="2" t="str">
        <f>IFERROR(__xludf.DUMMYFUNCTION("IF(G1108&lt;&gt;"""", GOOGLETRANSLATE(G1108, ""en"", ""te""),"""")"),"")</f>
        <v/>
      </c>
      <c r="I1108" s="3"/>
    </row>
    <row r="1109" customHeight="1" spans="1:9">
      <c r="A1109" s="2"/>
      <c r="B1109" s="2" t="str">
        <f>IFERROR(__xludf.DUMMYFUNCTION("IF(A1109&lt;&gt;"""", GOOGLETRANSLATE(A1109, ""en"", ""te""),"""")"),"")</f>
        <v/>
      </c>
      <c r="C1109" s="2"/>
      <c r="D1109" s="2" t="str">
        <f>IFERROR(__xludf.DUMMYFUNCTION("IF(C1109&lt;&gt;"""", GOOGLETRANSLATE(C1109, ""en"", ""te""),"""")"),"")</f>
        <v/>
      </c>
      <c r="E1109" s="2"/>
      <c r="F1109" s="2" t="str">
        <f>IFERROR(__xludf.DUMMYFUNCTION("IF(E1109&lt;&gt;"""", GOOGLETRANSLATE(E1109, ""en"", ""te""),"""")"),"")</f>
        <v/>
      </c>
      <c r="G1109" s="2"/>
      <c r="H1109" s="2" t="str">
        <f>IFERROR(__xludf.DUMMYFUNCTION("IF(G1109&lt;&gt;"""", GOOGLETRANSLATE(G1109, ""en"", ""te""),"""")"),"")</f>
        <v/>
      </c>
      <c r="I1109" s="3"/>
    </row>
    <row r="1110" customHeight="1" spans="1:9">
      <c r="A1110" s="2"/>
      <c r="B1110" s="2" t="str">
        <f>IFERROR(__xludf.DUMMYFUNCTION("IF(A1110&lt;&gt;"""", GOOGLETRANSLATE(A1110, ""en"", ""te""),"""")"),"")</f>
        <v/>
      </c>
      <c r="C1110" s="2"/>
      <c r="D1110" s="2" t="str">
        <f>IFERROR(__xludf.DUMMYFUNCTION("IF(C1110&lt;&gt;"""", GOOGLETRANSLATE(C1110, ""en"", ""te""),"""")"),"")</f>
        <v/>
      </c>
      <c r="E1110" s="2"/>
      <c r="F1110" s="2" t="str">
        <f>IFERROR(__xludf.DUMMYFUNCTION("IF(E1110&lt;&gt;"""", GOOGLETRANSLATE(E1110, ""en"", ""te""),"""")"),"")</f>
        <v/>
      </c>
      <c r="G1110" s="2"/>
      <c r="H1110" s="2" t="str">
        <f>IFERROR(__xludf.DUMMYFUNCTION("IF(G1110&lt;&gt;"""", GOOGLETRANSLATE(G1110, ""en"", ""te""),"""")"),"")</f>
        <v/>
      </c>
      <c r="I1110" s="3"/>
    </row>
    <row r="1111" customHeight="1" spans="1:9">
      <c r="A1111" s="2"/>
      <c r="B1111" s="2" t="str">
        <f>IFERROR(__xludf.DUMMYFUNCTION("IF(A1111&lt;&gt;"""", GOOGLETRANSLATE(A1111, ""en"", ""te""),"""")"),"")</f>
        <v/>
      </c>
      <c r="C1111" s="2" t="s">
        <v>767</v>
      </c>
      <c r="D1111" s="2" t="str">
        <f>IFERROR(__xludf.DUMMYFUNCTION("IF(C1111&lt;&gt;"""", GOOGLETRANSLATE(C1111, ""en"", ""te""),"""")"),"[ '37 వ ఉత్తమ కెరీర్ బౌలింగ్ సరాసరి (అర్హత లేకుండా) (11.75)']")</f>
        <v>[ '37 వ ఉత్తమ కెరీర్ బౌలింగ్ సరాసరి (అర్హత లేకుండా) (11.75)']</v>
      </c>
      <c r="E1111" s="2"/>
      <c r="F1111" s="2" t="str">
        <f>IFERROR(__xludf.DUMMYFUNCTION("IF(E1111&lt;&gt;"""", GOOGLETRANSLATE(E1111, ""en"", ""te""),"""")"),"")</f>
        <v/>
      </c>
      <c r="G1111" s="2"/>
      <c r="H1111" s="2" t="str">
        <f>IFERROR(__xludf.DUMMYFUNCTION("IF(G1111&lt;&gt;"""", GOOGLETRANSLATE(G1111, ""en"", ""te""),"""")"),"")</f>
        <v/>
      </c>
      <c r="I1111" s="3"/>
    </row>
    <row r="1112" customHeight="1" spans="1:9">
      <c r="A1112" s="2"/>
      <c r="B1112" s="2" t="str">
        <f>IFERROR(__xludf.DUMMYFUNCTION("IF(A1112&lt;&gt;"""", GOOGLETRANSLATE(A1112, ""en"", ""te""),"""")"),"")</f>
        <v/>
      </c>
      <c r="C1112" s="2"/>
      <c r="D1112" s="2" t="str">
        <f>IFERROR(__xludf.DUMMYFUNCTION("IF(C1112&lt;&gt;"""", GOOGLETRANSLATE(C1112, ""en"", ""te""),"""")"),"")</f>
        <v/>
      </c>
      <c r="E1112" s="2"/>
      <c r="F1112" s="2" t="str">
        <f>IFERROR(__xludf.DUMMYFUNCTION("IF(E1112&lt;&gt;"""", GOOGLETRANSLATE(E1112, ""en"", ""te""),"""")"),"")</f>
        <v/>
      </c>
      <c r="G1112" s="2"/>
      <c r="H1112" s="2" t="str">
        <f>IFERROR(__xludf.DUMMYFUNCTION("IF(G1112&lt;&gt;"""", GOOGLETRANSLATE(G1112, ""en"", ""te""),"""")"),"")</f>
        <v/>
      </c>
      <c r="I1112" s="3"/>
    </row>
    <row r="1113" customHeight="1" spans="1:9">
      <c r="A1113" s="2"/>
      <c r="B1113" s="2" t="str">
        <f>IFERROR(__xludf.DUMMYFUNCTION("IF(A1113&lt;&gt;"""", GOOGLETRANSLATE(A1113, ""en"", ""te""),"""")"),"")</f>
        <v/>
      </c>
      <c r="C1113" s="2"/>
      <c r="D1113" s="2" t="str">
        <f>IFERROR(__xludf.DUMMYFUNCTION("IF(C1113&lt;&gt;"""", GOOGLETRANSLATE(C1113, ""en"", ""te""),"""")"),"")</f>
        <v/>
      </c>
      <c r="E1113" s="2"/>
      <c r="F1113" s="2" t="str">
        <f>IFERROR(__xludf.DUMMYFUNCTION("IF(E1113&lt;&gt;"""", GOOGLETRANSLATE(E1113, ""en"", ""te""),"""")"),"")</f>
        <v/>
      </c>
      <c r="G1113" s="2"/>
      <c r="H1113" s="2" t="str">
        <f>IFERROR(__xludf.DUMMYFUNCTION("IF(G1113&lt;&gt;"""", GOOGLETRANSLATE(G1113, ""en"", ""te""),"""")"),"")</f>
        <v/>
      </c>
      <c r="I1113" s="3"/>
    </row>
    <row r="1114" customHeight="1" spans="1:9">
      <c r="A1114" s="2"/>
      <c r="B1114" s="2" t="str">
        <f>IFERROR(__xludf.DUMMYFUNCTION("IF(A1114&lt;&gt;"""", GOOGLETRANSLATE(A1114, ""en"", ""te""),"""")"),"")</f>
        <v/>
      </c>
      <c r="C1114" s="2"/>
      <c r="D1114" s="2" t="str">
        <f>IFERROR(__xludf.DUMMYFUNCTION("IF(C1114&lt;&gt;"""", GOOGLETRANSLATE(C1114, ""en"", ""te""),"""")"),"")</f>
        <v/>
      </c>
      <c r="E1114" s="2"/>
      <c r="F1114" s="2" t="str">
        <f>IFERROR(__xludf.DUMMYFUNCTION("IF(E1114&lt;&gt;"""", GOOGLETRANSLATE(E1114, ""en"", ""te""),"""")"),"")</f>
        <v/>
      </c>
      <c r="G1114" s="2"/>
      <c r="H1114" s="2" t="str">
        <f>IFERROR(__xludf.DUMMYFUNCTION("IF(G1114&lt;&gt;"""", GOOGLETRANSLATE(G1114, ""en"", ""te""),"""")"),"")</f>
        <v/>
      </c>
      <c r="I1114" s="3"/>
    </row>
    <row r="1115" customHeight="1" spans="1:9">
      <c r="A1115" s="2"/>
      <c r="B1115" s="2" t="str">
        <f>IFERROR(__xludf.DUMMYFUNCTION("IF(A1115&lt;&gt;"""", GOOGLETRANSLATE(A1115, ""en"", ""te""),"""")"),"")</f>
        <v/>
      </c>
      <c r="C1115" s="2"/>
      <c r="D1115" s="2" t="str">
        <f>IFERROR(__xludf.DUMMYFUNCTION("IF(C1115&lt;&gt;"""", GOOGLETRANSLATE(C1115, ""en"", ""te""),"""")"),"")</f>
        <v/>
      </c>
      <c r="E1115" s="2"/>
      <c r="F1115" s="2" t="str">
        <f>IFERROR(__xludf.DUMMYFUNCTION("IF(E1115&lt;&gt;"""", GOOGLETRANSLATE(E1115, ""en"", ""te""),"""")"),"")</f>
        <v/>
      </c>
      <c r="G1115" s="2"/>
      <c r="H1115" s="2" t="str">
        <f>IFERROR(__xludf.DUMMYFUNCTION("IF(G1115&lt;&gt;"""", GOOGLETRANSLATE(G1115, ""en"", ""te""),"""")"),"")</f>
        <v/>
      </c>
      <c r="I1115" s="3"/>
    </row>
    <row r="1116" customHeight="1" spans="1:9">
      <c r="A1116" s="2" t="s">
        <v>9</v>
      </c>
      <c r="B1116" s="2" t="str">
        <f>IFERROR(__xludf.DUMMYFUNCTION("IF(A1116&lt;&gt;"""", GOOGLETRANSLATE(A1116, ""en"", ""te""),"""")"),"[ 'హండ్రెడ్ మరియు ఒక మ్యాచ్లో ఒక డక్']")</f>
        <v>[ 'హండ్రెడ్ మరియు ఒక మ్యాచ్లో ఒక డక్']</v>
      </c>
      <c r="C1116" s="2" t="s">
        <v>768</v>
      </c>
      <c r="D1116" s="2" t="str">
        <f>IFERROR(__xludf.DUMMYFUNCTION("IF(C1116&lt;&gt;"""", GOOGLETRANSLATE(C1116, ""en"", ""te""),"""")"),"[ '12 వ ఇన్నింగ్స్ లో అత్యధిక పరుగులు (బ్యాటింగ్ స్థానంలో ప్రకారం) (231)', '38 వ కెప్టెన్ ద్వారా ఒక సిరీస్లో అత్యధిక పరుగులు (536)', '23 వ అత్యధిక కెరీర్ బ్యాటింగ్ సగటు (53.81)', '33 వ ఒక వ్యతిరేకంగా అత్యధిక వందలు జట్టు (7) ',' 13 వ అత్యధిక తొలి వంద (231)"&amp;" ',' 15 వ అత్యంత వృద్ధ ఆటగాడు ఒక ఇన్నింగ్స్ లో ',' 31 మోస్ట్ ఫోర్లు వంద (207d 40y) స్కోర్ (36) ',' 22 వ 2000 పరుగులు వేగంగా (41 ) ',' 16 వ ఓల్డెస్ట్ కాప్టెన్ (40y 279d) ',' కెప్టెన్సీ తొలి 17 ఓల్డెస్ట్ కాప్టెన్ (38y 34d) ']")</f>
        <v>[ '12 వ ఇన్నింగ్స్ లో అత్యధిక పరుగులు (బ్యాటింగ్ స్థానంలో ప్రకారం) (231)', '38 వ కెప్టెన్ ద్వారా ఒక సిరీస్లో అత్యధిక పరుగులు (536)', '23 వ అత్యధిక కెరీర్ బ్యాటింగ్ సగటు (53.81)', '33 వ ఒక వ్యతిరేకంగా అత్యధిక వందలు జట్టు (7) ',' 13 వ అత్యధిక తొలి వంద (231) ',' 15 వ అత్యంత వృద్ధ ఆటగాడు ఒక ఇన్నింగ్స్ లో ',' 31 మోస్ట్ ఫోర్లు వంద (207d 40y) స్కోర్ (36) ',' 22 వ 2000 పరుగులు వేగంగా (41 ) ',' 16 వ ఓల్డెస్ట్ కాప్టెన్ (40y 279d) ',' కెప్టెన్సీ తొలి 17 ఓల్డెస్ట్ కాప్టెన్ (38y 34d) ']</v>
      </c>
      <c r="E1116" s="2"/>
      <c r="F1116" s="2" t="str">
        <f>IFERROR(__xludf.DUMMYFUNCTION("IF(E1116&lt;&gt;"""", GOOGLETRANSLATE(E1116, ""en"", ""te""),"""")"),"")</f>
        <v/>
      </c>
      <c r="G1116" s="2"/>
      <c r="H1116" s="2" t="str">
        <f>IFERROR(__xludf.DUMMYFUNCTION("IF(G1116&lt;&gt;"""", GOOGLETRANSLATE(G1116, ""en"", ""te""),"""")"),"")</f>
        <v/>
      </c>
      <c r="I1116" s="3"/>
    </row>
    <row r="1117" customHeight="1" spans="1:9">
      <c r="A1117" s="2"/>
      <c r="B1117" s="2" t="str">
        <f>IFERROR(__xludf.DUMMYFUNCTION("IF(A1117&lt;&gt;"""", GOOGLETRANSLATE(A1117, ""en"", ""te""),"""")"),"")</f>
        <v/>
      </c>
      <c r="C1117" s="2"/>
      <c r="D1117" s="2" t="str">
        <f>IFERROR(__xludf.DUMMYFUNCTION("IF(C1117&lt;&gt;"""", GOOGLETRANSLATE(C1117, ""en"", ""te""),"""")"),"")</f>
        <v/>
      </c>
      <c r="E1117" s="2"/>
      <c r="F1117" s="2" t="str">
        <f>IFERROR(__xludf.DUMMYFUNCTION("IF(E1117&lt;&gt;"""", GOOGLETRANSLATE(E1117, ""en"", ""te""),"""")"),"")</f>
        <v/>
      </c>
      <c r="G1117" s="2"/>
      <c r="H1117" s="2" t="str">
        <f>IFERROR(__xludf.DUMMYFUNCTION("IF(G1117&lt;&gt;"""", GOOGLETRANSLATE(G1117, ""en"", ""te""),"""")"),"")</f>
        <v/>
      </c>
      <c r="I1117" s="3"/>
    </row>
    <row r="1118" customHeight="1" spans="1:9">
      <c r="A1118" s="2"/>
      <c r="B1118" s="2" t="str">
        <f>IFERROR(__xludf.DUMMYFUNCTION("IF(A1118&lt;&gt;"""", GOOGLETRANSLATE(A1118, ""en"", ""te""),"""")"),"")</f>
        <v/>
      </c>
      <c r="C1118" s="2"/>
      <c r="D1118" s="2" t="str">
        <f>IFERROR(__xludf.DUMMYFUNCTION("IF(C1118&lt;&gt;"""", GOOGLETRANSLATE(C1118, ""en"", ""te""),"""")"),"")</f>
        <v/>
      </c>
      <c r="E1118" s="2"/>
      <c r="F1118" s="2" t="str">
        <f>IFERROR(__xludf.DUMMYFUNCTION("IF(E1118&lt;&gt;"""", GOOGLETRANSLATE(E1118, ""en"", ""te""),"""")"),"")</f>
        <v/>
      </c>
      <c r="G1118" s="2"/>
      <c r="H1118" s="2" t="str">
        <f>IFERROR(__xludf.DUMMYFUNCTION("IF(G1118&lt;&gt;"""", GOOGLETRANSLATE(G1118, ""en"", ""te""),"""")"),"")</f>
        <v/>
      </c>
      <c r="I1118" s="3"/>
    </row>
    <row r="1119" customHeight="1" spans="1:9">
      <c r="A1119" s="2"/>
      <c r="B1119" s="2" t="str">
        <f>IFERROR(__xludf.DUMMYFUNCTION("IF(A1119&lt;&gt;"""", GOOGLETRANSLATE(A1119, ""en"", ""te""),"""")"),"")</f>
        <v/>
      </c>
      <c r="C1119" s="2"/>
      <c r="D1119" s="2" t="str">
        <f>IFERROR(__xludf.DUMMYFUNCTION("IF(C1119&lt;&gt;"""", GOOGLETRANSLATE(C1119, ""en"", ""te""),"""")"),"")</f>
        <v/>
      </c>
      <c r="E1119" s="2"/>
      <c r="F1119" s="2" t="str">
        <f>IFERROR(__xludf.DUMMYFUNCTION("IF(E1119&lt;&gt;"""", GOOGLETRANSLATE(E1119, ""en"", ""te""),"""")"),"")</f>
        <v/>
      </c>
      <c r="G1119" s="2"/>
      <c r="H1119" s="2" t="str">
        <f>IFERROR(__xludf.DUMMYFUNCTION("IF(G1119&lt;&gt;"""", GOOGLETRANSLATE(G1119, ""en"", ""te""),"""")"),"")</f>
        <v/>
      </c>
      <c r="I1119" s="3"/>
    </row>
    <row r="1120" customHeight="1" spans="1:9">
      <c r="A1120" s="2"/>
      <c r="B1120" s="2" t="str">
        <f>IFERROR(__xludf.DUMMYFUNCTION("IF(A1120&lt;&gt;"""", GOOGLETRANSLATE(A1120, ""en"", ""te""),"""")"),"")</f>
        <v/>
      </c>
      <c r="C1120" s="2"/>
      <c r="D1120" s="2" t="str">
        <f>IFERROR(__xludf.DUMMYFUNCTION("IF(C1120&lt;&gt;"""", GOOGLETRANSLATE(C1120, ""en"", ""te""),"""")"),"")</f>
        <v/>
      </c>
      <c r="E1120" s="2"/>
      <c r="F1120" s="2" t="str">
        <f>IFERROR(__xludf.DUMMYFUNCTION("IF(E1120&lt;&gt;"""", GOOGLETRANSLATE(E1120, ""en"", ""te""),"""")"),"")</f>
        <v/>
      </c>
      <c r="G1120" s="2"/>
      <c r="H1120" s="2" t="str">
        <f>IFERROR(__xludf.DUMMYFUNCTION("IF(G1120&lt;&gt;"""", GOOGLETRANSLATE(G1120, ""en"", ""te""),"""")"),"")</f>
        <v/>
      </c>
      <c r="I1120" s="3"/>
    </row>
    <row r="1121" customHeight="1" spans="1:9">
      <c r="A1121" s="2"/>
      <c r="B1121" s="2" t="str">
        <f>IFERROR(__xludf.DUMMYFUNCTION("IF(A1121&lt;&gt;"""", GOOGLETRANSLATE(A1121, ""en"", ""te""),"""")"),"")</f>
        <v/>
      </c>
      <c r="C1121" s="2" t="s">
        <v>769</v>
      </c>
      <c r="D1121" s="2" t="str">
        <f>IFERROR(__xludf.DUMMYFUNCTION("IF(C1121&lt;&gt;"""", GOOGLETRANSLATE(C1121, ""en"", ""te""),"""")"),"[ '45 వ చెత్త కెరీర్ బౌలింగ్ సరాసరి (అర్హత లేకుండా) (133.00)']")</f>
        <v>[ '45 వ చెత్త కెరీర్ బౌలింగ్ సరాసరి (అర్హత లేకుండా) (133.00)']</v>
      </c>
      <c r="E1121" s="2"/>
      <c r="F1121" s="2" t="str">
        <f>IFERROR(__xludf.DUMMYFUNCTION("IF(E1121&lt;&gt;"""", GOOGLETRANSLATE(E1121, ""en"", ""te""),"""")"),"")</f>
        <v/>
      </c>
      <c r="G1121" s="2" t="s">
        <v>770</v>
      </c>
      <c r="H1121" s="2" t="str">
        <f>IFERROR(__xludf.DUMMYFUNCTION("IF(G1121&lt;&gt;"""", GOOGLETRANSLATE(G1121, ""en"", ""te""),"""")"),"[ '19 చెత్త కెరీర్ (83.00) (అర్హత లేకుండా) సగటు బౌలింగ్', 'ఇన్నింగ్స్ లో 15 వ అత్యధిక క్యాచ్లు (3)', 'కెప్టెన్సీ ప్రవేశం (35y 10d) పై 46 వ ఓల్డెస్ట్ కెప్టెన్లు']")</f>
        <v>[ '19 చెత్త కెరీర్ (83.00) (అర్హత లేకుండా) సగటు బౌలింగ్', 'ఇన్నింగ్స్ లో 15 వ అత్యధిక క్యాచ్లు (3)', 'కెప్టెన్సీ ప్రవేశం (35y 10d) పై 46 వ ఓల్డెస్ట్ కెప్టెన్లు']</v>
      </c>
      <c r="I1121" s="3"/>
    </row>
    <row r="1122" customHeight="1" spans="1:9">
      <c r="A1122" s="2"/>
      <c r="B1122" s="2" t="str">
        <f>IFERROR(__xludf.DUMMYFUNCTION("IF(A1122&lt;&gt;"""", GOOGLETRANSLATE(A1122, ""en"", ""te""),"""")"),"")</f>
        <v/>
      </c>
      <c r="C1122" s="2"/>
      <c r="D1122" s="2" t="str">
        <f>IFERROR(__xludf.DUMMYFUNCTION("IF(C1122&lt;&gt;"""", GOOGLETRANSLATE(C1122, ""en"", ""te""),"""")"),"")</f>
        <v/>
      </c>
      <c r="E1122" s="2"/>
      <c r="F1122" s="2" t="str">
        <f>IFERROR(__xludf.DUMMYFUNCTION("IF(E1122&lt;&gt;"""", GOOGLETRANSLATE(E1122, ""en"", ""te""),"""")"),"")</f>
        <v/>
      </c>
      <c r="G1122" s="2"/>
      <c r="H1122" s="2" t="str">
        <f>IFERROR(__xludf.DUMMYFUNCTION("IF(G1122&lt;&gt;"""", GOOGLETRANSLATE(G1122, ""en"", ""te""),"""")"),"")</f>
        <v/>
      </c>
      <c r="I1122" s="3"/>
    </row>
    <row r="1123" customHeight="1" spans="1:9">
      <c r="A1123" s="2"/>
      <c r="B1123" s="2" t="str">
        <f>IFERROR(__xludf.DUMMYFUNCTION("IF(A1123&lt;&gt;"""", GOOGLETRANSLATE(A1123, ""en"", ""te""),"""")"),"")</f>
        <v/>
      </c>
      <c r="C1123" s="2"/>
      <c r="D1123" s="2" t="str">
        <f>IFERROR(__xludf.DUMMYFUNCTION("IF(C1123&lt;&gt;"""", GOOGLETRANSLATE(C1123, ""en"", ""te""),"""")"),"")</f>
        <v/>
      </c>
      <c r="E1123" s="2"/>
      <c r="F1123" s="2" t="str">
        <f>IFERROR(__xludf.DUMMYFUNCTION("IF(E1123&lt;&gt;"""", GOOGLETRANSLATE(E1123, ""en"", ""te""),"""")"),"")</f>
        <v/>
      </c>
      <c r="G1123" s="2"/>
      <c r="H1123" s="2" t="str">
        <f>IFERROR(__xludf.DUMMYFUNCTION("IF(G1123&lt;&gt;"""", GOOGLETRANSLATE(G1123, ""en"", ""te""),"""")"),"")</f>
        <v/>
      </c>
      <c r="I1123" s="3"/>
    </row>
    <row r="1124" customHeight="1" spans="1:9">
      <c r="A1124" s="2"/>
      <c r="B1124" s="2" t="str">
        <f>IFERROR(__xludf.DUMMYFUNCTION("IF(A1124&lt;&gt;"""", GOOGLETRANSLATE(A1124, ""en"", ""te""),"""")"),"")</f>
        <v/>
      </c>
      <c r="C1124" s="2"/>
      <c r="D1124" s="2" t="str">
        <f>IFERROR(__xludf.DUMMYFUNCTION("IF(C1124&lt;&gt;"""", GOOGLETRANSLATE(C1124, ""en"", ""te""),"""")"),"")</f>
        <v/>
      </c>
      <c r="E1124" s="2"/>
      <c r="F1124" s="2" t="str">
        <f>IFERROR(__xludf.DUMMYFUNCTION("IF(E1124&lt;&gt;"""", GOOGLETRANSLATE(E1124, ""en"", ""te""),"""")"),"")</f>
        <v/>
      </c>
      <c r="G1124" s="2"/>
      <c r="H1124" s="2" t="str">
        <f>IFERROR(__xludf.DUMMYFUNCTION("IF(G1124&lt;&gt;"""", GOOGLETRANSLATE(G1124, ""en"", ""te""),"""")"),"")</f>
        <v/>
      </c>
      <c r="I1124" s="3"/>
    </row>
    <row r="1125" customHeight="1" spans="1:9">
      <c r="A1125" s="2"/>
      <c r="B1125" s="2" t="str">
        <f>IFERROR(__xludf.DUMMYFUNCTION("IF(A1125&lt;&gt;"""", GOOGLETRANSLATE(A1125, ""en"", ""te""),"""")"),"")</f>
        <v/>
      </c>
      <c r="C1125" s="2"/>
      <c r="D1125" s="2" t="str">
        <f>IFERROR(__xludf.DUMMYFUNCTION("IF(C1125&lt;&gt;"""", GOOGLETRANSLATE(C1125, ""en"", ""te""),"""")"),"")</f>
        <v/>
      </c>
      <c r="E1125" s="2"/>
      <c r="F1125" s="2" t="str">
        <f>IFERROR(__xludf.DUMMYFUNCTION("IF(E1125&lt;&gt;"""", GOOGLETRANSLATE(E1125, ""en"", ""te""),"""")"),"")</f>
        <v/>
      </c>
      <c r="G1125" s="2"/>
      <c r="H1125" s="2" t="str">
        <f>IFERROR(__xludf.DUMMYFUNCTION("IF(G1125&lt;&gt;"""", GOOGLETRANSLATE(G1125, ""en"", ""te""),"""")"),"")</f>
        <v/>
      </c>
      <c r="I1125" s="3"/>
    </row>
    <row r="1126" customHeight="1" spans="1:9">
      <c r="A1126" s="2"/>
      <c r="B1126" s="2" t="str">
        <f>IFERROR(__xludf.DUMMYFUNCTION("IF(A1126&lt;&gt;"""", GOOGLETRANSLATE(A1126, ""en"", ""te""),"""")"),"")</f>
        <v/>
      </c>
      <c r="C1126" s="2"/>
      <c r="D1126" s="2" t="str">
        <f>IFERROR(__xludf.DUMMYFUNCTION("IF(C1126&lt;&gt;"""", GOOGLETRANSLATE(C1126, ""en"", ""te""),"""")"),"")</f>
        <v/>
      </c>
      <c r="E1126" s="2"/>
      <c r="F1126" s="2" t="str">
        <f>IFERROR(__xludf.DUMMYFUNCTION("IF(E1126&lt;&gt;"""", GOOGLETRANSLATE(E1126, ""en"", ""te""),"""")"),"")</f>
        <v/>
      </c>
      <c r="G1126" s="2"/>
      <c r="H1126" s="2" t="str">
        <f>IFERROR(__xludf.DUMMYFUNCTION("IF(G1126&lt;&gt;"""", GOOGLETRANSLATE(G1126, ""en"", ""te""),"""")"),"")</f>
        <v/>
      </c>
      <c r="I1126" s="3"/>
    </row>
    <row r="1127" customHeight="1" spans="1:9">
      <c r="A1127" s="2"/>
      <c r="B1127" s="2" t="str">
        <f>IFERROR(__xludf.DUMMYFUNCTION("IF(A1127&lt;&gt;"""", GOOGLETRANSLATE(A1127, ""en"", ""te""),"""")"),"")</f>
        <v/>
      </c>
      <c r="C1127" s="2"/>
      <c r="D1127" s="2" t="str">
        <f>IFERROR(__xludf.DUMMYFUNCTION("IF(C1127&lt;&gt;"""", GOOGLETRANSLATE(C1127, ""en"", ""te""),"""")"),"")</f>
        <v/>
      </c>
      <c r="E1127" s="2"/>
      <c r="F1127" s="2" t="str">
        <f>IFERROR(__xludf.DUMMYFUNCTION("IF(E1127&lt;&gt;"""", GOOGLETRANSLATE(E1127, ""en"", ""te""),"""")"),"")</f>
        <v/>
      </c>
      <c r="G1127" s="2"/>
      <c r="H1127" s="2" t="str">
        <f>IFERROR(__xludf.DUMMYFUNCTION("IF(G1127&lt;&gt;"""", GOOGLETRANSLATE(G1127, ""en"", ""te""),"""")"),"")</f>
        <v/>
      </c>
      <c r="I1127" s="3"/>
    </row>
    <row r="1128" customHeight="1" spans="1:9">
      <c r="A1128" s="2"/>
      <c r="B1128" s="2" t="str">
        <f>IFERROR(__xludf.DUMMYFUNCTION("IF(A1128&lt;&gt;"""", GOOGLETRANSLATE(A1128, ""en"", ""te""),"""")"),"")</f>
        <v/>
      </c>
      <c r="C1128" s="2"/>
      <c r="D1128" s="2" t="str">
        <f>IFERROR(__xludf.DUMMYFUNCTION("IF(C1128&lt;&gt;"""", GOOGLETRANSLATE(C1128, ""en"", ""te""),"""")"),"")</f>
        <v/>
      </c>
      <c r="E1128" s="2"/>
      <c r="F1128" s="2" t="str">
        <f>IFERROR(__xludf.DUMMYFUNCTION("IF(E1128&lt;&gt;"""", GOOGLETRANSLATE(E1128, ""en"", ""te""),"""")"),"")</f>
        <v/>
      </c>
      <c r="G1128" s="2"/>
      <c r="H1128" s="2" t="str">
        <f>IFERROR(__xludf.DUMMYFUNCTION("IF(G1128&lt;&gt;"""", GOOGLETRANSLATE(G1128, ""en"", ""te""),"""")"),"")</f>
        <v/>
      </c>
      <c r="I1128" s="3"/>
    </row>
    <row r="1129" customHeight="1" spans="1:9">
      <c r="A1129" s="2"/>
      <c r="B1129" s="2" t="str">
        <f>IFERROR(__xludf.DUMMYFUNCTION("IF(A1129&lt;&gt;"""", GOOGLETRANSLATE(A1129, ""en"", ""te""),"""")"),"")</f>
        <v/>
      </c>
      <c r="C1129" s="2"/>
      <c r="D1129" s="2" t="str">
        <f>IFERROR(__xludf.DUMMYFUNCTION("IF(C1129&lt;&gt;"""", GOOGLETRANSLATE(C1129, ""en"", ""te""),"""")"),"")</f>
        <v/>
      </c>
      <c r="E1129" s="2"/>
      <c r="F1129" s="2" t="str">
        <f>IFERROR(__xludf.DUMMYFUNCTION("IF(E1129&lt;&gt;"""", GOOGLETRANSLATE(E1129, ""en"", ""te""),"""")"),"")</f>
        <v/>
      </c>
      <c r="G1129" s="2"/>
      <c r="H1129" s="2" t="str">
        <f>IFERROR(__xludf.DUMMYFUNCTION("IF(G1129&lt;&gt;"""", GOOGLETRANSLATE(G1129, ""en"", ""te""),"""")"),"")</f>
        <v/>
      </c>
      <c r="I1129" s="3"/>
    </row>
    <row r="1130" customHeight="1" spans="1:9">
      <c r="A1130" s="2"/>
      <c r="B1130" s="2" t="str">
        <f>IFERROR(__xludf.DUMMYFUNCTION("IF(A1130&lt;&gt;"""", GOOGLETRANSLATE(A1130, ""en"", ""te""),"""")"),"")</f>
        <v/>
      </c>
      <c r="C1130" s="2"/>
      <c r="D1130" s="2" t="str">
        <f>IFERROR(__xludf.DUMMYFUNCTION("IF(C1130&lt;&gt;"""", GOOGLETRANSLATE(C1130, ""en"", ""te""),"""")"),"")</f>
        <v/>
      </c>
      <c r="E1130" s="2"/>
      <c r="F1130" s="2" t="str">
        <f>IFERROR(__xludf.DUMMYFUNCTION("IF(E1130&lt;&gt;"""", GOOGLETRANSLATE(E1130, ""en"", ""te""),"""")"),"")</f>
        <v/>
      </c>
      <c r="G1130" s="2"/>
      <c r="H1130" s="2" t="str">
        <f>IFERROR(__xludf.DUMMYFUNCTION("IF(G1130&lt;&gt;"""", GOOGLETRANSLATE(G1130, ""en"", ""te""),"""")"),"")</f>
        <v/>
      </c>
      <c r="I1130" s="3"/>
    </row>
    <row r="1131" customHeight="1" spans="1:9">
      <c r="A1131" s="2"/>
      <c r="B1131" s="2" t="str">
        <f>IFERROR(__xludf.DUMMYFUNCTION("IF(A1131&lt;&gt;"""", GOOGLETRANSLATE(A1131, ""en"", ""te""),"""")"),"")</f>
        <v/>
      </c>
      <c r="C1131" s="2"/>
      <c r="D1131" s="2" t="str">
        <f>IFERROR(__xludf.DUMMYFUNCTION("IF(C1131&lt;&gt;"""", GOOGLETRANSLATE(C1131, ""en"", ""te""),"""")"),"")</f>
        <v/>
      </c>
      <c r="E1131" s="2"/>
      <c r="F1131" s="2" t="str">
        <f>IFERROR(__xludf.DUMMYFUNCTION("IF(E1131&lt;&gt;"""", GOOGLETRANSLATE(E1131, ""en"", ""te""),"""")"),"")</f>
        <v/>
      </c>
      <c r="G1131" s="2"/>
      <c r="H1131" s="2" t="str">
        <f>IFERROR(__xludf.DUMMYFUNCTION("IF(G1131&lt;&gt;"""", GOOGLETRANSLATE(G1131, ""en"", ""te""),"""")"),"")</f>
        <v/>
      </c>
      <c r="I1131" s="3"/>
    </row>
    <row r="1132" customHeight="1" spans="1:9">
      <c r="A1132" s="2"/>
      <c r="B1132" s="2" t="str">
        <f>IFERROR(__xludf.DUMMYFUNCTION("IF(A1132&lt;&gt;"""", GOOGLETRANSLATE(A1132, ""en"", ""te""),"""")"),"")</f>
        <v/>
      </c>
      <c r="C1132" s="2" t="s">
        <v>771</v>
      </c>
      <c r="D1132" s="2" t="str">
        <f>IFERROR(__xludf.DUMMYFUNCTION("IF(C1132&lt;&gt;"""", GOOGLETRANSLATE(C1132, ""en"", ""te""),"""")"),"[ '35 వ పిన్న ఆటగాడు వంద స్కోర్ (20y 145d)', 'పదవ వికెట్ను (103) 25 వ అత్యధిక భాగస్వామ్యం']")</f>
        <v>[ '35 వ పిన్న ఆటగాడు వంద స్కోర్ (20y 145d)', 'పదవ వికెట్ను (103) 25 వ అత్యధిక భాగస్వామ్యం']</v>
      </c>
      <c r="E1132" s="2"/>
      <c r="F1132" s="2" t="str">
        <f>IFERROR(__xludf.DUMMYFUNCTION("IF(E1132&lt;&gt;"""", GOOGLETRANSLATE(E1132, ""en"", ""te""),"""")"),"")</f>
        <v/>
      </c>
      <c r="G1132" s="2"/>
      <c r="H1132" s="2" t="str">
        <f>IFERROR(__xludf.DUMMYFUNCTION("IF(G1132&lt;&gt;"""", GOOGLETRANSLATE(G1132, ""en"", ""te""),"""")"),"")</f>
        <v/>
      </c>
      <c r="I1132" s="3"/>
    </row>
    <row r="1133" customHeight="1" spans="1:9">
      <c r="A1133" s="2"/>
      <c r="B1133" s="2" t="str">
        <f>IFERROR(__xludf.DUMMYFUNCTION("IF(A1133&lt;&gt;"""", GOOGLETRANSLATE(A1133, ""en"", ""te""),"""")"),"")</f>
        <v/>
      </c>
      <c r="C1133" s="2"/>
      <c r="D1133" s="2" t="str">
        <f>IFERROR(__xludf.DUMMYFUNCTION("IF(C1133&lt;&gt;"""", GOOGLETRANSLATE(C1133, ""en"", ""te""),"""")"),"")</f>
        <v/>
      </c>
      <c r="E1133" s="2"/>
      <c r="F1133" s="2" t="str">
        <f>IFERROR(__xludf.DUMMYFUNCTION("IF(E1133&lt;&gt;"""", GOOGLETRANSLATE(E1133, ""en"", ""te""),"""")"),"")</f>
        <v/>
      </c>
      <c r="G1133" s="2"/>
      <c r="H1133" s="2" t="str">
        <f>IFERROR(__xludf.DUMMYFUNCTION("IF(G1133&lt;&gt;"""", GOOGLETRANSLATE(G1133, ""en"", ""te""),"""")"),"")</f>
        <v/>
      </c>
      <c r="I1133" s="3"/>
    </row>
    <row r="1134" customHeight="1" spans="1:9">
      <c r="A1134" s="2" t="s">
        <v>399</v>
      </c>
      <c r="B1134" s="2" t="str">
        <f>IFERROR(__xludf.DUMMYFUNCTION("IF(A1134&lt;&gt;"""", GOOGLETRANSLATE(A1134, ""en"", ""te""),"""")"),"[ 'తొలి పెయిర్']")</f>
        <v>[ 'తొలి పెయిర్']</v>
      </c>
      <c r="C1134" s="2"/>
      <c r="D1134" s="2" t="str">
        <f>IFERROR(__xludf.DUMMYFUNCTION("IF(C1134&lt;&gt;"""", GOOGLETRANSLATE(C1134, ""en"", ""te""),"""")"),"")</f>
        <v/>
      </c>
      <c r="E1134" s="2"/>
      <c r="F1134" s="2" t="str">
        <f>IFERROR(__xludf.DUMMYFUNCTION("IF(E1134&lt;&gt;"""", GOOGLETRANSLATE(E1134, ""en"", ""te""),"""")"),"")</f>
        <v/>
      </c>
      <c r="G1134" s="2"/>
      <c r="H1134" s="2" t="str">
        <f>IFERROR(__xludf.DUMMYFUNCTION("IF(G1134&lt;&gt;"""", GOOGLETRANSLATE(G1134, ""en"", ""te""),"""")"),"")</f>
        <v/>
      </c>
      <c r="I1134" s="3"/>
    </row>
    <row r="1135" customHeight="1" spans="1:9">
      <c r="A1135" s="2" t="s">
        <v>772</v>
      </c>
      <c r="B1135" s="2" t="str">
        <f>IFERROR(__xludf.DUMMYFUNCTION("IF(A1135&lt;&gt;"""", GOOGLETRANSLATE(A1135, ""en"", ""te""),"""")"),"[ 'వరుస 5 వ అత్యధిక వికెట్లు (26)', '5 వ ఒక సిరీస్లో అత్యధిక స్టంపింగ్లు (7)', '2000 పరుగులు మరియు 100 వికెట్ కీపింగ్ తొలగింపులకు']")</f>
        <v>[ 'వరుస 5 వ అత్యధిక వికెట్లు (26)', '5 వ ఒక సిరీస్లో అత్యధిక స్టంపింగ్లు (7)', '2000 పరుగులు మరియు 100 వికెట్ కీపింగ్ తొలగింపులకు']</v>
      </c>
      <c r="C1135" s="2" t="s">
        <v>773</v>
      </c>
      <c r="D1135" s="2" t="str">
        <f>IFERROR(__xludf.DUMMYFUNCTION("IF(C1135&lt;&gt;"""", GOOGLETRANSLATE(C1135, ""en"", ""te""),"""")"),"[ '22 వ అత్యంత వికెట్కీపర్ శ్రేణిలో పరుగులు (362)', 'వరుస 5 వ అత్యధిక వికెట్లు (26)' '34 వ అత్యధిక కెరీర్ లో వికెట్లు (141)', 'కెరీర్లో 34 వ అత్యధిక క్యాచ్లు (124)', '20 వ ఒక సిరీస్లో అత్యధిక క్యాచ్లు (23)', 'కెరీర్ లో 24 వ అత్యంత స్టంపింగ్లు (17)', '12 వ"&amp;" మ్యాచ్ లో అత్యంత స్టంపింగ్లు (3)', '5 వ ఒక సిరీస్లో అత్యధిక స్టంపింగ్లు (7)']")</f>
        <v>[ '22 వ అత్యంత వికెట్కీపర్ శ్రేణిలో పరుగులు (362)', 'వరుస 5 వ అత్యధిక వికెట్లు (26)' '34 వ అత్యధిక కెరీర్ లో వికెట్లు (141)', 'కెరీర్లో 34 వ అత్యధిక క్యాచ్లు (124)', '20 వ ఒక సిరీస్లో అత్యధిక క్యాచ్లు (23)', 'కెరీర్ లో 24 వ అత్యంత స్టంపింగ్లు (17)', '12 వ మ్యాచ్ లో అత్యంత స్టంపింగ్లు (3)', '5 వ ఒక సిరీస్లో అత్యధిక స్టంపింగ్లు (7)']</v>
      </c>
      <c r="E1135" s="2"/>
      <c r="F1135" s="2" t="str">
        <f>IFERROR(__xludf.DUMMYFUNCTION("IF(E1135&lt;&gt;"""", GOOGLETRANSLATE(E1135, ""en"", ""te""),"""")"),"")</f>
        <v/>
      </c>
      <c r="G1135" s="2"/>
      <c r="H1135" s="2" t="str">
        <f>IFERROR(__xludf.DUMMYFUNCTION("IF(G1135&lt;&gt;"""", GOOGLETRANSLATE(G1135, ""en"", ""te""),"""")"),"")</f>
        <v/>
      </c>
      <c r="I1135" s="3"/>
    </row>
    <row r="1136" customHeight="1" spans="1:9">
      <c r="A1136" s="2"/>
      <c r="B1136" s="2" t="str">
        <f>IFERROR(__xludf.DUMMYFUNCTION("IF(A1136&lt;&gt;"""", GOOGLETRANSLATE(A1136, ""en"", ""te""),"""")"),"")</f>
        <v/>
      </c>
      <c r="C1136" s="2"/>
      <c r="D1136" s="2" t="str">
        <f>IFERROR(__xludf.DUMMYFUNCTION("IF(C1136&lt;&gt;"""", GOOGLETRANSLATE(C1136, ""en"", ""te""),"""")"),"")</f>
        <v/>
      </c>
      <c r="E1136" s="2"/>
      <c r="F1136" s="2" t="str">
        <f>IFERROR(__xludf.DUMMYFUNCTION("IF(E1136&lt;&gt;"""", GOOGLETRANSLATE(E1136, ""en"", ""te""),"""")"),"")</f>
        <v/>
      </c>
      <c r="G1136" s="2"/>
      <c r="H1136" s="2" t="str">
        <f>IFERROR(__xludf.DUMMYFUNCTION("IF(G1136&lt;&gt;"""", GOOGLETRANSLATE(G1136, ""en"", ""te""),"""")"),"")</f>
        <v/>
      </c>
      <c r="I1136" s="3"/>
    </row>
    <row r="1137" customHeight="1" spans="1:9">
      <c r="A1137" s="2"/>
      <c r="B1137" s="2" t="str">
        <f>IFERROR(__xludf.DUMMYFUNCTION("IF(A1137&lt;&gt;"""", GOOGLETRANSLATE(A1137, ""en"", ""te""),"""")"),"")</f>
        <v/>
      </c>
      <c r="C1137" s="2"/>
      <c r="D1137" s="2" t="str">
        <f>IFERROR(__xludf.DUMMYFUNCTION("IF(C1137&lt;&gt;"""", GOOGLETRANSLATE(C1137, ""en"", ""te""),"""")"),"")</f>
        <v/>
      </c>
      <c r="E1137" s="2"/>
      <c r="F1137" s="2" t="str">
        <f>IFERROR(__xludf.DUMMYFUNCTION("IF(E1137&lt;&gt;"""", GOOGLETRANSLATE(E1137, ""en"", ""te""),"""")"),"")</f>
        <v/>
      </c>
      <c r="G1137" s="2"/>
      <c r="H1137" s="2" t="str">
        <f>IFERROR(__xludf.DUMMYFUNCTION("IF(G1137&lt;&gt;"""", GOOGLETRANSLATE(G1137, ""en"", ""te""),"""")"),"")</f>
        <v/>
      </c>
      <c r="I1137" s="3"/>
    </row>
    <row r="1138" customHeight="1" spans="1:9">
      <c r="A1138" s="2"/>
      <c r="B1138" s="2" t="str">
        <f>IFERROR(__xludf.DUMMYFUNCTION("IF(A1138&lt;&gt;"""", GOOGLETRANSLATE(A1138, ""en"", ""te""),"""")"),"")</f>
        <v/>
      </c>
      <c r="C1138" s="2"/>
      <c r="D1138" s="2" t="str">
        <f>IFERROR(__xludf.DUMMYFUNCTION("IF(C1138&lt;&gt;"""", GOOGLETRANSLATE(C1138, ""en"", ""te""),"""")"),"")</f>
        <v/>
      </c>
      <c r="E1138" s="2"/>
      <c r="F1138" s="2" t="str">
        <f>IFERROR(__xludf.DUMMYFUNCTION("IF(E1138&lt;&gt;"""", GOOGLETRANSLATE(E1138, ""en"", ""te""),"""")"),"")</f>
        <v/>
      </c>
      <c r="G1138" s="2" t="s">
        <v>774</v>
      </c>
      <c r="H1138" s="2" t="str">
        <f>IFERROR(__xludf.DUMMYFUNCTION("IF(G1138&lt;&gt;"""", GOOGLETRANSLATE(G1138, ""en"", ""te""),"""")"),"[ '36 వ ఇన్నింగ్స్ లో బెస్ట్ ఫిగర్స్ (5/23)', '29 వ అత్యధిక పరుగులు ఇన్నింగ్స్ (58) లో సాధించిన]")</f>
        <v>[ '36 వ ఇన్నింగ్స్ లో బెస్ట్ ఫిగర్స్ (5/23)', '29 వ అత్యధిక పరుగులు ఇన్నింగ్స్ (58) లో సాధించిన]</v>
      </c>
      <c r="I1138" s="3"/>
    </row>
    <row r="1139" customHeight="1" spans="1:9">
      <c r="A1139" s="2"/>
      <c r="B1139" s="2" t="str">
        <f>IFERROR(__xludf.DUMMYFUNCTION("IF(A1139&lt;&gt;"""", GOOGLETRANSLATE(A1139, ""en"", ""te""),"""")"),"")</f>
        <v/>
      </c>
      <c r="C1139" s="2"/>
      <c r="D1139" s="2" t="str">
        <f>IFERROR(__xludf.DUMMYFUNCTION("IF(C1139&lt;&gt;"""", GOOGLETRANSLATE(C1139, ""en"", ""te""),"""")"),"")</f>
        <v/>
      </c>
      <c r="E1139" s="2"/>
      <c r="F1139" s="2" t="str">
        <f>IFERROR(__xludf.DUMMYFUNCTION("IF(E1139&lt;&gt;"""", GOOGLETRANSLATE(E1139, ""en"", ""te""),"""")"),"")</f>
        <v/>
      </c>
      <c r="G1139" s="2"/>
      <c r="H1139" s="2" t="str">
        <f>IFERROR(__xludf.DUMMYFUNCTION("IF(G1139&lt;&gt;"""", GOOGLETRANSLATE(G1139, ""en"", ""te""),"""")"),"")</f>
        <v/>
      </c>
      <c r="I1139" s="3"/>
    </row>
    <row r="1140" customHeight="1" spans="1:9">
      <c r="A1140" s="2"/>
      <c r="B1140" s="2" t="str">
        <f>IFERROR(__xludf.DUMMYFUNCTION("IF(A1140&lt;&gt;"""", GOOGLETRANSLATE(A1140, ""en"", ""te""),"""")"),"")</f>
        <v/>
      </c>
      <c r="C1140" s="2"/>
      <c r="D1140" s="2" t="str">
        <f>IFERROR(__xludf.DUMMYFUNCTION("IF(C1140&lt;&gt;"""", GOOGLETRANSLATE(C1140, ""en"", ""te""),"""")"),"")</f>
        <v/>
      </c>
      <c r="E1140" s="2"/>
      <c r="F1140" s="2" t="str">
        <f>IFERROR(__xludf.DUMMYFUNCTION("IF(E1140&lt;&gt;"""", GOOGLETRANSLATE(E1140, ""en"", ""te""),"""")"),"")</f>
        <v/>
      </c>
      <c r="G1140" s="2"/>
      <c r="H1140" s="2" t="str">
        <f>IFERROR(__xludf.DUMMYFUNCTION("IF(G1140&lt;&gt;"""", GOOGLETRANSLATE(G1140, ""en"", ""te""),"""")"),"")</f>
        <v/>
      </c>
      <c r="I1140" s="3"/>
    </row>
    <row r="1141" customHeight="1" spans="1:9">
      <c r="A1141" s="2"/>
      <c r="B1141" s="2" t="str">
        <f>IFERROR(__xludf.DUMMYFUNCTION("IF(A1141&lt;&gt;"""", GOOGLETRANSLATE(A1141, ""en"", ""te""),"""")"),"")</f>
        <v/>
      </c>
      <c r="C1141" s="2"/>
      <c r="D1141" s="2" t="str">
        <f>IFERROR(__xludf.DUMMYFUNCTION("IF(C1141&lt;&gt;"""", GOOGLETRANSLATE(C1141, ""en"", ""te""),"""")"),"")</f>
        <v/>
      </c>
      <c r="E1141" s="2"/>
      <c r="F1141" s="2" t="str">
        <f>IFERROR(__xludf.DUMMYFUNCTION("IF(E1141&lt;&gt;"""", GOOGLETRANSLATE(E1141, ""en"", ""te""),"""")"),"")</f>
        <v/>
      </c>
      <c r="G1141" s="2"/>
      <c r="H1141" s="2" t="str">
        <f>IFERROR(__xludf.DUMMYFUNCTION("IF(G1141&lt;&gt;"""", GOOGLETRANSLATE(G1141, ""en"", ""te""),"""")"),"")</f>
        <v/>
      </c>
      <c r="I1141" s="3"/>
    </row>
    <row r="1142" customHeight="1" spans="1:9">
      <c r="A1142" s="2"/>
      <c r="B1142" s="2" t="str">
        <f>IFERROR(__xludf.DUMMYFUNCTION("IF(A1142&lt;&gt;"""", GOOGLETRANSLATE(A1142, ""en"", ""te""),"""")"),"")</f>
        <v/>
      </c>
      <c r="C1142" s="2"/>
      <c r="D1142" s="2" t="str">
        <f>IFERROR(__xludf.DUMMYFUNCTION("IF(C1142&lt;&gt;"""", GOOGLETRANSLATE(C1142, ""en"", ""te""),"""")"),"")</f>
        <v/>
      </c>
      <c r="E1142" s="2"/>
      <c r="F1142" s="2" t="str">
        <f>IFERROR(__xludf.DUMMYFUNCTION("IF(E1142&lt;&gt;"""", GOOGLETRANSLATE(E1142, ""en"", ""te""),"""")"),"")</f>
        <v/>
      </c>
      <c r="G1142" s="2"/>
      <c r="H1142" s="2" t="str">
        <f>IFERROR(__xludf.DUMMYFUNCTION("IF(G1142&lt;&gt;"""", GOOGLETRANSLATE(G1142, ""en"", ""te""),"""")"),"")</f>
        <v/>
      </c>
      <c r="I1142" s="3"/>
    </row>
    <row r="1143" customHeight="1" spans="1:9">
      <c r="A1143" s="2" t="s">
        <v>775</v>
      </c>
      <c r="B1143" s="2" t="str">
        <f>IFERROR(__xludf.DUMMYFUNCTION("IF(A1143&lt;&gt;"""", GOOGLETRANSLATE(A1143, ""en"", ""te""),"""")"),"[ '10 వ ఇన్నింగ్స్ లో అత్యధిక పరుగులు (బ్యాటింగ్ స్థానంలో ప్రకారం) (149)', 'ఇన్నింగ్స్ లో 4 వ అత్యధిక క్యాచ్లు (3)', '2 వ పిన్న ఆటగాడు వంద (17y 105d) స్కోర్']")</f>
        <v>[ '10 వ ఇన్నింగ్స్ లో అత్యధిక పరుగులు (బ్యాటింగ్ స్థానంలో ప్రకారం) (149)', 'ఇన్నింగ్స్ లో 4 వ అత్యధిక క్యాచ్లు (3)', '2 వ పిన్న ఆటగాడు వంద (17y 105d) స్కోర్']</v>
      </c>
      <c r="C1143" s="2"/>
      <c r="D1143" s="2" t="str">
        <f>IFERROR(__xludf.DUMMYFUNCTION("IF(C1143&lt;&gt;"""", GOOGLETRANSLATE(C1143, ""en"", ""te""),"""")"),"")</f>
        <v/>
      </c>
      <c r="E1143" s="2" t="s">
        <v>776</v>
      </c>
      <c r="F1143" s="2" t="str">
        <f>IFERROR(__xludf.DUMMYFUNCTION("IF(E1143&lt;&gt;"""", GOOGLETRANSLATE(E1143, ""en"", ""te""),"""")"),"[ '35 వ అత్యధిక కెరీర్ లో పరుగులు (2150)', '18 వ ఇన్నింగ్స్ లో అత్యధిక పరుగులు (149)', 'వరుస 21 వ అత్యధిక పరుగులు (614)', '20 వ ఒక క్యాలెండర్ సంవత్సరంలో అత్యధిక పరుగులు (643)', ' 10 వ అత్యంత ఇన్నింగ్స్ లో నడుస్తుంది (బ్యాటింగ్ స్థానం) (149) ',' ఒకే మైదాన"&amp;"ంలో 22 వ అత్యధిక పరుగులు (419) ',' 13 వ అత్యధిక కెరీర్ బ్యాటింగ్ సగటు (43,87) ',' 25 వ ఒక వృత్తిలో అత్యధిక వందలు (2) ',' 11 వ ఒక జట్టు వ్యతిరేకంగా అత్యధిక వందలు (2) ',' వంద (17y 105d) కెరీర్ లో ఒక ఇన్నింగ్స్ లో స్కోర్ 2 వ పిన్న ఆటగాడు ',' 18 వ అత్యంత అర్ధ"&amp;" (21) ',' 4 వ అత్యధిక క్యాచ్లు (3) ' '47 వ ఒక సిరీస్లో అత్యధిక క్యాచ్లు (6)', 'ఏ వికెట్కు 28 అత్యధిక భాగస్వామ్యాల (192)', 'మొదటి వికెట్కు 11 వ అత్యధిక భాగస్వామ్యం (192)', 'రెండవ వికెట్ (179) కోసం 12 వ అత్యధిక భాగస్వామ్యం' '16 వ పిన్న కాప్టెన్ (21y 320d)']")</f>
        <v>[ '35 వ అత్యధిక కెరీర్ లో పరుగులు (2150)', '18 వ ఇన్నింగ్స్ లో అత్యధిక పరుగులు (149)', 'వరుస 21 వ అత్యధిక పరుగులు (614)', '20 వ ఒక క్యాలెండర్ సంవత్సరంలో అత్యధిక పరుగులు (643)', ' 10 వ అత్యంత ఇన్నింగ్స్ లో నడుస్తుంది (బ్యాటింగ్ స్థానం) (149) ',' ఒకే మైదానంలో 22 వ అత్యధిక పరుగులు (419) ',' 13 వ అత్యధిక కెరీర్ బ్యాటింగ్ సగటు (43,87) ',' 25 వ ఒక వృత్తిలో అత్యధిక వందలు (2) ',' 11 వ ఒక జట్టు వ్యతిరేకంగా అత్యధిక వందలు (2) ',' వంద (17y 105d) కెరీర్ లో ఒక ఇన్నింగ్స్ లో స్కోర్ 2 వ పిన్న ఆటగాడు ',' 18 వ అత్యంత అర్ధ (21) ',' 4 వ అత్యధిక క్యాచ్లు (3) ' '47 వ ఒక సిరీస్లో అత్యధిక క్యాచ్లు (6)', 'ఏ వికెట్కు 28 అత్యధిక భాగస్వామ్యాల (192)', 'మొదటి వికెట్కు 11 వ అత్యధిక భాగస్వామ్యం (192)', 'రెండవ వికెట్ (179) కోసం 12 వ అత్యధిక భాగస్వామ్యం' '16 వ పిన్న కాప్టెన్ (21y 320d)']</v>
      </c>
      <c r="G1143" s="2" t="s">
        <v>777</v>
      </c>
      <c r="H1143" s="2" t="str">
        <f>IFERROR(__xludf.DUMMYFUNCTION("IF(G1143&lt;&gt;"""", GOOGLETRANSLATE(G1143, ""en"", ""te""),"""")"),"[18 వ ఇన్నింగ్స్ లో అత్యధిక పరుగులు (బ్యాటింగ్ స్థానంలో ప్రకారం) (53 *) ',' 34 వ కెరీర్ (3) అత్యంత అర్ధ ']")</f>
        <v>[18 వ ఇన్నింగ్స్ లో అత్యధిక పరుగులు (బ్యాటింగ్ స్థానంలో ప్రకారం) (53 *) ',' 34 వ కెరీర్ (3) అత్యంత అర్ధ ']</v>
      </c>
      <c r="I1143" s="3"/>
    </row>
    <row r="1144" customHeight="1" spans="1:9">
      <c r="A1144" s="2"/>
      <c r="B1144" s="2" t="str">
        <f>IFERROR(__xludf.DUMMYFUNCTION("IF(A1144&lt;&gt;"""", GOOGLETRANSLATE(A1144, ""en"", ""te""),"""")"),"")</f>
        <v/>
      </c>
      <c r="C1144" s="2"/>
      <c r="D1144" s="2" t="str">
        <f>IFERROR(__xludf.DUMMYFUNCTION("IF(C1144&lt;&gt;"""", GOOGLETRANSLATE(C1144, ""en"", ""te""),"""")"),"")</f>
        <v/>
      </c>
      <c r="E1144" s="2"/>
      <c r="F1144" s="2" t="str">
        <f>IFERROR(__xludf.DUMMYFUNCTION("IF(E1144&lt;&gt;"""", GOOGLETRANSLATE(E1144, ""en"", ""te""),"""")"),"")</f>
        <v/>
      </c>
      <c r="G1144" s="2"/>
      <c r="H1144" s="2" t="str">
        <f>IFERROR(__xludf.DUMMYFUNCTION("IF(G1144&lt;&gt;"""", GOOGLETRANSLATE(G1144, ""en"", ""te""),"""")"),"")</f>
        <v/>
      </c>
      <c r="I1144" s="3"/>
    </row>
    <row r="1145" customHeight="1" spans="1:9">
      <c r="A1145" s="2"/>
      <c r="B1145" s="2" t="str">
        <f>IFERROR(__xludf.DUMMYFUNCTION("IF(A1145&lt;&gt;"""", GOOGLETRANSLATE(A1145, ""en"", ""te""),"""")"),"")</f>
        <v/>
      </c>
      <c r="C1145" s="2"/>
      <c r="D1145" s="2" t="str">
        <f>IFERROR(__xludf.DUMMYFUNCTION("IF(C1145&lt;&gt;"""", GOOGLETRANSLATE(C1145, ""en"", ""te""),"""")"),"")</f>
        <v/>
      </c>
      <c r="E1145" s="2"/>
      <c r="F1145" s="2" t="str">
        <f>IFERROR(__xludf.DUMMYFUNCTION("IF(E1145&lt;&gt;"""", GOOGLETRANSLATE(E1145, ""en"", ""te""),"""")"),"")</f>
        <v/>
      </c>
      <c r="G1145" s="2"/>
      <c r="H1145" s="2" t="str">
        <f>IFERROR(__xludf.DUMMYFUNCTION("IF(G1145&lt;&gt;"""", GOOGLETRANSLATE(G1145, ""en"", ""te""),"""")"),"")</f>
        <v/>
      </c>
      <c r="I1145" s="3"/>
    </row>
    <row r="1146" customHeight="1" spans="1:9">
      <c r="A1146" s="2"/>
      <c r="B1146" s="2" t="str">
        <f>IFERROR(__xludf.DUMMYFUNCTION("IF(A1146&lt;&gt;"""", GOOGLETRANSLATE(A1146, ""en"", ""te""),"""")"),"")</f>
        <v/>
      </c>
      <c r="C1146" s="2"/>
      <c r="D1146" s="2" t="str">
        <f>IFERROR(__xludf.DUMMYFUNCTION("IF(C1146&lt;&gt;"""", GOOGLETRANSLATE(C1146, ""en"", ""te""),"""")"),"")</f>
        <v/>
      </c>
      <c r="E1146" s="2"/>
      <c r="F1146" s="2" t="str">
        <f>IFERROR(__xludf.DUMMYFUNCTION("IF(E1146&lt;&gt;"""", GOOGLETRANSLATE(E1146, ""en"", ""te""),"""")"),"")</f>
        <v/>
      </c>
      <c r="G1146" s="2"/>
      <c r="H1146" s="2" t="str">
        <f>IFERROR(__xludf.DUMMYFUNCTION("IF(G1146&lt;&gt;"""", GOOGLETRANSLATE(G1146, ""en"", ""te""),"""")"),"")</f>
        <v/>
      </c>
      <c r="I1146" s="3"/>
    </row>
    <row r="1147" customHeight="1" spans="1:9">
      <c r="A1147" s="2" t="s">
        <v>778</v>
      </c>
      <c r="B1147" s="2" t="str">
        <f>IFERROR(__xludf.DUMMYFUNCTION("IF(A1147&lt;&gt;"""", GOOGLETRANSLATE(A1147, ""en"", ""te""),"""")"),"[ 'ఇన్నింగ్స్ లో 4 వ అత్యంత స్టంపింగ్లు (3)', 'పెయిర్ తొలి']")</f>
        <v>[ 'ఇన్నింగ్స్ లో 4 వ అత్యంత స్టంపింగ్లు (3)', 'పెయిర్ తొలి']</v>
      </c>
      <c r="C1147" s="2" t="s">
        <v>779</v>
      </c>
      <c r="D1147" s="2" t="str">
        <f>IFERROR(__xludf.DUMMYFUNCTION("IF(C1147&lt;&gt;"""", GOOGLETRANSLATE(C1147, ""en"", ""te""),"""")"),"[ '33 వ కెరీర్ స్టంపింగ్లు (13)', '4 వ ఇన్నింగ్స్ లో వచ్చిన ఎక్కువ స్టంపింగ్లు (3)', '12 వ మ్యాచ్ లో అత్యంత స్టంపింగ్లు (3)', '18 వ ఒక సిరీస్లో అత్యధిక స్టంపింగ్లు (5)', '23 ఒక ఇన్నింగ్స్ లో సాధించిన అత్యంత బైలు (25) ']")</f>
        <v>[ '33 వ కెరీర్ స్టంపింగ్లు (13)', '4 వ ఇన్నింగ్స్ లో వచ్చిన ఎక్కువ స్టంపింగ్లు (3)', '12 వ మ్యాచ్ లో అత్యంత స్టంపింగ్లు (3)', '18 వ ఒక సిరీస్లో అత్యధిక స్టంపింగ్లు (5)', '23 ఒక ఇన్నింగ్స్ లో సాధించిన అత్యంత బైలు (25) ']</v>
      </c>
      <c r="E1147" s="2"/>
      <c r="F1147" s="2" t="str">
        <f>IFERROR(__xludf.DUMMYFUNCTION("IF(E1147&lt;&gt;"""", GOOGLETRANSLATE(E1147, ""en"", ""te""),"""")"),"")</f>
        <v/>
      </c>
      <c r="G1147" s="2"/>
      <c r="H1147" s="2" t="str">
        <f>IFERROR(__xludf.DUMMYFUNCTION("IF(G1147&lt;&gt;"""", GOOGLETRANSLATE(G1147, ""en"", ""te""),"""")"),"")</f>
        <v/>
      </c>
      <c r="I1147" s="3"/>
    </row>
    <row r="1148" customHeight="1" spans="1:9">
      <c r="A1148" s="2"/>
      <c r="B1148" s="2" t="str">
        <f>IFERROR(__xludf.DUMMYFUNCTION("IF(A1148&lt;&gt;"""", GOOGLETRANSLATE(A1148, ""en"", ""te""),"""")"),"")</f>
        <v/>
      </c>
      <c r="C1148" s="2"/>
      <c r="D1148" s="2" t="str">
        <f>IFERROR(__xludf.DUMMYFUNCTION("IF(C1148&lt;&gt;"""", GOOGLETRANSLATE(C1148, ""en"", ""te""),"""")"),"")</f>
        <v/>
      </c>
      <c r="E1148" s="2"/>
      <c r="F1148" s="2" t="str">
        <f>IFERROR(__xludf.DUMMYFUNCTION("IF(E1148&lt;&gt;"""", GOOGLETRANSLATE(E1148, ""en"", ""te""),"""")"),"")</f>
        <v/>
      </c>
      <c r="G1148" s="2"/>
      <c r="H1148" s="2" t="str">
        <f>IFERROR(__xludf.DUMMYFUNCTION("IF(G1148&lt;&gt;"""", GOOGLETRANSLATE(G1148, ""en"", ""te""),"""")"),"")</f>
        <v/>
      </c>
      <c r="I1148" s="3"/>
    </row>
    <row r="1149" customHeight="1" spans="1:9">
      <c r="A1149" s="2"/>
      <c r="B1149" s="2" t="str">
        <f>IFERROR(__xludf.DUMMYFUNCTION("IF(A1149&lt;&gt;"""", GOOGLETRANSLATE(A1149, ""en"", ""te""),"""")"),"")</f>
        <v/>
      </c>
      <c r="C1149" s="2"/>
      <c r="D1149" s="2" t="str">
        <f>IFERROR(__xludf.DUMMYFUNCTION("IF(C1149&lt;&gt;"""", GOOGLETRANSLATE(C1149, ""en"", ""te""),"""")"),"")</f>
        <v/>
      </c>
      <c r="E1149" s="2"/>
      <c r="F1149" s="2" t="str">
        <f>IFERROR(__xludf.DUMMYFUNCTION("IF(E1149&lt;&gt;"""", GOOGLETRANSLATE(E1149, ""en"", ""te""),"""")"),"")</f>
        <v/>
      </c>
      <c r="G1149" s="2"/>
      <c r="H1149" s="2" t="str">
        <f>IFERROR(__xludf.DUMMYFUNCTION("IF(G1149&lt;&gt;"""", GOOGLETRANSLATE(G1149, ""en"", ""te""),"""")"),"")</f>
        <v/>
      </c>
      <c r="I1149" s="3"/>
    </row>
    <row r="1150" customHeight="1" spans="1:9">
      <c r="A1150" s="2"/>
      <c r="B1150" s="2" t="str">
        <f>IFERROR(__xludf.DUMMYFUNCTION("IF(A1150&lt;&gt;"""", GOOGLETRANSLATE(A1150, ""en"", ""te""),"""")"),"")</f>
        <v/>
      </c>
      <c r="C1150" s="2"/>
      <c r="D1150" s="2" t="str">
        <f>IFERROR(__xludf.DUMMYFUNCTION("IF(C1150&lt;&gt;"""", GOOGLETRANSLATE(C1150, ""en"", ""te""),"""")"),"")</f>
        <v/>
      </c>
      <c r="E1150" s="2"/>
      <c r="F1150" s="2" t="str">
        <f>IFERROR(__xludf.DUMMYFUNCTION("IF(E1150&lt;&gt;"""", GOOGLETRANSLATE(E1150, ""en"", ""te""),"""")"),"")</f>
        <v/>
      </c>
      <c r="G1150" s="2"/>
      <c r="H1150" s="2" t="str">
        <f>IFERROR(__xludf.DUMMYFUNCTION("IF(G1150&lt;&gt;"""", GOOGLETRANSLATE(G1150, ""en"", ""te""),"""")"),"")</f>
        <v/>
      </c>
      <c r="I1150" s="3"/>
    </row>
    <row r="1151" customHeight="1" spans="1:9">
      <c r="A1151" s="2"/>
      <c r="B1151" s="2" t="str">
        <f>IFERROR(__xludf.DUMMYFUNCTION("IF(A1151&lt;&gt;"""", GOOGLETRANSLATE(A1151, ""en"", ""te""),"""")"),"")</f>
        <v/>
      </c>
      <c r="C1151" s="2"/>
      <c r="D1151" s="2" t="str">
        <f>IFERROR(__xludf.DUMMYFUNCTION("IF(C1151&lt;&gt;"""", GOOGLETRANSLATE(C1151, ""en"", ""te""),"""")"),"")</f>
        <v/>
      </c>
      <c r="E1151" s="2"/>
      <c r="F1151" s="2" t="str">
        <f>IFERROR(__xludf.DUMMYFUNCTION("IF(E1151&lt;&gt;"""", GOOGLETRANSLATE(E1151, ""en"", ""te""),"""")"),"")</f>
        <v/>
      </c>
      <c r="G1151" s="2"/>
      <c r="H1151" s="2" t="str">
        <f>IFERROR(__xludf.DUMMYFUNCTION("IF(G1151&lt;&gt;"""", GOOGLETRANSLATE(G1151, ""en"", ""te""),"""")"),"")</f>
        <v/>
      </c>
      <c r="I1151" s="3"/>
    </row>
    <row r="1152" customHeight="1" spans="1:9">
      <c r="A1152" s="2"/>
      <c r="B1152" s="2" t="str">
        <f>IFERROR(__xludf.DUMMYFUNCTION("IF(A1152&lt;&gt;"""", GOOGLETRANSLATE(A1152, ""en"", ""te""),"""")"),"")</f>
        <v/>
      </c>
      <c r="C1152" s="2"/>
      <c r="D1152" s="2" t="str">
        <f>IFERROR(__xludf.DUMMYFUNCTION("IF(C1152&lt;&gt;"""", GOOGLETRANSLATE(C1152, ""en"", ""te""),"""")"),"")</f>
        <v/>
      </c>
      <c r="E1152" s="2"/>
      <c r="F1152" s="2" t="str">
        <f>IFERROR(__xludf.DUMMYFUNCTION("IF(E1152&lt;&gt;"""", GOOGLETRANSLATE(E1152, ""en"", ""te""),"""")"),"")</f>
        <v/>
      </c>
      <c r="G1152" s="2"/>
      <c r="H1152" s="2" t="str">
        <f>IFERROR(__xludf.DUMMYFUNCTION("IF(G1152&lt;&gt;"""", GOOGLETRANSLATE(G1152, ""en"", ""te""),"""")"),"")</f>
        <v/>
      </c>
      <c r="I1152" s="3"/>
    </row>
    <row r="1153" customHeight="1" spans="1:9">
      <c r="A1153" s="2"/>
      <c r="B1153" s="2" t="str">
        <f>IFERROR(__xludf.DUMMYFUNCTION("IF(A1153&lt;&gt;"""", GOOGLETRANSLATE(A1153, ""en"", ""te""),"""")"),"")</f>
        <v/>
      </c>
      <c r="C1153" s="2"/>
      <c r="D1153" s="2" t="str">
        <f>IFERROR(__xludf.DUMMYFUNCTION("IF(C1153&lt;&gt;"""", GOOGLETRANSLATE(C1153, ""en"", ""te""),"""")"),"")</f>
        <v/>
      </c>
      <c r="E1153" s="2"/>
      <c r="F1153" s="2" t="str">
        <f>IFERROR(__xludf.DUMMYFUNCTION("IF(E1153&lt;&gt;"""", GOOGLETRANSLATE(E1153, ""en"", ""te""),"""")"),"")</f>
        <v/>
      </c>
      <c r="G1153" s="2"/>
      <c r="H1153" s="2" t="str">
        <f>IFERROR(__xludf.DUMMYFUNCTION("IF(G1153&lt;&gt;"""", GOOGLETRANSLATE(G1153, ""en"", ""te""),"""")"),"")</f>
        <v/>
      </c>
      <c r="I1153" s="3"/>
    </row>
    <row r="1154" customHeight="1" spans="1:9">
      <c r="A1154" s="2"/>
      <c r="B1154" s="2" t="str">
        <f>IFERROR(__xludf.DUMMYFUNCTION("IF(A1154&lt;&gt;"""", GOOGLETRANSLATE(A1154, ""en"", ""te""),"""")"),"")</f>
        <v/>
      </c>
      <c r="C1154" s="2"/>
      <c r="D1154" s="2" t="str">
        <f>IFERROR(__xludf.DUMMYFUNCTION("IF(C1154&lt;&gt;"""", GOOGLETRANSLATE(C1154, ""en"", ""te""),"""")"),"")</f>
        <v/>
      </c>
      <c r="E1154" s="2"/>
      <c r="F1154" s="2" t="str">
        <f>IFERROR(__xludf.DUMMYFUNCTION("IF(E1154&lt;&gt;"""", GOOGLETRANSLATE(E1154, ""en"", ""te""),"""")"),"")</f>
        <v/>
      </c>
      <c r="G1154" s="2"/>
      <c r="H1154" s="2" t="str">
        <f>IFERROR(__xludf.DUMMYFUNCTION("IF(G1154&lt;&gt;"""", GOOGLETRANSLATE(G1154, ""en"", ""te""),"""")"),"")</f>
        <v/>
      </c>
      <c r="I1154" s="3"/>
    </row>
    <row r="1155" customHeight="1" spans="1:9">
      <c r="A1155" s="2"/>
      <c r="B1155" s="2" t="str">
        <f>IFERROR(__xludf.DUMMYFUNCTION("IF(A1155&lt;&gt;"""", GOOGLETRANSLATE(A1155, ""en"", ""te""),"""")"),"")</f>
        <v/>
      </c>
      <c r="C1155" s="2"/>
      <c r="D1155" s="2" t="str">
        <f>IFERROR(__xludf.DUMMYFUNCTION("IF(C1155&lt;&gt;"""", GOOGLETRANSLATE(C1155, ""en"", ""te""),"""")"),"")</f>
        <v/>
      </c>
      <c r="E1155" s="2"/>
      <c r="F1155" s="2" t="str">
        <f>IFERROR(__xludf.DUMMYFUNCTION("IF(E1155&lt;&gt;"""", GOOGLETRANSLATE(E1155, ""en"", ""te""),"""")"),"")</f>
        <v/>
      </c>
      <c r="G1155" s="2"/>
      <c r="H1155" s="2" t="str">
        <f>IFERROR(__xludf.DUMMYFUNCTION("IF(G1155&lt;&gt;"""", GOOGLETRANSLATE(G1155, ""en"", ""te""),"""")"),"")</f>
        <v/>
      </c>
      <c r="I1155" s="3"/>
    </row>
    <row r="1156" customHeight="1" spans="1:9">
      <c r="A1156" s="2"/>
      <c r="B1156" s="2" t="str">
        <f>IFERROR(__xludf.DUMMYFUNCTION("IF(A1156&lt;&gt;"""", GOOGLETRANSLATE(A1156, ""en"", ""te""),"""")"),"")</f>
        <v/>
      </c>
      <c r="C1156" s="2"/>
      <c r="D1156" s="2" t="str">
        <f>IFERROR(__xludf.DUMMYFUNCTION("IF(C1156&lt;&gt;"""", GOOGLETRANSLATE(C1156, ""en"", ""te""),"""")"),"")</f>
        <v/>
      </c>
      <c r="E1156" s="2"/>
      <c r="F1156" s="2" t="str">
        <f>IFERROR(__xludf.DUMMYFUNCTION("IF(E1156&lt;&gt;"""", GOOGLETRANSLATE(E1156, ""en"", ""te""),"""")"),"")</f>
        <v/>
      </c>
      <c r="G1156" s="2"/>
      <c r="H1156" s="2" t="str">
        <f>IFERROR(__xludf.DUMMYFUNCTION("IF(G1156&lt;&gt;"""", GOOGLETRANSLATE(G1156, ""en"", ""te""),"""")"),"")</f>
        <v/>
      </c>
      <c r="I1156" s="3"/>
    </row>
    <row r="1157" customHeight="1" spans="1:9">
      <c r="A1157" s="2" t="s">
        <v>780</v>
      </c>
      <c r="B1157" s="2" t="str">
        <f>IFERROR(__xludf.DUMMYFUNCTION("IF(A1157&lt;&gt;"""", GOOGLETRANSLATE(A1157, ""en"", ""te""),"""")"),"[ '1st పురాతన దేశం ఆటగాళ్ళు (98y 52d)', '6 వ ఉత్తమ కెరీర్ ఆర్థిక రేటు (1.74)']")</f>
        <v>[ '1st పురాతన దేశం ఆటగాళ్ళు (98y 52d)', '6 వ ఉత్తమ కెరీర్ ఆర్థిక రేటు (1.74)']</v>
      </c>
      <c r="C1157" s="2" t="s">
        <v>781</v>
      </c>
      <c r="D1157" s="2" t="str">
        <f>IFERROR(__xludf.DUMMYFUNCTION("IF(C1157&lt;&gt;"""", GOOGLETRANSLATE(C1157, ""en"", ""te""),"""")"),"[ '6 వ ఉత్తమ కెరీర్ ఆర్థిక రేటు (1.74)', '1st పురాతన దేశం ఆటగాళ్ళు (98y 52d)']")</f>
        <v>[ '6 వ ఉత్తమ కెరీర్ ఆర్థిక రేటు (1.74)', '1st పురాతన దేశం ఆటగాళ్ళు (98y 52d)']</v>
      </c>
      <c r="E1157" s="2"/>
      <c r="F1157" s="2" t="str">
        <f>IFERROR(__xludf.DUMMYFUNCTION("IF(E1157&lt;&gt;"""", GOOGLETRANSLATE(E1157, ""en"", ""te""),"""")"),"")</f>
        <v/>
      </c>
      <c r="G1157" s="2"/>
      <c r="H1157" s="2" t="str">
        <f>IFERROR(__xludf.DUMMYFUNCTION("IF(G1157&lt;&gt;"""", GOOGLETRANSLATE(G1157, ""en"", ""te""),"""")"),"")</f>
        <v/>
      </c>
      <c r="I1157" s="3"/>
    </row>
    <row r="1158" customHeight="1" spans="1:9">
      <c r="A1158" s="2"/>
      <c r="B1158" s="2" t="str">
        <f>IFERROR(__xludf.DUMMYFUNCTION("IF(A1158&lt;&gt;"""", GOOGLETRANSLATE(A1158, ""en"", ""te""),"""")"),"")</f>
        <v/>
      </c>
      <c r="C1158" s="2"/>
      <c r="D1158" s="2" t="str">
        <f>IFERROR(__xludf.DUMMYFUNCTION("IF(C1158&lt;&gt;"""", GOOGLETRANSLATE(C1158, ""en"", ""te""),"""")"),"")</f>
        <v/>
      </c>
      <c r="E1158" s="2"/>
      <c r="F1158" s="2" t="str">
        <f>IFERROR(__xludf.DUMMYFUNCTION("IF(E1158&lt;&gt;"""", GOOGLETRANSLATE(E1158, ""en"", ""te""),"""")"),"")</f>
        <v/>
      </c>
      <c r="G1158" s="2"/>
      <c r="H1158" s="2" t="str">
        <f>IFERROR(__xludf.DUMMYFUNCTION("IF(G1158&lt;&gt;"""", GOOGLETRANSLATE(G1158, ""en"", ""te""),"""")"),"")</f>
        <v/>
      </c>
      <c r="I1158" s="3"/>
    </row>
    <row r="1159" customHeight="1" spans="1:9">
      <c r="A1159" s="2"/>
      <c r="B1159" s="2" t="str">
        <f>IFERROR(__xludf.DUMMYFUNCTION("IF(A1159&lt;&gt;"""", GOOGLETRANSLATE(A1159, ""en"", ""te""),"""")"),"")</f>
        <v/>
      </c>
      <c r="C1159" s="2"/>
      <c r="D1159" s="2" t="str">
        <f>IFERROR(__xludf.DUMMYFUNCTION("IF(C1159&lt;&gt;"""", GOOGLETRANSLATE(C1159, ""en"", ""te""),"""")"),"")</f>
        <v/>
      </c>
      <c r="E1159" s="2"/>
      <c r="F1159" s="2" t="str">
        <f>IFERROR(__xludf.DUMMYFUNCTION("IF(E1159&lt;&gt;"""", GOOGLETRANSLATE(E1159, ""en"", ""te""),"""")"),"")</f>
        <v/>
      </c>
      <c r="G1159" s="2"/>
      <c r="H1159" s="2" t="str">
        <f>IFERROR(__xludf.DUMMYFUNCTION("IF(G1159&lt;&gt;"""", GOOGLETRANSLATE(G1159, ""en"", ""te""),"""")"),"")</f>
        <v/>
      </c>
      <c r="I1159" s="3"/>
    </row>
    <row r="1160" customHeight="1" spans="1:9">
      <c r="A1160" s="2"/>
      <c r="B1160" s="2" t="str">
        <f>IFERROR(__xludf.DUMMYFUNCTION("IF(A1160&lt;&gt;"""", GOOGLETRANSLATE(A1160, ""en"", ""te""),"""")"),"")</f>
        <v/>
      </c>
      <c r="C1160" s="2"/>
      <c r="D1160" s="2" t="str">
        <f>IFERROR(__xludf.DUMMYFUNCTION("IF(C1160&lt;&gt;"""", GOOGLETRANSLATE(C1160, ""en"", ""te""),"""")"),"")</f>
        <v/>
      </c>
      <c r="E1160" s="2"/>
      <c r="F1160" s="2" t="str">
        <f>IFERROR(__xludf.DUMMYFUNCTION("IF(E1160&lt;&gt;"""", GOOGLETRANSLATE(E1160, ""en"", ""te""),"""")"),"")</f>
        <v/>
      </c>
      <c r="G1160" s="2"/>
      <c r="H1160" s="2" t="str">
        <f>IFERROR(__xludf.DUMMYFUNCTION("IF(G1160&lt;&gt;"""", GOOGLETRANSLATE(G1160, ""en"", ""te""),"""")"),"")</f>
        <v/>
      </c>
      <c r="I1160" s="3"/>
    </row>
    <row r="1161" customHeight="1" spans="1:9">
      <c r="A1161" s="2"/>
      <c r="B1161" s="2" t="str">
        <f>IFERROR(__xludf.DUMMYFUNCTION("IF(A1161&lt;&gt;"""", GOOGLETRANSLATE(A1161, ""en"", ""te""),"""")"),"")</f>
        <v/>
      </c>
      <c r="C1161" s="2"/>
      <c r="D1161" s="2" t="str">
        <f>IFERROR(__xludf.DUMMYFUNCTION("IF(C1161&lt;&gt;"""", GOOGLETRANSLATE(C1161, ""en"", ""te""),"""")"),"")</f>
        <v/>
      </c>
      <c r="E1161" s="2"/>
      <c r="F1161" s="2" t="str">
        <f>IFERROR(__xludf.DUMMYFUNCTION("IF(E1161&lt;&gt;"""", GOOGLETRANSLATE(E1161, ""en"", ""te""),"""")"),"")</f>
        <v/>
      </c>
      <c r="G1161" s="2"/>
      <c r="H1161" s="2" t="str">
        <f>IFERROR(__xludf.DUMMYFUNCTION("IF(G1161&lt;&gt;"""", GOOGLETRANSLATE(G1161, ""en"", ""te""),"""")"),"")</f>
        <v/>
      </c>
      <c r="I1161" s="3"/>
    </row>
    <row r="1162" customHeight="1" spans="1:9">
      <c r="A1162" s="2"/>
      <c r="B1162" s="2" t="str">
        <f>IFERROR(__xludf.DUMMYFUNCTION("IF(A1162&lt;&gt;"""", GOOGLETRANSLATE(A1162, ""en"", ""te""),"""")"),"")</f>
        <v/>
      </c>
      <c r="C1162" s="2"/>
      <c r="D1162" s="2" t="str">
        <f>IFERROR(__xludf.DUMMYFUNCTION("IF(C1162&lt;&gt;"""", GOOGLETRANSLATE(C1162, ""en"", ""te""),"""")"),"")</f>
        <v/>
      </c>
      <c r="E1162" s="2"/>
      <c r="F1162" s="2" t="str">
        <f>IFERROR(__xludf.DUMMYFUNCTION("IF(E1162&lt;&gt;"""", GOOGLETRANSLATE(E1162, ""en"", ""te""),"""")"),"")</f>
        <v/>
      </c>
      <c r="G1162" s="2"/>
      <c r="H1162" s="2" t="str">
        <f>IFERROR(__xludf.DUMMYFUNCTION("IF(G1162&lt;&gt;"""", GOOGLETRANSLATE(G1162, ""en"", ""te""),"""")"),"")</f>
        <v/>
      </c>
      <c r="I1162" s="3"/>
    </row>
    <row r="1163" customHeight="1" spans="1:9">
      <c r="A1163" s="2"/>
      <c r="B1163" s="2" t="str">
        <f>IFERROR(__xludf.DUMMYFUNCTION("IF(A1163&lt;&gt;"""", GOOGLETRANSLATE(A1163, ""en"", ""te""),"""")"),"")</f>
        <v/>
      </c>
      <c r="C1163" s="2"/>
      <c r="D1163" s="2" t="str">
        <f>IFERROR(__xludf.DUMMYFUNCTION("IF(C1163&lt;&gt;"""", GOOGLETRANSLATE(C1163, ""en"", ""te""),"""")"),"")</f>
        <v/>
      </c>
      <c r="E1163" s="2"/>
      <c r="F1163" s="2" t="str">
        <f>IFERROR(__xludf.DUMMYFUNCTION("IF(E1163&lt;&gt;"""", GOOGLETRANSLATE(E1163, ""en"", ""te""),"""")"),"")</f>
        <v/>
      </c>
      <c r="G1163" s="2"/>
      <c r="H1163" s="2" t="str">
        <f>IFERROR(__xludf.DUMMYFUNCTION("IF(G1163&lt;&gt;"""", GOOGLETRANSLATE(G1163, ""en"", ""te""),"""")"),"")</f>
        <v/>
      </c>
      <c r="I1163" s="3"/>
    </row>
    <row r="1164" customHeight="1" spans="1:9">
      <c r="A1164" s="2"/>
      <c r="B1164" s="2" t="str">
        <f>IFERROR(__xludf.DUMMYFUNCTION("IF(A1164&lt;&gt;"""", GOOGLETRANSLATE(A1164, ""en"", ""te""),"""")"),"")</f>
        <v/>
      </c>
      <c r="C1164" s="2"/>
      <c r="D1164" s="2" t="str">
        <f>IFERROR(__xludf.DUMMYFUNCTION("IF(C1164&lt;&gt;"""", GOOGLETRANSLATE(C1164, ""en"", ""te""),"""")"),"")</f>
        <v/>
      </c>
      <c r="E1164" s="2"/>
      <c r="F1164" s="2" t="str">
        <f>IFERROR(__xludf.DUMMYFUNCTION("IF(E1164&lt;&gt;"""", GOOGLETRANSLATE(E1164, ""en"", ""te""),"""")"),"")</f>
        <v/>
      </c>
      <c r="G1164" s="2"/>
      <c r="H1164" s="2" t="str">
        <f>IFERROR(__xludf.DUMMYFUNCTION("IF(G1164&lt;&gt;"""", GOOGLETRANSLATE(G1164, ""en"", ""te""),"""")"),"")</f>
        <v/>
      </c>
      <c r="I1164" s="3"/>
    </row>
    <row r="1165" customHeight="1" spans="1:9">
      <c r="A1165" s="2"/>
      <c r="B1165" s="2" t="str">
        <f>IFERROR(__xludf.DUMMYFUNCTION("IF(A1165&lt;&gt;"""", GOOGLETRANSLATE(A1165, ""en"", ""te""),"""")"),"")</f>
        <v/>
      </c>
      <c r="C1165" s="2"/>
      <c r="D1165" s="2" t="str">
        <f>IFERROR(__xludf.DUMMYFUNCTION("IF(C1165&lt;&gt;"""", GOOGLETRANSLATE(C1165, ""en"", ""te""),"""")"),"")</f>
        <v/>
      </c>
      <c r="E1165" s="2"/>
      <c r="F1165" s="2" t="str">
        <f>IFERROR(__xludf.DUMMYFUNCTION("IF(E1165&lt;&gt;"""", GOOGLETRANSLATE(E1165, ""en"", ""te""),"""")"),"")</f>
        <v/>
      </c>
      <c r="G1165" s="2"/>
      <c r="H1165" s="2" t="str">
        <f>IFERROR(__xludf.DUMMYFUNCTION("IF(G1165&lt;&gt;"""", GOOGLETRANSLATE(G1165, ""en"", ""te""),"""")"),"")</f>
        <v/>
      </c>
      <c r="I1165" s="3"/>
    </row>
    <row r="1166" customHeight="1" spans="1:9">
      <c r="A1166" s="2"/>
      <c r="B1166" s="2" t="str">
        <f>IFERROR(__xludf.DUMMYFUNCTION("IF(A1166&lt;&gt;"""", GOOGLETRANSLATE(A1166, ""en"", ""te""),"""")"),"")</f>
        <v/>
      </c>
      <c r="C1166" s="2"/>
      <c r="D1166" s="2" t="str">
        <f>IFERROR(__xludf.DUMMYFUNCTION("IF(C1166&lt;&gt;"""", GOOGLETRANSLATE(C1166, ""en"", ""te""),"""")"),"")</f>
        <v/>
      </c>
      <c r="E1166" s="2"/>
      <c r="F1166" s="2" t="str">
        <f>IFERROR(__xludf.DUMMYFUNCTION("IF(E1166&lt;&gt;"""", GOOGLETRANSLATE(E1166, ""en"", ""te""),"""")"),"")</f>
        <v/>
      </c>
      <c r="G1166" s="2"/>
      <c r="H1166" s="2" t="str">
        <f>IFERROR(__xludf.DUMMYFUNCTION("IF(G1166&lt;&gt;"""", GOOGLETRANSLATE(G1166, ""en"", ""te""),"""")"),"")</f>
        <v/>
      </c>
      <c r="I1166" s="3"/>
    </row>
    <row r="1167" customHeight="1" spans="1:9">
      <c r="A1167" s="2"/>
      <c r="B1167" s="2" t="str">
        <f>IFERROR(__xludf.DUMMYFUNCTION("IF(A1167&lt;&gt;"""", GOOGLETRANSLATE(A1167, ""en"", ""te""),"""")"),"")</f>
        <v/>
      </c>
      <c r="C1167" s="2"/>
      <c r="D1167" s="2" t="str">
        <f>IFERROR(__xludf.DUMMYFUNCTION("IF(C1167&lt;&gt;"""", GOOGLETRANSLATE(C1167, ""en"", ""te""),"""")"),"")</f>
        <v/>
      </c>
      <c r="E1167" s="2"/>
      <c r="F1167" s="2" t="str">
        <f>IFERROR(__xludf.DUMMYFUNCTION("IF(E1167&lt;&gt;"""", GOOGLETRANSLATE(E1167, ""en"", ""te""),"""")"),"")</f>
        <v/>
      </c>
      <c r="G1167" s="2"/>
      <c r="H1167" s="2" t="str">
        <f>IFERROR(__xludf.DUMMYFUNCTION("IF(G1167&lt;&gt;"""", GOOGLETRANSLATE(G1167, ""en"", ""te""),"""")"),"")</f>
        <v/>
      </c>
      <c r="I1167" s="3"/>
    </row>
    <row r="1168" customHeight="1" spans="1:9">
      <c r="A1168" s="2"/>
      <c r="B1168" s="2" t="str">
        <f>IFERROR(__xludf.DUMMYFUNCTION("IF(A1168&lt;&gt;"""", GOOGLETRANSLATE(A1168, ""en"", ""te""),"""")"),"")</f>
        <v/>
      </c>
      <c r="C1168" s="2"/>
      <c r="D1168" s="2" t="str">
        <f>IFERROR(__xludf.DUMMYFUNCTION("IF(C1168&lt;&gt;"""", GOOGLETRANSLATE(C1168, ""en"", ""te""),"""")"),"")</f>
        <v/>
      </c>
      <c r="E1168" s="2"/>
      <c r="F1168" s="2" t="str">
        <f>IFERROR(__xludf.DUMMYFUNCTION("IF(E1168&lt;&gt;"""", GOOGLETRANSLATE(E1168, ""en"", ""te""),"""")"),"")</f>
        <v/>
      </c>
      <c r="G1168" s="2"/>
      <c r="H1168" s="2" t="str">
        <f>IFERROR(__xludf.DUMMYFUNCTION("IF(G1168&lt;&gt;"""", GOOGLETRANSLATE(G1168, ""en"", ""te""),"""")"),"")</f>
        <v/>
      </c>
      <c r="I1168" s="3"/>
    </row>
    <row r="1169" customHeight="1" spans="1:9">
      <c r="A1169" s="2"/>
      <c r="B1169" s="2" t="str">
        <f>IFERROR(__xludf.DUMMYFUNCTION("IF(A1169&lt;&gt;"""", GOOGLETRANSLATE(A1169, ""en"", ""te""),"""")"),"")</f>
        <v/>
      </c>
      <c r="C1169" s="2"/>
      <c r="D1169" s="2" t="str">
        <f>IFERROR(__xludf.DUMMYFUNCTION("IF(C1169&lt;&gt;"""", GOOGLETRANSLATE(C1169, ""en"", ""te""),"""")"),"")</f>
        <v/>
      </c>
      <c r="E1169" s="2"/>
      <c r="F1169" s="2" t="str">
        <f>IFERROR(__xludf.DUMMYFUNCTION("IF(E1169&lt;&gt;"""", GOOGLETRANSLATE(E1169, ""en"", ""te""),"""")"),"")</f>
        <v/>
      </c>
      <c r="G1169" s="2"/>
      <c r="H1169" s="2" t="str">
        <f>IFERROR(__xludf.DUMMYFUNCTION("IF(G1169&lt;&gt;"""", GOOGLETRANSLATE(G1169, ""en"", ""te""),"""")"),"")</f>
        <v/>
      </c>
      <c r="I1169" s="3"/>
    </row>
    <row r="1170" customHeight="1" spans="1:9">
      <c r="A1170" s="2" t="s">
        <v>782</v>
      </c>
      <c r="B1170" s="2" t="str">
        <f>IFERROR(__xludf.DUMMYFUNCTION("IF(A1170&lt;&gt;"""", GOOGLETRANSLATE(A1170, ""en"", ""te""),"""")"),"[ 'కెరీర్లో 9 వ లేవు బాతులు (32)', 'ఒక ఇన్నింగ్స్లో ద్వారా బ్యాట్ నిదర్శన (43 *)', 'కెరీర్ (32) 10 వ లేవు బాతులు']")</f>
        <v>[ 'కెరీర్లో 9 వ లేవు బాతులు (32)', 'ఒక ఇన్నింగ్స్లో ద్వారా బ్యాట్ నిదర్శన (43 *)', 'కెరీర్ (32) 10 వ లేవు బాతులు']</v>
      </c>
      <c r="C1170" s="2" t="s">
        <v>783</v>
      </c>
      <c r="D1170" s="2" t="str">
        <f>IFERROR(__xludf.DUMMYFUNCTION("IF(C1170&lt;&gt;"""", GOOGLETRANSLATE(C1170, ""en"", ""te""),"""")"),"[ '9 వ కెరీర్ (32) బాతులు']")</f>
        <v>[ '9 వ కెరీర్ (32) బాతులు']</v>
      </c>
      <c r="E1170" s="2"/>
      <c r="F1170" s="2" t="str">
        <f>IFERROR(__xludf.DUMMYFUNCTION("IF(E1170&lt;&gt;"""", GOOGLETRANSLATE(E1170, ""en"", ""te""),"""")"),"")</f>
        <v/>
      </c>
      <c r="G1170" s="2"/>
      <c r="H1170" s="2" t="str">
        <f>IFERROR(__xludf.DUMMYFUNCTION("IF(G1170&lt;&gt;"""", GOOGLETRANSLATE(G1170, ""en"", ""te""),"""")"),"")</f>
        <v/>
      </c>
      <c r="I1170" s="3"/>
    </row>
    <row r="1171" customHeight="1" spans="1:9">
      <c r="A1171" s="2"/>
      <c r="B1171" s="2" t="str">
        <f>IFERROR(__xludf.DUMMYFUNCTION("IF(A1171&lt;&gt;"""", GOOGLETRANSLATE(A1171, ""en"", ""te""),"""")"),"")</f>
        <v/>
      </c>
      <c r="C1171" s="2"/>
      <c r="D1171" s="2" t="str">
        <f>IFERROR(__xludf.DUMMYFUNCTION("IF(C1171&lt;&gt;"""", GOOGLETRANSLATE(C1171, ""en"", ""te""),"""")"),"")</f>
        <v/>
      </c>
      <c r="E1171" s="2"/>
      <c r="F1171" s="2" t="str">
        <f>IFERROR(__xludf.DUMMYFUNCTION("IF(E1171&lt;&gt;"""", GOOGLETRANSLATE(E1171, ""en"", ""te""),"""")"),"")</f>
        <v/>
      </c>
      <c r="G1171" s="2"/>
      <c r="H1171" s="2" t="str">
        <f>IFERROR(__xludf.DUMMYFUNCTION("IF(G1171&lt;&gt;"""", GOOGLETRANSLATE(G1171, ""en"", ""te""),"""")"),"")</f>
        <v/>
      </c>
      <c r="I1171" s="3"/>
    </row>
    <row r="1172" customHeight="1" spans="1:9">
      <c r="A1172" s="2"/>
      <c r="B1172" s="2" t="str">
        <f>IFERROR(__xludf.DUMMYFUNCTION("IF(A1172&lt;&gt;"""", GOOGLETRANSLATE(A1172, ""en"", ""te""),"""")"),"")</f>
        <v/>
      </c>
      <c r="C1172" s="2"/>
      <c r="D1172" s="2" t="str">
        <f>IFERROR(__xludf.DUMMYFUNCTION("IF(C1172&lt;&gt;"""", GOOGLETRANSLATE(C1172, ""en"", ""te""),"""")"),"")</f>
        <v/>
      </c>
      <c r="E1172" s="2"/>
      <c r="F1172" s="2" t="str">
        <f>IFERROR(__xludf.DUMMYFUNCTION("IF(E1172&lt;&gt;"""", GOOGLETRANSLATE(E1172, ""en"", ""te""),"""")"),"")</f>
        <v/>
      </c>
      <c r="G1172" s="2"/>
      <c r="H1172" s="2" t="str">
        <f>IFERROR(__xludf.DUMMYFUNCTION("IF(G1172&lt;&gt;"""", GOOGLETRANSLATE(G1172, ""en"", ""te""),"""")"),"")</f>
        <v/>
      </c>
      <c r="I1172" s="3"/>
    </row>
    <row r="1173" customHeight="1" spans="1:9">
      <c r="A1173" s="2"/>
      <c r="B1173" s="2" t="str">
        <f>IFERROR(__xludf.DUMMYFUNCTION("IF(A1173&lt;&gt;"""", GOOGLETRANSLATE(A1173, ""en"", ""te""),"""")"),"")</f>
        <v/>
      </c>
      <c r="C1173" s="2" t="s">
        <v>784</v>
      </c>
      <c r="D1173" s="2" t="str">
        <f>IFERROR(__xludf.DUMMYFUNCTION("IF(C1173&lt;&gt;"""", GOOGLETRANSLATE(C1173, ""en"", ""te""),"""")"),"[ '24 ఒక ఇన్నింగ్స్ లోని బెస్ట్ ఫిగర్స్ ఉన్నప్పుడు పరాజయం వైపు (7)', 'ప్రదర్శనలు (11y 306d) మధ్య 14 వ లాంగెస్ట్ వ్యవధిలో']")</f>
        <v>[ '24 ఒక ఇన్నింగ్స్ లోని బెస్ట్ ఫిగర్స్ ఉన్నప్పుడు పరాజయం వైపు (7)', 'ప్రదర్శనలు (11y 306d) మధ్య 14 వ లాంగెస్ట్ వ్యవధిలో']</v>
      </c>
      <c r="E1173" s="2"/>
      <c r="F1173" s="2" t="str">
        <f>IFERROR(__xludf.DUMMYFUNCTION("IF(E1173&lt;&gt;"""", GOOGLETRANSLATE(E1173, ""en"", ""te""),"""")"),"")</f>
        <v/>
      </c>
      <c r="G1173" s="2"/>
      <c r="H1173" s="2" t="str">
        <f>IFERROR(__xludf.DUMMYFUNCTION("IF(G1173&lt;&gt;"""", GOOGLETRANSLATE(G1173, ""en"", ""te""),"""")"),"")</f>
        <v/>
      </c>
      <c r="I1173" s="3"/>
    </row>
    <row r="1174" customHeight="1" spans="1:9">
      <c r="A1174" s="2"/>
      <c r="B1174" s="2" t="str">
        <f>IFERROR(__xludf.DUMMYFUNCTION("IF(A1174&lt;&gt;"""", GOOGLETRANSLATE(A1174, ""en"", ""te""),"""")"),"")</f>
        <v/>
      </c>
      <c r="C1174" s="2"/>
      <c r="D1174" s="2" t="str">
        <f>IFERROR(__xludf.DUMMYFUNCTION("IF(C1174&lt;&gt;"""", GOOGLETRANSLATE(C1174, ""en"", ""te""),"""")"),"")</f>
        <v/>
      </c>
      <c r="E1174" s="2"/>
      <c r="F1174" s="2" t="str">
        <f>IFERROR(__xludf.DUMMYFUNCTION("IF(E1174&lt;&gt;"""", GOOGLETRANSLATE(E1174, ""en"", ""te""),"""")"),"")</f>
        <v/>
      </c>
      <c r="G1174" s="2"/>
      <c r="H1174" s="2" t="str">
        <f>IFERROR(__xludf.DUMMYFUNCTION("IF(G1174&lt;&gt;"""", GOOGLETRANSLATE(G1174, ""en"", ""te""),"""")"),"")</f>
        <v/>
      </c>
      <c r="I1174" s="3"/>
    </row>
    <row r="1175" customHeight="1" spans="1:9">
      <c r="A1175" s="2"/>
      <c r="B1175" s="2" t="str">
        <f>IFERROR(__xludf.DUMMYFUNCTION("IF(A1175&lt;&gt;"""", GOOGLETRANSLATE(A1175, ""en"", ""te""),"""")"),"")</f>
        <v/>
      </c>
      <c r="C1175" s="2"/>
      <c r="D1175" s="2" t="str">
        <f>IFERROR(__xludf.DUMMYFUNCTION("IF(C1175&lt;&gt;"""", GOOGLETRANSLATE(C1175, ""en"", ""te""),"""")"),"")</f>
        <v/>
      </c>
      <c r="E1175" s="2"/>
      <c r="F1175" s="2" t="str">
        <f>IFERROR(__xludf.DUMMYFUNCTION("IF(E1175&lt;&gt;"""", GOOGLETRANSLATE(E1175, ""en"", ""te""),"""")"),"")</f>
        <v/>
      </c>
      <c r="G1175" s="2"/>
      <c r="H1175" s="2" t="str">
        <f>IFERROR(__xludf.DUMMYFUNCTION("IF(G1175&lt;&gt;"""", GOOGLETRANSLATE(G1175, ""en"", ""te""),"""")"),"")</f>
        <v/>
      </c>
      <c r="I1175" s="3"/>
    </row>
    <row r="1176" customHeight="1" spans="1:9">
      <c r="A1176" s="2" t="s">
        <v>785</v>
      </c>
      <c r="B1176" s="2" t="str">
        <f>IFERROR(__xludf.DUMMYFUNCTION("IF(A1176&lt;&gt;"""", GOOGLETRANSLATE(A1176, ""en"", ""te""),"""")"),"[ '4 వ అత్యధిక కెరీర్ బ్యాటింగ్ సగటు (60.97)', '6 వ అత్యంత ఫోర్లు ఒక ఇన్నింగ్స్ లో (43)', '1 వ అత్యుత్తమ బౌలింగ్ ఇన్నింగ్స్ లో విశ్లేషించడం (1/0)']")</f>
        <v>[ '4 వ అత్యధిక కెరీర్ బ్యాటింగ్ సగటు (60.97)', '6 వ అత్యంత ఫోర్లు ఒక ఇన్నింగ్స్ లో (43)', '1 వ అత్యుత్తమ బౌలింగ్ ఇన్నింగ్స్ లో విశ్లేషించడం (1/0)']</v>
      </c>
      <c r="C1176" s="2" t="s">
        <v>786</v>
      </c>
      <c r="D1176" s="2" t="str">
        <f>IFERROR(__xludf.DUMMYFUNCTION("IF(C1176&lt;&gt;"""", GOOGLETRANSLATE(C1176, ""en"", ""te""),"""")"),"[ '12 వ ఇన్నింగ్స్ లో అత్యధిక పరుగులు (బ్యాటింగ్ స్థానంలో ప్రకారం) (274)', '45 వ పరాజయం వైపు ఒక మ్యాచ్లో అత్యధిక పరుగులు (213)', '4 వ అత్యధిక కెరీర్ బ్యాటింగ్ సగటు (60.97)', '18 వ పిన్న ఆటగాడు ఒక ఇన్నింగ్స్ లో డబుల్ సెంచరీ (22y 307d) ',' 6 వ అత్యంత ఫోర్ల"&amp;"ు సాధించిన స్కోర్ వంద (19y 317d) ',' 15 వ పిన్న వయస్కుడిగా నిలిచాడు (43) ',' 20 వ ఇన్నింగ్స్ లో ఫోర్లు, సిక్సర్లు నుండి అత్యధిక పరుగులు (172) ',' ఒక ఇన్నింగ్స్లో పరుగుల 24 అత్యధిక శాతం (59.20) ',' 50th 1000 వేగవంతమైన పరుగులు (22) ',' 11 వ 2000 పరుగులు (3"&amp;"7) ',' 1 వ అత్యుత్తమ బౌలింగ్ ఇన్నింగ్స్ లో విశ్లేషించడం (1 వేగంగా / 0) ']")</f>
        <v>[ '12 వ ఇన్నింగ్స్ లో అత్యధిక పరుగులు (బ్యాటింగ్ స్థానంలో ప్రకారం) (274)', '45 వ పరాజయం వైపు ఒక మ్యాచ్లో అత్యధిక పరుగులు (213)', '4 వ అత్యధిక కెరీర్ బ్యాటింగ్ సగటు (60.97)', '18 వ పిన్న ఆటగాడు ఒక ఇన్నింగ్స్ లో డబుల్ సెంచరీ (22y 307d) ',' 6 వ అత్యంత ఫోర్లు సాధించిన స్కోర్ వంద (19y 317d) ',' 15 వ పిన్న వయస్కుడిగా నిలిచాడు (43) ',' 20 వ ఇన్నింగ్స్ లో ఫోర్లు, సిక్సర్లు నుండి అత్యధిక పరుగులు (172) ',' ఒక ఇన్నింగ్స్లో పరుగుల 24 అత్యధిక శాతం (59.20) ',' 50th 1000 వేగవంతమైన పరుగులు (22) ',' 11 వ 2000 పరుగులు (37) ',' 1 వ అత్యుత్తమ బౌలింగ్ ఇన్నింగ్స్ లో విశ్లేషించడం (1 వేగంగా / 0) ']</v>
      </c>
      <c r="E1176" s="2"/>
      <c r="F1176" s="2" t="str">
        <f>IFERROR(__xludf.DUMMYFUNCTION("IF(E1176&lt;&gt;"""", GOOGLETRANSLATE(E1176, ""en"", ""te""),"""")"),"")</f>
        <v/>
      </c>
      <c r="G1176" s="2"/>
      <c r="H1176" s="2" t="str">
        <f>IFERROR(__xludf.DUMMYFUNCTION("IF(G1176&lt;&gt;"""", GOOGLETRANSLATE(G1176, ""en"", ""te""),"""")"),"")</f>
        <v/>
      </c>
      <c r="I1176" s="3"/>
    </row>
    <row r="1177" customHeight="1" spans="1:9">
      <c r="A1177" s="2"/>
      <c r="B1177" s="2" t="str">
        <f>IFERROR(__xludf.DUMMYFUNCTION("IF(A1177&lt;&gt;"""", GOOGLETRANSLATE(A1177, ""en"", ""te""),"""")"),"")</f>
        <v/>
      </c>
      <c r="C1177" s="2"/>
      <c r="D1177" s="2" t="str">
        <f>IFERROR(__xludf.DUMMYFUNCTION("IF(C1177&lt;&gt;"""", GOOGLETRANSLATE(C1177, ""en"", ""te""),"""")"),"")</f>
        <v/>
      </c>
      <c r="E1177" s="2"/>
      <c r="F1177" s="2" t="str">
        <f>IFERROR(__xludf.DUMMYFUNCTION("IF(E1177&lt;&gt;"""", GOOGLETRANSLATE(E1177, ""en"", ""te""),"""")"),"")</f>
        <v/>
      </c>
      <c r="G1177" s="2"/>
      <c r="H1177" s="2" t="str">
        <f>IFERROR(__xludf.DUMMYFUNCTION("IF(G1177&lt;&gt;"""", GOOGLETRANSLATE(G1177, ""en"", ""te""),"""")"),"")</f>
        <v/>
      </c>
      <c r="I1177" s="3"/>
    </row>
    <row r="1178" customHeight="1" spans="1:9">
      <c r="A1178" s="2"/>
      <c r="B1178" s="2" t="str">
        <f>IFERROR(__xludf.DUMMYFUNCTION("IF(A1178&lt;&gt;"""", GOOGLETRANSLATE(A1178, ""en"", ""te""),"""")"),"")</f>
        <v/>
      </c>
      <c r="C1178" s="2"/>
      <c r="D1178" s="2" t="str">
        <f>IFERROR(__xludf.DUMMYFUNCTION("IF(C1178&lt;&gt;"""", GOOGLETRANSLATE(C1178, ""en"", ""te""),"""")"),"")</f>
        <v/>
      </c>
      <c r="E1178" s="2"/>
      <c r="F1178" s="2" t="str">
        <f>IFERROR(__xludf.DUMMYFUNCTION("IF(E1178&lt;&gt;"""", GOOGLETRANSLATE(E1178, ""en"", ""te""),"""")"),"")</f>
        <v/>
      </c>
      <c r="G1178" s="2"/>
      <c r="H1178" s="2" t="str">
        <f>IFERROR(__xludf.DUMMYFUNCTION("IF(G1178&lt;&gt;"""", GOOGLETRANSLATE(G1178, ""en"", ""te""),"""")"),"")</f>
        <v/>
      </c>
      <c r="I1178" s="3"/>
    </row>
    <row r="1179" customHeight="1" spans="1:9">
      <c r="A1179" s="2"/>
      <c r="B1179" s="2" t="str">
        <f>IFERROR(__xludf.DUMMYFUNCTION("IF(A1179&lt;&gt;"""", GOOGLETRANSLATE(A1179, ""en"", ""te""),"""")"),"")</f>
        <v/>
      </c>
      <c r="C1179" s="2"/>
      <c r="D1179" s="2" t="str">
        <f>IFERROR(__xludf.DUMMYFUNCTION("IF(C1179&lt;&gt;"""", GOOGLETRANSLATE(C1179, ""en"", ""te""),"""")"),"")</f>
        <v/>
      </c>
      <c r="E1179" s="2"/>
      <c r="F1179" s="2" t="str">
        <f>IFERROR(__xludf.DUMMYFUNCTION("IF(E1179&lt;&gt;"""", GOOGLETRANSLATE(E1179, ""en"", ""te""),"""")"),"")</f>
        <v/>
      </c>
      <c r="G1179" s="2"/>
      <c r="H1179" s="2" t="str">
        <f>IFERROR(__xludf.DUMMYFUNCTION("IF(G1179&lt;&gt;"""", GOOGLETRANSLATE(G1179, ""en"", ""te""),"""")"),"")</f>
        <v/>
      </c>
      <c r="I1179" s="3"/>
    </row>
    <row r="1180" customHeight="1" spans="1:9">
      <c r="A1180" s="2"/>
      <c r="B1180" s="2" t="str">
        <f>IFERROR(__xludf.DUMMYFUNCTION("IF(A1180&lt;&gt;"""", GOOGLETRANSLATE(A1180, ""en"", ""te""),"""")"),"")</f>
        <v/>
      </c>
      <c r="C1180" s="2"/>
      <c r="D1180" s="2" t="str">
        <f>IFERROR(__xludf.DUMMYFUNCTION("IF(C1180&lt;&gt;"""", GOOGLETRANSLATE(C1180, ""en"", ""te""),"""")"),"")</f>
        <v/>
      </c>
      <c r="E1180" s="2"/>
      <c r="F1180" s="2" t="str">
        <f>IFERROR(__xludf.DUMMYFUNCTION("IF(E1180&lt;&gt;"""", GOOGLETRANSLATE(E1180, ""en"", ""te""),"""")"),"")</f>
        <v/>
      </c>
      <c r="G1180" s="2"/>
      <c r="H1180" s="2" t="str">
        <f>IFERROR(__xludf.DUMMYFUNCTION("IF(G1180&lt;&gt;"""", GOOGLETRANSLATE(G1180, ""en"", ""te""),"""")"),"")</f>
        <v/>
      </c>
      <c r="I1180" s="3"/>
    </row>
    <row r="1181" customHeight="1" spans="1:9">
      <c r="A1181" s="2" t="s">
        <v>787</v>
      </c>
      <c r="B1181" s="2" t="str">
        <f>IFERROR(__xludf.DUMMYFUNCTION("IF(A1181&lt;&gt;"""", GOOGLETRANSLATE(A1181, ""en"", ""te""),"""")"),"[ 'హండ్రెడ్ మరియు ఒక మ్యాచ్లో ఒక డక్', 'ఇన్నింగ్స్ లో 2 వ అత్యధిక క్యాచ్లు (4)']")</f>
        <v>[ 'హండ్రెడ్ మరియు ఒక మ్యాచ్లో ఒక డక్', 'ఇన్నింగ్స్ లో 2 వ అత్యధిక క్యాచ్లు (4)']</v>
      </c>
      <c r="C1181" s="2" t="s">
        <v>788</v>
      </c>
      <c r="D1181" s="2" t="str">
        <f>IFERROR(__xludf.DUMMYFUNCTION("IF(C1181&lt;&gt;"""", GOOGLETRANSLATE(C1181, ""en"", ""te""),"""")"),"[ 'ఆరవ వికెట్ (271) కోసం 15 అత్యధిక భాగస్వామ్యం']")</f>
        <v>[ 'ఆరవ వికెట్ (271) కోసం 15 అత్యధిక భాగస్వామ్యం']</v>
      </c>
      <c r="E1181" s="2" t="s">
        <v>789</v>
      </c>
      <c r="F1181" s="2" t="str">
        <f>IFERROR(__xludf.DUMMYFUNCTION("IF(E1181&lt;&gt;"""", GOOGLETRANSLATE(E1181, ""en"", ""te""),"""")"),"[ 'ఇన్నింగ్స్ లో 2 వ అత్యధిక క్యాచ్లు (4)']")</f>
        <v>[ 'ఇన్నింగ్స్ లో 2 వ అత్యధిక క్యాచ్లు (4)']</v>
      </c>
      <c r="G1181" s="2"/>
      <c r="H1181" s="2" t="str">
        <f>IFERROR(__xludf.DUMMYFUNCTION("IF(G1181&lt;&gt;"""", GOOGLETRANSLATE(G1181, ""en"", ""te""),"""")"),"")</f>
        <v/>
      </c>
      <c r="I1181" s="3"/>
    </row>
    <row r="1182" customHeight="1" spans="1:9">
      <c r="A1182" s="2"/>
      <c r="B1182" s="2" t="str">
        <f>IFERROR(__xludf.DUMMYFUNCTION("IF(A1182&lt;&gt;"""", GOOGLETRANSLATE(A1182, ""en"", ""te""),"""")"),"")</f>
        <v/>
      </c>
      <c r="C1182" s="2"/>
      <c r="D1182" s="2" t="str">
        <f>IFERROR(__xludf.DUMMYFUNCTION("IF(C1182&lt;&gt;"""", GOOGLETRANSLATE(C1182, ""en"", ""te""),"""")"),"")</f>
        <v/>
      </c>
      <c r="E1182" s="2"/>
      <c r="F1182" s="2" t="str">
        <f>IFERROR(__xludf.DUMMYFUNCTION("IF(E1182&lt;&gt;"""", GOOGLETRANSLATE(E1182, ""en"", ""te""),"""")"),"")</f>
        <v/>
      </c>
      <c r="G1182" s="2"/>
      <c r="H1182" s="2" t="str">
        <f>IFERROR(__xludf.DUMMYFUNCTION("IF(G1182&lt;&gt;"""", GOOGLETRANSLATE(G1182, ""en"", ""te""),"""")"),"")</f>
        <v/>
      </c>
      <c r="I1182" s="3"/>
    </row>
    <row r="1183" customHeight="1" spans="1:9">
      <c r="A1183" s="2"/>
      <c r="B1183" s="2" t="str">
        <f>IFERROR(__xludf.DUMMYFUNCTION("IF(A1183&lt;&gt;"""", GOOGLETRANSLATE(A1183, ""en"", ""te""),"""")"),"")</f>
        <v/>
      </c>
      <c r="C1183" s="2" t="s">
        <v>226</v>
      </c>
      <c r="D1183" s="2" t="str">
        <f>IFERROR(__xludf.DUMMYFUNCTION("IF(C1183&lt;&gt;"""", GOOGLETRANSLATE(C1183, ""en"", ""te""),"""")"),"[ '26 ఉత్తమ కెరీర్ బౌలింగ్ సరాసరి (అర్హత లేకుండా) (10.00)']")</f>
        <v>[ '26 ఉత్తమ కెరీర్ బౌలింగ్ సరాసరి (అర్హత లేకుండా) (10.00)']</v>
      </c>
      <c r="E1183" s="2"/>
      <c r="F1183" s="2" t="str">
        <f>IFERROR(__xludf.DUMMYFUNCTION("IF(E1183&lt;&gt;"""", GOOGLETRANSLATE(E1183, ""en"", ""te""),"""")"),"")</f>
        <v/>
      </c>
      <c r="G1183" s="2"/>
      <c r="H1183" s="2" t="str">
        <f>IFERROR(__xludf.DUMMYFUNCTION("IF(G1183&lt;&gt;"""", GOOGLETRANSLATE(G1183, ""en"", ""te""),"""")"),"")</f>
        <v/>
      </c>
      <c r="I1183" s="3"/>
    </row>
    <row r="1184" customHeight="1" spans="1:9">
      <c r="A1184" s="2" t="s">
        <v>790</v>
      </c>
      <c r="B1184" s="2" t="str">
        <f>IFERROR(__xludf.DUMMYFUNCTION("IF(A1184&lt;&gt;"""", GOOGLETRANSLATE(A1184, ""en"", ""te""),"""")"),"[ '8 వ వేగవంతమైన 50 వికెట్లు (9)']")</f>
        <v>[ '8 వ వేగవంతమైన 50 వికెట్లు (9)']</v>
      </c>
      <c r="C1184" s="2" t="s">
        <v>791</v>
      </c>
      <c r="D1184" s="2" t="str">
        <f>IFERROR(__xludf.DUMMYFUNCTION("IF(C1184&lt;&gt;"""", GOOGLETRANSLATE(C1184, ""en"", ""te""),"""")"),"[ 'తొలి ఇన్నింగ్స్లో 22 బెస్ట్ ఫిగర్స్ (6)', '17 వ ఉత్తమ తొలి మ్యాచ్లో గణాంకాలు (9)', '18 వ వరుస ఐదు వికెట్ల లో-ఒక-ఇన్నింగ్స్ (3)', '46 వ పిన్న క్రీడాకారుడు ఐదు-వికెట్ల లో-ఒక-ఇన్నింగ్స్ (20y 161d) 8 వ వేగవంతమైన 50 వికెట్లు (9) ',' 48 వ వేగంగా 100 వికెట్ల"&amp;"ు తీసుకోవాలని ',' (24) ']")</f>
        <v>[ 'తొలి ఇన్నింగ్స్లో 22 బెస్ట్ ఫిగర్స్ (6)', '17 వ ఉత్తమ తొలి మ్యాచ్లో గణాంకాలు (9)', '18 వ వరుస ఐదు వికెట్ల లో-ఒక-ఇన్నింగ్స్ (3)', '46 వ పిన్న క్రీడాకారుడు ఐదు-వికెట్ల లో-ఒక-ఇన్నింగ్స్ (20y 161d) 8 వ వేగవంతమైన 50 వికెట్లు (9) ',' 48 వ వేగంగా 100 వికెట్లు తీసుకోవాలని ',' (24) ']</v>
      </c>
      <c r="E1184" s="2"/>
      <c r="F1184" s="2" t="str">
        <f>IFERROR(__xludf.DUMMYFUNCTION("IF(E1184&lt;&gt;"""", GOOGLETRANSLATE(E1184, ""en"", ""te""),"""")"),"")</f>
        <v/>
      </c>
      <c r="G1184" s="2"/>
      <c r="H1184" s="2" t="str">
        <f>IFERROR(__xludf.DUMMYFUNCTION("IF(G1184&lt;&gt;"""", GOOGLETRANSLATE(G1184, ""en"", ""te""),"""")"),"")</f>
        <v/>
      </c>
      <c r="I1184" s="3"/>
    </row>
    <row r="1185" customHeight="1" spans="1:9">
      <c r="A1185" s="2" t="s">
        <v>792</v>
      </c>
      <c r="B1185" s="2" t="str">
        <f>IFERROR(__xludf.DUMMYFUNCTION("IF(A1185&lt;&gt;"""", GOOGLETRANSLATE(A1185, ""en"", ""te""),"""")"),"[ 'హండ్రెడ్ తొలి (100)', 'ఐదు రోజుల మ్యాచ్లో ప్రతి రోజు బ్యాటింగ్']")</f>
        <v>[ 'హండ్రెడ్ తొలి (100)', 'ఐదు రోజుల మ్యాచ్లో ప్రతి రోజు బ్యాటింగ్']</v>
      </c>
      <c r="C1185" s="2"/>
      <c r="D1185" s="2" t="str">
        <f>IFERROR(__xludf.DUMMYFUNCTION("IF(C1185&lt;&gt;"""", GOOGLETRANSLATE(C1185, ""en"", ""te""),"""")"),"")</f>
        <v/>
      </c>
      <c r="E1185" s="2"/>
      <c r="F1185" s="2" t="str">
        <f>IFERROR(__xludf.DUMMYFUNCTION("IF(E1185&lt;&gt;"""", GOOGLETRANSLATE(E1185, ""en"", ""te""),"""")"),"")</f>
        <v/>
      </c>
      <c r="G1185" s="2"/>
      <c r="H1185" s="2" t="str">
        <f>IFERROR(__xludf.DUMMYFUNCTION("IF(G1185&lt;&gt;"""", GOOGLETRANSLATE(G1185, ""en"", ""te""),"""")"),"")</f>
        <v/>
      </c>
      <c r="I1185" s="3"/>
    </row>
    <row r="1186" customHeight="1" spans="1:9">
      <c r="A1186" s="2"/>
      <c r="B1186" s="2" t="str">
        <f>IFERROR(__xludf.DUMMYFUNCTION("IF(A1186&lt;&gt;"""", GOOGLETRANSLATE(A1186, ""en"", ""te""),"""")"),"")</f>
        <v/>
      </c>
      <c r="C1186" s="2"/>
      <c r="D1186" s="2" t="str">
        <f>IFERROR(__xludf.DUMMYFUNCTION("IF(C1186&lt;&gt;"""", GOOGLETRANSLATE(C1186, ""en"", ""te""),"""")"),"")</f>
        <v/>
      </c>
      <c r="E1186" s="2"/>
      <c r="F1186" s="2" t="str">
        <f>IFERROR(__xludf.DUMMYFUNCTION("IF(E1186&lt;&gt;"""", GOOGLETRANSLATE(E1186, ""en"", ""te""),"""")"),"")</f>
        <v/>
      </c>
      <c r="G1186" s="2"/>
      <c r="H1186" s="2" t="str">
        <f>IFERROR(__xludf.DUMMYFUNCTION("IF(G1186&lt;&gt;"""", GOOGLETRANSLATE(G1186, ""en"", ""te""),"""")"),"")</f>
        <v/>
      </c>
      <c r="I1186" s="3"/>
    </row>
    <row r="1187" customHeight="1" spans="1:9">
      <c r="A1187" s="2"/>
      <c r="B1187" s="2" t="str">
        <f>IFERROR(__xludf.DUMMYFUNCTION("IF(A1187&lt;&gt;"""", GOOGLETRANSLATE(A1187, ""en"", ""te""),"""")"),"")</f>
        <v/>
      </c>
      <c r="C1187" s="2"/>
      <c r="D1187" s="2" t="str">
        <f>IFERROR(__xludf.DUMMYFUNCTION("IF(C1187&lt;&gt;"""", GOOGLETRANSLATE(C1187, ""en"", ""te""),"""")"),"")</f>
        <v/>
      </c>
      <c r="E1187" s="2"/>
      <c r="F1187" s="2" t="str">
        <f>IFERROR(__xludf.DUMMYFUNCTION("IF(E1187&lt;&gt;"""", GOOGLETRANSLATE(E1187, ""en"", ""te""),"""")"),"")</f>
        <v/>
      </c>
      <c r="G1187" s="2"/>
      <c r="H1187" s="2" t="str">
        <f>IFERROR(__xludf.DUMMYFUNCTION("IF(G1187&lt;&gt;"""", GOOGLETRANSLATE(G1187, ""en"", ""te""),"""")"),"")</f>
        <v/>
      </c>
      <c r="I1187" s="3"/>
    </row>
    <row r="1188" customHeight="1" spans="1:9">
      <c r="A1188" s="2"/>
      <c r="B1188" s="2" t="str">
        <f>IFERROR(__xludf.DUMMYFUNCTION("IF(A1188&lt;&gt;"""", GOOGLETRANSLATE(A1188, ""en"", ""te""),"""")"),"")</f>
        <v/>
      </c>
      <c r="C1188" s="2"/>
      <c r="D1188" s="2" t="str">
        <f>IFERROR(__xludf.DUMMYFUNCTION("IF(C1188&lt;&gt;"""", GOOGLETRANSLATE(C1188, ""en"", ""te""),"""")"),"")</f>
        <v/>
      </c>
      <c r="E1188" s="2"/>
      <c r="F1188" s="2" t="str">
        <f>IFERROR(__xludf.DUMMYFUNCTION("IF(E1188&lt;&gt;"""", GOOGLETRANSLATE(E1188, ""en"", ""te""),"""")"),"")</f>
        <v/>
      </c>
      <c r="G1188" s="2"/>
      <c r="H1188" s="2" t="str">
        <f>IFERROR(__xludf.DUMMYFUNCTION("IF(G1188&lt;&gt;"""", GOOGLETRANSLATE(G1188, ""en"", ""te""),"""")"),"")</f>
        <v/>
      </c>
      <c r="I1188" s="3"/>
    </row>
    <row r="1189" customHeight="1" spans="1:9">
      <c r="A1189" s="2"/>
      <c r="B1189" s="2" t="str">
        <f>IFERROR(__xludf.DUMMYFUNCTION("IF(A1189&lt;&gt;"""", GOOGLETRANSLATE(A1189, ""en"", ""te""),"""")"),"")</f>
        <v/>
      </c>
      <c r="C1189" s="2"/>
      <c r="D1189" s="2" t="str">
        <f>IFERROR(__xludf.DUMMYFUNCTION("IF(C1189&lt;&gt;"""", GOOGLETRANSLATE(C1189, ""en"", ""te""),"""")"),"")</f>
        <v/>
      </c>
      <c r="E1189" s="2"/>
      <c r="F1189" s="2" t="str">
        <f>IFERROR(__xludf.DUMMYFUNCTION("IF(E1189&lt;&gt;"""", GOOGLETRANSLATE(E1189, ""en"", ""te""),"""")"),"")</f>
        <v/>
      </c>
      <c r="G1189" s="2"/>
      <c r="H1189" s="2" t="str">
        <f>IFERROR(__xludf.DUMMYFUNCTION("IF(G1189&lt;&gt;"""", GOOGLETRANSLATE(G1189, ""en"", ""te""),"""")"),"")</f>
        <v/>
      </c>
      <c r="I1189" s="3"/>
    </row>
    <row r="1190" customHeight="1" spans="1:9">
      <c r="A1190" s="2"/>
      <c r="B1190" s="2" t="str">
        <f>IFERROR(__xludf.DUMMYFUNCTION("IF(A1190&lt;&gt;"""", GOOGLETRANSLATE(A1190, ""en"", ""te""),"""")"),"")</f>
        <v/>
      </c>
      <c r="C1190" s="2" t="s">
        <v>761</v>
      </c>
      <c r="D1190" s="2" t="str">
        <f>IFERROR(__xludf.DUMMYFUNCTION("IF(C1190&lt;&gt;"""", GOOGLETRANSLATE(C1190, ""en"", ""te""),"""")"),"[ 'తొలి ఇన్నింగ్స్లో 22 బెస్ట్ ఫిగర్స్ (6)']")</f>
        <v>[ 'తొలి ఇన్నింగ్స్లో 22 బెస్ట్ ఫిగర్స్ (6)']</v>
      </c>
      <c r="E1190" s="2"/>
      <c r="F1190" s="2" t="str">
        <f>IFERROR(__xludf.DUMMYFUNCTION("IF(E1190&lt;&gt;"""", GOOGLETRANSLATE(E1190, ""en"", ""te""),"""")"),"")</f>
        <v/>
      </c>
      <c r="G1190" s="2"/>
      <c r="H1190" s="2" t="str">
        <f>IFERROR(__xludf.DUMMYFUNCTION("IF(G1190&lt;&gt;"""", GOOGLETRANSLATE(G1190, ""en"", ""te""),"""")"),"")</f>
        <v/>
      </c>
      <c r="I1190" s="3"/>
    </row>
    <row r="1191" customHeight="1" spans="1:9">
      <c r="A1191" s="2"/>
      <c r="B1191" s="2" t="str">
        <f>IFERROR(__xludf.DUMMYFUNCTION("IF(A1191&lt;&gt;"""", GOOGLETRANSLATE(A1191, ""en"", ""te""),"""")"),"")</f>
        <v/>
      </c>
      <c r="C1191" s="2"/>
      <c r="D1191" s="2" t="str">
        <f>IFERROR(__xludf.DUMMYFUNCTION("IF(C1191&lt;&gt;"""", GOOGLETRANSLATE(C1191, ""en"", ""te""),"""")"),"")</f>
        <v/>
      </c>
      <c r="E1191" s="2"/>
      <c r="F1191" s="2" t="str">
        <f>IFERROR(__xludf.DUMMYFUNCTION("IF(E1191&lt;&gt;"""", GOOGLETRANSLATE(E1191, ""en"", ""te""),"""")"),"")</f>
        <v/>
      </c>
      <c r="G1191" s="2"/>
      <c r="H1191" s="2" t="str">
        <f>IFERROR(__xludf.DUMMYFUNCTION("IF(G1191&lt;&gt;"""", GOOGLETRANSLATE(G1191, ""en"", ""te""),"""")"),"")</f>
        <v/>
      </c>
      <c r="I1191" s="3"/>
    </row>
    <row r="1192" customHeight="1" spans="1:9">
      <c r="A1192" s="2"/>
      <c r="B1192" s="2" t="str">
        <f>IFERROR(__xludf.DUMMYFUNCTION("IF(A1192&lt;&gt;"""", GOOGLETRANSLATE(A1192, ""en"", ""te""),"""")"),"")</f>
        <v/>
      </c>
      <c r="C1192" s="2"/>
      <c r="D1192" s="2" t="str">
        <f>IFERROR(__xludf.DUMMYFUNCTION("IF(C1192&lt;&gt;"""", GOOGLETRANSLATE(C1192, ""en"", ""te""),"""")"),"")</f>
        <v/>
      </c>
      <c r="E1192" s="2"/>
      <c r="F1192" s="2" t="str">
        <f>IFERROR(__xludf.DUMMYFUNCTION("IF(E1192&lt;&gt;"""", GOOGLETRANSLATE(E1192, ""en"", ""te""),"""")"),"")</f>
        <v/>
      </c>
      <c r="G1192" s="2"/>
      <c r="H1192" s="2" t="str">
        <f>IFERROR(__xludf.DUMMYFUNCTION("IF(G1192&lt;&gt;"""", GOOGLETRANSLATE(G1192, ""en"", ""te""),"""")"),"")</f>
        <v/>
      </c>
      <c r="I1192" s="3"/>
    </row>
    <row r="1193" customHeight="1" spans="1:9">
      <c r="A1193" s="2"/>
      <c r="B1193" s="2" t="str">
        <f>IFERROR(__xludf.DUMMYFUNCTION("IF(A1193&lt;&gt;"""", GOOGLETRANSLATE(A1193, ""en"", ""te""),"""")"),"")</f>
        <v/>
      </c>
      <c r="C1193" s="2"/>
      <c r="D1193" s="2" t="str">
        <f>IFERROR(__xludf.DUMMYFUNCTION("IF(C1193&lt;&gt;"""", GOOGLETRANSLATE(C1193, ""en"", ""te""),"""")"),"")</f>
        <v/>
      </c>
      <c r="E1193" s="2"/>
      <c r="F1193" s="2" t="str">
        <f>IFERROR(__xludf.DUMMYFUNCTION("IF(E1193&lt;&gt;"""", GOOGLETRANSLATE(E1193, ""en"", ""te""),"""")"),"")</f>
        <v/>
      </c>
      <c r="G1193" s="2"/>
      <c r="H1193" s="2" t="str">
        <f>IFERROR(__xludf.DUMMYFUNCTION("IF(G1193&lt;&gt;"""", GOOGLETRANSLATE(G1193, ""en"", ""te""),"""")"),"")</f>
        <v/>
      </c>
      <c r="I1193" s="3"/>
    </row>
    <row r="1194" customHeight="1" spans="1:9">
      <c r="A1194" s="2" t="s">
        <v>793</v>
      </c>
      <c r="B1194" s="2" t="str">
        <f>IFERROR(__xludf.DUMMYFUNCTION("IF(A1194&lt;&gt;"""", GOOGLETRANSLATE(A1194, ""en"", ""te""),"""")"),"[ 'ఎనిమిదవ వికెట్కు 2 వ అత్యధిక భాగస్వామ్యం (64 *)']")</f>
        <v>[ 'ఎనిమిదవ వికెట్కు 2 వ అత్యధిక భాగస్వామ్యం (64 *)']</v>
      </c>
      <c r="C1194" s="2"/>
      <c r="D1194" s="2" t="str">
        <f>IFERROR(__xludf.DUMMYFUNCTION("IF(C1194&lt;&gt;"""", GOOGLETRANSLATE(C1194, ""en"", ""te""),"""")"),"")</f>
        <v/>
      </c>
      <c r="E1194" s="2" t="s">
        <v>794</v>
      </c>
      <c r="F1194" s="2" t="str">
        <f>IFERROR(__xludf.DUMMYFUNCTION("IF(E1194&lt;&gt;"""", GOOGLETRANSLATE(E1194, ""en"", ""te""),"""")"),"[ '33 వ ఉత్తమ కెరీర్ సమ్మె రేటు (30.9)', '48 వ చెత్త కెరీర్లో ఆర్థిక రేటు (5.64)', '43 వ అత్యంత ఐదు-వికెట్ల లో-ఒక-ఇన్నింగ్స్ కెరీర్లో (2)', 'ఐదు తీసుకోవాలని 16 వ పిన్న ఆటగాడు -wickets-ఇన్-ఒక-ఇన్నింగ్స్ (20y 56d) ',' 27 వ ఇన్నింగ్స్ లో సాధించిన అత్యధిక పరు"&amp;"గులు (95) ',' తొమ్మిదవ వికెట్ (65) కోసం 49 వ అత్యధిక భాగస్వామ్యం ']")</f>
        <v>[ '33 వ ఉత్తమ కెరీర్ సమ్మె రేటు (30.9)', '48 వ చెత్త కెరీర్లో ఆర్థిక రేటు (5.64)', '43 వ అత్యంత ఐదు-వికెట్ల లో-ఒక-ఇన్నింగ్స్ కెరీర్లో (2)', 'ఐదు తీసుకోవాలని 16 వ పిన్న ఆటగాడు -wickets-ఇన్-ఒక-ఇన్నింగ్స్ (20y 56d) ',' 27 వ ఇన్నింగ్స్ లో సాధించిన అత్యధిక పరుగులు (95) ',' తొమ్మిదవ వికెట్ (65) కోసం 49 వ అత్యధిక భాగస్వామ్యం ']</v>
      </c>
      <c r="G1194" s="2" t="s">
        <v>795</v>
      </c>
      <c r="H1194" s="2" t="str">
        <f>IFERROR(__xludf.DUMMYFUNCTION("IF(G1194&lt;&gt;"""", GOOGLETRANSLATE(G1194, ""en"", ""te""),"""")"),"['21 వ చెత్త కెరీర్లో ఆర్థిక రేటు (8.31) ',' 47 వ కెరీర్ లో సాధించిన అత్యధిక పరుగులు (1038) ',' 43 వ అత్యధిక వికెట్లు ఒక ఫీల్డర్ చేత క్యాచ్ తీసుకున్న (26) ', ఎనిమిదవ వికెట్కు' 2 వ అత్యధిక భాగస్వామ్యం (64 *) ',' కెరీర్ (3) 19 వ అత్యంత పనికత్తెలయొద్ద ']")</f>
        <v>['21 వ చెత్త కెరీర్లో ఆర్థిక రేటు (8.31) ',' 47 వ కెరీర్ లో సాధించిన అత్యధిక పరుగులు (1038) ',' 43 వ అత్యధిక వికెట్లు ఒక ఫీల్డర్ చేత క్యాచ్ తీసుకున్న (26) ', ఎనిమిదవ వికెట్కు' 2 వ అత్యధిక భాగస్వామ్యం (64 *) ',' కెరీర్ (3) 19 వ అత్యంత పనికత్తెలయొద్ద ']</v>
      </c>
      <c r="I1194" s="3"/>
    </row>
    <row r="1195" customHeight="1" spans="1:9">
      <c r="A1195" s="2"/>
      <c r="B1195" s="2" t="str">
        <f>IFERROR(__xludf.DUMMYFUNCTION("IF(A1195&lt;&gt;"""", GOOGLETRANSLATE(A1195, ""en"", ""te""),"""")"),"")</f>
        <v/>
      </c>
      <c r="C1195" s="2"/>
      <c r="D1195" s="2" t="str">
        <f>IFERROR(__xludf.DUMMYFUNCTION("IF(C1195&lt;&gt;"""", GOOGLETRANSLATE(C1195, ""en"", ""te""),"""")"),"")</f>
        <v/>
      </c>
      <c r="E1195" s="2"/>
      <c r="F1195" s="2" t="str">
        <f>IFERROR(__xludf.DUMMYFUNCTION("IF(E1195&lt;&gt;"""", GOOGLETRANSLATE(E1195, ""en"", ""te""),"""")"),"")</f>
        <v/>
      </c>
      <c r="G1195" s="2"/>
      <c r="H1195" s="2" t="str">
        <f>IFERROR(__xludf.DUMMYFUNCTION("IF(G1195&lt;&gt;"""", GOOGLETRANSLATE(G1195, ""en"", ""te""),"""")"),"")</f>
        <v/>
      </c>
      <c r="I1195" s="3"/>
    </row>
    <row r="1196" customHeight="1" spans="1:9">
      <c r="A1196" s="2"/>
      <c r="B1196" s="2" t="str">
        <f>IFERROR(__xludf.DUMMYFUNCTION("IF(A1196&lt;&gt;"""", GOOGLETRANSLATE(A1196, ""en"", ""te""),"""")"),"")</f>
        <v/>
      </c>
      <c r="C1196" s="2"/>
      <c r="D1196" s="2" t="str">
        <f>IFERROR(__xludf.DUMMYFUNCTION("IF(C1196&lt;&gt;"""", GOOGLETRANSLATE(C1196, ""en"", ""te""),"""")"),"")</f>
        <v/>
      </c>
      <c r="E1196" s="2"/>
      <c r="F1196" s="2" t="str">
        <f>IFERROR(__xludf.DUMMYFUNCTION("IF(E1196&lt;&gt;"""", GOOGLETRANSLATE(E1196, ""en"", ""te""),"""")"),"")</f>
        <v/>
      </c>
      <c r="G1196" s="2"/>
      <c r="H1196" s="2" t="str">
        <f>IFERROR(__xludf.DUMMYFUNCTION("IF(G1196&lt;&gt;"""", GOOGLETRANSLATE(G1196, ""en"", ""te""),"""")"),"")</f>
        <v/>
      </c>
      <c r="I1196" s="3"/>
    </row>
    <row r="1197" customHeight="1" spans="1:9">
      <c r="A1197" s="2" t="s">
        <v>352</v>
      </c>
      <c r="B1197" s="2" t="str">
        <f>IFERROR(__xludf.DUMMYFUNCTION("IF(A1197&lt;&gt;"""", GOOGLETRANSLATE(A1197, ""en"", ""te""),"""")"),"[ 'బ్యాటింగ్ ప్రారంభించుటకు మరియు అదే మ్యాచ్ లో బౌలింగ్']")</f>
        <v>[ 'బ్యాటింగ్ ప్రారంభించుటకు మరియు అదే మ్యాచ్ లో బౌలింగ్']</v>
      </c>
      <c r="C1197" s="2" t="s">
        <v>796</v>
      </c>
      <c r="D1197" s="2" t="str">
        <f>IFERROR(__xludf.DUMMYFUNCTION("IF(C1197&lt;&gt;"""", GOOGLETRANSLATE(C1197, ""en"", ""te""),"""")"),"[ '48 వ చెత్త ఇన్నింగ్స్ లో ఆర్థిక రేటు (6.35)']")</f>
        <v>[ '48 వ చెత్త ఇన్నింగ్స్ లో ఆర్థిక రేటు (6.35)']</v>
      </c>
      <c r="E1197" s="2"/>
      <c r="F1197" s="2" t="str">
        <f>IFERROR(__xludf.DUMMYFUNCTION("IF(E1197&lt;&gt;"""", GOOGLETRANSLATE(E1197, ""en"", ""te""),"""")"),"")</f>
        <v/>
      </c>
      <c r="G1197" s="2" t="s">
        <v>797</v>
      </c>
      <c r="H1197" s="2" t="str">
        <f>IFERROR(__xludf.DUMMYFUNCTION("IF(G1197&lt;&gt;"""", GOOGLETRANSLATE(G1197, ""en"", ""te""),"""")"),"[ '17 వ బౌలర్ / బ్యాట్స్ కలయికలు (3)']")</f>
        <v>[ '17 వ బౌలర్ / బ్యాట్స్ కలయికలు (3)']</v>
      </c>
      <c r="I1197" s="3"/>
    </row>
    <row r="1198" customHeight="1" spans="1:9">
      <c r="A1198" s="2"/>
      <c r="B1198" s="2" t="str">
        <f>IFERROR(__xludf.DUMMYFUNCTION("IF(A1198&lt;&gt;"""", GOOGLETRANSLATE(A1198, ""en"", ""te""),"""")"),"")</f>
        <v/>
      </c>
      <c r="C1198" s="2"/>
      <c r="D1198" s="2" t="str">
        <f>IFERROR(__xludf.DUMMYFUNCTION("IF(C1198&lt;&gt;"""", GOOGLETRANSLATE(C1198, ""en"", ""te""),"""")"),"")</f>
        <v/>
      </c>
      <c r="E1198" s="2"/>
      <c r="F1198" s="2" t="str">
        <f>IFERROR(__xludf.DUMMYFUNCTION("IF(E1198&lt;&gt;"""", GOOGLETRANSLATE(E1198, ""en"", ""te""),"""")"),"")</f>
        <v/>
      </c>
      <c r="G1198" s="2"/>
      <c r="H1198" s="2" t="str">
        <f>IFERROR(__xludf.DUMMYFUNCTION("IF(G1198&lt;&gt;"""", GOOGLETRANSLATE(G1198, ""en"", ""te""),"""")"),"")</f>
        <v/>
      </c>
      <c r="I1198" s="3"/>
    </row>
    <row r="1199" customHeight="1" spans="1:9">
      <c r="A1199" s="2"/>
      <c r="B1199" s="2" t="str">
        <f>IFERROR(__xludf.DUMMYFUNCTION("IF(A1199&lt;&gt;"""", GOOGLETRANSLATE(A1199, ""en"", ""te""),"""")"),"")</f>
        <v/>
      </c>
      <c r="C1199" s="2"/>
      <c r="D1199" s="2" t="str">
        <f>IFERROR(__xludf.DUMMYFUNCTION("IF(C1199&lt;&gt;"""", GOOGLETRANSLATE(C1199, ""en"", ""te""),"""")"),"")</f>
        <v/>
      </c>
      <c r="E1199" s="2" t="s">
        <v>798</v>
      </c>
      <c r="F1199" s="2" t="str">
        <f>IFERROR(__xludf.DUMMYFUNCTION("IF(E1199&lt;&gt;"""", GOOGLETRANSLATE(E1199, ""en"", ""te""),"""")"),"[40 వ చెత్త కెరీర్లో ఆర్థిక రేటు (5.67) ']")</f>
        <v>[40 వ చెత్త కెరీర్లో ఆర్థిక రేటు (5.67) ']</v>
      </c>
      <c r="G1199" s="2" t="s">
        <v>799</v>
      </c>
      <c r="H1199" s="2" t="str">
        <f>IFERROR(__xludf.DUMMYFUNCTION("IF(G1199&lt;&gt;"""", GOOGLETRANSLATE(G1199, ""en"", ""te""),"""")"),"[ '13 వ కెరీర్ బాతులు (6)', '11 వ ఉత్తమ కెరీర్ సమ్మె రేటు (15.1)' '40 వ ఉత్తమ కెరీర్ సగటు (21.30) బౌలింగ్', '31 ఉత్తమ సమ్మె ఇన్నింగ్స్ లో రేటు (4.5)', '17 వ చెత్త వృత్తి ఆర్థిక రేటు (8.42) ',' 17 వ బౌలర్ / బ్యాట్స్ కలయికలు (3) ',' 33 వ అత్యధిక వికెట్లు ఆక"&amp;"ర్షించింది అత్యధిక వికెట్లు తీసిన (6) ',' 24 వ అత్యధిక వికెట్లు తీసుకున్న ఎల్బిడబ్ల్యు (6) ']")</f>
        <v>[ '13 వ కెరీర్ బాతులు (6)', '11 వ ఉత్తమ కెరీర్ సమ్మె రేటు (15.1)' '40 వ ఉత్తమ కెరీర్ సగటు (21.30) బౌలింగ్', '31 ఉత్తమ సమ్మె ఇన్నింగ్స్ లో రేటు (4.5)', '17 వ చెత్త వృత్తి ఆర్థిక రేటు (8.42) ',' 17 వ బౌలర్ / బ్యాట్స్ కలయికలు (3) ',' 33 వ అత్యధిక వికెట్లు ఆకర్షించింది అత్యధిక వికెట్లు తీసిన (6) ',' 24 వ అత్యధిక వికెట్లు తీసుకున్న ఎల్బిడబ్ల్యు (6) ']</v>
      </c>
      <c r="I1199" s="3"/>
    </row>
    <row r="1200" customHeight="1" spans="1:9">
      <c r="A1200" s="2"/>
      <c r="B1200" s="2" t="str">
        <f>IFERROR(__xludf.DUMMYFUNCTION("IF(A1200&lt;&gt;"""", GOOGLETRANSLATE(A1200, ""en"", ""te""),"""")"),"")</f>
        <v/>
      </c>
      <c r="C1200" s="2"/>
      <c r="D1200" s="2" t="str">
        <f>IFERROR(__xludf.DUMMYFUNCTION("IF(C1200&lt;&gt;"""", GOOGLETRANSLATE(C1200, ""en"", ""te""),"""")"),"")</f>
        <v/>
      </c>
      <c r="E1200" s="2"/>
      <c r="F1200" s="2" t="str">
        <f>IFERROR(__xludf.DUMMYFUNCTION("IF(E1200&lt;&gt;"""", GOOGLETRANSLATE(E1200, ""en"", ""te""),"""")"),"")</f>
        <v/>
      </c>
      <c r="G1200" s="2"/>
      <c r="H1200" s="2" t="str">
        <f>IFERROR(__xludf.DUMMYFUNCTION("IF(G1200&lt;&gt;"""", GOOGLETRANSLATE(G1200, ""en"", ""te""),"""")"),"")</f>
        <v/>
      </c>
      <c r="I1200" s="3"/>
    </row>
    <row r="1201" customHeight="1" spans="1:9">
      <c r="A1201" s="2" t="s">
        <v>800</v>
      </c>
      <c r="B1201" s="2" t="str">
        <f>IFERROR(__xludf.DUMMYFUNCTION("IF(A1201&lt;&gt;"""", GOOGLETRANSLATE(A1201, ""en"", ""te""),"""")"),"[ 'ఇన్నింగ్స్ లో 9 వ అత్యధిక పరుగులు (బ్యాటింగ్ స్థానంలో ప్రకారం) (111)', 'నాటౌట్ 99 (199, 299 etc) (99 *)', '5 వ బౌలర్ / ఫీల్డర్ కలయికలు (79)', '250 పరుగులు మరియు ఒక సిరీస్లో 20 వికెట్లు ',' 1000 పరుగులు, 50 వికెట్లు, 50 క్యాచ్లు ',' 3 వ అత్యంత ప్లేయర్ ఆ"&amp;"ఫ్ ది సిరీస్ అవార్డులు (9) ',' ఒక జట్టు కెప్టెన్గా 3 వ వరుస మ్యాచ్లు (89) ',' 5 వ అత్యంత ఇన్నింగ్స్ లో నడుస్తుంది (బ్యాటింగ్ స్థానం) (130) ',' 1st ఒక ఇన్నింగ్స్ లోని బెస్ట్ ఫిగర్స్ ఉన్నప్పుడు పరాజయం వైపు (6) ',' 7 వ అత్యంత నాలుగు వికెట్లు-ఇన్-ఒక-ఇన్నింగ్"&amp;"స్ కెరీర్లో (17 ) ',' కెరీర్ లో బౌల్డ్ చాలా 5 వ బంతుల్లో (15712) ',' 10 వ కెరీర్ (9631) లో సాధించిన అత్యధిక పరుగులు ',' 2nd చాలా భాగము ఫీల్డర్ (192) ',' 6 వ పట్టుకుంటే తీసుకోబడిన వికెట్ల 350 వికెట్లు వేగంగా (262) '' 1000 పరుగులు మరియు 100 వికెట్లు ',' 100"&amp;"0 పరుగులు, 50 వికెట్లు, 50 క్యాచ్లు ',' తొమ్మిదవ వికెట్కు 5 వ అత్యధిక భాగస్వామ్యం ఒక జట్టు కెప్టెన్గా (103) ',' 3 వ వరుస మ్యాచ్లు (89) ',' కెరీర్లో 7 వ అత్యంత ప్లేయర్ ఆఫ్ ది సిరీస్ అవార్డులు (11) ',' 10 వ వరుస ఒక జట్టు కెప్టెన్గా మ్యాచ్లు (76) ',' 7 వ అత్"&amp;"యధిక వికెట్లు (829) ', '10 వ కెరీర్ లో బౌల్డ్ చాలా బంతుల్లో (40308)', '4 వ బౌలర్ / ఫీల్డర్ కలయికలు (141)']")</f>
        <v>[ 'ఇన్నింగ్స్ లో 9 వ అత్యధిక పరుగులు (బ్యాటింగ్ స్థానంలో ప్రకారం) (111)', 'నాటౌట్ 99 (199, 299 etc) (99 *)', '5 వ బౌలర్ / ఫీల్డర్ కలయికలు (79)', '250 పరుగులు మరియు ఒక సిరీస్లో 20 వికెట్లు ',' 1000 పరుగులు, 50 వికెట్లు, 50 క్యాచ్లు ',' 3 వ అత్యంత ప్లేయర్ ఆఫ్ ది సిరీస్ అవార్డులు (9) ',' ఒక జట్టు కెప్టెన్గా 3 వ వరుస మ్యాచ్లు (89) ',' 5 వ అత్యంత ఇన్నింగ్స్ లో నడుస్తుంది (బ్యాటింగ్ స్థానం) (130) ',' 1st ఒక ఇన్నింగ్స్ లోని బెస్ట్ ఫిగర్స్ ఉన్నప్పుడు పరాజయం వైపు (6) ',' 7 వ అత్యంత నాలుగు వికెట్లు-ఇన్-ఒక-ఇన్నింగ్స్ కెరీర్లో (17 ) ',' కెరీర్ లో బౌల్డ్ చాలా 5 వ బంతుల్లో (15712) ',' 10 వ కెరీర్ (9631) లో సాధించిన అత్యధిక పరుగులు ',' 2nd చాలా భాగము ఫీల్డర్ (192) ',' 6 వ పట్టుకుంటే తీసుకోబడిన వికెట్ల 350 వికెట్లు వేగంగా (262) '' 1000 పరుగులు మరియు 100 వికెట్లు ',' 1000 పరుగులు, 50 వికెట్లు, 50 క్యాచ్లు ',' తొమ్మిదవ వికెట్కు 5 వ అత్యధిక భాగస్వామ్యం ఒక జట్టు కెప్టెన్గా (103) ',' 3 వ వరుస మ్యాచ్లు (89) ',' కెరీర్లో 7 వ అత్యంత ప్లేయర్ ఆఫ్ ది సిరీస్ అవార్డులు (11) ',' 10 వ వరుస ఒక జట్టు కెప్టెన్గా మ్యాచ్లు (76) ',' 7 వ అత్యధిక వికెట్లు (829) ', '10 వ కెరీర్ లో బౌల్డ్ చాలా బంతుల్లో (40308)', '4 వ బౌలర్ / ఫీల్డర్ కలయికలు (141)']</v>
      </c>
      <c r="C1201" s="2" t="s">
        <v>801</v>
      </c>
      <c r="D1201" s="2" t="str">
        <f>IFERROR(__xludf.DUMMYFUNCTION("IF(C1201&lt;&gt;"""", GOOGLETRANSLATE(C1201, ""en"", ""te""),"""")"),"[ '9 వ అత్యంత ఇన్నింగ్స్ లో నడుస్తుంది (బ్యాటింగ్ స్థానం) (111)', 'ఇన్నింగ్స్ లో 29 అత్యధిక స్ట్రైక్ రేట్ (189.47)', '12 వ అత్యధిక కెరీర్ వికెట్లు (421)', '18 వ ఒక క్యాలెండర్ సంవత్సరంలో అత్యధిక వికెట్లు (69) ',' 35 వ ఒకే మైదానంలో అత్యధిక వికెట్లు (53) '"&amp;",' ఒక కెప్టెన్తో ఒక ఇన్నింగ్స్ లో 16 వ బెస్ట్ ఫిగర్స్ (6) ',' ఒక కెప్టెన్తో ఒక మ్యాచ్లో 14 వ బెస్ట్ ఫిగర్స్ (10) ',' 32 వ అత్యంత ఐదు-వికెట్ల లో-ఒక-ఇన్నింగ్స్ కెరీర్లో (16) ',' 14 వ కెరీర్ లో బౌల్డ్ అత్యంత బంతుల్లో (24353) ', '21 వ కెరీర్ (9733)', '5 వ బౌల"&amp;"ర్ / ఫీల్డర్ కాంబినేషన్ లో సాధించిన అత్యధిక పరుగులు (79 ) ',' 38 వ అత్యధిక వికెట్లు తీసుకున్న బౌల్డ్ (59) ',' 12 వ అత్యధిక వికెట్లు తీసుకున్న ఆకర్షించింది (272) ',' 15 వ అత్యధిక వికెట్లు ఒక ఫీల్డర్ చేత క్యాచ్ తీసుకున్న (175) ',' 7 వ అత్యధిక వికెట్లు వికెట"&amp;"్లు (ఆకర్షించింది తీసుకున్న 97 ) ',' 10 వ అత్యధిక వికెట్లు తీసుకున్న ఎల్బిడబ్ల్యు (90) ',' ఫాస్టెస్ట్ 150 వికెట్లు 36th (36) ',' 34 వ 200 వికెట్లు వేగంగా (49) ',' 250 వికెట్లు 22 వ వేగంగా (60) ', '21 వ వేగవంతమైన 300 వికెట్లు (74) ',' ఫాస్టెస్ట్ 350 వికెట"&amp;"్లు 17 (86) ',' 12 వ 400 వికెట్లు (103) ',' n కోసం 19 అత్యధిక భాగస్వామ్యం వేగంగా inth వికెట్ (132) ',' 47 వ కెరీర్ లో అత్యధిక మ్యాచ్లు (108) ',' 15 వ అత్యంత ప్లేయర్ ఆఫ్ ది మ్యాచ్ అవార్డులు (11) ',' 49 వ వరుస మ్యాచ్లు ఒక జట్టు కెప్టెన్గా (21) ',' 47 వ వరుస"&amp;" (3) లో అన్ని టాస్ గెలిచి ']")</f>
        <v>[ '9 వ అత్యంత ఇన్నింగ్స్ లో నడుస్తుంది (బ్యాటింగ్ స్థానం) (111)', 'ఇన్నింగ్స్ లో 29 అత్యధిక స్ట్రైక్ రేట్ (189.47)', '12 వ అత్యధిక కెరీర్ వికెట్లు (421)', '18 వ ఒక క్యాలెండర్ సంవత్సరంలో అత్యధిక వికెట్లు (69) ',' 35 వ ఒకే మైదానంలో అత్యధిక వికెట్లు (53) ',' ఒక కెప్టెన్తో ఒక ఇన్నింగ్స్ లో 16 వ బెస్ట్ ఫిగర్స్ (6) ',' ఒక కెప్టెన్తో ఒక మ్యాచ్లో 14 వ బెస్ట్ ఫిగర్స్ (10) ',' 32 వ అత్యంత ఐదు-వికెట్ల లో-ఒక-ఇన్నింగ్స్ కెరీర్లో (16) ',' 14 వ కెరీర్ లో బౌల్డ్ అత్యంత బంతుల్లో (24353) ', '21 వ కెరీర్ (9733)', '5 వ బౌలర్ / ఫీల్డర్ కాంబినేషన్ లో సాధించిన అత్యధిక పరుగులు (79 ) ',' 38 వ అత్యధిక వికెట్లు తీసుకున్న బౌల్డ్ (59) ',' 12 వ అత్యధిక వికెట్లు తీసుకున్న ఆకర్షించింది (272) ',' 15 వ అత్యధిక వికెట్లు ఒక ఫీల్డర్ చేత క్యాచ్ తీసుకున్న (175) ',' 7 వ అత్యధిక వికెట్లు వికెట్లు (ఆకర్షించింది తీసుకున్న 97 ) ',' 10 వ అత్యధిక వికెట్లు తీసుకున్న ఎల్బిడబ్ల్యు (90) ',' ఫాస్టెస్ట్ 150 వికెట్లు 36th (36) ',' 34 వ 200 వికెట్లు వేగంగా (49) ',' 250 వికెట్లు 22 వ వేగంగా (60) ', '21 వ వేగవంతమైన 300 వికెట్లు (74) ',' ఫాస్టెస్ట్ 350 వికెట్లు 17 (86) ',' 12 వ 400 వికెట్లు (103) ',' n కోసం 19 అత్యధిక భాగస్వామ్యం వేగంగా inth వికెట్ (132) ',' 47 వ కెరీర్ లో అత్యధిక మ్యాచ్లు (108) ',' 15 వ అత్యంత ప్లేయర్ ఆఫ్ ది మ్యాచ్ అవార్డులు (11) ',' 49 వ వరుస మ్యాచ్లు ఒక జట్టు కెప్టెన్గా (21) ',' 47 వ వరుస (3) లో అన్ని టాస్ గెలిచి ']</v>
      </c>
      <c r="E1201" s="2" t="s">
        <v>802</v>
      </c>
      <c r="F1201" s="2" t="str">
        <f>IFERROR(__xludf.DUMMYFUNCTION("IF(E1201&lt;&gt;"""", GOOGLETRANSLATE(E1201, ""en"", ""te""),"""")"),"[ 'ఇన్నింగ్స్ లో 5 వ అత్యధిక పరుగులు (బ్యాటింగ్ స్థానంలో ప్రకారం) (130)', 'కెరీర్ లో 13 వ అత్యంత బాతులు (20)' '22 వ అత్యంత వృద్ధ ఆటగాడు తొలి వంద (33y 325d) స్కోర్', '39 వ ఒక అత్యంత ఫోర్లు ఇన్నింగ్స్ (19) ',' 6 వ అత్యంత ఒక క్యాలెండర్ సంవత్సరంలో కెరీర్లో వి"&amp;"కెట్లు (393) ',' 5 వ అత్యధిక వికెట్లు (61) ',' ఒకే మైదానంలో 43 వ అత్యధిక వికెట్లు (32) ',' 6 వ ఉత్తమ ఇన్నింగ్స్ లో సంఖ్యలు ఒక కెప్టెన్తో (5) ',' 1st ఒక ఇన్నింగ్స్ లోని బెస్ట్ ఫిగర్స్ ఉన్నప్పుడు పరాజయం వైపు (6) ',' 23 వ ఉత్తమ కెరీర్ ఆర్థిక రేటు (3.67) ',"&amp;"' ఇన్నింగ్స్ లో 13 వ ఉత్తమ ఆర్థిక రేటు (0.66) ',' అరంగేట్రంలోనే ఇన్నింగ్స్లో 15 బెస్ట్ ఫిగర్స్ (4) ',' 11 వ అత్యంత ఐదు-వికెట్ల లో-ఒక-ఇన్నింగ్స్ కెరీర్లో (5) ',' 7 వ అత్యంత నాలుగు వికెట్లు-ఇన్-ఒక-ఇన్నింగ్స్ కెరీర్లో (17 ) ',' 13 వ వరుస నాలుగు వికెట్లు-ఇన్-"&amp;"ఒక-ఇన్నింగ్స్ (2) ',' ఐదు వికెట్ల లో-ఒక-ఇన్నింగ్స్ (33y 213d) కెరీర్లో బౌల్డ్ చాలా 5 వ బంతుల్లో (తీసుకోవాలని 27 అత్యంత వృద్ధ ఆటగాడు ',' 15712) ',' 10 వ కెరీర్ లో సాధించిన అత్యధిక పరుగులు (9631) ',' 2 వ బౌలర్ / బ్యాట్స్ కలయికలు (12) ',' 3 వ బౌలర్ / ఫీల్డర్"&amp;" కలయికలు (62) ',' 16 వ అత్యధిక వికెట్లు తీసుకున్న బౌల్డ్ (75) ',' 2 వ అత్యంత ఆకర్షించింది తీసుకోబడిన వికెట్ల (262) ',' 19 వ అత్యధిక వికెట్లు తీసుకున్న క్యాచ్ మరియు బౌల్డ్ (12) ',' 2 వ అత్యంత ఫీల్డర్ చేత క్యాచ్ తీసుకున్న (192) ',' 7 వ అత్యధిక వికెట్లు ఒక వ"&amp;"ికెట్ కీపర్ చే కాట్ తీసుకోబడిన వికెట్ల ( 70) ',' 8 వ అత్యధిక వికెట్లు తీసుకున్న ఎల్బిడబ్ల్యు (55) ',' 39 వ 100 వికెట్లు వేగంగా (68) ',' 26th 150 వికెట్లు (104) ',' 15 వ వేగంగా 200 వికెట్లు (138) ',' 12 వ వేగంగా వేగవంతమైన 250 వికెట్లు (175) ',' 7th 300 వి"&amp;"కెట్లు (217) ',' 350 వికెట్లు కెరీర్లో (262) ',' 22 వ అత్యధిక క్యాచ్లు వేగంగా 6 వ వేగంగా (108) ',' తొమ్మిదవ వికెట్కు 5 వ అత్యధిక భాగస్వామ్యం (103) ',' 20 వ అత్యధిక మ్యాచ్లు కెరీర్లో (303) ',' ఒక జట్టు 4 వ వరుస మ్యాచ్లు (133) ',' 23 వ ప్లేయర్ ఆఫ్ ది మ్యాచ్"&amp;" అవార్డులు (22) ',' 3 వ అత్యంత player- ఆఫ్ ది సిరీస్ అవార్డులు (9) ', '21 వ అత్యధిక మ్యాచ్లు కెప్టెన్గా (97)', '3 వ వరుస మ్యాచ్లు ఒక జట్టు కెప్టెన్గా (89)', '38 వ వరుస అన్ని టాస్ గెలిచిన (3)']")</f>
        <v>[ 'ఇన్నింగ్స్ లో 5 వ అత్యధిక పరుగులు (బ్యాటింగ్ స్థానంలో ప్రకారం) (130)', 'కెరీర్ లో 13 వ అత్యంత బాతులు (20)' '22 వ అత్యంత వృద్ధ ఆటగాడు తొలి వంద (33y 325d) స్కోర్', '39 వ ఒక అత్యంత ఫోర్లు ఇన్నింగ్స్ (19) ',' 6 వ అత్యంత ఒక క్యాలెండర్ సంవత్సరంలో కెరీర్లో వికెట్లు (393) ',' 5 వ అత్యధిక వికెట్లు (61) ',' ఒకే మైదానంలో 43 వ అత్యధిక వికెట్లు (32) ',' 6 వ ఉత్తమ ఇన్నింగ్స్ లో సంఖ్యలు ఒక కెప్టెన్తో (5) ',' 1st ఒక ఇన్నింగ్స్ లోని బెస్ట్ ఫిగర్స్ ఉన్నప్పుడు పరాజయం వైపు (6) ',' 23 వ ఉత్తమ కెరీర్ ఆర్థిక రేటు (3.67) ',' ఇన్నింగ్స్ లో 13 వ ఉత్తమ ఆర్థిక రేటు (0.66) ',' అరంగేట్రంలోనే ఇన్నింగ్స్లో 15 బెస్ట్ ఫిగర్స్ (4) ',' 11 వ అత్యంత ఐదు-వికెట్ల లో-ఒక-ఇన్నింగ్స్ కెరీర్లో (5) ',' 7 వ అత్యంత నాలుగు వికెట్లు-ఇన్-ఒక-ఇన్నింగ్స్ కెరీర్లో (17 ) ',' 13 వ వరుస నాలుగు వికెట్లు-ఇన్-ఒక-ఇన్నింగ్స్ (2) ',' ఐదు వికెట్ల లో-ఒక-ఇన్నింగ్స్ (33y 213d) కెరీర్లో బౌల్డ్ చాలా 5 వ బంతుల్లో (తీసుకోవాలని 27 అత్యంత వృద్ధ ఆటగాడు ',' 15712) ',' 10 వ కెరీర్ లో సాధించిన అత్యధిక పరుగులు (9631) ',' 2 వ బౌలర్ / బ్యాట్స్ కలయికలు (12) ',' 3 వ బౌలర్ / ఫీల్డర్ కలయికలు (62) ',' 16 వ అత్యధిక వికెట్లు తీసుకున్న బౌల్డ్ (75) ',' 2 వ అత్యంత ఆకర్షించింది తీసుకోబడిన వికెట్ల (262) ',' 19 వ అత్యధిక వికెట్లు తీసుకున్న క్యాచ్ మరియు బౌల్డ్ (12) ',' 2 వ అత్యంత ఫీల్డర్ చేత క్యాచ్ తీసుకున్న (192) ',' 7 వ అత్యధిక వికెట్లు ఒక వికెట్ కీపర్ చే కాట్ తీసుకోబడిన వికెట్ల ( 70) ',' 8 వ అత్యధిక వికెట్లు తీసుకున్న ఎల్బిడబ్ల్యు (55) ',' 39 వ 100 వికెట్లు వేగంగా (68) ',' 26th 150 వికెట్లు (104) ',' 15 వ వేగంగా 200 వికెట్లు (138) ',' 12 వ వేగంగా వేగవంతమైన 250 వికెట్లు (175) ',' 7th 300 వికెట్లు (217) ',' 350 వికెట్లు కెరీర్లో (262) ',' 22 వ అత్యధిక క్యాచ్లు వేగంగా 6 వ వేగంగా (108) ',' తొమ్మిదవ వికెట్కు 5 వ అత్యధిక భాగస్వామ్యం (103) ',' 20 వ అత్యధిక మ్యాచ్లు కెరీర్లో (303) ',' ఒక జట్టు 4 వ వరుస మ్యాచ్లు (133) ',' 23 వ ప్లేయర్ ఆఫ్ ది మ్యాచ్ అవార్డులు (22) ',' 3 వ అత్యంత player- ఆఫ్ ది సిరీస్ అవార్డులు (9) ', '21 వ అత్యధిక మ్యాచ్లు కెప్టెన్గా (97)', '3 వ వరుస మ్యాచ్లు ఒక జట్టు కెప్టెన్గా (89)', '38 వ వరుస అన్ని టాస్ గెలిచిన (3)']</v>
      </c>
      <c r="G1201" s="2" t="s">
        <v>803</v>
      </c>
      <c r="H1201" s="2" t="str">
        <f>IFERROR(__xludf.DUMMYFUNCTION("IF(G1201&lt;&gt;"""", GOOGLETRANSLATE(G1201, ""en"", ""te""),"""")"),"[ 'ఏడవ వికెట్ (57 *) 19 వ అత్యధిక భాగస్వామ్యం', '50th పురాతన దేశం ఆటగాళ్ళు (47y 242d)', 'బృందం (89) కెప్టెన్ గా 3 వ వరుస మ్యాచ్లు']")</f>
        <v>[ 'ఏడవ వికెట్ (57 *) 19 వ అత్యధిక భాగస్వామ్యం', '50th పురాతన దేశం ఆటగాళ్ళు (47y 242d)', 'బృందం (89) కెప్టెన్ గా 3 వ వరుస మ్యాచ్లు']</v>
      </c>
      <c r="I1201" s="3"/>
    </row>
    <row r="1202" customHeight="1" spans="1:9">
      <c r="A1202" s="2"/>
      <c r="B1202" s="2" t="str">
        <f>IFERROR(__xludf.DUMMYFUNCTION("IF(A1202&lt;&gt;"""", GOOGLETRANSLATE(A1202, ""en"", ""te""),"""")"),"")</f>
        <v/>
      </c>
      <c r="C1202" s="2"/>
      <c r="D1202" s="2" t="str">
        <f>IFERROR(__xludf.DUMMYFUNCTION("IF(C1202&lt;&gt;"""", GOOGLETRANSLATE(C1202, ""en"", ""te""),"""")"),"")</f>
        <v/>
      </c>
      <c r="E1202" s="2"/>
      <c r="F1202" s="2" t="str">
        <f>IFERROR(__xludf.DUMMYFUNCTION("IF(E1202&lt;&gt;"""", GOOGLETRANSLATE(E1202, ""en"", ""te""),"""")"),"")</f>
        <v/>
      </c>
      <c r="G1202" s="2"/>
      <c r="H1202" s="2" t="str">
        <f>IFERROR(__xludf.DUMMYFUNCTION("IF(G1202&lt;&gt;"""", GOOGLETRANSLATE(G1202, ""en"", ""te""),"""")"),"")</f>
        <v/>
      </c>
      <c r="I1202" s="3"/>
    </row>
    <row r="1203" customHeight="1" spans="1:9">
      <c r="A1203" s="2"/>
      <c r="B1203" s="2" t="str">
        <f>IFERROR(__xludf.DUMMYFUNCTION("IF(A1203&lt;&gt;"""", GOOGLETRANSLATE(A1203, ""en"", ""te""),"""")"),"")</f>
        <v/>
      </c>
      <c r="C1203" s="2"/>
      <c r="D1203" s="2" t="str">
        <f>IFERROR(__xludf.DUMMYFUNCTION("IF(C1203&lt;&gt;"""", GOOGLETRANSLATE(C1203, ""en"", ""te""),"""")"),"")</f>
        <v/>
      </c>
      <c r="E1203" s="2"/>
      <c r="F1203" s="2" t="str">
        <f>IFERROR(__xludf.DUMMYFUNCTION("IF(E1203&lt;&gt;"""", GOOGLETRANSLATE(E1203, ""en"", ""te""),"""")"),"")</f>
        <v/>
      </c>
      <c r="G1203" s="2"/>
      <c r="H1203" s="2" t="str">
        <f>IFERROR(__xludf.DUMMYFUNCTION("IF(G1203&lt;&gt;"""", GOOGLETRANSLATE(G1203, ""en"", ""te""),"""")"),"")</f>
        <v/>
      </c>
      <c r="I1203" s="3"/>
    </row>
    <row r="1204" customHeight="1" spans="1:9">
      <c r="A1204" s="2" t="s">
        <v>804</v>
      </c>
      <c r="B1204" s="2" t="str">
        <f>IFERROR(__xludf.DUMMYFUNCTION("IF(A1204&lt;&gt;"""", GOOGLETRANSLATE(A1204, ""en"", ""te""),"""")"),"[ '10 వ ఒక మ్యాచ్ రిఫరీ గా అత్యధిక మ్యాచ్లు (47)']")</f>
        <v>[ '10 వ ఒక మ్యాచ్ రిఫరీ గా అత్యధిక మ్యాచ్లు (47)']</v>
      </c>
      <c r="C1204" s="2" t="s">
        <v>804</v>
      </c>
      <c r="D1204" s="2" t="str">
        <f>IFERROR(__xludf.DUMMYFUNCTION("IF(C1204&lt;&gt;"""", GOOGLETRANSLATE(C1204, ""en"", ""te""),"""")"),"[ '10 వ ఒక మ్యాచ్ రిఫరీ గా అత్యధిక మ్యాచ్లు (47)']")</f>
        <v>[ '10 వ ఒక మ్యాచ్ రిఫరీ గా అత్యధిక మ్యాచ్లు (47)']</v>
      </c>
      <c r="E1204" s="2" t="s">
        <v>805</v>
      </c>
      <c r="F1204" s="2" t="str">
        <f>IFERROR(__xludf.DUMMYFUNCTION("IF(E1204&lt;&gt;"""", GOOGLETRANSLATE(E1204, ""en"", ""te""),"""")"),"[ '7th చాలా ఒక మ్యాచ్ రిఫరీ (162) వంటి ఆటలకు]")</f>
        <v>[ '7th చాలా ఒక మ్యాచ్ రిఫరీ (162) వంటి ఆటలకు]</v>
      </c>
      <c r="G1204" s="2" t="s">
        <v>806</v>
      </c>
      <c r="H1204" s="2" t="str">
        <f>IFERROR(__xludf.DUMMYFUNCTION("IF(G1204&lt;&gt;"""", GOOGLETRANSLATE(G1204, ""en"", ""te""),"""")"),"[18 వ ఒక మ్యాచ్ రిఫరీ గా అత్యధిక మ్యాచ్లు (15) ']")</f>
        <v>[18 వ ఒక మ్యాచ్ రిఫరీ గా అత్యధిక మ్యాచ్లు (15) ']</v>
      </c>
      <c r="I1204" s="3"/>
    </row>
    <row r="1205" customHeight="1" spans="1:9">
      <c r="A1205" s="2"/>
      <c r="B1205" s="2" t="str">
        <f>IFERROR(__xludf.DUMMYFUNCTION("IF(A1205&lt;&gt;"""", GOOGLETRANSLATE(A1205, ""en"", ""te""),"""")"),"")</f>
        <v/>
      </c>
      <c r="C1205" s="2" t="s">
        <v>655</v>
      </c>
      <c r="D1205" s="2" t="str">
        <f>IFERROR(__xludf.DUMMYFUNCTION("IF(C1205&lt;&gt;"""", GOOGLETRANSLATE(C1205, ""en"", ""te""),"""")"),"[ '33 వ ప్రవేశం (8) ఒక మ్యాచ్లో బెస్ట్ ఫిగర్స్']")</f>
        <v>[ '33 వ ప్రవేశం (8) ఒక మ్యాచ్లో బెస్ట్ ఫిగర్స్']</v>
      </c>
      <c r="E1205" s="2"/>
      <c r="F1205" s="2" t="str">
        <f>IFERROR(__xludf.DUMMYFUNCTION("IF(E1205&lt;&gt;"""", GOOGLETRANSLATE(E1205, ""en"", ""te""),"""")"),"")</f>
        <v/>
      </c>
      <c r="G1205" s="2"/>
      <c r="H1205" s="2" t="str">
        <f>IFERROR(__xludf.DUMMYFUNCTION("IF(G1205&lt;&gt;"""", GOOGLETRANSLATE(G1205, ""en"", ""te""),"""")"),"")</f>
        <v/>
      </c>
      <c r="I1205" s="3"/>
    </row>
    <row r="1206" customHeight="1" spans="1:9">
      <c r="A1206" s="2"/>
      <c r="B1206" s="2" t="str">
        <f>IFERROR(__xludf.DUMMYFUNCTION("IF(A1206&lt;&gt;"""", GOOGLETRANSLATE(A1206, ""en"", ""te""),"""")"),"")</f>
        <v/>
      </c>
      <c r="C1206" s="2"/>
      <c r="D1206" s="2" t="str">
        <f>IFERROR(__xludf.DUMMYFUNCTION("IF(C1206&lt;&gt;"""", GOOGLETRANSLATE(C1206, ""en"", ""te""),"""")"),"")</f>
        <v/>
      </c>
      <c r="E1206" s="2"/>
      <c r="F1206" s="2" t="str">
        <f>IFERROR(__xludf.DUMMYFUNCTION("IF(E1206&lt;&gt;"""", GOOGLETRANSLATE(E1206, ""en"", ""te""),"""")"),"")</f>
        <v/>
      </c>
      <c r="G1206" s="2"/>
      <c r="H1206" s="2" t="str">
        <f>IFERROR(__xludf.DUMMYFUNCTION("IF(G1206&lt;&gt;"""", GOOGLETRANSLATE(G1206, ""en"", ""te""),"""")"),"")</f>
        <v/>
      </c>
      <c r="I1206" s="3"/>
    </row>
    <row r="1207" customHeight="1" spans="1:9">
      <c r="A1207" s="2"/>
      <c r="B1207" s="2" t="str">
        <f>IFERROR(__xludf.DUMMYFUNCTION("IF(A1207&lt;&gt;"""", GOOGLETRANSLATE(A1207, ""en"", ""te""),"""")"),"")</f>
        <v/>
      </c>
      <c r="C1207" s="2"/>
      <c r="D1207" s="2" t="str">
        <f>IFERROR(__xludf.DUMMYFUNCTION("IF(C1207&lt;&gt;"""", GOOGLETRANSLATE(C1207, ""en"", ""te""),"""")"),"")</f>
        <v/>
      </c>
      <c r="E1207" s="2"/>
      <c r="F1207" s="2" t="str">
        <f>IFERROR(__xludf.DUMMYFUNCTION("IF(E1207&lt;&gt;"""", GOOGLETRANSLATE(E1207, ""en"", ""te""),"""")"),"")</f>
        <v/>
      </c>
      <c r="G1207" s="2"/>
      <c r="H1207" s="2" t="str">
        <f>IFERROR(__xludf.DUMMYFUNCTION("IF(G1207&lt;&gt;"""", GOOGLETRANSLATE(G1207, ""en"", ""te""),"""")"),"")</f>
        <v/>
      </c>
      <c r="I1207" s="3"/>
    </row>
    <row r="1208" customHeight="1" spans="1:9">
      <c r="A1208" s="2"/>
      <c r="B1208" s="2" t="str">
        <f>IFERROR(__xludf.DUMMYFUNCTION("IF(A1208&lt;&gt;"""", GOOGLETRANSLATE(A1208, ""en"", ""te""),"""")"),"")</f>
        <v/>
      </c>
      <c r="C1208" s="2"/>
      <c r="D1208" s="2" t="str">
        <f>IFERROR(__xludf.DUMMYFUNCTION("IF(C1208&lt;&gt;"""", GOOGLETRANSLATE(C1208, ""en"", ""te""),"""")"),"")</f>
        <v/>
      </c>
      <c r="E1208" s="2"/>
      <c r="F1208" s="2" t="str">
        <f>IFERROR(__xludf.DUMMYFUNCTION("IF(E1208&lt;&gt;"""", GOOGLETRANSLATE(E1208, ""en"", ""te""),"""")"),"")</f>
        <v/>
      </c>
      <c r="G1208" s="2"/>
      <c r="H1208" s="2" t="str">
        <f>IFERROR(__xludf.DUMMYFUNCTION("IF(G1208&lt;&gt;"""", GOOGLETRANSLATE(G1208, ""en"", ""te""),"""")"),"")</f>
        <v/>
      </c>
      <c r="I1208" s="3"/>
    </row>
    <row r="1209" customHeight="1" spans="1:9">
      <c r="A1209" s="2"/>
      <c r="B1209" s="2" t="str">
        <f>IFERROR(__xludf.DUMMYFUNCTION("IF(A1209&lt;&gt;"""", GOOGLETRANSLATE(A1209, ""en"", ""te""),"""")"),"")</f>
        <v/>
      </c>
      <c r="C1209" s="2"/>
      <c r="D1209" s="2" t="str">
        <f>IFERROR(__xludf.DUMMYFUNCTION("IF(C1209&lt;&gt;"""", GOOGLETRANSLATE(C1209, ""en"", ""te""),"""")"),"")</f>
        <v/>
      </c>
      <c r="E1209" s="2"/>
      <c r="F1209" s="2" t="str">
        <f>IFERROR(__xludf.DUMMYFUNCTION("IF(E1209&lt;&gt;"""", GOOGLETRANSLATE(E1209, ""en"", ""te""),"""")"),"")</f>
        <v/>
      </c>
      <c r="G1209" s="2"/>
      <c r="H1209" s="2" t="str">
        <f>IFERROR(__xludf.DUMMYFUNCTION("IF(G1209&lt;&gt;"""", GOOGLETRANSLATE(G1209, ""en"", ""te""),"""")"),"")</f>
        <v/>
      </c>
      <c r="I1209" s="3"/>
    </row>
    <row r="1210" customHeight="1" spans="1:9">
      <c r="A1210" s="2"/>
      <c r="B1210" s="2" t="str">
        <f>IFERROR(__xludf.DUMMYFUNCTION("IF(A1210&lt;&gt;"""", GOOGLETRANSLATE(A1210, ""en"", ""te""),"""")"),"")</f>
        <v/>
      </c>
      <c r="C1210" s="2"/>
      <c r="D1210" s="2" t="str">
        <f>IFERROR(__xludf.DUMMYFUNCTION("IF(C1210&lt;&gt;"""", GOOGLETRANSLATE(C1210, ""en"", ""te""),"""")"),"")</f>
        <v/>
      </c>
      <c r="E1210" s="2"/>
      <c r="F1210" s="2" t="str">
        <f>IFERROR(__xludf.DUMMYFUNCTION("IF(E1210&lt;&gt;"""", GOOGLETRANSLATE(E1210, ""en"", ""te""),"""")"),"")</f>
        <v/>
      </c>
      <c r="G1210" s="2"/>
      <c r="H1210" s="2" t="str">
        <f>IFERROR(__xludf.DUMMYFUNCTION("IF(G1210&lt;&gt;"""", GOOGLETRANSLATE(G1210, ""en"", ""te""),"""")"),"")</f>
        <v/>
      </c>
      <c r="I1210" s="3"/>
    </row>
    <row r="1211" customHeight="1" spans="1:9">
      <c r="A1211" s="2" t="s">
        <v>807</v>
      </c>
      <c r="B1211" s="2" t="str">
        <f>IFERROR(__xludf.DUMMYFUNCTION("IF(A1211&lt;&gt;"""", GOOGLETRANSLATE(A1211, ""en"", ""te""),"""")"),"[ 'లేకుండా ఒక వృత్తిలో 6 వ అత్యధిక పరుగులు వంద (1779)', 'ఇన్నింగ్స్ లో 3 వ అత్యుత్తమ బౌలింగ్ విశ్లేషణలు (5/7)', '2nd 50 వికెట్లు (7) వేగంగా', 'బ్యాటింగ్ తెరవడం మరియు బౌలింగ్ ఒకే మ్యాచ్ ']")</f>
        <v>[ 'లేకుండా ఒక వృత్తిలో 6 వ అత్యధిక పరుగులు వంద (1779)', 'ఇన్నింగ్స్ లో 3 వ అత్యుత్తమ బౌలింగ్ విశ్లేషణలు (5/7)', '2nd 50 వికెట్లు (7) వేగంగా', 'బ్యాటింగ్ తెరవడం మరియు బౌలింగ్ ఒకే మ్యాచ్ ']</v>
      </c>
      <c r="C1211" s="2" t="s">
        <v>808</v>
      </c>
      <c r="D1211" s="2" t="str">
        <f>IFERROR(__xludf.DUMMYFUNCTION("IF(C1211&lt;&gt;"""", GOOGLETRANSLATE(C1211, ""en"", ""te""),"""")"),"[ 'ఇన్నింగ్స్ లో 3 వ అత్యుత్తమ బౌలింగ్ విశ్లేషణలు (5/7)', 'ఒకే మైదానంలో 35 వ అత్యధిక వికెట్లు (53)', '39 వ ఉత్తమ కెరీర్ బౌలింగ్ సగటు' వంద (1779) లేకుండా ఒక వృత్తిలో 6 వ అత్యధిక పరుగులు ' (22.32) ',' 39 వ ఉత్తమ కెరీర్ సమ్మె రేటు (50.8) ',' తొలి మ్యాచ్లో ఇ"&amp;"న్నింగ్స్ (7.2) ',' 33 వ ఉత్తమ బొమ్మలు 20 ఉత్తమ సమ్మె రేటు (8) ',' 46 వ అత్యంత ఐదు-wickets- లో-ఒక-ఇన్నింగ్స్ కెరీర్లో (13) ',' 18 వ వరుస ఐదు వికెట్ల లో-ఒక-ఇన్నింగ్స్ (3) ',' 50 వ అత్యధిక వికెట్లు తీసుకున్న ఆకర్షించింది (152) ',' 26th అత్యధిక వికెట్లు ఒక ప"&amp;"ట్టుకుంటే తీసుకున్న వికెట్కీపర్గా (68) ',' 50 వికెట్లు 2nd వేగవంతమైన (7) ',' 7 వ వేగవంతమైన 100 వికెట్లు (19) ',' తొమ్మిదవ వికెట్కు 34 వ అత్యధిక భాగస్వామ్యం (109) ',' 41 వ అత్యంత ప్లేయర్ ఆఫ్ ది మ్యాచ్ అవార్డులు (8) ',' 44 వ అత్యంత ప్లేయర్ ఆఫ్ ది సిరీస్ అ"&amp;"వార్డులు (3) ']")</f>
        <v>[ 'ఇన్నింగ్స్ లో 3 వ అత్యుత్తమ బౌలింగ్ విశ్లేషణలు (5/7)', 'ఒకే మైదానంలో 35 వ అత్యధిక వికెట్లు (53)', '39 వ ఉత్తమ కెరీర్ బౌలింగ్ సగటు' వంద (1779) లేకుండా ఒక వృత్తిలో 6 వ అత్యధిక పరుగులు ' (22.32) ',' 39 వ ఉత్తమ కెరీర్ సమ్మె రేటు (50.8) ',' తొలి మ్యాచ్లో ఇన్నింగ్స్ (7.2) ',' 33 వ ఉత్తమ బొమ్మలు 20 ఉత్తమ సమ్మె రేటు (8) ',' 46 వ అత్యంత ఐదు-wickets- లో-ఒక-ఇన్నింగ్స్ కెరీర్లో (13) ',' 18 వ వరుస ఐదు వికెట్ల లో-ఒక-ఇన్నింగ్స్ (3) ',' 50 వ అత్యధిక వికెట్లు తీసుకున్న ఆకర్షించింది (152) ',' 26th అత్యధిక వికెట్లు ఒక పట్టుకుంటే తీసుకున్న వికెట్కీపర్గా (68) ',' 50 వికెట్లు 2nd వేగవంతమైన (7) ',' 7 వ వేగవంతమైన 100 వికెట్లు (19) ',' తొమ్మిదవ వికెట్కు 34 వ అత్యధిక భాగస్వామ్యం (109) ',' 41 వ అత్యంత ప్లేయర్ ఆఫ్ ది మ్యాచ్ అవార్డులు (8) ',' 44 వ అత్యంత ప్లేయర్ ఆఫ్ ది సిరీస్ అవార్డులు (3) ']</v>
      </c>
      <c r="E1211" s="2" t="s">
        <v>809</v>
      </c>
      <c r="F1211" s="2" t="str">
        <f>IFERROR(__xludf.DUMMYFUNCTION("IF(E1211&lt;&gt;"""", GOOGLETRANSLATE(E1211, ""en"", ""te""),"""")"),"[ '46 వ ఉత్తమ కెరీర్ బౌలింగ్ సరాసరి (24.04)', '35 వ ఉత్తమ కెరీర్ సమ్మె రేటు (31.1)', '15 వ ప్రవేశం (4) ఒక ఇన్నింగ్స్ లోని బెస్ట్ ఫిగర్స్']")</f>
        <v>[ '46 వ ఉత్తమ కెరీర్ బౌలింగ్ సరాసరి (24.04)', '35 వ ఉత్తమ కెరీర్ సమ్మె రేటు (31.1)', '15 వ ప్రవేశం (4) ఒక ఇన్నింగ్స్ లోని బెస్ట్ ఫిగర్స్']</v>
      </c>
      <c r="G1211" s="2"/>
      <c r="H1211" s="2" t="str">
        <f>IFERROR(__xludf.DUMMYFUNCTION("IF(G1211&lt;&gt;"""", GOOGLETRANSLATE(G1211, ""en"", ""te""),"""")"),"")</f>
        <v/>
      </c>
      <c r="I1211" s="3"/>
    </row>
    <row r="1212" customHeight="1" spans="1:9">
      <c r="A1212" s="2"/>
      <c r="B1212" s="2" t="str">
        <f>IFERROR(__xludf.DUMMYFUNCTION("IF(A1212&lt;&gt;"""", GOOGLETRANSLATE(A1212, ""en"", ""te""),"""")"),"")</f>
        <v/>
      </c>
      <c r="C1212" s="2" t="s">
        <v>810</v>
      </c>
      <c r="D1212" s="2" t="str">
        <f>IFERROR(__xludf.DUMMYFUNCTION("IF(C1212&lt;&gt;"""", GOOGLETRANSLATE(C1212, ""en"", ""te""),"""")"),"[ '32 వ చెత్త ఇన్నింగ్స్ లో ఆర్థిక రేటు (6.54)']")</f>
        <v>[ '32 వ చెత్త ఇన్నింగ్స్ లో ఆర్థిక రేటు (6.54)']</v>
      </c>
      <c r="E1212" s="2"/>
      <c r="F1212" s="2" t="str">
        <f>IFERROR(__xludf.DUMMYFUNCTION("IF(E1212&lt;&gt;"""", GOOGLETRANSLATE(E1212, ""en"", ""te""),"""")"),"")</f>
        <v/>
      </c>
      <c r="G1212" s="2"/>
      <c r="H1212" s="2" t="str">
        <f>IFERROR(__xludf.DUMMYFUNCTION("IF(G1212&lt;&gt;"""", GOOGLETRANSLATE(G1212, ""en"", ""te""),"""")"),"")</f>
        <v/>
      </c>
      <c r="I1212" s="3"/>
    </row>
    <row r="1213" customHeight="1" spans="1:9">
      <c r="A1213" s="2"/>
      <c r="B1213" s="2" t="str">
        <f>IFERROR(__xludf.DUMMYFUNCTION("IF(A1213&lt;&gt;"""", GOOGLETRANSLATE(A1213, ""en"", ""te""),"""")"),"")</f>
        <v/>
      </c>
      <c r="C1213" s="2"/>
      <c r="D1213" s="2" t="str">
        <f>IFERROR(__xludf.DUMMYFUNCTION("IF(C1213&lt;&gt;"""", GOOGLETRANSLATE(C1213, ""en"", ""te""),"""")"),"")</f>
        <v/>
      </c>
      <c r="E1213" s="2"/>
      <c r="F1213" s="2" t="str">
        <f>IFERROR(__xludf.DUMMYFUNCTION("IF(E1213&lt;&gt;"""", GOOGLETRANSLATE(E1213, ""en"", ""te""),"""")"),"")</f>
        <v/>
      </c>
      <c r="G1213" s="2"/>
      <c r="H1213" s="2" t="str">
        <f>IFERROR(__xludf.DUMMYFUNCTION("IF(G1213&lt;&gt;"""", GOOGLETRANSLATE(G1213, ""en"", ""te""),"""")"),"")</f>
        <v/>
      </c>
      <c r="I1213" s="3"/>
    </row>
    <row r="1214" customHeight="1" spans="1:9">
      <c r="A1214" s="2"/>
      <c r="B1214" s="2" t="str">
        <f>IFERROR(__xludf.DUMMYFUNCTION("IF(A1214&lt;&gt;"""", GOOGLETRANSLATE(A1214, ""en"", ""te""),"""")"),"")</f>
        <v/>
      </c>
      <c r="C1214" s="2"/>
      <c r="D1214" s="2" t="str">
        <f>IFERROR(__xludf.DUMMYFUNCTION("IF(C1214&lt;&gt;"""", GOOGLETRANSLATE(C1214, ""en"", ""te""),"""")"),"")</f>
        <v/>
      </c>
      <c r="E1214" s="2"/>
      <c r="F1214" s="2" t="str">
        <f>IFERROR(__xludf.DUMMYFUNCTION("IF(E1214&lt;&gt;"""", GOOGLETRANSLATE(E1214, ""en"", ""te""),"""")"),"")</f>
        <v/>
      </c>
      <c r="G1214" s="2"/>
      <c r="H1214" s="2" t="str">
        <f>IFERROR(__xludf.DUMMYFUNCTION("IF(G1214&lt;&gt;"""", GOOGLETRANSLATE(G1214, ""en"", ""te""),"""")"),"")</f>
        <v/>
      </c>
      <c r="I1214" s="3"/>
    </row>
    <row r="1215" customHeight="1" spans="1:9">
      <c r="A1215" s="2"/>
      <c r="B1215" s="2" t="str">
        <f>IFERROR(__xludf.DUMMYFUNCTION("IF(A1215&lt;&gt;"""", GOOGLETRANSLATE(A1215, ""en"", ""te""),"""")"),"")</f>
        <v/>
      </c>
      <c r="C1215" s="2"/>
      <c r="D1215" s="2" t="str">
        <f>IFERROR(__xludf.DUMMYFUNCTION("IF(C1215&lt;&gt;"""", GOOGLETRANSLATE(C1215, ""en"", ""te""),"""")"),"")</f>
        <v/>
      </c>
      <c r="E1215" s="2"/>
      <c r="F1215" s="2" t="str">
        <f>IFERROR(__xludf.DUMMYFUNCTION("IF(E1215&lt;&gt;"""", GOOGLETRANSLATE(E1215, ""en"", ""te""),"""")"),"")</f>
        <v/>
      </c>
      <c r="G1215" s="2"/>
      <c r="H1215" s="2" t="str">
        <f>IFERROR(__xludf.DUMMYFUNCTION("IF(G1215&lt;&gt;"""", GOOGLETRANSLATE(G1215, ""en"", ""te""),"""")"),"")</f>
        <v/>
      </c>
      <c r="I1215" s="3"/>
    </row>
    <row r="1216" customHeight="1" spans="1:9">
      <c r="A1216" s="2"/>
      <c r="B1216" s="2" t="str">
        <f>IFERROR(__xludf.DUMMYFUNCTION("IF(A1216&lt;&gt;"""", GOOGLETRANSLATE(A1216, ""en"", ""te""),"""")"),"")</f>
        <v/>
      </c>
      <c r="C1216" s="2"/>
      <c r="D1216" s="2" t="str">
        <f>IFERROR(__xludf.DUMMYFUNCTION("IF(C1216&lt;&gt;"""", GOOGLETRANSLATE(C1216, ""en"", ""te""),"""")"),"")</f>
        <v/>
      </c>
      <c r="E1216" s="2"/>
      <c r="F1216" s="2" t="str">
        <f>IFERROR(__xludf.DUMMYFUNCTION("IF(E1216&lt;&gt;"""", GOOGLETRANSLATE(E1216, ""en"", ""te""),"""")"),"")</f>
        <v/>
      </c>
      <c r="G1216" s="2"/>
      <c r="H1216" s="2" t="str">
        <f>IFERROR(__xludf.DUMMYFUNCTION("IF(G1216&lt;&gt;"""", GOOGLETRANSLATE(G1216, ""en"", ""te""),"""")"),"")</f>
        <v/>
      </c>
      <c r="I1216" s="3"/>
    </row>
    <row r="1217" customHeight="1" spans="1:9">
      <c r="A1217" s="2" t="s">
        <v>811</v>
      </c>
      <c r="B1217" s="2" t="str">
        <f>IFERROR(__xludf.DUMMYFUNCTION("IF(A1217&lt;&gt;"""", GOOGLETRANSLATE(A1217, ""en"", ""te""),"""")"),"[ '9 వ అత్యుత్తమ ఇన్నింగ్స్ (3/5) విశ్లేషణలలో బౌలింగ్']")</f>
        <v>[ '9 వ అత్యుత్తమ ఇన్నింగ్స్ (3/5) విశ్లేషణలలో బౌలింగ్']</v>
      </c>
      <c r="C1217" s="2"/>
      <c r="D1217" s="2" t="str">
        <f>IFERROR(__xludf.DUMMYFUNCTION("IF(C1217&lt;&gt;"""", GOOGLETRANSLATE(C1217, ""en"", ""te""),"""")"),"")</f>
        <v/>
      </c>
      <c r="E1217" s="2" t="s">
        <v>812</v>
      </c>
      <c r="F1217" s="2" t="str">
        <f>IFERROR(__xludf.DUMMYFUNCTION("IF(E1217&lt;&gt;"""", GOOGLETRANSLATE(E1217, ""en"", ""te""),"""")"),"[ '9 వ అత్యుత్తమ ఇన్నింగ్స్ లో బౌలింగ్ విశ్లేషణలు (3/5)', 'ఇన్నింగ్స్ లో 45 వ ఉత్తమ ఆర్థిక రేటు (0.93)']")</f>
        <v>[ '9 వ అత్యుత్తమ ఇన్నింగ్స్ లో బౌలింగ్ విశ్లేషణలు (3/5)', 'ఇన్నింగ్స్ లో 45 వ ఉత్తమ ఆర్థిక రేటు (0.93)']</v>
      </c>
      <c r="G1217" s="2" t="s">
        <v>813</v>
      </c>
      <c r="H1217" s="2" t="str">
        <f>IFERROR(__xludf.DUMMYFUNCTION("IF(G1217&lt;&gt;"""", GOOGLETRANSLATE(G1217, ""en"", ""te""),"""")"),"[ '24 వ ఇన్నింగ్స్ లో బెస్ట్ ఫిగర్స్ (5/17)']")</f>
        <v>[ '24 వ ఇన్నింగ్స్ లో బెస్ట్ ఫిగర్స్ (5/17)']</v>
      </c>
      <c r="I1217" s="3"/>
    </row>
    <row r="1218" customHeight="1" spans="1:9">
      <c r="A1218" s="2"/>
      <c r="B1218" s="2" t="str">
        <f>IFERROR(__xludf.DUMMYFUNCTION("IF(A1218&lt;&gt;"""", GOOGLETRANSLATE(A1218, ""en"", ""te""),"""")"),"")</f>
        <v/>
      </c>
      <c r="C1218" s="2"/>
      <c r="D1218" s="2" t="str">
        <f>IFERROR(__xludf.DUMMYFUNCTION("IF(C1218&lt;&gt;"""", GOOGLETRANSLATE(C1218, ""en"", ""te""),"""")"),"")</f>
        <v/>
      </c>
      <c r="E1218" s="2"/>
      <c r="F1218" s="2" t="str">
        <f>IFERROR(__xludf.DUMMYFUNCTION("IF(E1218&lt;&gt;"""", GOOGLETRANSLATE(E1218, ""en"", ""te""),"""")"),"")</f>
        <v/>
      </c>
      <c r="G1218" s="2"/>
      <c r="H1218" s="2" t="str">
        <f>IFERROR(__xludf.DUMMYFUNCTION("IF(G1218&lt;&gt;"""", GOOGLETRANSLATE(G1218, ""en"", ""te""),"""")"),"")</f>
        <v/>
      </c>
      <c r="I1218" s="3"/>
    </row>
    <row r="1219" customHeight="1" spans="1:9">
      <c r="A1219" s="2"/>
      <c r="B1219" s="2" t="str">
        <f>IFERROR(__xludf.DUMMYFUNCTION("IF(A1219&lt;&gt;"""", GOOGLETRANSLATE(A1219, ""en"", ""te""),"""")"),"")</f>
        <v/>
      </c>
      <c r="C1219" s="2"/>
      <c r="D1219" s="2" t="str">
        <f>IFERROR(__xludf.DUMMYFUNCTION("IF(C1219&lt;&gt;"""", GOOGLETRANSLATE(C1219, ""en"", ""te""),"""")"),"")</f>
        <v/>
      </c>
      <c r="E1219" s="2"/>
      <c r="F1219" s="2" t="str">
        <f>IFERROR(__xludf.DUMMYFUNCTION("IF(E1219&lt;&gt;"""", GOOGLETRANSLATE(E1219, ""en"", ""te""),"""")"),"")</f>
        <v/>
      </c>
      <c r="G1219" s="2"/>
      <c r="H1219" s="2" t="str">
        <f>IFERROR(__xludf.DUMMYFUNCTION("IF(G1219&lt;&gt;"""", GOOGLETRANSLATE(G1219, ""en"", ""te""),"""")"),"")</f>
        <v/>
      </c>
      <c r="I1219" s="3"/>
    </row>
    <row r="1220" customHeight="1" spans="1:9">
      <c r="A1220" s="2" t="s">
        <v>814</v>
      </c>
      <c r="B1220" s="2" t="str">
        <f>IFERROR(__xludf.DUMMYFUNCTION("IF(A1220&lt;&gt;"""", GOOGLETRANSLATE(A1220, ""en"", ""te""),"""")"),"[ 'ఒక ఇన్నింగ్స్ లో 8 వ బెస్ట్ ఫిగర్స్ ఉన్నప్పుడు పరాజయం వైపు (4)']")</f>
        <v>[ 'ఒక ఇన్నింగ్స్ లో 8 వ బెస్ట్ ఫిగర్స్ ఉన్నప్పుడు పరాజయం వైపు (4)']</v>
      </c>
      <c r="C1220" s="2"/>
      <c r="D1220" s="2" t="str">
        <f>IFERROR(__xludf.DUMMYFUNCTION("IF(C1220&lt;&gt;"""", GOOGLETRANSLATE(C1220, ""en"", ""te""),"""")"),"")</f>
        <v/>
      </c>
      <c r="E1220" s="2"/>
      <c r="F1220" s="2" t="str">
        <f>IFERROR(__xludf.DUMMYFUNCTION("IF(E1220&lt;&gt;"""", GOOGLETRANSLATE(E1220, ""en"", ""te""),"""")"),"")</f>
        <v/>
      </c>
      <c r="G1220" s="2" t="s">
        <v>814</v>
      </c>
      <c r="H1220" s="2" t="str">
        <f>IFERROR(__xludf.DUMMYFUNCTION("IF(G1220&lt;&gt;"""", GOOGLETRANSLATE(G1220, ""en"", ""te""),"""")"),"[ 'ఒక ఇన్నింగ్స్ లో 8 వ బెస్ట్ ఫిగర్స్ ఉన్నప్పుడు పరాజయం వైపు (4)']")</f>
        <v>[ 'ఒక ఇన్నింగ్స్ లో 8 వ బెస్ట్ ఫిగర్స్ ఉన్నప్పుడు పరాజయం వైపు (4)']</v>
      </c>
      <c r="I1220" s="3"/>
    </row>
    <row r="1221" customHeight="1" spans="1:9">
      <c r="A1221" s="2"/>
      <c r="B1221" s="2" t="str">
        <f>IFERROR(__xludf.DUMMYFUNCTION("IF(A1221&lt;&gt;"""", GOOGLETRANSLATE(A1221, ""en"", ""te""),"""")"),"")</f>
        <v/>
      </c>
      <c r="C1221" s="2"/>
      <c r="D1221" s="2" t="str">
        <f>IFERROR(__xludf.DUMMYFUNCTION("IF(C1221&lt;&gt;"""", GOOGLETRANSLATE(C1221, ""en"", ""te""),"""")"),"")</f>
        <v/>
      </c>
      <c r="E1221" s="2"/>
      <c r="F1221" s="2" t="str">
        <f>IFERROR(__xludf.DUMMYFUNCTION("IF(E1221&lt;&gt;"""", GOOGLETRANSLATE(E1221, ""en"", ""te""),"""")"),"")</f>
        <v/>
      </c>
      <c r="G1221" s="2"/>
      <c r="H1221" s="2" t="str">
        <f>IFERROR(__xludf.DUMMYFUNCTION("IF(G1221&lt;&gt;"""", GOOGLETRANSLATE(G1221, ""en"", ""te""),"""")"),"")</f>
        <v/>
      </c>
      <c r="I1221" s="3"/>
    </row>
    <row r="1222" customHeight="1" spans="1:9">
      <c r="A1222" s="2"/>
      <c r="B1222" s="2" t="str">
        <f>IFERROR(__xludf.DUMMYFUNCTION("IF(A1222&lt;&gt;"""", GOOGLETRANSLATE(A1222, ""en"", ""te""),"""")"),"")</f>
        <v/>
      </c>
      <c r="C1222" s="2"/>
      <c r="D1222" s="2" t="str">
        <f>IFERROR(__xludf.DUMMYFUNCTION("IF(C1222&lt;&gt;"""", GOOGLETRANSLATE(C1222, ""en"", ""te""),"""")"),"")</f>
        <v/>
      </c>
      <c r="E1222" s="2"/>
      <c r="F1222" s="2" t="str">
        <f>IFERROR(__xludf.DUMMYFUNCTION("IF(E1222&lt;&gt;"""", GOOGLETRANSLATE(E1222, ""en"", ""te""),"""")"),"")</f>
        <v/>
      </c>
      <c r="G1222" s="2"/>
      <c r="H1222" s="2" t="str">
        <f>IFERROR(__xludf.DUMMYFUNCTION("IF(G1222&lt;&gt;"""", GOOGLETRANSLATE(G1222, ""en"", ""te""),"""")"),"")</f>
        <v/>
      </c>
      <c r="I1222" s="3"/>
    </row>
    <row r="1223" customHeight="1" spans="1:9">
      <c r="A1223" s="2"/>
      <c r="B1223" s="2" t="str">
        <f>IFERROR(__xludf.DUMMYFUNCTION("IF(A1223&lt;&gt;"""", GOOGLETRANSLATE(A1223, ""en"", ""te""),"""")"),"")</f>
        <v/>
      </c>
      <c r="C1223" s="2"/>
      <c r="D1223" s="2" t="str">
        <f>IFERROR(__xludf.DUMMYFUNCTION("IF(C1223&lt;&gt;"""", GOOGLETRANSLATE(C1223, ""en"", ""te""),"""")"),"")</f>
        <v/>
      </c>
      <c r="E1223" s="2"/>
      <c r="F1223" s="2" t="str">
        <f>IFERROR(__xludf.DUMMYFUNCTION("IF(E1223&lt;&gt;"""", GOOGLETRANSLATE(E1223, ""en"", ""te""),"""")"),"")</f>
        <v/>
      </c>
      <c r="G1223" s="2"/>
      <c r="H1223" s="2" t="str">
        <f>IFERROR(__xludf.DUMMYFUNCTION("IF(G1223&lt;&gt;"""", GOOGLETRANSLATE(G1223, ""en"", ""te""),"""")"),"")</f>
        <v/>
      </c>
      <c r="I1223" s="3"/>
    </row>
    <row r="1224" customHeight="1" spans="1:9">
      <c r="A1224" s="2"/>
      <c r="B1224" s="2" t="str">
        <f>IFERROR(__xludf.DUMMYFUNCTION("IF(A1224&lt;&gt;"""", GOOGLETRANSLATE(A1224, ""en"", ""te""),"""")"),"")</f>
        <v/>
      </c>
      <c r="C1224" s="2"/>
      <c r="D1224" s="2" t="str">
        <f>IFERROR(__xludf.DUMMYFUNCTION("IF(C1224&lt;&gt;"""", GOOGLETRANSLATE(C1224, ""en"", ""te""),"""")"),"")</f>
        <v/>
      </c>
      <c r="E1224" s="2"/>
      <c r="F1224" s="2" t="str">
        <f>IFERROR(__xludf.DUMMYFUNCTION("IF(E1224&lt;&gt;"""", GOOGLETRANSLATE(E1224, ""en"", ""te""),"""")"),"")</f>
        <v/>
      </c>
      <c r="G1224" s="2"/>
      <c r="H1224" s="2" t="str">
        <f>IFERROR(__xludf.DUMMYFUNCTION("IF(G1224&lt;&gt;"""", GOOGLETRANSLATE(G1224, ""en"", ""te""),"""")"),"")</f>
        <v/>
      </c>
      <c r="I1224" s="3"/>
    </row>
    <row r="1225" customHeight="1" spans="1:9">
      <c r="A1225" s="2"/>
      <c r="B1225" s="2" t="str">
        <f>IFERROR(__xludf.DUMMYFUNCTION("IF(A1225&lt;&gt;"""", GOOGLETRANSLATE(A1225, ""en"", ""te""),"""")"),"")</f>
        <v/>
      </c>
      <c r="C1225" s="2"/>
      <c r="D1225" s="2" t="str">
        <f>IFERROR(__xludf.DUMMYFUNCTION("IF(C1225&lt;&gt;"""", GOOGLETRANSLATE(C1225, ""en"", ""te""),"""")"),"")</f>
        <v/>
      </c>
      <c r="E1225" s="2"/>
      <c r="F1225" s="2" t="str">
        <f>IFERROR(__xludf.DUMMYFUNCTION("IF(E1225&lt;&gt;"""", GOOGLETRANSLATE(E1225, ""en"", ""te""),"""")"),"")</f>
        <v/>
      </c>
      <c r="G1225" s="2"/>
      <c r="H1225" s="2" t="str">
        <f>IFERROR(__xludf.DUMMYFUNCTION("IF(G1225&lt;&gt;"""", GOOGLETRANSLATE(G1225, ""en"", ""te""),"""")"),"")</f>
        <v/>
      </c>
      <c r="I1225" s="3"/>
    </row>
    <row r="1226" customHeight="1" spans="1:9">
      <c r="A1226" s="2" t="s">
        <v>815</v>
      </c>
      <c r="B1226" s="2" t="str">
        <f>IFERROR(__xludf.DUMMYFUNCTION("IF(A1226&lt;&gt;"""", GOOGLETRANSLATE(A1226, ""en"", ""te""),"""")"),"[ '7th ఉత్తమ కెరీర్ బౌలింగ్ సరాసరి (అర్హత లేకుండా) (4.00)']")</f>
        <v>[ '7th ఉత్తమ కెరీర్ బౌలింగ్ సరాసరి (అర్హత లేకుండా) (4.00)']</v>
      </c>
      <c r="C1226" s="2" t="s">
        <v>815</v>
      </c>
      <c r="D1226" s="2" t="str">
        <f>IFERROR(__xludf.DUMMYFUNCTION("IF(C1226&lt;&gt;"""", GOOGLETRANSLATE(C1226, ""en"", ""te""),"""")"),"[ '7th ఉత్తమ కెరీర్ బౌలింగ్ సరాసరి (అర్హత లేకుండా) (4.00)']")</f>
        <v>[ '7th ఉత్తమ కెరీర్ బౌలింగ్ సరాసరి (అర్హత లేకుండా) (4.00)']</v>
      </c>
      <c r="E1226" s="2"/>
      <c r="F1226" s="2" t="str">
        <f>IFERROR(__xludf.DUMMYFUNCTION("IF(E1226&lt;&gt;"""", GOOGLETRANSLATE(E1226, ""en"", ""te""),"""")"),"")</f>
        <v/>
      </c>
      <c r="G1226" s="2"/>
      <c r="H1226" s="2" t="str">
        <f>IFERROR(__xludf.DUMMYFUNCTION("IF(G1226&lt;&gt;"""", GOOGLETRANSLATE(G1226, ""en"", ""te""),"""")"),"")</f>
        <v/>
      </c>
      <c r="I1226" s="3"/>
    </row>
    <row r="1227" customHeight="1" spans="1:9">
      <c r="A1227" s="2"/>
      <c r="B1227" s="2" t="str">
        <f>IFERROR(__xludf.DUMMYFUNCTION("IF(A1227&lt;&gt;"""", GOOGLETRANSLATE(A1227, ""en"", ""te""),"""")"),"")</f>
        <v/>
      </c>
      <c r="C1227" s="2"/>
      <c r="D1227" s="2" t="str">
        <f>IFERROR(__xludf.DUMMYFUNCTION("IF(C1227&lt;&gt;"""", GOOGLETRANSLATE(C1227, ""en"", ""te""),"""")"),"")</f>
        <v/>
      </c>
      <c r="E1227" s="2"/>
      <c r="F1227" s="2" t="str">
        <f>IFERROR(__xludf.DUMMYFUNCTION("IF(E1227&lt;&gt;"""", GOOGLETRANSLATE(E1227, ""en"", ""te""),"""")"),"")</f>
        <v/>
      </c>
      <c r="G1227" s="2"/>
      <c r="H1227" s="2" t="str">
        <f>IFERROR(__xludf.DUMMYFUNCTION("IF(G1227&lt;&gt;"""", GOOGLETRANSLATE(G1227, ""en"", ""te""),"""")"),"")</f>
        <v/>
      </c>
      <c r="I1227" s="3"/>
    </row>
    <row r="1228" customHeight="1" spans="1:9">
      <c r="A1228" s="2"/>
      <c r="B1228" s="2" t="str">
        <f>IFERROR(__xludf.DUMMYFUNCTION("IF(A1228&lt;&gt;"""", GOOGLETRANSLATE(A1228, ""en"", ""te""),"""")"),"")</f>
        <v/>
      </c>
      <c r="C1228" s="2"/>
      <c r="D1228" s="2" t="str">
        <f>IFERROR(__xludf.DUMMYFUNCTION("IF(C1228&lt;&gt;"""", GOOGLETRANSLATE(C1228, ""en"", ""te""),"""")"),"")</f>
        <v/>
      </c>
      <c r="E1228" s="2"/>
      <c r="F1228" s="2" t="str">
        <f>IFERROR(__xludf.DUMMYFUNCTION("IF(E1228&lt;&gt;"""", GOOGLETRANSLATE(E1228, ""en"", ""te""),"""")"),"")</f>
        <v/>
      </c>
      <c r="G1228" s="2"/>
      <c r="H1228" s="2" t="str">
        <f>IFERROR(__xludf.DUMMYFUNCTION("IF(G1228&lt;&gt;"""", GOOGLETRANSLATE(G1228, ""en"", ""te""),"""")"),"")</f>
        <v/>
      </c>
      <c r="I1228" s="3"/>
    </row>
    <row r="1229" customHeight="1" spans="1:9">
      <c r="A1229" s="2"/>
      <c r="B1229" s="2" t="str">
        <f>IFERROR(__xludf.DUMMYFUNCTION("IF(A1229&lt;&gt;"""", GOOGLETRANSLATE(A1229, ""en"", ""te""),"""")"),"")</f>
        <v/>
      </c>
      <c r="C1229" s="2"/>
      <c r="D1229" s="2" t="str">
        <f>IFERROR(__xludf.DUMMYFUNCTION("IF(C1229&lt;&gt;"""", GOOGLETRANSLATE(C1229, ""en"", ""te""),"""")"),"")</f>
        <v/>
      </c>
      <c r="E1229" s="2"/>
      <c r="F1229" s="2" t="str">
        <f>IFERROR(__xludf.DUMMYFUNCTION("IF(E1229&lt;&gt;"""", GOOGLETRANSLATE(E1229, ""en"", ""te""),"""")"),"")</f>
        <v/>
      </c>
      <c r="G1229" s="2"/>
      <c r="H1229" s="2" t="str">
        <f>IFERROR(__xludf.DUMMYFUNCTION("IF(G1229&lt;&gt;"""", GOOGLETRANSLATE(G1229, ""en"", ""te""),"""")"),"")</f>
        <v/>
      </c>
      <c r="I1229" s="3"/>
    </row>
    <row r="1230" customHeight="1" spans="1:9">
      <c r="A1230" s="2"/>
      <c r="B1230" s="2" t="str">
        <f>IFERROR(__xludf.DUMMYFUNCTION("IF(A1230&lt;&gt;"""", GOOGLETRANSLATE(A1230, ""en"", ""te""),"""")"),"")</f>
        <v/>
      </c>
      <c r="C1230" s="2"/>
      <c r="D1230" s="2" t="str">
        <f>IFERROR(__xludf.DUMMYFUNCTION("IF(C1230&lt;&gt;"""", GOOGLETRANSLATE(C1230, ""en"", ""te""),"""")"),"")</f>
        <v/>
      </c>
      <c r="E1230" s="2"/>
      <c r="F1230" s="2" t="str">
        <f>IFERROR(__xludf.DUMMYFUNCTION("IF(E1230&lt;&gt;"""", GOOGLETRANSLATE(E1230, ""en"", ""te""),"""")"),"")</f>
        <v/>
      </c>
      <c r="G1230" s="2"/>
      <c r="H1230" s="2" t="str">
        <f>IFERROR(__xludf.DUMMYFUNCTION("IF(G1230&lt;&gt;"""", GOOGLETRANSLATE(G1230, ""en"", ""te""),"""")"),"")</f>
        <v/>
      </c>
      <c r="I1230" s="3"/>
    </row>
    <row r="1231" customHeight="1" spans="1:9">
      <c r="A1231" s="2"/>
      <c r="B1231" s="2" t="str">
        <f>IFERROR(__xludf.DUMMYFUNCTION("IF(A1231&lt;&gt;"""", GOOGLETRANSLATE(A1231, ""en"", ""te""),"""")"),"")</f>
        <v/>
      </c>
      <c r="C1231" s="2"/>
      <c r="D1231" s="2" t="str">
        <f>IFERROR(__xludf.DUMMYFUNCTION("IF(C1231&lt;&gt;"""", GOOGLETRANSLATE(C1231, ""en"", ""te""),"""")"),"")</f>
        <v/>
      </c>
      <c r="E1231" s="2"/>
      <c r="F1231" s="2" t="str">
        <f>IFERROR(__xludf.DUMMYFUNCTION("IF(E1231&lt;&gt;"""", GOOGLETRANSLATE(E1231, ""en"", ""te""),"""")"),"")</f>
        <v/>
      </c>
      <c r="G1231" s="2"/>
      <c r="H1231" s="2" t="str">
        <f>IFERROR(__xludf.DUMMYFUNCTION("IF(G1231&lt;&gt;"""", GOOGLETRANSLATE(G1231, ""en"", ""te""),"""")"),"")</f>
        <v/>
      </c>
      <c r="I1231" s="3"/>
    </row>
    <row r="1232" customHeight="1" spans="1:9">
      <c r="A1232" s="2"/>
      <c r="B1232" s="2" t="str">
        <f>IFERROR(__xludf.DUMMYFUNCTION("IF(A1232&lt;&gt;"""", GOOGLETRANSLATE(A1232, ""en"", ""te""),"""")"),"")</f>
        <v/>
      </c>
      <c r="C1232" s="2"/>
      <c r="D1232" s="2" t="str">
        <f>IFERROR(__xludf.DUMMYFUNCTION("IF(C1232&lt;&gt;"""", GOOGLETRANSLATE(C1232, ""en"", ""te""),"""")"),"")</f>
        <v/>
      </c>
      <c r="E1232" s="2"/>
      <c r="F1232" s="2" t="str">
        <f>IFERROR(__xludf.DUMMYFUNCTION("IF(E1232&lt;&gt;"""", GOOGLETRANSLATE(E1232, ""en"", ""te""),"""")"),"")</f>
        <v/>
      </c>
      <c r="G1232" s="2"/>
      <c r="H1232" s="2" t="str">
        <f>IFERROR(__xludf.DUMMYFUNCTION("IF(G1232&lt;&gt;"""", GOOGLETRANSLATE(G1232, ""en"", ""te""),"""")"),"")</f>
        <v/>
      </c>
      <c r="I1232" s="3"/>
    </row>
    <row r="1233" customHeight="1" spans="1:9">
      <c r="A1233" s="2"/>
      <c r="B1233" s="2" t="str">
        <f>IFERROR(__xludf.DUMMYFUNCTION("IF(A1233&lt;&gt;"""", GOOGLETRANSLATE(A1233, ""en"", ""te""),"""")"),"")</f>
        <v/>
      </c>
      <c r="C1233" s="2"/>
      <c r="D1233" s="2" t="str">
        <f>IFERROR(__xludf.DUMMYFUNCTION("IF(C1233&lt;&gt;"""", GOOGLETRANSLATE(C1233, ""en"", ""te""),"""")"),"")</f>
        <v/>
      </c>
      <c r="E1233" s="2"/>
      <c r="F1233" s="2" t="str">
        <f>IFERROR(__xludf.DUMMYFUNCTION("IF(E1233&lt;&gt;"""", GOOGLETRANSLATE(E1233, ""en"", ""te""),"""")"),"")</f>
        <v/>
      </c>
      <c r="G1233" s="2"/>
      <c r="H1233" s="2" t="str">
        <f>IFERROR(__xludf.DUMMYFUNCTION("IF(G1233&lt;&gt;"""", GOOGLETRANSLATE(G1233, ""en"", ""te""),"""")"),"")</f>
        <v/>
      </c>
      <c r="I1233" s="3"/>
    </row>
    <row r="1234" customHeight="1" spans="1:9">
      <c r="A1234" s="2"/>
      <c r="B1234" s="2" t="str">
        <f>IFERROR(__xludf.DUMMYFUNCTION("IF(A1234&lt;&gt;"""", GOOGLETRANSLATE(A1234, ""en"", ""te""),"""")"),"")</f>
        <v/>
      </c>
      <c r="C1234" s="2"/>
      <c r="D1234" s="2" t="str">
        <f>IFERROR(__xludf.DUMMYFUNCTION("IF(C1234&lt;&gt;"""", GOOGLETRANSLATE(C1234, ""en"", ""te""),"""")"),"")</f>
        <v/>
      </c>
      <c r="E1234" s="2"/>
      <c r="F1234" s="2" t="str">
        <f>IFERROR(__xludf.DUMMYFUNCTION("IF(E1234&lt;&gt;"""", GOOGLETRANSLATE(E1234, ""en"", ""te""),"""")"),"")</f>
        <v/>
      </c>
      <c r="G1234" s="2"/>
      <c r="H1234" s="2" t="str">
        <f>IFERROR(__xludf.DUMMYFUNCTION("IF(G1234&lt;&gt;"""", GOOGLETRANSLATE(G1234, ""en"", ""te""),"""")"),"")</f>
        <v/>
      </c>
      <c r="I1234" s="3"/>
    </row>
    <row r="1235" customHeight="1" spans="1:9">
      <c r="A1235" s="2"/>
      <c r="B1235" s="2" t="str">
        <f>IFERROR(__xludf.DUMMYFUNCTION("IF(A1235&lt;&gt;"""", GOOGLETRANSLATE(A1235, ""en"", ""te""),"""")"),"")</f>
        <v/>
      </c>
      <c r="C1235" s="2"/>
      <c r="D1235" s="2" t="str">
        <f>IFERROR(__xludf.DUMMYFUNCTION("IF(C1235&lt;&gt;"""", GOOGLETRANSLATE(C1235, ""en"", ""te""),"""")"),"")</f>
        <v/>
      </c>
      <c r="E1235" s="2"/>
      <c r="F1235" s="2" t="str">
        <f>IFERROR(__xludf.DUMMYFUNCTION("IF(E1235&lt;&gt;"""", GOOGLETRANSLATE(E1235, ""en"", ""te""),"""")"),"")</f>
        <v/>
      </c>
      <c r="G1235" s="2"/>
      <c r="H1235" s="2" t="str">
        <f>IFERROR(__xludf.DUMMYFUNCTION("IF(G1235&lt;&gt;"""", GOOGLETRANSLATE(G1235, ""en"", ""te""),"""")"),"")</f>
        <v/>
      </c>
      <c r="I1235" s="3"/>
    </row>
    <row r="1236" customHeight="1" spans="1:9">
      <c r="A1236" s="2"/>
      <c r="B1236" s="2" t="str">
        <f>IFERROR(__xludf.DUMMYFUNCTION("IF(A1236&lt;&gt;"""", GOOGLETRANSLATE(A1236, ""en"", ""te""),"""")"),"")</f>
        <v/>
      </c>
      <c r="C1236" s="2" t="s">
        <v>816</v>
      </c>
      <c r="D1236" s="2" t="str">
        <f>IFERROR(__xludf.DUMMYFUNCTION("IF(C1236&lt;&gt;"""", GOOGLETRANSLATE(C1236, ""en"", ""te""),"""")"),"[ '11 వ షార్టేస్ట్ నివసించారు క్రీడాకారులు (26y 165d)']")</f>
        <v>[ '11 వ షార్టేస్ట్ నివసించారు క్రీడాకారులు (26y 165d)']</v>
      </c>
      <c r="E1236" s="2"/>
      <c r="F1236" s="2" t="str">
        <f>IFERROR(__xludf.DUMMYFUNCTION("IF(E1236&lt;&gt;"""", GOOGLETRANSLATE(E1236, ""en"", ""te""),"""")"),"")</f>
        <v/>
      </c>
      <c r="G1236" s="2"/>
      <c r="H1236" s="2" t="str">
        <f>IFERROR(__xludf.DUMMYFUNCTION("IF(G1236&lt;&gt;"""", GOOGLETRANSLATE(G1236, ""en"", ""te""),"""")"),"")</f>
        <v/>
      </c>
      <c r="I1236" s="3"/>
    </row>
    <row r="1237" customHeight="1" spans="1:9">
      <c r="A1237" s="2"/>
      <c r="B1237" s="2" t="str">
        <f>IFERROR(__xludf.DUMMYFUNCTION("IF(A1237&lt;&gt;"""", GOOGLETRANSLATE(A1237, ""en"", ""te""),"""")"),"")</f>
        <v/>
      </c>
      <c r="C1237" s="2"/>
      <c r="D1237" s="2" t="str">
        <f>IFERROR(__xludf.DUMMYFUNCTION("IF(C1237&lt;&gt;"""", GOOGLETRANSLATE(C1237, ""en"", ""te""),"""")"),"")</f>
        <v/>
      </c>
      <c r="E1237" s="2"/>
      <c r="F1237" s="2" t="str">
        <f>IFERROR(__xludf.DUMMYFUNCTION("IF(E1237&lt;&gt;"""", GOOGLETRANSLATE(E1237, ""en"", ""te""),"""")"),"")</f>
        <v/>
      </c>
      <c r="G1237" s="2"/>
      <c r="H1237" s="2" t="str">
        <f>IFERROR(__xludf.DUMMYFUNCTION("IF(G1237&lt;&gt;"""", GOOGLETRANSLATE(G1237, ""en"", ""te""),"""")"),"")</f>
        <v/>
      </c>
      <c r="I1237" s="3"/>
    </row>
    <row r="1238" customHeight="1" spans="1:9">
      <c r="A1238" s="2"/>
      <c r="B1238" s="2" t="str">
        <f>IFERROR(__xludf.DUMMYFUNCTION("IF(A1238&lt;&gt;"""", GOOGLETRANSLATE(A1238, ""en"", ""te""),"""")"),"")</f>
        <v/>
      </c>
      <c r="C1238" s="2"/>
      <c r="D1238" s="2" t="str">
        <f>IFERROR(__xludf.DUMMYFUNCTION("IF(C1238&lt;&gt;"""", GOOGLETRANSLATE(C1238, ""en"", ""te""),"""")"),"")</f>
        <v/>
      </c>
      <c r="E1238" s="2"/>
      <c r="F1238" s="2" t="str">
        <f>IFERROR(__xludf.DUMMYFUNCTION("IF(E1238&lt;&gt;"""", GOOGLETRANSLATE(E1238, ""en"", ""te""),"""")"),"")</f>
        <v/>
      </c>
      <c r="G1238" s="2"/>
      <c r="H1238" s="2" t="str">
        <f>IFERROR(__xludf.DUMMYFUNCTION("IF(G1238&lt;&gt;"""", GOOGLETRANSLATE(G1238, ""en"", ""te""),"""")"),"")</f>
        <v/>
      </c>
      <c r="I1238" s="3"/>
    </row>
    <row r="1239" customHeight="1" spans="1:9">
      <c r="A1239" s="2"/>
      <c r="B1239" s="2" t="str">
        <f>IFERROR(__xludf.DUMMYFUNCTION("IF(A1239&lt;&gt;"""", GOOGLETRANSLATE(A1239, ""en"", ""te""),"""")"),"")</f>
        <v/>
      </c>
      <c r="C1239" s="2"/>
      <c r="D1239" s="2" t="str">
        <f>IFERROR(__xludf.DUMMYFUNCTION("IF(C1239&lt;&gt;"""", GOOGLETRANSLATE(C1239, ""en"", ""te""),"""")"),"")</f>
        <v/>
      </c>
      <c r="E1239" s="2"/>
      <c r="F1239" s="2" t="str">
        <f>IFERROR(__xludf.DUMMYFUNCTION("IF(E1239&lt;&gt;"""", GOOGLETRANSLATE(E1239, ""en"", ""te""),"""")"),"")</f>
        <v/>
      </c>
      <c r="G1239" s="2"/>
      <c r="H1239" s="2" t="str">
        <f>IFERROR(__xludf.DUMMYFUNCTION("IF(G1239&lt;&gt;"""", GOOGLETRANSLATE(G1239, ""en"", ""te""),"""")"),"")</f>
        <v/>
      </c>
      <c r="I1239" s="3"/>
    </row>
    <row r="1240" customHeight="1" spans="1:9">
      <c r="A1240" s="2" t="s">
        <v>352</v>
      </c>
      <c r="B1240" s="2" t="str">
        <f>IFERROR(__xludf.DUMMYFUNCTION("IF(A1240&lt;&gt;"""", GOOGLETRANSLATE(A1240, ""en"", ""te""),"""")"),"[ 'బ్యాటింగ్ ప్రారంభించుటకు మరియు అదే మ్యాచ్ లో బౌలింగ్']")</f>
        <v>[ 'బ్యాటింగ్ ప్రారంభించుటకు మరియు అదే మ్యాచ్ లో బౌలింగ్']</v>
      </c>
      <c r="C1240" s="2"/>
      <c r="D1240" s="2" t="str">
        <f>IFERROR(__xludf.DUMMYFUNCTION("IF(C1240&lt;&gt;"""", GOOGLETRANSLATE(C1240, ""en"", ""te""),"""")"),"")</f>
        <v/>
      </c>
      <c r="E1240" s="2"/>
      <c r="F1240" s="2" t="str">
        <f>IFERROR(__xludf.DUMMYFUNCTION("IF(E1240&lt;&gt;"""", GOOGLETRANSLATE(E1240, ""en"", ""te""),"""")"),"")</f>
        <v/>
      </c>
      <c r="G1240" s="2"/>
      <c r="H1240" s="2" t="str">
        <f>IFERROR(__xludf.DUMMYFUNCTION("IF(G1240&lt;&gt;"""", GOOGLETRANSLATE(G1240, ""en"", ""te""),"""")"),"")</f>
        <v/>
      </c>
      <c r="I1240" s="3"/>
    </row>
    <row r="1241" customHeight="1" spans="1:9">
      <c r="A1241" s="2"/>
      <c r="B1241" s="2" t="str">
        <f>IFERROR(__xludf.DUMMYFUNCTION("IF(A1241&lt;&gt;"""", GOOGLETRANSLATE(A1241, ""en"", ""te""),"""")"),"")</f>
        <v/>
      </c>
      <c r="C1241" s="2"/>
      <c r="D1241" s="2" t="str">
        <f>IFERROR(__xludf.DUMMYFUNCTION("IF(C1241&lt;&gt;"""", GOOGLETRANSLATE(C1241, ""en"", ""te""),"""")"),"")</f>
        <v/>
      </c>
      <c r="E1241" s="2"/>
      <c r="F1241" s="2" t="str">
        <f>IFERROR(__xludf.DUMMYFUNCTION("IF(E1241&lt;&gt;"""", GOOGLETRANSLATE(E1241, ""en"", ""te""),"""")"),"")</f>
        <v/>
      </c>
      <c r="G1241" s="2"/>
      <c r="H1241" s="2" t="str">
        <f>IFERROR(__xludf.DUMMYFUNCTION("IF(G1241&lt;&gt;"""", GOOGLETRANSLATE(G1241, ""en"", ""te""),"""")"),"")</f>
        <v/>
      </c>
      <c r="I1241" s="3"/>
    </row>
    <row r="1242" customHeight="1" spans="1:9">
      <c r="A1242" s="2"/>
      <c r="B1242" s="2" t="str">
        <f>IFERROR(__xludf.DUMMYFUNCTION("IF(A1242&lt;&gt;"""", GOOGLETRANSLATE(A1242, ""en"", ""te""),"""")"),"")</f>
        <v/>
      </c>
      <c r="C1242" s="2"/>
      <c r="D1242" s="2" t="str">
        <f>IFERROR(__xludf.DUMMYFUNCTION("IF(C1242&lt;&gt;"""", GOOGLETRANSLATE(C1242, ""en"", ""te""),"""")"),"")</f>
        <v/>
      </c>
      <c r="E1242" s="2"/>
      <c r="F1242" s="2" t="str">
        <f>IFERROR(__xludf.DUMMYFUNCTION("IF(E1242&lt;&gt;"""", GOOGLETRANSLATE(E1242, ""en"", ""te""),"""")"),"")</f>
        <v/>
      </c>
      <c r="G1242" s="2"/>
      <c r="H1242" s="2" t="str">
        <f>IFERROR(__xludf.DUMMYFUNCTION("IF(G1242&lt;&gt;"""", GOOGLETRANSLATE(G1242, ""en"", ""te""),"""")"),"")</f>
        <v/>
      </c>
      <c r="I1242" s="3"/>
    </row>
    <row r="1243" customHeight="1" spans="1:9">
      <c r="A1243" s="2"/>
      <c r="B1243" s="2" t="str">
        <f>IFERROR(__xludf.DUMMYFUNCTION("IF(A1243&lt;&gt;"""", GOOGLETRANSLATE(A1243, ""en"", ""te""),"""")"),"")</f>
        <v/>
      </c>
      <c r="C1243" s="2"/>
      <c r="D1243" s="2" t="str">
        <f>IFERROR(__xludf.DUMMYFUNCTION("IF(C1243&lt;&gt;"""", GOOGLETRANSLATE(C1243, ""en"", ""te""),"""")"),"")</f>
        <v/>
      </c>
      <c r="E1243" s="2"/>
      <c r="F1243" s="2" t="str">
        <f>IFERROR(__xludf.DUMMYFUNCTION("IF(E1243&lt;&gt;"""", GOOGLETRANSLATE(E1243, ""en"", ""te""),"""")"),"")</f>
        <v/>
      </c>
      <c r="G1243" s="2"/>
      <c r="H1243" s="2" t="str">
        <f>IFERROR(__xludf.DUMMYFUNCTION("IF(G1243&lt;&gt;"""", GOOGLETRANSLATE(G1243, ""en"", ""te""),"""")"),"")</f>
        <v/>
      </c>
      <c r="I1243" s="3"/>
    </row>
    <row r="1244" customHeight="1" spans="1:9">
      <c r="A1244" s="2"/>
      <c r="B1244" s="2" t="str">
        <f>IFERROR(__xludf.DUMMYFUNCTION("IF(A1244&lt;&gt;"""", GOOGLETRANSLATE(A1244, ""en"", ""te""),"""")"),"")</f>
        <v/>
      </c>
      <c r="C1244" s="2"/>
      <c r="D1244" s="2" t="str">
        <f>IFERROR(__xludf.DUMMYFUNCTION("IF(C1244&lt;&gt;"""", GOOGLETRANSLATE(C1244, ""en"", ""te""),"""")"),"")</f>
        <v/>
      </c>
      <c r="E1244" s="2"/>
      <c r="F1244" s="2" t="str">
        <f>IFERROR(__xludf.DUMMYFUNCTION("IF(E1244&lt;&gt;"""", GOOGLETRANSLATE(E1244, ""en"", ""te""),"""")"),"")</f>
        <v/>
      </c>
      <c r="G1244" s="2"/>
      <c r="H1244" s="2" t="str">
        <f>IFERROR(__xludf.DUMMYFUNCTION("IF(G1244&lt;&gt;"""", GOOGLETRANSLATE(G1244, ""en"", ""te""),"""")"),"")</f>
        <v/>
      </c>
      <c r="I1244" s="3"/>
    </row>
    <row r="1245" customHeight="1" spans="1:9">
      <c r="A1245" s="2"/>
      <c r="B1245" s="2" t="str">
        <f>IFERROR(__xludf.DUMMYFUNCTION("IF(A1245&lt;&gt;"""", GOOGLETRANSLATE(A1245, ""en"", ""te""),"""")"),"")</f>
        <v/>
      </c>
      <c r="C1245" s="2"/>
      <c r="D1245" s="2" t="str">
        <f>IFERROR(__xludf.DUMMYFUNCTION("IF(C1245&lt;&gt;"""", GOOGLETRANSLATE(C1245, ""en"", ""te""),"""")"),"")</f>
        <v/>
      </c>
      <c r="E1245" s="2"/>
      <c r="F1245" s="2" t="str">
        <f>IFERROR(__xludf.DUMMYFUNCTION("IF(E1245&lt;&gt;"""", GOOGLETRANSLATE(E1245, ""en"", ""te""),"""")"),"")</f>
        <v/>
      </c>
      <c r="G1245" s="2"/>
      <c r="H1245" s="2" t="str">
        <f>IFERROR(__xludf.DUMMYFUNCTION("IF(G1245&lt;&gt;"""", GOOGLETRANSLATE(G1245, ""en"", ""te""),"""")"),"")</f>
        <v/>
      </c>
      <c r="I1245" s="3"/>
    </row>
    <row r="1246" customHeight="1" spans="1:9">
      <c r="A1246" s="2"/>
      <c r="B1246" s="2" t="str">
        <f>IFERROR(__xludf.DUMMYFUNCTION("IF(A1246&lt;&gt;"""", GOOGLETRANSLATE(A1246, ""en"", ""te""),"""")"),"")</f>
        <v/>
      </c>
      <c r="C1246" s="2"/>
      <c r="D1246" s="2" t="str">
        <f>IFERROR(__xludf.DUMMYFUNCTION("IF(C1246&lt;&gt;"""", GOOGLETRANSLATE(C1246, ""en"", ""te""),"""")"),"")</f>
        <v/>
      </c>
      <c r="E1246" s="2"/>
      <c r="F1246" s="2" t="str">
        <f>IFERROR(__xludf.DUMMYFUNCTION("IF(E1246&lt;&gt;"""", GOOGLETRANSLATE(E1246, ""en"", ""te""),"""")"),"")</f>
        <v/>
      </c>
      <c r="G1246" s="2"/>
      <c r="H1246" s="2" t="str">
        <f>IFERROR(__xludf.DUMMYFUNCTION("IF(G1246&lt;&gt;"""", GOOGLETRANSLATE(G1246, ""en"", ""te""),"""")"),"")</f>
        <v/>
      </c>
      <c r="I1246" s="3"/>
    </row>
    <row r="1247" customHeight="1" spans="1:9">
      <c r="A1247" s="2"/>
      <c r="B1247" s="2" t="str">
        <f>IFERROR(__xludf.DUMMYFUNCTION("IF(A1247&lt;&gt;"""", GOOGLETRANSLATE(A1247, ""en"", ""te""),"""")"),"")</f>
        <v/>
      </c>
      <c r="C1247" s="2" t="s">
        <v>817</v>
      </c>
      <c r="D1247" s="2" t="str">
        <f>IFERROR(__xludf.DUMMYFUNCTION("IF(C1247&lt;&gt;"""", GOOGLETRANSLATE(C1247, ""en"", ""te""),"""")"),"[ '16 వ చెత్త ఇన్నింగ్స్ లో సమ్మె రేటు (390.0)', '12 వ ఇన్నింగ్స్ లో బౌల్డ్ చాలా బంతుల్లో (480)', '32 వ బౌలర్ / బ్యాటర్ కలయికలు (11)']")</f>
        <v>[ '16 వ చెత్త ఇన్నింగ్స్ లో సమ్మె రేటు (390.0)', '12 వ ఇన్నింగ్స్ లో బౌల్డ్ చాలా బంతుల్లో (480)', '32 వ బౌలర్ / బ్యాటర్ కలయికలు (11)']</v>
      </c>
      <c r="E1247" s="2"/>
      <c r="F1247" s="2" t="str">
        <f>IFERROR(__xludf.DUMMYFUNCTION("IF(E1247&lt;&gt;"""", GOOGLETRANSLATE(E1247, ""en"", ""te""),"""")"),"")</f>
        <v/>
      </c>
      <c r="G1247" s="2"/>
      <c r="H1247" s="2" t="str">
        <f>IFERROR(__xludf.DUMMYFUNCTION("IF(G1247&lt;&gt;"""", GOOGLETRANSLATE(G1247, ""en"", ""te""),"""")"),"")</f>
        <v/>
      </c>
      <c r="I1247" s="3"/>
    </row>
    <row r="1248" customHeight="1" spans="1:9">
      <c r="A1248" s="2"/>
      <c r="B1248" s="2" t="str">
        <f>IFERROR(__xludf.DUMMYFUNCTION("IF(A1248&lt;&gt;"""", GOOGLETRANSLATE(A1248, ""en"", ""te""),"""")"),"")</f>
        <v/>
      </c>
      <c r="C1248" s="2"/>
      <c r="D1248" s="2" t="str">
        <f>IFERROR(__xludf.DUMMYFUNCTION("IF(C1248&lt;&gt;"""", GOOGLETRANSLATE(C1248, ""en"", ""te""),"""")"),"")</f>
        <v/>
      </c>
      <c r="E1248" s="2"/>
      <c r="F1248" s="2" t="str">
        <f>IFERROR(__xludf.DUMMYFUNCTION("IF(E1248&lt;&gt;"""", GOOGLETRANSLATE(E1248, ""en"", ""te""),"""")"),"")</f>
        <v/>
      </c>
      <c r="G1248" s="2"/>
      <c r="H1248" s="2" t="str">
        <f>IFERROR(__xludf.DUMMYFUNCTION("IF(G1248&lt;&gt;"""", GOOGLETRANSLATE(G1248, ""en"", ""te""),"""")"),"")</f>
        <v/>
      </c>
      <c r="I1248" s="3"/>
    </row>
    <row r="1249" customHeight="1" spans="1:9">
      <c r="A1249" s="2"/>
      <c r="B1249" s="2" t="str">
        <f>IFERROR(__xludf.DUMMYFUNCTION("IF(A1249&lt;&gt;"""", GOOGLETRANSLATE(A1249, ""en"", ""te""),"""")"),"")</f>
        <v/>
      </c>
      <c r="C1249" s="2"/>
      <c r="D1249" s="2" t="str">
        <f>IFERROR(__xludf.DUMMYFUNCTION("IF(C1249&lt;&gt;"""", GOOGLETRANSLATE(C1249, ""en"", ""te""),"""")"),"")</f>
        <v/>
      </c>
      <c r="E1249" s="2"/>
      <c r="F1249" s="2" t="str">
        <f>IFERROR(__xludf.DUMMYFUNCTION("IF(E1249&lt;&gt;"""", GOOGLETRANSLATE(E1249, ""en"", ""te""),"""")"),"")</f>
        <v/>
      </c>
      <c r="G1249" s="2"/>
      <c r="H1249" s="2" t="str">
        <f>IFERROR(__xludf.DUMMYFUNCTION("IF(G1249&lt;&gt;"""", GOOGLETRANSLATE(G1249, ""en"", ""te""),"""")"),"")</f>
        <v/>
      </c>
      <c r="I1249" s="3"/>
    </row>
    <row r="1250" customHeight="1" spans="1:9">
      <c r="A1250" s="2"/>
      <c r="B1250" s="2" t="str">
        <f>IFERROR(__xludf.DUMMYFUNCTION("IF(A1250&lt;&gt;"""", GOOGLETRANSLATE(A1250, ""en"", ""te""),"""")"),"")</f>
        <v/>
      </c>
      <c r="C1250" s="2"/>
      <c r="D1250" s="2" t="str">
        <f>IFERROR(__xludf.DUMMYFUNCTION("IF(C1250&lt;&gt;"""", GOOGLETRANSLATE(C1250, ""en"", ""te""),"""")"),"")</f>
        <v/>
      </c>
      <c r="E1250" s="2"/>
      <c r="F1250" s="2" t="str">
        <f>IFERROR(__xludf.DUMMYFUNCTION("IF(E1250&lt;&gt;"""", GOOGLETRANSLATE(E1250, ""en"", ""te""),"""")"),"")</f>
        <v/>
      </c>
      <c r="G1250" s="2"/>
      <c r="H1250" s="2" t="str">
        <f>IFERROR(__xludf.DUMMYFUNCTION("IF(G1250&lt;&gt;"""", GOOGLETRANSLATE(G1250, ""en"", ""te""),"""")"),"")</f>
        <v/>
      </c>
      <c r="I1250" s="3"/>
    </row>
    <row r="1251" customHeight="1" spans="1:9">
      <c r="A1251" s="2" t="s">
        <v>818</v>
      </c>
      <c r="B1251" s="2" t="str">
        <f>IFERROR(__xludf.DUMMYFUNCTION("IF(A1251&lt;&gt;"""", GOOGLETRANSLATE(A1251, ""en"", ""te""),"""")"),"[ 'తొలి 10 వ ఓల్డెస్ట్ క్రీడాకారులు (42y 110d)', 'కెప్టెన్సీ తొలి 5 వ ఓల్డెస్ట్ కాప్టెన్ (42y 110d)']")</f>
        <v>[ 'తొలి 10 వ ఓల్డెస్ట్ క్రీడాకారులు (42y 110d)', 'కెప్టెన్సీ తొలి 5 వ ఓల్డెస్ట్ కాప్టెన్ (42y 110d)']</v>
      </c>
      <c r="C1251" s="2"/>
      <c r="D1251" s="2" t="str">
        <f>IFERROR(__xludf.DUMMYFUNCTION("IF(C1251&lt;&gt;"""", GOOGLETRANSLATE(C1251, ""en"", ""te""),"""")"),"")</f>
        <v/>
      </c>
      <c r="E1251" s="2" t="s">
        <v>819</v>
      </c>
      <c r="F1251" s="2" t="str">
        <f>IFERROR(__xludf.DUMMYFUNCTION("IF(E1251&lt;&gt;"""", GOOGLETRANSLATE(E1251, ""en"", ""te""),"""")"),"[ 'తొలి 10 వ ఓల్డెస్ట్ క్రీడాకారులు (42y 110d)', '17 వ ఓల్డెస్ట్ క్రీడాకారులు (42y 114d)', కెప్టెన్సీ న '27 లాంగెస్ట్ క్రీడాకారులు నివసించారు (66y 5D)', '6 వ ఓల్డెస్ట్ కాప్టెన్ (42y 114d)', '5 వ ఓల్డెస్ట్ కెప్టెన్లు ప్రవేశం (42y 110d) ']")</f>
        <v>[ 'తొలి 10 వ ఓల్డెస్ట్ క్రీడాకారులు (42y 110d)', '17 వ ఓల్డెస్ట్ క్రీడాకారులు (42y 114d)', కెప్టెన్సీ న '27 లాంగెస్ట్ క్రీడాకారులు నివసించారు (66y 5D)', '6 వ ఓల్డెస్ట్ కాప్టెన్ (42y 114d)', '5 వ ఓల్డెస్ట్ కెప్టెన్లు ప్రవేశం (42y 110d) ']</v>
      </c>
      <c r="G1251" s="2"/>
      <c r="H1251" s="2" t="str">
        <f>IFERROR(__xludf.DUMMYFUNCTION("IF(G1251&lt;&gt;"""", GOOGLETRANSLATE(G1251, ""en"", ""te""),"""")"),"")</f>
        <v/>
      </c>
      <c r="I1251" s="3"/>
    </row>
    <row r="1252" customHeight="1" spans="1:9">
      <c r="A1252" s="2" t="s">
        <v>820</v>
      </c>
      <c r="B1252" s="2" t="str">
        <f>IFERROR(__xludf.DUMMYFUNCTION("IF(A1252&lt;&gt;"""", GOOGLETRANSLATE(A1252, ""en"", ""te""),"""")"),"[ 'ఇన్నింగ్స్ లో 1 వ అత్యధిక క్యాచ్లు (5)', '5000 పరుగులు మరియు 50 ఫీల్డింగ్ వికెట్లు']")</f>
        <v>[ 'ఇన్నింగ్స్ లో 1 వ అత్యధిక క్యాచ్లు (5)', '5000 పరుగులు మరియు 50 ఫీల్డింగ్ వికెట్లు']</v>
      </c>
      <c r="C1252" s="2" t="s">
        <v>62</v>
      </c>
      <c r="D1252" s="2" t="str">
        <f>IFERROR(__xludf.DUMMYFUNCTION("IF(C1252&lt;&gt;"""", GOOGLETRANSLATE(C1252, ""en"", ""te""),"""")"),"[ '36 వ ఇన్నింగ్స్ లో వచ్చిన ఎక్కువ సిక్స్ (6)']")</f>
        <v>[ '36 వ ఇన్నింగ్స్ లో వచ్చిన ఎక్కువ సిక్స్ (6)']</v>
      </c>
      <c r="E1252" s="2" t="s">
        <v>821</v>
      </c>
      <c r="F1252" s="2" t="str">
        <f>IFERROR(__xludf.DUMMYFUNCTION("IF(E1252&lt;&gt;"""", GOOGLETRANSLATE(E1252, ""en"", ""te""),"""")"),"[ 'వరుస ఇన్నింగ్స్లో 11 వ యాభైల్లో (5)', '27 వ అత్యధిక క్యాచ్లు కెరీర్లో (105)', '1 వ ఇన్నింగ్స్ లో అత్యధిక క్యాచ్లు (5)' 'వరుస 12 వ అత్యధిక క్యాచ్లు (9)', '46 వ అత్యంత కెరీర్ (245) మ్యాచ్ల్లో ']")</f>
        <v>[ 'వరుస ఇన్నింగ్స్లో 11 వ యాభైల్లో (5)', '27 వ అత్యధిక క్యాచ్లు కెరీర్లో (105)', '1 వ ఇన్నింగ్స్ లో అత్యధిక క్యాచ్లు (5)' 'వరుస 12 వ అత్యధిక క్యాచ్లు (9)', '46 వ అత్యంత కెరీర్ (245) మ్యాచ్ల్లో ']</v>
      </c>
      <c r="G1252" s="2"/>
      <c r="H1252" s="2" t="str">
        <f>IFERROR(__xludf.DUMMYFUNCTION("IF(G1252&lt;&gt;"""", GOOGLETRANSLATE(G1252, ""en"", ""te""),"""")"),"")</f>
        <v/>
      </c>
      <c r="I1252" s="3"/>
    </row>
    <row r="1253" customHeight="1" spans="1:9">
      <c r="A1253" s="2" t="s">
        <v>822</v>
      </c>
      <c r="B1253" s="2" t="str">
        <f>IFERROR(__xludf.DUMMYFUNCTION("IF(A1253&lt;&gt;"""", GOOGLETRANSLATE(A1253, ""en"", ""te""),"""")"),"[ 'ఇన్నింగ్స్ (4) 2 వ అత్యధిక క్యాచ్లు', '(122) 8 వ హండ్రెడ్ గత మ్యాచ్లో' 'తొలి మ్యాచ్ (78) 9 వ అత్యధిక పరుగులు']")</f>
        <v>[ 'ఇన్నింగ్స్ (4) 2 వ అత్యధిక క్యాచ్లు', '(122) 8 వ హండ్రెడ్ గత మ్యాచ్లో' 'తొలి మ్యాచ్ (78) 9 వ అత్యధిక పరుగులు']</v>
      </c>
      <c r="C1253" s="2"/>
      <c r="D1253" s="2" t="str">
        <f>IFERROR(__xludf.DUMMYFUNCTION("IF(C1253&lt;&gt;"""", GOOGLETRANSLATE(C1253, ""en"", ""te""),"""")"),"")</f>
        <v/>
      </c>
      <c r="E1253" s="2" t="s">
        <v>823</v>
      </c>
      <c r="F1253" s="2" t="str">
        <f>IFERROR(__xludf.DUMMYFUNCTION("IF(E1253&lt;&gt;"""", GOOGLETRANSLATE(E1253, ""en"", ""te""),"""")"),"[ 'గత మ్యాచ్లో 8 వ హండ్రెడ్ (122)', '44 వ ఇన్నింగ్స్ లో వచ్చిన ఎక్కువ సిక్స్ (8)', 'ఇన్నింగ్స్ లో 2 వ అత్యధిక క్యాచ్లు (4)', '12 వ ఒక సిరీస్లో అత్యధిక క్యాచ్లు (9)', '29th నాలుగో వికెట్కు అత్యధిక భాగస్వామ్యం (178) ']")</f>
        <v>[ 'గత మ్యాచ్లో 8 వ హండ్రెడ్ (122)', '44 వ ఇన్నింగ్స్ లో వచ్చిన ఎక్కువ సిక్స్ (8)', 'ఇన్నింగ్స్ లో 2 వ అత్యధిక క్యాచ్లు (4)', '12 వ ఒక సిరీస్లో అత్యధిక క్యాచ్లు (9)', '29th నాలుగో వికెట్కు అత్యధిక భాగస్వామ్యం (178) ']</v>
      </c>
      <c r="G1253" s="2" t="s">
        <v>824</v>
      </c>
      <c r="H1253" s="2" t="str">
        <f>IFERROR(__xludf.DUMMYFUNCTION("IF(G1253&lt;&gt;"""", GOOGLETRANSLATE(G1253, ""en"", ""te""),"""")"),"[ '9 వ అత్యంత తొలి మ్యాచ్ (78) లో నడుస్తుంది' 'ఇన్నింగ్స్ లో 15 వ అత్యధిక క్యాచ్లు (3)']")</f>
        <v>[ '9 వ అత్యంత తొలి మ్యాచ్ (78) లో నడుస్తుంది' 'ఇన్నింగ్స్ లో 15 వ అత్యధిక క్యాచ్లు (3)']</v>
      </c>
      <c r="I1253" s="3"/>
    </row>
    <row r="1254" customHeight="1" spans="1:9">
      <c r="A1254" s="2"/>
      <c r="B1254" s="2" t="str">
        <f>IFERROR(__xludf.DUMMYFUNCTION("IF(A1254&lt;&gt;"""", GOOGLETRANSLATE(A1254, ""en"", ""te""),"""")"),"")</f>
        <v/>
      </c>
      <c r="C1254" s="2"/>
      <c r="D1254" s="2" t="str">
        <f>IFERROR(__xludf.DUMMYFUNCTION("IF(C1254&lt;&gt;"""", GOOGLETRANSLATE(C1254, ""en"", ""te""),"""")"),"")</f>
        <v/>
      </c>
      <c r="E1254" s="2"/>
      <c r="F1254" s="2" t="str">
        <f>IFERROR(__xludf.DUMMYFUNCTION("IF(E1254&lt;&gt;"""", GOOGLETRANSLATE(E1254, ""en"", ""te""),"""")"),"")</f>
        <v/>
      </c>
      <c r="G1254" s="2"/>
      <c r="H1254" s="2" t="str">
        <f>IFERROR(__xludf.DUMMYFUNCTION("IF(G1254&lt;&gt;"""", GOOGLETRANSLATE(G1254, ""en"", ""te""),"""")"),"")</f>
        <v/>
      </c>
      <c r="I1254" s="3"/>
    </row>
    <row r="1255" customHeight="1" spans="1:9">
      <c r="A1255" s="2"/>
      <c r="B1255" s="2" t="str">
        <f>IFERROR(__xludf.DUMMYFUNCTION("IF(A1255&lt;&gt;"""", GOOGLETRANSLATE(A1255, ""en"", ""te""),"""")"),"")</f>
        <v/>
      </c>
      <c r="C1255" s="2"/>
      <c r="D1255" s="2" t="str">
        <f>IFERROR(__xludf.DUMMYFUNCTION("IF(C1255&lt;&gt;"""", GOOGLETRANSLATE(C1255, ""en"", ""te""),"""")"),"")</f>
        <v/>
      </c>
      <c r="E1255" s="2" t="s">
        <v>549</v>
      </c>
      <c r="F1255" s="2" t="str">
        <f>IFERROR(__xludf.DUMMYFUNCTION("IF(E1255&lt;&gt;"""", GOOGLETRANSLATE(E1255, ""en"", ""te""),"""")"),"[ 'తొలి ఇన్నింగ్స్ 15 వ బెస్ట్ ఫిగర్స్ (4)']")</f>
        <v>[ 'తొలి ఇన్నింగ్స్ 15 వ బెస్ట్ ఫిగర్స్ (4)']</v>
      </c>
      <c r="G1255" s="2"/>
      <c r="H1255" s="2" t="str">
        <f>IFERROR(__xludf.DUMMYFUNCTION("IF(G1255&lt;&gt;"""", GOOGLETRANSLATE(G1255, ""en"", ""te""),"""")"),"")</f>
        <v/>
      </c>
      <c r="I1255" s="3"/>
    </row>
    <row r="1256" customHeight="1" spans="1:9">
      <c r="A1256" s="2"/>
      <c r="B1256" s="2" t="str">
        <f>IFERROR(__xludf.DUMMYFUNCTION("IF(A1256&lt;&gt;"""", GOOGLETRANSLATE(A1256, ""en"", ""te""),"""")"),"")</f>
        <v/>
      </c>
      <c r="C1256" s="2"/>
      <c r="D1256" s="2" t="str">
        <f>IFERROR(__xludf.DUMMYFUNCTION("IF(C1256&lt;&gt;"""", GOOGLETRANSLATE(C1256, ""en"", ""te""),"""")"),"")</f>
        <v/>
      </c>
      <c r="E1256" s="2"/>
      <c r="F1256" s="2" t="str">
        <f>IFERROR(__xludf.DUMMYFUNCTION("IF(E1256&lt;&gt;"""", GOOGLETRANSLATE(E1256, ""en"", ""te""),"""")"),"")</f>
        <v/>
      </c>
      <c r="G1256" s="2"/>
      <c r="H1256" s="2" t="str">
        <f>IFERROR(__xludf.DUMMYFUNCTION("IF(G1256&lt;&gt;"""", GOOGLETRANSLATE(G1256, ""en"", ""te""),"""")"),"")</f>
        <v/>
      </c>
      <c r="I1256" s="3"/>
    </row>
    <row r="1257" customHeight="1" spans="1:9">
      <c r="A1257" s="2"/>
      <c r="B1257" s="2" t="str">
        <f>IFERROR(__xludf.DUMMYFUNCTION("IF(A1257&lt;&gt;"""", GOOGLETRANSLATE(A1257, ""en"", ""te""),"""")"),"")</f>
        <v/>
      </c>
      <c r="C1257" s="2"/>
      <c r="D1257" s="2" t="str">
        <f>IFERROR(__xludf.DUMMYFUNCTION("IF(C1257&lt;&gt;"""", GOOGLETRANSLATE(C1257, ""en"", ""te""),"""")"),"")</f>
        <v/>
      </c>
      <c r="E1257" s="2"/>
      <c r="F1257" s="2" t="str">
        <f>IFERROR(__xludf.DUMMYFUNCTION("IF(E1257&lt;&gt;"""", GOOGLETRANSLATE(E1257, ""en"", ""te""),"""")"),"")</f>
        <v/>
      </c>
      <c r="G1257" s="2"/>
      <c r="H1257" s="2" t="str">
        <f>IFERROR(__xludf.DUMMYFUNCTION("IF(G1257&lt;&gt;"""", GOOGLETRANSLATE(G1257, ""en"", ""te""),"""")"),"")</f>
        <v/>
      </c>
      <c r="I1257" s="3"/>
    </row>
    <row r="1258" customHeight="1" spans="1:9">
      <c r="A1258" s="2"/>
      <c r="B1258" s="2" t="str">
        <f>IFERROR(__xludf.DUMMYFUNCTION("IF(A1258&lt;&gt;"""", GOOGLETRANSLATE(A1258, ""en"", ""te""),"""")"),"")</f>
        <v/>
      </c>
      <c r="C1258" s="2"/>
      <c r="D1258" s="2" t="str">
        <f>IFERROR(__xludf.DUMMYFUNCTION("IF(C1258&lt;&gt;"""", GOOGLETRANSLATE(C1258, ""en"", ""te""),"""")"),"")</f>
        <v/>
      </c>
      <c r="E1258" s="2"/>
      <c r="F1258" s="2" t="str">
        <f>IFERROR(__xludf.DUMMYFUNCTION("IF(E1258&lt;&gt;"""", GOOGLETRANSLATE(E1258, ""en"", ""te""),"""")"),"")</f>
        <v/>
      </c>
      <c r="G1258" s="2"/>
      <c r="H1258" s="2" t="str">
        <f>IFERROR(__xludf.DUMMYFUNCTION("IF(G1258&lt;&gt;"""", GOOGLETRANSLATE(G1258, ""en"", ""te""),"""")"),"")</f>
        <v/>
      </c>
      <c r="I1258" s="3"/>
    </row>
    <row r="1259" customHeight="1" spans="1:9">
      <c r="A1259" s="2"/>
      <c r="B1259" s="2" t="str">
        <f>IFERROR(__xludf.DUMMYFUNCTION("IF(A1259&lt;&gt;"""", GOOGLETRANSLATE(A1259, ""en"", ""te""),"""")"),"")</f>
        <v/>
      </c>
      <c r="C1259" s="2"/>
      <c r="D1259" s="2" t="str">
        <f>IFERROR(__xludf.DUMMYFUNCTION("IF(C1259&lt;&gt;"""", GOOGLETRANSLATE(C1259, ""en"", ""te""),"""")"),"")</f>
        <v/>
      </c>
      <c r="E1259" s="2"/>
      <c r="F1259" s="2" t="str">
        <f>IFERROR(__xludf.DUMMYFUNCTION("IF(E1259&lt;&gt;"""", GOOGLETRANSLATE(E1259, ""en"", ""te""),"""")"),"")</f>
        <v/>
      </c>
      <c r="G1259" s="2"/>
      <c r="H1259" s="2" t="str">
        <f>IFERROR(__xludf.DUMMYFUNCTION("IF(G1259&lt;&gt;"""", GOOGLETRANSLATE(G1259, ""en"", ""te""),"""")"),"")</f>
        <v/>
      </c>
      <c r="I1259" s="3"/>
    </row>
    <row r="1260" customHeight="1" spans="1:9">
      <c r="A1260" s="2" t="s">
        <v>825</v>
      </c>
      <c r="B1260" s="2" t="str">
        <f>IFERROR(__xludf.DUMMYFUNCTION("IF(A1260&lt;&gt;"""", GOOGLETRANSLATE(A1260, ""en"", ""te""),"""")"),"[ '5 వ ఉత్తమ కెరీర్ సమ్మె రేటు (41.7)', 'వేగంగా 150 వికెట్లు పడగొట్టిన 10 వ (31)', '8 వ అత్యుత్తమ బౌలింగ్ ఇన్నింగ్స్ లో విశ్లేషించడం (6/16)', '1st అరంగేట్రంలోనే ఇన్నింగ్స్ లోని బెస్ట్ ఫిగర్స్ (6) ']")</f>
        <v>[ '5 వ ఉత్తమ కెరీర్ సమ్మె రేటు (41.7)', 'వేగంగా 150 వికెట్లు పడగొట్టిన 10 వ (31)', '8 వ అత్యుత్తమ బౌలింగ్ ఇన్నింగ్స్ లో విశ్లేషించడం (6/16)', '1st అరంగేట్రంలోనే ఇన్నింగ్స్ లోని బెస్ట్ ఫిగర్స్ (6) ']</v>
      </c>
      <c r="C1260" s="2" t="s">
        <v>826</v>
      </c>
      <c r="D1260" s="2" t="str">
        <f>IFERROR(__xludf.DUMMYFUNCTION("IF(C1260&lt;&gt;"""", GOOGLETRANSLATE(C1260, ""en"", ""te""),"""")"),"[ '25 వ మ్యాచ్ లో బెస్ట్ ఫిగర్స్ (13)', '5 వ ఉత్తమ కెరీర్ సమ్మె రేటు (41.7)', '19 వ అత్యంత పది వికెట్లు లో ఒక మ్యాచ్ ఒక కెరీర్ (4)', '13 వ పిన్న ఆటగాడు తీసుకోవాలని పది వికెట్లు లో ఒక మ్యాచ్ (20y 242d) ',' 26th బౌలర్ / ఫీల్డర్ కలయికలు (50) ',' 43 వ అత్యధిక"&amp;" వికెట్లు సాధించిన వికెట్కీపర్గా (53) ',' ఫాస్టెస్ట్ 100 వికెట్లు 27 వ (22) 'పట్టుకుంటే తీసుకున్న '150 వికెట్లు వేగంగా 10 వ (31)', '13 వ 200 వికెట్లు వేగంగా (44)']")</f>
        <v>[ '25 వ మ్యాచ్ లో బెస్ట్ ఫిగర్స్ (13)', '5 వ ఉత్తమ కెరీర్ సమ్మె రేటు (41.7)', '19 వ అత్యంత పది వికెట్లు లో ఒక మ్యాచ్ ఒక కెరీర్ (4)', '13 వ పిన్న ఆటగాడు తీసుకోవాలని పది వికెట్లు లో ఒక మ్యాచ్ (20y 242d) ',' 26th బౌలర్ / ఫీల్డర్ కలయికలు (50) ',' 43 వ అత్యధిక వికెట్లు సాధించిన వికెట్కీపర్గా (53) ',' ఫాస్టెస్ట్ 100 వికెట్లు 27 వ (22) 'పట్టుకుంటే తీసుకున్న '150 వికెట్లు వేగంగా 10 వ (31)', '13 వ 200 వికెట్లు వేగంగా (44)']</v>
      </c>
      <c r="E1260" s="2" t="s">
        <v>827</v>
      </c>
      <c r="F1260" s="2" t="str">
        <f>IFERROR(__xludf.DUMMYFUNCTION("IF(E1260&lt;&gt;"""", GOOGLETRANSLATE(E1260, ""en"", ""te""),"""")"),"[ 'ఇన్నింగ్స్ లో 8 వ అత్యుత్తమ బౌలింగ్ విశ్లేషణలు (6/16)' '20 వ ఉత్తమ ఇన్నింగ్స్ లో సంఖ్యలు (6/16)', '15 వ పిన్న ఆటగాడు తీసుకోవాలని' 1st తొలి (6) ఒక ఇన్నింగ్స్ లోని బెస్ట్ ఫిగర్స్ ' ఐదు వికెట్లు-ఇన్-ఒక-ఇన్నింగ్స్ (20y 46d) ',' 45 వ 50 వికెట్లు వేగంగా (31)"&amp;" ',' 100 వికెట్లు (64) '] వేగంగా 26")</f>
        <v>[ 'ఇన్నింగ్స్ లో 8 వ అత్యుత్తమ బౌలింగ్ విశ్లేషణలు (6/16)' '20 వ ఉత్తమ ఇన్నింగ్స్ లో సంఖ్యలు (6/16)', '15 వ పిన్న ఆటగాడు తీసుకోవాలని' 1st తొలి (6) ఒక ఇన్నింగ్స్ లోని బెస్ట్ ఫిగర్స్ ' ఐదు వికెట్లు-ఇన్-ఒక-ఇన్నింగ్స్ (20y 46d) ',' 45 వ 50 వికెట్లు వేగంగా (31) ',' 100 వికెట్లు (64) '] వేగంగా 26</v>
      </c>
      <c r="G1260" s="2" t="s">
        <v>828</v>
      </c>
      <c r="H1260" s="2" t="str">
        <f>IFERROR(__xludf.DUMMYFUNCTION("IF(G1260&lt;&gt;"""", GOOGLETRANSLATE(G1260, ""en"", ""te""),"""")"),"[ '15 వ చెత్త కెరీర్లో ఆర్థిక రేటు (8.51)', '38 వ అత్యధిక వికెట్లు తీసుకున్న బౌల్డ్ (11)']")</f>
        <v>[ '15 వ చెత్త కెరీర్లో ఆర్థిక రేటు (8.51)', '38 వ అత్యధిక వికెట్లు తీసుకున్న బౌల్డ్ (11)']</v>
      </c>
      <c r="I1260" s="3"/>
    </row>
    <row r="1261" customHeight="1" spans="1:9">
      <c r="A1261" s="2"/>
      <c r="B1261" s="2" t="str">
        <f>IFERROR(__xludf.DUMMYFUNCTION("IF(A1261&lt;&gt;"""", GOOGLETRANSLATE(A1261, ""en"", ""te""),"""")"),"")</f>
        <v/>
      </c>
      <c r="C1261" s="2"/>
      <c r="D1261" s="2" t="str">
        <f>IFERROR(__xludf.DUMMYFUNCTION("IF(C1261&lt;&gt;"""", GOOGLETRANSLATE(C1261, ""en"", ""te""),"""")"),"")</f>
        <v/>
      </c>
      <c r="E1261" s="2"/>
      <c r="F1261" s="2" t="str">
        <f>IFERROR(__xludf.DUMMYFUNCTION("IF(E1261&lt;&gt;"""", GOOGLETRANSLATE(E1261, ""en"", ""te""),"""")"),"")</f>
        <v/>
      </c>
      <c r="G1261" s="2"/>
      <c r="H1261" s="2" t="str">
        <f>IFERROR(__xludf.DUMMYFUNCTION("IF(G1261&lt;&gt;"""", GOOGLETRANSLATE(G1261, ""en"", ""te""),"""")"),"")</f>
        <v/>
      </c>
      <c r="I1261" s="3"/>
    </row>
    <row r="1262" customHeight="1" spans="1:9">
      <c r="A1262" s="2"/>
      <c r="B1262" s="2" t="str">
        <f>IFERROR(__xludf.DUMMYFUNCTION("IF(A1262&lt;&gt;"""", GOOGLETRANSLATE(A1262, ""en"", ""te""),"""")"),"")</f>
        <v/>
      </c>
      <c r="C1262" s="2"/>
      <c r="D1262" s="2" t="str">
        <f>IFERROR(__xludf.DUMMYFUNCTION("IF(C1262&lt;&gt;"""", GOOGLETRANSLATE(C1262, ""en"", ""te""),"""")"),"")</f>
        <v/>
      </c>
      <c r="E1262" s="2"/>
      <c r="F1262" s="2" t="str">
        <f>IFERROR(__xludf.DUMMYFUNCTION("IF(E1262&lt;&gt;"""", GOOGLETRANSLATE(E1262, ""en"", ""te""),"""")"),"")</f>
        <v/>
      </c>
      <c r="G1262" s="2"/>
      <c r="H1262" s="2" t="str">
        <f>IFERROR(__xludf.DUMMYFUNCTION("IF(G1262&lt;&gt;"""", GOOGLETRANSLATE(G1262, ""en"", ""te""),"""")"),"")</f>
        <v/>
      </c>
      <c r="I1262" s="3"/>
    </row>
    <row r="1263" customHeight="1" spans="1:9">
      <c r="A1263" s="2"/>
      <c r="B1263" s="2" t="str">
        <f>IFERROR(__xludf.DUMMYFUNCTION("IF(A1263&lt;&gt;"""", GOOGLETRANSLATE(A1263, ""en"", ""te""),"""")"),"")</f>
        <v/>
      </c>
      <c r="C1263" s="2"/>
      <c r="D1263" s="2" t="str">
        <f>IFERROR(__xludf.DUMMYFUNCTION("IF(C1263&lt;&gt;"""", GOOGLETRANSLATE(C1263, ""en"", ""te""),"""")"),"")</f>
        <v/>
      </c>
      <c r="E1263" s="2"/>
      <c r="F1263" s="2" t="str">
        <f>IFERROR(__xludf.DUMMYFUNCTION("IF(E1263&lt;&gt;"""", GOOGLETRANSLATE(E1263, ""en"", ""te""),"""")"),"")</f>
        <v/>
      </c>
      <c r="G1263" s="2"/>
      <c r="H1263" s="2" t="str">
        <f>IFERROR(__xludf.DUMMYFUNCTION("IF(G1263&lt;&gt;"""", GOOGLETRANSLATE(G1263, ""en"", ""te""),"""")"),"")</f>
        <v/>
      </c>
      <c r="I1263" s="3"/>
    </row>
    <row r="1264" customHeight="1" spans="1:9">
      <c r="A1264" s="2" t="s">
        <v>829</v>
      </c>
      <c r="B1264" s="2" t="str">
        <f>IFERROR(__xludf.DUMMYFUNCTION("IF(A1264&lt;&gt;"""", GOOGLETRANSLATE(A1264, ""en"", ""te""),"""")"),"[ '5 వ అత్యంత వృద్ధ ఆటగాడు తొలి వంద (39y 160d) స్కోర్', 'బ్యాటింగ్ తెరవడం మరియు అదే మ్యాచ్ లో బౌలింగ్']")</f>
        <v>[ '5 వ అత్యంత వృద్ధ ఆటగాడు తొలి వంద (39y 160d) స్కోర్', 'బ్యాటింగ్ తెరవడం మరియు అదే మ్యాచ్ లో బౌలింగ్']</v>
      </c>
      <c r="C1264" s="2" t="s">
        <v>830</v>
      </c>
      <c r="D1264" s="2" t="str">
        <f>IFERROR(__xludf.DUMMYFUNCTION("IF(C1264&lt;&gt;"""", GOOGLETRANSLATE(C1264, ""en"", ""te""),"""")"),"[ప్రదర్శనల మధ్య (9y 277d), '48 వ ఓల్డెస్ట్ క్రీడాకారులు (42y 29d)', '33 వ లాంగెస్ట్ వ్యవధిలో' కన్య వందల (39y 160d) స్కోర్ 5 వ అత్యంత వృద్ధ ఆటగాడు '' 7th అత్యంత వృద్ధ ఆటగాడు వంద (42y 6d) స్కోర్ ', ']")</f>
        <v>[ప్రదర్శనల మధ్య (9y 277d), '48 వ ఓల్డెస్ట్ క్రీడాకారులు (42y 29d)', '33 వ లాంగెస్ట్ వ్యవధిలో' కన్య వందల (39y 160d) స్కోర్ 5 వ అత్యంత వృద్ధ ఆటగాడు '' 7th అత్యంత వృద్ధ ఆటగాడు వంద (42y 6d) స్కోర్ ', ']</v>
      </c>
      <c r="E1264" s="2"/>
      <c r="F1264" s="2" t="str">
        <f>IFERROR(__xludf.DUMMYFUNCTION("IF(E1264&lt;&gt;"""", GOOGLETRANSLATE(E1264, ""en"", ""te""),"""")"),"")</f>
        <v/>
      </c>
      <c r="G1264" s="2"/>
      <c r="H1264" s="2" t="str">
        <f>IFERROR(__xludf.DUMMYFUNCTION("IF(G1264&lt;&gt;"""", GOOGLETRANSLATE(G1264, ""en"", ""te""),"""")"),"")</f>
        <v/>
      </c>
      <c r="I1264" s="3"/>
    </row>
    <row r="1265" customHeight="1" spans="1:9">
      <c r="A1265" s="2"/>
      <c r="B1265" s="2" t="str">
        <f>IFERROR(__xludf.DUMMYFUNCTION("IF(A1265&lt;&gt;"""", GOOGLETRANSLATE(A1265, ""en"", ""te""),"""")"),"")</f>
        <v/>
      </c>
      <c r="C1265" s="2"/>
      <c r="D1265" s="2" t="str">
        <f>IFERROR(__xludf.DUMMYFUNCTION("IF(C1265&lt;&gt;"""", GOOGLETRANSLATE(C1265, ""en"", ""te""),"""")"),"")</f>
        <v/>
      </c>
      <c r="E1265" s="2"/>
      <c r="F1265" s="2" t="str">
        <f>IFERROR(__xludf.DUMMYFUNCTION("IF(E1265&lt;&gt;"""", GOOGLETRANSLATE(E1265, ""en"", ""te""),"""")"),"")</f>
        <v/>
      </c>
      <c r="G1265" s="2"/>
      <c r="H1265" s="2" t="str">
        <f>IFERROR(__xludf.DUMMYFUNCTION("IF(G1265&lt;&gt;"""", GOOGLETRANSLATE(G1265, ""en"", ""te""),"""")"),"")</f>
        <v/>
      </c>
      <c r="I1265" s="3"/>
    </row>
    <row r="1266" customHeight="1" spans="1:9">
      <c r="A1266" s="2"/>
      <c r="B1266" s="2" t="str">
        <f>IFERROR(__xludf.DUMMYFUNCTION("IF(A1266&lt;&gt;"""", GOOGLETRANSLATE(A1266, ""en"", ""te""),"""")"),"")</f>
        <v/>
      </c>
      <c r="C1266" s="2"/>
      <c r="D1266" s="2" t="str">
        <f>IFERROR(__xludf.DUMMYFUNCTION("IF(C1266&lt;&gt;"""", GOOGLETRANSLATE(C1266, ""en"", ""te""),"""")"),"")</f>
        <v/>
      </c>
      <c r="E1266" s="2"/>
      <c r="F1266" s="2" t="str">
        <f>IFERROR(__xludf.DUMMYFUNCTION("IF(E1266&lt;&gt;"""", GOOGLETRANSLATE(E1266, ""en"", ""te""),"""")"),"")</f>
        <v/>
      </c>
      <c r="G1266" s="2"/>
      <c r="H1266" s="2" t="str">
        <f>IFERROR(__xludf.DUMMYFUNCTION("IF(G1266&lt;&gt;"""", GOOGLETRANSLATE(G1266, ""en"", ""te""),"""")"),"")</f>
        <v/>
      </c>
      <c r="I1266" s="3"/>
    </row>
    <row r="1267" customHeight="1" spans="1:9">
      <c r="A1267" s="2"/>
      <c r="B1267" s="2" t="str">
        <f>IFERROR(__xludf.DUMMYFUNCTION("IF(A1267&lt;&gt;"""", GOOGLETRANSLATE(A1267, ""en"", ""te""),"""")"),"")</f>
        <v/>
      </c>
      <c r="C1267" s="2"/>
      <c r="D1267" s="2" t="str">
        <f>IFERROR(__xludf.DUMMYFUNCTION("IF(C1267&lt;&gt;"""", GOOGLETRANSLATE(C1267, ""en"", ""te""),"""")"),"")</f>
        <v/>
      </c>
      <c r="E1267" s="2"/>
      <c r="F1267" s="2" t="str">
        <f>IFERROR(__xludf.DUMMYFUNCTION("IF(E1267&lt;&gt;"""", GOOGLETRANSLATE(E1267, ""en"", ""te""),"""")"),"")</f>
        <v/>
      </c>
      <c r="G1267" s="2"/>
      <c r="H1267" s="2" t="str">
        <f>IFERROR(__xludf.DUMMYFUNCTION("IF(G1267&lt;&gt;"""", GOOGLETRANSLATE(G1267, ""en"", ""te""),"""")"),"")</f>
        <v/>
      </c>
      <c r="I1267" s="3"/>
    </row>
    <row r="1268" customHeight="1" spans="1:9">
      <c r="A1268" s="2"/>
      <c r="B1268" s="2" t="str">
        <f>IFERROR(__xludf.DUMMYFUNCTION("IF(A1268&lt;&gt;"""", GOOGLETRANSLATE(A1268, ""en"", ""te""),"""")"),"")</f>
        <v/>
      </c>
      <c r="C1268" s="2" t="s">
        <v>831</v>
      </c>
      <c r="D1268" s="2" t="str">
        <f>IFERROR(__xludf.DUMMYFUNCTION("IF(C1268&lt;&gt;"""", GOOGLETRANSLATE(C1268, ""en"", ""te""),"""")"),"[ 'తొలి 21 వ ఓల్డెస్ట్ క్రీడాకారులు (34y 277d)']")</f>
        <v>[ 'తొలి 21 వ ఓల్డెస్ట్ క్రీడాకారులు (34y 277d)']</v>
      </c>
      <c r="E1268" s="2" t="s">
        <v>832</v>
      </c>
      <c r="F1268" s="2" t="str">
        <f>IFERROR(__xludf.DUMMYFUNCTION("IF(E1268&lt;&gt;"""", GOOGLETRANSLATE(E1268, ""en"", ""te""),"""")"),"[ 'తొలి ఇన్నింగ్స్ 15 వ బెస్ట్ ఫిగర్స్ (3)']")</f>
        <v>[ 'తొలి ఇన్నింగ్స్ 15 వ బెస్ట్ ఫిగర్స్ (3)']</v>
      </c>
      <c r="G1268" s="2"/>
      <c r="H1268" s="2" t="str">
        <f>IFERROR(__xludf.DUMMYFUNCTION("IF(G1268&lt;&gt;"""", GOOGLETRANSLATE(G1268, ""en"", ""te""),"""")"),"")</f>
        <v/>
      </c>
      <c r="I1268" s="3"/>
    </row>
    <row r="1269" customHeight="1" spans="1:9">
      <c r="A1269" s="2"/>
      <c r="B1269" s="2" t="str">
        <f>IFERROR(__xludf.DUMMYFUNCTION("IF(A1269&lt;&gt;"""", GOOGLETRANSLATE(A1269, ""en"", ""te""),"""")"),"")</f>
        <v/>
      </c>
      <c r="C1269" s="2"/>
      <c r="D1269" s="2" t="str">
        <f>IFERROR(__xludf.DUMMYFUNCTION("IF(C1269&lt;&gt;"""", GOOGLETRANSLATE(C1269, ""en"", ""te""),"""")"),"")</f>
        <v/>
      </c>
      <c r="E1269" s="2"/>
      <c r="F1269" s="2" t="str">
        <f>IFERROR(__xludf.DUMMYFUNCTION("IF(E1269&lt;&gt;"""", GOOGLETRANSLATE(E1269, ""en"", ""te""),"""")"),"")</f>
        <v/>
      </c>
      <c r="G1269" s="2"/>
      <c r="H1269" s="2" t="str">
        <f>IFERROR(__xludf.DUMMYFUNCTION("IF(G1269&lt;&gt;"""", GOOGLETRANSLATE(G1269, ""en"", ""te""),"""")"),"")</f>
        <v/>
      </c>
      <c r="I1269" s="3"/>
    </row>
    <row r="1270" customHeight="1" spans="1:9">
      <c r="A1270" s="2"/>
      <c r="B1270" s="2" t="str">
        <f>IFERROR(__xludf.DUMMYFUNCTION("IF(A1270&lt;&gt;"""", GOOGLETRANSLATE(A1270, ""en"", ""te""),"""")"),"")</f>
        <v/>
      </c>
      <c r="C1270" s="2"/>
      <c r="D1270" s="2" t="str">
        <f>IFERROR(__xludf.DUMMYFUNCTION("IF(C1270&lt;&gt;"""", GOOGLETRANSLATE(C1270, ""en"", ""te""),"""")"),"")</f>
        <v/>
      </c>
      <c r="E1270" s="2"/>
      <c r="F1270" s="2" t="str">
        <f>IFERROR(__xludf.DUMMYFUNCTION("IF(E1270&lt;&gt;"""", GOOGLETRANSLATE(E1270, ""en"", ""te""),"""")"),"")</f>
        <v/>
      </c>
      <c r="G1270" s="2"/>
      <c r="H1270" s="2" t="str">
        <f>IFERROR(__xludf.DUMMYFUNCTION("IF(G1270&lt;&gt;"""", GOOGLETRANSLATE(G1270, ""en"", ""te""),"""")"),"")</f>
        <v/>
      </c>
      <c r="I1270" s="3"/>
    </row>
    <row r="1271" customHeight="1" spans="1:9">
      <c r="A1271" s="2" t="s">
        <v>833</v>
      </c>
      <c r="B1271" s="2" t="str">
        <f>IFERROR(__xludf.DUMMYFUNCTION("IF(A1271&lt;&gt;"""", GOOGLETRANSLATE(A1271, ""en"", ""te""),"""")"),"[ 'హండ్రెడ్ తొలి (222 *)', '10 వ పిన్న ఆటగాడు డబుల్ సెంచరీ స్కోర్ (21y 355d)', 'హండ్రెడ్ మరియు ఒక మ్యాచ్లో ఒక డక్', 'మూడో వికెట్ (429 *) 4 వ అత్యధిక భాగస్వామ్యం', '5 వ కెరీర్ (39) వెనుదిరిగాడు']")</f>
        <v>[ 'హండ్రెడ్ తొలి (222 *)', '10 వ పిన్న ఆటగాడు డబుల్ సెంచరీ స్కోర్ (21y 355d)', 'హండ్రెడ్ మరియు ఒక మ్యాచ్లో ఒక డక్', 'మూడో వికెట్ (429 *) 4 వ అత్యధిక భాగస్వామ్యం', '5 వ కెరీర్ (39) వెనుదిరిగాడు']</v>
      </c>
      <c r="C1271" s="2" t="s">
        <v>834</v>
      </c>
      <c r="D1271" s="2" t="str">
        <f>IFERROR(__xludf.DUMMYFUNCTION("IF(C1271&lt;&gt;"""", GOOGLETRANSLATE(C1271, ""en"", ""te""),"""")"),"[ 'తొలి మ్యాచ్లో 5 వ అత్యధిక పరుగులు (222)', '15 వ అత్యధిక తొలి వంద (222 *)', ఏ వికెట్కు (429 *) కోసం '10 వ పిన్న ఆటగాడు డబుల్ సెంచరీ (21y 355d) స్కోర్', '10 వ అత్యధిక భాగస్వామ్యాలు ',' మూడో వికెట్కు 4 వ అత్యధిక భాగస్వామ్యం (429 *) ']")</f>
        <v>[ 'తొలి మ్యాచ్లో 5 వ అత్యధిక పరుగులు (222)', '15 వ అత్యధిక తొలి వంద (222 *)', ఏ వికెట్కు (429 *) కోసం '10 వ పిన్న ఆటగాడు డబుల్ సెంచరీ (21y 355d) స్కోర్', '10 వ అత్యధిక భాగస్వామ్యాలు ',' మూడో వికెట్కు 4 వ అత్యధిక భాగస్వామ్యం (429 *) ']</v>
      </c>
      <c r="E1271" s="2" t="s">
        <v>835</v>
      </c>
      <c r="F1271" s="2" t="str">
        <f>IFERROR(__xludf.DUMMYFUNCTION("IF(E1271&lt;&gt;"""", GOOGLETRANSLATE(E1271, ""en"", ""te""),"""")"),"[ '5 వ కెరీర్ (39) వెనుదిరిగాడు']")</f>
        <v>[ '5 వ కెరీర్ (39) వెనుదిరిగాడు']</v>
      </c>
      <c r="G1271" s="2"/>
      <c r="H1271" s="2" t="str">
        <f>IFERROR(__xludf.DUMMYFUNCTION("IF(G1271&lt;&gt;"""", GOOGLETRANSLATE(G1271, ""en"", ""te""),"""")"),"")</f>
        <v/>
      </c>
      <c r="I1271" s="3"/>
    </row>
    <row r="1272" customHeight="1" spans="1:9">
      <c r="A1272" s="2"/>
      <c r="B1272" s="2" t="str">
        <f>IFERROR(__xludf.DUMMYFUNCTION("IF(A1272&lt;&gt;"""", GOOGLETRANSLATE(A1272, ""en"", ""te""),"""")"),"")</f>
        <v/>
      </c>
      <c r="C1272" s="2"/>
      <c r="D1272" s="2" t="str">
        <f>IFERROR(__xludf.DUMMYFUNCTION("IF(C1272&lt;&gt;"""", GOOGLETRANSLATE(C1272, ""en"", ""te""),"""")"),"")</f>
        <v/>
      </c>
      <c r="E1272" s="2"/>
      <c r="F1272" s="2" t="str">
        <f>IFERROR(__xludf.DUMMYFUNCTION("IF(E1272&lt;&gt;"""", GOOGLETRANSLATE(E1272, ""en"", ""te""),"""")"),"")</f>
        <v/>
      </c>
      <c r="G1272" s="2"/>
      <c r="H1272" s="2" t="str">
        <f>IFERROR(__xludf.DUMMYFUNCTION("IF(G1272&lt;&gt;"""", GOOGLETRANSLATE(G1272, ""en"", ""te""),"""")"),"")</f>
        <v/>
      </c>
      <c r="I1272" s="3"/>
    </row>
    <row r="1273" customHeight="1" spans="1:9">
      <c r="A1273" s="2"/>
      <c r="B1273" s="2" t="str">
        <f>IFERROR(__xludf.DUMMYFUNCTION("IF(A1273&lt;&gt;"""", GOOGLETRANSLATE(A1273, ""en"", ""te""),"""")"),"")</f>
        <v/>
      </c>
      <c r="C1273" s="2"/>
      <c r="D1273" s="2" t="str">
        <f>IFERROR(__xludf.DUMMYFUNCTION("IF(C1273&lt;&gt;"""", GOOGLETRANSLATE(C1273, ""en"", ""te""),"""")"),"")</f>
        <v/>
      </c>
      <c r="E1273" s="2"/>
      <c r="F1273" s="2" t="str">
        <f>IFERROR(__xludf.DUMMYFUNCTION("IF(E1273&lt;&gt;"""", GOOGLETRANSLATE(E1273, ""en"", ""te""),"""")"),"")</f>
        <v/>
      </c>
      <c r="G1273" s="2"/>
      <c r="H1273" s="2" t="str">
        <f>IFERROR(__xludf.DUMMYFUNCTION("IF(G1273&lt;&gt;"""", GOOGLETRANSLATE(G1273, ""en"", ""te""),"""")"),"")</f>
        <v/>
      </c>
      <c r="I1273" s="3"/>
    </row>
    <row r="1274" customHeight="1" spans="1:9">
      <c r="A1274" s="2"/>
      <c r="B1274" s="2" t="str">
        <f>IFERROR(__xludf.DUMMYFUNCTION("IF(A1274&lt;&gt;"""", GOOGLETRANSLATE(A1274, ""en"", ""te""),"""")"),"")</f>
        <v/>
      </c>
      <c r="C1274" s="2"/>
      <c r="D1274" s="2" t="str">
        <f>IFERROR(__xludf.DUMMYFUNCTION("IF(C1274&lt;&gt;"""", GOOGLETRANSLATE(C1274, ""en"", ""te""),"""")"),"")</f>
        <v/>
      </c>
      <c r="E1274" s="2"/>
      <c r="F1274" s="2" t="str">
        <f>IFERROR(__xludf.DUMMYFUNCTION("IF(E1274&lt;&gt;"""", GOOGLETRANSLATE(E1274, ""en"", ""te""),"""")"),"")</f>
        <v/>
      </c>
      <c r="G1274" s="2"/>
      <c r="H1274" s="2" t="str">
        <f>IFERROR(__xludf.DUMMYFUNCTION("IF(G1274&lt;&gt;"""", GOOGLETRANSLATE(G1274, ""en"", ""te""),"""")"),"")</f>
        <v/>
      </c>
      <c r="I1274" s="3"/>
    </row>
    <row r="1275" customHeight="1" spans="1:9">
      <c r="A1275" s="2" t="s">
        <v>182</v>
      </c>
      <c r="B1275" s="2" t="str">
        <f>IFERROR(__xludf.DUMMYFUNCTION("IF(A1275&lt;&gt;"""", GOOGLETRANSLATE(A1275, ""en"", ""te""),"""")"),"[ 'ఒక మ్యాచ్ (9) 8 వ ఎక్కువ సార్లు అవుట్' 'ఒక మ్యాచ్ (9) 8 వ అత్యధిక క్యాచ్లు']")</f>
        <v>[ 'ఒక మ్యాచ్ (9) 8 వ ఎక్కువ సార్లు అవుట్' 'ఒక మ్యాచ్ (9) 8 వ అత్యధిక క్యాచ్లు']</v>
      </c>
      <c r="C1275" s="2" t="s">
        <v>836</v>
      </c>
      <c r="D1275" s="2" t="str">
        <f>IFERROR(__xludf.DUMMYFUNCTION("IF(C1275&lt;&gt;"""", GOOGLETRANSLATE(C1275, ""en"", ""te""),"""")"),"[ '24 వ అత్యంత వృద్ధ ఆటగాడు తొలి వంద (35y 108d) స్కోర్' 'మొదటి డక్ ముందు అత్యంత ఇన్నింగ్స్ 48 వ (30)', '30 వ అత్యధిక వికెట్లు కెరీర్లో (152)', '8 వ మ్యాచ్ లో అత్యధిక వికెట్లు (9)' '27 కెరీర్లో అత్యధిక క్యాచ్లు (150)', '8 వ ఒక మ్యాచ్లో అత్యధిక క్యాచ్లు (9)"&amp;"']")</f>
        <v>[ '24 వ అత్యంత వృద్ధ ఆటగాడు తొలి వంద (35y 108d) స్కోర్' 'మొదటి డక్ ముందు అత్యంత ఇన్నింగ్స్ 48 వ (30)', '30 వ అత్యధిక వికెట్లు కెరీర్లో (152)', '8 వ మ్యాచ్ లో అత్యధిక వికెట్లు (9)' '27 కెరీర్లో అత్యధిక క్యాచ్లు (150)', '8 వ ఒక మ్యాచ్లో అత్యధిక క్యాచ్లు (9)']</v>
      </c>
      <c r="E1275" s="2" t="s">
        <v>837</v>
      </c>
      <c r="F1275" s="2" t="str">
        <f>IFERROR(__xludf.DUMMYFUNCTION("IF(E1275&lt;&gt;"""", GOOGLETRANSLATE(E1275, ""en"", ""te""),"""")"),"[ 'ఇన్నింగ్స్ లో 16 వ అత్యధిక వికెట్లు (5)' 'వరుస 25 వ అత్యధిక వికెట్లు (16)' '21 వ అత్యధిక ఎనిమిదవ వికెట్కు భాగస్వామ్యం (88)', '18 వ కెరీర్ లో అత్యధిక వికెట్లు (165)', ' కెరీర్లో 17 వ అత్యధిక క్యాచ్లు (148) ',' 11 వ అత్యంత వరుస ఇన్నింగ్స్ (5) ',' 31 అత్య"&amp;"ధిక క్యాచ్లు లో క్యాచ్లు (14) ',' కెరీర్ లో 24 వ (17) అత్యంత స్టంపింగ్లు ']")</f>
        <v>[ 'ఇన్నింగ్స్ లో 16 వ అత్యధిక వికెట్లు (5)' 'వరుస 25 వ అత్యధిక వికెట్లు (16)' '21 వ అత్యధిక ఎనిమిదవ వికెట్కు భాగస్వామ్యం (88)', '18 వ కెరీర్ లో అత్యధిక వికెట్లు (165)', ' కెరీర్లో 17 వ అత్యధిక క్యాచ్లు (148) ',' 11 వ అత్యంత వరుస ఇన్నింగ్స్ (5) ',' 31 అత్యధిక క్యాచ్లు లో క్యాచ్లు (14) ',' కెరీర్ లో 24 వ (17) అత్యంత స్టంపింగ్లు ']</v>
      </c>
      <c r="G1275" s="2"/>
      <c r="H1275" s="2" t="str">
        <f>IFERROR(__xludf.DUMMYFUNCTION("IF(G1275&lt;&gt;"""", GOOGLETRANSLATE(G1275, ""en"", ""te""),"""")"),"")</f>
        <v/>
      </c>
      <c r="I1275" s="3"/>
    </row>
    <row r="1276" customHeight="1" spans="1:9">
      <c r="A1276" s="2"/>
      <c r="B1276" s="2" t="str">
        <f>IFERROR(__xludf.DUMMYFUNCTION("IF(A1276&lt;&gt;"""", GOOGLETRANSLATE(A1276, ""en"", ""te""),"""")"),"")</f>
        <v/>
      </c>
      <c r="C1276" s="2"/>
      <c r="D1276" s="2" t="str">
        <f>IFERROR(__xludf.DUMMYFUNCTION("IF(C1276&lt;&gt;"""", GOOGLETRANSLATE(C1276, ""en"", ""te""),"""")"),"")</f>
        <v/>
      </c>
      <c r="E1276" s="2"/>
      <c r="F1276" s="2" t="str">
        <f>IFERROR(__xludf.DUMMYFUNCTION("IF(E1276&lt;&gt;"""", GOOGLETRANSLATE(E1276, ""en"", ""te""),"""")"),"")</f>
        <v/>
      </c>
      <c r="G1276" s="2"/>
      <c r="H1276" s="2" t="str">
        <f>IFERROR(__xludf.DUMMYFUNCTION("IF(G1276&lt;&gt;"""", GOOGLETRANSLATE(G1276, ""en"", ""te""),"""")"),"")</f>
        <v/>
      </c>
      <c r="I1276" s="3"/>
    </row>
    <row r="1277" customHeight="1" spans="1:9">
      <c r="A1277" s="2"/>
      <c r="B1277" s="2" t="str">
        <f>IFERROR(__xludf.DUMMYFUNCTION("IF(A1277&lt;&gt;"""", GOOGLETRANSLATE(A1277, ""en"", ""te""),"""")"),"")</f>
        <v/>
      </c>
      <c r="C1277" s="2" t="s">
        <v>838</v>
      </c>
      <c r="D1277" s="2" t="str">
        <f>IFERROR(__xludf.DUMMYFUNCTION("IF(C1277&lt;&gt;"""", GOOGLETRANSLATE(C1277, ""en"", ""te""),"""")"),"['21 వ హండ్రెడ్ గత మ్యాచ్లో (126) ']")</f>
        <v>['21 వ హండ్రెడ్ గత మ్యాచ్లో (126) ']</v>
      </c>
      <c r="E1277" s="2"/>
      <c r="F1277" s="2" t="str">
        <f>IFERROR(__xludf.DUMMYFUNCTION("IF(E1277&lt;&gt;"""", GOOGLETRANSLATE(E1277, ""en"", ""te""),"""")"),"")</f>
        <v/>
      </c>
      <c r="G1277" s="2"/>
      <c r="H1277" s="2" t="str">
        <f>IFERROR(__xludf.DUMMYFUNCTION("IF(G1277&lt;&gt;"""", GOOGLETRANSLATE(G1277, ""en"", ""te""),"""")"),"")</f>
        <v/>
      </c>
      <c r="I1277" s="3"/>
    </row>
    <row r="1278" customHeight="1" spans="1:9">
      <c r="A1278" s="2"/>
      <c r="B1278" s="2" t="str">
        <f>IFERROR(__xludf.DUMMYFUNCTION("IF(A1278&lt;&gt;"""", GOOGLETRANSLATE(A1278, ""en"", ""te""),"""")"),"")</f>
        <v/>
      </c>
      <c r="C1278" s="2"/>
      <c r="D1278" s="2" t="str">
        <f>IFERROR(__xludf.DUMMYFUNCTION("IF(C1278&lt;&gt;"""", GOOGLETRANSLATE(C1278, ""en"", ""te""),"""")"),"")</f>
        <v/>
      </c>
      <c r="E1278" s="2"/>
      <c r="F1278" s="2" t="str">
        <f>IFERROR(__xludf.DUMMYFUNCTION("IF(E1278&lt;&gt;"""", GOOGLETRANSLATE(E1278, ""en"", ""te""),"""")"),"")</f>
        <v/>
      </c>
      <c r="G1278" s="2"/>
      <c r="H1278" s="2" t="str">
        <f>IFERROR(__xludf.DUMMYFUNCTION("IF(G1278&lt;&gt;"""", GOOGLETRANSLATE(G1278, ""en"", ""te""),"""")"),"")</f>
        <v/>
      </c>
      <c r="I1278" s="3"/>
    </row>
    <row r="1279" customHeight="1" spans="1:9">
      <c r="A1279" s="2"/>
      <c r="B1279" s="2" t="str">
        <f>IFERROR(__xludf.DUMMYFUNCTION("IF(A1279&lt;&gt;"""", GOOGLETRANSLATE(A1279, ""en"", ""te""),"""")"),"")</f>
        <v/>
      </c>
      <c r="C1279" s="2"/>
      <c r="D1279" s="2" t="str">
        <f>IFERROR(__xludf.DUMMYFUNCTION("IF(C1279&lt;&gt;"""", GOOGLETRANSLATE(C1279, ""en"", ""te""),"""")"),"")</f>
        <v/>
      </c>
      <c r="E1279" s="2"/>
      <c r="F1279" s="2" t="str">
        <f>IFERROR(__xludf.DUMMYFUNCTION("IF(E1279&lt;&gt;"""", GOOGLETRANSLATE(E1279, ""en"", ""te""),"""")"),"")</f>
        <v/>
      </c>
      <c r="G1279" s="2"/>
      <c r="H1279" s="2" t="str">
        <f>IFERROR(__xludf.DUMMYFUNCTION("IF(G1279&lt;&gt;"""", GOOGLETRANSLATE(G1279, ""en"", ""te""),"""")"),"")</f>
        <v/>
      </c>
      <c r="I1279" s="3"/>
    </row>
    <row r="1280" customHeight="1" spans="1:9">
      <c r="A1280" s="2"/>
      <c r="B1280" s="2" t="str">
        <f>IFERROR(__xludf.DUMMYFUNCTION("IF(A1280&lt;&gt;"""", GOOGLETRANSLATE(A1280, ""en"", ""te""),"""")"),"")</f>
        <v/>
      </c>
      <c r="C1280" s="2"/>
      <c r="D1280" s="2" t="str">
        <f>IFERROR(__xludf.DUMMYFUNCTION("IF(C1280&lt;&gt;"""", GOOGLETRANSLATE(C1280, ""en"", ""te""),"""")"),"")</f>
        <v/>
      </c>
      <c r="E1280" s="2"/>
      <c r="F1280" s="2" t="str">
        <f>IFERROR(__xludf.DUMMYFUNCTION("IF(E1280&lt;&gt;"""", GOOGLETRANSLATE(E1280, ""en"", ""te""),"""")"),"")</f>
        <v/>
      </c>
      <c r="G1280" s="2"/>
      <c r="H1280" s="2" t="str">
        <f>IFERROR(__xludf.DUMMYFUNCTION("IF(G1280&lt;&gt;"""", GOOGLETRANSLATE(G1280, ""en"", ""te""),"""")"),"")</f>
        <v/>
      </c>
      <c r="I1280" s="3"/>
    </row>
    <row r="1281" customHeight="1" spans="1:9">
      <c r="A1281" s="2"/>
      <c r="B1281" s="2" t="str">
        <f>IFERROR(__xludf.DUMMYFUNCTION("IF(A1281&lt;&gt;"""", GOOGLETRANSLATE(A1281, ""en"", ""te""),"""")"),"")</f>
        <v/>
      </c>
      <c r="C1281" s="2"/>
      <c r="D1281" s="2" t="str">
        <f>IFERROR(__xludf.DUMMYFUNCTION("IF(C1281&lt;&gt;"""", GOOGLETRANSLATE(C1281, ""en"", ""te""),"""")"),"")</f>
        <v/>
      </c>
      <c r="E1281" s="2"/>
      <c r="F1281" s="2" t="str">
        <f>IFERROR(__xludf.DUMMYFUNCTION("IF(E1281&lt;&gt;"""", GOOGLETRANSLATE(E1281, ""en"", ""te""),"""")"),"")</f>
        <v/>
      </c>
      <c r="G1281" s="2"/>
      <c r="H1281" s="2" t="str">
        <f>IFERROR(__xludf.DUMMYFUNCTION("IF(G1281&lt;&gt;"""", GOOGLETRANSLATE(G1281, ""en"", ""te""),"""")"),"")</f>
        <v/>
      </c>
      <c r="I1281" s="3"/>
    </row>
    <row r="1282" customHeight="1" spans="1:9">
      <c r="A1282" s="2"/>
      <c r="B1282" s="2" t="str">
        <f>IFERROR(__xludf.DUMMYFUNCTION("IF(A1282&lt;&gt;"""", GOOGLETRANSLATE(A1282, ""en"", ""te""),"""")"),"")</f>
        <v/>
      </c>
      <c r="C1282" s="2"/>
      <c r="D1282" s="2" t="str">
        <f>IFERROR(__xludf.DUMMYFUNCTION("IF(C1282&lt;&gt;"""", GOOGLETRANSLATE(C1282, ""en"", ""te""),"""")"),"")</f>
        <v/>
      </c>
      <c r="E1282" s="2"/>
      <c r="F1282" s="2" t="str">
        <f>IFERROR(__xludf.DUMMYFUNCTION("IF(E1282&lt;&gt;"""", GOOGLETRANSLATE(E1282, ""en"", ""te""),"""")"),"")</f>
        <v/>
      </c>
      <c r="G1282" s="2"/>
      <c r="H1282" s="2" t="str">
        <f>IFERROR(__xludf.DUMMYFUNCTION("IF(G1282&lt;&gt;"""", GOOGLETRANSLATE(G1282, ""en"", ""te""),"""")"),"")</f>
        <v/>
      </c>
      <c r="I1282" s="3"/>
    </row>
    <row r="1283" customHeight="1" spans="1:9">
      <c r="A1283" s="2"/>
      <c r="B1283" s="2" t="str">
        <f>IFERROR(__xludf.DUMMYFUNCTION("IF(A1283&lt;&gt;"""", GOOGLETRANSLATE(A1283, ""en"", ""te""),"""")"),"")</f>
        <v/>
      </c>
      <c r="C1283" s="2"/>
      <c r="D1283" s="2" t="str">
        <f>IFERROR(__xludf.DUMMYFUNCTION("IF(C1283&lt;&gt;"""", GOOGLETRANSLATE(C1283, ""en"", ""te""),"""")"),"")</f>
        <v/>
      </c>
      <c r="E1283" s="2"/>
      <c r="F1283" s="2" t="str">
        <f>IFERROR(__xludf.DUMMYFUNCTION("IF(E1283&lt;&gt;"""", GOOGLETRANSLATE(E1283, ""en"", ""te""),"""")"),"")</f>
        <v/>
      </c>
      <c r="G1283" s="2"/>
      <c r="H1283" s="2" t="str">
        <f>IFERROR(__xludf.DUMMYFUNCTION("IF(G1283&lt;&gt;"""", GOOGLETRANSLATE(G1283, ""en"", ""te""),"""")"),"")</f>
        <v/>
      </c>
      <c r="I1283" s="3"/>
    </row>
    <row r="1284" customHeight="1" spans="1:9">
      <c r="A1284" s="2"/>
      <c r="B1284" s="2" t="str">
        <f>IFERROR(__xludf.DUMMYFUNCTION("IF(A1284&lt;&gt;"""", GOOGLETRANSLATE(A1284, ""en"", ""te""),"""")"),"")</f>
        <v/>
      </c>
      <c r="C1284" s="2"/>
      <c r="D1284" s="2" t="str">
        <f>IFERROR(__xludf.DUMMYFUNCTION("IF(C1284&lt;&gt;"""", GOOGLETRANSLATE(C1284, ""en"", ""te""),"""")"),"")</f>
        <v/>
      </c>
      <c r="E1284" s="2"/>
      <c r="F1284" s="2" t="str">
        <f>IFERROR(__xludf.DUMMYFUNCTION("IF(E1284&lt;&gt;"""", GOOGLETRANSLATE(E1284, ""en"", ""te""),"""")"),"")</f>
        <v/>
      </c>
      <c r="G1284" s="2"/>
      <c r="H1284" s="2" t="str">
        <f>IFERROR(__xludf.DUMMYFUNCTION("IF(G1284&lt;&gt;"""", GOOGLETRANSLATE(G1284, ""en"", ""te""),"""")"),"")</f>
        <v/>
      </c>
      <c r="I1284" s="3"/>
    </row>
    <row r="1285" customHeight="1" spans="1:9">
      <c r="A1285" s="2" t="s">
        <v>839</v>
      </c>
      <c r="B1285" s="2" t="str">
        <f>IFERROR(__xludf.DUMMYFUNCTION("IF(A1285&lt;&gt;"""", GOOGLETRANSLATE(A1285, ""en"", ""te""),"""")"),"[ 'తొలి 9 వ ఓల్డెస్ట్ క్రీడాకారులు (40y 295d)']")</f>
        <v>[ 'తొలి 9 వ ఓల్డెస్ట్ క్రీడాకారులు (40y 295d)']</v>
      </c>
      <c r="C1285" s="2" t="s">
        <v>839</v>
      </c>
      <c r="D1285" s="2" t="str">
        <f>IFERROR(__xludf.DUMMYFUNCTION("IF(C1285&lt;&gt;"""", GOOGLETRANSLATE(C1285, ""en"", ""te""),"""")"),"[ 'తొలి 9 వ ఓల్డెస్ట్ క్రీడాకారులు (40y 295d)']")</f>
        <v>[ 'తొలి 9 వ ఓల్డెస్ట్ క్రీడాకారులు (40y 295d)']</v>
      </c>
      <c r="E1285" s="2" t="s">
        <v>840</v>
      </c>
      <c r="F1285" s="2" t="str">
        <f>IFERROR(__xludf.DUMMYFUNCTION("IF(E1285&lt;&gt;"""", GOOGLETRANSLATE(E1285, ""en"", ""te""),"""")"),"[ 'తొలి 17 ఓల్డెస్ట్ క్రీడాకారులు (40y 39d)', '43 వ ఓల్డెస్ట్ క్రీడాకారులు (40y 79d)']")</f>
        <v>[ 'తొలి 17 ఓల్డెస్ట్ క్రీడాకారులు (40y 39d)', '43 వ ఓల్డెస్ట్ క్రీడాకారులు (40y 79d)']</v>
      </c>
      <c r="G1285" s="2"/>
      <c r="H1285" s="2" t="str">
        <f>IFERROR(__xludf.DUMMYFUNCTION("IF(G1285&lt;&gt;"""", GOOGLETRANSLATE(G1285, ""en"", ""te""),"""")"),"")</f>
        <v/>
      </c>
      <c r="I1285" s="3"/>
    </row>
    <row r="1286" customHeight="1" spans="1:9">
      <c r="A1286" s="2"/>
      <c r="B1286" s="2" t="str">
        <f>IFERROR(__xludf.DUMMYFUNCTION("IF(A1286&lt;&gt;"""", GOOGLETRANSLATE(A1286, ""en"", ""te""),"""")"),"")</f>
        <v/>
      </c>
      <c r="C1286" s="2"/>
      <c r="D1286" s="2" t="str">
        <f>IFERROR(__xludf.DUMMYFUNCTION("IF(C1286&lt;&gt;"""", GOOGLETRANSLATE(C1286, ""en"", ""te""),"""")"),"")</f>
        <v/>
      </c>
      <c r="E1286" s="2"/>
      <c r="F1286" s="2" t="str">
        <f>IFERROR(__xludf.DUMMYFUNCTION("IF(E1286&lt;&gt;"""", GOOGLETRANSLATE(E1286, ""en"", ""te""),"""")"),"")</f>
        <v/>
      </c>
      <c r="G1286" s="2"/>
      <c r="H1286" s="2" t="str">
        <f>IFERROR(__xludf.DUMMYFUNCTION("IF(G1286&lt;&gt;"""", GOOGLETRANSLATE(G1286, ""en"", ""te""),"""")"),"")</f>
        <v/>
      </c>
      <c r="I1286" s="3"/>
    </row>
    <row r="1287" customHeight="1" spans="1:9">
      <c r="A1287" s="2" t="s">
        <v>841</v>
      </c>
      <c r="B1287" s="2" t="str">
        <f>IFERROR(__xludf.DUMMYFUNCTION("IF(A1287&lt;&gt;"""", GOOGLETRANSLATE(A1287, ""en"", ""te""),"""")"),"[ 'తొలి వంద (163)', 'హండ్రెడ్ మరియు ఒక మ్యాచ్లో ఒక డక్']")</f>
        <v>[ 'తొలి వంద (163)', 'హండ్రెడ్ మరియు ఒక మ్యాచ్లో ఒక డక్']</v>
      </c>
      <c r="C1287" s="2" t="s">
        <v>842</v>
      </c>
      <c r="D1287" s="2" t="str">
        <f>IFERROR(__xludf.DUMMYFUNCTION("IF(C1287&lt;&gt;"""", GOOGLETRANSLATE(C1287, ""en"", ""te""),"""")"),"[ '33 వ అత్యంత తొలి మ్యాచ్లో పరుగులు (163)', 'తొలి వికెట్కు (236) 43 వ అత్యధిక భాగస్వామ్యం']")</f>
        <v>[ '33 వ అత్యంత తొలి మ్యాచ్లో పరుగులు (163)', 'తొలి వికెట్కు (236) 43 వ అత్యధిక భాగస్వామ్యం']</v>
      </c>
      <c r="E1287" s="2"/>
      <c r="F1287" s="2" t="str">
        <f>IFERROR(__xludf.DUMMYFUNCTION("IF(E1287&lt;&gt;"""", GOOGLETRANSLATE(E1287, ""en"", ""te""),"""")"),"")</f>
        <v/>
      </c>
      <c r="G1287" s="2"/>
      <c r="H1287" s="2" t="str">
        <f>IFERROR(__xludf.DUMMYFUNCTION("IF(G1287&lt;&gt;"""", GOOGLETRANSLATE(G1287, ""en"", ""te""),"""")"),"")</f>
        <v/>
      </c>
      <c r="I1287" s="3"/>
    </row>
    <row r="1288" customHeight="1" spans="1:9">
      <c r="A1288" s="2"/>
      <c r="B1288" s="2" t="str">
        <f>IFERROR(__xludf.DUMMYFUNCTION("IF(A1288&lt;&gt;"""", GOOGLETRANSLATE(A1288, ""en"", ""te""),"""")"),"")</f>
        <v/>
      </c>
      <c r="C1288" s="2"/>
      <c r="D1288" s="2" t="str">
        <f>IFERROR(__xludf.DUMMYFUNCTION("IF(C1288&lt;&gt;"""", GOOGLETRANSLATE(C1288, ""en"", ""te""),"""")"),"")</f>
        <v/>
      </c>
      <c r="E1288" s="2"/>
      <c r="F1288" s="2" t="str">
        <f>IFERROR(__xludf.DUMMYFUNCTION("IF(E1288&lt;&gt;"""", GOOGLETRANSLATE(E1288, ""en"", ""te""),"""")"),"")</f>
        <v/>
      </c>
      <c r="G1288" s="2"/>
      <c r="H1288" s="2" t="str">
        <f>IFERROR(__xludf.DUMMYFUNCTION("IF(G1288&lt;&gt;"""", GOOGLETRANSLATE(G1288, ""en"", ""te""),"""")"),"")</f>
        <v/>
      </c>
      <c r="I1288" s="3"/>
    </row>
    <row r="1289" customHeight="1" spans="1:9">
      <c r="A1289" s="2"/>
      <c r="B1289" s="2" t="str">
        <f>IFERROR(__xludf.DUMMYFUNCTION("IF(A1289&lt;&gt;"""", GOOGLETRANSLATE(A1289, ""en"", ""te""),"""")"),"")</f>
        <v/>
      </c>
      <c r="C1289" s="2"/>
      <c r="D1289" s="2" t="str">
        <f>IFERROR(__xludf.DUMMYFUNCTION("IF(C1289&lt;&gt;"""", GOOGLETRANSLATE(C1289, ""en"", ""te""),"""")"),"")</f>
        <v/>
      </c>
      <c r="E1289" s="2"/>
      <c r="F1289" s="2" t="str">
        <f>IFERROR(__xludf.DUMMYFUNCTION("IF(E1289&lt;&gt;"""", GOOGLETRANSLATE(E1289, ""en"", ""te""),"""")"),"")</f>
        <v/>
      </c>
      <c r="G1289" s="2"/>
      <c r="H1289" s="2" t="str">
        <f>IFERROR(__xludf.DUMMYFUNCTION("IF(G1289&lt;&gt;"""", GOOGLETRANSLATE(G1289, ""en"", ""te""),"""")"),"")</f>
        <v/>
      </c>
      <c r="I1289" s="3"/>
    </row>
    <row r="1290" customHeight="1" spans="1:9">
      <c r="A1290" s="2"/>
      <c r="B1290" s="2" t="str">
        <f>IFERROR(__xludf.DUMMYFUNCTION("IF(A1290&lt;&gt;"""", GOOGLETRANSLATE(A1290, ""en"", ""te""),"""")"),"")</f>
        <v/>
      </c>
      <c r="C1290" s="2"/>
      <c r="D1290" s="2" t="str">
        <f>IFERROR(__xludf.DUMMYFUNCTION("IF(C1290&lt;&gt;"""", GOOGLETRANSLATE(C1290, ""en"", ""te""),"""")"),"")</f>
        <v/>
      </c>
      <c r="E1290" s="2"/>
      <c r="F1290" s="2" t="str">
        <f>IFERROR(__xludf.DUMMYFUNCTION("IF(E1290&lt;&gt;"""", GOOGLETRANSLATE(E1290, ""en"", ""te""),"""")"),"")</f>
        <v/>
      </c>
      <c r="G1290" s="2"/>
      <c r="H1290" s="2" t="str">
        <f>IFERROR(__xludf.DUMMYFUNCTION("IF(G1290&lt;&gt;"""", GOOGLETRANSLATE(G1290, ""en"", ""te""),"""")"),"")</f>
        <v/>
      </c>
      <c r="I1290" s="3"/>
    </row>
    <row r="1291" customHeight="1" spans="1:9">
      <c r="A1291" s="2"/>
      <c r="B1291" s="2" t="str">
        <f>IFERROR(__xludf.DUMMYFUNCTION("IF(A1291&lt;&gt;"""", GOOGLETRANSLATE(A1291, ""en"", ""te""),"""")"),"")</f>
        <v/>
      </c>
      <c r="C1291" s="2" t="s">
        <v>843</v>
      </c>
      <c r="D1291" s="2" t="str">
        <f>IFERROR(__xludf.DUMMYFUNCTION("IF(C1291&lt;&gt;"""", GOOGLETRANSLATE(C1291, ""en"", ""te""),"""")"),"[ '50 వ చెత్త కెరీర్లో ఆర్థిక రేటు (3.42)']")</f>
        <v>[ '50 వ చెత్త కెరీర్లో ఆర్థిక రేటు (3.42)']</v>
      </c>
      <c r="E1291" s="2"/>
      <c r="F1291" s="2" t="str">
        <f>IFERROR(__xludf.DUMMYFUNCTION("IF(E1291&lt;&gt;"""", GOOGLETRANSLATE(E1291, ""en"", ""te""),"""")"),"")</f>
        <v/>
      </c>
      <c r="G1291" s="2"/>
      <c r="H1291" s="2" t="str">
        <f>IFERROR(__xludf.DUMMYFUNCTION("IF(G1291&lt;&gt;"""", GOOGLETRANSLATE(G1291, ""en"", ""te""),"""")"),"")</f>
        <v/>
      </c>
      <c r="I1291" s="3"/>
    </row>
    <row r="1292" customHeight="1" spans="1:9">
      <c r="A1292" s="2"/>
      <c r="B1292" s="2" t="str">
        <f>IFERROR(__xludf.DUMMYFUNCTION("IF(A1292&lt;&gt;"""", GOOGLETRANSLATE(A1292, ""en"", ""te""),"""")"),"")</f>
        <v/>
      </c>
      <c r="C1292" s="2"/>
      <c r="D1292" s="2" t="str">
        <f>IFERROR(__xludf.DUMMYFUNCTION("IF(C1292&lt;&gt;"""", GOOGLETRANSLATE(C1292, ""en"", ""te""),"""")"),"")</f>
        <v/>
      </c>
      <c r="E1292" s="2"/>
      <c r="F1292" s="2" t="str">
        <f>IFERROR(__xludf.DUMMYFUNCTION("IF(E1292&lt;&gt;"""", GOOGLETRANSLATE(E1292, ""en"", ""te""),"""")"),"")</f>
        <v/>
      </c>
      <c r="G1292" s="2"/>
      <c r="H1292" s="2" t="str">
        <f>IFERROR(__xludf.DUMMYFUNCTION("IF(G1292&lt;&gt;"""", GOOGLETRANSLATE(G1292, ""en"", ""te""),"""")"),"")</f>
        <v/>
      </c>
      <c r="I1292" s="3"/>
    </row>
    <row r="1293" customHeight="1" spans="1:9">
      <c r="A1293" s="2"/>
      <c r="B1293" s="2" t="str">
        <f>IFERROR(__xludf.DUMMYFUNCTION("IF(A1293&lt;&gt;"""", GOOGLETRANSLATE(A1293, ""en"", ""te""),"""")"),"")</f>
        <v/>
      </c>
      <c r="C1293" s="2"/>
      <c r="D1293" s="2" t="str">
        <f>IFERROR(__xludf.DUMMYFUNCTION("IF(C1293&lt;&gt;"""", GOOGLETRANSLATE(C1293, ""en"", ""te""),"""")"),"")</f>
        <v/>
      </c>
      <c r="E1293" s="2"/>
      <c r="F1293" s="2" t="str">
        <f>IFERROR(__xludf.DUMMYFUNCTION("IF(E1293&lt;&gt;"""", GOOGLETRANSLATE(E1293, ""en"", ""te""),"""")"),"")</f>
        <v/>
      </c>
      <c r="G1293" s="2"/>
      <c r="H1293" s="2" t="str">
        <f>IFERROR(__xludf.DUMMYFUNCTION("IF(G1293&lt;&gt;"""", GOOGLETRANSLATE(G1293, ""en"", ""te""),"""")"),"")</f>
        <v/>
      </c>
      <c r="I1293" s="3"/>
    </row>
    <row r="1294" customHeight="1" spans="1:9">
      <c r="A1294" s="2"/>
      <c r="B1294" s="2" t="str">
        <f>IFERROR(__xludf.DUMMYFUNCTION("IF(A1294&lt;&gt;"""", GOOGLETRANSLATE(A1294, ""en"", ""te""),"""")"),"")</f>
        <v/>
      </c>
      <c r="C1294" s="2"/>
      <c r="D1294" s="2" t="str">
        <f>IFERROR(__xludf.DUMMYFUNCTION("IF(C1294&lt;&gt;"""", GOOGLETRANSLATE(C1294, ""en"", ""te""),"""")"),"")</f>
        <v/>
      </c>
      <c r="E1294" s="2"/>
      <c r="F1294" s="2" t="str">
        <f>IFERROR(__xludf.DUMMYFUNCTION("IF(E1294&lt;&gt;"""", GOOGLETRANSLATE(E1294, ""en"", ""te""),"""")"),"")</f>
        <v/>
      </c>
      <c r="G1294" s="2"/>
      <c r="H1294" s="2" t="str">
        <f>IFERROR(__xludf.DUMMYFUNCTION("IF(G1294&lt;&gt;"""", GOOGLETRANSLATE(G1294, ""en"", ""te""),"""")"),"")</f>
        <v/>
      </c>
      <c r="I1294" s="3"/>
    </row>
    <row r="1295" customHeight="1" spans="1:9">
      <c r="A1295" s="2"/>
      <c r="B1295" s="2" t="str">
        <f>IFERROR(__xludf.DUMMYFUNCTION("IF(A1295&lt;&gt;"""", GOOGLETRANSLATE(A1295, ""en"", ""te""),"""")"),"")</f>
        <v/>
      </c>
      <c r="C1295" s="2"/>
      <c r="D1295" s="2" t="str">
        <f>IFERROR(__xludf.DUMMYFUNCTION("IF(C1295&lt;&gt;"""", GOOGLETRANSLATE(C1295, ""en"", ""te""),"""")"),"")</f>
        <v/>
      </c>
      <c r="E1295" s="2"/>
      <c r="F1295" s="2" t="str">
        <f>IFERROR(__xludf.DUMMYFUNCTION("IF(E1295&lt;&gt;"""", GOOGLETRANSLATE(E1295, ""en"", ""te""),"""")"),"")</f>
        <v/>
      </c>
      <c r="G1295" s="2"/>
      <c r="H1295" s="2" t="str">
        <f>IFERROR(__xludf.DUMMYFUNCTION("IF(G1295&lt;&gt;"""", GOOGLETRANSLATE(G1295, ""en"", ""te""),"""")"),"")</f>
        <v/>
      </c>
      <c r="I1295" s="3"/>
    </row>
    <row r="1296" customHeight="1" spans="1:9">
      <c r="A1296" s="2"/>
      <c r="B1296" s="2" t="str">
        <f>IFERROR(__xludf.DUMMYFUNCTION("IF(A1296&lt;&gt;"""", GOOGLETRANSLATE(A1296, ""en"", ""te""),"""")"),"")</f>
        <v/>
      </c>
      <c r="C1296" s="2"/>
      <c r="D1296" s="2" t="str">
        <f>IFERROR(__xludf.DUMMYFUNCTION("IF(C1296&lt;&gt;"""", GOOGLETRANSLATE(C1296, ""en"", ""te""),"""")"),"")</f>
        <v/>
      </c>
      <c r="E1296" s="2"/>
      <c r="F1296" s="2" t="str">
        <f>IFERROR(__xludf.DUMMYFUNCTION("IF(E1296&lt;&gt;"""", GOOGLETRANSLATE(E1296, ""en"", ""te""),"""")"),"")</f>
        <v/>
      </c>
      <c r="G1296" s="2"/>
      <c r="H1296" s="2" t="str">
        <f>IFERROR(__xludf.DUMMYFUNCTION("IF(G1296&lt;&gt;"""", GOOGLETRANSLATE(G1296, ""en"", ""te""),"""")"),"")</f>
        <v/>
      </c>
      <c r="I1296" s="3"/>
    </row>
    <row r="1297" customHeight="1" spans="1:9">
      <c r="A1297" s="2"/>
      <c r="B1297" s="2" t="str">
        <f>IFERROR(__xludf.DUMMYFUNCTION("IF(A1297&lt;&gt;"""", GOOGLETRANSLATE(A1297, ""en"", ""te""),"""")"),"")</f>
        <v/>
      </c>
      <c r="C1297" s="2"/>
      <c r="D1297" s="2" t="str">
        <f>IFERROR(__xludf.DUMMYFUNCTION("IF(C1297&lt;&gt;"""", GOOGLETRANSLATE(C1297, ""en"", ""te""),"""")"),"")</f>
        <v/>
      </c>
      <c r="E1297" s="2"/>
      <c r="F1297" s="2" t="str">
        <f>IFERROR(__xludf.DUMMYFUNCTION("IF(E1297&lt;&gt;"""", GOOGLETRANSLATE(E1297, ""en"", ""te""),"""")"),"")</f>
        <v/>
      </c>
      <c r="G1297" s="2"/>
      <c r="H1297" s="2" t="str">
        <f>IFERROR(__xludf.DUMMYFUNCTION("IF(G1297&lt;&gt;"""", GOOGLETRANSLATE(G1297, ""en"", ""te""),"""")"),"")</f>
        <v/>
      </c>
      <c r="I1297" s="3"/>
    </row>
    <row r="1298" customHeight="1" spans="1:9">
      <c r="A1298" s="2"/>
      <c r="B1298" s="2" t="str">
        <f>IFERROR(__xludf.DUMMYFUNCTION("IF(A1298&lt;&gt;"""", GOOGLETRANSLATE(A1298, ""en"", ""te""),"""")"),"")</f>
        <v/>
      </c>
      <c r="C1298" s="2"/>
      <c r="D1298" s="2" t="str">
        <f>IFERROR(__xludf.DUMMYFUNCTION("IF(C1298&lt;&gt;"""", GOOGLETRANSLATE(C1298, ""en"", ""te""),"""")"),"")</f>
        <v/>
      </c>
      <c r="E1298" s="2"/>
      <c r="F1298" s="2" t="str">
        <f>IFERROR(__xludf.DUMMYFUNCTION("IF(E1298&lt;&gt;"""", GOOGLETRANSLATE(E1298, ""en"", ""te""),"""")"),"")</f>
        <v/>
      </c>
      <c r="G1298" s="2"/>
      <c r="H1298" s="2" t="str">
        <f>IFERROR(__xludf.DUMMYFUNCTION("IF(G1298&lt;&gt;"""", GOOGLETRANSLATE(G1298, ""en"", ""te""),"""")"),"")</f>
        <v/>
      </c>
      <c r="I1298" s="3"/>
    </row>
    <row r="1299" customHeight="1" spans="1:9">
      <c r="A1299" s="2"/>
      <c r="B1299" s="2" t="str">
        <f>IFERROR(__xludf.DUMMYFUNCTION("IF(A1299&lt;&gt;"""", GOOGLETRANSLATE(A1299, ""en"", ""te""),"""")"),"")</f>
        <v/>
      </c>
      <c r="C1299" s="2"/>
      <c r="D1299" s="2" t="str">
        <f>IFERROR(__xludf.DUMMYFUNCTION("IF(C1299&lt;&gt;"""", GOOGLETRANSLATE(C1299, ""en"", ""te""),"""")"),"")</f>
        <v/>
      </c>
      <c r="E1299" s="2"/>
      <c r="F1299" s="2" t="str">
        <f>IFERROR(__xludf.DUMMYFUNCTION("IF(E1299&lt;&gt;"""", GOOGLETRANSLATE(E1299, ""en"", ""te""),"""")"),"")</f>
        <v/>
      </c>
      <c r="G1299" s="2"/>
      <c r="H1299" s="2" t="str">
        <f>IFERROR(__xludf.DUMMYFUNCTION("IF(G1299&lt;&gt;"""", GOOGLETRANSLATE(G1299, ""en"", ""te""),"""")"),"")</f>
        <v/>
      </c>
      <c r="I1299" s="3"/>
    </row>
    <row r="1300" customHeight="1" spans="1:9">
      <c r="A1300" s="2"/>
      <c r="B1300" s="2" t="str">
        <f>IFERROR(__xludf.DUMMYFUNCTION("IF(A1300&lt;&gt;"""", GOOGLETRANSLATE(A1300, ""en"", ""te""),"""")"),"")</f>
        <v/>
      </c>
      <c r="C1300" s="2"/>
      <c r="D1300" s="2" t="str">
        <f>IFERROR(__xludf.DUMMYFUNCTION("IF(C1300&lt;&gt;"""", GOOGLETRANSLATE(C1300, ""en"", ""te""),"""")"),"")</f>
        <v/>
      </c>
      <c r="E1300" s="2"/>
      <c r="F1300" s="2" t="str">
        <f>IFERROR(__xludf.DUMMYFUNCTION("IF(E1300&lt;&gt;"""", GOOGLETRANSLATE(E1300, ""en"", ""te""),"""")"),"")</f>
        <v/>
      </c>
      <c r="G1300" s="2"/>
      <c r="H1300" s="2" t="str">
        <f>IFERROR(__xludf.DUMMYFUNCTION("IF(G1300&lt;&gt;"""", GOOGLETRANSLATE(G1300, ""en"", ""te""),"""")"),"")</f>
        <v/>
      </c>
      <c r="I1300" s="3"/>
    </row>
    <row r="1301" customHeight="1" spans="1:9">
      <c r="A1301" s="2"/>
      <c r="B1301" s="2" t="str">
        <f>IFERROR(__xludf.DUMMYFUNCTION("IF(A1301&lt;&gt;"""", GOOGLETRANSLATE(A1301, ""en"", ""te""),"""")"),"")</f>
        <v/>
      </c>
      <c r="C1301" s="2"/>
      <c r="D1301" s="2" t="str">
        <f>IFERROR(__xludf.DUMMYFUNCTION("IF(C1301&lt;&gt;"""", GOOGLETRANSLATE(C1301, ""en"", ""te""),"""")"),"")</f>
        <v/>
      </c>
      <c r="E1301" s="2"/>
      <c r="F1301" s="2" t="str">
        <f>IFERROR(__xludf.DUMMYFUNCTION("IF(E1301&lt;&gt;"""", GOOGLETRANSLATE(E1301, ""en"", ""te""),"""")"),"")</f>
        <v/>
      </c>
      <c r="G1301" s="2"/>
      <c r="H1301" s="2" t="str">
        <f>IFERROR(__xludf.DUMMYFUNCTION("IF(G1301&lt;&gt;"""", GOOGLETRANSLATE(G1301, ""en"", ""te""),"""")"),"")</f>
        <v/>
      </c>
      <c r="I1301" s="3"/>
    </row>
    <row r="1302" customHeight="1" spans="1:9">
      <c r="A1302" s="2"/>
      <c r="B1302" s="2" t="str">
        <f>IFERROR(__xludf.DUMMYFUNCTION("IF(A1302&lt;&gt;"""", GOOGLETRANSLATE(A1302, ""en"", ""te""),"""")"),"")</f>
        <v/>
      </c>
      <c r="C1302" s="2"/>
      <c r="D1302" s="2" t="str">
        <f>IFERROR(__xludf.DUMMYFUNCTION("IF(C1302&lt;&gt;"""", GOOGLETRANSLATE(C1302, ""en"", ""te""),"""")"),"")</f>
        <v/>
      </c>
      <c r="E1302" s="2"/>
      <c r="F1302" s="2" t="str">
        <f>IFERROR(__xludf.DUMMYFUNCTION("IF(E1302&lt;&gt;"""", GOOGLETRANSLATE(E1302, ""en"", ""te""),"""")"),"")</f>
        <v/>
      </c>
      <c r="G1302" s="2"/>
      <c r="H1302" s="2" t="str">
        <f>IFERROR(__xludf.DUMMYFUNCTION("IF(G1302&lt;&gt;"""", GOOGLETRANSLATE(G1302, ""en"", ""te""),"""")"),"")</f>
        <v/>
      </c>
      <c r="I1302" s="3"/>
    </row>
    <row r="1303" customHeight="1" spans="1:9">
      <c r="A1303" s="2"/>
      <c r="B1303" s="2" t="str">
        <f>IFERROR(__xludf.DUMMYFUNCTION("IF(A1303&lt;&gt;"""", GOOGLETRANSLATE(A1303, ""en"", ""te""),"""")"),"")</f>
        <v/>
      </c>
      <c r="C1303" s="2"/>
      <c r="D1303" s="2" t="str">
        <f>IFERROR(__xludf.DUMMYFUNCTION("IF(C1303&lt;&gt;"""", GOOGLETRANSLATE(C1303, ""en"", ""te""),"""")"),"")</f>
        <v/>
      </c>
      <c r="E1303" s="2"/>
      <c r="F1303" s="2" t="str">
        <f>IFERROR(__xludf.DUMMYFUNCTION("IF(E1303&lt;&gt;"""", GOOGLETRANSLATE(E1303, ""en"", ""te""),"""")"),"")</f>
        <v/>
      </c>
      <c r="G1303" s="2"/>
      <c r="H1303" s="2" t="str">
        <f>IFERROR(__xludf.DUMMYFUNCTION("IF(G1303&lt;&gt;"""", GOOGLETRANSLATE(G1303, ""en"", ""te""),"""")"),"")</f>
        <v/>
      </c>
      <c r="I1303" s="3"/>
    </row>
    <row r="1304" customHeight="1" spans="1:9">
      <c r="A1304" s="2"/>
      <c r="B1304" s="2" t="str">
        <f>IFERROR(__xludf.DUMMYFUNCTION("IF(A1304&lt;&gt;"""", GOOGLETRANSLATE(A1304, ""en"", ""te""),"""")"),"")</f>
        <v/>
      </c>
      <c r="C1304" s="2" t="s">
        <v>844</v>
      </c>
      <c r="D1304" s="2" t="str">
        <f>IFERROR(__xludf.DUMMYFUNCTION("IF(C1304&lt;&gt;"""", GOOGLETRANSLATE(C1304, ""en"", ""te""),"""")"),"[ '39 వ చెత్త కెరీర్ బౌలింగ్ సరాసరి (అర్హత లేకుండా) (141.00)']")</f>
        <v>[ '39 వ చెత్త కెరీర్ బౌలింగ్ సరాసరి (అర్హత లేకుండా) (141.00)']</v>
      </c>
      <c r="E1304" s="2"/>
      <c r="F1304" s="2" t="str">
        <f>IFERROR(__xludf.DUMMYFUNCTION("IF(E1304&lt;&gt;"""", GOOGLETRANSLATE(E1304, ""en"", ""te""),"""")"),"")</f>
        <v/>
      </c>
      <c r="G1304" s="2"/>
      <c r="H1304" s="2" t="str">
        <f>IFERROR(__xludf.DUMMYFUNCTION("IF(G1304&lt;&gt;"""", GOOGLETRANSLATE(G1304, ""en"", ""te""),"""")"),"")</f>
        <v/>
      </c>
      <c r="I1304" s="3"/>
    </row>
    <row r="1305" customHeight="1" spans="1:9">
      <c r="A1305" s="2"/>
      <c r="B1305" s="2" t="str">
        <f>IFERROR(__xludf.DUMMYFUNCTION("IF(A1305&lt;&gt;"""", GOOGLETRANSLATE(A1305, ""en"", ""te""),"""")"),"")</f>
        <v/>
      </c>
      <c r="C1305" s="2"/>
      <c r="D1305" s="2" t="str">
        <f>IFERROR(__xludf.DUMMYFUNCTION("IF(C1305&lt;&gt;"""", GOOGLETRANSLATE(C1305, ""en"", ""te""),"""")"),"")</f>
        <v/>
      </c>
      <c r="E1305" s="2"/>
      <c r="F1305" s="2" t="str">
        <f>IFERROR(__xludf.DUMMYFUNCTION("IF(E1305&lt;&gt;"""", GOOGLETRANSLATE(E1305, ""en"", ""te""),"""")"),"")</f>
        <v/>
      </c>
      <c r="G1305" s="2"/>
      <c r="H1305" s="2" t="str">
        <f>IFERROR(__xludf.DUMMYFUNCTION("IF(G1305&lt;&gt;"""", GOOGLETRANSLATE(G1305, ""en"", ""te""),"""")"),"")</f>
        <v/>
      </c>
      <c r="I1305" s="3"/>
    </row>
    <row r="1306" customHeight="1" spans="1:9">
      <c r="A1306" s="2"/>
      <c r="B1306" s="2" t="str">
        <f>IFERROR(__xludf.DUMMYFUNCTION("IF(A1306&lt;&gt;"""", GOOGLETRANSLATE(A1306, ""en"", ""te""),"""")"),"")</f>
        <v/>
      </c>
      <c r="C1306" s="2"/>
      <c r="D1306" s="2" t="str">
        <f>IFERROR(__xludf.DUMMYFUNCTION("IF(C1306&lt;&gt;"""", GOOGLETRANSLATE(C1306, ""en"", ""te""),"""")"),"")</f>
        <v/>
      </c>
      <c r="E1306" s="2"/>
      <c r="F1306" s="2" t="str">
        <f>IFERROR(__xludf.DUMMYFUNCTION("IF(E1306&lt;&gt;"""", GOOGLETRANSLATE(E1306, ""en"", ""te""),"""")"),"")</f>
        <v/>
      </c>
      <c r="G1306" s="2"/>
      <c r="H1306" s="2" t="str">
        <f>IFERROR(__xludf.DUMMYFUNCTION("IF(G1306&lt;&gt;"""", GOOGLETRANSLATE(G1306, ""en"", ""te""),"""")"),"")</f>
        <v/>
      </c>
      <c r="I1306" s="3"/>
    </row>
    <row r="1307" customHeight="1" spans="1:9">
      <c r="A1307" s="2"/>
      <c r="B1307" s="2" t="str">
        <f>IFERROR(__xludf.DUMMYFUNCTION("IF(A1307&lt;&gt;"""", GOOGLETRANSLATE(A1307, ""en"", ""te""),"""")"),"")</f>
        <v/>
      </c>
      <c r="C1307" s="2"/>
      <c r="D1307" s="2" t="str">
        <f>IFERROR(__xludf.DUMMYFUNCTION("IF(C1307&lt;&gt;"""", GOOGLETRANSLATE(C1307, ""en"", ""te""),"""")"),"")</f>
        <v/>
      </c>
      <c r="E1307" s="2"/>
      <c r="F1307" s="2" t="str">
        <f>IFERROR(__xludf.DUMMYFUNCTION("IF(E1307&lt;&gt;"""", GOOGLETRANSLATE(E1307, ""en"", ""te""),"""")"),"")</f>
        <v/>
      </c>
      <c r="G1307" s="2"/>
      <c r="H1307" s="2" t="str">
        <f>IFERROR(__xludf.DUMMYFUNCTION("IF(G1307&lt;&gt;"""", GOOGLETRANSLATE(G1307, ""en"", ""te""),"""")"),"")</f>
        <v/>
      </c>
      <c r="I1307" s="3"/>
    </row>
    <row r="1308" customHeight="1" spans="1:9">
      <c r="A1308" s="2"/>
      <c r="B1308" s="2" t="str">
        <f>IFERROR(__xludf.DUMMYFUNCTION("IF(A1308&lt;&gt;"""", GOOGLETRANSLATE(A1308, ""en"", ""te""),"""")"),"")</f>
        <v/>
      </c>
      <c r="C1308" s="2"/>
      <c r="D1308" s="2" t="str">
        <f>IFERROR(__xludf.DUMMYFUNCTION("IF(C1308&lt;&gt;"""", GOOGLETRANSLATE(C1308, ""en"", ""te""),"""")"),"")</f>
        <v/>
      </c>
      <c r="E1308" s="2"/>
      <c r="F1308" s="2" t="str">
        <f>IFERROR(__xludf.DUMMYFUNCTION("IF(E1308&lt;&gt;"""", GOOGLETRANSLATE(E1308, ""en"", ""te""),"""")"),"")</f>
        <v/>
      </c>
      <c r="G1308" s="2"/>
      <c r="H1308" s="2" t="str">
        <f>IFERROR(__xludf.DUMMYFUNCTION("IF(G1308&lt;&gt;"""", GOOGLETRANSLATE(G1308, ""en"", ""te""),"""")"),"")</f>
        <v/>
      </c>
      <c r="I1308" s="3"/>
    </row>
    <row r="1309" customHeight="1" spans="1:9">
      <c r="A1309" s="2"/>
      <c r="B1309" s="2" t="str">
        <f>IFERROR(__xludf.DUMMYFUNCTION("IF(A1309&lt;&gt;"""", GOOGLETRANSLATE(A1309, ""en"", ""te""),"""")"),"")</f>
        <v/>
      </c>
      <c r="C1309" s="2"/>
      <c r="D1309" s="2" t="str">
        <f>IFERROR(__xludf.DUMMYFUNCTION("IF(C1309&lt;&gt;"""", GOOGLETRANSLATE(C1309, ""en"", ""te""),"""")"),"")</f>
        <v/>
      </c>
      <c r="E1309" s="2"/>
      <c r="F1309" s="2" t="str">
        <f>IFERROR(__xludf.DUMMYFUNCTION("IF(E1309&lt;&gt;"""", GOOGLETRANSLATE(E1309, ""en"", ""te""),"""")"),"")</f>
        <v/>
      </c>
      <c r="G1309" s="2"/>
      <c r="H1309" s="2" t="str">
        <f>IFERROR(__xludf.DUMMYFUNCTION("IF(G1309&lt;&gt;"""", GOOGLETRANSLATE(G1309, ""en"", ""te""),"""")"),"")</f>
        <v/>
      </c>
      <c r="I1309" s="3"/>
    </row>
    <row r="1310" customHeight="1" spans="1:9">
      <c r="A1310" s="2"/>
      <c r="B1310" s="2" t="str">
        <f>IFERROR(__xludf.DUMMYFUNCTION("IF(A1310&lt;&gt;"""", GOOGLETRANSLATE(A1310, ""en"", ""te""),"""")"),"")</f>
        <v/>
      </c>
      <c r="C1310" s="2"/>
      <c r="D1310" s="2" t="str">
        <f>IFERROR(__xludf.DUMMYFUNCTION("IF(C1310&lt;&gt;"""", GOOGLETRANSLATE(C1310, ""en"", ""te""),"""")"),"")</f>
        <v/>
      </c>
      <c r="E1310" s="2"/>
      <c r="F1310" s="2" t="str">
        <f>IFERROR(__xludf.DUMMYFUNCTION("IF(E1310&lt;&gt;"""", GOOGLETRANSLATE(E1310, ""en"", ""te""),"""")"),"")</f>
        <v/>
      </c>
      <c r="G1310" s="2"/>
      <c r="H1310" s="2" t="str">
        <f>IFERROR(__xludf.DUMMYFUNCTION("IF(G1310&lt;&gt;"""", GOOGLETRANSLATE(G1310, ""en"", ""te""),"""")"),"")</f>
        <v/>
      </c>
      <c r="I1310" s="3"/>
    </row>
    <row r="1311" customHeight="1" spans="1:9">
      <c r="A1311" s="2"/>
      <c r="B1311" s="2" t="str">
        <f>IFERROR(__xludf.DUMMYFUNCTION("IF(A1311&lt;&gt;"""", GOOGLETRANSLATE(A1311, ""en"", ""te""),"""")"),"")</f>
        <v/>
      </c>
      <c r="C1311" s="2"/>
      <c r="D1311" s="2" t="str">
        <f>IFERROR(__xludf.DUMMYFUNCTION("IF(C1311&lt;&gt;"""", GOOGLETRANSLATE(C1311, ""en"", ""te""),"""")"),"")</f>
        <v/>
      </c>
      <c r="E1311" s="2"/>
      <c r="F1311" s="2" t="str">
        <f>IFERROR(__xludf.DUMMYFUNCTION("IF(E1311&lt;&gt;"""", GOOGLETRANSLATE(E1311, ""en"", ""te""),"""")"),"")</f>
        <v/>
      </c>
      <c r="G1311" s="2"/>
      <c r="H1311" s="2" t="str">
        <f>IFERROR(__xludf.DUMMYFUNCTION("IF(G1311&lt;&gt;"""", GOOGLETRANSLATE(G1311, ""en"", ""te""),"""")"),"")</f>
        <v/>
      </c>
      <c r="I1311" s="3"/>
    </row>
    <row r="1312" customHeight="1" spans="1:9">
      <c r="A1312" s="2"/>
      <c r="B1312" s="2" t="str">
        <f>IFERROR(__xludf.DUMMYFUNCTION("IF(A1312&lt;&gt;"""", GOOGLETRANSLATE(A1312, ""en"", ""te""),"""")"),"")</f>
        <v/>
      </c>
      <c r="C1312" s="2" t="s">
        <v>845</v>
      </c>
      <c r="D1312" s="2" t="str">
        <f>IFERROR(__xludf.DUMMYFUNCTION("IF(C1312&lt;&gt;"""", GOOGLETRANSLATE(C1312, ""en"", ""te""),"""")"),"[ '45 వ ఓల్డెస్ట్ కాప్టెన్ (38y 65d)', 'వికెట్ (3) ఉంచింది చేసిన 23 కెప్టెన్ల']")</f>
        <v>[ '45 వ ఓల్డెస్ట్ కాప్టెన్ (38y 65d)', 'వికెట్ (3) ఉంచింది చేసిన 23 కెప్టెన్ల']</v>
      </c>
      <c r="E1312" s="2"/>
      <c r="F1312" s="2" t="str">
        <f>IFERROR(__xludf.DUMMYFUNCTION("IF(E1312&lt;&gt;"""", GOOGLETRANSLATE(E1312, ""en"", ""te""),"""")"),"")</f>
        <v/>
      </c>
      <c r="G1312" s="2"/>
      <c r="H1312" s="2" t="str">
        <f>IFERROR(__xludf.DUMMYFUNCTION("IF(G1312&lt;&gt;"""", GOOGLETRANSLATE(G1312, ""en"", ""te""),"""")"),"")</f>
        <v/>
      </c>
      <c r="I1312" s="3"/>
    </row>
    <row r="1313" customHeight="1" spans="1:9">
      <c r="A1313" s="2" t="s">
        <v>846</v>
      </c>
      <c r="B1313" s="2" t="str">
        <f>IFERROR(__xludf.DUMMYFUNCTION("IF(A1313&lt;&gt;"""", GOOGLETRANSLATE(A1313, ""en"", ""te""),"""")"),"[ '99 నాటౌట్ (199, 299 etc) (99 *)', '2 వ అత్యుత్తమ బౌలింగ్ ఇన్నింగ్స్ లో విశ్లేషించడం (3/1)']")</f>
        <v>[ '99 నాటౌట్ (199, 299 etc) (99 *)', '2 వ అత్యుత్తమ బౌలింగ్ ఇన్నింగ్స్ లో విశ్లేషించడం (3/1)']</v>
      </c>
      <c r="C1313" s="2" t="s">
        <v>847</v>
      </c>
      <c r="D1313" s="2" t="str">
        <f>IFERROR(__xludf.DUMMYFUNCTION("IF(C1313&lt;&gt;"""", GOOGLETRANSLATE(C1313, ""en"", ""te""),"""")"),"[ '2 వ అత్యుత్తమ ఇన్నింగ్స్ (3/1) విశ్లేషణలలో బౌలింగ్']")</f>
        <v>[ '2 వ అత్యుత్తమ ఇన్నింగ్స్ (3/1) విశ్లేషణలలో బౌలింగ్']</v>
      </c>
      <c r="E1313" s="2" t="s">
        <v>848</v>
      </c>
      <c r="F1313" s="2" t="str">
        <f>IFERROR(__xludf.DUMMYFUNCTION("IF(E1313&lt;&gt;"""", GOOGLETRANSLATE(E1313, ""en"", ""te""),"""")"),"[ '27 అత్యంత వృద్ధ ఆటగాడు తొలి తీసుకుని ఐదు-వికెట్ల లో-ఒక-ఇన్నింగ్స్ (31y 260d)']")</f>
        <v>[ '27 అత్యంత వృద్ధ ఆటగాడు తొలి తీసుకుని ఐదు-వికెట్ల లో-ఒక-ఇన్నింగ్స్ (31y 260d)']</v>
      </c>
      <c r="G1313" s="2"/>
      <c r="H1313" s="2" t="str">
        <f>IFERROR(__xludf.DUMMYFUNCTION("IF(G1313&lt;&gt;"""", GOOGLETRANSLATE(G1313, ""en"", ""te""),"""")"),"")</f>
        <v/>
      </c>
      <c r="I1313" s="3"/>
    </row>
    <row r="1314" customHeight="1" spans="1:9">
      <c r="A1314" s="2" t="s">
        <v>814</v>
      </c>
      <c r="B1314" s="2" t="str">
        <f>IFERROR(__xludf.DUMMYFUNCTION("IF(A1314&lt;&gt;"""", GOOGLETRANSLATE(A1314, ""en"", ""te""),"""")"),"[ 'ఒక ఇన్నింగ్స్ లో 8 వ బెస్ట్ ఫిగర్స్ ఉన్నప్పుడు పరాజయం వైపు (4)']")</f>
        <v>[ 'ఒక ఇన్నింగ్స్ లో 8 వ బెస్ట్ ఫిగర్స్ ఉన్నప్పుడు పరాజయం వైపు (4)']</v>
      </c>
      <c r="C1314" s="2"/>
      <c r="D1314" s="2" t="str">
        <f>IFERROR(__xludf.DUMMYFUNCTION("IF(C1314&lt;&gt;"""", GOOGLETRANSLATE(C1314, ""en"", ""te""),"""")"),"")</f>
        <v/>
      </c>
      <c r="E1314" s="2"/>
      <c r="F1314" s="2" t="str">
        <f>IFERROR(__xludf.DUMMYFUNCTION("IF(E1314&lt;&gt;"""", GOOGLETRANSLATE(E1314, ""en"", ""te""),"""")"),"")</f>
        <v/>
      </c>
      <c r="G1314" s="2" t="s">
        <v>849</v>
      </c>
      <c r="H1314" s="2" t="str">
        <f>IFERROR(__xludf.DUMMYFUNCTION("IF(G1314&lt;&gt;"""", GOOGLETRANSLATE(G1314, ""en"", ""te""),"""")"),"[ 'ఒక ఇన్నింగ్స్ లో 8 వ బెస్ట్ ఫిగర్స్ పరాజయం వైపు (4) ఉన్నప్పుడు', '43 వ అత్యంత ఇన్నింగ్స్ లో సాధించిన పరుగులు (56)', '17 వ బౌలర్ / బ్యాట్స్ కలయికలు (3)']")</f>
        <v>[ 'ఒక ఇన్నింగ్స్ లో 8 వ బెస్ట్ ఫిగర్స్ పరాజయం వైపు (4) ఉన్నప్పుడు', '43 వ అత్యంత ఇన్నింగ్స్ లో సాధించిన పరుగులు (56)', '17 వ బౌలర్ / బ్యాట్స్ కలయికలు (3)']</v>
      </c>
      <c r="I1314" s="3"/>
    </row>
    <row r="1315" customHeight="1" spans="1:9">
      <c r="A1315" s="2"/>
      <c r="B1315" s="2" t="str">
        <f>IFERROR(__xludf.DUMMYFUNCTION("IF(A1315&lt;&gt;"""", GOOGLETRANSLATE(A1315, ""en"", ""te""),"""")"),"")</f>
        <v/>
      </c>
      <c r="C1315" s="2"/>
      <c r="D1315" s="2" t="str">
        <f>IFERROR(__xludf.DUMMYFUNCTION("IF(C1315&lt;&gt;"""", GOOGLETRANSLATE(C1315, ""en"", ""te""),"""")"),"")</f>
        <v/>
      </c>
      <c r="E1315" s="2"/>
      <c r="F1315" s="2" t="str">
        <f>IFERROR(__xludf.DUMMYFUNCTION("IF(E1315&lt;&gt;"""", GOOGLETRANSLATE(E1315, ""en"", ""te""),"""")"),"")</f>
        <v/>
      </c>
      <c r="G1315" s="2"/>
      <c r="H1315" s="2" t="str">
        <f>IFERROR(__xludf.DUMMYFUNCTION("IF(G1315&lt;&gt;"""", GOOGLETRANSLATE(G1315, ""en"", ""te""),"""")"),"")</f>
        <v/>
      </c>
      <c r="I1315" s="3"/>
    </row>
    <row r="1316" customHeight="1" spans="1:9">
      <c r="A1316" s="2"/>
      <c r="B1316" s="2" t="str">
        <f>IFERROR(__xludf.DUMMYFUNCTION("IF(A1316&lt;&gt;"""", GOOGLETRANSLATE(A1316, ""en"", ""te""),"""")"),"")</f>
        <v/>
      </c>
      <c r="C1316" s="2"/>
      <c r="D1316" s="2" t="str">
        <f>IFERROR(__xludf.DUMMYFUNCTION("IF(C1316&lt;&gt;"""", GOOGLETRANSLATE(C1316, ""en"", ""te""),"""")"),"")</f>
        <v/>
      </c>
      <c r="E1316" s="2"/>
      <c r="F1316" s="2" t="str">
        <f>IFERROR(__xludf.DUMMYFUNCTION("IF(E1316&lt;&gt;"""", GOOGLETRANSLATE(E1316, ""en"", ""te""),"""")"),"")</f>
        <v/>
      </c>
      <c r="G1316" s="2"/>
      <c r="H1316" s="2" t="str">
        <f>IFERROR(__xludf.DUMMYFUNCTION("IF(G1316&lt;&gt;"""", GOOGLETRANSLATE(G1316, ""en"", ""te""),"""")"),"")</f>
        <v/>
      </c>
      <c r="I1316" s="3"/>
    </row>
    <row r="1317" customHeight="1" spans="1:9">
      <c r="A1317" s="2"/>
      <c r="B1317" s="2" t="str">
        <f>IFERROR(__xludf.DUMMYFUNCTION("IF(A1317&lt;&gt;"""", GOOGLETRANSLATE(A1317, ""en"", ""te""),"""")"),"")</f>
        <v/>
      </c>
      <c r="C1317" s="2" t="s">
        <v>850</v>
      </c>
      <c r="D1317" s="2" t="str">
        <f>IFERROR(__xludf.DUMMYFUNCTION("IF(C1317&lt;&gt;"""", GOOGLETRANSLATE(C1317, ""en"", ""te""),"""")"),"[ '29 వ అత్యధిక పరుగులు ఇన్నింగ్స్ (203) లో సాధించిన]")</f>
        <v>[ '29 వ అత్యధిక పరుగులు ఇన్నింగ్స్ (203) లో సాధించిన]</v>
      </c>
      <c r="E1317" s="2"/>
      <c r="F1317" s="2" t="str">
        <f>IFERROR(__xludf.DUMMYFUNCTION("IF(E1317&lt;&gt;"""", GOOGLETRANSLATE(E1317, ""en"", ""te""),"""")"),"")</f>
        <v/>
      </c>
      <c r="G1317" s="2"/>
      <c r="H1317" s="2" t="str">
        <f>IFERROR(__xludf.DUMMYFUNCTION("IF(G1317&lt;&gt;"""", GOOGLETRANSLATE(G1317, ""en"", ""te""),"""")"),"")</f>
        <v/>
      </c>
      <c r="I1317" s="3"/>
    </row>
    <row r="1318" customHeight="1" spans="1:9">
      <c r="A1318" s="2" t="s">
        <v>851</v>
      </c>
      <c r="B1318" s="2" t="str">
        <f>IFERROR(__xludf.DUMMYFUNCTION("IF(A1318&lt;&gt;"""", GOOGLETRANSLATE(A1318, ""en"", ""te""),"""")"),"[ 'తొలి మ్యాచ్లో 5 వ ఉత్తమ బొమ్మలు (11)']")</f>
        <v>[ 'తొలి మ్యాచ్లో 5 వ ఉత్తమ బొమ్మలు (11)']</v>
      </c>
      <c r="C1318" s="2" t="s">
        <v>852</v>
      </c>
      <c r="D1318" s="2" t="str">
        <f>IFERROR(__xludf.DUMMYFUNCTION("IF(C1318&lt;&gt;"""", GOOGLETRANSLATE(C1318, ""en"", ""te""),"""")"),"[ '24 ఒక ఇన్నింగ్స్ లోని బెస్ట్ ఫిగర్స్ పరాజయం వైపు (7) ఉన్నప్పుడు', '15 వ బెస్ట్ ఫిగర్స్ ఒక మ్యాచ్లో పరాజయం వైపు ఉన్నప్పుడు (11)', '9 వ బెస్ట్ ఫిగర్స్' 36 వ ఉత్తమ కెరీర్ సగటు (22.15) బౌలింగ్ ' అరంగేట్రంలోనే ఇన్నింగ్స్లో (7) ',' ప్రవేశం (11) ఒక మ్యాచ్లో"&amp;" 5 వ బెస్ట్ ఫిగర్స్ ']")</f>
        <v>[ '24 ఒక ఇన్నింగ్స్ లోని బెస్ట్ ఫిగర్స్ పరాజయం వైపు (7) ఉన్నప్పుడు', '15 వ బెస్ట్ ఫిగర్స్ ఒక మ్యాచ్లో పరాజయం వైపు ఉన్నప్పుడు (11)', '9 వ బెస్ట్ ఫిగర్స్' 36 వ ఉత్తమ కెరీర్ సగటు (22.15) బౌలింగ్ ' అరంగేట్రంలోనే ఇన్నింగ్స్లో (7) ',' ప్రవేశం (11) ఒక మ్యాచ్లో 5 వ బెస్ట్ ఫిగర్స్ ']</v>
      </c>
      <c r="E1318" s="2"/>
      <c r="F1318" s="2" t="str">
        <f>IFERROR(__xludf.DUMMYFUNCTION("IF(E1318&lt;&gt;"""", GOOGLETRANSLATE(E1318, ""en"", ""te""),"""")"),"")</f>
        <v/>
      </c>
      <c r="G1318" s="2"/>
      <c r="H1318" s="2" t="str">
        <f>IFERROR(__xludf.DUMMYFUNCTION("IF(G1318&lt;&gt;"""", GOOGLETRANSLATE(G1318, ""en"", ""te""),"""")"),"")</f>
        <v/>
      </c>
      <c r="I1318" s="3"/>
    </row>
    <row r="1319" customHeight="1" spans="1:9">
      <c r="A1319" s="2"/>
      <c r="B1319" s="2" t="str">
        <f>IFERROR(__xludf.DUMMYFUNCTION("IF(A1319&lt;&gt;"""", GOOGLETRANSLATE(A1319, ""en"", ""te""),"""")"),"")</f>
        <v/>
      </c>
      <c r="C1319" s="2"/>
      <c r="D1319" s="2" t="str">
        <f>IFERROR(__xludf.DUMMYFUNCTION("IF(C1319&lt;&gt;"""", GOOGLETRANSLATE(C1319, ""en"", ""te""),"""")"),"")</f>
        <v/>
      </c>
      <c r="E1319" s="2"/>
      <c r="F1319" s="2" t="str">
        <f>IFERROR(__xludf.DUMMYFUNCTION("IF(E1319&lt;&gt;"""", GOOGLETRANSLATE(E1319, ""en"", ""te""),"""")"),"")</f>
        <v/>
      </c>
      <c r="G1319" s="2"/>
      <c r="H1319" s="2" t="str">
        <f>IFERROR(__xludf.DUMMYFUNCTION("IF(G1319&lt;&gt;"""", GOOGLETRANSLATE(G1319, ""en"", ""te""),"""")"),"")</f>
        <v/>
      </c>
      <c r="I1319" s="3"/>
    </row>
    <row r="1320" customHeight="1" spans="1:9">
      <c r="A1320" s="2" t="s">
        <v>853</v>
      </c>
      <c r="B1320" s="2" t="str">
        <f>IFERROR(__xludf.DUMMYFUNCTION("IF(A1320&lt;&gt;"""", GOOGLETRANSLATE(A1320, ""en"", ""te""),"""")"),"[ 'ఇన్నింగ్స్ లో 1 వ అత్యధిక క్యాచ్లు (3)']")</f>
        <v>[ 'ఇన్నింగ్స్ లో 1 వ అత్యధిక క్యాచ్లు (3)']</v>
      </c>
      <c r="C1320" s="2" t="s">
        <v>854</v>
      </c>
      <c r="D1320" s="2" t="str">
        <f>IFERROR(__xludf.DUMMYFUNCTION("IF(C1320&lt;&gt;"""", GOOGLETRANSLATE(C1320, ""en"", ""te""),"""")"),"[కోసం, 'ఒక కెప్టెన్తో ఇన్నింగ్స్ 23 వ అత్యధిక పరుగులు (95)', '1 వ ఇన్నింగ్స్ లో అత్యధిక క్యాచ్లు (3)', '20 వ అత్యధిక భాగస్వామ్యం' 22 వ పరాజయం వైపు (85) ఒక మ్యాచ్లో అత్యధిక పరుగులు ' ఆరవ వికెట్ (77) ']")</f>
        <v>[కోసం, 'ఒక కెప్టెన్తో ఇన్నింగ్స్ 23 వ అత్యధిక పరుగులు (95)', '1 వ ఇన్నింగ్స్ లో అత్యధిక క్యాచ్లు (3)', '20 వ అత్యధిక భాగస్వామ్యం' 22 వ పరాజయం వైపు (85) ఒక మ్యాచ్లో అత్యధిక పరుగులు ' ఆరవ వికెట్ (77) ']</v>
      </c>
      <c r="E1320" s="2" t="s">
        <v>855</v>
      </c>
      <c r="F1320" s="2" t="str">
        <f>IFERROR(__xludf.DUMMYFUNCTION("IF(E1320&lt;&gt;"""", GOOGLETRANSLATE(E1320, ""en"", ""te""),"""")"),"[ '23 లాంగెస్ట్ ప్రదర్శనల మధ్య వ్యవధిలో (6y 195d)', '49 వ వరుస మ్యాచ్లు ఆడి మధ్య జట్టుకు దూరమయ్యాడు (29)', '38 వ అత్యధిక మ్యాచ్లు కెప్టెన్గా (19)' ఒక జట్టు కెప్టెన్గా, '32 వ వరుస మ్యాచ్లు (19) ']")</f>
        <v>[ '23 లాంగెస్ట్ ప్రదర్శనల మధ్య వ్యవధిలో (6y 195d)', '49 వ వరుస మ్యాచ్లు ఆడి మధ్య జట్టుకు దూరమయ్యాడు (29)', '38 వ అత్యధిక మ్యాచ్లు కెప్టెన్గా (19)' ఒక జట్టు కెప్టెన్గా, '32 వ వరుస మ్యాచ్లు (19) ']</v>
      </c>
      <c r="G1320" s="2" t="s">
        <v>856</v>
      </c>
      <c r="H1320" s="2" t="str">
        <f>IFERROR(__xludf.DUMMYFUNCTION("IF(G1320&lt;&gt;"""", GOOGLETRANSLATE(G1320, ""en"", ""te""),"""")"),"[ '14 వ తొలి మ్యాచ్లో అత్యధిక పరుగులు (51)']")</f>
        <v>[ '14 వ తొలి మ్యాచ్లో అత్యధిక పరుగులు (51)']</v>
      </c>
      <c r="I1320" s="3"/>
    </row>
    <row r="1321" customHeight="1" spans="1:9">
      <c r="A1321" s="2"/>
      <c r="B1321" s="2" t="str">
        <f>IFERROR(__xludf.DUMMYFUNCTION("IF(A1321&lt;&gt;"""", GOOGLETRANSLATE(A1321, ""en"", ""te""),"""")"),"")</f>
        <v/>
      </c>
      <c r="C1321" s="2"/>
      <c r="D1321" s="2" t="str">
        <f>IFERROR(__xludf.DUMMYFUNCTION("IF(C1321&lt;&gt;"""", GOOGLETRANSLATE(C1321, ""en"", ""te""),"""")"),"")</f>
        <v/>
      </c>
      <c r="E1321" s="2"/>
      <c r="F1321" s="2" t="str">
        <f>IFERROR(__xludf.DUMMYFUNCTION("IF(E1321&lt;&gt;"""", GOOGLETRANSLATE(E1321, ""en"", ""te""),"""")"),"")</f>
        <v/>
      </c>
      <c r="G1321" s="2"/>
      <c r="H1321" s="2" t="str">
        <f>IFERROR(__xludf.DUMMYFUNCTION("IF(G1321&lt;&gt;"""", GOOGLETRANSLATE(G1321, ""en"", ""te""),"""")"),"")</f>
        <v/>
      </c>
      <c r="I1321" s="3"/>
    </row>
    <row r="1322" customHeight="1" spans="1:9">
      <c r="A1322" s="2" t="s">
        <v>153</v>
      </c>
      <c r="B1322" s="2" t="str">
        <f>IFERROR(__xludf.DUMMYFUNCTION("IF(A1322&lt;&gt;"""", GOOGLETRANSLATE(A1322, ""en"", ""te""),"""")"),"[ 'రెండు దేశాలకు ప్రాతినిధ్యం']")</f>
        <v>[ 'రెండు దేశాలకు ప్రాతినిధ్యం']</v>
      </c>
      <c r="C1322" s="2"/>
      <c r="D1322" s="2" t="str">
        <f>IFERROR(__xludf.DUMMYFUNCTION("IF(C1322&lt;&gt;"""", GOOGLETRANSLATE(C1322, ""en"", ""te""),"""")"),"")</f>
        <v/>
      </c>
      <c r="E1322" s="2"/>
      <c r="F1322" s="2" t="str">
        <f>IFERROR(__xludf.DUMMYFUNCTION("IF(E1322&lt;&gt;"""", GOOGLETRANSLATE(E1322, ""en"", ""te""),"""")"),"")</f>
        <v/>
      </c>
      <c r="G1322" s="2"/>
      <c r="H1322" s="2" t="str">
        <f>IFERROR(__xludf.DUMMYFUNCTION("IF(G1322&lt;&gt;"""", GOOGLETRANSLATE(G1322, ""en"", ""te""),"""")"),"")</f>
        <v/>
      </c>
      <c r="I1322" s="3"/>
    </row>
    <row r="1323" customHeight="1" spans="1:9">
      <c r="A1323" s="2" t="s">
        <v>857</v>
      </c>
      <c r="B1323" s="2" t="str">
        <f>IFERROR(__xludf.DUMMYFUNCTION("IF(A1323&lt;&gt;"""", GOOGLETRANSLATE(A1323, ""en"", ""te""),"""")"),"[ 'ప్రవేశం (102) పై వంద']")</f>
        <v>[ 'ప్రవేశం (102) పై వంద']</v>
      </c>
      <c r="C1323" s="2"/>
      <c r="D1323" s="2" t="str">
        <f>IFERROR(__xludf.DUMMYFUNCTION("IF(C1323&lt;&gt;"""", GOOGLETRANSLATE(C1323, ""en"", ""te""),"""")"),"")</f>
        <v/>
      </c>
      <c r="E1323" s="2" t="s">
        <v>858</v>
      </c>
      <c r="F1323" s="2" t="str">
        <f>IFERROR(__xludf.DUMMYFUNCTION("IF(E1323&lt;&gt;"""", GOOGLETRANSLATE(E1323, ""en"", ""te""),"""")"),"[ '14 వ తొలి మ్యాచ్లో అత్యధిక పరుగులు (102)']")</f>
        <v>[ '14 వ తొలి మ్యాచ్లో అత్యధిక పరుగులు (102)']</v>
      </c>
      <c r="G1323" s="2" t="s">
        <v>859</v>
      </c>
      <c r="H1323" s="2" t="str">
        <f>IFERROR(__xludf.DUMMYFUNCTION("IF(G1323&lt;&gt;"""", GOOGLETRANSLATE(G1323, ""en"", ""te""),"""")"),"[ 'ఏ వికెట్కు 47 వ అత్యధిక భాగస్వామ్యాల (131)', 'రెండవ వికెట్ (131) కోసం 14 అత్యధిక భాగస్వామ్యం']")</f>
        <v>[ 'ఏ వికెట్కు 47 వ అత్యధిక భాగస్వామ్యాల (131)', 'రెండవ వికెట్ (131) కోసం 14 అత్యధిక భాగస్వామ్యం']</v>
      </c>
      <c r="I1323" s="3"/>
    </row>
    <row r="1324" customHeight="1" spans="1:9">
      <c r="A1324" s="2"/>
      <c r="B1324" s="2" t="str">
        <f>IFERROR(__xludf.DUMMYFUNCTION("IF(A1324&lt;&gt;"""", GOOGLETRANSLATE(A1324, ""en"", ""te""),"""")"),"")</f>
        <v/>
      </c>
      <c r="C1324" s="2"/>
      <c r="D1324" s="2" t="str">
        <f>IFERROR(__xludf.DUMMYFUNCTION("IF(C1324&lt;&gt;"""", GOOGLETRANSLATE(C1324, ""en"", ""te""),"""")"),"")</f>
        <v/>
      </c>
      <c r="E1324" s="2"/>
      <c r="F1324" s="2" t="str">
        <f>IFERROR(__xludf.DUMMYFUNCTION("IF(E1324&lt;&gt;"""", GOOGLETRANSLATE(E1324, ""en"", ""te""),"""")"),"")</f>
        <v/>
      </c>
      <c r="G1324" s="2"/>
      <c r="H1324" s="2" t="str">
        <f>IFERROR(__xludf.DUMMYFUNCTION("IF(G1324&lt;&gt;"""", GOOGLETRANSLATE(G1324, ""en"", ""te""),"""")"),"")</f>
        <v/>
      </c>
      <c r="I1324" s="3"/>
    </row>
    <row r="1325" customHeight="1" spans="1:9">
      <c r="A1325" s="2"/>
      <c r="B1325" s="2" t="str">
        <f>IFERROR(__xludf.DUMMYFUNCTION("IF(A1325&lt;&gt;"""", GOOGLETRANSLATE(A1325, ""en"", ""te""),"""")"),"")</f>
        <v/>
      </c>
      <c r="C1325" s="2"/>
      <c r="D1325" s="2" t="str">
        <f>IFERROR(__xludf.DUMMYFUNCTION("IF(C1325&lt;&gt;"""", GOOGLETRANSLATE(C1325, ""en"", ""te""),"""")"),"")</f>
        <v/>
      </c>
      <c r="E1325" s="2"/>
      <c r="F1325" s="2" t="str">
        <f>IFERROR(__xludf.DUMMYFUNCTION("IF(E1325&lt;&gt;"""", GOOGLETRANSLATE(E1325, ""en"", ""te""),"""")"),"")</f>
        <v/>
      </c>
      <c r="G1325" s="2"/>
      <c r="H1325" s="2" t="str">
        <f>IFERROR(__xludf.DUMMYFUNCTION("IF(G1325&lt;&gt;"""", GOOGLETRANSLATE(G1325, ""en"", ""te""),"""")"),"")</f>
        <v/>
      </c>
      <c r="I1325" s="3"/>
    </row>
    <row r="1326" customHeight="1" spans="1:9">
      <c r="A1326" s="2"/>
      <c r="B1326" s="2" t="str">
        <f>IFERROR(__xludf.DUMMYFUNCTION("IF(A1326&lt;&gt;"""", GOOGLETRANSLATE(A1326, ""en"", ""te""),"""")"),"")</f>
        <v/>
      </c>
      <c r="C1326" s="2"/>
      <c r="D1326" s="2" t="str">
        <f>IFERROR(__xludf.DUMMYFUNCTION("IF(C1326&lt;&gt;"""", GOOGLETRANSLATE(C1326, ""en"", ""te""),"""")"),"")</f>
        <v/>
      </c>
      <c r="E1326" s="2"/>
      <c r="F1326" s="2" t="str">
        <f>IFERROR(__xludf.DUMMYFUNCTION("IF(E1326&lt;&gt;"""", GOOGLETRANSLATE(E1326, ""en"", ""te""),"""")"),"")</f>
        <v/>
      </c>
      <c r="G1326" s="2"/>
      <c r="H1326" s="2" t="str">
        <f>IFERROR(__xludf.DUMMYFUNCTION("IF(G1326&lt;&gt;"""", GOOGLETRANSLATE(G1326, ""en"", ""te""),"""")"),"")</f>
        <v/>
      </c>
      <c r="I1326" s="3"/>
    </row>
    <row r="1327" customHeight="1" spans="1:9">
      <c r="A1327" s="2"/>
      <c r="B1327" s="2" t="str">
        <f>IFERROR(__xludf.DUMMYFUNCTION("IF(A1327&lt;&gt;"""", GOOGLETRANSLATE(A1327, ""en"", ""te""),"""")"),"")</f>
        <v/>
      </c>
      <c r="C1327" s="2"/>
      <c r="D1327" s="2" t="str">
        <f>IFERROR(__xludf.DUMMYFUNCTION("IF(C1327&lt;&gt;"""", GOOGLETRANSLATE(C1327, ""en"", ""te""),"""")"),"")</f>
        <v/>
      </c>
      <c r="E1327" s="2"/>
      <c r="F1327" s="2" t="str">
        <f>IFERROR(__xludf.DUMMYFUNCTION("IF(E1327&lt;&gt;"""", GOOGLETRANSLATE(E1327, ""en"", ""te""),"""")"),"")</f>
        <v/>
      </c>
      <c r="G1327" s="2"/>
      <c r="H1327" s="2" t="str">
        <f>IFERROR(__xludf.DUMMYFUNCTION("IF(G1327&lt;&gt;"""", GOOGLETRANSLATE(G1327, ""en"", ""te""),"""")"),"")</f>
        <v/>
      </c>
      <c r="I1327" s="3"/>
    </row>
    <row r="1328" customHeight="1" spans="1:9">
      <c r="A1328" s="2"/>
      <c r="B1328" s="2" t="str">
        <f>IFERROR(__xludf.DUMMYFUNCTION("IF(A1328&lt;&gt;"""", GOOGLETRANSLATE(A1328, ""en"", ""te""),"""")"),"")</f>
        <v/>
      </c>
      <c r="C1328" s="2"/>
      <c r="D1328" s="2" t="str">
        <f>IFERROR(__xludf.DUMMYFUNCTION("IF(C1328&lt;&gt;"""", GOOGLETRANSLATE(C1328, ""en"", ""te""),"""")"),"")</f>
        <v/>
      </c>
      <c r="E1328" s="2"/>
      <c r="F1328" s="2" t="str">
        <f>IFERROR(__xludf.DUMMYFUNCTION("IF(E1328&lt;&gt;"""", GOOGLETRANSLATE(E1328, ""en"", ""te""),"""")"),"")</f>
        <v/>
      </c>
      <c r="G1328" s="2"/>
      <c r="H1328" s="2" t="str">
        <f>IFERROR(__xludf.DUMMYFUNCTION("IF(G1328&lt;&gt;"""", GOOGLETRANSLATE(G1328, ""en"", ""te""),"""")"),"")</f>
        <v/>
      </c>
      <c r="I1328" s="3"/>
    </row>
    <row r="1329" customHeight="1" spans="1:9">
      <c r="A1329" s="2"/>
      <c r="B1329" s="2" t="str">
        <f>IFERROR(__xludf.DUMMYFUNCTION("IF(A1329&lt;&gt;"""", GOOGLETRANSLATE(A1329, ""en"", ""te""),"""")"),"")</f>
        <v/>
      </c>
      <c r="C1329" s="2"/>
      <c r="D1329" s="2" t="str">
        <f>IFERROR(__xludf.DUMMYFUNCTION("IF(C1329&lt;&gt;"""", GOOGLETRANSLATE(C1329, ""en"", ""te""),"""")"),"")</f>
        <v/>
      </c>
      <c r="E1329" s="2"/>
      <c r="F1329" s="2" t="str">
        <f>IFERROR(__xludf.DUMMYFUNCTION("IF(E1329&lt;&gt;"""", GOOGLETRANSLATE(E1329, ""en"", ""te""),"""")"),"")</f>
        <v/>
      </c>
      <c r="G1329" s="2"/>
      <c r="H1329" s="2" t="str">
        <f>IFERROR(__xludf.DUMMYFUNCTION("IF(G1329&lt;&gt;"""", GOOGLETRANSLATE(G1329, ""en"", ""te""),"""")"),"")</f>
        <v/>
      </c>
      <c r="I1329" s="3"/>
    </row>
    <row r="1330" customHeight="1" spans="1:9">
      <c r="A1330" s="2"/>
      <c r="B1330" s="2" t="str">
        <f>IFERROR(__xludf.DUMMYFUNCTION("IF(A1330&lt;&gt;"""", GOOGLETRANSLATE(A1330, ""en"", ""te""),"""")"),"")</f>
        <v/>
      </c>
      <c r="C1330" s="2"/>
      <c r="D1330" s="2" t="str">
        <f>IFERROR(__xludf.DUMMYFUNCTION("IF(C1330&lt;&gt;"""", GOOGLETRANSLATE(C1330, ""en"", ""te""),"""")"),"")</f>
        <v/>
      </c>
      <c r="E1330" s="2"/>
      <c r="F1330" s="2" t="str">
        <f>IFERROR(__xludf.DUMMYFUNCTION("IF(E1330&lt;&gt;"""", GOOGLETRANSLATE(E1330, ""en"", ""te""),"""")"),"")</f>
        <v/>
      </c>
      <c r="G1330" s="2"/>
      <c r="H1330" s="2" t="str">
        <f>IFERROR(__xludf.DUMMYFUNCTION("IF(G1330&lt;&gt;"""", GOOGLETRANSLATE(G1330, ""en"", ""te""),"""")"),"")</f>
        <v/>
      </c>
      <c r="I1330" s="3"/>
    </row>
    <row r="1331" customHeight="1" spans="1:9">
      <c r="A1331" s="2"/>
      <c r="B1331" s="2" t="str">
        <f>IFERROR(__xludf.DUMMYFUNCTION("IF(A1331&lt;&gt;"""", GOOGLETRANSLATE(A1331, ""en"", ""te""),"""")"),"")</f>
        <v/>
      </c>
      <c r="C1331" s="2"/>
      <c r="D1331" s="2" t="str">
        <f>IFERROR(__xludf.DUMMYFUNCTION("IF(C1331&lt;&gt;"""", GOOGLETRANSLATE(C1331, ""en"", ""te""),"""")"),"")</f>
        <v/>
      </c>
      <c r="E1331" s="2"/>
      <c r="F1331" s="2" t="str">
        <f>IFERROR(__xludf.DUMMYFUNCTION("IF(E1331&lt;&gt;"""", GOOGLETRANSLATE(E1331, ""en"", ""te""),"""")"),"")</f>
        <v/>
      </c>
      <c r="G1331" s="2"/>
      <c r="H1331" s="2" t="str">
        <f>IFERROR(__xludf.DUMMYFUNCTION("IF(G1331&lt;&gt;"""", GOOGLETRANSLATE(G1331, ""en"", ""te""),"""")"),"")</f>
        <v/>
      </c>
      <c r="I1331" s="3"/>
    </row>
    <row r="1332" customHeight="1" spans="1:9">
      <c r="A1332" s="2"/>
      <c r="B1332" s="2" t="str">
        <f>IFERROR(__xludf.DUMMYFUNCTION("IF(A1332&lt;&gt;"""", GOOGLETRANSLATE(A1332, ""en"", ""te""),"""")"),"")</f>
        <v/>
      </c>
      <c r="C1332" s="2"/>
      <c r="D1332" s="2" t="str">
        <f>IFERROR(__xludf.DUMMYFUNCTION("IF(C1332&lt;&gt;"""", GOOGLETRANSLATE(C1332, ""en"", ""te""),"""")"),"")</f>
        <v/>
      </c>
      <c r="E1332" s="2"/>
      <c r="F1332" s="2" t="str">
        <f>IFERROR(__xludf.DUMMYFUNCTION("IF(E1332&lt;&gt;"""", GOOGLETRANSLATE(E1332, ""en"", ""te""),"""")"),"")</f>
        <v/>
      </c>
      <c r="G1332" s="2"/>
      <c r="H1332" s="2" t="str">
        <f>IFERROR(__xludf.DUMMYFUNCTION("IF(G1332&lt;&gt;"""", GOOGLETRANSLATE(G1332, ""en"", ""te""),"""")"),"")</f>
        <v/>
      </c>
      <c r="I1332" s="3"/>
    </row>
    <row r="1333" customHeight="1" spans="1:9">
      <c r="A1333" s="2"/>
      <c r="B1333" s="2" t="str">
        <f>IFERROR(__xludf.DUMMYFUNCTION("IF(A1333&lt;&gt;"""", GOOGLETRANSLATE(A1333, ""en"", ""te""),"""")"),"")</f>
        <v/>
      </c>
      <c r="C1333" s="2"/>
      <c r="D1333" s="2" t="str">
        <f>IFERROR(__xludf.DUMMYFUNCTION("IF(C1333&lt;&gt;"""", GOOGLETRANSLATE(C1333, ""en"", ""te""),"""")"),"")</f>
        <v/>
      </c>
      <c r="E1333" s="2"/>
      <c r="F1333" s="2" t="str">
        <f>IFERROR(__xludf.DUMMYFUNCTION("IF(E1333&lt;&gt;"""", GOOGLETRANSLATE(E1333, ""en"", ""te""),"""")"),"")</f>
        <v/>
      </c>
      <c r="G1333" s="2"/>
      <c r="H1333" s="2" t="str">
        <f>IFERROR(__xludf.DUMMYFUNCTION("IF(G1333&lt;&gt;"""", GOOGLETRANSLATE(G1333, ""en"", ""te""),"""")"),"")</f>
        <v/>
      </c>
      <c r="I1333" s="3"/>
    </row>
    <row r="1334" customHeight="1" spans="1:9">
      <c r="A1334" s="2" t="s">
        <v>860</v>
      </c>
      <c r="B1334" s="2" t="str">
        <f>IFERROR(__xludf.DUMMYFUNCTION("IF(A1334&lt;&gt;"""", GOOGLETRANSLATE(A1334, ""en"", ""te""),"""")"),"[ '10 వ అంపాయర్ (33) గా అత్యధిక మ్యాచ్లు']")</f>
        <v>[ '10 వ అంపాయర్ (33) గా అత్యధిక మ్యాచ్లు']</v>
      </c>
      <c r="C1334" s="2"/>
      <c r="D1334" s="2" t="str">
        <f>IFERROR(__xludf.DUMMYFUNCTION("IF(C1334&lt;&gt;"""", GOOGLETRANSLATE(C1334, ""en"", ""te""),"""")"),"")</f>
        <v/>
      </c>
      <c r="E1334" s="2"/>
      <c r="F1334" s="2" t="str">
        <f>IFERROR(__xludf.DUMMYFUNCTION("IF(E1334&lt;&gt;"""", GOOGLETRANSLATE(E1334, ""en"", ""te""),"""")"),"")</f>
        <v/>
      </c>
      <c r="G1334" s="2" t="s">
        <v>860</v>
      </c>
      <c r="H1334" s="2" t="str">
        <f>IFERROR(__xludf.DUMMYFUNCTION("IF(G1334&lt;&gt;"""", GOOGLETRANSLATE(G1334, ""en"", ""te""),"""")"),"[ '10 వ అంపాయర్ (33) గా అత్యధిక మ్యాచ్లు']")</f>
        <v>[ '10 వ అంపాయర్ (33) గా అత్యధిక మ్యాచ్లు']</v>
      </c>
      <c r="I1334" s="3"/>
    </row>
    <row r="1335" customHeight="1" spans="1:9">
      <c r="A1335" s="2"/>
      <c r="B1335" s="2" t="str">
        <f>IFERROR(__xludf.DUMMYFUNCTION("IF(A1335&lt;&gt;"""", GOOGLETRANSLATE(A1335, ""en"", ""te""),"""")"),"")</f>
        <v/>
      </c>
      <c r="C1335" s="2"/>
      <c r="D1335" s="2" t="str">
        <f>IFERROR(__xludf.DUMMYFUNCTION("IF(C1335&lt;&gt;"""", GOOGLETRANSLATE(C1335, ""en"", ""te""),"""")"),"")</f>
        <v/>
      </c>
      <c r="E1335" s="2"/>
      <c r="F1335" s="2" t="str">
        <f>IFERROR(__xludf.DUMMYFUNCTION("IF(E1335&lt;&gt;"""", GOOGLETRANSLATE(E1335, ""en"", ""te""),"""")"),"")</f>
        <v/>
      </c>
      <c r="G1335" s="2"/>
      <c r="H1335" s="2" t="str">
        <f>IFERROR(__xludf.DUMMYFUNCTION("IF(G1335&lt;&gt;"""", GOOGLETRANSLATE(G1335, ""en"", ""te""),"""")"),"")</f>
        <v/>
      </c>
      <c r="I1335" s="3"/>
    </row>
    <row r="1336" customHeight="1" spans="1:9">
      <c r="A1336" s="2"/>
      <c r="B1336" s="2" t="str">
        <f>IFERROR(__xludf.DUMMYFUNCTION("IF(A1336&lt;&gt;"""", GOOGLETRANSLATE(A1336, ""en"", ""te""),"""")"),"")</f>
        <v/>
      </c>
      <c r="C1336" s="2"/>
      <c r="D1336" s="2" t="str">
        <f>IFERROR(__xludf.DUMMYFUNCTION("IF(C1336&lt;&gt;"""", GOOGLETRANSLATE(C1336, ""en"", ""te""),"""")"),"")</f>
        <v/>
      </c>
      <c r="E1336" s="2"/>
      <c r="F1336" s="2" t="str">
        <f>IFERROR(__xludf.DUMMYFUNCTION("IF(E1336&lt;&gt;"""", GOOGLETRANSLATE(E1336, ""en"", ""te""),"""")"),"")</f>
        <v/>
      </c>
      <c r="G1336" s="2"/>
      <c r="H1336" s="2" t="str">
        <f>IFERROR(__xludf.DUMMYFUNCTION("IF(G1336&lt;&gt;"""", GOOGLETRANSLATE(G1336, ""en"", ""te""),"""")"),"")</f>
        <v/>
      </c>
      <c r="I1336" s="3"/>
    </row>
    <row r="1337" customHeight="1" spans="1:9">
      <c r="A1337" s="2"/>
      <c r="B1337" s="2" t="str">
        <f>IFERROR(__xludf.DUMMYFUNCTION("IF(A1337&lt;&gt;"""", GOOGLETRANSLATE(A1337, ""en"", ""te""),"""")"),"")</f>
        <v/>
      </c>
      <c r="C1337" s="2" t="s">
        <v>655</v>
      </c>
      <c r="D1337" s="2" t="str">
        <f>IFERROR(__xludf.DUMMYFUNCTION("IF(C1337&lt;&gt;"""", GOOGLETRANSLATE(C1337, ""en"", ""te""),"""")"),"[ '33 వ ప్రవేశం (8) ఒక మ్యాచ్లో బెస్ట్ ఫిగర్స్']")</f>
        <v>[ '33 వ ప్రవేశం (8) ఒక మ్యాచ్లో బెస్ట్ ఫిగర్స్']</v>
      </c>
      <c r="E1337" s="2"/>
      <c r="F1337" s="2" t="str">
        <f>IFERROR(__xludf.DUMMYFUNCTION("IF(E1337&lt;&gt;"""", GOOGLETRANSLATE(E1337, ""en"", ""te""),"""")"),"")</f>
        <v/>
      </c>
      <c r="G1337" s="2"/>
      <c r="H1337" s="2" t="str">
        <f>IFERROR(__xludf.DUMMYFUNCTION("IF(G1337&lt;&gt;"""", GOOGLETRANSLATE(G1337, ""en"", ""te""),"""")"),"")</f>
        <v/>
      </c>
      <c r="I1337" s="3"/>
    </row>
    <row r="1338" customHeight="1" spans="1:9">
      <c r="A1338" s="2" t="s">
        <v>861</v>
      </c>
      <c r="B1338" s="2" t="str">
        <f>IFERROR(__xludf.DUMMYFUNCTION("IF(A1338&lt;&gt;"""", GOOGLETRANSLATE(A1338, ""en"", ""te""),"""")"),"[ '7th అత్యుత్తమ బౌలింగ్ ఇన్నింగ్స్ లో విశ్లేషించడం (2/5)', '10 వ ఉత్తమ కెరీర్ (6,66) (అర్హత లేకుండా) సగటు బౌలింగ్' 'ఒకే క్రీడా న 1 వ అత్యధిక వికెట్లు (24)', '7 వ అత్యధిక పరుగులు సాధించింది ఇన్నింగ్స్ (89) ',' 1 వ బౌలర్ / ఫీల్డర్ కలయికలు (26) ',' కెరీర్ ల"&amp;"ో 3 వ అత్యధిక వికెట్లు (110) ',' ఇన్నింగ్స్ లో 5 వ చెత్త ఆర్థిక రేటు (18.50) ',' 4 వ కెరీర్ లో బౌల్డ్ చాలా బంతుల్లో ( 2063) ',' 3 వ అత్యధిక కెరీర్ లో పనికత్తెలయొద్ద (14) ',' 4 వ అత్యధిక కెరీర్ లో సాధించిన పరుగులు (1990) ',' 1 వ అత్యధిక వికెట్లు తీసుకున్న "&amp;"బౌల్డ్ (37) ']")</f>
        <v>[ '7th అత్యుత్తమ బౌలింగ్ ఇన్నింగ్స్ లో విశ్లేషించడం (2/5)', '10 వ ఉత్తమ కెరీర్ (6,66) (అర్హత లేకుండా) సగటు బౌలింగ్' 'ఒకే క్రీడా న 1 వ అత్యధిక వికెట్లు (24)', '7 వ అత్యధిక పరుగులు సాధించింది ఇన్నింగ్స్ (89) ',' 1 వ బౌలర్ / ఫీల్డర్ కలయికలు (26) ',' కెరీర్ లో 3 వ అత్యధిక వికెట్లు (110) ',' ఇన్నింగ్స్ లో 5 వ చెత్త ఆర్థిక రేటు (18.50) ',' 4 వ కెరీర్ లో బౌల్డ్ చాలా బంతుల్లో ( 2063) ',' 3 వ అత్యధిక కెరీర్ లో పనికత్తెలయొద్ద (14) ',' 4 వ అత్యధిక కెరీర్ లో సాధించిన పరుగులు (1990) ',' 1 వ అత్యధిక వికెట్లు తీసుకున్న బౌల్డ్ (37) ']</v>
      </c>
      <c r="C1338" s="2" t="s">
        <v>862</v>
      </c>
      <c r="D1338" s="2" t="str">
        <f>IFERROR(__xludf.DUMMYFUNCTION("IF(C1338&lt;&gt;"""", GOOGLETRANSLATE(C1338, ""en"", ""te""),"""")"),"[ '7th అత్యుత్తమ ఇన్నింగ్స్ లో విశ్లేషణలు బౌలింగ్ (2/5)', '10 వ ఉత్తమ కెరీర్ (అర్హత లేకుండా) సగటు బౌలింగ్ (6,66)']")</f>
        <v>[ '7th అత్యుత్తమ ఇన్నింగ్స్ లో విశ్లేషణలు బౌలింగ్ (2/5)', '10 వ ఉత్తమ కెరీర్ (అర్హత లేకుండా) సగటు బౌలింగ్ (6,66)']</v>
      </c>
      <c r="E1338" s="2" t="s">
        <v>863</v>
      </c>
      <c r="F1338" s="2" t="str">
        <f>IFERROR(__xludf.DUMMYFUNCTION("IF(E1338&lt;&gt;"""", GOOGLETRANSLATE(E1338, ""en"", ""te""),"""")"),"[ 'ఇన్నింగ్స్ లో 6 వ ఉత్తమ బొమ్మలు (6/10)', '(150) కెరీర్లో 7 వ అత్యధిక వికెట్లు', 'వరుస 25 వ అత్యధిక వికెట్లు (22)', '27 ఒక క్యాలెండర్ సంవత్సరంలో అత్యధిక వికెట్లు (23)' '1 వ అత్యుత్తమ బౌలింగ్ ఇన్నింగ్స్ లో విశ్లేషించడం (6/10)', '1st ఒకే మైదానంలో అత్యధిక"&amp;" వికెట్లు (24)', '11 వ ఒక ఇన్నింగ్స్ లోని బెస్ట్ ఫిగర్స్ ఉన్నప్పుడు పరాజయం వైపు (4)', '31 ఉత్తమ కెరీర్ సమ్మె రేటు (34.4) ',' ఇన్నింగ్స్ లో 45 వ ఉత్తమ ఆర్థిక రేటు (0.50) ',' ఇన్నింగ్స్ 28 వ ఉత్తమ సమ్మె రేటు (7.7) ',' ఇన్నింగ్స్ లో 32 వ చెత్త ఆర్థిక రేటు ("&amp;"8.90) ',' 15 వ అత్యంత నాలుగు -wickets-ఇన్-ఒక-ఇన్నింగ్స్ కెరీర్లో (5) ',' ఐదు వికెట్ల లో-ఒక-ఇన్నింగ్స్ తీసుకోవాలని 30 వ పిన్న వయస్కుడిగా నిలిచాడు (23y 44d) ',' 11 వ కెరీర్ (5162) లో బౌల్డ్ చాలా బంతుల్లో ',' కెరీర్ (3162) లో 9 వ అత్యంత సాధించిన ',' నడుస్తుం"&amp;"ది ఇన్నింగ్స్ (89) ',' 1 వ బౌలర్ / ఫీల్డర్ కలయికలు (26) ',' 3 వ అత్యంత తీసుకోబడిన వికెట్ల బౌల్డ్ (46) ',' 3 వ అత్యధిక వికెట్లు 7 వ అత్యంత పోగొట్టబడిన పరుగులను తీసుకోకూడదు ఆకర్షించింది (93) ',' 5 వ అత్యధిక వికెట్లు ఒక ఫీల్డర్ చేత క్యాచ్ తీసుకున్న (65) ',' "&amp;"2 వ అత్యంత అత్యధిక వికెట్లు (28) ',' 43 వ అత్యధిక వికెట్లు ఆకర్షించింది తీసుకోబడిన వికెట్ల తీసుకున్న ఎల్బిడబ్ల్యు (11) ',' 32 వ కెరీర్ లో అత్యధిక క్యాచ్లు (33) ',' 47 వ వరుస (6) ',' పదవ వికెట్కు 18 అత్యధిక భాగస్వామ్యం (34) ',' 35 వ అత్యధిక కెరీర్ లో మ్యాచ"&amp;"్ల్లో అత్యధిక క్యాచ్లు ( 106) ',' 32 వ లాంగెస్ట్ కెరీర్లు (14y 56d) ']")</f>
        <v>[ 'ఇన్నింగ్స్ లో 6 వ ఉత్తమ బొమ్మలు (6/10)', '(150) కెరీర్లో 7 వ అత్యధిక వికెట్లు', 'వరుస 25 వ అత్యధిక వికెట్లు (22)', '27 ఒక క్యాలెండర్ సంవత్సరంలో అత్యధిక వికెట్లు (23)' '1 వ అత్యుత్తమ బౌలింగ్ ఇన్నింగ్స్ లో విశ్లేషించడం (6/10)', '1st ఒకే మైదానంలో అత్యధిక వికెట్లు (24)', '11 వ ఒక ఇన్నింగ్స్ లోని బెస్ట్ ఫిగర్స్ ఉన్నప్పుడు పరాజయం వైపు (4)', '31 ఉత్తమ కెరీర్ సమ్మె రేటు (34.4) ',' ఇన్నింగ్స్ లో 45 వ ఉత్తమ ఆర్థిక రేటు (0.50) ',' ఇన్నింగ్స్ 28 వ ఉత్తమ సమ్మె రేటు (7.7) ',' ఇన్నింగ్స్ లో 32 వ చెత్త ఆర్థిక రేటు (8.90) ',' 15 వ అత్యంత నాలుగు -wickets-ఇన్-ఒక-ఇన్నింగ్స్ కెరీర్లో (5) ',' ఐదు వికెట్ల లో-ఒక-ఇన్నింగ్స్ తీసుకోవాలని 30 వ పిన్న వయస్కుడిగా నిలిచాడు (23y 44d) ',' 11 వ కెరీర్ (5162) లో బౌల్డ్ చాలా బంతుల్లో ',' కెరీర్ (3162) లో 9 వ అత్యంత సాధించిన ',' నడుస్తుంది ఇన్నింగ్స్ (89) ',' 1 వ బౌలర్ / ఫీల్డర్ కలయికలు (26) ',' 3 వ అత్యంత తీసుకోబడిన వికెట్ల బౌల్డ్ (46) ',' 3 వ అత్యధిక వికెట్లు 7 వ అత్యంత పోగొట్టబడిన పరుగులను తీసుకోకూడదు ఆకర్షించింది (93) ',' 5 వ అత్యధిక వికెట్లు ఒక ఫీల్డర్ చేత క్యాచ్ తీసుకున్న (65) ',' 2 వ అత్యంత అత్యధిక వికెట్లు (28) ',' 43 వ అత్యధిక వికెట్లు ఆకర్షించింది తీసుకోబడిన వికెట్ల తీసుకున్న ఎల్బిడబ్ల్యు (11) ',' 32 వ కెరీర్ లో అత్యధిక క్యాచ్లు (33) ',' 47 వ వరుస (6) ',' పదవ వికెట్కు 18 అత్యధిక భాగస్వామ్యం (34) ',' 35 వ అత్యధిక కెరీర్ లో మ్యాచ్ల్లో అత్యధిక క్యాచ్లు ( 106) ',' 32 వ లాంగెస్ట్ కెరీర్లు (14y 56d) ']</v>
      </c>
      <c r="G1338" s="2" t="s">
        <v>864</v>
      </c>
      <c r="H1338" s="2" t="str">
        <f>IFERROR(__xludf.DUMMYFUNCTION("IF(G1338&lt;&gt;"""", GOOGLETRANSLATE(G1338, ""en"", ""te""),"""")"),"[ '34 వ కెరీర్ బాతులు (5)', '3 వ అత్యధిక కెరీర్ లో వికెట్లు (110)', '23 వ ఇన్నింగ్స్ లో బెస్ట్ ఫిగర్స్ (5/12)', '22 వ అత్యంత ఒక క్యాలెండర్ సంవత్సరంలో వికెట్లు (20)', '17 వ అత్యుత్తమ ఇన్నింగ్స్ (5/12) బౌలింగ్ విశ్లేషణలు' 'ఒకే మైదానంలో 11 వ అత్యధిక వికెట్ల"&amp;"ు (11)', '28th ఉత్తమ కెరీర్ బౌలింగ్ సరాసరి (18.09)', '49 వ ఉత్తమ కెరీర్ ఆర్థిక రేటు (5.78)', '26 ఉత్తమ కెరీర్ సమ్మె రేటు (18.7)', 'ఇన్నింగ్స్ లో 5 వ చెత్త ఆర్థిక రేటు (18.50)', '13 వ అత్యంత నాలుగు వికెట్లు-ఇన్-ఒక-ఇన్నింగ్స్ కెరీర్లో (2)', '4 వ అత్యంత బంతు"&amp;"ల్లో బౌల్డ్ కెరీర్ (2063) ',' 4 వ కెరీర్ లో సాధించిన అత్యధిక పరుగులు (1990) ',' 43 వ అత్యధిక పరుగులు ఇన్నింగ్స్ (44) ',' 18 వ బౌలర్ / బ్యాట్స్ కలయికలు (4) ',' 34 వ బౌలర్ / ఫీల్డర్ కాంబినేషన్ లో సాధించిన (8 ) ',' 1 వ అత్యధిక వికెట్లు బౌల్డ్ తీసుకున్న (37) "&amp;"',' 3 వ అత్యంత తీసుకోబడిన వికెట్ల ఆకర్షించింది (70) ',' 8 వ అత్యధిక వికెట్లు ఆకర్షించింది తీసుకున్న మరియు బౌల్డ్ (5) ',' 3 వ అత్యధిక వికెట్లు ఒక ఫీల్డర్ చేత క్యాచ్ తీసుకున్న (53) ',' 2 వ అత్యంత చిక్కుకున్న వికెట్ కీపర్ (17) ',' 12 వ అత్యధిక క్యాచ్లు కెరీర"&amp;"్లో (33) ',' 32 వ అత్యధిక భాగస్వామ్యం t కోసం తీసుకోబడిన వికెట్ల n వ వికెట్ (11) ',' 18 వ కెరీర్ లో అత్యధిక మ్యాచ్లు (98) ',' 3 వ అత్యధిక కెరీర్ లో పనికత్తెలయొద్ద (14) ',' 12 వ ఇన్నింగ్స్ లో వచ్చిన ఎక్కువ పనికత్తెలయొద్ద (2) ']")</f>
        <v>[ '34 వ కెరీర్ బాతులు (5)', '3 వ అత్యధిక కెరీర్ లో వికెట్లు (110)', '23 వ ఇన్నింగ్స్ లో బెస్ట్ ఫిగర్స్ (5/12)', '22 వ అత్యంత ఒక క్యాలెండర్ సంవత్సరంలో వికెట్లు (20)', '17 వ అత్యుత్తమ ఇన్నింగ్స్ (5/12) బౌలింగ్ విశ్లేషణలు' 'ఒకే మైదానంలో 11 వ అత్యధిక వికెట్లు (11)', '28th ఉత్తమ కెరీర్ బౌలింగ్ సరాసరి (18.09)', '49 వ ఉత్తమ కెరీర్ ఆర్థిక రేటు (5.78)', '26 ఉత్తమ కెరీర్ సమ్మె రేటు (18.7)', 'ఇన్నింగ్స్ లో 5 వ చెత్త ఆర్థిక రేటు (18.50)', '13 వ అత్యంత నాలుగు వికెట్లు-ఇన్-ఒక-ఇన్నింగ్స్ కెరీర్లో (2)', '4 వ అత్యంత బంతుల్లో బౌల్డ్ కెరీర్ (2063) ',' 4 వ కెరీర్ లో సాధించిన అత్యధిక పరుగులు (1990) ',' 43 వ అత్యధిక పరుగులు ఇన్నింగ్స్ (44) ',' 18 వ బౌలర్ / బ్యాట్స్ కలయికలు (4) ',' 34 వ బౌలర్ / ఫీల్డర్ కాంబినేషన్ లో సాధించిన (8 ) ',' 1 వ అత్యధిక వికెట్లు బౌల్డ్ తీసుకున్న (37) ',' 3 వ అత్యంత తీసుకోబడిన వికెట్ల ఆకర్షించింది (70) ',' 8 వ అత్యధిక వికెట్లు ఆకర్షించింది తీసుకున్న మరియు బౌల్డ్ (5) ',' 3 వ అత్యధిక వికెట్లు ఒక ఫీల్డర్ చేత క్యాచ్ తీసుకున్న (53) ',' 2 వ అత్యంత చిక్కుకున్న వికెట్ కీపర్ (17) ',' 12 వ అత్యధిక క్యాచ్లు కెరీర్లో (33) ',' 32 వ అత్యధిక భాగస్వామ్యం t కోసం తీసుకోబడిన వికెట్ల n వ వికెట్ (11) ',' 18 వ కెరీర్ లో అత్యధిక మ్యాచ్లు (98) ',' 3 వ అత్యధిక కెరీర్ లో పనికత్తెలయొద్ద (14) ',' 12 వ ఇన్నింగ్స్ లో వచ్చిన ఎక్కువ పనికత్తెలయొద్ద (2) ']</v>
      </c>
      <c r="I1338" s="3"/>
    </row>
    <row r="1339" customHeight="1" spans="1:9">
      <c r="A1339" s="2"/>
      <c r="B1339" s="2" t="str">
        <f>IFERROR(__xludf.DUMMYFUNCTION("IF(A1339&lt;&gt;"""", GOOGLETRANSLATE(A1339, ""en"", ""te""),"""")"),"")</f>
        <v/>
      </c>
      <c r="C1339" s="2" t="s">
        <v>865</v>
      </c>
      <c r="D1339" s="2" t="str">
        <f>IFERROR(__xludf.DUMMYFUNCTION("IF(C1339&lt;&gt;"""", GOOGLETRANSLATE(C1339, ""en"", ""te""),"""")"),"[ '22 వ హండ్రెడ్ గత మ్యాచ్లో (102)']")</f>
        <v>[ '22 వ హండ్రెడ్ గత మ్యాచ్లో (102)']</v>
      </c>
      <c r="E1339" s="2"/>
      <c r="F1339" s="2" t="str">
        <f>IFERROR(__xludf.DUMMYFUNCTION("IF(E1339&lt;&gt;"""", GOOGLETRANSLATE(E1339, ""en"", ""te""),"""")"),"")</f>
        <v/>
      </c>
      <c r="G1339" s="2"/>
      <c r="H1339" s="2" t="str">
        <f>IFERROR(__xludf.DUMMYFUNCTION("IF(G1339&lt;&gt;"""", GOOGLETRANSLATE(G1339, ""en"", ""te""),"""")"),"")</f>
        <v/>
      </c>
      <c r="I1339" s="3"/>
    </row>
    <row r="1340" customHeight="1" spans="1:9">
      <c r="A1340" s="2" t="s">
        <v>866</v>
      </c>
      <c r="B1340" s="2" t="str">
        <f>IFERROR(__xludf.DUMMYFUNCTION("IF(A1340&lt;&gt;"""", GOOGLETRANSLATE(A1340, ""en"", ""te""),"""")"),"[ 'ఇన్నింగ్స్ లో 5 వ చెత్త ఆర్థిక రేటు (7.82)', '10 వ అత్యుత్తమ బౌలింగ్ ఇన్నింగ్స్ లో విశ్లేషించడం (7/45)', '2 వ అత్యంత వృద్ధ ఆటగాడు తీసుకుని ఐదు-వికెట్ల లో-ఒక-ఇన్నింగ్స్ (39y 190d)', '6 వ వేగవంతమైన 150 వికెట్లు (89)', '4 వ ఉత్తమ కెరీర్ సమ్మె రేటు (13.4)"&amp;"', '4 వ అత్యంత నాలుగు వికెట్లు-ఇన్-ఒక-ఇన్నింగ్స్ కెరీర్ (4)', '3 వ బౌలర్ / ఫీల్డర్ కలయికలు (10 ) ',' 50 వికెట్లు వేగంగా 2nd (31) ']")</f>
        <v>[ 'ఇన్నింగ్స్ లో 5 వ చెత్త ఆర్థిక రేటు (7.82)', '10 వ అత్యుత్తమ బౌలింగ్ ఇన్నింగ్స్ లో విశ్లేషించడం (7/45)', '2 వ అత్యంత వృద్ధ ఆటగాడు తీసుకుని ఐదు-వికెట్ల లో-ఒక-ఇన్నింగ్స్ (39y 190d)', '6 వ వేగవంతమైన 150 వికెట్లు (89)', '4 వ ఉత్తమ కెరీర్ సమ్మె రేటు (13.4)', '4 వ అత్యంత నాలుగు వికెట్లు-ఇన్-ఒక-ఇన్నింగ్స్ కెరీర్ (4)', '3 వ బౌలర్ / ఫీల్డర్ కలయికలు (10 ) ',' 50 వికెట్లు వేగంగా 2nd (31) ']</v>
      </c>
      <c r="C1340" s="2" t="s">
        <v>867</v>
      </c>
      <c r="D1340" s="2" t="str">
        <f>IFERROR(__xludf.DUMMYFUNCTION("IF(C1340&lt;&gt;"""", GOOGLETRANSLATE(C1340, ""en"", ""te""),"""")"),"[ '37 వ చెత్త కెరీర్లో ఆర్థిక రేటు (3.50)', 'ఇన్నింగ్స్ లో 5 వ చెత్త ఆర్థిక రేటు (7.82)', '40 వ మ్యాచ్లో (260) లో సాధించిన అత్యధిక పరుగులు']")</f>
        <v>[ '37 వ చెత్త కెరీర్లో ఆర్థిక రేటు (3.50)', 'ఇన్నింగ్స్ లో 5 వ చెత్త ఆర్థిక రేటు (7.82)', '40 వ మ్యాచ్లో (260) లో సాధించిన అత్యధిక పరుగులు']</v>
      </c>
      <c r="E1340" s="2" t="s">
        <v>868</v>
      </c>
      <c r="F1340" s="2" t="str">
        <f>IFERROR(__xludf.DUMMYFUNCTION("IF(E1340&lt;&gt;"""", GOOGLETRANSLATE(E1340, ""en"", ""te""),"""")"),"[ '11 వ ఒక ఇన్నింగ్స్ లోని బెస్ట్ ఫిగర్స్ (7/45)', 'ఇన్నింగ్స్ లో 10 వ అత్యుత్తమ బౌలింగ్ విశ్లేషణలు (7/45)', 'ఇన్నింగ్స్ లో 12 వ ఉత్తమ సమ్మె రేటు (6.0)', '15 వ ఉత్తమ ఇన్నింగ్స్ లో సంఖ్యలు తొలి (4) ',' 25 వ అత్యంత ఐదు-వికెట్ల లో-ఒక-ఇన్నింగ్స్ కెరీర్లో (3) "&amp;"',' 25 వ అత్యంత నాలుగు వికెట్లు-ఇన్-ఒక-ఇన్నింగ్స్ కెరీర్లో (10) ',' 2 వ ఓల్డెస్ట్ క్రీడాకారుడు ఒక ఐదు మైడెన్-వికెట్ల లో-ఒక-ఇన్నింగ్స్ (35y 337d) ',' 35 వ అత్యధిక వికెట్లు క్యాచ్ మరియు బౌల్డ్ తీసుకున్న తీసుకుని ఐదు-వికెట్ల లో-ఒక-ఇన్నింగ్స్ (39y 190d) తీసు"&amp;"కోవాలని ',' 5 వ అత్యంత వృద్ధ ఆటగాడు ( 10) ',' 48 వ అత్యధిక వికెట్లు ఒక ఫీల్డర్ చేత క్యాచ్ తీసుకున్న (86) ',' 23 వ అత్యధిక వికెట్లు తీసుకున్న ఎల్బిడబ్ల్యు (37) ',' 50 వికెట్లు వేగంగా 24 (28) ',' 10th 100 వికెట్లు వేగంగా (58) ' '150 వికెట్లు వేగంగా 6 వ (89)"&amp;"', '42 వ ఓల్డెస్ట్ క్రీడాకారులు (40y 101d)']")</f>
        <v>[ '11 వ ఒక ఇన్నింగ్స్ లోని బెస్ట్ ఫిగర్స్ (7/45)', 'ఇన్నింగ్స్ లో 10 వ అత్యుత్తమ బౌలింగ్ విశ్లేషణలు (7/45)', 'ఇన్నింగ్స్ లో 12 వ ఉత్తమ సమ్మె రేటు (6.0)', '15 వ ఉత్తమ ఇన్నింగ్స్ లో సంఖ్యలు తొలి (4) ',' 25 వ అత్యంత ఐదు-వికెట్ల లో-ఒక-ఇన్నింగ్స్ కెరీర్లో (3) ',' 25 వ అత్యంత నాలుగు వికెట్లు-ఇన్-ఒక-ఇన్నింగ్స్ కెరీర్లో (10) ',' 2 వ ఓల్డెస్ట్ క్రీడాకారుడు ఒక ఐదు మైడెన్-వికెట్ల లో-ఒక-ఇన్నింగ్స్ (35y 337d) ',' 35 వ అత్యధిక వికెట్లు క్యాచ్ మరియు బౌల్డ్ తీసుకున్న తీసుకుని ఐదు-వికెట్ల లో-ఒక-ఇన్నింగ్స్ (39y 190d) తీసుకోవాలని ',' 5 వ అత్యంత వృద్ధ ఆటగాడు ( 10) ',' 48 వ అత్యధిక వికెట్లు ఒక ఫీల్డర్ చేత క్యాచ్ తీసుకున్న (86) ',' 23 వ అత్యధిక వికెట్లు తీసుకున్న ఎల్బిడబ్ల్యు (37) ',' 50 వికెట్లు వేగంగా 24 (28) ',' 10th 100 వికెట్లు వేగంగా (58) ' '150 వికెట్లు వేగంగా 6 వ (89)', '42 వ ఓల్డెస్ట్ క్రీడాకారులు (40y 101d)']</v>
      </c>
      <c r="G1340" s="2" t="s">
        <v>869</v>
      </c>
      <c r="H1340" s="2" t="str">
        <f>IFERROR(__xludf.DUMMYFUNCTION("IF(G1340&lt;&gt;"""", GOOGLETRANSLATE(G1340, ""en"", ""te""),"""")"),"[ 'ఇన్నింగ్స్ లో 36 వ బెస్ట్ ఫిగర్స్ (5/23)' '16 వ అత్యధిక కెరీర్ వికెట్లు (63)', 'ఒకే మైదానంలో 25 వ అత్యధిక వికెట్లు (13)', '4 వ ఉత్తమ కెరీర్ బౌలింగ్ సరాసరి (15.04)', '22 వ ఉత్తమ కెరీర్ ఆర్థిక రేటు (6.73)', '4 వ ఉత్తమ కెరీర్ సమ్మె రేటు (13.4)', '4 వ అత్"&amp;"యంత నాలుగు వికెట్లు-ఇన్-ఒక-ఇన్నింగ్స్ కెరీర్లో (4)', '46 వ కెరీర్ లో బౌల్డ్ చాలా బంతుల్లో ( 845) ',' 17 వ బౌలర్ / బ్యాట్స్ కలయికలు (3) ',' 3 వ బౌలర్ / ఫీల్డర్ కలయికలు (10) ',' 20 వ అత్యధిక వికెట్లు తీసుకున్న బౌల్డ్ (14) ',' 46 వ అత్యధిక వికెట్లు తీసుకున్న"&amp;" ఆకర్షించింది (31) ',' 39 వ ఎక్కువ వికెట్లు ఒక ఫీల్డర్ చేత క్యాచ్ తీసుకున్న (27) ',' 9 వ అత్యధిక వికెట్లు తీసుకున్న ఎల్బిడబ్ల్యు (8) ',' 5 వ అత్యధిక వికెట్లు స్టంప్ తీసుకున్న (10) ',' 50 వికెట్లు (31) 2 వ వేగవంతమైన ']")</f>
        <v>[ 'ఇన్నింగ్స్ లో 36 వ బెస్ట్ ఫిగర్స్ (5/23)' '16 వ అత్యధిక కెరీర్ వికెట్లు (63)', 'ఒకే మైదానంలో 25 వ అత్యధిక వికెట్లు (13)', '4 వ ఉత్తమ కెరీర్ బౌలింగ్ సరాసరి (15.04)', '22 వ ఉత్తమ కెరీర్ ఆర్థిక రేటు (6.73)', '4 వ ఉత్తమ కెరీర్ సమ్మె రేటు (13.4)', '4 వ అత్యంత నాలుగు వికెట్లు-ఇన్-ఒక-ఇన్నింగ్స్ కెరీర్లో (4)', '46 వ కెరీర్ లో బౌల్డ్ చాలా బంతుల్లో ( 845) ',' 17 వ బౌలర్ / బ్యాట్స్ కలయికలు (3) ',' 3 వ బౌలర్ / ఫీల్డర్ కలయికలు (10) ',' 20 వ అత్యధిక వికెట్లు తీసుకున్న బౌల్డ్ (14) ',' 46 వ అత్యధిక వికెట్లు తీసుకున్న ఆకర్షించింది (31) ',' 39 వ ఎక్కువ వికెట్లు ఒక ఫీల్డర్ చేత క్యాచ్ తీసుకున్న (27) ',' 9 వ అత్యధిక వికెట్లు తీసుకున్న ఎల్బిడబ్ల్యు (8) ',' 5 వ అత్యధిక వికెట్లు స్టంప్ తీసుకున్న (10) ',' 50 వికెట్లు (31) 2 వ వేగవంతమైన ']</v>
      </c>
      <c r="I1340" s="3"/>
    </row>
    <row r="1341" customHeight="1" spans="1:9">
      <c r="A1341" s="2" t="s">
        <v>870</v>
      </c>
      <c r="B1341" s="2" t="str">
        <f>IFERROR(__xludf.DUMMYFUNCTION("IF(A1341&lt;&gt;"""", GOOGLETRANSLATE(A1341, ""en"", ""te""),"""")"),"[ 'హండ్రెడ్ తొలి (124)', '6 వ అత్యధిక వరుస బాతులు (3)']")</f>
        <v>[ 'హండ్రెడ్ తొలి (124)', '6 వ అత్యధిక వరుస బాతులు (3)']</v>
      </c>
      <c r="C1341" s="2"/>
      <c r="D1341" s="2" t="str">
        <f>IFERROR(__xludf.DUMMYFUNCTION("IF(C1341&lt;&gt;"""", GOOGLETRANSLATE(C1341, ""en"", ""te""),"""")"),"")</f>
        <v/>
      </c>
      <c r="E1341" s="2" t="s">
        <v>871</v>
      </c>
      <c r="F1341" s="2" t="str">
        <f>IFERROR(__xludf.DUMMYFUNCTION("IF(E1341&lt;&gt;"""", GOOGLETRANSLATE(E1341, ""en"", ""te""),"""")"),"[ '3 వ అత్యంత తొలి మ్యాచ్లో పరుగులు (124)', '6 వ అత్యధిక వరుస బాతులు (3)']")</f>
        <v>[ '3 వ అత్యంత తొలి మ్యాచ్లో పరుగులు (124)', '6 వ అత్యధిక వరుస బాతులు (3)']</v>
      </c>
      <c r="G1341" s="2"/>
      <c r="H1341" s="2" t="str">
        <f>IFERROR(__xludf.DUMMYFUNCTION("IF(G1341&lt;&gt;"""", GOOGLETRANSLATE(G1341, ""en"", ""te""),"""")"),"")</f>
        <v/>
      </c>
      <c r="I1341" s="3"/>
    </row>
    <row r="1342" customHeight="1" spans="1:9">
      <c r="A1342" s="2"/>
      <c r="B1342" s="2" t="str">
        <f>IFERROR(__xludf.DUMMYFUNCTION("IF(A1342&lt;&gt;"""", GOOGLETRANSLATE(A1342, ""en"", ""te""),"""")"),"")</f>
        <v/>
      </c>
      <c r="C1342" s="2"/>
      <c r="D1342" s="2" t="str">
        <f>IFERROR(__xludf.DUMMYFUNCTION("IF(C1342&lt;&gt;"""", GOOGLETRANSLATE(C1342, ""en"", ""te""),"""")"),"")</f>
        <v/>
      </c>
      <c r="E1342" s="2"/>
      <c r="F1342" s="2" t="str">
        <f>IFERROR(__xludf.DUMMYFUNCTION("IF(E1342&lt;&gt;"""", GOOGLETRANSLATE(E1342, ""en"", ""te""),"""")"),"")</f>
        <v/>
      </c>
      <c r="G1342" s="2"/>
      <c r="H1342" s="2" t="str">
        <f>IFERROR(__xludf.DUMMYFUNCTION("IF(G1342&lt;&gt;"""", GOOGLETRANSLATE(G1342, ""en"", ""te""),"""")"),"")</f>
        <v/>
      </c>
      <c r="I1342" s="3"/>
    </row>
    <row r="1343" customHeight="1" spans="1:9">
      <c r="A1343" s="2"/>
      <c r="B1343" s="2" t="str">
        <f>IFERROR(__xludf.DUMMYFUNCTION("IF(A1343&lt;&gt;"""", GOOGLETRANSLATE(A1343, ""en"", ""te""),"""")"),"")</f>
        <v/>
      </c>
      <c r="C1343" s="2"/>
      <c r="D1343" s="2" t="str">
        <f>IFERROR(__xludf.DUMMYFUNCTION("IF(C1343&lt;&gt;"""", GOOGLETRANSLATE(C1343, ""en"", ""te""),"""")"),"")</f>
        <v/>
      </c>
      <c r="E1343" s="2"/>
      <c r="F1343" s="2" t="str">
        <f>IFERROR(__xludf.DUMMYFUNCTION("IF(E1343&lt;&gt;"""", GOOGLETRANSLATE(E1343, ""en"", ""te""),"""")"),"")</f>
        <v/>
      </c>
      <c r="G1343" s="2"/>
      <c r="H1343" s="2" t="str">
        <f>IFERROR(__xludf.DUMMYFUNCTION("IF(G1343&lt;&gt;"""", GOOGLETRANSLATE(G1343, ""en"", ""te""),"""")"),"")</f>
        <v/>
      </c>
      <c r="I1343" s="3"/>
    </row>
    <row r="1344" customHeight="1" spans="1:9">
      <c r="A1344" s="2"/>
      <c r="B1344" s="2" t="str">
        <f>IFERROR(__xludf.DUMMYFUNCTION("IF(A1344&lt;&gt;"""", GOOGLETRANSLATE(A1344, ""en"", ""te""),"""")"),"")</f>
        <v/>
      </c>
      <c r="C1344" s="2"/>
      <c r="D1344" s="2" t="str">
        <f>IFERROR(__xludf.DUMMYFUNCTION("IF(C1344&lt;&gt;"""", GOOGLETRANSLATE(C1344, ""en"", ""te""),"""")"),"")</f>
        <v/>
      </c>
      <c r="E1344" s="2"/>
      <c r="F1344" s="2" t="str">
        <f>IFERROR(__xludf.DUMMYFUNCTION("IF(E1344&lt;&gt;"""", GOOGLETRANSLATE(E1344, ""en"", ""te""),"""")"),"")</f>
        <v/>
      </c>
      <c r="G1344" s="2"/>
      <c r="H1344" s="2" t="str">
        <f>IFERROR(__xludf.DUMMYFUNCTION("IF(G1344&lt;&gt;"""", GOOGLETRANSLATE(G1344, ""en"", ""te""),"""")"),"")</f>
        <v/>
      </c>
      <c r="I1344" s="3"/>
    </row>
    <row r="1345" customHeight="1" spans="1:9">
      <c r="A1345" s="2"/>
      <c r="B1345" s="2" t="str">
        <f>IFERROR(__xludf.DUMMYFUNCTION("IF(A1345&lt;&gt;"""", GOOGLETRANSLATE(A1345, ""en"", ""te""),"""")"),"")</f>
        <v/>
      </c>
      <c r="C1345" s="2"/>
      <c r="D1345" s="2" t="str">
        <f>IFERROR(__xludf.DUMMYFUNCTION("IF(C1345&lt;&gt;"""", GOOGLETRANSLATE(C1345, ""en"", ""te""),"""")"),"")</f>
        <v/>
      </c>
      <c r="E1345" s="2"/>
      <c r="F1345" s="2" t="str">
        <f>IFERROR(__xludf.DUMMYFUNCTION("IF(E1345&lt;&gt;"""", GOOGLETRANSLATE(E1345, ""en"", ""te""),"""")"),"")</f>
        <v/>
      </c>
      <c r="G1345" s="2"/>
      <c r="H1345" s="2" t="str">
        <f>IFERROR(__xludf.DUMMYFUNCTION("IF(G1345&lt;&gt;"""", GOOGLETRANSLATE(G1345, ""en"", ""te""),"""")"),"")</f>
        <v/>
      </c>
      <c r="I1345" s="3"/>
    </row>
    <row r="1346" customHeight="1" spans="1:9">
      <c r="A1346" s="2"/>
      <c r="B1346" s="2" t="str">
        <f>IFERROR(__xludf.DUMMYFUNCTION("IF(A1346&lt;&gt;"""", GOOGLETRANSLATE(A1346, ""en"", ""te""),"""")"),"")</f>
        <v/>
      </c>
      <c r="C1346" s="2"/>
      <c r="D1346" s="2" t="str">
        <f>IFERROR(__xludf.DUMMYFUNCTION("IF(C1346&lt;&gt;"""", GOOGLETRANSLATE(C1346, ""en"", ""te""),"""")"),"")</f>
        <v/>
      </c>
      <c r="E1346" s="2"/>
      <c r="F1346" s="2" t="str">
        <f>IFERROR(__xludf.DUMMYFUNCTION("IF(E1346&lt;&gt;"""", GOOGLETRANSLATE(E1346, ""en"", ""te""),"""")"),"")</f>
        <v/>
      </c>
      <c r="G1346" s="2"/>
      <c r="H1346" s="2" t="str">
        <f>IFERROR(__xludf.DUMMYFUNCTION("IF(G1346&lt;&gt;"""", GOOGLETRANSLATE(G1346, ""en"", ""te""),"""")"),"")</f>
        <v/>
      </c>
      <c r="I1346" s="3"/>
    </row>
    <row r="1347" customHeight="1" spans="1:9">
      <c r="A1347" s="2"/>
      <c r="B1347" s="2" t="str">
        <f>IFERROR(__xludf.DUMMYFUNCTION("IF(A1347&lt;&gt;"""", GOOGLETRANSLATE(A1347, ""en"", ""te""),"""")"),"")</f>
        <v/>
      </c>
      <c r="C1347" s="2"/>
      <c r="D1347" s="2" t="str">
        <f>IFERROR(__xludf.DUMMYFUNCTION("IF(C1347&lt;&gt;"""", GOOGLETRANSLATE(C1347, ""en"", ""te""),"""")"),"")</f>
        <v/>
      </c>
      <c r="E1347" s="2"/>
      <c r="F1347" s="2" t="str">
        <f>IFERROR(__xludf.DUMMYFUNCTION("IF(E1347&lt;&gt;"""", GOOGLETRANSLATE(E1347, ""en"", ""te""),"""")"),"")</f>
        <v/>
      </c>
      <c r="G1347" s="2"/>
      <c r="H1347" s="2" t="str">
        <f>IFERROR(__xludf.DUMMYFUNCTION("IF(G1347&lt;&gt;"""", GOOGLETRANSLATE(G1347, ""en"", ""te""),"""")"),"")</f>
        <v/>
      </c>
      <c r="I1347" s="3"/>
    </row>
    <row r="1348" customHeight="1" spans="1:9">
      <c r="A1348" s="2"/>
      <c r="B1348" s="2" t="str">
        <f>IFERROR(__xludf.DUMMYFUNCTION("IF(A1348&lt;&gt;"""", GOOGLETRANSLATE(A1348, ""en"", ""te""),"""")"),"")</f>
        <v/>
      </c>
      <c r="C1348" s="2"/>
      <c r="D1348" s="2" t="str">
        <f>IFERROR(__xludf.DUMMYFUNCTION("IF(C1348&lt;&gt;"""", GOOGLETRANSLATE(C1348, ""en"", ""te""),"""")"),"")</f>
        <v/>
      </c>
      <c r="E1348" s="2"/>
      <c r="F1348" s="2" t="str">
        <f>IFERROR(__xludf.DUMMYFUNCTION("IF(E1348&lt;&gt;"""", GOOGLETRANSLATE(E1348, ""en"", ""te""),"""")"),"")</f>
        <v/>
      </c>
      <c r="G1348" s="2"/>
      <c r="H1348" s="2" t="str">
        <f>IFERROR(__xludf.DUMMYFUNCTION("IF(G1348&lt;&gt;"""", GOOGLETRANSLATE(G1348, ""en"", ""te""),"""")"),"")</f>
        <v/>
      </c>
      <c r="I1348" s="3"/>
    </row>
    <row r="1349" customHeight="1" spans="1:9">
      <c r="A1349" s="2"/>
      <c r="B1349" s="2" t="str">
        <f>IFERROR(__xludf.DUMMYFUNCTION("IF(A1349&lt;&gt;"""", GOOGLETRANSLATE(A1349, ""en"", ""te""),"""")"),"")</f>
        <v/>
      </c>
      <c r="C1349" s="2"/>
      <c r="D1349" s="2" t="str">
        <f>IFERROR(__xludf.DUMMYFUNCTION("IF(C1349&lt;&gt;"""", GOOGLETRANSLATE(C1349, ""en"", ""te""),"""")"),"")</f>
        <v/>
      </c>
      <c r="E1349" s="2"/>
      <c r="F1349" s="2" t="str">
        <f>IFERROR(__xludf.DUMMYFUNCTION("IF(E1349&lt;&gt;"""", GOOGLETRANSLATE(E1349, ""en"", ""te""),"""")"),"")</f>
        <v/>
      </c>
      <c r="G1349" s="2"/>
      <c r="H1349" s="2" t="str">
        <f>IFERROR(__xludf.DUMMYFUNCTION("IF(G1349&lt;&gt;"""", GOOGLETRANSLATE(G1349, ""en"", ""te""),"""")"),"")</f>
        <v/>
      </c>
      <c r="I1349" s="3"/>
    </row>
    <row r="1350" customHeight="1" spans="1:9">
      <c r="A1350" s="2"/>
      <c r="B1350" s="2" t="str">
        <f>IFERROR(__xludf.DUMMYFUNCTION("IF(A1350&lt;&gt;"""", GOOGLETRANSLATE(A1350, ""en"", ""te""),"""")"),"")</f>
        <v/>
      </c>
      <c r="C1350" s="2"/>
      <c r="D1350" s="2" t="str">
        <f>IFERROR(__xludf.DUMMYFUNCTION("IF(C1350&lt;&gt;"""", GOOGLETRANSLATE(C1350, ""en"", ""te""),"""")"),"")</f>
        <v/>
      </c>
      <c r="E1350" s="2"/>
      <c r="F1350" s="2" t="str">
        <f>IFERROR(__xludf.DUMMYFUNCTION("IF(E1350&lt;&gt;"""", GOOGLETRANSLATE(E1350, ""en"", ""te""),"""")"),"")</f>
        <v/>
      </c>
      <c r="G1350" s="2"/>
      <c r="H1350" s="2" t="str">
        <f>IFERROR(__xludf.DUMMYFUNCTION("IF(G1350&lt;&gt;"""", GOOGLETRANSLATE(G1350, ""en"", ""te""),"""")"),"")</f>
        <v/>
      </c>
      <c r="I1350" s="3"/>
    </row>
    <row r="1351" customHeight="1" spans="1:9">
      <c r="A1351" s="2"/>
      <c r="B1351" s="2" t="str">
        <f>IFERROR(__xludf.DUMMYFUNCTION("IF(A1351&lt;&gt;"""", GOOGLETRANSLATE(A1351, ""en"", ""te""),"""")"),"")</f>
        <v/>
      </c>
      <c r="C1351" s="2"/>
      <c r="D1351" s="2" t="str">
        <f>IFERROR(__xludf.DUMMYFUNCTION("IF(C1351&lt;&gt;"""", GOOGLETRANSLATE(C1351, ""en"", ""te""),"""")"),"")</f>
        <v/>
      </c>
      <c r="E1351" s="2"/>
      <c r="F1351" s="2" t="str">
        <f>IFERROR(__xludf.DUMMYFUNCTION("IF(E1351&lt;&gt;"""", GOOGLETRANSLATE(E1351, ""en"", ""te""),"""")"),"")</f>
        <v/>
      </c>
      <c r="G1351" s="2"/>
      <c r="H1351" s="2" t="str">
        <f>IFERROR(__xludf.DUMMYFUNCTION("IF(G1351&lt;&gt;"""", GOOGLETRANSLATE(G1351, ""en"", ""te""),"""")"),"")</f>
        <v/>
      </c>
      <c r="I1351" s="3"/>
    </row>
    <row r="1352" customHeight="1" spans="1:9">
      <c r="A1352" s="2"/>
      <c r="B1352" s="2" t="str">
        <f>IFERROR(__xludf.DUMMYFUNCTION("IF(A1352&lt;&gt;"""", GOOGLETRANSLATE(A1352, ""en"", ""te""),"""")"),"")</f>
        <v/>
      </c>
      <c r="C1352" s="2"/>
      <c r="D1352" s="2" t="str">
        <f>IFERROR(__xludf.DUMMYFUNCTION("IF(C1352&lt;&gt;"""", GOOGLETRANSLATE(C1352, ""en"", ""te""),"""")"),"")</f>
        <v/>
      </c>
      <c r="E1352" s="2"/>
      <c r="F1352" s="2" t="str">
        <f>IFERROR(__xludf.DUMMYFUNCTION("IF(E1352&lt;&gt;"""", GOOGLETRANSLATE(E1352, ""en"", ""te""),"""")"),"")</f>
        <v/>
      </c>
      <c r="G1352" s="2"/>
      <c r="H1352" s="2" t="str">
        <f>IFERROR(__xludf.DUMMYFUNCTION("IF(G1352&lt;&gt;"""", GOOGLETRANSLATE(G1352, ""en"", ""te""),"""")"),"")</f>
        <v/>
      </c>
      <c r="I1352" s="3"/>
    </row>
    <row r="1353" customHeight="1" spans="1:9">
      <c r="A1353" s="2"/>
      <c r="B1353" s="2" t="str">
        <f>IFERROR(__xludf.DUMMYFUNCTION("IF(A1353&lt;&gt;"""", GOOGLETRANSLATE(A1353, ""en"", ""te""),"""")"),"")</f>
        <v/>
      </c>
      <c r="C1353" s="2"/>
      <c r="D1353" s="2" t="str">
        <f>IFERROR(__xludf.DUMMYFUNCTION("IF(C1353&lt;&gt;"""", GOOGLETRANSLATE(C1353, ""en"", ""te""),"""")"),"")</f>
        <v/>
      </c>
      <c r="E1353" s="2"/>
      <c r="F1353" s="2" t="str">
        <f>IFERROR(__xludf.DUMMYFUNCTION("IF(E1353&lt;&gt;"""", GOOGLETRANSLATE(E1353, ""en"", ""te""),"""")"),"")</f>
        <v/>
      </c>
      <c r="G1353" s="2"/>
      <c r="H1353" s="2" t="str">
        <f>IFERROR(__xludf.DUMMYFUNCTION("IF(G1353&lt;&gt;"""", GOOGLETRANSLATE(G1353, ""en"", ""te""),"""")"),"")</f>
        <v/>
      </c>
      <c r="I1353" s="3"/>
    </row>
    <row r="1354" customHeight="1" spans="1:9">
      <c r="A1354" s="2"/>
      <c r="B1354" s="2" t="str">
        <f>IFERROR(__xludf.DUMMYFUNCTION("IF(A1354&lt;&gt;"""", GOOGLETRANSLATE(A1354, ""en"", ""te""),"""")"),"")</f>
        <v/>
      </c>
      <c r="C1354" s="2"/>
      <c r="D1354" s="2" t="str">
        <f>IFERROR(__xludf.DUMMYFUNCTION("IF(C1354&lt;&gt;"""", GOOGLETRANSLATE(C1354, ""en"", ""te""),"""")"),"")</f>
        <v/>
      </c>
      <c r="E1354" s="2"/>
      <c r="F1354" s="2" t="str">
        <f>IFERROR(__xludf.DUMMYFUNCTION("IF(E1354&lt;&gt;"""", GOOGLETRANSLATE(E1354, ""en"", ""te""),"""")"),"")</f>
        <v/>
      </c>
      <c r="G1354" s="2"/>
      <c r="H1354" s="2" t="str">
        <f>IFERROR(__xludf.DUMMYFUNCTION("IF(G1354&lt;&gt;"""", GOOGLETRANSLATE(G1354, ""en"", ""te""),"""")"),"")</f>
        <v/>
      </c>
      <c r="I1354" s="3"/>
    </row>
    <row r="1355" customHeight="1" spans="1:9">
      <c r="A1355" s="2"/>
      <c r="B1355" s="2" t="str">
        <f>IFERROR(__xludf.DUMMYFUNCTION("IF(A1355&lt;&gt;"""", GOOGLETRANSLATE(A1355, ""en"", ""te""),"""")"),"")</f>
        <v/>
      </c>
      <c r="C1355" s="2"/>
      <c r="D1355" s="2" t="str">
        <f>IFERROR(__xludf.DUMMYFUNCTION("IF(C1355&lt;&gt;"""", GOOGLETRANSLATE(C1355, ""en"", ""te""),"""")"),"")</f>
        <v/>
      </c>
      <c r="E1355" s="2"/>
      <c r="F1355" s="2" t="str">
        <f>IFERROR(__xludf.DUMMYFUNCTION("IF(E1355&lt;&gt;"""", GOOGLETRANSLATE(E1355, ""en"", ""te""),"""")"),"")</f>
        <v/>
      </c>
      <c r="G1355" s="2"/>
      <c r="H1355" s="2" t="str">
        <f>IFERROR(__xludf.DUMMYFUNCTION("IF(G1355&lt;&gt;"""", GOOGLETRANSLATE(G1355, ""en"", ""te""),"""")"),"")</f>
        <v/>
      </c>
      <c r="I1355" s="3"/>
    </row>
    <row r="1356" customHeight="1" spans="1:9">
      <c r="A1356" s="2"/>
      <c r="B1356" s="2" t="str">
        <f>IFERROR(__xludf.DUMMYFUNCTION("IF(A1356&lt;&gt;"""", GOOGLETRANSLATE(A1356, ""en"", ""te""),"""")"),"")</f>
        <v/>
      </c>
      <c r="C1356" s="2"/>
      <c r="D1356" s="2" t="str">
        <f>IFERROR(__xludf.DUMMYFUNCTION("IF(C1356&lt;&gt;"""", GOOGLETRANSLATE(C1356, ""en"", ""te""),"""")"),"")</f>
        <v/>
      </c>
      <c r="E1356" s="2"/>
      <c r="F1356" s="2" t="str">
        <f>IFERROR(__xludf.DUMMYFUNCTION("IF(E1356&lt;&gt;"""", GOOGLETRANSLATE(E1356, ""en"", ""te""),"""")"),"")</f>
        <v/>
      </c>
      <c r="G1356" s="2"/>
      <c r="H1356" s="2" t="str">
        <f>IFERROR(__xludf.DUMMYFUNCTION("IF(G1356&lt;&gt;"""", GOOGLETRANSLATE(G1356, ""en"", ""te""),"""")"),"")</f>
        <v/>
      </c>
      <c r="I1356" s="3"/>
    </row>
    <row r="1357" customHeight="1" spans="1:9">
      <c r="A1357" s="2"/>
      <c r="B1357" s="2" t="str">
        <f>IFERROR(__xludf.DUMMYFUNCTION("IF(A1357&lt;&gt;"""", GOOGLETRANSLATE(A1357, ""en"", ""te""),"""")"),"")</f>
        <v/>
      </c>
      <c r="C1357" s="2"/>
      <c r="D1357" s="2" t="str">
        <f>IFERROR(__xludf.DUMMYFUNCTION("IF(C1357&lt;&gt;"""", GOOGLETRANSLATE(C1357, ""en"", ""te""),"""")"),"")</f>
        <v/>
      </c>
      <c r="E1357" s="2"/>
      <c r="F1357" s="2" t="str">
        <f>IFERROR(__xludf.DUMMYFUNCTION("IF(E1357&lt;&gt;"""", GOOGLETRANSLATE(E1357, ""en"", ""te""),"""")"),"")</f>
        <v/>
      </c>
      <c r="G1357" s="2"/>
      <c r="H1357" s="2" t="str">
        <f>IFERROR(__xludf.DUMMYFUNCTION("IF(G1357&lt;&gt;"""", GOOGLETRANSLATE(G1357, ""en"", ""te""),"""")"),"")</f>
        <v/>
      </c>
      <c r="I1357" s="3"/>
    </row>
    <row r="1358" customHeight="1" spans="1:9">
      <c r="A1358" s="2" t="s">
        <v>872</v>
      </c>
      <c r="B1358" s="2" t="str">
        <f>IFERROR(__xludf.DUMMYFUNCTION("IF(A1358&lt;&gt;"""", GOOGLETRANSLATE(A1358, ""en"", ""te""),"""")"),"[ 'ఇన్నింగ్స్ లో 9 వ అత్యధిక పరుగులు (బ్యాటింగ్ స్థానంలో ప్రకారం) (69 *)', '8 వ ఒకే మైదానంలో అత్యధిక వికెట్లు (17)', '10 వ కెరీర్ (3124) లో సాధించిన అత్యధిక పరుగులు', '3 వ అత్యంత ఆకర్షించింది తీసుకోబడిన వికెట్ల అత్యధిక వికెట్లు (25) ',' 250 పరుగులు మరియు"&amp;" ఒక సిరీస్ ',' ఆరవ వికెట్కు 3 వ అత్యధిక భాగస్వామ్యం (128 *) లో 10 వికెట్లు ',' కెరీర్ లో చాలా 5 వ పనికత్తెలయొద్ద (11) ',' 4 వ అత్యధిక వికెట్లు ఆకర్షించింది తీసుకున్న అత్యధిక వికెట్లు (13) ',' 3 వ అత్యంత ఇన్నింగ్స్ లో పట్టుకొని (3) ']")</f>
        <v>[ 'ఇన్నింగ్స్ లో 9 వ అత్యధిక పరుగులు (బ్యాటింగ్ స్థానంలో ప్రకారం) (69 *)', '8 వ ఒకే మైదానంలో అత్యధిక వికెట్లు (17)', '10 వ కెరీర్ (3124) లో సాధించిన అత్యధిక పరుగులు', '3 వ అత్యంత ఆకర్షించింది తీసుకోబడిన వికెట్ల అత్యధిక వికెట్లు (25) ',' 250 పరుగులు మరియు ఒక సిరీస్ ',' ఆరవ వికెట్కు 3 వ అత్యధిక భాగస్వామ్యం (128 *) లో 10 వికెట్లు ',' కెరీర్ లో చాలా 5 వ పనికత్తెలయొద్ద (11) ',' 4 వ అత్యధిక వికెట్లు ఆకర్షించింది తీసుకున్న అత్యధిక వికెట్లు (13) ',' 3 వ అత్యంత ఇన్నింగ్స్ లో పట్టుకొని (3) ']</v>
      </c>
      <c r="C1358" s="2"/>
      <c r="D1358" s="2" t="str">
        <f>IFERROR(__xludf.DUMMYFUNCTION("IF(C1358&lt;&gt;"""", GOOGLETRANSLATE(C1358, ""en"", ""te""),"""")"),"")</f>
        <v/>
      </c>
      <c r="E1358" s="2" t="s">
        <v>873</v>
      </c>
      <c r="F1358" s="2" t="str">
        <f>IFERROR(__xludf.DUMMYFUNCTION("IF(E1358&lt;&gt;"""", GOOGLETRANSLATE(E1358, ""en"", ""te""),"""")"),"[ 'ఒకే నేలపై (300) 38 వ అత్యధిక పరుగులు', 'ఒక స్కోర్ 22 పిన్న ఆటగాడు' 41 వ అత్యధిక కెరీర్ లో పరుగులు (2017) ',' ఇన్నింగ్స్ లో 9 వ అత్యధిక పరుగులు (బ్యాటింగ్ స్థానంలో ప్రకారం) (69 *) ', కెరీర్లో వందల (23y 32d) ',' 49 వ అత్యంత అర్ధ (10) ',' ఒక డక్ లేకుండా "&amp;"44th వరుస ఇన్నింగ్స్ (32) ',' 13 వ అత్యధిక వికెట్లు కెరీర్లో (129) ',' 9 వ అత్యంత వరుస వికెట్లు ( 26) ',' 10th ఒక క్యాలెండర్ సంవత్సరంలో అత్యధిక వికెట్లు (28) ',' ఒకే మైదానంలో 8 వ అత్యధిక వికెట్లు (17) ',' 11 వ ఒక ఇన్నింగ్స్ లోని బెస్ట్ ఫిగర్స్ ఉన్నప్పుడు"&amp;" పరాజయం వైపు (4) ',' 25 వ అత్యంత నాలుగు వికెట్లు-ఇన్-ఒక-ఇన్నింగ్స్ కెరీర్లో (4) ',' 14 వ కెరీర్ లో బౌల్డ్ చాలా బంతుల్లో (5079) ',' 10 వ అత్యధిక పరుగులు కెరీర్లో సాధించిన (3124) ',' 23 వ ఇన్నింగ్స్ లో సాధించిన అత్యధిక పరుగులు ( 77) ',' 3 వ బౌలర్ / ఫీల్డర్"&amp;" కలయికలు (24) ',' 10 వ అత్యధిక వికెట్లు బౌల్డ్ తీసుకున్న (34) ',' 10 వ అత్యధిక వికెట్లు తీసుకున్న క్యాచ్ (69) ',' 20 వ అత్యధిక వికెట్లు తీసుకున్న ఫీల్డర్ (44 పట్టుకుంటే) ' '3 వ భాగం ఒక వికెట్ కీపర్ చే కాట్ తీసుకోబడిన వికెట్ల (25)', '7 వ అత్యధిక వికెట్లు త"&amp;"ీసుకున్న ఎల్బిడబ్ల్యు (25)', '44 వ కెరీర్ లో అత్యధిక క్యాచ్లు (28)', '26 మోస్ వరుస t క్యాచ్లు (7) ',' నాలుగవ వికెట్కు 26 అత్యధిక భాగస్వామ్యం (112) ',' ఐదవ వికెట్కు 4 వ అత్యధిక భాగస్వామ్యం (144) ',' ఆరవ వికెట్కు 3 వ అత్యధిక భాగస్వామ్యం (128 *) ', 'ఏడో వికె"&amp;"ట్కు 7 వ అత్యధిక భాగస్వామ్యం (85)', 'ఎనిమిదవ వికెట్కు 8 వ అత్యధిక భాగస్వామ్యం (70)', '28th కెరీర్లో అత్యధిక మ్యాచ్లు (115)']")</f>
        <v>[ 'ఒకే నేలపై (300) 38 వ అత్యధిక పరుగులు', 'ఒక స్కోర్ 22 పిన్న ఆటగాడు' 41 వ అత్యధిక కెరీర్ లో పరుగులు (2017) ',' ఇన్నింగ్స్ లో 9 వ అత్యధిక పరుగులు (బ్యాటింగ్ స్థానంలో ప్రకారం) (69 *) ', కెరీర్లో వందల (23y 32d) ',' 49 వ అత్యంత అర్ధ (10) ',' ఒక డక్ లేకుండా 44th వరుస ఇన్నింగ్స్ (32) ',' 13 వ అత్యధిక వికెట్లు కెరీర్లో (129) ',' 9 వ అత్యంత వరుస వికెట్లు ( 26) ',' 10th ఒక క్యాలెండర్ సంవత్సరంలో అత్యధిక వికెట్లు (28) ',' ఒకే మైదానంలో 8 వ అత్యధిక వికెట్లు (17) ',' 11 వ ఒక ఇన్నింగ్స్ లోని బెస్ట్ ఫిగర్స్ ఉన్నప్పుడు పరాజయం వైపు (4) ',' 25 వ అత్యంత నాలుగు వికెట్లు-ఇన్-ఒక-ఇన్నింగ్స్ కెరీర్లో (4) ',' 14 వ కెరీర్ లో బౌల్డ్ చాలా బంతుల్లో (5079) ',' 10 వ అత్యధిక పరుగులు కెరీర్లో సాధించిన (3124) ',' 23 వ ఇన్నింగ్స్ లో సాధించిన అత్యధిక పరుగులు ( 77) ',' 3 వ బౌలర్ / ఫీల్డర్ కలయికలు (24) ',' 10 వ అత్యధిక వికెట్లు బౌల్డ్ తీసుకున్న (34) ',' 10 వ అత్యధిక వికెట్లు తీసుకున్న క్యాచ్ (69) ',' 20 వ అత్యధిక వికెట్లు తీసుకున్న ఫీల్డర్ (44 పట్టుకుంటే) ' '3 వ భాగం ఒక వికెట్ కీపర్ చే కాట్ తీసుకోబడిన వికెట్ల (25)', '7 వ అత్యధిక వికెట్లు తీసుకున్న ఎల్బిడబ్ల్యు (25)', '44 వ కెరీర్ లో అత్యధిక క్యాచ్లు (28)', '26 మోస్ వరుస t క్యాచ్లు (7) ',' నాలుగవ వికెట్కు 26 అత్యధిక భాగస్వామ్యం (112) ',' ఐదవ వికెట్కు 4 వ అత్యధిక భాగస్వామ్యం (144) ',' ఆరవ వికెట్కు 3 వ అత్యధిక భాగస్వామ్యం (128 *) ', 'ఏడో వికెట్కు 7 వ అత్యధిక భాగస్వామ్యం (85)', 'ఎనిమిదవ వికెట్కు 8 వ అత్యధిక భాగస్వామ్యం (70)', '28th కెరీర్లో అత్యధిక మ్యాచ్లు (115)']</v>
      </c>
      <c r="G1358" s="2" t="s">
        <v>874</v>
      </c>
      <c r="H1358" s="2" t="str">
        <f>IFERROR(__xludf.DUMMYFUNCTION("IF(G1358&lt;&gt;"""", GOOGLETRANSLATE(G1358, ""en"", ""te""),"""")"),"[ '35 వ కెరీర్ లో అత్యధిక పరుగులు (986)', '25 వ ఇన్నింగ్స్ లో అత్యధిక పరుగులు (బ్యాటింగ్ స్థానంలో ప్రకారం) (30)', 'ఒక డక్ లేకుండా 34 వ వరుస ఇన్నింగ్స్ (32 *)', 'కెరీర్ లో 23 వ అతి తక్కువ బాతులు ( 22.66) ',' ఒక ఇన్నింగ్స్లో పరుగుల 24 అత్యధిక శాతం (58.82) '"&amp;",' 23 వ కెరీర్ లో అత్యధిక వికెట్లు (62) ',' ఇన్నింగ్స్ లో 13 వ అత్యుత్తమ బౌలింగ్ విశ్లేషణలు (4/6) ',' 11 వ అత్యధిక వికెట్లు పై ఒకే క్రీడా (11) ',' 47 వ సగటు (20.24) ',' 19 వ ఉత్తమ కెరీర్ ఎకానమీ రేట్ బౌలింగ్ ఉత్తమ కెరీర్ (5.39) ',' ఇన్నింగ్స్ లో 15 వ చెత్"&amp;"త ఆర్థిక రేటు (16.00) ',' 18 వ అత్యంత బంతుల్లో కెరీర్లో బౌల్డ్ (1397) ',' 20 వ కెరీర్ లో సాధించిన అత్యధిక పరుగులు (1255) ',' 18 వ అత్యధిక పరుగులు ఇన్నింగ్స్ లో సాధించిన (51) ',' 34 వ బౌలర్ / ఫీల్డర్ కలయికలు (8) ',' 17 వ అత్యధిక వికెట్లు తీసుకున్న బౌల్డ్ ("&amp;"18) ',' 23 వ అత్యధిక వికెట్లు తీసుకున్న ఆకర్షించింది (35) ',' 20 వ అత్యధిక వికెట్లు తీసుకున్న క్యాచ్ మరియు బౌల్డ్ (3) ',' 41 వ అత్యధిక వికెట్లు ఒక ఫీల్డర్ చేత క్యాచ్ తీసుకున్న (22) ',' 4 వ అత్యధిక వికెట్లు ఒక వికెట్ కీపర్ చే కాట్ తీసుకోకూడదు ( 13) ',' 18 "&amp;"వ అత్యధిక వికెట్లు తీసుకున్న ఎల్బిడబ్ల్యు (8) ',' 46 వ కెరీర్ లో అత్యధిక క్యాచ్లు (18) ',' ఇన్నింగ్స్ లో 3 వ అత్యధిక క్యాచ్లు (3) ',' నాలుగవ వికెట్కు 36 వ అత్యధిక భాగస్వామ్యం (65) ',' ఎనిమిదవ వికెట్ (26 *) కోసం 23 అత్యధిక భాగస్వామ్యం ',' 36 వ కెరీర్ లో అత"&amp;"్యధిక మ్యాచ్లు (81) ',' కెరీర్ లో చాలా 5 వ పనికత్తెలయొద్ద (11) ',' 12 వ ఇన్నింగ్స్ లో వచ్చిన ఎక్కువ పనికత్తెలయొద్ద (2) ']")</f>
        <v>[ '35 వ కెరీర్ లో అత్యధిక పరుగులు (986)', '25 వ ఇన్నింగ్స్ లో అత్యధిక పరుగులు (బ్యాటింగ్ స్థానంలో ప్రకారం) (30)', 'ఒక డక్ లేకుండా 34 వ వరుస ఇన్నింగ్స్ (32 *)', 'కెరీర్ లో 23 వ అతి తక్కువ బాతులు ( 22.66) ',' ఒక ఇన్నింగ్స్లో పరుగుల 24 అత్యధిక శాతం (58.82) ',' 23 వ కెరీర్ లో అత్యధిక వికెట్లు (62) ',' ఇన్నింగ్స్ లో 13 వ అత్యుత్తమ బౌలింగ్ విశ్లేషణలు (4/6) ',' 11 వ అత్యధిక వికెట్లు పై ఒకే క్రీడా (11) ',' 47 వ సగటు (20.24) ',' 19 వ ఉత్తమ కెరీర్ ఎకానమీ రేట్ బౌలింగ్ ఉత్తమ కెరీర్ (5.39) ',' ఇన్నింగ్స్ లో 15 వ చెత్త ఆర్థిక రేటు (16.00) ',' 18 వ అత్యంత బంతుల్లో కెరీర్లో బౌల్డ్ (1397) ',' 20 వ కెరీర్ లో సాధించిన అత్యధిక పరుగులు (1255) ',' 18 వ అత్యధిక పరుగులు ఇన్నింగ్స్ లో సాధించిన (51) ',' 34 వ బౌలర్ / ఫీల్డర్ కలయికలు (8) ',' 17 వ అత్యధిక వికెట్లు తీసుకున్న బౌల్డ్ (18) ',' 23 వ అత్యధిక వికెట్లు తీసుకున్న ఆకర్షించింది (35) ',' 20 వ అత్యధిక వికెట్లు తీసుకున్న క్యాచ్ మరియు బౌల్డ్ (3) ',' 41 వ అత్యధిక వికెట్లు ఒక ఫీల్డర్ చేత క్యాచ్ తీసుకున్న (22) ',' 4 వ అత్యధిక వికెట్లు ఒక వికెట్ కీపర్ చే కాట్ తీసుకోకూడదు ( 13) ',' 18 వ అత్యధిక వికెట్లు తీసుకున్న ఎల్బిడబ్ల్యు (8) ',' 46 వ కెరీర్ లో అత్యధిక క్యాచ్లు (18) ',' ఇన్నింగ్స్ లో 3 వ అత్యధిక క్యాచ్లు (3) ',' నాలుగవ వికెట్కు 36 వ అత్యధిక భాగస్వామ్యం (65) ',' ఎనిమిదవ వికెట్ (26 *) కోసం 23 అత్యధిక భాగస్వామ్యం ',' 36 వ కెరీర్ లో అత్యధిక మ్యాచ్లు (81) ',' కెరీర్ లో చాలా 5 వ పనికత్తెలయొద్ద (11) ',' 12 వ ఇన్నింగ్స్ లో వచ్చిన ఎక్కువ పనికత్తెలయొద్ద (2) ']</v>
      </c>
      <c r="I1358" s="3"/>
    </row>
    <row r="1359" customHeight="1" spans="1:9">
      <c r="A1359" s="2" t="s">
        <v>875</v>
      </c>
      <c r="B1359" s="2" t="str">
        <f>IFERROR(__xludf.DUMMYFUNCTION("IF(A1359&lt;&gt;"""", GOOGLETRANSLATE(A1359, ""en"", ""te""),"""")"),"[ '6 వ షార్టేస్ట్ క్రీడాకారులు (24y 288d) నివసించారు']")</f>
        <v>[ '6 వ షార్టేస్ట్ క్రీడాకారులు (24y 288d) నివసించారు']</v>
      </c>
      <c r="C1359" s="2" t="s">
        <v>875</v>
      </c>
      <c r="D1359" s="2" t="str">
        <f>IFERROR(__xludf.DUMMYFUNCTION("IF(C1359&lt;&gt;"""", GOOGLETRANSLATE(C1359, ""en"", ""te""),"""")"),"[ '6 వ షార్టేస్ట్ క్రీడాకారులు (24y 288d) నివసించారు']")</f>
        <v>[ '6 వ షార్టేస్ట్ క్రీడాకారులు (24y 288d) నివసించారు']</v>
      </c>
      <c r="E1359" s="2"/>
      <c r="F1359" s="2" t="str">
        <f>IFERROR(__xludf.DUMMYFUNCTION("IF(E1359&lt;&gt;"""", GOOGLETRANSLATE(E1359, ""en"", ""te""),"""")"),"")</f>
        <v/>
      </c>
      <c r="G1359" s="2"/>
      <c r="H1359" s="2" t="str">
        <f>IFERROR(__xludf.DUMMYFUNCTION("IF(G1359&lt;&gt;"""", GOOGLETRANSLATE(G1359, ""en"", ""te""),"""")"),"")</f>
        <v/>
      </c>
      <c r="I1359" s="3"/>
    </row>
    <row r="1360" customHeight="1" spans="1:9">
      <c r="A1360" s="2"/>
      <c r="B1360" s="2" t="str">
        <f>IFERROR(__xludf.DUMMYFUNCTION("IF(A1360&lt;&gt;"""", GOOGLETRANSLATE(A1360, ""en"", ""te""),"""")"),"")</f>
        <v/>
      </c>
      <c r="C1360" s="2"/>
      <c r="D1360" s="2" t="str">
        <f>IFERROR(__xludf.DUMMYFUNCTION("IF(C1360&lt;&gt;"""", GOOGLETRANSLATE(C1360, ""en"", ""te""),"""")"),"")</f>
        <v/>
      </c>
      <c r="E1360" s="2"/>
      <c r="F1360" s="2" t="str">
        <f>IFERROR(__xludf.DUMMYFUNCTION("IF(E1360&lt;&gt;"""", GOOGLETRANSLATE(E1360, ""en"", ""te""),"""")"),"")</f>
        <v/>
      </c>
      <c r="G1360" s="2"/>
      <c r="H1360" s="2" t="str">
        <f>IFERROR(__xludf.DUMMYFUNCTION("IF(G1360&lt;&gt;"""", GOOGLETRANSLATE(G1360, ""en"", ""te""),"""")"),"")</f>
        <v/>
      </c>
      <c r="I1360" s="3"/>
    </row>
    <row r="1361" customHeight="1" spans="1:9">
      <c r="A1361" s="2"/>
      <c r="B1361" s="2" t="str">
        <f>IFERROR(__xludf.DUMMYFUNCTION("IF(A1361&lt;&gt;"""", GOOGLETRANSLATE(A1361, ""en"", ""te""),"""")"),"")</f>
        <v/>
      </c>
      <c r="C1361" s="2"/>
      <c r="D1361" s="2" t="str">
        <f>IFERROR(__xludf.DUMMYFUNCTION("IF(C1361&lt;&gt;"""", GOOGLETRANSLATE(C1361, ""en"", ""te""),"""")"),"")</f>
        <v/>
      </c>
      <c r="E1361" s="2"/>
      <c r="F1361" s="2" t="str">
        <f>IFERROR(__xludf.DUMMYFUNCTION("IF(E1361&lt;&gt;"""", GOOGLETRANSLATE(E1361, ""en"", ""te""),"""")"),"")</f>
        <v/>
      </c>
      <c r="G1361" s="2"/>
      <c r="H1361" s="2" t="str">
        <f>IFERROR(__xludf.DUMMYFUNCTION("IF(G1361&lt;&gt;"""", GOOGLETRANSLATE(G1361, ""en"", ""te""),"""")"),"")</f>
        <v/>
      </c>
      <c r="I1361" s="3"/>
    </row>
    <row r="1362" customHeight="1" spans="1:9">
      <c r="A1362" s="2"/>
      <c r="B1362" s="2" t="str">
        <f>IFERROR(__xludf.DUMMYFUNCTION("IF(A1362&lt;&gt;"""", GOOGLETRANSLATE(A1362, ""en"", ""te""),"""")"),"")</f>
        <v/>
      </c>
      <c r="C1362" s="2"/>
      <c r="D1362" s="2" t="str">
        <f>IFERROR(__xludf.DUMMYFUNCTION("IF(C1362&lt;&gt;"""", GOOGLETRANSLATE(C1362, ""en"", ""te""),"""")"),"")</f>
        <v/>
      </c>
      <c r="E1362" s="2"/>
      <c r="F1362" s="2" t="str">
        <f>IFERROR(__xludf.DUMMYFUNCTION("IF(E1362&lt;&gt;"""", GOOGLETRANSLATE(E1362, ""en"", ""te""),"""")"),"")</f>
        <v/>
      </c>
      <c r="G1362" s="2"/>
      <c r="H1362" s="2" t="str">
        <f>IFERROR(__xludf.DUMMYFUNCTION("IF(G1362&lt;&gt;"""", GOOGLETRANSLATE(G1362, ""en"", ""te""),"""")"),"")</f>
        <v/>
      </c>
      <c r="I1362" s="3"/>
    </row>
    <row r="1363" customHeight="1" spans="1:9">
      <c r="A1363" s="2" t="s">
        <v>876</v>
      </c>
      <c r="B1363" s="2" t="str">
        <f>IFERROR(__xludf.DUMMYFUNCTION("IF(A1363&lt;&gt;"""", GOOGLETRANSLATE(A1363, ""en"", ""te""),"""")"),"[ '9 వ చెత్త కెరీర్లో ఆర్థిక రేటు (4.76)', '1 వ వరుస బాతులు (3)', '1st చెత్త కెరీర్లో ఆర్థిక రేటు (7.72)', '5 వ ఇన్నింగ్స్ లో సాధించిన అత్యధిక పరుగులు (59)']")</f>
        <v>[ '9 వ చెత్త కెరీర్లో ఆర్థిక రేటు (4.76)', '1 వ వరుస బాతులు (3)', '1st చెత్త కెరీర్లో ఆర్థిక రేటు (7.72)', '5 వ ఇన్నింగ్స్ లో సాధించిన అత్యధిక పరుగులు (59)']</v>
      </c>
      <c r="C1363" s="2"/>
      <c r="D1363" s="2" t="str">
        <f>IFERROR(__xludf.DUMMYFUNCTION("IF(C1363&lt;&gt;"""", GOOGLETRANSLATE(C1363, ""en"", ""te""),"""")"),"")</f>
        <v/>
      </c>
      <c r="E1363" s="2" t="s">
        <v>877</v>
      </c>
      <c r="F1363" s="2" t="str">
        <f>IFERROR(__xludf.DUMMYFUNCTION("IF(E1363&lt;&gt;"""", GOOGLETRANSLATE(E1363, ""en"", ""te""),"""")"),"[40 వ కెరీర్ బాతులు (8) ',' 41 వ ఒక సిరీస్లో అత్యధిక వికెట్లు (17) ',' ఒకే మైదానంలో 45 వ అత్యధిక వికెట్లు (11) ',' 28th చెత్త కెరీర్ బౌలింగ్ సరాసరి (34.17) ',' 9 వ చెత్త కెరీర్లో ఆర్థిక రేటు (4.76) ',' 32 వ అత్యధిక వికెట్లు ఒక వికెట్ కీపర్ చే కాట్ తీసుకు"&amp;"న్న (10) ',' 31 వరుస మ్యాచ్లు ప్రదర్శనల మధ్య బృందం (35) కోసం తప్పిన ']")</f>
        <v>[40 వ కెరీర్ బాతులు (8) ',' 41 వ ఒక సిరీస్లో అత్యధిక వికెట్లు (17) ',' ఒకే మైదానంలో 45 వ అత్యధిక వికెట్లు (11) ',' 28th చెత్త కెరీర్ బౌలింగ్ సరాసరి (34.17) ',' 9 వ చెత్త కెరీర్లో ఆర్థిక రేటు (4.76) ',' 32 వ అత్యధిక వికెట్లు ఒక వికెట్ కీపర్ చే కాట్ తీసుకున్న (10) ',' 31 వరుస మ్యాచ్లు ప్రదర్శనల మధ్య బృందం (35) కోసం తప్పిన ']</v>
      </c>
      <c r="G1363" s="2" t="s">
        <v>878</v>
      </c>
      <c r="H1363" s="2" t="str">
        <f>IFERROR(__xludf.DUMMYFUNCTION("IF(G1363&lt;&gt;"""", GOOGLETRANSLATE(G1363, ""en"", ""te""),"""")"),"[ '34 వ కెరీర్ బాతులు (5)', '1 వ వరుస బాతులు (3)', '2 వ చెత్త కెరీర్ సగటు (39.66) బౌలింగ్', '1st చెత్త కెరీర్లో ఆర్థిక రేటు (7.72)', '6 వ చెత్త కెరీర్లో సమ్మె రేటు (30.8) ',' ఇన్నింగ్స్ లో 27 చెత్త ఆర్థిక రేటు (14.75) ',' ఇన్నింగ్స్ లో సాధించిన 5 వ అత్యధి"&amp;"క పరుగులు (59) ']")</f>
        <v>[ '34 వ కెరీర్ బాతులు (5)', '1 వ వరుస బాతులు (3)', '2 వ చెత్త కెరీర్ సగటు (39.66) బౌలింగ్', '1st చెత్త కెరీర్లో ఆర్థిక రేటు (7.72)', '6 వ చెత్త కెరీర్లో సమ్మె రేటు (30.8) ',' ఇన్నింగ్స్ లో 27 చెత్త ఆర్థిక రేటు (14.75) ',' ఇన్నింగ్స్ లో సాధించిన 5 వ అత్యధిక పరుగులు (59) ']</v>
      </c>
      <c r="I1363" s="3"/>
    </row>
    <row r="1364" customHeight="1" spans="1:9">
      <c r="A1364" s="2"/>
      <c r="B1364" s="2" t="str">
        <f>IFERROR(__xludf.DUMMYFUNCTION("IF(A1364&lt;&gt;"""", GOOGLETRANSLATE(A1364, ""en"", ""te""),"""")"),"")</f>
        <v/>
      </c>
      <c r="C1364" s="2"/>
      <c r="D1364" s="2" t="str">
        <f>IFERROR(__xludf.DUMMYFUNCTION("IF(C1364&lt;&gt;"""", GOOGLETRANSLATE(C1364, ""en"", ""te""),"""")"),"")</f>
        <v/>
      </c>
      <c r="E1364" s="2"/>
      <c r="F1364" s="2" t="str">
        <f>IFERROR(__xludf.DUMMYFUNCTION("IF(E1364&lt;&gt;"""", GOOGLETRANSLATE(E1364, ""en"", ""te""),"""")"),"")</f>
        <v/>
      </c>
      <c r="G1364" s="2"/>
      <c r="H1364" s="2" t="str">
        <f>IFERROR(__xludf.DUMMYFUNCTION("IF(G1364&lt;&gt;"""", GOOGLETRANSLATE(G1364, ""en"", ""te""),"""")"),"")</f>
        <v/>
      </c>
      <c r="I1364" s="3"/>
    </row>
    <row r="1365" customHeight="1" spans="1:9">
      <c r="A1365" s="2" t="s">
        <v>879</v>
      </c>
      <c r="B1365" s="2" t="str">
        <f>IFERROR(__xludf.DUMMYFUNCTION("IF(A1365&lt;&gt;"""", GOOGLETRANSLATE(A1365, ""en"", ""te""),"""")"),"[ '1st అత్యంత ప్లేయర్ ఆఫ్ ది మ్యాచ్ అవార్డులు (23)', '3 వ అత్యధిక కెరీర్ (13289) లో నడుస్తుంది', 'ఒక మ్యాచ్లో ప్రతి ఇన్నింగ్స్లో హండ్రెడ్', 'హండ్రెడ్ మరియు ఒక మ్యాచ్లో తొంభై', '2nd జీవితంలో అత్యధిక అర్ధ (103) ',' హండ్రెడ్ మరియు ఒక మ్యాచ్లో ఒక డక్ ',' కెర"&amp;"ీర్లో 4 వ ఎక్కువ సిక్స్ (97) ',' 13000 పరుగులు (269) ',' ఇన్నింగ్స్ లో 2 వ ఉత్తమ సమ్మె రేటు 2 వ వేగవంతమైన ( 5.4) ',' 10 వ బౌలర్ / ఫీల్డర్ కలయికలు (69) ',' 3 వ అత్యధిక క్యాచ్లు కెరీర్లో (200) ',' నూట ఇన్నింగ్స్ ',' 1000 పరుగులు, 50 వికెట్లు ఐదు వికెట్లు మ"&amp;"రియు 50 క్యాచ్లు ',' 5000 పరుగులు మరియు 50 ఫీల్డింగ్ వికెట్లు ',' 4 వ అత్యంత ప్లేయర్ ఆఫ్ ది మ్యాచ్ అవార్డులు (32) ',' 8 వ కెరీర్ లో అత్యధిక పరుగులు (11579) ',' చాలా 5 వ దశకం కెరీర్లో (8) ',' చాలా 5 వ యాభైలలో కెరీర్ (103) ',' 5 వ 11000 పరుగులు వేగంగా (293"&amp;") ',' 3 వ అత్యుత్తమ ఇన్నింగ్స్ కెరీర్లో (3/3) ',' 7 వ బౌలర్ / ఫీల్డర్ కలయికలు (47) ',' 8 వ అత్యధిక క్యాచ్లు విశ్లేషణలలో బౌలింగ్ ( 131) ',' 250 పరుగులు మరియు 1000 పరుగులు సిరీస్లో 10 వికెట్లు ',', 50 వికెట్లు, 50 క్యాచ్లు ',' 5000 పరుగులు మరియు 50 ఫీల్డింగ"&amp;"్ వికెట్లు ',' 3 వ అత్యంత p లేయర్ ఆఫ్ ది సిరీస్ అవార్డులు (15) ',' 5 వ కెరీర్ లో అత్యధిక పరుగులు (25534) ',' వరుస మ్యాచ్లలో 2 వ వందల (5) ',' 4 వ కెరీర్ తొంభైల (13) ',' 4 వ అత్యంత అర్ధ కెరీర్లో (211) ',' 8 వ కెరీర్ ఫోర్లు (2455) ',' 5 వ బౌలర్ / ఫీల్డర్ కల"&amp;"యికలు (117) ',' 4 వ కెరీర్ (338) లో అత్యధిక క్యాచ్లు ']")</f>
        <v>[ '1st అత్యంత ప్లేయర్ ఆఫ్ ది మ్యాచ్ అవార్డులు (23)', '3 వ అత్యధిక కెరీర్ (13289) లో నడుస్తుంది', 'ఒక మ్యాచ్లో ప్రతి ఇన్నింగ్స్లో హండ్రెడ్', 'హండ్రెడ్ మరియు ఒక మ్యాచ్లో తొంభై', '2nd జీవితంలో అత్యధిక అర్ధ (103) ',' హండ్రెడ్ మరియు ఒక మ్యాచ్లో ఒక డక్ ',' కెరీర్లో 4 వ ఎక్కువ సిక్స్ (97) ',' 13000 పరుగులు (269) ',' ఇన్నింగ్స్ లో 2 వ ఉత్తమ సమ్మె రేటు 2 వ వేగవంతమైన ( 5.4) ',' 10 వ బౌలర్ / ఫీల్డర్ కలయికలు (69) ',' 3 వ అత్యధిక క్యాచ్లు కెరీర్లో (200) ',' నూట ఇన్నింగ్స్ ',' 1000 పరుగులు, 50 వికెట్లు ఐదు వికెట్లు మరియు 50 క్యాచ్లు ',' 5000 పరుగులు మరియు 50 ఫీల్డింగ్ వికెట్లు ',' 4 వ అత్యంత ప్లేయర్ ఆఫ్ ది మ్యాచ్ అవార్డులు (32) ',' 8 వ కెరీర్ లో అత్యధిక పరుగులు (11579) ',' చాలా 5 వ దశకం కెరీర్లో (8) ',' చాలా 5 వ యాభైలలో కెరీర్ (103) ',' 5 వ 11000 పరుగులు వేగంగా (293) ',' 3 వ అత్యుత్తమ ఇన్నింగ్స్ కెరీర్లో (3/3) ',' 7 వ బౌలర్ / ఫీల్డర్ కలయికలు (47) ',' 8 వ అత్యధిక క్యాచ్లు విశ్లేషణలలో బౌలింగ్ ( 131) ',' 250 పరుగులు మరియు 1000 పరుగులు సిరీస్లో 10 వికెట్లు ',', 50 వికెట్లు, 50 క్యాచ్లు ',' 5000 పరుగులు మరియు 50 ఫీల్డింగ్ వికెట్లు ',' 3 వ అత్యంత p లేయర్ ఆఫ్ ది సిరీస్ అవార్డులు (15) ',' 5 వ కెరీర్ లో అత్యధిక పరుగులు (25534) ',' వరుస మ్యాచ్లలో 2 వ వందల (5) ',' 4 వ కెరీర్ తొంభైల (13) ',' 4 వ అత్యంత అర్ధ కెరీర్లో (211) ',' 8 వ కెరీర్ ఫోర్లు (2455) ',' 5 వ బౌలర్ / ఫీల్డర్ కలయికలు (117) ',' 4 వ కెరీర్ (338) లో అత్యధిక క్యాచ్లు ']</v>
      </c>
      <c r="C1365" s="2" t="s">
        <v>880</v>
      </c>
      <c r="D1365" s="2" t="str">
        <f>IFERROR(__xludf.DUMMYFUNCTION("IF(C1365&lt;&gt;"""", GOOGLETRANSLATE(C1365, ""en"", ""te""),"""")"),"[ '29 వ అత్యధిక పరుగులు వరుస (712) లో' 'ఒక క్యాలెండర్ సంవత్సరంలో 38 వ అత్యధిక పరుగులు (1288)', '4 వ ఒకే క్రీడా (2181) లో అత్యధిక పరుగులు', '3 వ అత్యధిక కెరీర్ లో (13289) నడుస్తుంది', '17 వ అత్యధిక కెరీర్ బ్యాటింగ్ సగటు (55.37)', '15 వ అత్యధిక ఇన్నింగ్స్ ల"&amp;"ో సమ్మె రేటు (216.00)', '34 వ హండ్రెడ్ గత మ్యాచ్లో (115)', '2 వ అత్యధిక వందలు ఒక వృత్తిలో (45)', '2 వ అత్యంత వరుస సెంచరీలు (4) ',' ఒక క్యాలెండర్ సంవత్సరంలో 6 వ అత్యధిక వందలు (6) ',' 15 వ ఒక జట్టు వ్యతిరేకంగా అత్యధిక వందలు (8) ',' వరుస మ్యాచ్లలో 2 వ వందల ("&amp;"5) ',' 20 వ అత్యంత తొంభైల కెరీర్ (5) ',' కెరీర్ లో 2 వ పెద్ద అర్ధ (103) ',' వరుస ఇన్నింగ్స్లో 7 వ యాభైల్లో (6) ',' వరుస మ్యాచ్లలో 9 వ యాభైల్లో (9) ',' ఒక డక్ లేకుండా 38 వ వరుస ఇన్నింగ్స్ (56) ',' కెరీర్లో 4 వ ఎక్కువ సిక్స్ (97) ',' 6 వ కెరీర్ ఫోర్లు (1"&amp;"488) ',' 50th 5000 పరుగులు (120) ',' 6000 పరుగులు (134) ',' 22 వ వేగంగా 30 వ వేగంగా వేగంగా 7000 పరుగులు (151) ',' 14 వ 8000 పరుగులు (170) ',' 10000 పరుగులు (217) ',' 5 వ వేగవంతమైన 9000 పరుగులు (188) ',' 9 వ వేగవంతమైన వేగంగా 8 వ వేగవంతమైన 11000 పరుగులు "&amp;"(234) ',' 4 వ వేగవంతమైన వరకు 12000 పరుగులు (249) ',' 2 వ కెరీర్లో 13000 పరుగులు (269) ',' 37 వ అత్యధిక వికెట్లు వేగంగా (292) ',' ఇన్నింగ్స్ లో 2 వ ఉత్తమ సమ్మె రేటు (5.4 ) ',' 25 వ కెరీర్ లో బౌల్డ్ చాలా బంతుల్లో (20232) ',' 24 వ అత్యధిక పరుగులు కెరీర్లో ("&amp;"9535 సమ్మతించాడు) ',' 10 వ బౌలర్ / ఫీల్డర్ కలయికలు (69) ',' 25 వ అత్యధిక వికెట్లు తీసుకున్న ఆకర్షించింది (225) ',' 24 వ అత్యంత ఫీల్డర్ చేత క్యాచ్ తీసుకున్న వికెట్ల (145) ',' 20 వ అత్యధిక వికెట్లు ఆకర్షించింది అత్యధిక వికెట్లు తీసిన (80) ',' ఒక మ్యాచ్లో కె"&amp;"రీర్లో 3 వ అత్యధిక క్యాచ్లు (200) ',' 8 వ అత్యధిక క్యాచ్లు (6) ', '24th ఒక సిరీస్లో అత్యధిక క్యాచ్లు (11)', 'నాలుగవ వికెట్కు 48 వ అత్యధిక భాగస్వామ్యం (249)', 'ఐదవ వికెట్కు 22 అత్యధిక భాగస్వామ్యం (267)', 'ఎనిమిదవ వికెట్ (146) కోసం 26 అత్యధిక భాగస్వామ్యం' '"&amp;"కెరీర్లో 4 వ అత్యధిక మ్యాచ్లు (166)', 'ఒక జట్టుకు 35 వ వరుస మ్యాచ్లు (60)', '1 వ అత్యంత ప్లేయర్ ఆఫ్ ది మ్యాచ్ అవార్డులు (23)', '2 వ అత్యంత ప్లేయర్ ఆఫ్ ది సిరీస్ అవార్డులు (9) ',' 41 వ లాంగెస్ట్ కెరీర్లు (18y 16d) ']")</f>
        <v>[ '29 వ అత్యధిక పరుగులు వరుస (712) లో' 'ఒక క్యాలెండర్ సంవత్సరంలో 38 వ అత్యధిక పరుగులు (1288)', '4 వ ఒకే క్రీడా (2181) లో అత్యధిక పరుగులు', '3 వ అత్యధిక కెరీర్ లో (13289) నడుస్తుంది', '17 వ అత్యధిక కెరీర్ బ్యాటింగ్ సగటు (55.37)', '15 వ అత్యధిక ఇన్నింగ్స్ లో సమ్మె రేటు (216.00)', '34 వ హండ్రెడ్ గత మ్యాచ్లో (115)', '2 వ అత్యధిక వందలు ఒక వృత్తిలో (45)', '2 వ అత్యంత వరుస సెంచరీలు (4) ',' ఒక క్యాలెండర్ సంవత్సరంలో 6 వ అత్యధిక వందలు (6) ',' 15 వ ఒక జట్టు వ్యతిరేకంగా అత్యధిక వందలు (8) ',' వరుస మ్యాచ్లలో 2 వ వందల (5) ',' 20 వ అత్యంత తొంభైల కెరీర్ (5) ',' కెరీర్ లో 2 వ పెద్ద అర్ధ (103) ',' వరుస ఇన్నింగ్స్లో 7 వ యాభైల్లో (6) ',' వరుస మ్యాచ్లలో 9 వ యాభైల్లో (9) ',' ఒక డక్ లేకుండా 38 వ వరుస ఇన్నింగ్స్ (56) ',' కెరీర్లో 4 వ ఎక్కువ సిక్స్ (97) ',' 6 వ కెరీర్ ఫోర్లు (1488) ',' 50th 5000 పరుగులు (120) ',' 6000 పరుగులు (134) ',' 22 వ వేగంగా 30 వ వేగంగా వేగంగా 7000 పరుగులు (151) ',' 14 వ 8000 పరుగులు (170) ',' 10000 పరుగులు (217) ',' 5 వ వేగవంతమైన 9000 పరుగులు (188) ',' 9 వ వేగవంతమైన వేగంగా 8 వ వేగవంతమైన 11000 పరుగులు (234) ',' 4 వ వేగవంతమైన వరకు 12000 పరుగులు (249) ',' 2 వ కెరీర్లో 13000 పరుగులు (269) ',' 37 వ అత్యధిక వికెట్లు వేగంగా (292) ',' ఇన్నింగ్స్ లో 2 వ ఉత్తమ సమ్మె రేటు (5.4 ) ',' 25 వ కెరీర్ లో బౌల్డ్ చాలా బంతుల్లో (20232) ',' 24 వ అత్యధిక పరుగులు కెరీర్లో (9535 సమ్మతించాడు) ',' 10 వ బౌలర్ / ఫీల్డర్ కలయికలు (69) ',' 25 వ అత్యధిక వికెట్లు తీసుకున్న ఆకర్షించింది (225) ',' 24 వ అత్యంత ఫీల్డర్ చేత క్యాచ్ తీసుకున్న వికెట్ల (145) ',' 20 వ అత్యధిక వికెట్లు ఆకర్షించింది అత్యధిక వికెట్లు తీసిన (80) ',' ఒక మ్యాచ్లో కెరీర్లో 3 వ అత్యధిక క్యాచ్లు (200) ',' 8 వ అత్యధిక క్యాచ్లు (6) ', '24th ఒక సిరీస్లో అత్యధిక క్యాచ్లు (11)', 'నాలుగవ వికెట్కు 48 వ అత్యధిక భాగస్వామ్యం (249)', 'ఐదవ వికెట్కు 22 అత్యధిక భాగస్వామ్యం (267)', 'ఎనిమిదవ వికెట్ (146) కోసం 26 అత్యధిక భాగస్వామ్యం' 'కెరీర్లో 4 వ అత్యధిక మ్యాచ్లు (166)', 'ఒక జట్టుకు 35 వ వరుస మ్యాచ్లు (60)', '1 వ అత్యంత ప్లేయర్ ఆఫ్ ది మ్యాచ్ అవార్డులు (23)', '2 వ అత్యంత ప్లేయర్ ఆఫ్ ది సిరీస్ అవార్డులు (9) ',' 41 వ లాంగెస్ట్ కెరీర్లు (18y 16d) ']</v>
      </c>
      <c r="E1365" s="2" t="s">
        <v>881</v>
      </c>
      <c r="F1365" s="2" t="str">
        <f>IFERROR(__xludf.DUMMYFUNCTION("IF(E1365&lt;&gt;"""", GOOGLETRANSLATE(E1365, ""en"", ""te""),"""")"),"[ 'కెరీర్లో 8 వ అత్యధిక పరుగులు (11579)', '39 వ ఒక సిరీస్లో అత్యధిక పరుగులు (485)', '31 ఒక క్యాలెండర్ సంవత్సరంలో అత్యధిక పరుగులు (1300)', '35 వ అత్యధిక కెరీర్ బ్యాటింగ్ సగటు (44.36)', '19 ఒక వృత్తిలో అత్యధిక వందలు (17) ',' 39 వ ఒక జట్టు వ్యతిరేకంగా అత్యధి"&amp;"క వందలు (4) ',' 5 వ కెరీర్ తొంభైల (8) ',' 5 వ కెరీర్ అర్ధ (103) ',' 30 వ అత్యధిక కెరీర్ లో బాతులు (17) ',' 18 వ కెరీర్ లో వచ్చిన ఎక్కువ సిక్స్ (137) ',' 17 వ కెరీర్ ఫోర్లు (911) ',' 35 వ లాంగెస్ట్ వ్యక్తిగత ఇన్నింగ్స్ (బంతులతో) (160) ',' 36 వ 3000 పరుగుల"&amp;"ు వేగంగా (87) ',' 37 వ 4000 పరుగులు (115) ',' 5000 పరుగులు (137) ',' 19 వ వేగంగా చేయడానికి 22 వేగవంతమైన 6000 పరుగులు (167) ',' 8 వ వేగవంతమైన 7000 పరుగులు (188) ',' 14 వ వేగవంతమైన కు వేగవంతమైన 8000 పరుగులు (223) ',' 7th 9000 వేగవంతమైన పరుగులు (242) ',"&amp;"' ఫాస్టెస్ట్ 10000 పరుగులు (272) ',' 5 వ వేగవంతమైన వరకు 11000 పరుగులు (293) ',' 18 వ అత్యధిక వికెట్లు కెరీర్ (273) లో 5 వ ' '27 ఒక క్యాలెండర్ సంవత్సరంలో అత్యధిక వికెట్లు (46)', 'ఇన్నింగ్స్ లో 3 వ అత్యుత్తమ బౌలింగ్ విశ్లేషణలు (3/3)', '43 వ అత్యంత ఐదు-వికె"&amp;"ట్ల-ఇన్' ఇన్నింగ్స్ (11.66) లో 17 చెత్త ఆర్థిక రేటు ' -an ఒక వృత్తిలో -innings (2) ',' 20 వ కెరీర్ లో బౌల్డ్ చాలా బంతుల్లో (10750) ',' 15 వ అత్యధిక పరుగులు కెరీర్ (8680) లో ',' సాధించిన 7 వ బౌలర్ / ఫీల్డర్ కలయికలు (47) ',' 28th అత్యధిక వికెట్లు తీసుకున్న "&amp;"బౌల్డ్ (55) ',' 8 వ అత్యధిక వికెట్లు తీసుకున్న ఆకర్షించింది (197) ',' 35 వ అత్యధిక వికెట్లు ఆకర్షించింది తీసుకున్న మరియు బౌల్డ్ (10) ',' 16 వ అత్యధిక వికెట్లు ఒక ఫీల్డర్ చేత క్యాచ్ తీసుకున్న (136) ',' 10 వ అత్యధిక వికెట్లు ఆకర్షించింది తీసుకున్న అత్యధిక వ"&amp;"ికెట్లు కెరీర్లో (61) ',' 8 వ అత్యధిక క్యాచ్లు (131) ',' 12 వ ఒక సిరీస్లో అత్యధిక క్యాచ్లు (9) ',' ఐదో వికెట్కు (183 *) 11 వ అత్యధిక భాగస్వామ్యం ',' 14 వ అత్యధిక మ్యాచ్లు లో కెరీర్ (328) ',' 4 వ అత్యంత ప్లేయర్ ఆఫ్ ది మ్యాచ్ అవార్డులు (32) ',' 12 వ అత్యంత "&amp;"ప్లేయర్ ఆఫ్ ది సిరీస్ అవార్డులు (6) ',' 7 వ లాంగెస్ట్ కెరీర్లు (18y 184d) ']")</f>
        <v>[ 'కెరీర్లో 8 వ అత్యధిక పరుగులు (11579)', '39 వ ఒక సిరీస్లో అత్యధిక పరుగులు (485)', '31 ఒక క్యాలెండర్ సంవత్సరంలో అత్యధిక పరుగులు (1300)', '35 వ అత్యధిక కెరీర్ బ్యాటింగ్ సగటు (44.36)', '19 ఒక వృత్తిలో అత్యధిక వందలు (17) ',' 39 వ ఒక జట్టు వ్యతిరేకంగా అత్యధిక వందలు (4) ',' 5 వ కెరీర్ తొంభైల (8) ',' 5 వ కెరీర్ అర్ధ (103) ',' 30 వ అత్యధిక కెరీర్ లో బాతులు (17) ',' 18 వ కెరీర్ లో వచ్చిన ఎక్కువ సిక్స్ (137) ',' 17 వ కెరీర్ ఫోర్లు (911) ',' 35 వ లాంగెస్ట్ వ్యక్తిగత ఇన్నింగ్స్ (బంతులతో) (160) ',' 36 వ 3000 పరుగులు వేగంగా (87) ',' 37 వ 4000 పరుగులు (115) ',' 5000 పరుగులు (137) ',' 19 వ వేగంగా చేయడానికి 22 వేగవంతమైన 6000 పరుగులు (167) ',' 8 వ వేగవంతమైన 7000 పరుగులు (188) ',' 14 వ వేగవంతమైన కు వేగవంతమైన 8000 పరుగులు (223) ',' 7th 9000 వేగవంతమైన పరుగులు (242) ',' ఫాస్టెస్ట్ 10000 పరుగులు (272) ',' 5 వ వేగవంతమైన వరకు 11000 పరుగులు (293) ',' 18 వ అత్యధిక వికెట్లు కెరీర్ (273) లో 5 వ ' '27 ఒక క్యాలెండర్ సంవత్సరంలో అత్యధిక వికెట్లు (46)', 'ఇన్నింగ్స్ లో 3 వ అత్యుత్తమ బౌలింగ్ విశ్లేషణలు (3/3)', '43 వ అత్యంత ఐదు-వికెట్ల-ఇన్' ఇన్నింగ్స్ (11.66) లో 17 చెత్త ఆర్థిక రేటు ' -an ఒక వృత్తిలో -innings (2) ',' 20 వ కెరీర్ లో బౌల్డ్ చాలా బంతుల్లో (10750) ',' 15 వ అత్యధిక పరుగులు కెరీర్ (8680) లో ',' సాధించిన 7 వ బౌలర్ / ఫీల్డర్ కలయికలు (47) ',' 28th అత్యధిక వికెట్లు తీసుకున్న బౌల్డ్ (55) ',' 8 వ అత్యధిక వికెట్లు తీసుకున్న ఆకర్షించింది (197) ',' 35 వ అత్యధిక వికెట్లు ఆకర్షించింది తీసుకున్న మరియు బౌల్డ్ (10) ',' 16 వ అత్యధిక వికెట్లు ఒక ఫీల్డర్ చేత క్యాచ్ తీసుకున్న (136) ',' 10 వ అత్యధిక వికెట్లు ఆకర్షించింది తీసుకున్న అత్యధిక వికెట్లు కెరీర్లో (61) ',' 8 వ అత్యధిక క్యాచ్లు (131) ',' 12 వ ఒక సిరీస్లో అత్యధిక క్యాచ్లు (9) ',' ఐదో వికెట్కు (183 *) 11 వ అత్యధిక భాగస్వామ్యం ',' 14 వ అత్యధిక మ్యాచ్లు లో కెరీర్ (328) ',' 4 వ అత్యంత ప్లేయర్ ఆఫ్ ది మ్యాచ్ అవార్డులు (32) ',' 12 వ అత్యంత ప్లేయర్ ఆఫ్ ది సిరీస్ అవార్డులు (6) ',' 7 వ లాంగెస్ట్ కెరీర్లు (18y 184d) ']</v>
      </c>
      <c r="G1365" s="2" t="s">
        <v>882</v>
      </c>
      <c r="H1365" s="2" t="str">
        <f>IFERROR(__xludf.DUMMYFUNCTION("IF(G1365&lt;&gt;"""", GOOGLETRANSLATE(G1365, ""en"", ""te""),"""")"),"[ '19 అత్యధిక కెరీర్ బ్యాటింగ్ సగటు (35.05)', '17 వ కెరీర్ లో బాతులు (23)', '48 వ అత్యధిక వికెట్లు ఒక వికెట్ కీపర్ చే కాట్ తీసుకున్న (5)', 'రెండవ వికెట్కు 25 అత్యధిక భాగస్వామ్యం (119)', 'నాలుగవ వికెట్కు 37 వ అత్యధిక భాగస్వామ్యం (90 *)']")</f>
        <v>[ '19 అత్యధిక కెరీర్ బ్యాటింగ్ సగటు (35.05)', '17 వ కెరీర్ లో బాతులు (23)', '48 వ అత్యధిక వికెట్లు ఒక వికెట్ కీపర్ చే కాట్ తీసుకున్న (5)', 'రెండవ వికెట్కు 25 అత్యధిక భాగస్వామ్యం (119)', 'నాలుగవ వికెట్కు 37 వ అత్యధిక భాగస్వామ్యం (90 *)']</v>
      </c>
      <c r="I1365" s="3"/>
    </row>
    <row r="1366" customHeight="1" spans="1:9">
      <c r="A1366" s="2"/>
      <c r="B1366" s="2" t="str">
        <f>IFERROR(__xludf.DUMMYFUNCTION("IF(A1366&lt;&gt;"""", GOOGLETRANSLATE(A1366, ""en"", ""te""),"""")"),"")</f>
        <v/>
      </c>
      <c r="C1366" s="2"/>
      <c r="D1366" s="2" t="str">
        <f>IFERROR(__xludf.DUMMYFUNCTION("IF(C1366&lt;&gt;"""", GOOGLETRANSLATE(C1366, ""en"", ""te""),"""")"),"")</f>
        <v/>
      </c>
      <c r="E1366" s="2"/>
      <c r="F1366" s="2" t="str">
        <f>IFERROR(__xludf.DUMMYFUNCTION("IF(E1366&lt;&gt;"""", GOOGLETRANSLATE(E1366, ""en"", ""te""),"""")"),"")</f>
        <v/>
      </c>
      <c r="G1366" s="2"/>
      <c r="H1366" s="2" t="str">
        <f>IFERROR(__xludf.DUMMYFUNCTION("IF(G1366&lt;&gt;"""", GOOGLETRANSLATE(G1366, ""en"", ""te""),"""")"),"")</f>
        <v/>
      </c>
      <c r="I1366" s="3"/>
    </row>
    <row r="1367" customHeight="1" spans="1:9">
      <c r="A1367" s="2"/>
      <c r="B1367" s="2" t="str">
        <f>IFERROR(__xludf.DUMMYFUNCTION("IF(A1367&lt;&gt;"""", GOOGLETRANSLATE(A1367, ""en"", ""te""),"""")"),"")</f>
        <v/>
      </c>
      <c r="C1367" s="2"/>
      <c r="D1367" s="2" t="str">
        <f>IFERROR(__xludf.DUMMYFUNCTION("IF(C1367&lt;&gt;"""", GOOGLETRANSLATE(C1367, ""en"", ""te""),"""")"),"")</f>
        <v/>
      </c>
      <c r="E1367" s="2"/>
      <c r="F1367" s="2" t="str">
        <f>IFERROR(__xludf.DUMMYFUNCTION("IF(E1367&lt;&gt;"""", GOOGLETRANSLATE(E1367, ""en"", ""te""),"""")"),"")</f>
        <v/>
      </c>
      <c r="G1367" s="2"/>
      <c r="H1367" s="2" t="str">
        <f>IFERROR(__xludf.DUMMYFUNCTION("IF(G1367&lt;&gt;"""", GOOGLETRANSLATE(G1367, ""en"", ""te""),"""")"),"")</f>
        <v/>
      </c>
      <c r="I1367" s="3"/>
    </row>
    <row r="1368" customHeight="1" spans="1:9">
      <c r="A1368" s="2"/>
      <c r="B1368" s="2" t="str">
        <f>IFERROR(__xludf.DUMMYFUNCTION("IF(A1368&lt;&gt;"""", GOOGLETRANSLATE(A1368, ""en"", ""te""),"""")"),"")</f>
        <v/>
      </c>
      <c r="C1368" s="2"/>
      <c r="D1368" s="2" t="str">
        <f>IFERROR(__xludf.DUMMYFUNCTION("IF(C1368&lt;&gt;"""", GOOGLETRANSLATE(C1368, ""en"", ""te""),"""")"),"")</f>
        <v/>
      </c>
      <c r="E1368" s="2"/>
      <c r="F1368" s="2" t="str">
        <f>IFERROR(__xludf.DUMMYFUNCTION("IF(E1368&lt;&gt;"""", GOOGLETRANSLATE(E1368, ""en"", ""te""),"""")"),"")</f>
        <v/>
      </c>
      <c r="G1368" s="2"/>
      <c r="H1368" s="2" t="str">
        <f>IFERROR(__xludf.DUMMYFUNCTION("IF(G1368&lt;&gt;"""", GOOGLETRANSLATE(G1368, ""en"", ""te""),"""")"),"")</f>
        <v/>
      </c>
      <c r="I1368" s="3"/>
    </row>
    <row r="1369" customHeight="1" spans="1:9">
      <c r="A1369" s="2"/>
      <c r="B1369" s="2" t="str">
        <f>IFERROR(__xludf.DUMMYFUNCTION("IF(A1369&lt;&gt;"""", GOOGLETRANSLATE(A1369, ""en"", ""te""),"""")"),"")</f>
        <v/>
      </c>
      <c r="C1369" s="2"/>
      <c r="D1369" s="2" t="str">
        <f>IFERROR(__xludf.DUMMYFUNCTION("IF(C1369&lt;&gt;"""", GOOGLETRANSLATE(C1369, ""en"", ""te""),"""")"),"")</f>
        <v/>
      </c>
      <c r="E1369" s="2"/>
      <c r="F1369" s="2" t="str">
        <f>IFERROR(__xludf.DUMMYFUNCTION("IF(E1369&lt;&gt;"""", GOOGLETRANSLATE(E1369, ""en"", ""te""),"""")"),"")</f>
        <v/>
      </c>
      <c r="G1369" s="2" t="s">
        <v>883</v>
      </c>
      <c r="H1369" s="2" t="str">
        <f>IFERROR(__xludf.DUMMYFUNCTION("IF(G1369&lt;&gt;"""", GOOGLETRANSLATE(G1369, ""en"", ""te""),"""")"),"[ '14 వ వరుస మ్యాచ్లు ఆడి మధ్య జట్టుకు దూరమయ్యాడు (51)', 'ప్రదర్శనలు (5 సం 96d) మధ్య 41 వ లాంగెస్ట్ వ్యవధిలో' 'ఇన్నింగ్స్ లో 13 వ అత్యధిక క్యాచ్లు (3)']")</f>
        <v>[ '14 వ వరుస మ్యాచ్లు ఆడి మధ్య జట్టుకు దూరమయ్యాడు (51)', 'ప్రదర్శనలు (5 సం 96d) మధ్య 41 వ లాంగెస్ట్ వ్యవధిలో' 'ఇన్నింగ్స్ లో 13 వ అత్యధిక క్యాచ్లు (3)']</v>
      </c>
      <c r="I1369" s="3"/>
    </row>
    <row r="1370" customHeight="1" spans="1:9">
      <c r="A1370" s="2"/>
      <c r="B1370" s="2" t="str">
        <f>IFERROR(__xludf.DUMMYFUNCTION("IF(A1370&lt;&gt;"""", GOOGLETRANSLATE(A1370, ""en"", ""te""),"""")"),"")</f>
        <v/>
      </c>
      <c r="C1370" s="2"/>
      <c r="D1370" s="2" t="str">
        <f>IFERROR(__xludf.DUMMYFUNCTION("IF(C1370&lt;&gt;"""", GOOGLETRANSLATE(C1370, ""en"", ""te""),"""")"),"")</f>
        <v/>
      </c>
      <c r="E1370" s="2"/>
      <c r="F1370" s="2" t="str">
        <f>IFERROR(__xludf.DUMMYFUNCTION("IF(E1370&lt;&gt;"""", GOOGLETRANSLATE(E1370, ""en"", ""te""),"""")"),"")</f>
        <v/>
      </c>
      <c r="G1370" s="2"/>
      <c r="H1370" s="2" t="str">
        <f>IFERROR(__xludf.DUMMYFUNCTION("IF(G1370&lt;&gt;"""", GOOGLETRANSLATE(G1370, ""en"", ""te""),"""")"),"")</f>
        <v/>
      </c>
      <c r="I1370" s="3"/>
    </row>
    <row r="1371" customHeight="1" spans="1:9">
      <c r="A1371" s="2"/>
      <c r="B1371" s="2" t="str">
        <f>IFERROR(__xludf.DUMMYFUNCTION("IF(A1371&lt;&gt;"""", GOOGLETRANSLATE(A1371, ""en"", ""te""),"""")"),"")</f>
        <v/>
      </c>
      <c r="C1371" s="2"/>
      <c r="D1371" s="2" t="str">
        <f>IFERROR(__xludf.DUMMYFUNCTION("IF(C1371&lt;&gt;"""", GOOGLETRANSLATE(C1371, ""en"", ""te""),"""")"),"")</f>
        <v/>
      </c>
      <c r="E1371" s="2"/>
      <c r="F1371" s="2" t="str">
        <f>IFERROR(__xludf.DUMMYFUNCTION("IF(E1371&lt;&gt;"""", GOOGLETRANSLATE(E1371, ""en"", ""te""),"""")"),"")</f>
        <v/>
      </c>
      <c r="G1371" s="2"/>
      <c r="H1371" s="2" t="str">
        <f>IFERROR(__xludf.DUMMYFUNCTION("IF(G1371&lt;&gt;"""", GOOGLETRANSLATE(G1371, ""en"", ""te""),"""")"),"")</f>
        <v/>
      </c>
      <c r="I1371" s="3"/>
    </row>
    <row r="1372" customHeight="1" spans="1:9">
      <c r="A1372" s="2"/>
      <c r="B1372" s="2" t="str">
        <f>IFERROR(__xludf.DUMMYFUNCTION("IF(A1372&lt;&gt;"""", GOOGLETRANSLATE(A1372, ""en"", ""te""),"""")"),"")</f>
        <v/>
      </c>
      <c r="C1372" s="2"/>
      <c r="D1372" s="2" t="str">
        <f>IFERROR(__xludf.DUMMYFUNCTION("IF(C1372&lt;&gt;"""", GOOGLETRANSLATE(C1372, ""en"", ""te""),"""")"),"")</f>
        <v/>
      </c>
      <c r="E1372" s="2"/>
      <c r="F1372" s="2" t="str">
        <f>IFERROR(__xludf.DUMMYFUNCTION("IF(E1372&lt;&gt;"""", GOOGLETRANSLATE(E1372, ""en"", ""te""),"""")"),"")</f>
        <v/>
      </c>
      <c r="G1372" s="2"/>
      <c r="H1372" s="2" t="str">
        <f>IFERROR(__xludf.DUMMYFUNCTION("IF(G1372&lt;&gt;"""", GOOGLETRANSLATE(G1372, ""en"", ""te""),"""")"),"")</f>
        <v/>
      </c>
      <c r="I1372" s="3"/>
    </row>
    <row r="1373" customHeight="1" spans="1:9">
      <c r="A1373" s="2"/>
      <c r="B1373" s="2" t="str">
        <f>IFERROR(__xludf.DUMMYFUNCTION("IF(A1373&lt;&gt;"""", GOOGLETRANSLATE(A1373, ""en"", ""te""),"""")"),"")</f>
        <v/>
      </c>
      <c r="C1373" s="2"/>
      <c r="D1373" s="2" t="str">
        <f>IFERROR(__xludf.DUMMYFUNCTION("IF(C1373&lt;&gt;"""", GOOGLETRANSLATE(C1373, ""en"", ""te""),"""")"),"")</f>
        <v/>
      </c>
      <c r="E1373" s="2"/>
      <c r="F1373" s="2" t="str">
        <f>IFERROR(__xludf.DUMMYFUNCTION("IF(E1373&lt;&gt;"""", GOOGLETRANSLATE(E1373, ""en"", ""te""),"""")"),"")</f>
        <v/>
      </c>
      <c r="G1373" s="2"/>
      <c r="H1373" s="2" t="str">
        <f>IFERROR(__xludf.DUMMYFUNCTION("IF(G1373&lt;&gt;"""", GOOGLETRANSLATE(G1373, ""en"", ""te""),"""")"),"")</f>
        <v/>
      </c>
      <c r="I1373" s="3"/>
    </row>
    <row r="1374" customHeight="1" spans="1:9">
      <c r="A1374" s="2" t="s">
        <v>884</v>
      </c>
      <c r="B1374" s="2" t="str">
        <f>IFERROR(__xludf.DUMMYFUNCTION("IF(A1374&lt;&gt;"""", GOOGLETRANSLATE(A1374, ""en"", ""te""),"""")"),"[ '2 వ భాగం (57 *) ఒక ఇన్నింగ్స్ లో నడుస్తుంది (బ్యాటింగ్ స్థానం)']")</f>
        <v>[ '2 వ భాగం (57 *) ఒక ఇన్నింగ్స్ లో నడుస్తుంది (బ్యాటింగ్ స్థానం)']</v>
      </c>
      <c r="C1374" s="2"/>
      <c r="D1374" s="2" t="str">
        <f>IFERROR(__xludf.DUMMYFUNCTION("IF(C1374&lt;&gt;"""", GOOGLETRANSLATE(C1374, ""en"", ""te""),"""")"),"")</f>
        <v/>
      </c>
      <c r="E1374" s="2" t="s">
        <v>885</v>
      </c>
      <c r="F1374" s="2" t="str">
        <f>IFERROR(__xludf.DUMMYFUNCTION("IF(E1374&lt;&gt;"""", GOOGLETRANSLATE(E1374, ""en"", ""te""),"""")"),"[ '2nd అత్యంత ఇన్నింగ్స్ లో నడుస్తుంది (బ్యాటింగ్ స్థానం) (57 *)', 'ఏడవ వికెట్కు 19 అత్యధిక భాగస్వామ్యం (66)', 'పదవ వికెట్కు 28 అత్యధిక భాగస్వామ్యం (29)']")</f>
        <v>[ '2nd అత్యంత ఇన్నింగ్స్ లో నడుస్తుంది (బ్యాటింగ్ స్థానం) (57 *)', 'ఏడవ వికెట్కు 19 అత్యధిక భాగస్వామ్యం (66)', 'పదవ వికెట్కు 28 అత్యధిక భాగస్వామ్యం (29)']</v>
      </c>
      <c r="G1374" s="2"/>
      <c r="H1374" s="2" t="str">
        <f>IFERROR(__xludf.DUMMYFUNCTION("IF(G1374&lt;&gt;"""", GOOGLETRANSLATE(G1374, ""en"", ""te""),"""")"),"")</f>
        <v/>
      </c>
      <c r="I1374" s="3"/>
    </row>
    <row r="1375" customHeight="1" spans="1:9">
      <c r="A1375" s="2"/>
      <c r="B1375" s="2" t="str">
        <f>IFERROR(__xludf.DUMMYFUNCTION("IF(A1375&lt;&gt;"""", GOOGLETRANSLATE(A1375, ""en"", ""te""),"""")"),"")</f>
        <v/>
      </c>
      <c r="C1375" s="2"/>
      <c r="D1375" s="2" t="str">
        <f>IFERROR(__xludf.DUMMYFUNCTION("IF(C1375&lt;&gt;"""", GOOGLETRANSLATE(C1375, ""en"", ""te""),"""")"),"")</f>
        <v/>
      </c>
      <c r="E1375" s="2"/>
      <c r="F1375" s="2" t="str">
        <f>IFERROR(__xludf.DUMMYFUNCTION("IF(E1375&lt;&gt;"""", GOOGLETRANSLATE(E1375, ""en"", ""te""),"""")"),"")</f>
        <v/>
      </c>
      <c r="G1375" s="2"/>
      <c r="H1375" s="2" t="str">
        <f>IFERROR(__xludf.DUMMYFUNCTION("IF(G1375&lt;&gt;"""", GOOGLETRANSLATE(G1375, ""en"", ""te""),"""")"),"")</f>
        <v/>
      </c>
      <c r="I1375" s="3"/>
    </row>
    <row r="1376" customHeight="1" spans="1:9">
      <c r="A1376" s="2" t="s">
        <v>886</v>
      </c>
      <c r="B1376" s="2" t="str">
        <f>IFERROR(__xludf.DUMMYFUNCTION("IF(A1376&lt;&gt;"""", GOOGLETRANSLATE(A1376, ""en"", ""te""),"""")"),"[ '3 వ ఉత్తమ ఆర్థిక వ్యవస్థ ఇన్నింగ్స్లో రేటు (0.18)', 'ఇన్నింగ్స్ లో 5 వ అత్యధిక పరుగులు (బ్యాటింగ్ స్థానంలో ప్రకారం) (22)']")</f>
        <v>[ '3 వ ఉత్తమ ఆర్థిక వ్యవస్థ ఇన్నింగ్స్లో రేటు (0.18)', 'ఇన్నింగ్స్ లో 5 వ అత్యధిక పరుగులు (బ్యాటింగ్ స్థానంలో ప్రకారం) (22)']</v>
      </c>
      <c r="C1376" s="2" t="s">
        <v>887</v>
      </c>
      <c r="D1376" s="2" t="str">
        <f>IFERROR(__xludf.DUMMYFUNCTION("IF(C1376&lt;&gt;"""", GOOGLETRANSLATE(C1376, ""en"", ""te""),"""")"),"[ '3 వ ఉత్తమ ఆర్థిక వ్యవస్థ ఇన్నింగ్స్లో రేటు (0.18)', 'పదవ వికెట్కు 20 వ అత్యధిక భాగస్వామ్యం (32)']")</f>
        <v>[ '3 వ ఉత్తమ ఆర్థిక వ్యవస్థ ఇన్నింగ్స్లో రేటు (0.18)', 'పదవ వికెట్కు 20 వ అత్యధిక భాగస్వామ్యం (32)']</v>
      </c>
      <c r="E1376" s="2"/>
      <c r="F1376" s="2" t="str">
        <f>IFERROR(__xludf.DUMMYFUNCTION("IF(E1376&lt;&gt;"""", GOOGLETRANSLATE(E1376, ""en"", ""te""),"""")"),"")</f>
        <v/>
      </c>
      <c r="G1376" s="2" t="s">
        <v>888</v>
      </c>
      <c r="H1376" s="2" t="str">
        <f>IFERROR(__xludf.DUMMYFUNCTION("IF(G1376&lt;&gt;"""", GOOGLETRANSLATE(G1376, ""en"", ""te""),"""")"),"[ 'చాలా 5 వ ఇన్నింగ్స్ లో నడుస్తుంది (బ్యాటింగ్ స్థానం) (22)']")</f>
        <v>[ 'చాలా 5 వ ఇన్నింగ్స్ లో నడుస్తుంది (బ్యాటింగ్ స్థానం) (22)']</v>
      </c>
      <c r="I1376" s="3"/>
    </row>
    <row r="1377" customHeight="1" spans="1:9">
      <c r="A1377" s="2"/>
      <c r="B1377" s="2" t="str">
        <f>IFERROR(__xludf.DUMMYFUNCTION("IF(A1377&lt;&gt;"""", GOOGLETRANSLATE(A1377, ""en"", ""te""),"""")"),"")</f>
        <v/>
      </c>
      <c r="C1377" s="2"/>
      <c r="D1377" s="2" t="str">
        <f>IFERROR(__xludf.DUMMYFUNCTION("IF(C1377&lt;&gt;"""", GOOGLETRANSLATE(C1377, ""en"", ""te""),"""")"),"")</f>
        <v/>
      </c>
      <c r="E1377" s="2"/>
      <c r="F1377" s="2" t="str">
        <f>IFERROR(__xludf.DUMMYFUNCTION("IF(E1377&lt;&gt;"""", GOOGLETRANSLATE(E1377, ""en"", ""te""),"""")"),"")</f>
        <v/>
      </c>
      <c r="G1377" s="2"/>
      <c r="H1377" s="2" t="str">
        <f>IFERROR(__xludf.DUMMYFUNCTION("IF(G1377&lt;&gt;"""", GOOGLETRANSLATE(G1377, ""en"", ""te""),"""")"),"")</f>
        <v/>
      </c>
      <c r="I1377" s="3"/>
    </row>
    <row r="1378" customHeight="1" spans="1:9">
      <c r="A1378" s="2" t="s">
        <v>889</v>
      </c>
      <c r="B1378" s="2" t="str">
        <f>IFERROR(__xludf.DUMMYFUNCTION("IF(A1378&lt;&gt;"""", GOOGLETRANSLATE(A1378, ""en"", ""te""),"""")"),"[ 'హండ్రెడ్ మరియు ఒక మ్యాచ్లో ఒక డక్', 'ఒక ఇన్నింగ్స్లో ద్వారా బ్యాట్ నిదర్శన (100 *)' 'ఒక మ్యాచ్లో ప్రతి ఇన్నింగ్స్లో హండ్రెడ్', '1 వ అత్యుత్తమ బౌలింగ్ ఇన్నింగ్స్ లో విశ్లేషించడం (1/0)', ​​' 5000 పరుగులు మరియు 50 ఫీల్డింగ్ వికెట్లు ',' ఒక క్యాలెండర్ సంవత"&amp;"్సరంలో 5 వ అత్యధిక వందలు (6) ',' 5 వ 3000 పరుగులు వేగంగా (72) ',' 5000 పరుగులు మరియు 50 ఫీల్డింగ్ వికెట్లు ']")</f>
        <v>[ 'హండ్రెడ్ మరియు ఒక మ్యాచ్లో ఒక డక్', 'ఒక ఇన్నింగ్స్లో ద్వారా బ్యాట్ నిదర్శన (100 *)' 'ఒక మ్యాచ్లో ప్రతి ఇన్నింగ్స్లో హండ్రెడ్', '1 వ అత్యుత్తమ బౌలింగ్ ఇన్నింగ్స్ లో విశ్లేషించడం (1/0)', ​​' 5000 పరుగులు మరియు 50 ఫీల్డింగ్ వికెట్లు ',' ఒక క్యాలెండర్ సంవత్సరంలో 5 వ అత్యధిక వందలు (6) ',' 5 వ 3000 పరుగులు వేగంగా (72) ',' 5000 పరుగులు మరియు 50 ఫీల్డింగ్ వికెట్లు ']</v>
      </c>
      <c r="C1378" s="2" t="s">
        <v>890</v>
      </c>
      <c r="D1378" s="2" t="str">
        <f>IFERROR(__xludf.DUMMYFUNCTION("IF(C1378&lt;&gt;"""", GOOGLETRANSLATE(C1378, ""en"", ""te""),"""")"),"[ 'ఒక రోజు లో 43 అత్యధిక పరుగులు (202)' 'ఒక వృత్తిలో 38 వ అత్యధిక వందలు (21)' '46 వ కెరీర్ లో అత్యధిక పరుగులు (7289)', '49 వ ఇన్నింగ్స్ (275) అత్యధిక పరుగులు', '27 ఒక జీవితంలో అధిక రెండొందల వందల (3) ',' 39 వ అత్యంత అర్ధ కెరీర్లో (55) ',' 29 వ అత్యధిక ఫోర్"&amp;"లు కెరీర్లో (922) ',' 2 వ లాంగెస్ట్ వ్యక్తిగత ఇన్నింగ్స్ (నిమిషాలు) (878) ',' 5 వ లాంగెస్ట్ వ్యక్తిగత ఇన్నింగ్స్ (బంతులతో) (642) ',' 36 వ 7000 పరుగులు (167) ',' 1 వ అత్యుత్తమ బౌలింగ్ ఇన్నింగ్స్ లో విశ్లేషించడం (1/0) కు వేగవంతమైన ',' ఎనిమిదవ వికెట్కు 20 వ"&amp;" అత్యధిక భాగస్వామ్యం (150) ', '41 వ అత్యంత ప్లేయర్ ఆఫ్ ది మ్యాచ్ అవార్డులు (8)']")</f>
        <v>[ 'ఒక రోజు లో 43 అత్యధిక పరుగులు (202)' 'ఒక వృత్తిలో 38 వ అత్యధిక వందలు (21)' '46 వ కెరీర్ లో అత్యధిక పరుగులు (7289)', '49 వ ఇన్నింగ్స్ (275) అత్యధిక పరుగులు', '27 ఒక జీవితంలో అధిక రెండొందల వందల (3) ',' 39 వ అత్యంత అర్ధ కెరీర్లో (55) ',' 29 వ అత్యధిక ఫోర్లు కెరీర్లో (922) ',' 2 వ లాంగెస్ట్ వ్యక్తిగత ఇన్నింగ్స్ (నిమిషాలు) (878) ',' 5 వ లాంగెస్ట్ వ్యక్తిగత ఇన్నింగ్స్ (బంతులతో) (642) ',' 36 వ 7000 పరుగులు (167) ',' 1 వ అత్యుత్తమ బౌలింగ్ ఇన్నింగ్స్ లో విశ్లేషించడం (1/0) కు వేగవంతమైన ',' ఎనిమిదవ వికెట్కు 20 వ అత్యధిక భాగస్వామ్యం (150) ', '41 వ అత్యంత ప్లేయర్ ఆఫ్ ది మ్యాచ్ అవార్డులు (8)']</v>
      </c>
      <c r="E1378" s="2" t="s">
        <v>891</v>
      </c>
      <c r="F1378" s="2" t="str">
        <f>IFERROR(__xludf.DUMMYFUNCTION("IF(E1378&lt;&gt;"""", GOOGLETRANSLATE(E1378, ""en"", ""te""),"""")"),"[(బ్యాటింగ్ స్థానంలో ద్వారా) 'కెరీర్లో 47 వ అత్యధిక పరుగులు (6798)', '15 వ ఇన్నింగ్స్ లో అత్యధిక పరుగులు (188 *)', '11 వ ఒక క్యాలెండర్ సంవత్సరంలో అత్యధిక పరుగులు (1467)', '13 వ ఇన్నింగ్స్ లో అత్యధిక పరుగులు (188 *) ',' 33 వ ఒక వృత్తిలో అత్యధిక వందలు (13) "&amp;"',' ఒక క్యాలెండర్ సంవత్సరంలో 5 వ అత్యధిక వందలు (6) ',' 39 వ ఒక జట్టు వ్యతిరేకంగా అత్యధిక వందలు (4) ',' 34 వ కెరీర్ తొంభైల ( 4) ',' 33 వ అత్యంత అర్ధ కెరీర్లో (58) ',' వరుస ఇన్నింగ్స్లో 44 వ యాభైల్లో (4) ',' 36 వ అత్యంత ఇన్నింగ్స్ తొలి డక్ (32) ',' 39 వ క"&amp;"ెరీర్ ఫోర్లు ముందు (659) ',' 21 ఒక ఇన్నింగ్స్లో పరుగుల అత్యధిక శాతం (58.56) ',' 13 వ వేగవంతమైన 2000 పరుగులు (50) ',' 5 వ 3000 వేగవంతమైన పరుగులు (72) ', '21 వ 4000 పరుగులు (110)', '22 వ వేగంగా వేగంగా 5000 పరుగులు (137) ',' ఫాస్టెస్ట్ 6000 పరుగులు (160) '"&amp;",' 43 వ అత్యధిక వాటా ఏ వికెట్కు (235) ',' మొదటి వికెట్కు 18 అత్యధిక భాగస్వామ్యం (235) ',' 30 వ అత్యధిక భాగస్వామ్యం 11 వ రెండో వికెట్కు (209) ',' 24 వ అత్యంత ప్లేయర్ ఆఫ్ ది సిరీస్ అవార్డులు (4) ']")</f>
        <v>[(బ్యాటింగ్ స్థానంలో ద్వారా) 'కెరీర్లో 47 వ అత్యధిక పరుగులు (6798)', '15 వ ఇన్నింగ్స్ లో అత్యధిక పరుగులు (188 *)', '11 వ ఒక క్యాలెండర్ సంవత్సరంలో అత్యధిక పరుగులు (1467)', '13 వ ఇన్నింగ్స్ లో అత్యధిక పరుగులు (188 *) ',' 33 వ ఒక వృత్తిలో అత్యధిక వందలు (13) ',' ఒక క్యాలెండర్ సంవత్సరంలో 5 వ అత్యధిక వందలు (6) ',' 39 వ ఒక జట్టు వ్యతిరేకంగా అత్యధిక వందలు (4) ',' 34 వ కెరీర్ తొంభైల ( 4) ',' 33 వ అత్యంత అర్ధ కెరీర్లో (58) ',' వరుస ఇన్నింగ్స్లో 44 వ యాభైల్లో (4) ',' 36 వ అత్యంత ఇన్నింగ్స్ తొలి డక్ (32) ',' 39 వ కెరీర్ ఫోర్లు ముందు (659) ',' 21 ఒక ఇన్నింగ్స్లో పరుగుల అత్యధిక శాతం (58.56) ',' 13 వ వేగవంతమైన 2000 పరుగులు (50) ',' 5 వ 3000 వేగవంతమైన పరుగులు (72) ', '21 వ 4000 పరుగులు (110)', '22 వ వేగంగా వేగంగా 5000 పరుగులు (137) ',' ఫాస్టెస్ట్ 6000 పరుగులు (160) ',' 43 వ అత్యధిక వాటా ఏ వికెట్కు (235) ',' మొదటి వికెట్కు 18 అత్యధిక భాగస్వామ్యం (235) ',' 30 వ అత్యధిక భాగస్వామ్యం 11 వ రెండో వికెట్కు (209) ',' 24 వ అత్యంత ప్లేయర్ ఆఫ్ ది సిరీస్ అవార్డులు (4) ']</v>
      </c>
      <c r="G1378" s="2"/>
      <c r="H1378" s="2" t="str">
        <f>IFERROR(__xludf.DUMMYFUNCTION("IF(G1378&lt;&gt;"""", GOOGLETRANSLATE(G1378, ""en"", ""te""),"""")"),"")</f>
        <v/>
      </c>
      <c r="I1378" s="3"/>
    </row>
    <row r="1379" customHeight="1" spans="1:9">
      <c r="A1379" s="2"/>
      <c r="B1379" s="2" t="str">
        <f>IFERROR(__xludf.DUMMYFUNCTION("IF(A1379&lt;&gt;"""", GOOGLETRANSLATE(A1379, ""en"", ""te""),"""")"),"")</f>
        <v/>
      </c>
      <c r="C1379" s="2"/>
      <c r="D1379" s="2" t="str">
        <f>IFERROR(__xludf.DUMMYFUNCTION("IF(C1379&lt;&gt;"""", GOOGLETRANSLATE(C1379, ""en"", ""te""),"""")"),"")</f>
        <v/>
      </c>
      <c r="E1379" s="2"/>
      <c r="F1379" s="2" t="str">
        <f>IFERROR(__xludf.DUMMYFUNCTION("IF(E1379&lt;&gt;"""", GOOGLETRANSLATE(E1379, ""en"", ""te""),"""")"),"")</f>
        <v/>
      </c>
      <c r="G1379" s="2"/>
      <c r="H1379" s="2" t="str">
        <f>IFERROR(__xludf.DUMMYFUNCTION("IF(G1379&lt;&gt;"""", GOOGLETRANSLATE(G1379, ""en"", ""te""),"""")"),"")</f>
        <v/>
      </c>
      <c r="I1379" s="3"/>
    </row>
    <row r="1380" customHeight="1" spans="1:9">
      <c r="A1380" s="2"/>
      <c r="B1380" s="2" t="str">
        <f>IFERROR(__xludf.DUMMYFUNCTION("IF(A1380&lt;&gt;"""", GOOGLETRANSLATE(A1380, ""en"", ""te""),"""")"),"")</f>
        <v/>
      </c>
      <c r="C1380" s="2"/>
      <c r="D1380" s="2" t="str">
        <f>IFERROR(__xludf.DUMMYFUNCTION("IF(C1380&lt;&gt;"""", GOOGLETRANSLATE(C1380, ""en"", ""te""),"""")"),"")</f>
        <v/>
      </c>
      <c r="E1380" s="2"/>
      <c r="F1380" s="2" t="str">
        <f>IFERROR(__xludf.DUMMYFUNCTION("IF(E1380&lt;&gt;"""", GOOGLETRANSLATE(E1380, ""en"", ""te""),"""")"),"")</f>
        <v/>
      </c>
      <c r="G1380" s="2"/>
      <c r="H1380" s="2" t="str">
        <f>IFERROR(__xludf.DUMMYFUNCTION("IF(G1380&lt;&gt;"""", GOOGLETRANSLATE(G1380, ""en"", ""te""),"""")"),"")</f>
        <v/>
      </c>
      <c r="I1380" s="3"/>
    </row>
    <row r="1381" customHeight="1" spans="1:9">
      <c r="A1381" s="2" t="s">
        <v>892</v>
      </c>
      <c r="B1381" s="2" t="str">
        <f>IFERROR(__xludf.DUMMYFUNCTION("IF(A1381&lt;&gt;"""", GOOGLETRANSLATE(A1381, ""en"", ""te""),"""")"),"[ 'ఎనిమిదవ వికెట్కు 1st అత్యధిక భాగస్వామ్యం (138 *)']")</f>
        <v>[ 'ఎనిమిదవ వికెట్కు 1st అత్యధిక భాగస్వామ్యం (138 *)']</v>
      </c>
      <c r="C1381" s="2"/>
      <c r="D1381" s="2" t="str">
        <f>IFERROR(__xludf.DUMMYFUNCTION("IF(C1381&lt;&gt;"""", GOOGLETRANSLATE(C1381, ""en"", ""te""),"""")"),"")</f>
        <v/>
      </c>
      <c r="E1381" s="2" t="s">
        <v>893</v>
      </c>
      <c r="F1381" s="2" t="str">
        <f>IFERROR(__xludf.DUMMYFUNCTION("IF(E1381&lt;&gt;"""", GOOGLETRANSLATE(E1381, ""en"", ""te""),"""")"),"[ '17 వ ఇన్నింగ్స్ లో అత్యధిక పరుగులు (బ్యాటింగ్ స్థానంలో ప్రకారం) (100 *)', 'వికెట్ తేడాతో 8 వ అత్యధిక భాగస్వామ్యాల (8 వ)', 'ఎనిమిదవ వికెట్ (138 *) 1 వ అత్యధిక భాగస్వామ్యం']")</f>
        <v>[ '17 వ ఇన్నింగ్స్ లో అత్యధిక పరుగులు (బ్యాటింగ్ స్థానంలో ప్రకారం) (100 *)', 'వికెట్ తేడాతో 8 వ అత్యధిక భాగస్వామ్యాల (8 వ)', 'ఎనిమిదవ వికెట్ (138 *) 1 వ అత్యధిక భాగస్వామ్యం']</v>
      </c>
      <c r="G1381" s="2" t="s">
        <v>894</v>
      </c>
      <c r="H1381" s="2" t="str">
        <f>IFERROR(__xludf.DUMMYFUNCTION("IF(G1381&lt;&gt;"""", GOOGLETRANSLATE(G1381, ""en"", ""te""),"""")"),"[ '14 వ ఇన్నింగ్స్ లో అత్యధిక పరుగులు (బ్యాటింగ్ స్థానంలో ప్రకారం) (89 *)']")</f>
        <v>[ '14 వ ఇన్నింగ్స్ లో అత్యధిక పరుగులు (బ్యాటింగ్ స్థానంలో ప్రకారం) (89 *)']</v>
      </c>
      <c r="I1381" s="3"/>
    </row>
    <row r="1382" customHeight="1" spans="1:9">
      <c r="A1382" s="2"/>
      <c r="B1382" s="2" t="str">
        <f>IFERROR(__xludf.DUMMYFUNCTION("IF(A1382&lt;&gt;"""", GOOGLETRANSLATE(A1382, ""en"", ""te""),"""")"),"")</f>
        <v/>
      </c>
      <c r="C1382" s="2"/>
      <c r="D1382" s="2" t="str">
        <f>IFERROR(__xludf.DUMMYFUNCTION("IF(C1382&lt;&gt;"""", GOOGLETRANSLATE(C1382, ""en"", ""te""),"""")"),"")</f>
        <v/>
      </c>
      <c r="E1382" s="2"/>
      <c r="F1382" s="2" t="str">
        <f>IFERROR(__xludf.DUMMYFUNCTION("IF(E1382&lt;&gt;"""", GOOGLETRANSLATE(E1382, ""en"", ""te""),"""")"),"")</f>
        <v/>
      </c>
      <c r="G1382" s="2"/>
      <c r="H1382" s="2" t="str">
        <f>IFERROR(__xludf.DUMMYFUNCTION("IF(G1382&lt;&gt;"""", GOOGLETRANSLATE(G1382, ""en"", ""te""),"""")"),"")</f>
        <v/>
      </c>
      <c r="I1382" s="3"/>
    </row>
    <row r="1383" customHeight="1" spans="1:9">
      <c r="A1383" s="2"/>
      <c r="B1383" s="2" t="str">
        <f>IFERROR(__xludf.DUMMYFUNCTION("IF(A1383&lt;&gt;"""", GOOGLETRANSLATE(A1383, ""en"", ""te""),"""")"),"")</f>
        <v/>
      </c>
      <c r="C1383" s="2"/>
      <c r="D1383" s="2" t="str">
        <f>IFERROR(__xludf.DUMMYFUNCTION("IF(C1383&lt;&gt;"""", GOOGLETRANSLATE(C1383, ""en"", ""te""),"""")"),"")</f>
        <v/>
      </c>
      <c r="E1383" s="2"/>
      <c r="F1383" s="2" t="str">
        <f>IFERROR(__xludf.DUMMYFUNCTION("IF(E1383&lt;&gt;"""", GOOGLETRANSLATE(E1383, ""en"", ""te""),"""")"),"")</f>
        <v/>
      </c>
      <c r="G1383" s="2"/>
      <c r="H1383" s="2" t="str">
        <f>IFERROR(__xludf.DUMMYFUNCTION("IF(G1383&lt;&gt;"""", GOOGLETRANSLATE(G1383, ""en"", ""te""),"""")"),"")</f>
        <v/>
      </c>
      <c r="I1383" s="3"/>
    </row>
    <row r="1384" customHeight="1" spans="1:9">
      <c r="A1384" s="2"/>
      <c r="B1384" s="2" t="str">
        <f>IFERROR(__xludf.DUMMYFUNCTION("IF(A1384&lt;&gt;"""", GOOGLETRANSLATE(A1384, ""en"", ""te""),"""")"),"")</f>
        <v/>
      </c>
      <c r="C1384" s="2"/>
      <c r="D1384" s="2" t="str">
        <f>IFERROR(__xludf.DUMMYFUNCTION("IF(C1384&lt;&gt;"""", GOOGLETRANSLATE(C1384, ""en"", ""te""),"""")"),"")</f>
        <v/>
      </c>
      <c r="E1384" s="2"/>
      <c r="F1384" s="2" t="str">
        <f>IFERROR(__xludf.DUMMYFUNCTION("IF(E1384&lt;&gt;"""", GOOGLETRANSLATE(E1384, ""en"", ""te""),"""")"),"")</f>
        <v/>
      </c>
      <c r="G1384" s="2"/>
      <c r="H1384" s="2" t="str">
        <f>IFERROR(__xludf.DUMMYFUNCTION("IF(G1384&lt;&gt;"""", GOOGLETRANSLATE(G1384, ""en"", ""te""),"""")"),"")</f>
        <v/>
      </c>
      <c r="I1384" s="3"/>
    </row>
    <row r="1385" customHeight="1" spans="1:9">
      <c r="A1385" s="2"/>
      <c r="B1385" s="2" t="str">
        <f>IFERROR(__xludf.DUMMYFUNCTION("IF(A1385&lt;&gt;"""", GOOGLETRANSLATE(A1385, ""en"", ""te""),"""")"),"")</f>
        <v/>
      </c>
      <c r="C1385" s="2"/>
      <c r="D1385" s="2" t="str">
        <f>IFERROR(__xludf.DUMMYFUNCTION("IF(C1385&lt;&gt;"""", GOOGLETRANSLATE(C1385, ""en"", ""te""),"""")"),"")</f>
        <v/>
      </c>
      <c r="E1385" s="2"/>
      <c r="F1385" s="2" t="str">
        <f>IFERROR(__xludf.DUMMYFUNCTION("IF(E1385&lt;&gt;"""", GOOGLETRANSLATE(E1385, ""en"", ""te""),"""")"),"")</f>
        <v/>
      </c>
      <c r="G1385" s="2"/>
      <c r="H1385" s="2" t="str">
        <f>IFERROR(__xludf.DUMMYFUNCTION("IF(G1385&lt;&gt;"""", GOOGLETRANSLATE(G1385, ""en"", ""te""),"""")"),"")</f>
        <v/>
      </c>
      <c r="I1385" s="3"/>
    </row>
    <row r="1386" customHeight="1" spans="1:9">
      <c r="A1386" s="2" t="s">
        <v>399</v>
      </c>
      <c r="B1386" s="2" t="str">
        <f>IFERROR(__xludf.DUMMYFUNCTION("IF(A1386&lt;&gt;"""", GOOGLETRANSLATE(A1386, ""en"", ""te""),"""")"),"[ 'తొలి పెయిర్']")</f>
        <v>[ 'తొలి పెయిర్']</v>
      </c>
      <c r="C1386" s="2"/>
      <c r="D1386" s="2" t="str">
        <f>IFERROR(__xludf.DUMMYFUNCTION("IF(C1386&lt;&gt;"""", GOOGLETRANSLATE(C1386, ""en"", ""te""),"""")"),"")</f>
        <v/>
      </c>
      <c r="E1386" s="2"/>
      <c r="F1386" s="2" t="str">
        <f>IFERROR(__xludf.DUMMYFUNCTION("IF(E1386&lt;&gt;"""", GOOGLETRANSLATE(E1386, ""en"", ""te""),"""")"),"")</f>
        <v/>
      </c>
      <c r="G1386" s="2"/>
      <c r="H1386" s="2" t="str">
        <f>IFERROR(__xludf.DUMMYFUNCTION("IF(G1386&lt;&gt;"""", GOOGLETRANSLATE(G1386, ""en"", ""te""),"""")"),"")</f>
        <v/>
      </c>
      <c r="I1386" s="3"/>
    </row>
    <row r="1387" customHeight="1" spans="1:9">
      <c r="A1387" s="2"/>
      <c r="B1387" s="2" t="str">
        <f>IFERROR(__xludf.DUMMYFUNCTION("IF(A1387&lt;&gt;"""", GOOGLETRANSLATE(A1387, ""en"", ""te""),"""")"),"")</f>
        <v/>
      </c>
      <c r="C1387" s="2"/>
      <c r="D1387" s="2" t="str">
        <f>IFERROR(__xludf.DUMMYFUNCTION("IF(C1387&lt;&gt;"""", GOOGLETRANSLATE(C1387, ""en"", ""te""),"""")"),"")</f>
        <v/>
      </c>
      <c r="E1387" s="2"/>
      <c r="F1387" s="2" t="str">
        <f>IFERROR(__xludf.DUMMYFUNCTION("IF(E1387&lt;&gt;"""", GOOGLETRANSLATE(E1387, ""en"", ""te""),"""")"),"")</f>
        <v/>
      </c>
      <c r="G1387" s="2"/>
      <c r="H1387" s="2" t="str">
        <f>IFERROR(__xludf.DUMMYFUNCTION("IF(G1387&lt;&gt;"""", GOOGLETRANSLATE(G1387, ""en"", ""te""),"""")"),"")</f>
        <v/>
      </c>
      <c r="I1387" s="3"/>
    </row>
    <row r="1388" customHeight="1" spans="1:9">
      <c r="A1388" s="2"/>
      <c r="B1388" s="2" t="str">
        <f>IFERROR(__xludf.DUMMYFUNCTION("IF(A1388&lt;&gt;"""", GOOGLETRANSLATE(A1388, ""en"", ""te""),"""")"),"")</f>
        <v/>
      </c>
      <c r="C1388" s="2"/>
      <c r="D1388" s="2" t="str">
        <f>IFERROR(__xludf.DUMMYFUNCTION("IF(C1388&lt;&gt;"""", GOOGLETRANSLATE(C1388, ""en"", ""te""),"""")"),"")</f>
        <v/>
      </c>
      <c r="E1388" s="2"/>
      <c r="F1388" s="2" t="str">
        <f>IFERROR(__xludf.DUMMYFUNCTION("IF(E1388&lt;&gt;"""", GOOGLETRANSLATE(E1388, ""en"", ""te""),"""")"),"")</f>
        <v/>
      </c>
      <c r="G1388" s="2"/>
      <c r="H1388" s="2" t="str">
        <f>IFERROR(__xludf.DUMMYFUNCTION("IF(G1388&lt;&gt;"""", GOOGLETRANSLATE(G1388, ""en"", ""te""),"""")"),"")</f>
        <v/>
      </c>
      <c r="I1388" s="3"/>
    </row>
    <row r="1389" customHeight="1" spans="1:9">
      <c r="A1389" s="2"/>
      <c r="B1389" s="2" t="str">
        <f>IFERROR(__xludf.DUMMYFUNCTION("IF(A1389&lt;&gt;"""", GOOGLETRANSLATE(A1389, ""en"", ""te""),"""")"),"")</f>
        <v/>
      </c>
      <c r="C1389" s="2"/>
      <c r="D1389" s="2" t="str">
        <f>IFERROR(__xludf.DUMMYFUNCTION("IF(C1389&lt;&gt;"""", GOOGLETRANSLATE(C1389, ""en"", ""te""),"""")"),"")</f>
        <v/>
      </c>
      <c r="E1389" s="2"/>
      <c r="F1389" s="2" t="str">
        <f>IFERROR(__xludf.DUMMYFUNCTION("IF(E1389&lt;&gt;"""", GOOGLETRANSLATE(E1389, ""en"", ""te""),"""")"),"")</f>
        <v/>
      </c>
      <c r="G1389" s="2"/>
      <c r="H1389" s="2" t="str">
        <f>IFERROR(__xludf.DUMMYFUNCTION("IF(G1389&lt;&gt;"""", GOOGLETRANSLATE(G1389, ""en"", ""te""),"""")"),"")</f>
        <v/>
      </c>
      <c r="I1389" s="3"/>
    </row>
    <row r="1390" customHeight="1" spans="1:9">
      <c r="A1390" s="2"/>
      <c r="B1390" s="2" t="str">
        <f>IFERROR(__xludf.DUMMYFUNCTION("IF(A1390&lt;&gt;"""", GOOGLETRANSLATE(A1390, ""en"", ""te""),"""")"),"")</f>
        <v/>
      </c>
      <c r="C1390" s="2"/>
      <c r="D1390" s="2" t="str">
        <f>IFERROR(__xludf.DUMMYFUNCTION("IF(C1390&lt;&gt;"""", GOOGLETRANSLATE(C1390, ""en"", ""te""),"""")"),"")</f>
        <v/>
      </c>
      <c r="E1390" s="2"/>
      <c r="F1390" s="2" t="str">
        <f>IFERROR(__xludf.DUMMYFUNCTION("IF(E1390&lt;&gt;"""", GOOGLETRANSLATE(E1390, ""en"", ""te""),"""")"),"")</f>
        <v/>
      </c>
      <c r="G1390" s="2"/>
      <c r="H1390" s="2" t="str">
        <f>IFERROR(__xludf.DUMMYFUNCTION("IF(G1390&lt;&gt;"""", GOOGLETRANSLATE(G1390, ""en"", ""te""),"""")"),"")</f>
        <v/>
      </c>
      <c r="I1390" s="3"/>
    </row>
    <row r="1391" customHeight="1" spans="1:9">
      <c r="A1391" s="2"/>
      <c r="B1391" s="2" t="str">
        <f>IFERROR(__xludf.DUMMYFUNCTION("IF(A1391&lt;&gt;"""", GOOGLETRANSLATE(A1391, ""en"", ""te""),"""")"),"")</f>
        <v/>
      </c>
      <c r="C1391" s="2"/>
      <c r="D1391" s="2" t="str">
        <f>IFERROR(__xludf.DUMMYFUNCTION("IF(C1391&lt;&gt;"""", GOOGLETRANSLATE(C1391, ""en"", ""te""),"""")"),"")</f>
        <v/>
      </c>
      <c r="E1391" s="2"/>
      <c r="F1391" s="2" t="str">
        <f>IFERROR(__xludf.DUMMYFUNCTION("IF(E1391&lt;&gt;"""", GOOGLETRANSLATE(E1391, ""en"", ""te""),"""")"),"")</f>
        <v/>
      </c>
      <c r="G1391" s="2"/>
      <c r="H1391" s="2" t="str">
        <f>IFERROR(__xludf.DUMMYFUNCTION("IF(G1391&lt;&gt;"""", GOOGLETRANSLATE(G1391, ""en"", ""te""),"""")"),"")</f>
        <v/>
      </c>
      <c r="I1391" s="3"/>
    </row>
    <row r="1392" customHeight="1" spans="1:9">
      <c r="A1392" s="2"/>
      <c r="B1392" s="2" t="str">
        <f>IFERROR(__xludf.DUMMYFUNCTION("IF(A1392&lt;&gt;"""", GOOGLETRANSLATE(A1392, ""en"", ""te""),"""")"),"")</f>
        <v/>
      </c>
      <c r="C1392" s="2"/>
      <c r="D1392" s="2" t="str">
        <f>IFERROR(__xludf.DUMMYFUNCTION("IF(C1392&lt;&gt;"""", GOOGLETRANSLATE(C1392, ""en"", ""te""),"""")"),"")</f>
        <v/>
      </c>
      <c r="E1392" s="2"/>
      <c r="F1392" s="2" t="str">
        <f>IFERROR(__xludf.DUMMYFUNCTION("IF(E1392&lt;&gt;"""", GOOGLETRANSLATE(E1392, ""en"", ""te""),"""")"),"")</f>
        <v/>
      </c>
      <c r="G1392" s="2"/>
      <c r="H1392" s="2" t="str">
        <f>IFERROR(__xludf.DUMMYFUNCTION("IF(G1392&lt;&gt;"""", GOOGLETRANSLATE(G1392, ""en"", ""te""),"""")"),"")</f>
        <v/>
      </c>
      <c r="I1392" s="3"/>
    </row>
    <row r="1393" customHeight="1" spans="1:9">
      <c r="A1393" s="2" t="s">
        <v>895</v>
      </c>
      <c r="B1393" s="2" t="str">
        <f>IFERROR(__xludf.DUMMYFUNCTION("IF(A1393&lt;&gt;"""", GOOGLETRANSLATE(A1393, ""en"", ""te""),"""")"),"[ '10 వ అత్యధిక కెరీర్ సమ్మె రేటు (151.29)']")</f>
        <v>[ '10 వ అత్యధిక కెరీర్ సమ్మె రేటు (151.29)']</v>
      </c>
      <c r="C1393" s="2"/>
      <c r="D1393" s="2" t="str">
        <f>IFERROR(__xludf.DUMMYFUNCTION("IF(C1393&lt;&gt;"""", GOOGLETRANSLATE(C1393, ""en"", ""te""),"""")"),"")</f>
        <v/>
      </c>
      <c r="E1393" s="2" t="s">
        <v>896</v>
      </c>
      <c r="F1393" s="2" t="str">
        <f>IFERROR(__xludf.DUMMYFUNCTION("IF(E1393&lt;&gt;"""", GOOGLETRANSLATE(E1393, ""en"", ""te""),"""")"),"[ 'ఐదవ వికెట్ (149) కోసం 41 వ అత్యధిక భాగస్వామ్యం']")</f>
        <v>[ 'ఐదవ వికెట్ (149) కోసం 41 వ అత్యధిక భాగస్వామ్యం']</v>
      </c>
      <c r="G1393" s="2" t="s">
        <v>897</v>
      </c>
      <c r="H1393" s="2" t="str">
        <f>IFERROR(__xludf.DUMMYFUNCTION("IF(G1393&lt;&gt;"""", GOOGLETRANSLATE(G1393, ""en"", ""te""),"""")"),"[ '44 వ అత్యంత అత్యధిక వికెట్లు ఇన్నింగ్స్ లో పరుగులు (69)', '10 వ అత్యధిక కెరీర్ సమ్మె రేటు (151.29)', '49 వ అత్యంత ఇన్నింగ్స్ తొలి డక్ ముందు (15)', '42 వ ఎక్కువ సిక్స్ ఇన్నింగ్స్ లో (7)' 'వికెట్ను కాపాడుకున్నాడు చేసిన 12 వ కెప్టెన్ల (7)', '40 వ కెరీర్ ("&amp;"10) అత్యధిక క్యాచ్లు']")</f>
        <v>[ '44 వ అత్యంత అత్యధిక వికెట్లు ఇన్నింగ్స్ లో పరుగులు (69)', '10 వ అత్యధిక కెరీర్ సమ్మె రేటు (151.29)', '49 వ అత్యంత ఇన్నింగ్స్ తొలి డక్ ముందు (15)', '42 వ ఎక్కువ సిక్స్ ఇన్నింగ్స్ లో (7)' 'వికెట్ను కాపాడుకున్నాడు చేసిన 12 వ కెప్టెన్ల (7)', '40 వ కెరీర్ (10) అత్యధిక క్యాచ్లు']</v>
      </c>
      <c r="I1393" s="3"/>
    </row>
    <row r="1394" customHeight="1" spans="1:9">
      <c r="A1394" s="2"/>
      <c r="B1394" s="2" t="str">
        <f>IFERROR(__xludf.DUMMYFUNCTION("IF(A1394&lt;&gt;"""", GOOGLETRANSLATE(A1394, ""en"", ""te""),"""")"),"")</f>
        <v/>
      </c>
      <c r="C1394" s="2"/>
      <c r="D1394" s="2" t="str">
        <f>IFERROR(__xludf.DUMMYFUNCTION("IF(C1394&lt;&gt;"""", GOOGLETRANSLATE(C1394, ""en"", ""te""),"""")"),"")</f>
        <v/>
      </c>
      <c r="E1394" s="2"/>
      <c r="F1394" s="2" t="str">
        <f>IFERROR(__xludf.DUMMYFUNCTION("IF(E1394&lt;&gt;"""", GOOGLETRANSLATE(E1394, ""en"", ""te""),"""")"),"")</f>
        <v/>
      </c>
      <c r="G1394" s="2"/>
      <c r="H1394" s="2" t="str">
        <f>IFERROR(__xludf.DUMMYFUNCTION("IF(G1394&lt;&gt;"""", GOOGLETRANSLATE(G1394, ""en"", ""te""),"""")"),"")</f>
        <v/>
      </c>
      <c r="I1394" s="3"/>
    </row>
    <row r="1395" customHeight="1" spans="1:9">
      <c r="A1395" s="2"/>
      <c r="B1395" s="2" t="str">
        <f>IFERROR(__xludf.DUMMYFUNCTION("IF(A1395&lt;&gt;"""", GOOGLETRANSLATE(A1395, ""en"", ""te""),"""")"),"")</f>
        <v/>
      </c>
      <c r="C1395" s="2"/>
      <c r="D1395" s="2" t="str">
        <f>IFERROR(__xludf.DUMMYFUNCTION("IF(C1395&lt;&gt;"""", GOOGLETRANSLATE(C1395, ""en"", ""te""),"""")"),"")</f>
        <v/>
      </c>
      <c r="E1395" s="2"/>
      <c r="F1395" s="2" t="str">
        <f>IFERROR(__xludf.DUMMYFUNCTION("IF(E1395&lt;&gt;"""", GOOGLETRANSLATE(E1395, ""en"", ""te""),"""")"),"")</f>
        <v/>
      </c>
      <c r="G1395" s="2"/>
      <c r="H1395" s="2" t="str">
        <f>IFERROR(__xludf.DUMMYFUNCTION("IF(G1395&lt;&gt;"""", GOOGLETRANSLATE(G1395, ""en"", ""te""),"""")"),"")</f>
        <v/>
      </c>
      <c r="I1395" s="3"/>
    </row>
    <row r="1396" customHeight="1" spans="1:9">
      <c r="A1396" s="2" t="s">
        <v>248</v>
      </c>
      <c r="B1396" s="2" t="str">
        <f>IFERROR(__xludf.DUMMYFUNCTION("IF(A1396&lt;&gt;"""", GOOGLETRANSLATE(A1396, ""en"", ""te""),"""")"),"[ '1st అత్యధిక వికెట్లు తీసిన హిట్ వికెట్ (1)']")</f>
        <v>[ '1st అత్యధిక వికెట్లు తీసిన హిట్ వికెట్ (1)']</v>
      </c>
      <c r="C1396" s="2"/>
      <c r="D1396" s="2" t="str">
        <f>IFERROR(__xludf.DUMMYFUNCTION("IF(C1396&lt;&gt;"""", GOOGLETRANSLATE(C1396, ""en"", ""te""),"""")"),"")</f>
        <v/>
      </c>
      <c r="E1396" s="2"/>
      <c r="F1396" s="2" t="str">
        <f>IFERROR(__xludf.DUMMYFUNCTION("IF(E1396&lt;&gt;"""", GOOGLETRANSLATE(E1396, ""en"", ""te""),"""")"),"")</f>
        <v/>
      </c>
      <c r="G1396" s="2" t="s">
        <v>248</v>
      </c>
      <c r="H1396" s="2" t="str">
        <f>IFERROR(__xludf.DUMMYFUNCTION("IF(G1396&lt;&gt;"""", GOOGLETRANSLATE(G1396, ""en"", ""te""),"""")"),"[ '1st అత్యధిక వికెట్లు తీసిన హిట్ వికెట్ (1)']")</f>
        <v>[ '1st అత్యధిక వికెట్లు తీసిన హిట్ వికెట్ (1)']</v>
      </c>
      <c r="I1396" s="3"/>
    </row>
    <row r="1397" customHeight="1" spans="1:9">
      <c r="A1397" s="2"/>
      <c r="B1397" s="2" t="str">
        <f>IFERROR(__xludf.DUMMYFUNCTION("IF(A1397&lt;&gt;"""", GOOGLETRANSLATE(A1397, ""en"", ""te""),"""")"),"")</f>
        <v/>
      </c>
      <c r="C1397" s="2"/>
      <c r="D1397" s="2" t="str">
        <f>IFERROR(__xludf.DUMMYFUNCTION("IF(C1397&lt;&gt;"""", GOOGLETRANSLATE(C1397, ""en"", ""te""),"""")"),"")</f>
        <v/>
      </c>
      <c r="E1397" s="2"/>
      <c r="F1397" s="2" t="str">
        <f>IFERROR(__xludf.DUMMYFUNCTION("IF(E1397&lt;&gt;"""", GOOGLETRANSLATE(E1397, ""en"", ""te""),"""")"),"")</f>
        <v/>
      </c>
      <c r="G1397" s="2"/>
      <c r="H1397" s="2" t="str">
        <f>IFERROR(__xludf.DUMMYFUNCTION("IF(G1397&lt;&gt;"""", GOOGLETRANSLATE(G1397, ""en"", ""te""),"""")"),"")</f>
        <v/>
      </c>
      <c r="I1397" s="3"/>
    </row>
    <row r="1398" customHeight="1" spans="1:9">
      <c r="A1398" s="2" t="s">
        <v>898</v>
      </c>
      <c r="B1398" s="2" t="str">
        <f>IFERROR(__xludf.DUMMYFUNCTION("IF(A1398&lt;&gt;"""", GOOGLETRANSLATE(A1398, ""en"", ""te""),"""")"),"[ '3 వ కెరీర్ (40) వెనుదిరిగాడు' '6 వ అత్యంత వృద్ధ ఆటగాడు తొలి వంద (39y 82d) స్కోర్']")</f>
        <v>[ '3 వ కెరీర్ (40) వెనుదిరిగాడు' '6 వ అత్యంత వృద్ధ ఆటగాడు తొలి వంద (39y 82d) స్కోర్']</v>
      </c>
      <c r="C1398" s="2" t="s">
        <v>899</v>
      </c>
      <c r="D1398" s="2" t="str">
        <f>IFERROR(__xludf.DUMMYFUNCTION("IF(C1398&lt;&gt;"""", GOOGLETRANSLATE(C1398, ""en"", ""te""),"""")"),"[ '50 వ తొలి ఓల్డెస్ట్ క్రీడాకారులు (36y 340d)' '6 వ అత్యంత వృద్ధ ఆటగాడు తొలి వంద (39y 82d) స్కోర్']")</f>
        <v>[ '50 వ తొలి ఓల్డెస్ట్ క్రీడాకారులు (36y 340d)' '6 వ అత్యంత వృద్ధ ఆటగాడు తొలి వంద (39y 82d) స్కోర్']</v>
      </c>
      <c r="E1398" s="2" t="s">
        <v>900</v>
      </c>
      <c r="F1398" s="2" t="str">
        <f>IFERROR(__xludf.DUMMYFUNCTION("IF(E1398&lt;&gt;"""", GOOGLETRANSLATE(E1398, ""en"", ""te""),"""")"),"[ 'కెరీర్ లో బాతులు 3 వ లేవు (40)', 'ఫాస్టెస్ట్ 36 వ 1000 పరుగులు (28)']")</f>
        <v>[ 'కెరీర్ లో బాతులు 3 వ లేవు (40)', 'ఫాస్టెస్ట్ 36 వ 1000 పరుగులు (28)']</v>
      </c>
      <c r="G1398" s="2"/>
      <c r="H1398" s="2" t="str">
        <f>IFERROR(__xludf.DUMMYFUNCTION("IF(G1398&lt;&gt;"""", GOOGLETRANSLATE(G1398, ""en"", ""te""),"""")"),"")</f>
        <v/>
      </c>
      <c r="I1398" s="3"/>
    </row>
    <row r="1399" customHeight="1" spans="1:9">
      <c r="A1399" s="2"/>
      <c r="B1399" s="2" t="str">
        <f>IFERROR(__xludf.DUMMYFUNCTION("IF(A1399&lt;&gt;"""", GOOGLETRANSLATE(A1399, ""en"", ""te""),"""")"),"")</f>
        <v/>
      </c>
      <c r="C1399" s="2"/>
      <c r="D1399" s="2" t="str">
        <f>IFERROR(__xludf.DUMMYFUNCTION("IF(C1399&lt;&gt;"""", GOOGLETRANSLATE(C1399, ""en"", ""te""),"""")"),"")</f>
        <v/>
      </c>
      <c r="E1399" s="2"/>
      <c r="F1399" s="2" t="str">
        <f>IFERROR(__xludf.DUMMYFUNCTION("IF(E1399&lt;&gt;"""", GOOGLETRANSLATE(E1399, ""en"", ""te""),"""")"),"")</f>
        <v/>
      </c>
      <c r="G1399" s="2"/>
      <c r="H1399" s="2" t="str">
        <f>IFERROR(__xludf.DUMMYFUNCTION("IF(G1399&lt;&gt;"""", GOOGLETRANSLATE(G1399, ""en"", ""te""),"""")"),"")</f>
        <v/>
      </c>
      <c r="I1399" s="3"/>
    </row>
    <row r="1400" customHeight="1" spans="1:9">
      <c r="A1400" s="2"/>
      <c r="B1400" s="2" t="str">
        <f>IFERROR(__xludf.DUMMYFUNCTION("IF(A1400&lt;&gt;"""", GOOGLETRANSLATE(A1400, ""en"", ""te""),"""")"),"")</f>
        <v/>
      </c>
      <c r="C1400" s="2"/>
      <c r="D1400" s="2" t="str">
        <f>IFERROR(__xludf.DUMMYFUNCTION("IF(C1400&lt;&gt;"""", GOOGLETRANSLATE(C1400, ""en"", ""te""),"""")"),"")</f>
        <v/>
      </c>
      <c r="E1400" s="2"/>
      <c r="F1400" s="2" t="str">
        <f>IFERROR(__xludf.DUMMYFUNCTION("IF(E1400&lt;&gt;"""", GOOGLETRANSLATE(E1400, ""en"", ""te""),"""")"),"")</f>
        <v/>
      </c>
      <c r="G1400" s="2"/>
      <c r="H1400" s="2" t="str">
        <f>IFERROR(__xludf.DUMMYFUNCTION("IF(G1400&lt;&gt;"""", GOOGLETRANSLATE(G1400, ""en"", ""te""),"""")"),"")</f>
        <v/>
      </c>
      <c r="I1400" s="3"/>
    </row>
    <row r="1401" customHeight="1" spans="1:9">
      <c r="A1401" s="2"/>
      <c r="B1401" s="2" t="str">
        <f>IFERROR(__xludf.DUMMYFUNCTION("IF(A1401&lt;&gt;"""", GOOGLETRANSLATE(A1401, ""en"", ""te""),"""")"),"")</f>
        <v/>
      </c>
      <c r="C1401" s="2"/>
      <c r="D1401" s="2" t="str">
        <f>IFERROR(__xludf.DUMMYFUNCTION("IF(C1401&lt;&gt;"""", GOOGLETRANSLATE(C1401, ""en"", ""te""),"""")"),"")</f>
        <v/>
      </c>
      <c r="E1401" s="2"/>
      <c r="F1401" s="2" t="str">
        <f>IFERROR(__xludf.DUMMYFUNCTION("IF(E1401&lt;&gt;"""", GOOGLETRANSLATE(E1401, ""en"", ""te""),"""")"),"")</f>
        <v/>
      </c>
      <c r="G1401" s="2"/>
      <c r="H1401" s="2" t="str">
        <f>IFERROR(__xludf.DUMMYFUNCTION("IF(G1401&lt;&gt;"""", GOOGLETRANSLATE(G1401, ""en"", ""te""),"""")"),"")</f>
        <v/>
      </c>
      <c r="I1401" s="3"/>
    </row>
    <row r="1402" customHeight="1" spans="1:9">
      <c r="A1402" s="2"/>
      <c r="B1402" s="2" t="str">
        <f>IFERROR(__xludf.DUMMYFUNCTION("IF(A1402&lt;&gt;"""", GOOGLETRANSLATE(A1402, ""en"", ""te""),"""")"),"")</f>
        <v/>
      </c>
      <c r="C1402" s="2"/>
      <c r="D1402" s="2" t="str">
        <f>IFERROR(__xludf.DUMMYFUNCTION("IF(C1402&lt;&gt;"""", GOOGLETRANSLATE(C1402, ""en"", ""te""),"""")"),"")</f>
        <v/>
      </c>
      <c r="E1402" s="2"/>
      <c r="F1402" s="2" t="str">
        <f>IFERROR(__xludf.DUMMYFUNCTION("IF(E1402&lt;&gt;"""", GOOGLETRANSLATE(E1402, ""en"", ""te""),"""")"),"")</f>
        <v/>
      </c>
      <c r="G1402" s="2"/>
      <c r="H1402" s="2" t="str">
        <f>IFERROR(__xludf.DUMMYFUNCTION("IF(G1402&lt;&gt;"""", GOOGLETRANSLATE(G1402, ""en"", ""te""),"""")"),"")</f>
        <v/>
      </c>
      <c r="I1402" s="3"/>
    </row>
    <row r="1403" customHeight="1" spans="1:9">
      <c r="A1403" s="2"/>
      <c r="B1403" s="2" t="str">
        <f>IFERROR(__xludf.DUMMYFUNCTION("IF(A1403&lt;&gt;"""", GOOGLETRANSLATE(A1403, ""en"", ""te""),"""")"),"")</f>
        <v/>
      </c>
      <c r="C1403" s="2"/>
      <c r="D1403" s="2" t="str">
        <f>IFERROR(__xludf.DUMMYFUNCTION("IF(C1403&lt;&gt;"""", GOOGLETRANSLATE(C1403, ""en"", ""te""),"""")"),"")</f>
        <v/>
      </c>
      <c r="E1403" s="2" t="s">
        <v>901</v>
      </c>
      <c r="F1403" s="2" t="str">
        <f>IFERROR(__xludf.DUMMYFUNCTION("IF(E1403&lt;&gt;"""", GOOGLETRANSLATE(E1403, ""en"", ""te""),"""")"),"[40 వ కెరీర్ బాతులు (8) ',' 31 అత్యధిక వికెట్లు కెరీర్లో (80) ',' 40 వ ఒక క్యాలెండర్ సంవత్సరంలో అత్యధిక వికెట్లు (22) ',' 45 వ ఒకే మైదానంలో అత్యధిక వికెట్లు (11) ',' 41 వ చెత్త కెరీర్లో ఆర్థిక రేటు (4.11) ',' 37 వ కెరీర్ (3089) ',' 31 కెరీర్లో సాధించిన అ"&amp;"త్యధిక పరుగులు (2118) ',' 34 వ ఇన్నింగ్స్ లో సాధించిన అత్యధిక పరుగులు (72) ',' 17 వ అత్యంత బౌల్డ్ చాలా బంతుల్లో వికెట్లు బౌల్డ్ తీసుకోకూడదు (28) ',' 30 వ అత్యధిక వికెట్లు తీసుకున్న ఆకర్షించింది (47) ',' 16 వ అత్యధిక వికెట్లు ఆకర్షించింది తీసుకున్న మరియు బ"&amp;"ౌల్డ్ (7) ',' 31 అత్యధిక వికెట్లు ఒక ఫీల్డర్ చేత క్యాచ్ తీసుకున్న (38) ',' 20 వ అత్యధిక క్యాచ్లు వరుస (8) ']")</f>
        <v>[40 వ కెరీర్ బాతులు (8) ',' 31 అత్యధిక వికెట్లు కెరీర్లో (80) ',' 40 వ ఒక క్యాలెండర్ సంవత్సరంలో అత్యధిక వికెట్లు (22) ',' 45 వ ఒకే మైదానంలో అత్యధిక వికెట్లు (11) ',' 41 వ చెత్త కెరీర్లో ఆర్థిక రేటు (4.11) ',' 37 వ కెరీర్ (3089) ',' 31 కెరీర్లో సాధించిన అత్యధిక పరుగులు (2118) ',' 34 వ ఇన్నింగ్స్ లో సాధించిన అత్యధిక పరుగులు (72) ',' 17 వ అత్యంత బౌల్డ్ చాలా బంతుల్లో వికెట్లు బౌల్డ్ తీసుకోకూడదు (28) ',' 30 వ అత్యధిక వికెట్లు తీసుకున్న ఆకర్షించింది (47) ',' 16 వ అత్యధిక వికెట్లు ఆకర్షించింది తీసుకున్న మరియు బౌల్డ్ (7) ',' 31 అత్యధిక వికెట్లు ఒక ఫీల్డర్ చేత క్యాచ్ తీసుకున్న (38) ',' 20 వ అత్యధిక క్యాచ్లు వరుస (8) ']</v>
      </c>
      <c r="G1403" s="2" t="s">
        <v>902</v>
      </c>
      <c r="H1403" s="2" t="str">
        <f>IFERROR(__xludf.DUMMYFUNCTION("IF(G1403&lt;&gt;"""", GOOGLETRANSLATE(G1403, ""en"", ""te""),"""")"),"[ '29 కెరీర్ లో బాతులు (10)', 'ఇన్నింగ్స్ లో 33 వ ఉత్తమ సమ్మె రేటు (4.0)', '12 వ చెత్త కెరీర్లో ఆర్థిక రేటు (6.51)', '50 వ అత్యధిక వికెట్లు తీసుకున్న ఆకర్షించింది (24)', '12 వ అత్యంత వికెట్లు ఒక వికెట్ కీపర్ చే కాట్ తీసుకోకూడదు (7) ']")</f>
        <v>[ '29 కెరీర్ లో బాతులు (10)', 'ఇన్నింగ్స్ లో 33 వ ఉత్తమ సమ్మె రేటు (4.0)', '12 వ చెత్త కెరీర్లో ఆర్థిక రేటు (6.51)', '50 వ అత్యధిక వికెట్లు తీసుకున్న ఆకర్షించింది (24)', '12 వ అత్యంత వికెట్లు ఒక వికెట్ కీపర్ చే కాట్ తీసుకోకూడదు (7) ']</v>
      </c>
      <c r="I1403" s="3"/>
    </row>
    <row r="1404" customHeight="1" spans="1:9">
      <c r="A1404" s="2"/>
      <c r="B1404" s="2" t="str">
        <f>IFERROR(__xludf.DUMMYFUNCTION("IF(A1404&lt;&gt;"""", GOOGLETRANSLATE(A1404, ""en"", ""te""),"""")"),"")</f>
        <v/>
      </c>
      <c r="C1404" s="2"/>
      <c r="D1404" s="2" t="str">
        <f>IFERROR(__xludf.DUMMYFUNCTION("IF(C1404&lt;&gt;"""", GOOGLETRANSLATE(C1404, ""en"", ""te""),"""")"),"")</f>
        <v/>
      </c>
      <c r="E1404" s="2"/>
      <c r="F1404" s="2" t="str">
        <f>IFERROR(__xludf.DUMMYFUNCTION("IF(E1404&lt;&gt;"""", GOOGLETRANSLATE(E1404, ""en"", ""te""),"""")"),"")</f>
        <v/>
      </c>
      <c r="G1404" s="2"/>
      <c r="H1404" s="2" t="str">
        <f>IFERROR(__xludf.DUMMYFUNCTION("IF(G1404&lt;&gt;"""", GOOGLETRANSLATE(G1404, ""en"", ""te""),"""")"),"")</f>
        <v/>
      </c>
      <c r="I1404" s="3"/>
    </row>
    <row r="1405" customHeight="1" spans="1:9">
      <c r="A1405" s="2"/>
      <c r="B1405" s="2" t="str">
        <f>IFERROR(__xludf.DUMMYFUNCTION("IF(A1405&lt;&gt;"""", GOOGLETRANSLATE(A1405, ""en"", ""te""),"""")"),"")</f>
        <v/>
      </c>
      <c r="C1405" s="2"/>
      <c r="D1405" s="2" t="str">
        <f>IFERROR(__xludf.DUMMYFUNCTION("IF(C1405&lt;&gt;"""", GOOGLETRANSLATE(C1405, ""en"", ""te""),"""")"),"")</f>
        <v/>
      </c>
      <c r="E1405" s="2"/>
      <c r="F1405" s="2" t="str">
        <f>IFERROR(__xludf.DUMMYFUNCTION("IF(E1405&lt;&gt;"""", GOOGLETRANSLATE(E1405, ""en"", ""te""),"""")"),"")</f>
        <v/>
      </c>
      <c r="G1405" s="2"/>
      <c r="H1405" s="2" t="str">
        <f>IFERROR(__xludf.DUMMYFUNCTION("IF(G1405&lt;&gt;"""", GOOGLETRANSLATE(G1405, ""en"", ""te""),"""")"),"")</f>
        <v/>
      </c>
      <c r="I1405" s="3"/>
    </row>
    <row r="1406" customHeight="1" spans="1:9">
      <c r="A1406" s="2"/>
      <c r="B1406" s="2" t="str">
        <f>IFERROR(__xludf.DUMMYFUNCTION("IF(A1406&lt;&gt;"""", GOOGLETRANSLATE(A1406, ""en"", ""te""),"""")"),"")</f>
        <v/>
      </c>
      <c r="C1406" s="2"/>
      <c r="D1406" s="2" t="str">
        <f>IFERROR(__xludf.DUMMYFUNCTION("IF(C1406&lt;&gt;"""", GOOGLETRANSLATE(C1406, ""en"", ""te""),"""")"),"")</f>
        <v/>
      </c>
      <c r="E1406" s="2"/>
      <c r="F1406" s="2" t="str">
        <f>IFERROR(__xludf.DUMMYFUNCTION("IF(E1406&lt;&gt;"""", GOOGLETRANSLATE(E1406, ""en"", ""te""),"""")"),"")</f>
        <v/>
      </c>
      <c r="G1406" s="2"/>
      <c r="H1406" s="2" t="str">
        <f>IFERROR(__xludf.DUMMYFUNCTION("IF(G1406&lt;&gt;"""", GOOGLETRANSLATE(G1406, ""en"", ""te""),"""")"),"")</f>
        <v/>
      </c>
      <c r="I1406" s="3"/>
    </row>
    <row r="1407" customHeight="1" spans="1:9">
      <c r="A1407" s="2"/>
      <c r="B1407" s="2" t="str">
        <f>IFERROR(__xludf.DUMMYFUNCTION("IF(A1407&lt;&gt;"""", GOOGLETRANSLATE(A1407, ""en"", ""te""),"""")"),"")</f>
        <v/>
      </c>
      <c r="C1407" s="2"/>
      <c r="D1407" s="2" t="str">
        <f>IFERROR(__xludf.DUMMYFUNCTION("IF(C1407&lt;&gt;"""", GOOGLETRANSLATE(C1407, ""en"", ""te""),"""")"),"")</f>
        <v/>
      </c>
      <c r="E1407" s="2" t="s">
        <v>903</v>
      </c>
      <c r="F1407" s="2" t="str">
        <f>IFERROR(__xludf.DUMMYFUNCTION("IF(E1407&lt;&gt;"""", GOOGLETRANSLATE(E1407, ""en"", ""te""),"""")"),"[ 'కెరీర్లో 18 వ లేవు బాతులు (23)']")</f>
        <v>[ 'కెరీర్లో 18 వ లేవు బాతులు (23)']</v>
      </c>
      <c r="G1407" s="2"/>
      <c r="H1407" s="2" t="str">
        <f>IFERROR(__xludf.DUMMYFUNCTION("IF(G1407&lt;&gt;"""", GOOGLETRANSLATE(G1407, ""en"", ""te""),"""")"),"")</f>
        <v/>
      </c>
      <c r="I1407" s="3"/>
    </row>
    <row r="1408" customHeight="1" spans="1:9">
      <c r="A1408" s="2"/>
      <c r="B1408" s="2" t="str">
        <f>IFERROR(__xludf.DUMMYFUNCTION("IF(A1408&lt;&gt;"""", GOOGLETRANSLATE(A1408, ""en"", ""te""),"""")"),"")</f>
        <v/>
      </c>
      <c r="C1408" s="2"/>
      <c r="D1408" s="2" t="str">
        <f>IFERROR(__xludf.DUMMYFUNCTION("IF(C1408&lt;&gt;"""", GOOGLETRANSLATE(C1408, ""en"", ""te""),"""")"),"")</f>
        <v/>
      </c>
      <c r="E1408" s="2"/>
      <c r="F1408" s="2" t="str">
        <f>IFERROR(__xludf.DUMMYFUNCTION("IF(E1408&lt;&gt;"""", GOOGLETRANSLATE(E1408, ""en"", ""te""),"""")"),"")</f>
        <v/>
      </c>
      <c r="G1408" s="2"/>
      <c r="H1408" s="2" t="str">
        <f>IFERROR(__xludf.DUMMYFUNCTION("IF(G1408&lt;&gt;"""", GOOGLETRANSLATE(G1408, ""en"", ""te""),"""")"),"")</f>
        <v/>
      </c>
      <c r="I1408" s="3"/>
    </row>
    <row r="1409" customHeight="1" spans="1:9">
      <c r="A1409" s="2" t="s">
        <v>904</v>
      </c>
      <c r="B1409" s="2" t="str">
        <f>IFERROR(__xludf.DUMMYFUNCTION("IF(A1409&lt;&gt;"""", GOOGLETRANSLATE(A1409, ""en"", ""te""),"""")"),"[ 'ఇన్నింగ్స్ లో 8 వ అత్యధిక పరుగులు (బ్యాటింగ్ స్థానంలో ప్రకారం) (174)', 'ఇన్నింగ్స్ లో 7 వ చెత్త ఆర్థిక రేటు (7.33)', 'తొలి ఇన్నింగ్స్లో 1st బెస్ట్ ఫిగర్స్ (8)', '5 వ అత్యంత పరుగులు ఇన్నింగ్స్ (బ్యాటింగ్ స్థానం) (83) ',' 1 వ 99 (199, 299 etc) (99) ',' 6"&amp;" వ అత్యధిక వరుస బాతులు (3) ',' 8 వ మోస్ట్ కొట్టివేయబడింది ఐదు వికెట్లు ఇన్ an- ఒక వృత్తిలో ఇన్నింగ్స్ (6) ',' బ్యాటింగ్ తెరవడం మరియు అదే మ్యాచ్ లో బౌలింగ్ ']")</f>
        <v>[ 'ఇన్నింగ్స్ లో 8 వ అత్యధిక పరుగులు (బ్యాటింగ్ స్థానంలో ప్రకారం) (174)', 'ఇన్నింగ్స్ లో 7 వ చెత్త ఆర్థిక రేటు (7.33)', 'తొలి ఇన్నింగ్స్లో 1st బెస్ట్ ఫిగర్స్ (8)', '5 వ అత్యంత పరుగులు ఇన్నింగ్స్ (బ్యాటింగ్ స్థానం) (83) ',' 1 వ 99 (199, 299 etc) (99) ',' 6 వ అత్యధిక వరుస బాతులు (3) ',' 8 వ మోస్ట్ కొట్టివేయబడింది ఐదు వికెట్లు ఇన్ an- ఒక వృత్తిలో ఇన్నింగ్స్ (6) ',' బ్యాటింగ్ తెరవడం మరియు అదే మ్యాచ్ లో బౌలింగ్ ']</v>
      </c>
      <c r="C1409" s="2" t="s">
        <v>905</v>
      </c>
      <c r="D1409" s="2" t="str">
        <f>IFERROR(__xludf.DUMMYFUNCTION("IF(C1409&lt;&gt;"""", GOOGLETRANSLATE(C1409, ""en"", ""te""),"""")"),"[ 'ఇన్నింగ్స్ లో 8 వ అత్యధిక పరుగులు (బ్యాటింగ్ స్థానంలో ప్రకారం) (174)', '12 వ అత్యుత్తమ ఇన్నింగ్స్ లో బౌలింగ్ విశ్లేషణలు (3/8)', 'ఇన్నింగ్స్ లో 7 వ చెత్త ఆర్థిక రేటు (7.33)', '1st బెస్ట్ ఫిగర్స్ అరంగేట్రంలోనే ఇన్నింగ్స్లో (8) ',' ప్రవేశం (8) ఒక మ్యాచ్లో"&amp;" 33 వ బెస్ట్ ఫిగర్స్ ']")</f>
        <v>[ 'ఇన్నింగ్స్ లో 8 వ అత్యధిక పరుగులు (బ్యాటింగ్ స్థానంలో ప్రకారం) (174)', '12 వ అత్యుత్తమ ఇన్నింగ్స్ లో బౌలింగ్ విశ్లేషణలు (3/8)', 'ఇన్నింగ్స్ లో 7 వ చెత్త ఆర్థిక రేటు (7.33)', '1st బెస్ట్ ఫిగర్స్ అరంగేట్రంలోనే ఇన్నింగ్స్లో (8) ',' ప్రవేశం (8) ఒక మ్యాచ్లో 33 వ బెస్ట్ ఫిగర్స్ ']</v>
      </c>
      <c r="E1409" s="2" t="s">
        <v>906</v>
      </c>
      <c r="F1409" s="2" t="str">
        <f>IFERROR(__xludf.DUMMYFUNCTION("IF(E1409&lt;&gt;"""", GOOGLETRANSLATE(E1409, ""en"", ""te""),"""")"),"[ 'ఇన్నింగ్స్ లో 5 వ అత్యధిక పరుగులు (బ్యాటింగ్ స్థానంలో ప్రకారం) (83)', '1 వ 99 పరుగుల (199, 299 etc) (99)', 'ఒక సిరీస్లో 6 వ అత్యంత బాతులు (3)', '6 వ అత్యంత వరుసగా బాతులు (3) ',' 44 వ కెరీర్ లో అత్యధిక వికెట్లు (192) ',' 8 వ అత్యంత ఐదు-వికెట్ల లో-ఒక-ఇన్"&amp;"నింగ్స్ కెరీర్లో (6) ',' 47 వ అత్యధిక పరుగులు కెరీర్లో సాధించిన (5751) ', 'ఒక ఫీల్డర్ (104) ద్వారా 28th చాలా ఆకర్షించింది తీసుకోబడిన వికెట్ల' '41 వ అత్యంత తీసుకున్న ఆకర్షించింది (131) వికెట్స్', 'ఎనిమిదవ వికెట్కు 41 వ అత్యధిక భాగస్వామ్యం (77)', '' 49 వ 15"&amp;"0 వికెట్లు (125) వేగంగా ' 36 వ అత్యంత ప్లేయర్ ఆఫ్ ది మ్యాచ్ అవార్డులు (19) ',' 24 వ అత్యంత ప్లేయర్ ఆఫ్ ది సిరీస్ అవార్డులు (4) ']")</f>
        <v>[ 'ఇన్నింగ్స్ లో 5 వ అత్యధిక పరుగులు (బ్యాటింగ్ స్థానంలో ప్రకారం) (83)', '1 వ 99 పరుగుల (199, 299 etc) (99)', 'ఒక సిరీస్లో 6 వ అత్యంత బాతులు (3)', '6 వ అత్యంత వరుసగా బాతులు (3) ',' 44 వ కెరీర్ లో అత్యధిక వికెట్లు (192) ',' 8 వ అత్యంత ఐదు-వికెట్ల లో-ఒక-ఇన్నింగ్స్ కెరీర్లో (6) ',' 47 వ అత్యధిక పరుగులు కెరీర్లో సాధించిన (5751) ', 'ఒక ఫీల్డర్ (104) ద్వారా 28th చాలా ఆకర్షించింది తీసుకోబడిన వికెట్ల' '41 వ అత్యంత తీసుకున్న ఆకర్షించింది (131) వికెట్స్', 'ఎనిమిదవ వికెట్కు 41 వ అత్యధిక భాగస్వామ్యం (77)', '' 49 వ 150 వికెట్లు (125) వేగంగా ' 36 వ అత్యంత ప్లేయర్ ఆఫ్ ది మ్యాచ్ అవార్డులు (19) ',' 24 వ అత్యంత ప్లేయర్ ఆఫ్ ది సిరీస్ అవార్డులు (4) ']</v>
      </c>
      <c r="G1409" s="2"/>
      <c r="H1409" s="2" t="str">
        <f>IFERROR(__xludf.DUMMYFUNCTION("IF(G1409&lt;&gt;"""", GOOGLETRANSLATE(G1409, ""en"", ""te""),"""")"),"")</f>
        <v/>
      </c>
      <c r="I1409" s="3"/>
    </row>
    <row r="1410" customHeight="1" spans="1:9">
      <c r="A1410" s="2"/>
      <c r="B1410" s="2" t="str">
        <f>IFERROR(__xludf.DUMMYFUNCTION("IF(A1410&lt;&gt;"""", GOOGLETRANSLATE(A1410, ""en"", ""te""),"""")"),"")</f>
        <v/>
      </c>
      <c r="C1410" s="2"/>
      <c r="D1410" s="2" t="str">
        <f>IFERROR(__xludf.DUMMYFUNCTION("IF(C1410&lt;&gt;"""", GOOGLETRANSLATE(C1410, ""en"", ""te""),"""")"),"")</f>
        <v/>
      </c>
      <c r="E1410" s="2"/>
      <c r="F1410" s="2" t="str">
        <f>IFERROR(__xludf.DUMMYFUNCTION("IF(E1410&lt;&gt;"""", GOOGLETRANSLATE(E1410, ""en"", ""te""),"""")"),"")</f>
        <v/>
      </c>
      <c r="G1410" s="2"/>
      <c r="H1410" s="2" t="str">
        <f>IFERROR(__xludf.DUMMYFUNCTION("IF(G1410&lt;&gt;"""", GOOGLETRANSLATE(G1410, ""en"", ""te""),"""")"),"")</f>
        <v/>
      </c>
      <c r="I1410" s="3"/>
    </row>
    <row r="1411" customHeight="1" spans="1:9">
      <c r="A1411" s="2"/>
      <c r="B1411" s="2" t="str">
        <f>IFERROR(__xludf.DUMMYFUNCTION("IF(A1411&lt;&gt;"""", GOOGLETRANSLATE(A1411, ""en"", ""te""),"""")"),"")</f>
        <v/>
      </c>
      <c r="C1411" s="2"/>
      <c r="D1411" s="2" t="str">
        <f>IFERROR(__xludf.DUMMYFUNCTION("IF(C1411&lt;&gt;"""", GOOGLETRANSLATE(C1411, ""en"", ""te""),"""")"),"")</f>
        <v/>
      </c>
      <c r="E1411" s="2"/>
      <c r="F1411" s="2" t="str">
        <f>IFERROR(__xludf.DUMMYFUNCTION("IF(E1411&lt;&gt;"""", GOOGLETRANSLATE(E1411, ""en"", ""te""),"""")"),"")</f>
        <v/>
      </c>
      <c r="G1411" s="2"/>
      <c r="H1411" s="2" t="str">
        <f>IFERROR(__xludf.DUMMYFUNCTION("IF(G1411&lt;&gt;"""", GOOGLETRANSLATE(G1411, ""en"", ""te""),"""")"),"")</f>
        <v/>
      </c>
      <c r="I1411" s="3"/>
    </row>
    <row r="1412" customHeight="1" spans="1:9">
      <c r="A1412" s="2"/>
      <c r="B1412" s="2" t="str">
        <f>IFERROR(__xludf.DUMMYFUNCTION("IF(A1412&lt;&gt;"""", GOOGLETRANSLATE(A1412, ""en"", ""te""),"""")"),"")</f>
        <v/>
      </c>
      <c r="C1412" s="2"/>
      <c r="D1412" s="2" t="str">
        <f>IFERROR(__xludf.DUMMYFUNCTION("IF(C1412&lt;&gt;"""", GOOGLETRANSLATE(C1412, ""en"", ""te""),"""")"),"")</f>
        <v/>
      </c>
      <c r="E1412" s="2"/>
      <c r="F1412" s="2" t="str">
        <f>IFERROR(__xludf.DUMMYFUNCTION("IF(E1412&lt;&gt;"""", GOOGLETRANSLATE(E1412, ""en"", ""te""),"""")"),"")</f>
        <v/>
      </c>
      <c r="G1412" s="2"/>
      <c r="H1412" s="2" t="str">
        <f>IFERROR(__xludf.DUMMYFUNCTION("IF(G1412&lt;&gt;"""", GOOGLETRANSLATE(G1412, ""en"", ""te""),"""")"),"")</f>
        <v/>
      </c>
      <c r="I1412" s="3"/>
    </row>
    <row r="1413" customHeight="1" spans="1:9">
      <c r="A1413" s="2"/>
      <c r="B1413" s="2" t="str">
        <f>IFERROR(__xludf.DUMMYFUNCTION("IF(A1413&lt;&gt;"""", GOOGLETRANSLATE(A1413, ""en"", ""te""),"""")"),"")</f>
        <v/>
      </c>
      <c r="C1413" s="2"/>
      <c r="D1413" s="2" t="str">
        <f>IFERROR(__xludf.DUMMYFUNCTION("IF(C1413&lt;&gt;"""", GOOGLETRANSLATE(C1413, ""en"", ""te""),"""")"),"")</f>
        <v/>
      </c>
      <c r="E1413" s="2"/>
      <c r="F1413" s="2" t="str">
        <f>IFERROR(__xludf.DUMMYFUNCTION("IF(E1413&lt;&gt;"""", GOOGLETRANSLATE(E1413, ""en"", ""te""),"""")"),"")</f>
        <v/>
      </c>
      <c r="G1413" s="2"/>
      <c r="H1413" s="2" t="str">
        <f>IFERROR(__xludf.DUMMYFUNCTION("IF(G1413&lt;&gt;"""", GOOGLETRANSLATE(G1413, ""en"", ""te""),"""")"),"")</f>
        <v/>
      </c>
      <c r="I1413" s="3"/>
    </row>
    <row r="1414" customHeight="1" spans="1:9">
      <c r="A1414" s="2" t="s">
        <v>907</v>
      </c>
      <c r="B1414" s="2" t="str">
        <f>IFERROR(__xludf.DUMMYFUNCTION("IF(A1414&lt;&gt;"""", GOOGLETRANSLATE(A1414, ""en"", ""te""),"""")"),"[ 'ఇన్నింగ్స్ లో 5 వ అత్యధిక వికెట్లు (6)', 'ఇన్నింగ్స్ లో 5 వ అత్యధిక క్యాచ్లు (6)', 'ఒక వికెట్ కీపర్ సిరీస్లో 1st అత్యధిక పరుగులు (606)', 'వంద మరియు ఒక ఇన్నింగ్స్ లో ఐదు తొలగింపులకు' ]")</f>
        <v>[ 'ఇన్నింగ్స్ లో 5 వ అత్యధిక వికెట్లు (6)', 'ఇన్నింగ్స్ లో 5 వ అత్యధిక క్యాచ్లు (6)', 'ఒక వికెట్ కీపర్ సిరీస్లో 1st అత్యధిక పరుగులు (606)', 'వంద మరియు ఒక ఇన్నింగ్స్ లో ఐదు తొలగింపులకు' ]</v>
      </c>
      <c r="C1414" s="2" t="s">
        <v>908</v>
      </c>
      <c r="D1414" s="2" t="str">
        <f>IFERROR(__xludf.DUMMYFUNCTION("IF(C1414&lt;&gt;"""", GOOGLETRANSLATE(C1414, ""en"", ""te""),"""")"),"[ 'ఇన్నింగ్స్ లో 6 వ అత్యధిక పరుగులు (బ్యాటింగ్ స్థానంలో ప్రకారం) (182)', 'అత్యధిక వికెట్లు 1st ఒక సిరీస్లో అత్యధిక పరుగులు (606)', 'అత్యధిక వికెట్లు ఇన్నింగ్స్ లో 16 వ అత్యధిక పరుగులు (182)', '13 వ ఏడవ వికెట్కు అత్యధిక భాగస్వామ్యం (221) ',' 28th ఒక మ్యాచ"&amp;"్ రిఫరీ గా అత్యధిక మ్యాచ్లు ఇన్నింగ్స్ లో (7) ',' 5 వ అత్యధిక వికెట్లు (6) ',' 35 వ మ్యాచ్ లో అత్యధిక వికెట్లు (8) ',' 15 వ ఒక సిరీస్లో అత్యధిక వికెట్లు (24) ',' 5 వ ఇన్నింగ్స్ లో అత్యధిక క్యాచ్లు (6) ',' 26th అత్యధిక క్యాచ్లు ఒక మ్యాచ్లో (8) ',' 16 వ ఒక "&amp;"సిరీస్లో అత్యధిక క్యాచ్లు (24) ']")</f>
        <v>[ 'ఇన్నింగ్స్ లో 6 వ అత్యధిక పరుగులు (బ్యాటింగ్ స్థానంలో ప్రకారం) (182)', 'అత్యధిక వికెట్లు 1st ఒక సిరీస్లో అత్యధిక పరుగులు (606)', 'అత్యధిక వికెట్లు ఇన్నింగ్స్ లో 16 వ అత్యధిక పరుగులు (182)', '13 వ ఏడవ వికెట్కు అత్యధిక భాగస్వామ్యం (221) ',' 28th ఒక మ్యాచ్ రిఫరీ గా అత్యధిక మ్యాచ్లు ఇన్నింగ్స్ లో (7) ',' 5 వ అత్యధిక వికెట్లు (6) ',' 35 వ మ్యాచ్ లో అత్యధిక వికెట్లు (8) ',' 15 వ ఒక సిరీస్లో అత్యధిక వికెట్లు (24) ',' 5 వ ఇన్నింగ్స్ లో అత్యధిక క్యాచ్లు (6) ',' 26th అత్యధిక క్యాచ్లు ఒక మ్యాచ్లో (8) ',' 16 వ ఒక సిరీస్లో అత్యధిక క్యాచ్లు (24) ']</v>
      </c>
      <c r="E1414" s="2" t="s">
        <v>909</v>
      </c>
      <c r="F1414" s="2" t="str">
        <f>IFERROR(__xludf.DUMMYFUNCTION("IF(E1414&lt;&gt;"""", GOOGLETRANSLATE(E1414, ""en"", ""te""),"""")"),"[18 వ ఒక మ్యాచ్ రిఫరీ గా అత్యధిక మ్యాచ్లు (59) ']")</f>
        <v>[18 వ ఒక మ్యాచ్ రిఫరీ గా అత్యధిక మ్యాచ్లు (59) ']</v>
      </c>
      <c r="G1414" s="2"/>
      <c r="H1414" s="2" t="str">
        <f>IFERROR(__xludf.DUMMYFUNCTION("IF(G1414&lt;&gt;"""", GOOGLETRANSLATE(G1414, ""en"", ""te""),"""")"),"")</f>
        <v/>
      </c>
      <c r="I1414" s="3"/>
    </row>
    <row r="1415" customHeight="1" spans="1:9">
      <c r="A1415" s="2"/>
      <c r="B1415" s="2" t="str">
        <f>IFERROR(__xludf.DUMMYFUNCTION("IF(A1415&lt;&gt;"""", GOOGLETRANSLATE(A1415, ""en"", ""te""),"""")"),"")</f>
        <v/>
      </c>
      <c r="C1415" s="2"/>
      <c r="D1415" s="2" t="str">
        <f>IFERROR(__xludf.DUMMYFUNCTION("IF(C1415&lt;&gt;"""", GOOGLETRANSLATE(C1415, ""en"", ""te""),"""")"),"")</f>
        <v/>
      </c>
      <c r="E1415" s="2"/>
      <c r="F1415" s="2" t="str">
        <f>IFERROR(__xludf.DUMMYFUNCTION("IF(E1415&lt;&gt;"""", GOOGLETRANSLATE(E1415, ""en"", ""te""),"""")"),"")</f>
        <v/>
      </c>
      <c r="G1415" s="2"/>
      <c r="H1415" s="2" t="str">
        <f>IFERROR(__xludf.DUMMYFUNCTION("IF(G1415&lt;&gt;"""", GOOGLETRANSLATE(G1415, ""en"", ""te""),"""")"),"")</f>
        <v/>
      </c>
      <c r="I1415" s="3"/>
    </row>
    <row r="1416" customHeight="1" spans="1:9">
      <c r="A1416" s="2"/>
      <c r="B1416" s="2" t="str">
        <f>IFERROR(__xludf.DUMMYFUNCTION("IF(A1416&lt;&gt;"""", GOOGLETRANSLATE(A1416, ""en"", ""te""),"""")"),"")</f>
        <v/>
      </c>
      <c r="C1416" s="2"/>
      <c r="D1416" s="2" t="str">
        <f>IFERROR(__xludf.DUMMYFUNCTION("IF(C1416&lt;&gt;"""", GOOGLETRANSLATE(C1416, ""en"", ""te""),"""")"),"")</f>
        <v/>
      </c>
      <c r="E1416" s="2"/>
      <c r="F1416" s="2" t="str">
        <f>IFERROR(__xludf.DUMMYFUNCTION("IF(E1416&lt;&gt;"""", GOOGLETRANSLATE(E1416, ""en"", ""te""),"""")"),"")</f>
        <v/>
      </c>
      <c r="G1416" s="2"/>
      <c r="H1416" s="2" t="str">
        <f>IFERROR(__xludf.DUMMYFUNCTION("IF(G1416&lt;&gt;"""", GOOGLETRANSLATE(G1416, ""en"", ""te""),"""")"),"")</f>
        <v/>
      </c>
      <c r="I1416" s="3"/>
    </row>
    <row r="1417" customHeight="1" spans="1:9">
      <c r="A1417" s="2"/>
      <c r="B1417" s="2" t="str">
        <f>IFERROR(__xludf.DUMMYFUNCTION("IF(A1417&lt;&gt;"""", GOOGLETRANSLATE(A1417, ""en"", ""te""),"""")"),"")</f>
        <v/>
      </c>
      <c r="C1417" s="2"/>
      <c r="D1417" s="2" t="str">
        <f>IFERROR(__xludf.DUMMYFUNCTION("IF(C1417&lt;&gt;"""", GOOGLETRANSLATE(C1417, ""en"", ""te""),"""")"),"")</f>
        <v/>
      </c>
      <c r="E1417" s="2"/>
      <c r="F1417" s="2" t="str">
        <f>IFERROR(__xludf.DUMMYFUNCTION("IF(E1417&lt;&gt;"""", GOOGLETRANSLATE(E1417, ""en"", ""te""),"""")"),"")</f>
        <v/>
      </c>
      <c r="G1417" s="2"/>
      <c r="H1417" s="2" t="str">
        <f>IFERROR(__xludf.DUMMYFUNCTION("IF(G1417&lt;&gt;"""", GOOGLETRANSLATE(G1417, ""en"", ""te""),"""")"),"")</f>
        <v/>
      </c>
      <c r="I1417" s="3"/>
    </row>
    <row r="1418" customHeight="1" spans="1:9">
      <c r="A1418" s="2"/>
      <c r="B1418" s="2" t="str">
        <f>IFERROR(__xludf.DUMMYFUNCTION("IF(A1418&lt;&gt;"""", GOOGLETRANSLATE(A1418, ""en"", ""te""),"""")"),"")</f>
        <v/>
      </c>
      <c r="C1418" s="2"/>
      <c r="D1418" s="2" t="str">
        <f>IFERROR(__xludf.DUMMYFUNCTION("IF(C1418&lt;&gt;"""", GOOGLETRANSLATE(C1418, ""en"", ""te""),"""")"),"")</f>
        <v/>
      </c>
      <c r="E1418" s="2"/>
      <c r="F1418" s="2" t="str">
        <f>IFERROR(__xludf.DUMMYFUNCTION("IF(E1418&lt;&gt;"""", GOOGLETRANSLATE(E1418, ""en"", ""te""),"""")"),"")</f>
        <v/>
      </c>
      <c r="G1418" s="2"/>
      <c r="H1418" s="2" t="str">
        <f>IFERROR(__xludf.DUMMYFUNCTION("IF(G1418&lt;&gt;"""", GOOGLETRANSLATE(G1418, ""en"", ""te""),"""")"),"")</f>
        <v/>
      </c>
      <c r="I1418" s="3"/>
    </row>
    <row r="1419" customHeight="1" spans="1:9">
      <c r="A1419" s="2"/>
      <c r="B1419" s="2" t="str">
        <f>IFERROR(__xludf.DUMMYFUNCTION("IF(A1419&lt;&gt;"""", GOOGLETRANSLATE(A1419, ""en"", ""te""),"""")"),"")</f>
        <v/>
      </c>
      <c r="C1419" s="2"/>
      <c r="D1419" s="2" t="str">
        <f>IFERROR(__xludf.DUMMYFUNCTION("IF(C1419&lt;&gt;"""", GOOGLETRANSLATE(C1419, ""en"", ""te""),"""")"),"")</f>
        <v/>
      </c>
      <c r="E1419" s="2"/>
      <c r="F1419" s="2" t="str">
        <f>IFERROR(__xludf.DUMMYFUNCTION("IF(E1419&lt;&gt;"""", GOOGLETRANSLATE(E1419, ""en"", ""te""),"""")"),"")</f>
        <v/>
      </c>
      <c r="G1419" s="2"/>
      <c r="H1419" s="2" t="str">
        <f>IFERROR(__xludf.DUMMYFUNCTION("IF(G1419&lt;&gt;"""", GOOGLETRANSLATE(G1419, ""en"", ""te""),"""")"),"")</f>
        <v/>
      </c>
      <c r="I1419" s="3"/>
    </row>
    <row r="1420" customHeight="1" spans="1:9">
      <c r="A1420" s="2"/>
      <c r="B1420" s="2" t="str">
        <f>IFERROR(__xludf.DUMMYFUNCTION("IF(A1420&lt;&gt;"""", GOOGLETRANSLATE(A1420, ""en"", ""te""),"""")"),"")</f>
        <v/>
      </c>
      <c r="C1420" s="2"/>
      <c r="D1420" s="2" t="str">
        <f>IFERROR(__xludf.DUMMYFUNCTION("IF(C1420&lt;&gt;"""", GOOGLETRANSLATE(C1420, ""en"", ""te""),"""")"),"")</f>
        <v/>
      </c>
      <c r="E1420" s="2"/>
      <c r="F1420" s="2" t="str">
        <f>IFERROR(__xludf.DUMMYFUNCTION("IF(E1420&lt;&gt;"""", GOOGLETRANSLATE(E1420, ""en"", ""te""),"""")"),"")</f>
        <v/>
      </c>
      <c r="G1420" s="2"/>
      <c r="H1420" s="2" t="str">
        <f>IFERROR(__xludf.DUMMYFUNCTION("IF(G1420&lt;&gt;"""", GOOGLETRANSLATE(G1420, ""en"", ""te""),"""")"),"")</f>
        <v/>
      </c>
      <c r="I1420" s="3"/>
    </row>
    <row r="1421" customHeight="1" spans="1:9">
      <c r="A1421" s="2" t="s">
        <v>910</v>
      </c>
      <c r="B1421" s="2" t="str">
        <f>IFERROR(__xludf.DUMMYFUNCTION("IF(A1421&lt;&gt;"""", GOOGLETRANSLATE(A1421, ""en"", ""te""),"""")"),"[ '2nd పిన్న క్రీడాకారులు (14y 166d)', 'ఐదవ వికెట్కు 1st అత్యధిక భాగస్వామ్యం (138)', '9 వ పిన్న క్రీడాకారులు (14y 172d)', '5 వ అత్యధిక పరుగులు ఇన్నింగ్స్ లో (బ్యాటింగ్ స్థానం) (153 *) '' గత మ్యాచ్ (153 *) ',' ఒక క్యాలెండర్ సంవత్సరంలో 5 వ అత్యధిక వందలు (2)"&amp;" లో 1 వ హండ్రెడ్ ',' 5 వ అత్యుత్తమ బౌలింగ్ ఇన్నింగ్స్ లో నాలుగవ వికెట్కు విశ్లేషించడం (2/1) ',' 1 వ అత్యధిక భాగస్వామ్యం (224 *) ']")</f>
        <v>[ '2nd పిన్న క్రీడాకారులు (14y 166d)', 'ఐదవ వికెట్కు 1st అత్యధిక భాగస్వామ్యం (138)', '9 వ పిన్న క్రీడాకారులు (14y 172d)', '5 వ అత్యధిక పరుగులు ఇన్నింగ్స్ లో (బ్యాటింగ్ స్థానం) (153 *) '' గత మ్యాచ్ (153 *) ',' ఒక క్యాలెండర్ సంవత్సరంలో 5 వ అత్యధిక వందలు (2) లో 1 వ హండ్రెడ్ ',' 5 వ అత్యుత్తమ బౌలింగ్ ఇన్నింగ్స్ లో నాలుగవ వికెట్కు విశ్లేషించడం (2/1) ',' 1 వ అత్యధిక భాగస్వామ్యం (224 *) ']</v>
      </c>
      <c r="C1421" s="2" t="s">
        <v>911</v>
      </c>
      <c r="D1421" s="2" t="str">
        <f>IFERROR(__xludf.DUMMYFUNCTION("IF(C1421&lt;&gt;"""", GOOGLETRANSLATE(C1421, ""en"", ""te""),"""")"),"[ '5 వ వికెట్కు అత్యధిక భాగస్వామ్యాల (5 వ)' '1 వ అత్యధిక భాగస్వామ్యం ఐదవ వికెట్ (138)' '28 చెత్త కెరీర్ సగటు (71.00) (అర్హత లేకుండా) బౌలింగ్', '2 వ పిన్న క్రీడాకారులు (14y 166d)']")</f>
        <v>[ '5 వ వికెట్కు అత్యధిక భాగస్వామ్యాల (5 వ)' '1 వ అత్యధిక భాగస్వామ్యం ఐదవ వికెట్ (138)' '28 చెత్త కెరీర్ సగటు (71.00) (అర్హత లేకుండా) బౌలింగ్', '2 వ పిన్న క్రీడాకారులు (14y 166d)']</v>
      </c>
      <c r="E1421" s="2" t="s">
        <v>912</v>
      </c>
      <c r="F1421" s="2" t="str">
        <f>IFERROR(__xludf.DUMMYFUNCTION("IF(E1421&lt;&gt;"""", GOOGLETRANSLATE(E1421, ""en"", ""te""),"""")"),"[ '14 వ ఇన్నింగ్స్ (153 *) లో అత్యధిక పరుగులు' 'ఇన్నింగ్స్ లో 5 వ అత్యధిక పరుగులు (బ్యాటింగ్ స్థానంలో ప్రకారం) (153 *)', '28th అత్యధిక కెరీర్ బ్యాటింగ్ సగటు (38.54)', 'గత మ్యాచ్లో 1st హండ్రెడ్ ( 153 *) ',' 25 వ ఒక వృత్తిలో అత్యధిక వందలు (2) ',' 5 వ ఒక క్య"&amp;"ాలెండర్ సంవత్సరంలో అత్యధిక వందలు (2) ',' 6 వ పిన్న ఆటగాడు వంద (17y 338d) ',' 20 వ అత్యధిక పరుగులు శాతం స్కోర్ ఒక ఇన్నింగ్స్లో (54.64) ',' 5 వ అత్యుత్తమ బౌలింగ్ ఇన్నింగ్స్ (2/1) ',' 11 వ అత్యధిక భాగస్వామ్యాలు ఏ వికెట్కు (224 *) ',' 4 వ అత్యధిక భాగస్వామ్య వ"&amp;"ికెట్ (4 వ) ',' 50th ద్వారా విశ్లేషిస్తుంది రెండవ వికెట్కు అత్యధిక భాగస్వామ్యం (136) ',' నాలుగవ వికెట్కు (224 *) 1 వ అత్యధిక భాగస్వామ్యం ',' 9 వ పిన్న క్రీడాకారులు (14y 172d) ']")</f>
        <v>[ '14 వ ఇన్నింగ్స్ (153 *) లో అత్యధిక పరుగులు' 'ఇన్నింగ్స్ లో 5 వ అత్యధిక పరుగులు (బ్యాటింగ్ స్థానంలో ప్రకారం) (153 *)', '28th అత్యధిక కెరీర్ బ్యాటింగ్ సగటు (38.54)', 'గత మ్యాచ్లో 1st హండ్రెడ్ ( 153 *) ',' 25 వ ఒక వృత్తిలో అత్యధిక వందలు (2) ',' 5 వ ఒక క్యాలెండర్ సంవత్సరంలో అత్యధిక వందలు (2) ',' 6 వ పిన్న ఆటగాడు వంద (17y 338d) ',' 20 వ అత్యధిక పరుగులు శాతం స్కోర్ ఒక ఇన్నింగ్స్లో (54.64) ',' 5 వ అత్యుత్తమ బౌలింగ్ ఇన్నింగ్స్ (2/1) ',' 11 వ అత్యధిక భాగస్వామ్యాలు ఏ వికెట్కు (224 *) ',' 4 వ అత్యధిక భాగస్వామ్య వికెట్ (4 వ) ',' 50th ద్వారా విశ్లేషిస్తుంది రెండవ వికెట్కు అత్యధిక భాగస్వామ్యం (136) ',' నాలుగవ వికెట్కు (224 *) 1 వ అత్యధిక భాగస్వామ్యం ',' 9 వ పిన్న క్రీడాకారులు (14y 172d) ']</v>
      </c>
      <c r="G1421" s="2"/>
      <c r="H1421" s="2" t="str">
        <f>IFERROR(__xludf.DUMMYFUNCTION("IF(G1421&lt;&gt;"""", GOOGLETRANSLATE(G1421, ""en"", ""te""),"""")"),"")</f>
        <v/>
      </c>
      <c r="I1421" s="3"/>
    </row>
    <row r="1422" customHeight="1" spans="1:9">
      <c r="A1422" s="2" t="s">
        <v>913</v>
      </c>
      <c r="B1422" s="2" t="str">
        <f>IFERROR(__xludf.DUMMYFUNCTION("IF(A1422&lt;&gt;"""", GOOGLETRANSLATE(A1422, ""en"", ""te""),"""")"),"[ '4 వ చెత్త సమ్మె ఇన్నింగ్స్ లో రేటు (448.0)', 'ఒక మ్యాచ్ (728) లో బౌల్డ్ చాలా 5 వ బంతుల్లో']")</f>
        <v>[ '4 వ చెత్త సమ్మె ఇన్నింగ్స్ లో రేటు (448.0)', 'ఒక మ్యాచ్ (728) లో బౌల్డ్ చాలా 5 వ బంతుల్లో']</v>
      </c>
      <c r="C1422" s="2" t="s">
        <v>914</v>
      </c>
      <c r="D1422" s="2" t="str">
        <f>IFERROR(__xludf.DUMMYFUNCTION("IF(C1422&lt;&gt;"""", GOOGLETRANSLATE(C1422, ""en"", ""te""),"""")"),"[ 'ఇన్నింగ్స్ లో 4 వ చెత్త సమ్మె రేటు (448.0)', '27 వ ఇన్నింగ్స్ లో బౌల్డ్ చాలా బంతుల్లో (448)', '5 వ మ్యాచ్ లో బౌల్డ్ చాలా బంతుల్లో (728)', '29th షార్టేస్ట్ క్రీడాకారులు నివసించారు (30y 270d)' ]")</f>
        <v>[ 'ఇన్నింగ్స్ లో 4 వ చెత్త సమ్మె రేటు (448.0)', '27 వ ఇన్నింగ్స్ లో బౌల్డ్ చాలా బంతుల్లో (448)', '5 వ మ్యాచ్ లో బౌల్డ్ చాలా బంతుల్లో (728)', '29th షార్టేస్ట్ క్రీడాకారులు నివసించారు (30y 270d)' ]</v>
      </c>
      <c r="E1422" s="2"/>
      <c r="F1422" s="2" t="str">
        <f>IFERROR(__xludf.DUMMYFUNCTION("IF(E1422&lt;&gt;"""", GOOGLETRANSLATE(E1422, ""en"", ""te""),"""")"),"")</f>
        <v/>
      </c>
      <c r="G1422" s="2"/>
      <c r="H1422" s="2" t="str">
        <f>IFERROR(__xludf.DUMMYFUNCTION("IF(G1422&lt;&gt;"""", GOOGLETRANSLATE(G1422, ""en"", ""te""),"""")"),"")</f>
        <v/>
      </c>
      <c r="I1422" s="3"/>
    </row>
    <row r="1423" customHeight="1" spans="1:9">
      <c r="A1423" s="2"/>
      <c r="B1423" s="2" t="str">
        <f>IFERROR(__xludf.DUMMYFUNCTION("IF(A1423&lt;&gt;"""", GOOGLETRANSLATE(A1423, ""en"", ""te""),"""")"),"")</f>
        <v/>
      </c>
      <c r="C1423" s="2" t="s">
        <v>915</v>
      </c>
      <c r="D1423" s="2" t="str">
        <f>IFERROR(__xludf.DUMMYFUNCTION("IF(C1423&lt;&gt;"""", GOOGLETRANSLATE(C1423, ""en"", ""te""),"""")"),"[40 వ మ్యాచ్ లో బెస్ట్ ఫిగర్స్ ఉన్నప్పుడు పరాజయం వైపు (10) ',' 24 వ ఉత్తమ కెరీర్ సమ్మె రేటు (47.7) ',' 14 వ చెత్త కెరీర్లో ఆర్థిక రేటు (3.71) ', ఒక ఇన్నింగ్స్ లో' 13 వ చెత్త ఆర్థిక రేటు (6.90 ) ',' 18 వ వరుస ఐదు వికెట్ల లో-ఒక-ఇన్నింగ్స్ (3) ']")</f>
        <v>[40 వ మ్యాచ్ లో బెస్ట్ ఫిగర్స్ ఉన్నప్పుడు పరాజయం వైపు (10) ',' 24 వ ఉత్తమ కెరీర్ సమ్మె రేటు (47.7) ',' 14 వ చెత్త కెరీర్లో ఆర్థిక రేటు (3.71) ', ఒక ఇన్నింగ్స్ లో' 13 వ చెత్త ఆర్థిక రేటు (6.90 ) ',' 18 వ వరుస ఐదు వికెట్ల లో-ఒక-ఇన్నింగ్స్ (3) ']</v>
      </c>
      <c r="E1423" s="2"/>
      <c r="F1423" s="2" t="str">
        <f>IFERROR(__xludf.DUMMYFUNCTION("IF(E1423&lt;&gt;"""", GOOGLETRANSLATE(E1423, ""en"", ""te""),"""")"),"")</f>
        <v/>
      </c>
      <c r="G1423" s="2"/>
      <c r="H1423" s="2" t="str">
        <f>IFERROR(__xludf.DUMMYFUNCTION("IF(G1423&lt;&gt;"""", GOOGLETRANSLATE(G1423, ""en"", ""te""),"""")"),"")</f>
        <v/>
      </c>
      <c r="I1423" s="3"/>
    </row>
    <row r="1424" customHeight="1" spans="1:9">
      <c r="A1424" s="2"/>
      <c r="B1424" s="2" t="str">
        <f>IFERROR(__xludf.DUMMYFUNCTION("IF(A1424&lt;&gt;"""", GOOGLETRANSLATE(A1424, ""en"", ""te""),"""")"),"")</f>
        <v/>
      </c>
      <c r="C1424" s="2"/>
      <c r="D1424" s="2" t="str">
        <f>IFERROR(__xludf.DUMMYFUNCTION("IF(C1424&lt;&gt;"""", GOOGLETRANSLATE(C1424, ""en"", ""te""),"""")"),"")</f>
        <v/>
      </c>
      <c r="E1424" s="2"/>
      <c r="F1424" s="2" t="str">
        <f>IFERROR(__xludf.DUMMYFUNCTION("IF(E1424&lt;&gt;"""", GOOGLETRANSLATE(E1424, ""en"", ""te""),"""")"),"")</f>
        <v/>
      </c>
      <c r="G1424" s="2"/>
      <c r="H1424" s="2" t="str">
        <f>IFERROR(__xludf.DUMMYFUNCTION("IF(G1424&lt;&gt;"""", GOOGLETRANSLATE(G1424, ""en"", ""te""),"""")"),"")</f>
        <v/>
      </c>
      <c r="I1424" s="3"/>
    </row>
    <row r="1425" customHeight="1" spans="1:9">
      <c r="A1425" s="2" t="s">
        <v>916</v>
      </c>
      <c r="B1425" s="2" t="str">
        <f>IFERROR(__xludf.DUMMYFUNCTION("IF(A1425&lt;&gt;"""", GOOGLETRANSLATE(A1425, ""en"", ""te""),"""")"),"[ 'తొలి మ్యాచ్లో 2nd బెస్ట్ ఫిగర్స్ (8)', కన్య తీసుకోవాలని '1st అత్యుత్తమ బౌలింగ్ ఇన్నింగ్స్ లో విశ్లేషించడం (1/0)', ​​'10 వ అత్యంత వృద్ధ ఆటగాడు ఐదు వికెట్ల లో-ఒక-ఇన్నింగ్స్ (29y 49d ) ',' 5 వ అత్యధిక వికెట్లు ఆకర్షించింది ఒక ఇన్నింగ్స్ లో తీసిన మరియు బౌల"&amp;"్డ్ (10) ',' 8 వ అత్యధిక పరుగులు (బ్యాటింగ్ స్థానంలో ప్రకారం) (37 *) ']")</f>
        <v>[ 'తొలి మ్యాచ్లో 2nd బెస్ట్ ఫిగర్స్ (8)', కన్య తీసుకోవాలని '1st అత్యుత్తమ బౌలింగ్ ఇన్నింగ్స్ లో విశ్లేషించడం (1/0)', ​​'10 వ అత్యంత వృద్ధ ఆటగాడు ఐదు వికెట్ల లో-ఒక-ఇన్నింగ్స్ (29y 49d ) ',' 5 వ అత్యధిక వికెట్లు ఆకర్షించింది ఒక ఇన్నింగ్స్ లో తీసిన మరియు బౌల్డ్ (10) ',' 8 వ అత్యధిక పరుగులు (బ్యాటింగ్ స్థానంలో ప్రకారం) (37 *) ']</v>
      </c>
      <c r="C1425" s="2" t="s">
        <v>917</v>
      </c>
      <c r="D1425" s="2" t="str">
        <f>IFERROR(__xludf.DUMMYFUNCTION("IF(C1425&lt;&gt;"""", GOOGLETRANSLATE(C1425, ""en"", ""te""),"""")"),"[ '26 ఒక మ్యాచ్లో బెస్ట్ ఫిగర్స్ (8)', 'ఒక ఇన్నింగ్స్ లో ప్రవేశం (5) 7 వ బెస్ట్ ఫిగర్స్' ఒక మ్యాచ్లో '37 వ ఉత్తమ కెరీర్ సగటు (13.54) (అర్హత లేకుండా) బౌలింగ్', '2 వ బెస్ట్ ఫిగర్స్ ప్రవేశం (8) ']")</f>
        <v>[ '26 ఒక మ్యాచ్లో బెస్ట్ ఫిగర్స్ (8)', 'ఒక ఇన్నింగ్స్ లో ప్రవేశం (5) 7 వ బెస్ట్ ఫిగర్స్' ఒక మ్యాచ్లో '37 వ ఉత్తమ కెరీర్ సగటు (13.54) (అర్హత లేకుండా) బౌలింగ్', '2 వ బెస్ట్ ఫిగర్స్ ప్రవేశం (8) ']</v>
      </c>
      <c r="E1425" s="2" t="s">
        <v>918</v>
      </c>
      <c r="F1425" s="2" t="str">
        <f>IFERROR(__xludf.DUMMYFUNCTION("IF(E1425&lt;&gt;"""", GOOGLETRANSLATE(E1425, ""en"", ""te""),"""")"),"[ '31 కెరీర్లో అత్యధిక వికెట్లు (80)', '27 ఒక క్యాలెండర్ సంవత్సరంలో అత్యధిక వికెట్లు (23)', '1 వ అత్యుత్తమ బౌలింగ్ ఇన్నింగ్స్ లో విశ్లేషించడం (1/0)', ​​'19 వ ఉత్తమ కెరీర్ బౌలింగ్ సరాసరి (17.40)' '28 ఉత్తమ కెరీర్ సమ్మె రేటు (34.0)', 'ఇన్నింగ్స్ లో 15 వ ఉత్"&amp;"తమ సమ్మె రేటు (6.7)', 'ఇన్నింగ్స్ లో 20 వ చెత్త ఆర్థిక రేటు (9.00)', '38 వ అత్యంత నాలుగు వికెట్లు-ఇన్-ఒక-ఇన్నింగ్స్ ఒక వృత్తిలో (3) ',' 10 వ అత్యంత వృద్ధ ఆటగాడు తొలి తీసుకుని ఐదు-వికెట్ల లో-ఒక-ఇన్నింగ్స్ (29y 49d) ',' 50 వ కెరీర్ (2724) లో బౌల్డ్ చాలా బంత"&amp;"ుల్లో ',' 5 వ బౌలర్ / ఫీల్డర్ కలయికలు ( 21) ',' 26th అత్యధిక వికెట్లు ఆకర్షించింది తీసుకున్న (49) ',' 5 వ అత్యధిక వికెట్లు తీసుకున్న క్యాచ్ మరియు బౌల్డ్ (10) ',' 25 వ అత్యధిక వికెట్లు ఒక ఫీల్డర్ చేత క్యాచ్ తీసుకున్న (41) ',' 14 వ అత్యధిక వికెట్లు స్టంప్ ("&amp;"12 తీసుకున్న ) ']")</f>
        <v>[ '31 కెరీర్లో అత్యధిక వికెట్లు (80)', '27 ఒక క్యాలెండర్ సంవత్సరంలో అత్యధిక వికెట్లు (23)', '1 వ అత్యుత్తమ బౌలింగ్ ఇన్నింగ్స్ లో విశ్లేషించడం (1/0)', ​​'19 వ ఉత్తమ కెరీర్ బౌలింగ్ సరాసరి (17.40)' '28 ఉత్తమ కెరీర్ సమ్మె రేటు (34.0)', 'ఇన్నింగ్స్ లో 15 వ ఉత్తమ సమ్మె రేటు (6.7)', 'ఇన్నింగ్స్ లో 20 వ చెత్త ఆర్థిక రేటు (9.00)', '38 వ అత్యంత నాలుగు వికెట్లు-ఇన్-ఒక-ఇన్నింగ్స్ ఒక వృత్తిలో (3) ',' 10 వ అత్యంత వృద్ధ ఆటగాడు తొలి తీసుకుని ఐదు-వికెట్ల లో-ఒక-ఇన్నింగ్స్ (29y 49d) ',' 50 వ కెరీర్ (2724) లో బౌల్డ్ చాలా బంతుల్లో ',' 5 వ బౌలర్ / ఫీల్డర్ కలయికలు ( 21) ',' 26th అత్యధిక వికెట్లు ఆకర్షించింది తీసుకున్న (49) ',' 5 వ అత్యధిక వికెట్లు తీసుకున్న క్యాచ్ మరియు బౌల్డ్ (10) ',' 25 వ అత్యధిక వికెట్లు ఒక ఫీల్డర్ చేత క్యాచ్ తీసుకున్న (41) ',' 14 వ అత్యధిక వికెట్లు స్టంప్ (12 తీసుకున్న ) ']</v>
      </c>
      <c r="G1425" s="2" t="s">
        <v>919</v>
      </c>
      <c r="H1425" s="2" t="str">
        <f>IFERROR(__xludf.DUMMYFUNCTION("IF(G1425&lt;&gt;"""", GOOGLETRANSLATE(G1425, ""en"", ""te""),"""")"),"[ '8 వ అత్యంత ఇన్నింగ్స్ లో నడుస్తుంది (బ్యాటింగ్ స్థానం) (37 *)', 'మొదటి డక్ ముందు 17 వ అత్యంత ఇన్నింగ్స్ (21)', '29th చెత్త కెరీర్లో ఎకానమీ రేట్' సగటు (26.80) బౌలింగ్ 15 చెత్త జీవితం '(6.12 ) ',' 17 వ చెత్త కెరీర్లో సమ్మె రేటు (26.2) ',' ఇన్నింగ్స్ లో 3"&amp;"3 వ చెత్త ఆర్థిక రేటు (14.50) ', '21 వ బౌలర్ / ఫీల్డర్ కలయికలు (9)', '18 వ అత్యధిక వికెట్లు తీసుకున్న స్టంప్ (9)']")</f>
        <v>[ '8 వ అత్యంత ఇన్నింగ్స్ లో నడుస్తుంది (బ్యాటింగ్ స్థానం) (37 *)', 'మొదటి డక్ ముందు 17 వ అత్యంత ఇన్నింగ్స్ (21)', '29th చెత్త కెరీర్లో ఎకానమీ రేట్' సగటు (26.80) బౌలింగ్ 15 చెత్త జీవితం '(6.12 ) ',' 17 వ చెత్త కెరీర్లో సమ్మె రేటు (26.2) ',' ఇన్నింగ్స్ లో 33 వ చెత్త ఆర్థిక రేటు (14.50) ', '21 వ బౌలర్ / ఫీల్డర్ కలయికలు (9)', '18 వ అత్యధిక వికెట్లు తీసుకున్న స్టంప్ (9)']</v>
      </c>
      <c r="I1425" s="3"/>
    </row>
    <row r="1426" customHeight="1" spans="1:9">
      <c r="A1426" s="2" t="s">
        <v>920</v>
      </c>
      <c r="B1426" s="2" t="str">
        <f>IFERROR(__xludf.DUMMYFUNCTION("IF(A1426&lt;&gt;"""", GOOGLETRANSLATE(A1426, ""en"", ""te""),"""")"),"[ 'ఇన్నింగ్స్ లో 4 వ అత్యధిక క్యాచ్లు (3)', 'బ్యాటింగ్ తెరవడం మరియు అదే మ్యాచ్ లో బౌలింగ్']")</f>
        <v>[ 'ఇన్నింగ్స్ లో 4 వ అత్యధిక క్యాచ్లు (3)', 'బ్యాటింగ్ తెరవడం మరియు అదే మ్యాచ్ లో బౌలింగ్']</v>
      </c>
      <c r="C1426" s="2" t="s">
        <v>921</v>
      </c>
      <c r="D1426" s="2" t="str">
        <f>IFERROR(__xludf.DUMMYFUNCTION("IF(C1426&lt;&gt;"""", GOOGLETRANSLATE(C1426, ""en"", ""te""),"""")"),"[ '26 చెత్త కెరీర్ (72.00) (అర్హత లేకుండా) సగటు బౌలింగ్', 'తొలి 36 వ ఓల్డెస్ట్ క్రీడాకారులు (33y 153d)']")</f>
        <v>[ '26 చెత్త కెరీర్ (72.00) (అర్హత లేకుండా) సగటు బౌలింగ్', 'తొలి 36 వ ఓల్డెస్ట్ క్రీడాకారులు (33y 153d)']</v>
      </c>
      <c r="E1426" s="2" t="s">
        <v>922</v>
      </c>
      <c r="F1426" s="2" t="str">
        <f>IFERROR(__xludf.DUMMYFUNCTION("IF(E1426&lt;&gt;"""", GOOGLETRANSLATE(E1426, ""en"", ""te""),"""")"),"[ '22 వ తొలి మ్యాచ్లో అత్యధిక పరుగులు (56 నాటౌట్)', '4 వ ఇన్నింగ్స్ లో అత్యధిక క్యాచ్లు (3)']")</f>
        <v>[ '22 వ తొలి మ్యాచ్లో అత్యధిక పరుగులు (56 నాటౌట్)', '4 వ ఇన్నింగ్స్ లో అత్యధిక క్యాచ్లు (3)']</v>
      </c>
      <c r="G1426" s="2"/>
      <c r="H1426" s="2" t="str">
        <f>IFERROR(__xludf.DUMMYFUNCTION("IF(G1426&lt;&gt;"""", GOOGLETRANSLATE(G1426, ""en"", ""te""),"""")"),"")</f>
        <v/>
      </c>
      <c r="I1426" s="3"/>
    </row>
    <row r="1427" customHeight="1" spans="1:9">
      <c r="A1427" s="2"/>
      <c r="B1427" s="2" t="str">
        <f>IFERROR(__xludf.DUMMYFUNCTION("IF(A1427&lt;&gt;"""", GOOGLETRANSLATE(A1427, ""en"", ""te""),"""")"),"")</f>
        <v/>
      </c>
      <c r="C1427" s="2"/>
      <c r="D1427" s="2" t="str">
        <f>IFERROR(__xludf.DUMMYFUNCTION("IF(C1427&lt;&gt;"""", GOOGLETRANSLATE(C1427, ""en"", ""te""),"""")"),"")</f>
        <v/>
      </c>
      <c r="E1427" s="2"/>
      <c r="F1427" s="2" t="str">
        <f>IFERROR(__xludf.DUMMYFUNCTION("IF(E1427&lt;&gt;"""", GOOGLETRANSLATE(E1427, ""en"", ""te""),"""")"),"")</f>
        <v/>
      </c>
      <c r="G1427" s="2"/>
      <c r="H1427" s="2" t="str">
        <f>IFERROR(__xludf.DUMMYFUNCTION("IF(G1427&lt;&gt;"""", GOOGLETRANSLATE(G1427, ""en"", ""te""),"""")"),"")</f>
        <v/>
      </c>
      <c r="I1427" s="3"/>
    </row>
    <row r="1428" customHeight="1" spans="1:9">
      <c r="A1428" s="2"/>
      <c r="B1428" s="2" t="str">
        <f>IFERROR(__xludf.DUMMYFUNCTION("IF(A1428&lt;&gt;"""", GOOGLETRANSLATE(A1428, ""en"", ""te""),"""")"),"")</f>
        <v/>
      </c>
      <c r="C1428" s="2"/>
      <c r="D1428" s="2" t="str">
        <f>IFERROR(__xludf.DUMMYFUNCTION("IF(C1428&lt;&gt;"""", GOOGLETRANSLATE(C1428, ""en"", ""te""),"""")"),"")</f>
        <v/>
      </c>
      <c r="E1428" s="2"/>
      <c r="F1428" s="2" t="str">
        <f>IFERROR(__xludf.DUMMYFUNCTION("IF(E1428&lt;&gt;"""", GOOGLETRANSLATE(E1428, ""en"", ""te""),"""")"),"")</f>
        <v/>
      </c>
      <c r="G1428" s="2"/>
      <c r="H1428" s="2" t="str">
        <f>IFERROR(__xludf.DUMMYFUNCTION("IF(G1428&lt;&gt;"""", GOOGLETRANSLATE(G1428, ""en"", ""te""),"""")"),"")</f>
        <v/>
      </c>
      <c r="I1428" s="3"/>
    </row>
    <row r="1429" customHeight="1" spans="1:9">
      <c r="A1429" s="2" t="s">
        <v>923</v>
      </c>
      <c r="B1429" s="2" t="str">
        <f>IFERROR(__xludf.DUMMYFUNCTION("IF(A1429&lt;&gt;"""", GOOGLETRANSLATE(A1429, ""en"", ""te""),"""")"),"[ 'ఇన్నింగ్స్ లో 3 వ అత్యధిక పరుగులు (ప్రగతిశీల రికార్డు హోల్డర్) (117 *)', '4 వ ఇన్నింగ్స్ లో వచ్చిన ఎక్కువ సిక్స్ (13)', 'మూడో వికెట్కు 7 వ అత్యధిక భాగస్వామ్యం (133 *)']")</f>
        <v>[ 'ఇన్నింగ్స్ లో 3 వ అత్యధిక పరుగులు (ప్రగతిశీల రికార్డు హోల్డర్) (117 *)', '4 వ ఇన్నింగ్స్ లో వచ్చిన ఎక్కువ సిక్స్ (13)', 'మూడో వికెట్కు 7 వ అత్యధిక భాగస్వామ్యం (133 *)']</v>
      </c>
      <c r="C1429" s="2"/>
      <c r="D1429" s="2" t="str">
        <f>IFERROR(__xludf.DUMMYFUNCTION("IF(C1429&lt;&gt;"""", GOOGLETRANSLATE(C1429, ""en"", ""te""),"""")"),"")</f>
        <v/>
      </c>
      <c r="E1429" s="2"/>
      <c r="F1429" s="2" t="str">
        <f>IFERROR(__xludf.DUMMYFUNCTION("IF(E1429&lt;&gt;"""", GOOGLETRANSLATE(E1429, ""en"", ""te""),"""")"),"")</f>
        <v/>
      </c>
      <c r="G1429" s="2" t="s">
        <v>924</v>
      </c>
      <c r="H1429" s="2" t="str">
        <f>IFERROR(__xludf.DUMMYFUNCTION("IF(G1429&lt;&gt;"""", GOOGLETRANSLATE(G1429, ""en"", ""te""),"""")"),"[ '17 వ ఇన్నింగ్స్ లో అత్యధిక పరుగులు (117 *)', 'ఇన్నింగ్స్ లో 13 వ అత్యధిక పరుగులు (117 *) (బ్యాటింగ్ స్థానం)' 'ఇన్నింగ్స్ లో 3 వ అత్యధిక పరుగులు (ప్రగతిశీల రికార్డు హోల్డర్) (117 *)', 'ఇన్నింగ్స్ లో ఫోర్లు, సిక్సర్లు నుండి 7 వ అత్యధిక పరుగులు (98)' '4 వ"&amp;" అత్యంత ఇన్నింగ్స్ లో సిక్సర్లు (13)', '38 వ అత్యధిక భాగస్వామ్యాలు ఏ వికెట్కు (133 *) కోసం', 'మూడో వికెట్కు 7 వ అత్యధిక భాగస్వామ్యం ( 133 *) ']")</f>
        <v>[ '17 వ ఇన్నింగ్స్ లో అత్యధిక పరుగులు (117 *)', 'ఇన్నింగ్స్ లో 13 వ అత్యధిక పరుగులు (117 *) (బ్యాటింగ్ స్థానం)' 'ఇన్నింగ్స్ లో 3 వ అత్యధిక పరుగులు (ప్రగతిశీల రికార్డు హోల్డర్) (117 *)', 'ఇన్నింగ్స్ లో ఫోర్లు, సిక్సర్లు నుండి 7 వ అత్యధిక పరుగులు (98)' '4 వ అత్యంత ఇన్నింగ్స్ లో సిక్సర్లు (13)', '38 వ అత్యధిక భాగస్వామ్యాలు ఏ వికెట్కు (133 *) కోసం', 'మూడో వికెట్కు 7 వ అత్యధిక భాగస్వామ్యం ( 133 *) ']</v>
      </c>
      <c r="I1429" s="3"/>
    </row>
    <row r="1430" customHeight="1" spans="1:9">
      <c r="A1430" s="2"/>
      <c r="B1430" s="2" t="str">
        <f>IFERROR(__xludf.DUMMYFUNCTION("IF(A1430&lt;&gt;"""", GOOGLETRANSLATE(A1430, ""en"", ""te""),"""")"),"")</f>
        <v/>
      </c>
      <c r="C1430" s="2"/>
      <c r="D1430" s="2" t="str">
        <f>IFERROR(__xludf.DUMMYFUNCTION("IF(C1430&lt;&gt;"""", GOOGLETRANSLATE(C1430, ""en"", ""te""),"""")"),"")</f>
        <v/>
      </c>
      <c r="E1430" s="2"/>
      <c r="F1430" s="2" t="str">
        <f>IFERROR(__xludf.DUMMYFUNCTION("IF(E1430&lt;&gt;"""", GOOGLETRANSLATE(E1430, ""en"", ""te""),"""")"),"")</f>
        <v/>
      </c>
      <c r="G1430" s="2"/>
      <c r="H1430" s="2" t="str">
        <f>IFERROR(__xludf.DUMMYFUNCTION("IF(G1430&lt;&gt;"""", GOOGLETRANSLATE(G1430, ""en"", ""te""),"""")"),"")</f>
        <v/>
      </c>
      <c r="I1430" s="3"/>
    </row>
    <row r="1431" customHeight="1" spans="1:9">
      <c r="A1431" s="2" t="s">
        <v>925</v>
      </c>
      <c r="B1431" s="2" t="str">
        <f>IFERROR(__xludf.DUMMYFUNCTION("IF(A1431&lt;&gt;"""", GOOGLETRANSLATE(A1431, ""en"", ""te""),"""")"),"[ 'వికెట్ను కాపాడుకున్నాడు మరియు బ్యాటింగ్ (1) తెరిచిన చేసిన 7th కెప్టెన్ల' 'పరాజయం వైపు ఒక మ్యాచ్లో 3 వ అత్యధిక పరుగులు (117)', '8 వ అత్యంత తొలి మ్యాచ్లో పరుగులు (77)', '1 వ 99 పరుగుల (199, 299 etc) (99) ',' 4 వ ఒక సిరీస్లో అత్యధిక బాతులు (4) ',' ఒక ఇన్"&amp;"నింగ్స్ లో ఒక ఇన్నింగ్స్లో పరుగులు (58,87) ',' 4 వ అత్యధిక క్యాచ్లు 5 వ అత్యధిక శాతం (3) ' 'ఏడో వికెట్కు 9 వ అత్యధిక భాగస్వామ్యం (80)', 'ఇన్నింగ్స్ లో 6 వ అత్యధిక వికెట్లు (4)', '1 వ ఇన్నింగ్స్ లో అత్యధిక క్యాచ్లు (4)', '6 వ అత్యంత ఇన్నింగ్స్ లో సాధించిన "&amp;"బైస్ (8)' '4 వ ఇన్నింగ్స్ లో అత్యధిక పరుగులు (బ్యాటింగ్ స్థానంలో ప్రకారం) (69 *)', 'కెరీర్లో 8 వ అత్యంత అర్ధ (13)', '6 వ అత్యంత బాతులు కెరీర్లో (8)', '10th 1000 పరుగులు వేగంగా (49) ',' మొదటి వికెట్కు 7 వ అత్యధిక భాగస్వామ్యం (163 *) ']")</f>
        <v>[ 'వికెట్ను కాపాడుకున్నాడు మరియు బ్యాటింగ్ (1) తెరిచిన చేసిన 7th కెప్టెన్ల' 'పరాజయం వైపు ఒక మ్యాచ్లో 3 వ అత్యధిక పరుగులు (117)', '8 వ అత్యంత తొలి మ్యాచ్లో పరుగులు (77)', '1 వ 99 పరుగుల (199, 299 etc) (99) ',' 4 వ ఒక సిరీస్లో అత్యధిక బాతులు (4) ',' ఒక ఇన్నింగ్స్ లో ఒక ఇన్నింగ్స్లో పరుగులు (58,87) ',' 4 వ అత్యధిక క్యాచ్లు 5 వ అత్యధిక శాతం (3) ' 'ఏడో వికెట్కు 9 వ అత్యధిక భాగస్వామ్యం (80)', 'ఇన్నింగ్స్ లో 6 వ అత్యధిక వికెట్లు (4)', '1 వ ఇన్నింగ్స్ లో అత్యధిక క్యాచ్లు (4)', '6 వ అత్యంత ఇన్నింగ్స్ లో సాధించిన బైస్ (8)' '4 వ ఇన్నింగ్స్ లో అత్యధిక పరుగులు (బ్యాటింగ్ స్థానంలో ప్రకారం) (69 *)', 'కెరీర్లో 8 వ అత్యంత అర్ధ (13)', '6 వ అత్యంత బాతులు కెరీర్లో (8)', '10th 1000 పరుగులు వేగంగా (49) ',' మొదటి వికెట్కు 7 వ అత్యధిక భాగస్వామ్యం (163 *) ']</v>
      </c>
      <c r="C1431" s="2"/>
      <c r="D1431" s="2" t="str">
        <f>IFERROR(__xludf.DUMMYFUNCTION("IF(C1431&lt;&gt;"""", GOOGLETRANSLATE(C1431, ""en"", ""te""),"""")"),"")</f>
        <v/>
      </c>
      <c r="E1431" s="2" t="s">
        <v>926</v>
      </c>
      <c r="F1431" s="2" t="str">
        <f>IFERROR(__xludf.DUMMYFUNCTION("IF(E1431&lt;&gt;"""", GOOGLETRANSLATE(E1431, ""en"", ""te""),"""")"),"[ 'ఇన్నింగ్స్ (132 *) లో 48 వ అత్యధిక పరుగులు' '15 వ అత్యధిక కెరీర్ లో పరుగులు (2986)', 'వరుస 20 వ అత్యధిక పరుగులు (616)', '11 వ ఒక క్యాలెండర్ సంవత్సరంలో అత్యధిక పరుగులు (717)', 'పరాజయం వైపు ఒక మ్యాచ్లో 3 వ అత్యధిక పరుగులు (117)', '45 వ ఒకే మైదానంలో అత్"&amp;"యధిక పరుగులు (288)', 'ఒక వికెట్ కీపర్ సిరీస్లో 9 వ అత్యధిక పరుగులు (245)', '8 వ చాల వరకు ఒక లో పరుగులు అత్యధిక వికెట్లు ఇన్నింగ్స్ (117) ',' 34 వ అత్యధిక కెరీర్ బ్యాటింగ్ సగటు (36.41) ',' తొలి మ్యాచ్లో 8 వ అత్యధిక పరుగులు (77) ',' 19 వ అత్యధిక వందలు ఒక వృ"&amp;"త్తిలో (3) ',' 6 వ అత్యధిక కెరీర్ లో తొంభైల (3) ',' 1 వ 99 పరుగుల (199, 299 etc) (99) ',' 15 వ కెరీర్ అర్ధ (23) ',' 7 వ కెరీర్ బాతులు (12) ',' 4 వ అత్యంత బాతులు సిరీస్ (4) ',' ఒక ఇన్నింగ్స్లో పరుగుల 5 వ అత్యధిక శాతం ఇన్నింగ్స్ లో కెరీర్ లో (58,87) ',' 32"&amp;" వ అత్యధిక క్యాచ్లు (33) ',' 4 వ అత్యధిక క్యాచ్లు (3) ',' 26th ఒక లో అత్యధిక క్యాచ్లు సిరీస్ (7) ',' మొదటి వికెట్కు 24 అత్యధిక భాగస్వామ్యం (169) ',' ఏడవ వికెట్కు 9 వ అత్యధిక భాగస్వామ్యం (80) ',' 50 వ అత్యధిక కెరీర్ లో మ్యాచ్లు (89) ',' 40 వ Younge స్టంప్ "&amp;"కాప్టెన్ (24y 200d) ',' 17 వ కెప్టెన్ల వికెట్ను కాపాడుకున్నాడు చేసిన (1) ',' వికెట్ను కాపాడుకున్నాడు మరియు బ్యాటింగ్ (1) ',' 30 వ అత్యధిక క్యాచ్లు కెరీర్లో (14) ', '21 వ అత్యంత తెరిచిన చేసిన 7th కెప్టెన్ల ఒక ఇన్నింగ్స్ లో క్యాచ్లు (3) ']")</f>
        <v>[ 'ఇన్నింగ్స్ (132 *) లో 48 వ అత్యధిక పరుగులు' '15 వ అత్యధిక కెరీర్ లో పరుగులు (2986)', 'వరుస 20 వ అత్యధిక పరుగులు (616)', '11 వ ఒక క్యాలెండర్ సంవత్సరంలో అత్యధిక పరుగులు (717)', 'పరాజయం వైపు ఒక మ్యాచ్లో 3 వ అత్యధిక పరుగులు (117)', '45 వ ఒకే మైదానంలో అత్యధిక పరుగులు (288)', 'ఒక వికెట్ కీపర్ సిరీస్లో 9 వ అత్యధిక పరుగులు (245)', '8 వ చాల వరకు ఒక లో పరుగులు అత్యధిక వికెట్లు ఇన్నింగ్స్ (117) ',' 34 వ అత్యధిక కెరీర్ బ్యాటింగ్ సగటు (36.41) ',' తొలి మ్యాచ్లో 8 వ అత్యధిక పరుగులు (77) ',' 19 వ అత్యధిక వందలు ఒక వృత్తిలో (3) ',' 6 వ అత్యధిక కెరీర్ లో తొంభైల (3) ',' 1 వ 99 పరుగుల (199, 299 etc) (99) ',' 15 వ కెరీర్ అర్ధ (23) ',' 7 వ కెరీర్ బాతులు (12) ',' 4 వ అత్యంత బాతులు సిరీస్ (4) ',' ఒక ఇన్నింగ్స్లో పరుగుల 5 వ అత్యధిక శాతం ఇన్నింగ్స్ లో కెరీర్ లో (58,87) ',' 32 వ అత్యధిక క్యాచ్లు (33) ',' 4 వ అత్యధిక క్యాచ్లు (3) ',' 26th ఒక లో అత్యధిక క్యాచ్లు సిరీస్ (7) ',' మొదటి వికెట్కు 24 అత్యధిక భాగస్వామ్యం (169) ',' ఏడవ వికెట్కు 9 వ అత్యధిక భాగస్వామ్యం (80) ',' 50 వ అత్యధిక కెరీర్ లో మ్యాచ్లు (89) ',' 40 వ Younge స్టంప్ కాప్టెన్ (24y 200d) ',' 17 వ కెప్టెన్ల వికెట్ను కాపాడుకున్నాడు చేసిన (1) ',' వికెట్ను కాపాడుకున్నాడు మరియు బ్యాటింగ్ (1) ',' 30 వ అత్యధిక క్యాచ్లు కెరీర్లో (14) ', '21 వ అత్యంత తెరిచిన చేసిన 7th కెప్టెన్ల ఒక ఇన్నింగ్స్ లో క్యాచ్లు (3) ']</v>
      </c>
      <c r="G1431" s="2" t="s">
        <v>927</v>
      </c>
      <c r="H1431" s="2" t="str">
        <f>IFERROR(__xludf.DUMMYFUNCTION("IF(G1431&lt;&gt;"""", GOOGLETRANSLATE(G1431, ""en"", ""te""),"""")"),"[ 'ఒక క్యాలెండర్ సంవత్సరంలో 22 వ అత్యధిక పరుగులు (436)' '14 వ అత్యధిక కెరీర్ లో పరుగులు (1782)', '27 వ ఇన్నింగ్స్ లో అత్యధిక పరుగులు (101)', '4 వ ఇన్నింగ్స్ లో అత్యధిక పరుగులు (బ్యాటింగ్ స్థానంలో ప్రకారం) ( 69 *) ',' పరాజయం వైపు ఒక మ్యాచ్ (69 *) 19 అత్యధ"&amp;"ిక పరుగులు ',' అత్యధిక వికెట్లు ఇన్నింగ్స్ లో 11 వ అత్యధిక పరుగులు (68) ',' 25 వ అత్యధిక కెరీర్ బ్యాటింగ్ సగటు (25.09) ',' 8 వ జీవితంలో అత్యధిక అర్ధ (13) ',' కెరీర్ లో 6 వ అత్యంత బాతులు (8) ',' 10th ఏ వికెట్కు 1000 పరుగులు (49) ',' 10 వ అత్యధిక వాటా వేగంగ"&amp;"ా (163 *) ',' కోసం 7 వ అత్యధిక భాగస్వామ్యం తొలి వికెట్కు (163 *) ',' రెండవ వికెట్కు 9 వ అత్యధిక భాగస్వామ్యం (131) ',' 40 వ కెరీర్ లో అత్యధిక మ్యాచ్లు (79) ',' 6 వ ఇన్నింగ్స్ లో అత్యధిక వికెట్లు (4) ',' 12 వ కెరీర్ లో అత్యధిక క్యాచ్లు (15) ',' 1 వ ఇన్నింగ్"&amp;"స్ ఇన్నింగ్స్ లో సాధించిన (4) ',' 6 వ అత్యంత బైలు (8) లో అత్యధిక క్యాచ్లు ']")</f>
        <v>[ 'ఒక క్యాలెండర్ సంవత్సరంలో 22 వ అత్యధిక పరుగులు (436)' '14 వ అత్యధిక కెరీర్ లో పరుగులు (1782)', '27 వ ఇన్నింగ్స్ లో అత్యధిక పరుగులు (101)', '4 వ ఇన్నింగ్స్ లో అత్యధిక పరుగులు (బ్యాటింగ్ స్థానంలో ప్రకారం) ( 69 *) ',' పరాజయం వైపు ఒక మ్యాచ్ (69 *) 19 అత్యధిక పరుగులు ',' అత్యధిక వికెట్లు ఇన్నింగ్స్ లో 11 వ అత్యధిక పరుగులు (68) ',' 25 వ అత్యధిక కెరీర్ బ్యాటింగ్ సగటు (25.09) ',' 8 వ జీవితంలో అత్యధిక అర్ధ (13) ',' కెరీర్ లో 6 వ అత్యంత బాతులు (8) ',' 10th ఏ వికెట్కు 1000 పరుగులు (49) ',' 10 వ అత్యధిక వాటా వేగంగా (163 *) ',' కోసం 7 వ అత్యధిక భాగస్వామ్యం తొలి వికెట్కు (163 *) ',' రెండవ వికెట్కు 9 వ అత్యధిక భాగస్వామ్యం (131) ',' 40 వ కెరీర్ లో అత్యధిక మ్యాచ్లు (79) ',' 6 వ ఇన్నింగ్స్ లో అత్యధిక వికెట్లు (4) ',' 12 వ కెరీర్ లో అత్యధిక క్యాచ్లు (15) ',' 1 వ ఇన్నింగ్స్ ఇన్నింగ్స్ లో సాధించిన (4) ',' 6 వ అత్యంత బైలు (8) లో అత్యధిక క్యాచ్లు ']</v>
      </c>
      <c r="I1431" s="3"/>
    </row>
    <row r="1432" customHeight="1" spans="1:9">
      <c r="A1432" s="2"/>
      <c r="B1432" s="2" t="str">
        <f>IFERROR(__xludf.DUMMYFUNCTION("IF(A1432&lt;&gt;"""", GOOGLETRANSLATE(A1432, ""en"", ""te""),"""")"),"")</f>
        <v/>
      </c>
      <c r="C1432" s="2" t="s">
        <v>928</v>
      </c>
      <c r="D1432" s="2" t="str">
        <f>IFERROR(__xludf.DUMMYFUNCTION("IF(C1432&lt;&gt;"""", GOOGLETRANSLATE(C1432, ""en"", ""te""),"""")"),"[ '43 వ ఇన్నింగ్స్ లో బెస్ట్ ఫిగర్స్ (8/53)', '21 వ పురాతన దేశం ఆటగాళ్ళు (89y 62d) ']")</f>
        <v>[ '43 వ ఇన్నింగ్స్ లో బెస్ట్ ఫిగర్స్ (8/53)', '21 వ పురాతన దేశం ఆటగాళ్ళు (89y 62d) ']</v>
      </c>
      <c r="E1432" s="2"/>
      <c r="F1432" s="2" t="str">
        <f>IFERROR(__xludf.DUMMYFUNCTION("IF(E1432&lt;&gt;"""", GOOGLETRANSLATE(E1432, ""en"", ""te""),"""")"),"")</f>
        <v/>
      </c>
      <c r="G1432" s="2"/>
      <c r="H1432" s="2" t="str">
        <f>IFERROR(__xludf.DUMMYFUNCTION("IF(G1432&lt;&gt;"""", GOOGLETRANSLATE(G1432, ""en"", ""te""),"""")"),"")</f>
        <v/>
      </c>
      <c r="I1432" s="3"/>
    </row>
    <row r="1433" customHeight="1" spans="1:9">
      <c r="A1433" s="2"/>
      <c r="B1433" s="2" t="str">
        <f>IFERROR(__xludf.DUMMYFUNCTION("IF(A1433&lt;&gt;"""", GOOGLETRANSLATE(A1433, ""en"", ""te""),"""")"),"")</f>
        <v/>
      </c>
      <c r="C1433" s="2"/>
      <c r="D1433" s="2" t="str">
        <f>IFERROR(__xludf.DUMMYFUNCTION("IF(C1433&lt;&gt;"""", GOOGLETRANSLATE(C1433, ""en"", ""te""),"""")"),"")</f>
        <v/>
      </c>
      <c r="E1433" s="2"/>
      <c r="F1433" s="2" t="str">
        <f>IFERROR(__xludf.DUMMYFUNCTION("IF(E1433&lt;&gt;"""", GOOGLETRANSLATE(E1433, ""en"", ""te""),"""")"),"")</f>
        <v/>
      </c>
      <c r="G1433" s="2"/>
      <c r="H1433" s="2" t="str">
        <f>IFERROR(__xludf.DUMMYFUNCTION("IF(G1433&lt;&gt;"""", GOOGLETRANSLATE(G1433, ""en"", ""te""),"""")"),"")</f>
        <v/>
      </c>
      <c r="I1433" s="3"/>
    </row>
    <row r="1434" customHeight="1" spans="1:9">
      <c r="A1434" s="2" t="s">
        <v>814</v>
      </c>
      <c r="B1434" s="2" t="str">
        <f>IFERROR(__xludf.DUMMYFUNCTION("IF(A1434&lt;&gt;"""", GOOGLETRANSLATE(A1434, ""en"", ""te""),"""")"),"[ 'ఒక ఇన్నింగ్స్ లో 8 వ బెస్ట్ ఫిగర్స్ ఉన్నప్పుడు పరాజయం వైపు (4)']")</f>
        <v>[ 'ఒక ఇన్నింగ్స్ లో 8 వ బెస్ట్ ఫిగర్స్ ఉన్నప్పుడు పరాజయం వైపు (4)']</v>
      </c>
      <c r="C1434" s="2"/>
      <c r="D1434" s="2" t="str">
        <f>IFERROR(__xludf.DUMMYFUNCTION("IF(C1434&lt;&gt;"""", GOOGLETRANSLATE(C1434, ""en"", ""te""),"""")"),"")</f>
        <v/>
      </c>
      <c r="E1434" s="2" t="s">
        <v>929</v>
      </c>
      <c r="F1434" s="2" t="str">
        <f>IFERROR(__xludf.DUMMYFUNCTION("IF(E1434&lt;&gt;"""", GOOGLETRANSLATE(E1434, ""en"", ""te""),"""")"),"[ '43 వ అత్యంత ఐదు-వికెట్ల లో-ఒక-ఇన్నింగ్స్ కెరీర్లో (2)', కన్య తీసుకోవాలని 'అయిదు వికెట్లు-ఇన్-ఒక-ఇన్నింగ్స్ తీసుకోవాలని 40 వ అత్యంత వృద్ధ ఆటగాడు (32y 101d)', '48 వ అత్యంత వృద్ధ ఆటగాడు ఐదు వికెట్లు-ఇన్-ఒక-ఇన్నింగ్స్ (30y 145d) ']")</f>
        <v>[ '43 వ అత్యంత ఐదు-వికెట్ల లో-ఒక-ఇన్నింగ్స్ కెరీర్లో (2)', కన్య తీసుకోవాలని 'అయిదు వికెట్లు-ఇన్-ఒక-ఇన్నింగ్స్ తీసుకోవాలని 40 వ అత్యంత వృద్ధ ఆటగాడు (32y 101d)', '48 వ అత్యంత వృద్ధ ఆటగాడు ఐదు వికెట్లు-ఇన్-ఒక-ఇన్నింగ్స్ (30y 145d) ']</v>
      </c>
      <c r="G1434" s="2" t="s">
        <v>814</v>
      </c>
      <c r="H1434" s="2" t="str">
        <f>IFERROR(__xludf.DUMMYFUNCTION("IF(G1434&lt;&gt;"""", GOOGLETRANSLATE(G1434, ""en"", ""te""),"""")"),"[ 'ఒక ఇన్నింగ్స్ లో 8 వ బెస్ట్ ఫిగర్స్ ఉన్నప్పుడు పరాజయం వైపు (4)']")</f>
        <v>[ 'ఒక ఇన్నింగ్స్ లో 8 వ బెస్ట్ ఫిగర్స్ ఉన్నప్పుడు పరాజయం వైపు (4)']</v>
      </c>
      <c r="I1434" s="3"/>
    </row>
    <row r="1435" customHeight="1" spans="1:9">
      <c r="A1435" s="2"/>
      <c r="B1435" s="2" t="str">
        <f>IFERROR(__xludf.DUMMYFUNCTION("IF(A1435&lt;&gt;"""", GOOGLETRANSLATE(A1435, ""en"", ""te""),"""")"),"")</f>
        <v/>
      </c>
      <c r="C1435" s="2"/>
      <c r="D1435" s="2" t="str">
        <f>IFERROR(__xludf.DUMMYFUNCTION("IF(C1435&lt;&gt;"""", GOOGLETRANSLATE(C1435, ""en"", ""te""),"""")"),"")</f>
        <v/>
      </c>
      <c r="E1435" s="2"/>
      <c r="F1435" s="2" t="str">
        <f>IFERROR(__xludf.DUMMYFUNCTION("IF(E1435&lt;&gt;"""", GOOGLETRANSLATE(E1435, ""en"", ""te""),"""")"),"")</f>
        <v/>
      </c>
      <c r="G1435" s="2"/>
      <c r="H1435" s="2" t="str">
        <f>IFERROR(__xludf.DUMMYFUNCTION("IF(G1435&lt;&gt;"""", GOOGLETRANSLATE(G1435, ""en"", ""te""),"""")"),"")</f>
        <v/>
      </c>
      <c r="I1435" s="3"/>
    </row>
    <row r="1436" customHeight="1" spans="1:9">
      <c r="A1436" s="2" t="s">
        <v>930</v>
      </c>
      <c r="B1436" s="2" t="str">
        <f>IFERROR(__xludf.DUMMYFUNCTION("IF(A1436&lt;&gt;"""", GOOGLETRANSLATE(A1436, ""en"", ""te""),"""")"),"[ 'ఇన్నింగ్స్ (3) 4 వ అత్యధిక క్యాచ్లు' '3 వ అత్యంత ఇన్నింగ్స్ లో నడుస్తుంది (బ్యాటింగ్ స్థానం) (10)', '3 వ చెత్త కెరీర్లో సమ్మె రేటు (32.9)']")</f>
        <v>[ 'ఇన్నింగ్స్ (3) 4 వ అత్యధిక క్యాచ్లు' '3 వ అత్యంత ఇన్నింగ్స్ లో నడుస్తుంది (బ్యాటింగ్ స్థానం) (10)', '3 వ చెత్త కెరీర్లో సమ్మె రేటు (32.9)']</v>
      </c>
      <c r="C1436" s="2"/>
      <c r="D1436" s="2" t="str">
        <f>IFERROR(__xludf.DUMMYFUNCTION("IF(C1436&lt;&gt;"""", GOOGLETRANSLATE(C1436, ""en"", ""te""),"""")"),"")</f>
        <v/>
      </c>
      <c r="E1436" s="2" t="s">
        <v>931</v>
      </c>
      <c r="F1436" s="2" t="str">
        <f>IFERROR(__xludf.DUMMYFUNCTION("IF(E1436&lt;&gt;"""", GOOGLETRANSLATE(E1436, ""en"", ""te""),"""")"),"[ 'ఇన్నింగ్స్ లో 4 వ అత్యధిక క్యాచ్లు (3)' '30 వ చెత్త కెరీర్ బౌలింగ్ సరాసరి (34.13)', '21 వ చెత్త కెరీర్లో సమ్మె రేటు (59.4) ',]")</f>
        <v>[ 'ఇన్నింగ్స్ లో 4 వ అత్యధిక క్యాచ్లు (3)' '30 వ చెత్త కెరీర్ బౌలింగ్ సరాసరి (34.13)', '21 వ చెత్త కెరీర్లో సమ్మె రేటు (59.4) ',]</v>
      </c>
      <c r="G1436" s="2" t="s">
        <v>932</v>
      </c>
      <c r="H1436" s="2" t="str">
        <f>IFERROR(__xludf.DUMMYFUNCTION("IF(G1436&lt;&gt;"""", GOOGLETRANSLATE(G1436, ""en"", ""te""),"""")"),"[ 'ఇన్నింగ్స్ లో 3 వ అత్యధిక పరుగులు (బ్యాటింగ్ స్థానంలో ప్రకారం) (10)', '4 వ చెత్త కెరీర్ సగటు (34.84) ​​బౌలింగ్', '16 వ చెత్త కెరీర్లో ఆర్థిక రేటు (6.34)', '3 వ చెత్త కెరీర్లో సమ్మె రేటు (32.9)' ]")</f>
        <v>[ 'ఇన్నింగ్స్ లో 3 వ అత్యధిక పరుగులు (బ్యాటింగ్ స్థానంలో ప్రకారం) (10)', '4 వ చెత్త కెరీర్ సగటు (34.84) ​​బౌలింగ్', '16 వ చెత్త కెరీర్లో ఆర్థిక రేటు (6.34)', '3 వ చెత్త కెరీర్లో సమ్మె రేటు (32.9)' ]</v>
      </c>
      <c r="I1436" s="3"/>
    </row>
    <row r="1437" customHeight="1" spans="1:9">
      <c r="A1437" s="2"/>
      <c r="B1437" s="2" t="str">
        <f>IFERROR(__xludf.DUMMYFUNCTION("IF(A1437&lt;&gt;"""", GOOGLETRANSLATE(A1437, ""en"", ""te""),"""")"),"")</f>
        <v/>
      </c>
      <c r="C1437" s="2"/>
      <c r="D1437" s="2" t="str">
        <f>IFERROR(__xludf.DUMMYFUNCTION("IF(C1437&lt;&gt;"""", GOOGLETRANSLATE(C1437, ""en"", ""te""),"""")"),"")</f>
        <v/>
      </c>
      <c r="E1437" s="2"/>
      <c r="F1437" s="2" t="str">
        <f>IFERROR(__xludf.DUMMYFUNCTION("IF(E1437&lt;&gt;"""", GOOGLETRANSLATE(E1437, ""en"", ""te""),"""")"),"")</f>
        <v/>
      </c>
      <c r="G1437" s="2" t="s">
        <v>933</v>
      </c>
      <c r="H1437" s="2" t="str">
        <f>IFERROR(__xludf.DUMMYFUNCTION("IF(G1437&lt;&gt;"""", GOOGLETRANSLATE(G1437, ""en"", ""te""),"""")"),"[ '15 వ ఇన్నింగ్స్ లో అత్యధిక క్యాచ్లు (3)']")</f>
        <v>[ '15 వ ఇన్నింగ్స్ లో అత్యధిక క్యాచ్లు (3)']</v>
      </c>
      <c r="I1437" s="3"/>
    </row>
    <row r="1438" customHeight="1" spans="1:9">
      <c r="A1438" s="2"/>
      <c r="B1438" s="2" t="str">
        <f>IFERROR(__xludf.DUMMYFUNCTION("IF(A1438&lt;&gt;"""", GOOGLETRANSLATE(A1438, ""en"", ""te""),"""")"),"")</f>
        <v/>
      </c>
      <c r="C1438" s="2"/>
      <c r="D1438" s="2" t="str">
        <f>IFERROR(__xludf.DUMMYFUNCTION("IF(C1438&lt;&gt;"""", GOOGLETRANSLATE(C1438, ""en"", ""te""),"""")"),"")</f>
        <v/>
      </c>
      <c r="E1438" s="2"/>
      <c r="F1438" s="2" t="str">
        <f>IFERROR(__xludf.DUMMYFUNCTION("IF(E1438&lt;&gt;"""", GOOGLETRANSLATE(E1438, ""en"", ""te""),"""")"),"")</f>
        <v/>
      </c>
      <c r="G1438" s="2"/>
      <c r="H1438" s="2" t="str">
        <f>IFERROR(__xludf.DUMMYFUNCTION("IF(G1438&lt;&gt;"""", GOOGLETRANSLATE(G1438, ""en"", ""te""),"""")"),"")</f>
        <v/>
      </c>
      <c r="I1438" s="3"/>
    </row>
    <row r="1439" customHeight="1" spans="1:9">
      <c r="A1439" s="2"/>
      <c r="B1439" s="2" t="str">
        <f>IFERROR(__xludf.DUMMYFUNCTION("IF(A1439&lt;&gt;"""", GOOGLETRANSLATE(A1439, ""en"", ""te""),"""")"),"")</f>
        <v/>
      </c>
      <c r="C1439" s="2"/>
      <c r="D1439" s="2" t="str">
        <f>IFERROR(__xludf.DUMMYFUNCTION("IF(C1439&lt;&gt;"""", GOOGLETRANSLATE(C1439, ""en"", ""te""),"""")"),"")</f>
        <v/>
      </c>
      <c r="E1439" s="2"/>
      <c r="F1439" s="2" t="str">
        <f>IFERROR(__xludf.DUMMYFUNCTION("IF(E1439&lt;&gt;"""", GOOGLETRANSLATE(E1439, ""en"", ""te""),"""")"),"")</f>
        <v/>
      </c>
      <c r="G1439" s="2"/>
      <c r="H1439" s="2" t="str">
        <f>IFERROR(__xludf.DUMMYFUNCTION("IF(G1439&lt;&gt;"""", GOOGLETRANSLATE(G1439, ""en"", ""te""),"""")"),"")</f>
        <v/>
      </c>
      <c r="I1439" s="3"/>
    </row>
    <row r="1440" customHeight="1" spans="1:9">
      <c r="A1440" s="2" t="s">
        <v>934</v>
      </c>
      <c r="B1440" s="2" t="str">
        <f>IFERROR(__xludf.DUMMYFUNCTION("IF(A1440&lt;&gt;"""", GOOGLETRANSLATE(A1440, ""en"", ""te""),"""")"),"[ '9 వ పిన్న కాప్టెన్ (21y 124d)', '1st ఒక క్యాలెండర్ సంవత్సరంలో అత్యధిక వికెట్లు (37)', '1 వ ఉత్తమ కెరీర్ సమ్మె రేటు (26.8)', '2 వ అత్యంత ఐదు-వికెట్ల లో-ఒక-ఇన్నింగ్స్ కెరీర్లో (5) ',' 6 వ అత్యధిక వికెట్లు ఒక ఫీల్డర్ చేత క్యాచ్ తీసుకున్న (64) ',' 8 వ ఒక స"&amp;"ిరీస్లో అత్యధిక క్యాచ్లు (11) ',' ఎ ఏబది ఒక ఇన్నింగ్స్ లో ఐదు వికెట్లు ',' ఆరవ వికెట్కు 1st అత్యధిక భాగస్వామ్యం (142) ',' 6 వ ఇన్నింగ్స్ లో అత్యధిక పరుగులు (బ్యాటింగ్ స్థానంలో ప్రకారం) (19 *) ',' ఇన్నింగ్స్ లో 9 వ అత్యుత్తమ బౌలింగ్ విశ్లేషణలు (5/8) ',' 9 "&amp;"వ చెత్త కెరీర్లో ఆర్థిక రేటు (6.57) ',' 4 వ అత్యంత నాలుగు వికెట్లు-ఇన్-ఒక-ఇన్నింగ్స్ కెరీర్లో (3) ',' 4 వ అత్యధిక వికెట్లు ఆకర్షించింది ఇన్నింగ్స్ (3) ',' 9 వ అత్యధిక భాగస్వామ్యం తీసుకున్న మరియు బౌల్డ్ (6) ',' 3 వ అత్యధిక క్యాచ్లు పదవ వికెట్ను (18 *) ']")</f>
        <v>[ '9 వ పిన్న కాప్టెన్ (21y 124d)', '1st ఒక క్యాలెండర్ సంవత్సరంలో అత్యధిక వికెట్లు (37)', '1 వ ఉత్తమ కెరీర్ సమ్మె రేటు (26.8)', '2 వ అత్యంత ఐదు-వికెట్ల లో-ఒక-ఇన్నింగ్స్ కెరీర్లో (5) ',' 6 వ అత్యధిక వికెట్లు ఒక ఫీల్డర్ చేత క్యాచ్ తీసుకున్న (64) ',' 8 వ ఒక సిరీస్లో అత్యధిక క్యాచ్లు (11) ',' ఎ ఏబది ఒక ఇన్నింగ్స్ లో ఐదు వికెట్లు ',' ఆరవ వికెట్కు 1st అత్యధిక భాగస్వామ్యం (142) ',' 6 వ ఇన్నింగ్స్ లో అత్యధిక పరుగులు (బ్యాటింగ్ స్థానంలో ప్రకారం) (19 *) ',' ఇన్నింగ్స్ లో 9 వ అత్యుత్తమ బౌలింగ్ విశ్లేషణలు (5/8) ',' 9 వ చెత్త కెరీర్లో ఆర్థిక రేటు (6.57) ',' 4 వ అత్యంత నాలుగు వికెట్లు-ఇన్-ఒక-ఇన్నింగ్స్ కెరీర్లో (3) ',' 4 వ అత్యధిక వికెట్లు ఆకర్షించింది ఇన్నింగ్స్ (3) ',' 9 వ అత్యధిక భాగస్వామ్యం తీసుకున్న మరియు బౌల్డ్ (6) ',' 3 వ అత్యధిక క్యాచ్లు పదవ వికెట్ను (18 *) ']</v>
      </c>
      <c r="C1440" s="2"/>
      <c r="D1440" s="2" t="str">
        <f>IFERROR(__xludf.DUMMYFUNCTION("IF(C1440&lt;&gt;"""", GOOGLETRANSLATE(C1440, ""en"", ""te""),"""")"),"")</f>
        <v/>
      </c>
      <c r="E1440" s="2" t="s">
        <v>935</v>
      </c>
      <c r="F1440" s="2" t="str">
        <f>IFERROR(__xludf.DUMMYFUNCTION("IF(E1440&lt;&gt;"""", GOOGLETRANSLATE(E1440, ""en"", ""te""),"""")"),"[ 'వంద (1259) లేకుండా ఒక కెరీర్ లో 17 వ అత్యధిక పరుగులు' '40 వ అత్యంత ఇన్నింగ్స్ ముందు మొదటి డక్ (15)', '18 వ కెరీర్ లో అత్యధిక వికెట్లు (101)', '14 వ ఇన్నింగ్స్ లో బెస్ట్ ఫిగర్స్ (6/36 ) ',' 17 వ ఒక సిరీస్లో అత్యధిక వికెట్లు (23) ',' 1st ఒక క్యాలెండర్ సం"&amp;"వత్సరంలో అత్యధిక వికెట్లు (37) ',' 9 వ అత్యుత్తమ బౌలింగ్ ఇన్నింగ్స్ లో విశ్లేషించడం (6/36) ',' ఒక ఇన్నింగ్స్ లో 9 వ బెస్ట్ ఫిగర్స్ ఒక కెప్టెన్తో (4) ',' 3 వ ఒక ఇన్నింగ్స్ లోని బెస్ట్ ఫిగర్స్ ఉన్నప్పుడు పరాజయం వైపు (5) ',' 1 వ ఉత్తమ కెరీర్ సమ్మె రేటు (26."&amp;"8) ',' 13 వ చెత్త కెరీర్లో ఆర్థిక రేటు (4.51) ',' 2 వ అత్యంత ఐదు వికెట్లు-ఇన్-ఒక-ఇన్నింగ్స్ కెరీర్లో (5) ',' 4 వ అత్యంత నాలుగు వికెట్లు-ఇన్-ఒక-ఇన్నింగ్స్ కెరీర్లో (8) ',' 3 వ వరుస నాలుగు వికెట్లు-ఇన్-ఒక-ఇన్నింగ్స్ (2) ',' ఐదు వికెట్ల లో-ఒక-ఇన్నింగ్స్ 35 వ"&amp;" కెరీర్ (2041) లో సాధించిన అత్యధిక పరుగులు పడుతుంది 7 వ పిన్న ఆటగాడు (19y 69d) ',' ',' 20 వ బౌలర్ / ఫీల్డర్ కలయికలు (13) ',' (7) ',' 6 వ అత్యధిక వికెట్లు ఒక ఫీల్డర్ చేత క్యాచ్ తీసుకున్న 9 వ అత్యంత ఆకర్షించింది తీసుకోబడిన వికెట్ల (70) ',' 16 వ అత్యధిక వికె"&amp;"ట్లు ఆకర్షించింది తీసుకున్న మరియు బౌల్డ్ (64) ',' 10 వ అత్యధిక వికెట్లు స్టంప్ (13 తీసుకున్న ) ',' 25 వ అత్యంత వికెట్ తేడాతో వరుస కెరీర్లో క్యాచ్లు (36) ',' 8 వ అత్యధిక క్యాచ్లు (11) ',' 6 వ అత్యధిక భాగస్వామ్యాల (6) ',' ఆరవ వికెట్కు 1st అత్యధిక భాగస్వామ్య"&amp;"ం (142) ', '45 వ పిన్న క్రీడాకారులు (16y 245d)', '48 వ అత్యధిక మ్యాచ్లు కెప్టెన్గా (16)', '9 వ పిన్న కాప్టెన్ (21y 124d)']")</f>
        <v>[ 'వంద (1259) లేకుండా ఒక కెరీర్ లో 17 వ అత్యధిక పరుగులు' '40 వ అత్యంత ఇన్నింగ్స్ ముందు మొదటి డక్ (15)', '18 వ కెరీర్ లో అత్యధిక వికెట్లు (101)', '14 వ ఇన్నింగ్స్ లో బెస్ట్ ఫిగర్స్ (6/36 ) ',' 17 వ ఒక సిరీస్లో అత్యధిక వికెట్లు (23) ',' 1st ఒక క్యాలెండర్ సంవత్సరంలో అత్యధిక వికెట్లు (37) ',' 9 వ అత్యుత్తమ బౌలింగ్ ఇన్నింగ్స్ లో విశ్లేషించడం (6/36) ',' ఒక ఇన్నింగ్స్ లో 9 వ బెస్ట్ ఫిగర్స్ ఒక కెప్టెన్తో (4) ',' 3 వ ఒక ఇన్నింగ్స్ లోని బెస్ట్ ఫిగర్స్ ఉన్నప్పుడు పరాజయం వైపు (5) ',' 1 వ ఉత్తమ కెరీర్ సమ్మె రేటు (26.8) ',' 13 వ చెత్త కెరీర్లో ఆర్థిక రేటు (4.51) ',' 2 వ అత్యంత ఐదు వికెట్లు-ఇన్-ఒక-ఇన్నింగ్స్ కెరీర్లో (5) ',' 4 వ అత్యంత నాలుగు వికెట్లు-ఇన్-ఒక-ఇన్నింగ్స్ కెరీర్లో (8) ',' 3 వ వరుస నాలుగు వికెట్లు-ఇన్-ఒక-ఇన్నింగ్స్ (2) ',' ఐదు వికెట్ల లో-ఒక-ఇన్నింగ్స్ 35 వ కెరీర్ (2041) లో సాధించిన అత్యధిక పరుగులు పడుతుంది 7 వ పిన్న ఆటగాడు (19y 69d) ',' ',' 20 వ బౌలర్ / ఫీల్డర్ కలయికలు (13) ',' (7) ',' 6 వ అత్యధిక వికెట్లు ఒక ఫీల్డర్ చేత క్యాచ్ తీసుకున్న 9 వ అత్యంత ఆకర్షించింది తీసుకోబడిన వికెట్ల (70) ',' 16 వ అత్యధిక వికెట్లు ఆకర్షించింది తీసుకున్న మరియు బౌల్డ్ (64) ',' 10 వ అత్యధిక వికెట్లు స్టంప్ (13 తీసుకున్న ) ',' 25 వ అత్యంత వికెట్ తేడాతో వరుస కెరీర్లో క్యాచ్లు (36) ',' 8 వ అత్యధిక క్యాచ్లు (11) ',' 6 వ అత్యధిక భాగస్వామ్యాల (6) ',' ఆరవ వికెట్కు 1st అత్యధిక భాగస్వామ్యం (142) ', '45 వ పిన్న క్రీడాకారులు (16y 245d)', '48 వ అత్యధిక మ్యాచ్లు కెప్టెన్గా (16)', '9 వ పిన్న కాప్టెన్ (21y 124d)']</v>
      </c>
      <c r="G1440" s="2" t="s">
        <v>936</v>
      </c>
      <c r="H1440" s="2" t="str">
        <f>IFERROR(__xludf.DUMMYFUNCTION("IF(G1440&lt;&gt;"""", GOOGLETRANSLATE(G1440, ""en"", ""te""),"""")"),"[ '46 వ కెరీర్ లో అత్యధిక పరుగులు (843)', '6 వ ఇన్నింగ్స్ లో అత్యధిక పరుగులు (బ్యాటింగ్ స్థానంలో ప్రకారం) (19 *)', '26th కెరీర్ అర్ధ (4)', '28th మొదటి డక్ ముందు అత్యంత ఇన్నింగ్స్ (16 ) ',' 11 వ కెరీర్ బాతులు (7) ',' 45 వ కెరీర్ లో అత్యధిక వికెట్లు (47) ',"&amp;"' 15 వ ఉత్తమ ఇన్నింగ్స్ (5/8) ',' 9 వ అత్యుత్తమ బౌలింగ్ ఇన్నింగ్స్ విశ్లేషణలలో లో సంఖ్యలు (5 / 8) ',' 33 వ ఉత్తమ కెరీర్ సమ్మె రేటు (19.5) ',' 9 వ చెత్త కెరీర్లో ఆర్థిక రేటు (6.57) ',' ఇన్నింగ్స్ లో 33 వ చెత్త ఆర్థిక రేటు (14.50) ',' 4 వ అత్యంత నాలుగు వికె"&amp;"ట్లు ఇన్ an- ఒక వృత్తిలో ఇన్నింగ్స్ (3) ',' 44 వ కెరీర్ లో బౌల్డ్ చాలా బంతుల్లో (918) ',' 38 వ అత్యధిక పరుగులు కెరీర్లో సాధించిన (1006) ',' 34 వ బౌలర్ / ఫీల్డర్ కలయికలు (8) ',' 30 వ అత్యధిక వికెట్లు ఆకర్షించింది తీసుకున్న (31) ',' 4 వ అత్యధిక వికెట్లు తీస"&amp;"ుకున్న క్యాచ్ మరియు బౌల్డ్ (6) ',' 30 వ అత్యధిక వికెట్లు (27) ',' 32 వ అత్యధిక వికెట్లు కెరీర్లో తీసుకున్న స్టంప్ (6) ',' 20 వ అత్యధిక క్యాచ్లు (ఫీల్డర్ చేత క్యాచ్ తీసుకున్న 28) ',' ఇన్నింగ్స్ లో 3 వ అత్యధిక క్యాచ్లు (3) మూడవ వికెట్కు ',' 19 వ అత్యధిక భాగ"&amp;"స్వామ్యం (96) ',' 9 వ అత్యధిక పదవ వికెట్కు భాగస్వామ్యానికి (18 *) ',' 39 వ కెరీర్ లో అత్యధిక మ్యాచ్లు (80) ',' 31 కెప్టెన్గా అత్యధిక మ్యాచ్లు (15) ',' 49 వ పిన్న కాప్టెన్ (23y 130d) ']")</f>
        <v>[ '46 వ కెరీర్ లో అత్యధిక పరుగులు (843)', '6 వ ఇన్నింగ్స్ లో అత్యధిక పరుగులు (బ్యాటింగ్ స్థానంలో ప్రకారం) (19 *)', '26th కెరీర్ అర్ధ (4)', '28th మొదటి డక్ ముందు అత్యంత ఇన్నింగ్స్ (16 ) ',' 11 వ కెరీర్ బాతులు (7) ',' 45 వ కెరీర్ లో అత్యధిక వికెట్లు (47) ',' 15 వ ఉత్తమ ఇన్నింగ్స్ (5/8) ',' 9 వ అత్యుత్తమ బౌలింగ్ ఇన్నింగ్స్ విశ్లేషణలలో లో సంఖ్యలు (5 / 8) ',' 33 వ ఉత్తమ కెరీర్ సమ్మె రేటు (19.5) ',' 9 వ చెత్త కెరీర్లో ఆర్థిక రేటు (6.57) ',' ఇన్నింగ్స్ లో 33 వ చెత్త ఆర్థిక రేటు (14.50) ',' 4 వ అత్యంత నాలుగు వికెట్లు ఇన్ an- ఒక వృత్తిలో ఇన్నింగ్స్ (3) ',' 44 వ కెరీర్ లో బౌల్డ్ చాలా బంతుల్లో (918) ',' 38 వ అత్యధిక పరుగులు కెరీర్లో సాధించిన (1006) ',' 34 వ బౌలర్ / ఫీల్డర్ కలయికలు (8) ',' 30 వ అత్యధిక వికెట్లు ఆకర్షించింది తీసుకున్న (31) ',' 4 వ అత్యధిక వికెట్లు తీసుకున్న క్యాచ్ మరియు బౌల్డ్ (6) ',' 30 వ అత్యధిక వికెట్లు (27) ',' 32 వ అత్యధిక వికెట్లు కెరీర్లో తీసుకున్న స్టంప్ (6) ',' 20 వ అత్యధిక క్యాచ్లు (ఫీల్డర్ చేత క్యాచ్ తీసుకున్న 28) ',' ఇన్నింగ్స్ లో 3 వ అత్యధిక క్యాచ్లు (3) మూడవ వికెట్కు ',' 19 వ అత్యధిక భాగస్వామ్యం (96) ',' 9 వ అత్యధిక పదవ వికెట్కు భాగస్వామ్యానికి (18 *) ',' 39 వ కెరీర్ లో అత్యధిక మ్యాచ్లు (80) ',' 31 కెప్టెన్గా అత్యధిక మ్యాచ్లు (15) ',' 49 వ పిన్న కాప్టెన్ (23y 130d) ']</v>
      </c>
      <c r="I1440" s="3"/>
    </row>
    <row r="1441" customHeight="1" spans="1:9">
      <c r="A1441" s="2"/>
      <c r="B1441" s="2" t="str">
        <f>IFERROR(__xludf.DUMMYFUNCTION("IF(A1441&lt;&gt;"""", GOOGLETRANSLATE(A1441, ""en"", ""te""),"""")"),"")</f>
        <v/>
      </c>
      <c r="C1441" s="2"/>
      <c r="D1441" s="2" t="str">
        <f>IFERROR(__xludf.DUMMYFUNCTION("IF(C1441&lt;&gt;"""", GOOGLETRANSLATE(C1441, ""en"", ""te""),"""")"),"")</f>
        <v/>
      </c>
      <c r="E1441" s="2"/>
      <c r="F1441" s="2" t="str">
        <f>IFERROR(__xludf.DUMMYFUNCTION("IF(E1441&lt;&gt;"""", GOOGLETRANSLATE(E1441, ""en"", ""te""),"""")"),"")</f>
        <v/>
      </c>
      <c r="G1441" s="2"/>
      <c r="H1441" s="2" t="str">
        <f>IFERROR(__xludf.DUMMYFUNCTION("IF(G1441&lt;&gt;"""", GOOGLETRANSLATE(G1441, ""en"", ""te""),"""")"),"")</f>
        <v/>
      </c>
      <c r="I1441" s="3"/>
    </row>
    <row r="1442" customHeight="1" spans="1:9">
      <c r="A1442" s="2"/>
      <c r="B1442" s="2" t="str">
        <f>IFERROR(__xludf.DUMMYFUNCTION("IF(A1442&lt;&gt;"""", GOOGLETRANSLATE(A1442, ""en"", ""te""),"""")"),"")</f>
        <v/>
      </c>
      <c r="C1442" s="2"/>
      <c r="D1442" s="2" t="str">
        <f>IFERROR(__xludf.DUMMYFUNCTION("IF(C1442&lt;&gt;"""", GOOGLETRANSLATE(C1442, ""en"", ""te""),"""")"),"")</f>
        <v/>
      </c>
      <c r="E1442" s="2"/>
      <c r="F1442" s="2" t="str">
        <f>IFERROR(__xludf.DUMMYFUNCTION("IF(E1442&lt;&gt;"""", GOOGLETRANSLATE(E1442, ""en"", ""te""),"""")"),"")</f>
        <v/>
      </c>
      <c r="G1442" s="2"/>
      <c r="H1442" s="2" t="str">
        <f>IFERROR(__xludf.DUMMYFUNCTION("IF(G1442&lt;&gt;"""", GOOGLETRANSLATE(G1442, ""en"", ""te""),"""")"),"")</f>
        <v/>
      </c>
      <c r="I1442" s="3"/>
    </row>
    <row r="1443" customHeight="1" spans="1:9">
      <c r="A1443" s="2"/>
      <c r="B1443" s="2" t="str">
        <f>IFERROR(__xludf.DUMMYFUNCTION("IF(A1443&lt;&gt;"""", GOOGLETRANSLATE(A1443, ""en"", ""te""),"""")"),"")</f>
        <v/>
      </c>
      <c r="C1443" s="2"/>
      <c r="D1443" s="2" t="str">
        <f>IFERROR(__xludf.DUMMYFUNCTION("IF(C1443&lt;&gt;"""", GOOGLETRANSLATE(C1443, ""en"", ""te""),"""")"),"")</f>
        <v/>
      </c>
      <c r="E1443" s="2"/>
      <c r="F1443" s="2" t="str">
        <f>IFERROR(__xludf.DUMMYFUNCTION("IF(E1443&lt;&gt;"""", GOOGLETRANSLATE(E1443, ""en"", ""te""),"""")"),"")</f>
        <v/>
      </c>
      <c r="G1443" s="2"/>
      <c r="H1443" s="2" t="str">
        <f>IFERROR(__xludf.DUMMYFUNCTION("IF(G1443&lt;&gt;"""", GOOGLETRANSLATE(G1443, ""en"", ""te""),"""")"),"")</f>
        <v/>
      </c>
      <c r="I1443" s="3"/>
    </row>
    <row r="1444" customHeight="1" spans="1:9">
      <c r="A1444" s="2"/>
      <c r="B1444" s="2" t="str">
        <f>IFERROR(__xludf.DUMMYFUNCTION("IF(A1444&lt;&gt;"""", GOOGLETRANSLATE(A1444, ""en"", ""te""),"""")"),"")</f>
        <v/>
      </c>
      <c r="C1444" s="2"/>
      <c r="D1444" s="2" t="str">
        <f>IFERROR(__xludf.DUMMYFUNCTION("IF(C1444&lt;&gt;"""", GOOGLETRANSLATE(C1444, ""en"", ""te""),"""")"),"")</f>
        <v/>
      </c>
      <c r="E1444" s="2"/>
      <c r="F1444" s="2" t="str">
        <f>IFERROR(__xludf.DUMMYFUNCTION("IF(E1444&lt;&gt;"""", GOOGLETRANSLATE(E1444, ""en"", ""te""),"""")"),"")</f>
        <v/>
      </c>
      <c r="G1444" s="2"/>
      <c r="H1444" s="2" t="str">
        <f>IFERROR(__xludf.DUMMYFUNCTION("IF(G1444&lt;&gt;"""", GOOGLETRANSLATE(G1444, ""en"", ""te""),"""")"),"")</f>
        <v/>
      </c>
      <c r="I1444" s="3"/>
    </row>
    <row r="1445" customHeight="1" spans="1:9">
      <c r="A1445" s="2"/>
      <c r="B1445" s="2" t="str">
        <f>IFERROR(__xludf.DUMMYFUNCTION("IF(A1445&lt;&gt;"""", GOOGLETRANSLATE(A1445, ""en"", ""te""),"""")"),"")</f>
        <v/>
      </c>
      <c r="C1445" s="2"/>
      <c r="D1445" s="2" t="str">
        <f>IFERROR(__xludf.DUMMYFUNCTION("IF(C1445&lt;&gt;"""", GOOGLETRANSLATE(C1445, ""en"", ""te""),"""")"),"")</f>
        <v/>
      </c>
      <c r="E1445" s="2"/>
      <c r="F1445" s="2" t="str">
        <f>IFERROR(__xludf.DUMMYFUNCTION("IF(E1445&lt;&gt;"""", GOOGLETRANSLATE(E1445, ""en"", ""te""),"""")"),"")</f>
        <v/>
      </c>
      <c r="G1445" s="2"/>
      <c r="H1445" s="2" t="str">
        <f>IFERROR(__xludf.DUMMYFUNCTION("IF(G1445&lt;&gt;"""", GOOGLETRANSLATE(G1445, ""en"", ""te""),"""")"),"")</f>
        <v/>
      </c>
      <c r="I1445" s="3"/>
    </row>
    <row r="1446" customHeight="1" spans="1:9">
      <c r="A1446" s="2"/>
      <c r="B1446" s="2" t="str">
        <f>IFERROR(__xludf.DUMMYFUNCTION("IF(A1446&lt;&gt;"""", GOOGLETRANSLATE(A1446, ""en"", ""te""),"""")"),"")</f>
        <v/>
      </c>
      <c r="C1446" s="2"/>
      <c r="D1446" s="2" t="str">
        <f>IFERROR(__xludf.DUMMYFUNCTION("IF(C1446&lt;&gt;"""", GOOGLETRANSLATE(C1446, ""en"", ""te""),"""")"),"")</f>
        <v/>
      </c>
      <c r="E1446" s="2"/>
      <c r="F1446" s="2" t="str">
        <f>IFERROR(__xludf.DUMMYFUNCTION("IF(E1446&lt;&gt;"""", GOOGLETRANSLATE(E1446, ""en"", ""te""),"""")"),"")</f>
        <v/>
      </c>
      <c r="G1446" s="2"/>
      <c r="H1446" s="2" t="str">
        <f>IFERROR(__xludf.DUMMYFUNCTION("IF(G1446&lt;&gt;"""", GOOGLETRANSLATE(G1446, ""en"", ""te""),"""")"),"")</f>
        <v/>
      </c>
      <c r="I1446" s="3"/>
    </row>
    <row r="1447" customHeight="1" spans="1:9">
      <c r="A1447" s="2"/>
      <c r="B1447" s="2" t="str">
        <f>IFERROR(__xludf.DUMMYFUNCTION("IF(A1447&lt;&gt;"""", GOOGLETRANSLATE(A1447, ""en"", ""te""),"""")"),"")</f>
        <v/>
      </c>
      <c r="C1447" s="2"/>
      <c r="D1447" s="2" t="str">
        <f>IFERROR(__xludf.DUMMYFUNCTION("IF(C1447&lt;&gt;"""", GOOGLETRANSLATE(C1447, ""en"", ""te""),"""")"),"")</f>
        <v/>
      </c>
      <c r="E1447" s="2"/>
      <c r="F1447" s="2" t="str">
        <f>IFERROR(__xludf.DUMMYFUNCTION("IF(E1447&lt;&gt;"""", GOOGLETRANSLATE(E1447, ""en"", ""te""),"""")"),"")</f>
        <v/>
      </c>
      <c r="G1447" s="2"/>
      <c r="H1447" s="2" t="str">
        <f>IFERROR(__xludf.DUMMYFUNCTION("IF(G1447&lt;&gt;"""", GOOGLETRANSLATE(G1447, ""en"", ""te""),"""")"),"")</f>
        <v/>
      </c>
      <c r="I1447" s="3"/>
    </row>
    <row r="1448" customHeight="1" spans="1:9">
      <c r="A1448" s="2"/>
      <c r="B1448" s="2" t="str">
        <f>IFERROR(__xludf.DUMMYFUNCTION("IF(A1448&lt;&gt;"""", GOOGLETRANSLATE(A1448, ""en"", ""te""),"""")"),"")</f>
        <v/>
      </c>
      <c r="C1448" s="2"/>
      <c r="D1448" s="2" t="str">
        <f>IFERROR(__xludf.DUMMYFUNCTION("IF(C1448&lt;&gt;"""", GOOGLETRANSLATE(C1448, ""en"", ""te""),"""")"),"")</f>
        <v/>
      </c>
      <c r="E1448" s="2"/>
      <c r="F1448" s="2" t="str">
        <f>IFERROR(__xludf.DUMMYFUNCTION("IF(E1448&lt;&gt;"""", GOOGLETRANSLATE(E1448, ""en"", ""te""),"""")"),"")</f>
        <v/>
      </c>
      <c r="G1448" s="2"/>
      <c r="H1448" s="2" t="str">
        <f>IFERROR(__xludf.DUMMYFUNCTION("IF(G1448&lt;&gt;"""", GOOGLETRANSLATE(G1448, ""en"", ""te""),"""")"),"")</f>
        <v/>
      </c>
      <c r="I1448" s="3"/>
    </row>
    <row r="1449" customHeight="1" spans="1:9">
      <c r="A1449" s="2"/>
      <c r="B1449" s="2" t="str">
        <f>IFERROR(__xludf.DUMMYFUNCTION("IF(A1449&lt;&gt;"""", GOOGLETRANSLATE(A1449, ""en"", ""te""),"""")"),"")</f>
        <v/>
      </c>
      <c r="C1449" s="2" t="s">
        <v>937</v>
      </c>
      <c r="D1449" s="2" t="str">
        <f>IFERROR(__xludf.DUMMYFUNCTION("IF(C1449&lt;&gt;"""", GOOGLETRANSLATE(C1449, ""en"", ""te""),"""")"),"[ '19 షార్టేస్ట్ నివసించారు క్రీడాకారులు (29y 181d)']")</f>
        <v>[ '19 షార్టేస్ట్ నివసించారు క్రీడాకారులు (29y 181d)']</v>
      </c>
      <c r="E1449" s="2"/>
      <c r="F1449" s="2" t="str">
        <f>IFERROR(__xludf.DUMMYFUNCTION("IF(E1449&lt;&gt;"""", GOOGLETRANSLATE(E1449, ""en"", ""te""),"""")"),"")</f>
        <v/>
      </c>
      <c r="G1449" s="2"/>
      <c r="H1449" s="2" t="str">
        <f>IFERROR(__xludf.DUMMYFUNCTION("IF(G1449&lt;&gt;"""", GOOGLETRANSLATE(G1449, ""en"", ""te""),"""")"),"")</f>
        <v/>
      </c>
      <c r="I1449" s="3"/>
    </row>
    <row r="1450" customHeight="1" spans="1:9">
      <c r="A1450" s="2"/>
      <c r="B1450" s="2" t="str">
        <f>IFERROR(__xludf.DUMMYFUNCTION("IF(A1450&lt;&gt;"""", GOOGLETRANSLATE(A1450, ""en"", ""te""),"""")"),"")</f>
        <v/>
      </c>
      <c r="C1450" s="2"/>
      <c r="D1450" s="2" t="str">
        <f>IFERROR(__xludf.DUMMYFUNCTION("IF(C1450&lt;&gt;"""", GOOGLETRANSLATE(C1450, ""en"", ""te""),"""")"),"")</f>
        <v/>
      </c>
      <c r="E1450" s="2"/>
      <c r="F1450" s="2" t="str">
        <f>IFERROR(__xludf.DUMMYFUNCTION("IF(E1450&lt;&gt;"""", GOOGLETRANSLATE(E1450, ""en"", ""te""),"""")"),"")</f>
        <v/>
      </c>
      <c r="G1450" s="2"/>
      <c r="H1450" s="2" t="str">
        <f>IFERROR(__xludf.DUMMYFUNCTION("IF(G1450&lt;&gt;"""", GOOGLETRANSLATE(G1450, ""en"", ""te""),"""")"),"")</f>
        <v/>
      </c>
      <c r="I1450" s="3"/>
    </row>
    <row r="1451" customHeight="1" spans="1:9">
      <c r="A1451" s="2"/>
      <c r="B1451" s="2" t="str">
        <f>IFERROR(__xludf.DUMMYFUNCTION("IF(A1451&lt;&gt;"""", GOOGLETRANSLATE(A1451, ""en"", ""te""),"""")"),"")</f>
        <v/>
      </c>
      <c r="C1451" s="2"/>
      <c r="D1451" s="2" t="str">
        <f>IFERROR(__xludf.DUMMYFUNCTION("IF(C1451&lt;&gt;"""", GOOGLETRANSLATE(C1451, ""en"", ""te""),"""")"),"")</f>
        <v/>
      </c>
      <c r="E1451" s="2"/>
      <c r="F1451" s="2" t="str">
        <f>IFERROR(__xludf.DUMMYFUNCTION("IF(E1451&lt;&gt;"""", GOOGLETRANSLATE(E1451, ""en"", ""te""),"""")"),"")</f>
        <v/>
      </c>
      <c r="G1451" s="2"/>
      <c r="H1451" s="2" t="str">
        <f>IFERROR(__xludf.DUMMYFUNCTION("IF(G1451&lt;&gt;"""", GOOGLETRANSLATE(G1451, ""en"", ""te""),"""")"),"")</f>
        <v/>
      </c>
      <c r="I1451" s="3"/>
    </row>
    <row r="1452" customHeight="1" spans="1:9">
      <c r="A1452" s="2"/>
      <c r="B1452" s="2" t="str">
        <f>IFERROR(__xludf.DUMMYFUNCTION("IF(A1452&lt;&gt;"""", GOOGLETRANSLATE(A1452, ""en"", ""te""),"""")"),"")</f>
        <v/>
      </c>
      <c r="C1452" s="2"/>
      <c r="D1452" s="2" t="str">
        <f>IFERROR(__xludf.DUMMYFUNCTION("IF(C1452&lt;&gt;"""", GOOGLETRANSLATE(C1452, ""en"", ""te""),"""")"),"")</f>
        <v/>
      </c>
      <c r="E1452" s="2"/>
      <c r="F1452" s="2" t="str">
        <f>IFERROR(__xludf.DUMMYFUNCTION("IF(E1452&lt;&gt;"""", GOOGLETRANSLATE(E1452, ""en"", ""te""),"""")"),"")</f>
        <v/>
      </c>
      <c r="G1452" s="2"/>
      <c r="H1452" s="2" t="str">
        <f>IFERROR(__xludf.DUMMYFUNCTION("IF(G1452&lt;&gt;"""", GOOGLETRANSLATE(G1452, ""en"", ""te""),"""")"),"")</f>
        <v/>
      </c>
      <c r="I1452" s="3"/>
    </row>
    <row r="1453" customHeight="1" spans="1:9">
      <c r="A1453" s="2"/>
      <c r="B1453" s="2" t="str">
        <f>IFERROR(__xludf.DUMMYFUNCTION("IF(A1453&lt;&gt;"""", GOOGLETRANSLATE(A1453, ""en"", ""te""),"""")"),"")</f>
        <v/>
      </c>
      <c r="C1453" s="2"/>
      <c r="D1453" s="2" t="str">
        <f>IFERROR(__xludf.DUMMYFUNCTION("IF(C1453&lt;&gt;"""", GOOGLETRANSLATE(C1453, ""en"", ""te""),"""")"),"")</f>
        <v/>
      </c>
      <c r="E1453" s="2"/>
      <c r="F1453" s="2" t="str">
        <f>IFERROR(__xludf.DUMMYFUNCTION("IF(E1453&lt;&gt;"""", GOOGLETRANSLATE(E1453, ""en"", ""te""),"""")"),"")</f>
        <v/>
      </c>
      <c r="G1453" s="2"/>
      <c r="H1453" s="2" t="str">
        <f>IFERROR(__xludf.DUMMYFUNCTION("IF(G1453&lt;&gt;"""", GOOGLETRANSLATE(G1453, ""en"", ""te""),"""")"),"")</f>
        <v/>
      </c>
      <c r="I1453" s="3"/>
    </row>
    <row r="1454" customHeight="1" spans="1:9">
      <c r="A1454" s="2"/>
      <c r="B1454" s="2" t="str">
        <f>IFERROR(__xludf.DUMMYFUNCTION("IF(A1454&lt;&gt;"""", GOOGLETRANSLATE(A1454, ""en"", ""te""),"""")"),"")</f>
        <v/>
      </c>
      <c r="C1454" s="2"/>
      <c r="D1454" s="2" t="str">
        <f>IFERROR(__xludf.DUMMYFUNCTION("IF(C1454&lt;&gt;"""", GOOGLETRANSLATE(C1454, ""en"", ""te""),"""")"),"")</f>
        <v/>
      </c>
      <c r="E1454" s="2"/>
      <c r="F1454" s="2" t="str">
        <f>IFERROR(__xludf.DUMMYFUNCTION("IF(E1454&lt;&gt;"""", GOOGLETRANSLATE(E1454, ""en"", ""te""),"""")"),"")</f>
        <v/>
      </c>
      <c r="G1454" s="2"/>
      <c r="H1454" s="2" t="str">
        <f>IFERROR(__xludf.DUMMYFUNCTION("IF(G1454&lt;&gt;"""", GOOGLETRANSLATE(G1454, ""en"", ""te""),"""")"),"")</f>
        <v/>
      </c>
      <c r="I1454" s="3"/>
    </row>
    <row r="1455" customHeight="1" spans="1:9">
      <c r="A1455" s="2" t="s">
        <v>938</v>
      </c>
      <c r="B1455" s="2" t="str">
        <f>IFERROR(__xludf.DUMMYFUNCTION("IF(A1455&lt;&gt;"""", GOOGLETRANSLATE(A1455, ""en"", ""te""),"""")"),"[ '8 వ అత్యంత ఇన్నింగ్స్ లో నడుస్తుంది (బ్యాటింగ్ స్థానం) (311 *)', 'హండ్రెడ్ ఒక మ్యాచ్లో ప్రతి ఇన్నింగ్స్లో', 'హండ్రెడ్ మరియు ఒక మ్యాచ్లో తొంభై', 'హండ్రెడ్ మరియు ఒక మ్యాచ్లో ఒక డక్', ' 6 వ లాంగెస్ట్ వ్యక్తిగత ఇన్నింగ్స్ (నిమిషాలు) (790) ',' 5000 పరుగులు"&amp;" మరియు 50 ఫీల్డింగ్ వికెట్లు ',' మూడో వికెట్కు 6 వ అత్యధిక భాగస్వామ్యం (377 *) ',' 6 వ అత్యంత ప్లేయర్ ఆఫ్ ది సిరీస్ అవార్డులు (7) ',' 6 వ ఒక వృత్తిలో అత్యధిక వందలు (27) ',' 10 వ అత్యంత ఇన్నింగ్స్ తొలి డక్ ముందు (49) ',' ఫాస్టెస్ట్ 7000 పరుగులు (150) ',' 2"&amp;" వ అత్యధిక క్యాచ్లు ఒక ఇన్నింగ్స్ లో 1 వ (4) ',' 5000 పరుగులు మరియు 50 ఫీల్డింగ్ వికెట్లు ',' మూడో వికెట్కు 2 వ అత్యధిక భాగస్వామ్యం (247) ',' 10 వ పరాజయం వైపు ఒక మ్యాచ్లో అత్యధిక పరుగులు (97 *) ',' వరుస ఇన్నింగ్స్లో 3 వ యాభైల్లో (3) ',' 3 వ అత్యంత ఒక ఇన"&amp;"్నింగ్స్ లో ఒక ప్రత్యామ్నాయంగా ద్వారా పట్టుకొని (2) ',' 5 వ ఒక క్యాలెండర్ సంవత్సరంలో అత్యధిక వందలు (10) ']")</f>
        <v>[ '8 వ అత్యంత ఇన్నింగ్స్ లో నడుస్తుంది (బ్యాటింగ్ స్థానం) (311 *)', 'హండ్రెడ్ ఒక మ్యాచ్లో ప్రతి ఇన్నింగ్స్లో', 'హండ్రెడ్ మరియు ఒక మ్యాచ్లో తొంభై', 'హండ్రెడ్ మరియు ఒక మ్యాచ్లో ఒక డక్', ' 6 వ లాంగెస్ట్ వ్యక్తిగత ఇన్నింగ్స్ (నిమిషాలు) (790) ',' 5000 పరుగులు మరియు 50 ఫీల్డింగ్ వికెట్లు ',' మూడో వికెట్కు 6 వ అత్యధిక భాగస్వామ్యం (377 *) ',' 6 వ అత్యంత ప్లేయర్ ఆఫ్ ది సిరీస్ అవార్డులు (7) ',' 6 వ ఒక వృత్తిలో అత్యధిక వందలు (27) ',' 10 వ అత్యంత ఇన్నింగ్స్ తొలి డక్ ముందు (49) ',' ఫాస్టెస్ట్ 7000 పరుగులు (150) ',' 2 వ అత్యధిక క్యాచ్లు ఒక ఇన్నింగ్స్ లో 1 వ (4) ',' 5000 పరుగులు మరియు 50 ఫీల్డింగ్ వికెట్లు ',' మూడో వికెట్కు 2 వ అత్యధిక భాగస్వామ్యం (247) ',' 10 వ పరాజయం వైపు ఒక మ్యాచ్లో అత్యధిక పరుగులు (97 *) ',' వరుస ఇన్నింగ్స్లో 3 వ యాభైల్లో (3) ',' 3 వ అత్యంత ఒక ఇన్నింగ్స్ లో ఒక ప్రత్యామ్నాయంగా ద్వారా పట్టుకొని (2) ',' 5 వ ఒక క్యాలెండర్ సంవత్సరంలో అత్యధిక వందలు (10) ']</v>
      </c>
      <c r="C1455" s="2" t="s">
        <v>939</v>
      </c>
      <c r="D1455" s="2" t="str">
        <f>IFERROR(__xludf.DUMMYFUNCTION("IF(C1455&lt;&gt;"""", GOOGLETRANSLATE(C1455, ""en"", ""te""),"""")"),"[ 'ఇన్నింగ్స్ (311 *) లో 22 వ అత్యధిక పరుగులు' '14 వ అత్యధిక కెరీర్ లో పరుగులు (9282)', 'ఒక మ్యాచ్లో 39 వ అత్యధిక పరుగులు (311)', '43 వ ఒక క్యాలెండర్ సంవత్సరంలో అత్యధిక పరుగులు (1249)', '23 వ అత్యధిక పరుగులు ఒకే నేలపై (1356)', '15 వ అత్యంత' (237) పరాజయం "&amp;"వైపు ఒక మ్యాచ్లో 18 వ అత్యధిక పరుగులు '' ఇన్నింగ్స్ లో 8 వ అత్యధిక పరుగులు (బ్యాటింగ్ స్థానంలో ప్రకారం) (311 *) ', ఒక వృత్తిలో వందల (28) ',' ఒక కెరీర్ లో 17 వ అత్యధిక డబుల్ సెంచరీలు (4) ',' ఒక వృత్తిలో 5 వ అత్యధిక ట్రిపుల్ సెంచరీలు (1) ',' 19 ఒక క్యాలెండ"&amp;"ర్ సంవత్సరంలో అత్యధిక వందలు (5) ',' 5 వ వందవ మ్యాచ్లో వరుస ఇన్నింగ్స్లో వందల (3) ',' 9 వ హండ్రెడ్ (134) ',' 15 వ కెరీర్ అర్ధ (69) ',' వరుస ఇన్నింగ్స్లో 32 వ యాభైల్లో (5) ',' వరుస మ్యాచ్లలో 26 యాభైల్లో (7 ) ',' ఒక డక్ లేకుండా 21 వరుస ఇన్నింగ్స్ (65) ',' "&amp;"12 వ కెరీర్ ఫోర్లు (1170) ',' 36 వ అత్యంత ఇన్నింగ్స్ లో ఫోర్లు (35) ',' 6 వ లాంగెస్ట్ వ్యక్తిగత ఇన్నింగ్స్ (నిమిషాలు) (790 ) ',' 28th లాంగెస్ట్ వ్యక్తిగత ఇన్నింగ్స్ (బంతులతో) (529) ',' 42 వ 4000 పరుగులు (వేగంగా 92) ',' 28th 5000 పరుగులు (109) ', '21 వ Fas"&amp;" వేగంగా పరీక్షకు 6000 పరుగులు (128) ',' 27th 7000 పరుగులు (152) ',' 20 వ వేగంగా వేగంగా 8000 పరుగులు (178) ',' కెరీర్ లో 9000 పరుగులు (204) ',' 32 వ అత్యధిక క్యాచ్లు 11 వ వేగంగా (108 ) ',' ఏ వికెట్కు 25 అత్యధిక భాగస్వామ్యాల (377 *) ',' మూడో వికెట్ (377 *) "&amp;"6 వ అత్యధిక భాగస్వామ్యం ',' నాలుగవ వికెట్కు 17 అత్యధిక భాగస్వామ్యం (308) ',' 24th కెరీర్లో అత్యధిక మ్యాచ్లు ( ఒక జట్టు 124) ',' 24 వ వరుస మ్యాచ్లు (68) ',' 44 వ అత్యంత ప్లేయర్ ఆఫ్ ది సిరీస్ అవార్డులు (3) ']")</f>
        <v>[ 'ఇన్నింగ్స్ (311 *) లో 22 వ అత్యధిక పరుగులు' '14 వ అత్యధిక కెరీర్ లో పరుగులు (9282)', 'ఒక మ్యాచ్లో 39 వ అత్యధిక పరుగులు (311)', '43 వ ఒక క్యాలెండర్ సంవత్సరంలో అత్యధిక పరుగులు (1249)', '23 వ అత్యధిక పరుగులు ఒకే నేలపై (1356)', '15 వ అత్యంత' (237) పరాజయం వైపు ఒక మ్యాచ్లో 18 వ అత్యధిక పరుగులు '' ఇన్నింగ్స్ లో 8 వ అత్యధిక పరుగులు (బ్యాటింగ్ స్థానంలో ప్రకారం) (311 *) ', ఒక వృత్తిలో వందల (28) ',' ఒక కెరీర్ లో 17 వ అత్యధిక డబుల్ సెంచరీలు (4) ',' ఒక వృత్తిలో 5 వ అత్యధిక ట్రిపుల్ సెంచరీలు (1) ',' 19 ఒక క్యాలెండర్ సంవత్సరంలో అత్యధిక వందలు (5) ',' 5 వ వందవ మ్యాచ్లో వరుస ఇన్నింగ్స్లో వందల (3) ',' 9 వ హండ్రెడ్ (134) ',' 15 వ కెరీర్ అర్ధ (69) ',' వరుస ఇన్నింగ్స్లో 32 వ యాభైల్లో (5) ',' వరుస మ్యాచ్లలో 26 యాభైల్లో (7 ) ',' ఒక డక్ లేకుండా 21 వరుస ఇన్నింగ్స్ (65) ',' 12 వ కెరీర్ ఫోర్లు (1170) ',' 36 వ అత్యంత ఇన్నింగ్స్ లో ఫోర్లు (35) ',' 6 వ లాంగెస్ట్ వ్యక్తిగత ఇన్నింగ్స్ (నిమిషాలు) (790 ) ',' 28th లాంగెస్ట్ వ్యక్తిగత ఇన్నింగ్స్ (బంతులతో) (529) ',' 42 వ 4000 పరుగులు (వేగంగా 92) ',' 28th 5000 పరుగులు (109) ', '21 వ Fas వేగంగా పరీక్షకు 6000 పరుగులు (128) ',' 27th 7000 పరుగులు (152) ',' 20 వ వేగంగా వేగంగా 8000 పరుగులు (178) ',' కెరీర్ లో 9000 పరుగులు (204) ',' 32 వ అత్యధిక క్యాచ్లు 11 వ వేగంగా (108 ) ',' ఏ వికెట్కు 25 అత్యధిక భాగస్వామ్యాల (377 *) ',' మూడో వికెట్ (377 *) 6 వ అత్యధిక భాగస్వామ్యం ',' నాలుగవ వికెట్కు 17 అత్యధిక భాగస్వామ్యం (308) ',' 24th కెరీర్లో అత్యధిక మ్యాచ్లు ( ఒక జట్టు 124) ',' 24 వ వరుస మ్యాచ్లు (68) ',' 44 వ అత్యంత ప్లేయర్ ఆఫ్ ది సిరీస్ అవార్డులు (3) ']</v>
      </c>
      <c r="E1455" s="2" t="s">
        <v>940</v>
      </c>
      <c r="F1455" s="2" t="str">
        <f>IFERROR(__xludf.DUMMYFUNCTION("IF(E1455&lt;&gt;"""", GOOGLETRANSLATE(E1455, ""en"", ""te""),"""")"),"[ '29 వ అత్యధిక కెరీర్ లో పరుగులు (8113)', 'ఒక కెప్టెన్తో ఇన్నింగ్స్ లో 46 వ అత్యధిక పరుగులు (133)', '11 వ అత్యధిక కెరీర్ బ్యాటింగ్ సగటు (49.46)', '6 వ అత్యంత జీవితంలో వందల (27)', '11 వ ఒక క్యాలెండర్ సంవత్సరంలో అత్యధిక వందలు (5)', '35 వ అత్యధిక తొలి వంద ("&amp;"140)', '19 ఒక జట్టు (5) వ్యతిరేకంగా అత్యధిక వందలు' '33 వ అత్యంత వృద్ధ ఆటగాడు వంద (35y 294d) స్కోర్', ' (5) ',' 25 వ అత్యంత అర్ధ కెరీర్లో కెరీర్లో కెరీర్లో 22 వ అత్యంత తొంభైల (66) ',' వరుస ఇన్నింగ్స్లో 44 వ యాభైల్లో మొదటి డక్ (49) ',' 17 వ ముందు (4) ',' "&amp;"10 వ అత్యంత ఇన్నింగ్స్ అతి తక్కువ బాతులు (44.5) ',' 23 వ ఫోర్లు కెరీర్లో (822) ',' ఒక ఇన్నింగ్స్లో పరుగులు 31 అత్యధిక శాతం (56.11) ',' ఫాస్టెస్ట్ 1000 పరుగులు 11 (24) ',' 2000 పరుగులు వేగంగా 1st (40 ) ',' ఫాస్టెస్ట్ 3000 పరుగులు 5000 పరుగులు (101) ',' 1st"&amp;" వేగవంతమైన వరకు 6000 పరుగులు (123) కు 1st (57) ',' 4000 పరుగులు 1st వేగవంతమైన (81) ',' 1st వేగవంతమైన ',' 1st వేగంగా ఒక ఇన్నింగ్స్ లో 7000 పరుగులు (150) ',' 2nd 8000 వేగంగా పరుగులు (176) ',' 42 వ కెరీర్ లో అత్యధిక క్యాచ్లు (87) ',' 2 వ అత్యధిక క్యాచ్లు "&amp;"(4) ',' 28th హై ఏ వికెట్కు est పార్టనర్ షిప్ (247) ',' మొదటి వికెట్కు 13 వ అత్యధిక భాగస్వామ్యం (247) రెండో వికెట్కు (247) కోసం ',' 10 వ అత్యధిక భాగస్వామ్యం ',' మూడో వికెట్ (247) కోసం 2 వ అత్యధిక భాగస్వామ్యం ',' నాలుగో వికెట్కు (172 *) కోసం 33 వ అత్యధిక భ"&amp;"ాగస్వామ్యం ',' 40 వ అత్యంత ప్లేయర్ ఆఫ్ ది మ్యాచ్ అవార్డులు (18) ',' 6 వ అత్యంత ప్లేయర్ ఆఫ్ ది సిరీస్ అవార్డులు (7) ']")</f>
        <v>[ '29 వ అత్యధిక కెరీర్ లో పరుగులు (8113)', 'ఒక కెప్టెన్తో ఇన్నింగ్స్ లో 46 వ అత్యధిక పరుగులు (133)', '11 వ అత్యధిక కెరీర్ బ్యాటింగ్ సగటు (49.46)', '6 వ అత్యంత జీవితంలో వందల (27)', '11 వ ఒక క్యాలెండర్ సంవత్సరంలో అత్యధిక వందలు (5)', '35 వ అత్యధిక తొలి వంద (140)', '19 ఒక జట్టు (5) వ్యతిరేకంగా అత్యధిక వందలు' '33 వ అత్యంత వృద్ధ ఆటగాడు వంద (35y 294d) స్కోర్', ' (5) ',' 25 వ అత్యంత అర్ధ కెరీర్లో కెరీర్లో కెరీర్లో 22 వ అత్యంత తొంభైల (66) ',' వరుస ఇన్నింగ్స్లో 44 వ యాభైల్లో మొదటి డక్ (49) ',' 17 వ ముందు (4) ',' 10 వ అత్యంత ఇన్నింగ్స్ అతి తక్కువ బాతులు (44.5) ',' 23 వ ఫోర్లు కెరీర్లో (822) ',' ఒక ఇన్నింగ్స్లో పరుగులు 31 అత్యధిక శాతం (56.11) ',' ఫాస్టెస్ట్ 1000 పరుగులు 11 (24) ',' 2000 పరుగులు వేగంగా 1st (40 ) ',' ఫాస్టెస్ట్ 3000 పరుగులు 5000 పరుగులు (101) ',' 1st వేగవంతమైన వరకు 6000 పరుగులు (123) కు 1st (57) ',' 4000 పరుగులు 1st వేగవంతమైన (81) ',' 1st వేగవంతమైన ',' 1st వేగంగా ఒక ఇన్నింగ్స్ లో 7000 పరుగులు (150) ',' 2nd 8000 వేగంగా పరుగులు (176) ',' 42 వ కెరీర్ లో అత్యధిక క్యాచ్లు (87) ',' 2 వ అత్యధిక క్యాచ్లు (4) ',' 28th హై ఏ వికెట్కు est పార్టనర్ షిప్ (247) ',' మొదటి వికెట్కు 13 వ అత్యధిక భాగస్వామ్యం (247) రెండో వికెట్కు (247) కోసం ',' 10 వ అత్యధిక భాగస్వామ్యం ',' మూడో వికెట్ (247) కోసం 2 వ అత్యధిక భాగస్వామ్యం ',' నాలుగో వికెట్కు (172 *) కోసం 33 వ అత్యధిక భాగస్వామ్యం ',' 40 వ అత్యంత ప్లేయర్ ఆఫ్ ది మ్యాచ్ అవార్డులు (18) ',' 6 వ అత్యంత ప్లేయర్ ఆఫ్ ది సిరీస్ అవార్డులు (7) ']</v>
      </c>
      <c r="G1455" s="2" t="s">
        <v>941</v>
      </c>
      <c r="H1455" s="2" t="str">
        <f>IFERROR(__xludf.DUMMYFUNCTION("IF(G1455&lt;&gt;"""", GOOGLETRANSLATE(G1455, ""en"", ""te""),"""")"),"[ '47 వ కెరీర్ లో అత్యధిక పరుగులు (1277)', '45 వ ఇన్నింగ్స్ లో అత్యధిక పరుగులు (బ్యాటింగ్ స్థానంలో ప్రకారం) (97 *)', '10 వ కోల్పోకుండా వైపు ఒక మ్యాచ్లో అత్యధిక పరుగులు (97 *)', '20 వ అత్యధిక కెరీర్ బ్యాటింగ్ సగటు (33.60) ',' 32 వ కెరీర్ అర్ధ (8) ',' వరుస"&amp;" ఇన్నింగ్స్లో 3 వ యాభైల్లో కెరీర్లో (3) ',' 25 వ అతి తక్కువ బాతులు (22) ',' 23 వ కెరీర్ ఫోర్లు (146) ',' 31 ఇన్నింగ్స్ లో వచ్చిన ఎక్కువ ఫోర్లు (11) ',' 36 వ లాంగెస్ట్ వ్యక్తిగత ఇన్నింగ్స్ (బంతులతో) (62) ',' 16 వ ఇన్నింగ్స్ లో ఒక ప్రత్యామ్నాయంగా ద్వారా 10"&amp;"00 పరుగులు (37) ',' 3 వ అత్యధిక క్యాచ్లు వేగంగా ( 2) ']")</f>
        <v>[ '47 వ కెరీర్ లో అత్యధిక పరుగులు (1277)', '45 వ ఇన్నింగ్స్ లో అత్యధిక పరుగులు (బ్యాటింగ్ స్థానంలో ప్రకారం) (97 *)', '10 వ కోల్పోకుండా వైపు ఒక మ్యాచ్లో అత్యధిక పరుగులు (97 *)', '20 వ అత్యధిక కెరీర్ బ్యాటింగ్ సగటు (33.60) ',' 32 వ కెరీర్ అర్ధ (8) ',' వరుస ఇన్నింగ్స్లో 3 వ యాభైల్లో కెరీర్లో (3) ',' 25 వ అతి తక్కువ బాతులు (22) ',' 23 వ కెరీర్ ఫోర్లు (146) ',' 31 ఇన్నింగ్స్ లో వచ్చిన ఎక్కువ ఫోర్లు (11) ',' 36 వ లాంగెస్ట్ వ్యక్తిగత ఇన్నింగ్స్ (బంతులతో) (62) ',' 16 వ ఇన్నింగ్స్ లో ఒక ప్రత్యామ్నాయంగా ద్వారా 1000 పరుగులు (37) ',' 3 వ అత్యధిక క్యాచ్లు వేగంగా ( 2) ']</v>
      </c>
      <c r="I1455" s="3"/>
    </row>
    <row r="1456" customHeight="1" spans="1:9">
      <c r="A1456" s="2"/>
      <c r="B1456" s="2" t="str">
        <f>IFERROR(__xludf.DUMMYFUNCTION("IF(A1456&lt;&gt;"""", GOOGLETRANSLATE(A1456, ""en"", ""te""),"""")"),"")</f>
        <v/>
      </c>
      <c r="C1456" s="2"/>
      <c r="D1456" s="2" t="str">
        <f>IFERROR(__xludf.DUMMYFUNCTION("IF(C1456&lt;&gt;"""", GOOGLETRANSLATE(C1456, ""en"", ""te""),"""")"),"")</f>
        <v/>
      </c>
      <c r="E1456" s="2"/>
      <c r="F1456" s="2" t="str">
        <f>IFERROR(__xludf.DUMMYFUNCTION("IF(E1456&lt;&gt;"""", GOOGLETRANSLATE(E1456, ""en"", ""te""),"""")"),"")</f>
        <v/>
      </c>
      <c r="G1456" s="2"/>
      <c r="H1456" s="2" t="str">
        <f>IFERROR(__xludf.DUMMYFUNCTION("IF(G1456&lt;&gt;"""", GOOGLETRANSLATE(G1456, ""en"", ""te""),"""")"),"")</f>
        <v/>
      </c>
      <c r="I1456" s="3"/>
    </row>
    <row r="1457" customHeight="1" spans="1:9">
      <c r="A1457" s="2"/>
      <c r="B1457" s="2" t="str">
        <f>IFERROR(__xludf.DUMMYFUNCTION("IF(A1457&lt;&gt;"""", GOOGLETRANSLATE(A1457, ""en"", ""te""),"""")"),"")</f>
        <v/>
      </c>
      <c r="C1457" s="2"/>
      <c r="D1457" s="2" t="str">
        <f>IFERROR(__xludf.DUMMYFUNCTION("IF(C1457&lt;&gt;"""", GOOGLETRANSLATE(C1457, ""en"", ""te""),"""")"),"")</f>
        <v/>
      </c>
      <c r="E1457" s="2"/>
      <c r="F1457" s="2" t="str">
        <f>IFERROR(__xludf.DUMMYFUNCTION("IF(E1457&lt;&gt;"""", GOOGLETRANSLATE(E1457, ""en"", ""te""),"""")"),"")</f>
        <v/>
      </c>
      <c r="G1457" s="2"/>
      <c r="H1457" s="2" t="str">
        <f>IFERROR(__xludf.DUMMYFUNCTION("IF(G1457&lt;&gt;"""", GOOGLETRANSLATE(G1457, ""en"", ""te""),"""")"),"")</f>
        <v/>
      </c>
      <c r="I1457" s="3"/>
    </row>
    <row r="1458" customHeight="1" spans="1:9">
      <c r="A1458" s="2"/>
      <c r="B1458" s="2" t="str">
        <f>IFERROR(__xludf.DUMMYFUNCTION("IF(A1458&lt;&gt;"""", GOOGLETRANSLATE(A1458, ""en"", ""te""),"""")"),"")</f>
        <v/>
      </c>
      <c r="C1458" s="2"/>
      <c r="D1458" s="2" t="str">
        <f>IFERROR(__xludf.DUMMYFUNCTION("IF(C1458&lt;&gt;"""", GOOGLETRANSLATE(C1458, ""en"", ""te""),"""")"),"")</f>
        <v/>
      </c>
      <c r="E1458" s="2"/>
      <c r="F1458" s="2" t="str">
        <f>IFERROR(__xludf.DUMMYFUNCTION("IF(E1458&lt;&gt;"""", GOOGLETRANSLATE(E1458, ""en"", ""te""),"""")"),"")</f>
        <v/>
      </c>
      <c r="G1458" s="2"/>
      <c r="H1458" s="2" t="str">
        <f>IFERROR(__xludf.DUMMYFUNCTION("IF(G1458&lt;&gt;"""", GOOGLETRANSLATE(G1458, ""en"", ""te""),"""")"),"")</f>
        <v/>
      </c>
      <c r="I1458" s="3"/>
    </row>
    <row r="1459" customHeight="1" spans="1:9">
      <c r="A1459" s="2"/>
      <c r="B1459" s="2" t="str">
        <f>IFERROR(__xludf.DUMMYFUNCTION("IF(A1459&lt;&gt;"""", GOOGLETRANSLATE(A1459, ""en"", ""te""),"""")"),"")</f>
        <v/>
      </c>
      <c r="C1459" s="2"/>
      <c r="D1459" s="2" t="str">
        <f>IFERROR(__xludf.DUMMYFUNCTION("IF(C1459&lt;&gt;"""", GOOGLETRANSLATE(C1459, ""en"", ""te""),"""")"),"")</f>
        <v/>
      </c>
      <c r="E1459" s="2"/>
      <c r="F1459" s="2" t="str">
        <f>IFERROR(__xludf.DUMMYFUNCTION("IF(E1459&lt;&gt;"""", GOOGLETRANSLATE(E1459, ""en"", ""te""),"""")"),"")</f>
        <v/>
      </c>
      <c r="G1459" s="2"/>
      <c r="H1459" s="2" t="str">
        <f>IFERROR(__xludf.DUMMYFUNCTION("IF(G1459&lt;&gt;"""", GOOGLETRANSLATE(G1459, ""en"", ""te""),"""")"),"")</f>
        <v/>
      </c>
      <c r="I1459" s="3"/>
    </row>
    <row r="1460" customHeight="1" spans="1:9">
      <c r="A1460" s="2"/>
      <c r="B1460" s="2" t="str">
        <f>IFERROR(__xludf.DUMMYFUNCTION("IF(A1460&lt;&gt;"""", GOOGLETRANSLATE(A1460, ""en"", ""te""),"""")"),"")</f>
        <v/>
      </c>
      <c r="C1460" s="2"/>
      <c r="D1460" s="2" t="str">
        <f>IFERROR(__xludf.DUMMYFUNCTION("IF(C1460&lt;&gt;"""", GOOGLETRANSLATE(C1460, ""en"", ""te""),"""")"),"")</f>
        <v/>
      </c>
      <c r="E1460" s="2"/>
      <c r="F1460" s="2" t="str">
        <f>IFERROR(__xludf.DUMMYFUNCTION("IF(E1460&lt;&gt;"""", GOOGLETRANSLATE(E1460, ""en"", ""te""),"""")"),"")</f>
        <v/>
      </c>
      <c r="G1460" s="2"/>
      <c r="H1460" s="2" t="str">
        <f>IFERROR(__xludf.DUMMYFUNCTION("IF(G1460&lt;&gt;"""", GOOGLETRANSLATE(G1460, ""en"", ""te""),"""")"),"")</f>
        <v/>
      </c>
      <c r="I1460" s="3"/>
    </row>
    <row r="1461" customHeight="1" spans="1:9">
      <c r="A1461" s="2"/>
      <c r="B1461" s="2" t="str">
        <f>IFERROR(__xludf.DUMMYFUNCTION("IF(A1461&lt;&gt;"""", GOOGLETRANSLATE(A1461, ""en"", ""te""),"""")"),"")</f>
        <v/>
      </c>
      <c r="C1461" s="2"/>
      <c r="D1461" s="2" t="str">
        <f>IFERROR(__xludf.DUMMYFUNCTION("IF(C1461&lt;&gt;"""", GOOGLETRANSLATE(C1461, ""en"", ""te""),"""")"),"")</f>
        <v/>
      </c>
      <c r="E1461" s="2"/>
      <c r="F1461" s="2" t="str">
        <f>IFERROR(__xludf.DUMMYFUNCTION("IF(E1461&lt;&gt;"""", GOOGLETRANSLATE(E1461, ""en"", ""te""),"""")"),"")</f>
        <v/>
      </c>
      <c r="G1461" s="2"/>
      <c r="H1461" s="2" t="str">
        <f>IFERROR(__xludf.DUMMYFUNCTION("IF(G1461&lt;&gt;"""", GOOGLETRANSLATE(G1461, ""en"", ""te""),"""")"),"")</f>
        <v/>
      </c>
      <c r="I1461" s="3"/>
    </row>
    <row r="1462" customHeight="1" spans="1:9">
      <c r="A1462" s="2"/>
      <c r="B1462" s="2" t="str">
        <f>IFERROR(__xludf.DUMMYFUNCTION("IF(A1462&lt;&gt;"""", GOOGLETRANSLATE(A1462, ""en"", ""te""),"""")"),"")</f>
        <v/>
      </c>
      <c r="C1462" s="2"/>
      <c r="D1462" s="2" t="str">
        <f>IFERROR(__xludf.DUMMYFUNCTION("IF(C1462&lt;&gt;"""", GOOGLETRANSLATE(C1462, ""en"", ""te""),"""")"),"")</f>
        <v/>
      </c>
      <c r="E1462" s="2"/>
      <c r="F1462" s="2" t="str">
        <f>IFERROR(__xludf.DUMMYFUNCTION("IF(E1462&lt;&gt;"""", GOOGLETRANSLATE(E1462, ""en"", ""te""),"""")"),"")</f>
        <v/>
      </c>
      <c r="G1462" s="2"/>
      <c r="H1462" s="2" t="str">
        <f>IFERROR(__xludf.DUMMYFUNCTION("IF(G1462&lt;&gt;"""", GOOGLETRANSLATE(G1462, ""en"", ""te""),"""")"),"")</f>
        <v/>
      </c>
      <c r="I1462" s="3"/>
    </row>
    <row r="1463" customHeight="1" spans="1:9">
      <c r="A1463" s="2"/>
      <c r="B1463" s="2" t="str">
        <f>IFERROR(__xludf.DUMMYFUNCTION("IF(A1463&lt;&gt;"""", GOOGLETRANSLATE(A1463, ""en"", ""te""),"""")"),"")</f>
        <v/>
      </c>
      <c r="C1463" s="2"/>
      <c r="D1463" s="2" t="str">
        <f>IFERROR(__xludf.DUMMYFUNCTION("IF(C1463&lt;&gt;"""", GOOGLETRANSLATE(C1463, ""en"", ""te""),"""")"),"")</f>
        <v/>
      </c>
      <c r="E1463" s="2"/>
      <c r="F1463" s="2" t="str">
        <f>IFERROR(__xludf.DUMMYFUNCTION("IF(E1463&lt;&gt;"""", GOOGLETRANSLATE(E1463, ""en"", ""te""),"""")"),"")</f>
        <v/>
      </c>
      <c r="G1463" s="2"/>
      <c r="H1463" s="2" t="str">
        <f>IFERROR(__xludf.DUMMYFUNCTION("IF(G1463&lt;&gt;"""", GOOGLETRANSLATE(G1463, ""en"", ""te""),"""")"),"")</f>
        <v/>
      </c>
      <c r="I1463" s="3"/>
    </row>
    <row r="1464" customHeight="1" spans="1:9">
      <c r="A1464" s="2"/>
      <c r="B1464" s="2" t="str">
        <f>IFERROR(__xludf.DUMMYFUNCTION("IF(A1464&lt;&gt;"""", GOOGLETRANSLATE(A1464, ""en"", ""te""),"""")"),"")</f>
        <v/>
      </c>
      <c r="C1464" s="2"/>
      <c r="D1464" s="2" t="str">
        <f>IFERROR(__xludf.DUMMYFUNCTION("IF(C1464&lt;&gt;"""", GOOGLETRANSLATE(C1464, ""en"", ""te""),"""")"),"")</f>
        <v/>
      </c>
      <c r="E1464" s="2"/>
      <c r="F1464" s="2" t="str">
        <f>IFERROR(__xludf.DUMMYFUNCTION("IF(E1464&lt;&gt;"""", GOOGLETRANSLATE(E1464, ""en"", ""te""),"""")"),"")</f>
        <v/>
      </c>
      <c r="G1464" s="2"/>
      <c r="H1464" s="2" t="str">
        <f>IFERROR(__xludf.DUMMYFUNCTION("IF(G1464&lt;&gt;"""", GOOGLETRANSLATE(G1464, ""en"", ""te""),"""")"),"")</f>
        <v/>
      </c>
      <c r="I1464" s="3"/>
    </row>
    <row r="1465" customHeight="1" spans="1:9">
      <c r="A1465" s="2"/>
      <c r="B1465" s="2" t="str">
        <f>IFERROR(__xludf.DUMMYFUNCTION("IF(A1465&lt;&gt;"""", GOOGLETRANSLATE(A1465, ""en"", ""te""),"""")"),"")</f>
        <v/>
      </c>
      <c r="C1465" s="2"/>
      <c r="D1465" s="2" t="str">
        <f>IFERROR(__xludf.DUMMYFUNCTION("IF(C1465&lt;&gt;"""", GOOGLETRANSLATE(C1465, ""en"", ""te""),"""")"),"")</f>
        <v/>
      </c>
      <c r="E1465" s="2"/>
      <c r="F1465" s="2" t="str">
        <f>IFERROR(__xludf.DUMMYFUNCTION("IF(E1465&lt;&gt;"""", GOOGLETRANSLATE(E1465, ""en"", ""te""),"""")"),"")</f>
        <v/>
      </c>
      <c r="G1465" s="2"/>
      <c r="H1465" s="2" t="str">
        <f>IFERROR(__xludf.DUMMYFUNCTION("IF(G1465&lt;&gt;"""", GOOGLETRANSLATE(G1465, ""en"", ""te""),"""")"),"")</f>
        <v/>
      </c>
      <c r="I1465" s="3"/>
    </row>
    <row r="1466" customHeight="1" spans="1:9">
      <c r="A1466" s="2"/>
      <c r="B1466" s="2" t="str">
        <f>IFERROR(__xludf.DUMMYFUNCTION("IF(A1466&lt;&gt;"""", GOOGLETRANSLATE(A1466, ""en"", ""te""),"""")"),"")</f>
        <v/>
      </c>
      <c r="C1466" s="2"/>
      <c r="D1466" s="2" t="str">
        <f>IFERROR(__xludf.DUMMYFUNCTION("IF(C1466&lt;&gt;"""", GOOGLETRANSLATE(C1466, ""en"", ""te""),"""")"),"")</f>
        <v/>
      </c>
      <c r="E1466" s="2"/>
      <c r="F1466" s="2" t="str">
        <f>IFERROR(__xludf.DUMMYFUNCTION("IF(E1466&lt;&gt;"""", GOOGLETRANSLATE(E1466, ""en"", ""te""),"""")"),"")</f>
        <v/>
      </c>
      <c r="G1466" s="2"/>
      <c r="H1466" s="2" t="str">
        <f>IFERROR(__xludf.DUMMYFUNCTION("IF(G1466&lt;&gt;"""", GOOGLETRANSLATE(G1466, ""en"", ""te""),"""")"),"")</f>
        <v/>
      </c>
      <c r="I1466" s="3"/>
    </row>
    <row r="1467" customHeight="1" spans="1:9">
      <c r="A1467" s="2" t="s">
        <v>942</v>
      </c>
      <c r="B1467" s="2" t="str">
        <f>IFERROR(__xludf.DUMMYFUNCTION("IF(A1467&lt;&gt;"""", GOOGLETRANSLATE(A1467, ""en"", ""te""),"""")"),"[ 'వరుస 2nd అత్యంత బాతులు (5)']")</f>
        <v>[ 'వరుస 2nd అత్యంత బాతులు (5)']</v>
      </c>
      <c r="C1467" s="2" t="s">
        <v>943</v>
      </c>
      <c r="D1467" s="2" t="str">
        <f>IFERROR(__xludf.DUMMYFUNCTION("IF(C1467&lt;&gt;"""", GOOGLETRANSLATE(C1467, ""en"", ""te""),"""")"),"[ 'వరుస 2nd అత్యంత బాతులు (5)', '22 వ ఉత్తమ కెరీర్ బౌలింగ్ సరాసరి (21.10)']")</f>
        <v>[ 'వరుస 2nd అత్యంత బాతులు (5)', '22 వ ఉత్తమ కెరీర్ బౌలింగ్ సరాసరి (21.10)']</v>
      </c>
      <c r="E1467" s="2"/>
      <c r="F1467" s="2" t="str">
        <f>IFERROR(__xludf.DUMMYFUNCTION("IF(E1467&lt;&gt;"""", GOOGLETRANSLATE(E1467, ""en"", ""te""),"""")"),"")</f>
        <v/>
      </c>
      <c r="G1467" s="2"/>
      <c r="H1467" s="2" t="str">
        <f>IFERROR(__xludf.DUMMYFUNCTION("IF(G1467&lt;&gt;"""", GOOGLETRANSLATE(G1467, ""en"", ""te""),"""")"),"")</f>
        <v/>
      </c>
      <c r="I1467" s="3"/>
    </row>
    <row r="1468" customHeight="1" spans="1:9">
      <c r="A1468" s="2"/>
      <c r="B1468" s="2" t="str">
        <f>IFERROR(__xludf.DUMMYFUNCTION("IF(A1468&lt;&gt;"""", GOOGLETRANSLATE(A1468, ""en"", ""te""),"""")"),"")</f>
        <v/>
      </c>
      <c r="C1468" s="2"/>
      <c r="D1468" s="2" t="str">
        <f>IFERROR(__xludf.DUMMYFUNCTION("IF(C1468&lt;&gt;"""", GOOGLETRANSLATE(C1468, ""en"", ""te""),"""")"),"")</f>
        <v/>
      </c>
      <c r="E1468" s="2"/>
      <c r="F1468" s="2" t="str">
        <f>IFERROR(__xludf.DUMMYFUNCTION("IF(E1468&lt;&gt;"""", GOOGLETRANSLATE(E1468, ""en"", ""te""),"""")"),"")</f>
        <v/>
      </c>
      <c r="G1468" s="2"/>
      <c r="H1468" s="2" t="str">
        <f>IFERROR(__xludf.DUMMYFUNCTION("IF(G1468&lt;&gt;"""", GOOGLETRANSLATE(G1468, ""en"", ""te""),"""")"),"")</f>
        <v/>
      </c>
      <c r="I1468" s="3"/>
    </row>
    <row r="1469" customHeight="1" spans="1:9">
      <c r="A1469" s="2"/>
      <c r="B1469" s="2" t="str">
        <f>IFERROR(__xludf.DUMMYFUNCTION("IF(A1469&lt;&gt;"""", GOOGLETRANSLATE(A1469, ""en"", ""te""),"""")"),"")</f>
        <v/>
      </c>
      <c r="C1469" s="2"/>
      <c r="D1469" s="2" t="str">
        <f>IFERROR(__xludf.DUMMYFUNCTION("IF(C1469&lt;&gt;"""", GOOGLETRANSLATE(C1469, ""en"", ""te""),"""")"),"")</f>
        <v/>
      </c>
      <c r="E1469" s="2"/>
      <c r="F1469" s="2" t="str">
        <f>IFERROR(__xludf.DUMMYFUNCTION("IF(E1469&lt;&gt;"""", GOOGLETRANSLATE(E1469, ""en"", ""te""),"""")"),"")</f>
        <v/>
      </c>
      <c r="G1469" s="2"/>
      <c r="H1469" s="2" t="str">
        <f>IFERROR(__xludf.DUMMYFUNCTION("IF(G1469&lt;&gt;"""", GOOGLETRANSLATE(G1469, ""en"", ""te""),"""")"),"")</f>
        <v/>
      </c>
      <c r="I1469" s="3"/>
    </row>
    <row r="1470" customHeight="1" spans="1:9">
      <c r="A1470" s="2"/>
      <c r="B1470" s="2" t="str">
        <f>IFERROR(__xludf.DUMMYFUNCTION("IF(A1470&lt;&gt;"""", GOOGLETRANSLATE(A1470, ""en"", ""te""),"""")"),"")</f>
        <v/>
      </c>
      <c r="C1470" s="2"/>
      <c r="D1470" s="2" t="str">
        <f>IFERROR(__xludf.DUMMYFUNCTION("IF(C1470&lt;&gt;"""", GOOGLETRANSLATE(C1470, ""en"", ""te""),"""")"),"")</f>
        <v/>
      </c>
      <c r="E1470" s="2"/>
      <c r="F1470" s="2" t="str">
        <f>IFERROR(__xludf.DUMMYFUNCTION("IF(E1470&lt;&gt;"""", GOOGLETRANSLATE(E1470, ""en"", ""te""),"""")"),"")</f>
        <v/>
      </c>
      <c r="G1470" s="2"/>
      <c r="H1470" s="2" t="str">
        <f>IFERROR(__xludf.DUMMYFUNCTION("IF(G1470&lt;&gt;"""", GOOGLETRANSLATE(G1470, ""en"", ""te""),"""")"),"")</f>
        <v/>
      </c>
      <c r="I1470" s="3"/>
    </row>
    <row r="1471" customHeight="1" spans="1:9">
      <c r="A1471" s="2" t="s">
        <v>944</v>
      </c>
      <c r="B1471" s="2" t="str">
        <f>IFERROR(__xludf.DUMMYFUNCTION("IF(A1471&lt;&gt;"""", GOOGLETRANSLATE(A1471, ""en"", ""te""),"""")"),"[ 'తొలి ఇన్నింగ్స్లో 9 వ బెస్ట్ ఫిగర్స్ (7)', '4 వ అత్యధిక పరుగులు ఇన్నింగ్స్ లో సాధించిన (68)']")</f>
        <v>[ 'తొలి ఇన్నింగ్స్లో 9 వ బెస్ట్ ఫిగర్స్ (7)', '4 వ అత్యధిక పరుగులు ఇన్నింగ్స్ లో సాధించిన (68)']</v>
      </c>
      <c r="C1471" s="2" t="s">
        <v>945</v>
      </c>
      <c r="D1471" s="2" t="str">
        <f>IFERROR(__xludf.DUMMYFUNCTION("IF(C1471&lt;&gt;"""", GOOGLETRANSLATE(C1471, ""en"", ""te""),"""")"),"[ '45 వ ఉత్తమ కెరీర్ బౌలింగ్ సరాసరి (22.71)', 'తొలి ఇన్నింగ్స్లో 9 వ బెస్ట్ ఫిగర్స్ (7)', '17 వ ప్రవేశం (9) ఒక మ్యాచ్లో బెస్ట్ ఫిగర్స్']")</f>
        <v>[ '45 వ ఉత్తమ కెరీర్ బౌలింగ్ సరాసరి (22.71)', 'తొలి ఇన్నింగ్స్లో 9 వ బెస్ట్ ఫిగర్స్ (7)', '17 వ ప్రవేశం (9) ఒక మ్యాచ్లో బెస్ట్ ఫిగర్స్']</v>
      </c>
      <c r="E1471" s="2"/>
      <c r="F1471" s="2" t="str">
        <f>IFERROR(__xludf.DUMMYFUNCTION("IF(E1471&lt;&gt;"""", GOOGLETRANSLATE(E1471, ""en"", ""te""),"""")"),"")</f>
        <v/>
      </c>
      <c r="G1471" s="2" t="s">
        <v>946</v>
      </c>
      <c r="H1471" s="2" t="str">
        <f>IFERROR(__xludf.DUMMYFUNCTION("IF(G1471&lt;&gt;"""", GOOGLETRANSLATE(G1471, ""en"", ""te""),"""")"),"[ '4 వ అత్యంత ఇన్నింగ్స్ లో సాధించిన పరుగులు (68)', '17 వ బౌలర్ / బ్యాట్స్ కలయికలు (3)', '48 వ అత్యధిక వికెట్లు ఒక వికెట్ కీపర్ చే కాట్ తీసుకోకూడదు (5)']")</f>
        <v>[ '4 వ అత్యంత ఇన్నింగ్స్ లో సాధించిన పరుగులు (68)', '17 వ బౌలర్ / బ్యాట్స్ కలయికలు (3)', '48 వ అత్యధిక వికెట్లు ఒక వికెట్ కీపర్ చే కాట్ తీసుకోకూడదు (5)']</v>
      </c>
      <c r="I1471" s="3"/>
    </row>
    <row r="1472" customHeight="1" spans="1:9">
      <c r="A1472" s="2"/>
      <c r="B1472" s="2" t="str">
        <f>IFERROR(__xludf.DUMMYFUNCTION("IF(A1472&lt;&gt;"""", GOOGLETRANSLATE(A1472, ""en"", ""te""),"""")"),"")</f>
        <v/>
      </c>
      <c r="C1472" s="2"/>
      <c r="D1472" s="2" t="str">
        <f>IFERROR(__xludf.DUMMYFUNCTION("IF(C1472&lt;&gt;"""", GOOGLETRANSLATE(C1472, ""en"", ""te""),"""")"),"")</f>
        <v/>
      </c>
      <c r="E1472" s="2"/>
      <c r="F1472" s="2" t="str">
        <f>IFERROR(__xludf.DUMMYFUNCTION("IF(E1472&lt;&gt;"""", GOOGLETRANSLATE(E1472, ""en"", ""te""),"""")"),"")</f>
        <v/>
      </c>
      <c r="G1472" s="2"/>
      <c r="H1472" s="2" t="str">
        <f>IFERROR(__xludf.DUMMYFUNCTION("IF(G1472&lt;&gt;"""", GOOGLETRANSLATE(G1472, ""en"", ""te""),"""")"),"")</f>
        <v/>
      </c>
      <c r="I1472" s="3"/>
    </row>
    <row r="1473" customHeight="1" spans="1:9">
      <c r="A1473" s="2"/>
      <c r="B1473" s="2" t="str">
        <f>IFERROR(__xludf.DUMMYFUNCTION("IF(A1473&lt;&gt;"""", GOOGLETRANSLATE(A1473, ""en"", ""te""),"""")"),"")</f>
        <v/>
      </c>
      <c r="C1473" s="2" t="s">
        <v>947</v>
      </c>
      <c r="D1473" s="2" t="str">
        <f>IFERROR(__xludf.DUMMYFUNCTION("IF(C1473&lt;&gt;"""", GOOGLETRANSLATE(C1473, ""en"", ""te""),"""")"),"[ '24 ఒక ఇన్నింగ్స్ లోని బెస్ట్ ఫిగర్స్ ఉన్నప్పుడు పరాజయం వైపు (7)', 'ఐదు వికెట్ల లో-ఒక-ఇన్నింగ్స్ (19y 323d) పడుతుంది 28 పిన్న ఆటగాడు', '17 వ అత్యధిక వికెట్లు ఆకర్షించింది తీసుకున్న మరియు బౌల్డ్ (10) ']")</f>
        <v>[ '24 ఒక ఇన్నింగ్స్ లోని బెస్ట్ ఫిగర్స్ ఉన్నప్పుడు పరాజయం వైపు (7)', 'ఐదు వికెట్ల లో-ఒక-ఇన్నింగ్స్ (19y 323d) పడుతుంది 28 పిన్న ఆటగాడు', '17 వ అత్యధిక వికెట్లు ఆకర్షించింది తీసుకున్న మరియు బౌల్డ్ (10) ']</v>
      </c>
      <c r="E1473" s="2"/>
      <c r="F1473" s="2" t="str">
        <f>IFERROR(__xludf.DUMMYFUNCTION("IF(E1473&lt;&gt;"""", GOOGLETRANSLATE(E1473, ""en"", ""te""),"""")"),"")</f>
        <v/>
      </c>
      <c r="G1473" s="2"/>
      <c r="H1473" s="2" t="str">
        <f>IFERROR(__xludf.DUMMYFUNCTION("IF(G1473&lt;&gt;"""", GOOGLETRANSLATE(G1473, ""en"", ""te""),"""")"),"")</f>
        <v/>
      </c>
      <c r="I1473" s="3"/>
    </row>
    <row r="1474" customHeight="1" spans="1:9">
      <c r="A1474" s="2"/>
      <c r="B1474" s="2" t="str">
        <f>IFERROR(__xludf.DUMMYFUNCTION("IF(A1474&lt;&gt;"""", GOOGLETRANSLATE(A1474, ""en"", ""te""),"""")"),"")</f>
        <v/>
      </c>
      <c r="C1474" s="2"/>
      <c r="D1474" s="2" t="str">
        <f>IFERROR(__xludf.DUMMYFUNCTION("IF(C1474&lt;&gt;"""", GOOGLETRANSLATE(C1474, ""en"", ""te""),"""")"),"")</f>
        <v/>
      </c>
      <c r="E1474" s="2"/>
      <c r="F1474" s="2" t="str">
        <f>IFERROR(__xludf.DUMMYFUNCTION("IF(E1474&lt;&gt;"""", GOOGLETRANSLATE(E1474, ""en"", ""te""),"""")"),"")</f>
        <v/>
      </c>
      <c r="G1474" s="2"/>
      <c r="H1474" s="2" t="str">
        <f>IFERROR(__xludf.DUMMYFUNCTION("IF(G1474&lt;&gt;"""", GOOGLETRANSLATE(G1474, ""en"", ""te""),"""")"),"")</f>
        <v/>
      </c>
      <c r="I1474" s="3"/>
    </row>
    <row r="1475" customHeight="1" spans="1:9">
      <c r="A1475" s="2"/>
      <c r="B1475" s="2" t="str">
        <f>IFERROR(__xludf.DUMMYFUNCTION("IF(A1475&lt;&gt;"""", GOOGLETRANSLATE(A1475, ""en"", ""te""),"""")"),"")</f>
        <v/>
      </c>
      <c r="C1475" s="2"/>
      <c r="D1475" s="2" t="str">
        <f>IFERROR(__xludf.DUMMYFUNCTION("IF(C1475&lt;&gt;"""", GOOGLETRANSLATE(C1475, ""en"", ""te""),"""")"),"")</f>
        <v/>
      </c>
      <c r="E1475" s="2"/>
      <c r="F1475" s="2" t="str">
        <f>IFERROR(__xludf.DUMMYFUNCTION("IF(E1475&lt;&gt;"""", GOOGLETRANSLATE(E1475, ""en"", ""te""),"""")"),"")</f>
        <v/>
      </c>
      <c r="G1475" s="2"/>
      <c r="H1475" s="2" t="str">
        <f>IFERROR(__xludf.DUMMYFUNCTION("IF(G1475&lt;&gt;"""", GOOGLETRANSLATE(G1475, ""en"", ""te""),"""")"),"")</f>
        <v/>
      </c>
      <c r="I1475" s="3"/>
    </row>
    <row r="1476" customHeight="1" spans="1:9">
      <c r="A1476" s="2"/>
      <c r="B1476" s="2" t="str">
        <f>IFERROR(__xludf.DUMMYFUNCTION("IF(A1476&lt;&gt;"""", GOOGLETRANSLATE(A1476, ""en"", ""te""),"""")"),"")</f>
        <v/>
      </c>
      <c r="C1476" s="2"/>
      <c r="D1476" s="2" t="str">
        <f>IFERROR(__xludf.DUMMYFUNCTION("IF(C1476&lt;&gt;"""", GOOGLETRANSLATE(C1476, ""en"", ""te""),"""")"),"")</f>
        <v/>
      </c>
      <c r="E1476" s="2"/>
      <c r="F1476" s="2" t="str">
        <f>IFERROR(__xludf.DUMMYFUNCTION("IF(E1476&lt;&gt;"""", GOOGLETRANSLATE(E1476, ""en"", ""te""),"""")"),"")</f>
        <v/>
      </c>
      <c r="G1476" s="2"/>
      <c r="H1476" s="2" t="str">
        <f>IFERROR(__xludf.DUMMYFUNCTION("IF(G1476&lt;&gt;"""", GOOGLETRANSLATE(G1476, ""en"", ""te""),"""")"),"")</f>
        <v/>
      </c>
      <c r="I1476" s="3"/>
    </row>
    <row r="1477" customHeight="1" spans="1:9">
      <c r="A1477" s="2"/>
      <c r="B1477" s="2" t="str">
        <f>IFERROR(__xludf.DUMMYFUNCTION("IF(A1477&lt;&gt;"""", GOOGLETRANSLATE(A1477, ""en"", ""te""),"""")"),"")</f>
        <v/>
      </c>
      <c r="C1477" s="2"/>
      <c r="D1477" s="2" t="str">
        <f>IFERROR(__xludf.DUMMYFUNCTION("IF(C1477&lt;&gt;"""", GOOGLETRANSLATE(C1477, ""en"", ""te""),"""")"),"")</f>
        <v/>
      </c>
      <c r="E1477" s="2"/>
      <c r="F1477" s="2" t="str">
        <f>IFERROR(__xludf.DUMMYFUNCTION("IF(E1477&lt;&gt;"""", GOOGLETRANSLATE(E1477, ""en"", ""te""),"""")"),"")</f>
        <v/>
      </c>
      <c r="G1477" s="2"/>
      <c r="H1477" s="2" t="str">
        <f>IFERROR(__xludf.DUMMYFUNCTION("IF(G1477&lt;&gt;"""", GOOGLETRANSLATE(G1477, ""en"", ""te""),"""")"),"")</f>
        <v/>
      </c>
      <c r="I1477" s="3"/>
    </row>
    <row r="1478" customHeight="1" spans="1:9">
      <c r="A1478" s="2"/>
      <c r="B1478" s="2" t="str">
        <f>IFERROR(__xludf.DUMMYFUNCTION("IF(A1478&lt;&gt;"""", GOOGLETRANSLATE(A1478, ""en"", ""te""),"""")"),"")</f>
        <v/>
      </c>
      <c r="C1478" s="2"/>
      <c r="D1478" s="2" t="str">
        <f>IFERROR(__xludf.DUMMYFUNCTION("IF(C1478&lt;&gt;"""", GOOGLETRANSLATE(C1478, ""en"", ""te""),"""")"),"")</f>
        <v/>
      </c>
      <c r="E1478" s="2"/>
      <c r="F1478" s="2" t="str">
        <f>IFERROR(__xludf.DUMMYFUNCTION("IF(E1478&lt;&gt;"""", GOOGLETRANSLATE(E1478, ""en"", ""te""),"""")"),"")</f>
        <v/>
      </c>
      <c r="G1478" s="2"/>
      <c r="H1478" s="2" t="str">
        <f>IFERROR(__xludf.DUMMYFUNCTION("IF(G1478&lt;&gt;"""", GOOGLETRANSLATE(G1478, ""en"", ""te""),"""")"),"")</f>
        <v/>
      </c>
      <c r="I1478" s="3"/>
    </row>
    <row r="1479" customHeight="1" spans="1:9">
      <c r="A1479" s="2"/>
      <c r="B1479" s="2" t="str">
        <f>IFERROR(__xludf.DUMMYFUNCTION("IF(A1479&lt;&gt;"""", GOOGLETRANSLATE(A1479, ""en"", ""te""),"""")"),"")</f>
        <v/>
      </c>
      <c r="C1479" s="2"/>
      <c r="D1479" s="2" t="str">
        <f>IFERROR(__xludf.DUMMYFUNCTION("IF(C1479&lt;&gt;"""", GOOGLETRANSLATE(C1479, ""en"", ""te""),"""")"),"")</f>
        <v/>
      </c>
      <c r="E1479" s="2"/>
      <c r="F1479" s="2" t="str">
        <f>IFERROR(__xludf.DUMMYFUNCTION("IF(E1479&lt;&gt;"""", GOOGLETRANSLATE(E1479, ""en"", ""te""),"""")"),"")</f>
        <v/>
      </c>
      <c r="G1479" s="2"/>
      <c r="H1479" s="2" t="str">
        <f>IFERROR(__xludf.DUMMYFUNCTION("IF(G1479&lt;&gt;"""", GOOGLETRANSLATE(G1479, ""en"", ""te""),"""")"),"")</f>
        <v/>
      </c>
      <c r="I1479" s="3"/>
    </row>
    <row r="1480" customHeight="1" spans="1:9">
      <c r="A1480" s="2"/>
      <c r="B1480" s="2" t="str">
        <f>IFERROR(__xludf.DUMMYFUNCTION("IF(A1480&lt;&gt;"""", GOOGLETRANSLATE(A1480, ""en"", ""te""),"""")"),"")</f>
        <v/>
      </c>
      <c r="C1480" s="2"/>
      <c r="D1480" s="2" t="str">
        <f>IFERROR(__xludf.DUMMYFUNCTION("IF(C1480&lt;&gt;"""", GOOGLETRANSLATE(C1480, ""en"", ""te""),"""")"),"")</f>
        <v/>
      </c>
      <c r="E1480" s="2"/>
      <c r="F1480" s="2" t="str">
        <f>IFERROR(__xludf.DUMMYFUNCTION("IF(E1480&lt;&gt;"""", GOOGLETRANSLATE(E1480, ""en"", ""te""),"""")"),"")</f>
        <v/>
      </c>
      <c r="G1480" s="2"/>
      <c r="H1480" s="2" t="str">
        <f>IFERROR(__xludf.DUMMYFUNCTION("IF(G1480&lt;&gt;"""", GOOGLETRANSLATE(G1480, ""en"", ""te""),"""")"),"")</f>
        <v/>
      </c>
      <c r="I1480" s="3"/>
    </row>
    <row r="1481" customHeight="1" spans="1:9">
      <c r="A1481" s="2"/>
      <c r="B1481" s="2" t="str">
        <f>IFERROR(__xludf.DUMMYFUNCTION("IF(A1481&lt;&gt;"""", GOOGLETRANSLATE(A1481, ""en"", ""te""),"""")"),"")</f>
        <v/>
      </c>
      <c r="C1481" s="2"/>
      <c r="D1481" s="2" t="str">
        <f>IFERROR(__xludf.DUMMYFUNCTION("IF(C1481&lt;&gt;"""", GOOGLETRANSLATE(C1481, ""en"", ""te""),"""")"),"")</f>
        <v/>
      </c>
      <c r="E1481" s="2"/>
      <c r="F1481" s="2" t="str">
        <f>IFERROR(__xludf.DUMMYFUNCTION("IF(E1481&lt;&gt;"""", GOOGLETRANSLATE(E1481, ""en"", ""te""),"""")"),"")</f>
        <v/>
      </c>
      <c r="G1481" s="2"/>
      <c r="H1481" s="2" t="str">
        <f>IFERROR(__xludf.DUMMYFUNCTION("IF(G1481&lt;&gt;"""", GOOGLETRANSLATE(G1481, ""en"", ""te""),"""")"),"")</f>
        <v/>
      </c>
      <c r="I1481" s="3"/>
    </row>
    <row r="1482" customHeight="1" spans="1:9">
      <c r="A1482" s="2"/>
      <c r="B1482" s="2" t="str">
        <f>IFERROR(__xludf.DUMMYFUNCTION("IF(A1482&lt;&gt;"""", GOOGLETRANSLATE(A1482, ""en"", ""te""),"""")"),"")</f>
        <v/>
      </c>
      <c r="C1482" s="2"/>
      <c r="D1482" s="2" t="str">
        <f>IFERROR(__xludf.DUMMYFUNCTION("IF(C1482&lt;&gt;"""", GOOGLETRANSLATE(C1482, ""en"", ""te""),"""")"),"")</f>
        <v/>
      </c>
      <c r="E1482" s="2"/>
      <c r="F1482" s="2" t="str">
        <f>IFERROR(__xludf.DUMMYFUNCTION("IF(E1482&lt;&gt;"""", GOOGLETRANSLATE(E1482, ""en"", ""te""),"""")"),"")</f>
        <v/>
      </c>
      <c r="G1482" s="2"/>
      <c r="H1482" s="2" t="str">
        <f>IFERROR(__xludf.DUMMYFUNCTION("IF(G1482&lt;&gt;"""", GOOGLETRANSLATE(G1482, ""en"", ""te""),"""")"),"")</f>
        <v/>
      </c>
      <c r="I1482" s="3"/>
    </row>
    <row r="1483" customHeight="1" spans="1:9">
      <c r="A1483" s="2"/>
      <c r="B1483" s="2" t="str">
        <f>IFERROR(__xludf.DUMMYFUNCTION("IF(A1483&lt;&gt;"""", GOOGLETRANSLATE(A1483, ""en"", ""te""),"""")"),"")</f>
        <v/>
      </c>
      <c r="C1483" s="2"/>
      <c r="D1483" s="2" t="str">
        <f>IFERROR(__xludf.DUMMYFUNCTION("IF(C1483&lt;&gt;"""", GOOGLETRANSLATE(C1483, ""en"", ""te""),"""")"),"")</f>
        <v/>
      </c>
      <c r="E1483" s="2"/>
      <c r="F1483" s="2" t="str">
        <f>IFERROR(__xludf.DUMMYFUNCTION("IF(E1483&lt;&gt;"""", GOOGLETRANSLATE(E1483, ""en"", ""te""),"""")"),"")</f>
        <v/>
      </c>
      <c r="G1483" s="2"/>
      <c r="H1483" s="2" t="str">
        <f>IFERROR(__xludf.DUMMYFUNCTION("IF(G1483&lt;&gt;"""", GOOGLETRANSLATE(G1483, ""en"", ""te""),"""")"),"")</f>
        <v/>
      </c>
      <c r="I1483" s="3"/>
    </row>
    <row r="1484" customHeight="1" spans="1:9">
      <c r="A1484" s="2"/>
      <c r="B1484" s="2" t="str">
        <f>IFERROR(__xludf.DUMMYFUNCTION("IF(A1484&lt;&gt;"""", GOOGLETRANSLATE(A1484, ""en"", ""te""),"""")"),"")</f>
        <v/>
      </c>
      <c r="C1484" s="2"/>
      <c r="D1484" s="2" t="str">
        <f>IFERROR(__xludf.DUMMYFUNCTION("IF(C1484&lt;&gt;"""", GOOGLETRANSLATE(C1484, ""en"", ""te""),"""")"),"")</f>
        <v/>
      </c>
      <c r="E1484" s="2"/>
      <c r="F1484" s="2" t="str">
        <f>IFERROR(__xludf.DUMMYFUNCTION("IF(E1484&lt;&gt;"""", GOOGLETRANSLATE(E1484, ""en"", ""te""),"""")"),"")</f>
        <v/>
      </c>
      <c r="G1484" s="2"/>
      <c r="H1484" s="2" t="str">
        <f>IFERROR(__xludf.DUMMYFUNCTION("IF(G1484&lt;&gt;"""", GOOGLETRANSLATE(G1484, ""en"", ""te""),"""")"),"")</f>
        <v/>
      </c>
      <c r="I1484" s="3"/>
    </row>
    <row r="1485" customHeight="1" spans="1:9">
      <c r="A1485" s="2"/>
      <c r="B1485" s="2" t="str">
        <f>IFERROR(__xludf.DUMMYFUNCTION("IF(A1485&lt;&gt;"""", GOOGLETRANSLATE(A1485, ""en"", ""te""),"""")"),"")</f>
        <v/>
      </c>
      <c r="C1485" s="2"/>
      <c r="D1485" s="2" t="str">
        <f>IFERROR(__xludf.DUMMYFUNCTION("IF(C1485&lt;&gt;"""", GOOGLETRANSLATE(C1485, ""en"", ""te""),"""")"),"")</f>
        <v/>
      </c>
      <c r="E1485" s="2"/>
      <c r="F1485" s="2" t="str">
        <f>IFERROR(__xludf.DUMMYFUNCTION("IF(E1485&lt;&gt;"""", GOOGLETRANSLATE(E1485, ""en"", ""te""),"""")"),"")</f>
        <v/>
      </c>
      <c r="G1485" s="2"/>
      <c r="H1485" s="2" t="str">
        <f>IFERROR(__xludf.DUMMYFUNCTION("IF(G1485&lt;&gt;"""", GOOGLETRANSLATE(G1485, ""en"", ""te""),"""")"),"")</f>
        <v/>
      </c>
      <c r="I1485" s="3"/>
    </row>
    <row r="1486" customHeight="1" spans="1:9">
      <c r="A1486" s="2"/>
      <c r="B1486" s="2" t="str">
        <f>IFERROR(__xludf.DUMMYFUNCTION("IF(A1486&lt;&gt;"""", GOOGLETRANSLATE(A1486, ""en"", ""te""),"""")"),"")</f>
        <v/>
      </c>
      <c r="C1486" s="2"/>
      <c r="D1486" s="2" t="str">
        <f>IFERROR(__xludf.DUMMYFUNCTION("IF(C1486&lt;&gt;"""", GOOGLETRANSLATE(C1486, ""en"", ""te""),"""")"),"")</f>
        <v/>
      </c>
      <c r="E1486" s="2"/>
      <c r="F1486" s="2" t="str">
        <f>IFERROR(__xludf.DUMMYFUNCTION("IF(E1486&lt;&gt;"""", GOOGLETRANSLATE(E1486, ""en"", ""te""),"""")"),"")</f>
        <v/>
      </c>
      <c r="G1486" s="2"/>
      <c r="H1486" s="2" t="str">
        <f>IFERROR(__xludf.DUMMYFUNCTION("IF(G1486&lt;&gt;"""", GOOGLETRANSLATE(G1486, ""en"", ""te""),"""")"),"")</f>
        <v/>
      </c>
      <c r="I1486" s="3"/>
    </row>
    <row r="1487" customHeight="1" spans="1:9">
      <c r="A1487" s="2"/>
      <c r="B1487" s="2" t="str">
        <f>IFERROR(__xludf.DUMMYFUNCTION("IF(A1487&lt;&gt;"""", GOOGLETRANSLATE(A1487, ""en"", ""te""),"""")"),"")</f>
        <v/>
      </c>
      <c r="C1487" s="2"/>
      <c r="D1487" s="2" t="str">
        <f>IFERROR(__xludf.DUMMYFUNCTION("IF(C1487&lt;&gt;"""", GOOGLETRANSLATE(C1487, ""en"", ""te""),"""")"),"")</f>
        <v/>
      </c>
      <c r="E1487" s="2"/>
      <c r="F1487" s="2" t="str">
        <f>IFERROR(__xludf.DUMMYFUNCTION("IF(E1487&lt;&gt;"""", GOOGLETRANSLATE(E1487, ""en"", ""te""),"""")"),"")</f>
        <v/>
      </c>
      <c r="G1487" s="2"/>
      <c r="H1487" s="2" t="str">
        <f>IFERROR(__xludf.DUMMYFUNCTION("IF(G1487&lt;&gt;"""", GOOGLETRANSLATE(G1487, ""en"", ""te""),"""")"),"")</f>
        <v/>
      </c>
      <c r="I1487" s="3"/>
    </row>
    <row r="1488" customHeight="1" spans="1:9">
      <c r="A1488" s="2"/>
      <c r="B1488" s="2" t="str">
        <f>IFERROR(__xludf.DUMMYFUNCTION("IF(A1488&lt;&gt;"""", GOOGLETRANSLATE(A1488, ""en"", ""te""),"""")"),"")</f>
        <v/>
      </c>
      <c r="C1488" s="2"/>
      <c r="D1488" s="2" t="str">
        <f>IFERROR(__xludf.DUMMYFUNCTION("IF(C1488&lt;&gt;"""", GOOGLETRANSLATE(C1488, ""en"", ""te""),"""")"),"")</f>
        <v/>
      </c>
      <c r="E1488" s="2"/>
      <c r="F1488" s="2" t="str">
        <f>IFERROR(__xludf.DUMMYFUNCTION("IF(E1488&lt;&gt;"""", GOOGLETRANSLATE(E1488, ""en"", ""te""),"""")"),"")</f>
        <v/>
      </c>
      <c r="G1488" s="2"/>
      <c r="H1488" s="2" t="str">
        <f>IFERROR(__xludf.DUMMYFUNCTION("IF(G1488&lt;&gt;"""", GOOGLETRANSLATE(G1488, ""en"", ""te""),"""")"),"")</f>
        <v/>
      </c>
      <c r="I1488" s="3"/>
    </row>
    <row r="1489" customHeight="1" spans="1:9">
      <c r="A1489" s="2"/>
      <c r="B1489" s="2" t="str">
        <f>IFERROR(__xludf.DUMMYFUNCTION("IF(A1489&lt;&gt;"""", GOOGLETRANSLATE(A1489, ""en"", ""te""),"""")"),"")</f>
        <v/>
      </c>
      <c r="C1489" s="2"/>
      <c r="D1489" s="2" t="str">
        <f>IFERROR(__xludf.DUMMYFUNCTION("IF(C1489&lt;&gt;"""", GOOGLETRANSLATE(C1489, ""en"", ""te""),"""")"),"")</f>
        <v/>
      </c>
      <c r="E1489" s="2"/>
      <c r="F1489" s="2" t="str">
        <f>IFERROR(__xludf.DUMMYFUNCTION("IF(E1489&lt;&gt;"""", GOOGLETRANSLATE(E1489, ""en"", ""te""),"""")"),"")</f>
        <v/>
      </c>
      <c r="G1489" s="2"/>
      <c r="H1489" s="2" t="str">
        <f>IFERROR(__xludf.DUMMYFUNCTION("IF(G1489&lt;&gt;"""", GOOGLETRANSLATE(G1489, ""en"", ""te""),"""")"),"")</f>
        <v/>
      </c>
      <c r="I1489" s="3"/>
    </row>
    <row r="1490" customHeight="1" spans="1:9">
      <c r="A1490" s="2"/>
      <c r="B1490" s="2" t="str">
        <f>IFERROR(__xludf.DUMMYFUNCTION("IF(A1490&lt;&gt;"""", GOOGLETRANSLATE(A1490, ""en"", ""te""),"""")"),"")</f>
        <v/>
      </c>
      <c r="C1490" s="2"/>
      <c r="D1490" s="2" t="str">
        <f>IFERROR(__xludf.DUMMYFUNCTION("IF(C1490&lt;&gt;"""", GOOGLETRANSLATE(C1490, ""en"", ""te""),"""")"),"")</f>
        <v/>
      </c>
      <c r="E1490" s="2"/>
      <c r="F1490" s="2" t="str">
        <f>IFERROR(__xludf.DUMMYFUNCTION("IF(E1490&lt;&gt;"""", GOOGLETRANSLATE(E1490, ""en"", ""te""),"""")"),"")</f>
        <v/>
      </c>
      <c r="G1490" s="2"/>
      <c r="H1490" s="2" t="str">
        <f>IFERROR(__xludf.DUMMYFUNCTION("IF(G1490&lt;&gt;"""", GOOGLETRANSLATE(G1490, ""en"", ""te""),"""")"),"")</f>
        <v/>
      </c>
      <c r="I1490" s="3"/>
    </row>
    <row r="1491" customHeight="1" spans="1:9">
      <c r="A1491" s="2"/>
      <c r="B1491" s="2" t="str">
        <f>IFERROR(__xludf.DUMMYFUNCTION("IF(A1491&lt;&gt;"""", GOOGLETRANSLATE(A1491, ""en"", ""te""),"""")"),"")</f>
        <v/>
      </c>
      <c r="C1491" s="2"/>
      <c r="D1491" s="2" t="str">
        <f>IFERROR(__xludf.DUMMYFUNCTION("IF(C1491&lt;&gt;"""", GOOGLETRANSLATE(C1491, ""en"", ""te""),"""")"),"")</f>
        <v/>
      </c>
      <c r="E1491" s="2"/>
      <c r="F1491" s="2" t="str">
        <f>IFERROR(__xludf.DUMMYFUNCTION("IF(E1491&lt;&gt;"""", GOOGLETRANSLATE(E1491, ""en"", ""te""),"""")"),"")</f>
        <v/>
      </c>
      <c r="G1491" s="2"/>
      <c r="H1491" s="2" t="str">
        <f>IFERROR(__xludf.DUMMYFUNCTION("IF(G1491&lt;&gt;"""", GOOGLETRANSLATE(G1491, ""en"", ""te""),"""")"),"")</f>
        <v/>
      </c>
      <c r="I1491" s="3"/>
    </row>
    <row r="1492" customHeight="1" spans="1:9">
      <c r="A1492" s="2"/>
      <c r="B1492" s="2" t="str">
        <f>IFERROR(__xludf.DUMMYFUNCTION("IF(A1492&lt;&gt;"""", GOOGLETRANSLATE(A1492, ""en"", ""te""),"""")"),"")</f>
        <v/>
      </c>
      <c r="C1492" s="2"/>
      <c r="D1492" s="2" t="str">
        <f>IFERROR(__xludf.DUMMYFUNCTION("IF(C1492&lt;&gt;"""", GOOGLETRANSLATE(C1492, ""en"", ""te""),"""")"),"")</f>
        <v/>
      </c>
      <c r="E1492" s="2"/>
      <c r="F1492" s="2" t="str">
        <f>IFERROR(__xludf.DUMMYFUNCTION("IF(E1492&lt;&gt;"""", GOOGLETRANSLATE(E1492, ""en"", ""te""),"""")"),"")</f>
        <v/>
      </c>
      <c r="G1492" s="2"/>
      <c r="H1492" s="2" t="str">
        <f>IFERROR(__xludf.DUMMYFUNCTION("IF(G1492&lt;&gt;"""", GOOGLETRANSLATE(G1492, ""en"", ""te""),"""")"),"")</f>
        <v/>
      </c>
      <c r="I1492" s="3"/>
    </row>
    <row r="1493" customHeight="1" spans="1:9">
      <c r="A1493" s="2"/>
      <c r="B1493" s="2" t="str">
        <f>IFERROR(__xludf.DUMMYFUNCTION("IF(A1493&lt;&gt;"""", GOOGLETRANSLATE(A1493, ""en"", ""te""),"""")"),"")</f>
        <v/>
      </c>
      <c r="C1493" s="2"/>
      <c r="D1493" s="2" t="str">
        <f>IFERROR(__xludf.DUMMYFUNCTION("IF(C1493&lt;&gt;"""", GOOGLETRANSLATE(C1493, ""en"", ""te""),"""")"),"")</f>
        <v/>
      </c>
      <c r="E1493" s="2"/>
      <c r="F1493" s="2" t="str">
        <f>IFERROR(__xludf.DUMMYFUNCTION("IF(E1493&lt;&gt;"""", GOOGLETRANSLATE(E1493, ""en"", ""te""),"""")"),"")</f>
        <v/>
      </c>
      <c r="G1493" s="2"/>
      <c r="H1493" s="2" t="str">
        <f>IFERROR(__xludf.DUMMYFUNCTION("IF(G1493&lt;&gt;"""", GOOGLETRANSLATE(G1493, ""en"", ""te""),"""")"),"")</f>
        <v/>
      </c>
      <c r="I1493" s="3"/>
    </row>
    <row r="1494" customHeight="1" spans="1:9">
      <c r="A1494" s="2" t="s">
        <v>63</v>
      </c>
      <c r="B1494" s="2" t="str">
        <f>IFERROR(__xludf.DUMMYFUNCTION("IF(A1494&lt;&gt;"""", GOOGLETRANSLATE(A1494, ""en"", ""te""),"""")"),"[ 'తొలి ఇన్నింగ్స్లో 9 వ బెస్ట్ ఫిగర్స్ (7)']")</f>
        <v>[ 'తొలి ఇన్నింగ్స్లో 9 వ బెస్ట్ ఫిగర్స్ (7)']</v>
      </c>
      <c r="C1494" s="2" t="s">
        <v>948</v>
      </c>
      <c r="D1494" s="2" t="str">
        <f>IFERROR(__xludf.DUMMYFUNCTION("IF(C1494&lt;&gt;"""", GOOGLETRANSLATE(C1494, ""en"", ""te""),"""")"),"[ '24 ఒక ఇన్నింగ్స్ లోని బెస్ట్ ఫిగర్స్ ఉన్నప్పుడు పరాజయం వైపు (7)', '9 వ ఉత్తమ తొలి ఇన్నింగ్స్లో గణాంకాలు (7)']")</f>
        <v>[ '24 ఒక ఇన్నింగ్స్ లోని బెస్ట్ ఫిగర్స్ ఉన్నప్పుడు పరాజయం వైపు (7)', '9 వ ఉత్తమ తొలి ఇన్నింగ్స్లో గణాంకాలు (7)']</v>
      </c>
      <c r="E1494" s="2"/>
      <c r="F1494" s="2" t="str">
        <f>IFERROR(__xludf.DUMMYFUNCTION("IF(E1494&lt;&gt;"""", GOOGLETRANSLATE(E1494, ""en"", ""te""),"""")"),"")</f>
        <v/>
      </c>
      <c r="G1494" s="2"/>
      <c r="H1494" s="2" t="str">
        <f>IFERROR(__xludf.DUMMYFUNCTION("IF(G1494&lt;&gt;"""", GOOGLETRANSLATE(G1494, ""en"", ""te""),"""")"),"")</f>
        <v/>
      </c>
      <c r="I1494" s="3"/>
    </row>
    <row r="1495" customHeight="1" spans="1:9">
      <c r="A1495" s="2"/>
      <c r="B1495" s="2" t="str">
        <f>IFERROR(__xludf.DUMMYFUNCTION("IF(A1495&lt;&gt;"""", GOOGLETRANSLATE(A1495, ""en"", ""te""),"""")"),"")</f>
        <v/>
      </c>
      <c r="C1495" s="2"/>
      <c r="D1495" s="2" t="str">
        <f>IFERROR(__xludf.DUMMYFUNCTION("IF(C1495&lt;&gt;"""", GOOGLETRANSLATE(C1495, ""en"", ""te""),"""")"),"")</f>
        <v/>
      </c>
      <c r="E1495" s="2"/>
      <c r="F1495" s="2" t="str">
        <f>IFERROR(__xludf.DUMMYFUNCTION("IF(E1495&lt;&gt;"""", GOOGLETRANSLATE(E1495, ""en"", ""te""),"""")"),"")</f>
        <v/>
      </c>
      <c r="G1495" s="2"/>
      <c r="H1495" s="2" t="str">
        <f>IFERROR(__xludf.DUMMYFUNCTION("IF(G1495&lt;&gt;"""", GOOGLETRANSLATE(G1495, ""en"", ""te""),"""")"),"")</f>
        <v/>
      </c>
      <c r="I1495" s="3"/>
    </row>
    <row r="1496" customHeight="1" spans="1:9">
      <c r="A1496" s="2"/>
      <c r="B1496" s="2" t="str">
        <f>IFERROR(__xludf.DUMMYFUNCTION("IF(A1496&lt;&gt;"""", GOOGLETRANSLATE(A1496, ""en"", ""te""),"""")"),"")</f>
        <v/>
      </c>
      <c r="C1496" s="2"/>
      <c r="D1496" s="2" t="str">
        <f>IFERROR(__xludf.DUMMYFUNCTION("IF(C1496&lt;&gt;"""", GOOGLETRANSLATE(C1496, ""en"", ""te""),"""")"),"")</f>
        <v/>
      </c>
      <c r="E1496" s="2"/>
      <c r="F1496" s="2" t="str">
        <f>IFERROR(__xludf.DUMMYFUNCTION("IF(E1496&lt;&gt;"""", GOOGLETRANSLATE(E1496, ""en"", ""te""),"""")"),"")</f>
        <v/>
      </c>
      <c r="G1496" s="2"/>
      <c r="H1496" s="2" t="str">
        <f>IFERROR(__xludf.DUMMYFUNCTION("IF(G1496&lt;&gt;"""", GOOGLETRANSLATE(G1496, ""en"", ""te""),"""")"),"")</f>
        <v/>
      </c>
      <c r="I1496" s="3"/>
    </row>
    <row r="1497" customHeight="1" spans="1:9">
      <c r="A1497" s="2"/>
      <c r="B1497" s="2" t="str">
        <f>IFERROR(__xludf.DUMMYFUNCTION("IF(A1497&lt;&gt;"""", GOOGLETRANSLATE(A1497, ""en"", ""te""),"""")"),"")</f>
        <v/>
      </c>
      <c r="C1497" s="2"/>
      <c r="D1497" s="2" t="str">
        <f>IFERROR(__xludf.DUMMYFUNCTION("IF(C1497&lt;&gt;"""", GOOGLETRANSLATE(C1497, ""en"", ""te""),"""")"),"")</f>
        <v/>
      </c>
      <c r="E1497" s="2"/>
      <c r="F1497" s="2" t="str">
        <f>IFERROR(__xludf.DUMMYFUNCTION("IF(E1497&lt;&gt;"""", GOOGLETRANSLATE(E1497, ""en"", ""te""),"""")"),"")</f>
        <v/>
      </c>
      <c r="G1497" s="2"/>
      <c r="H1497" s="2" t="str">
        <f>IFERROR(__xludf.DUMMYFUNCTION("IF(G1497&lt;&gt;"""", GOOGLETRANSLATE(G1497, ""en"", ""te""),"""")"),"")</f>
        <v/>
      </c>
      <c r="I1497" s="3"/>
    </row>
    <row r="1498" customHeight="1" spans="1:9">
      <c r="A1498" s="2"/>
      <c r="B1498" s="2" t="str">
        <f>IFERROR(__xludf.DUMMYFUNCTION("IF(A1498&lt;&gt;"""", GOOGLETRANSLATE(A1498, ""en"", ""te""),"""")"),"")</f>
        <v/>
      </c>
      <c r="C1498" s="2"/>
      <c r="D1498" s="2" t="str">
        <f>IFERROR(__xludf.DUMMYFUNCTION("IF(C1498&lt;&gt;"""", GOOGLETRANSLATE(C1498, ""en"", ""te""),"""")"),"")</f>
        <v/>
      </c>
      <c r="E1498" s="2"/>
      <c r="F1498" s="2" t="str">
        <f>IFERROR(__xludf.DUMMYFUNCTION("IF(E1498&lt;&gt;"""", GOOGLETRANSLATE(E1498, ""en"", ""te""),"""")"),"")</f>
        <v/>
      </c>
      <c r="G1498" s="2"/>
      <c r="H1498" s="2" t="str">
        <f>IFERROR(__xludf.DUMMYFUNCTION("IF(G1498&lt;&gt;"""", GOOGLETRANSLATE(G1498, ""en"", ""te""),"""")"),"")</f>
        <v/>
      </c>
      <c r="I1498" s="3"/>
    </row>
    <row r="1499" customHeight="1" spans="1:9">
      <c r="A1499" s="2"/>
      <c r="B1499" s="2" t="str">
        <f>IFERROR(__xludf.DUMMYFUNCTION("IF(A1499&lt;&gt;"""", GOOGLETRANSLATE(A1499, ""en"", ""te""),"""")"),"")</f>
        <v/>
      </c>
      <c r="C1499" s="2"/>
      <c r="D1499" s="2" t="str">
        <f>IFERROR(__xludf.DUMMYFUNCTION("IF(C1499&lt;&gt;"""", GOOGLETRANSLATE(C1499, ""en"", ""te""),"""")"),"")</f>
        <v/>
      </c>
      <c r="E1499" s="2"/>
      <c r="F1499" s="2" t="str">
        <f>IFERROR(__xludf.DUMMYFUNCTION("IF(E1499&lt;&gt;"""", GOOGLETRANSLATE(E1499, ""en"", ""te""),"""")"),"")</f>
        <v/>
      </c>
      <c r="G1499" s="2"/>
      <c r="H1499" s="2" t="str">
        <f>IFERROR(__xludf.DUMMYFUNCTION("IF(G1499&lt;&gt;"""", GOOGLETRANSLATE(G1499, ""en"", ""te""),"""")"),"")</f>
        <v/>
      </c>
      <c r="I1499" s="3"/>
    </row>
    <row r="1500" customHeight="1" spans="1:9">
      <c r="A1500" s="2"/>
      <c r="B1500" s="2" t="str">
        <f>IFERROR(__xludf.DUMMYFUNCTION("IF(A1500&lt;&gt;"""", GOOGLETRANSLATE(A1500, ""en"", ""te""),"""")"),"")</f>
        <v/>
      </c>
      <c r="C1500" s="2" t="s">
        <v>949</v>
      </c>
      <c r="D1500" s="2" t="str">
        <f>IFERROR(__xludf.DUMMYFUNCTION("IF(C1500&lt;&gt;"""", GOOGLETRANSLATE(C1500, ""en"", ""te""),"""")"),"[ '49 వ చెత్త కెరీర్ (130,00) (అర్హత లేకుండా) సగటు బౌలింగ్', '16 వ లాంగెస్ట్ క్రీడాకారులు (94y 88D) నివసించారు']")</f>
        <v>[ '49 వ చెత్త కెరీర్ (130,00) (అర్హత లేకుండా) సగటు బౌలింగ్', '16 వ లాంగెస్ట్ క్రీడాకారులు (94y 88D) నివసించారు']</v>
      </c>
      <c r="E1500" s="2"/>
      <c r="F1500" s="2" t="str">
        <f>IFERROR(__xludf.DUMMYFUNCTION("IF(E1500&lt;&gt;"""", GOOGLETRANSLATE(E1500, ""en"", ""te""),"""")"),"")</f>
        <v/>
      </c>
      <c r="G1500" s="2"/>
      <c r="H1500" s="2" t="str">
        <f>IFERROR(__xludf.DUMMYFUNCTION("IF(G1500&lt;&gt;"""", GOOGLETRANSLATE(G1500, ""en"", ""te""),"""")"),"")</f>
        <v/>
      </c>
      <c r="I1500" s="3"/>
    </row>
    <row r="1501" customHeight="1" spans="1:9">
      <c r="A1501" s="2"/>
      <c r="B1501" s="2" t="str">
        <f>IFERROR(__xludf.DUMMYFUNCTION("IF(A1501&lt;&gt;"""", GOOGLETRANSLATE(A1501, ""en"", ""te""),"""")"),"")</f>
        <v/>
      </c>
      <c r="C1501" s="2"/>
      <c r="D1501" s="2" t="str">
        <f>IFERROR(__xludf.DUMMYFUNCTION("IF(C1501&lt;&gt;"""", GOOGLETRANSLATE(C1501, ""en"", ""te""),"""")"),"")</f>
        <v/>
      </c>
      <c r="E1501" s="2"/>
      <c r="F1501" s="2" t="str">
        <f>IFERROR(__xludf.DUMMYFUNCTION("IF(E1501&lt;&gt;"""", GOOGLETRANSLATE(E1501, ""en"", ""te""),"""")"),"")</f>
        <v/>
      </c>
      <c r="G1501" s="2"/>
      <c r="H1501" s="2" t="str">
        <f>IFERROR(__xludf.DUMMYFUNCTION("IF(G1501&lt;&gt;"""", GOOGLETRANSLATE(G1501, ""en"", ""te""),"""")"),"")</f>
        <v/>
      </c>
      <c r="I1501" s="3"/>
    </row>
    <row r="1502" customHeight="1" spans="1:9">
      <c r="A1502" s="2"/>
      <c r="B1502" s="2" t="str">
        <f>IFERROR(__xludf.DUMMYFUNCTION("IF(A1502&lt;&gt;"""", GOOGLETRANSLATE(A1502, ""en"", ""te""),"""")"),"")</f>
        <v/>
      </c>
      <c r="C1502" s="2"/>
      <c r="D1502" s="2" t="str">
        <f>IFERROR(__xludf.DUMMYFUNCTION("IF(C1502&lt;&gt;"""", GOOGLETRANSLATE(C1502, ""en"", ""te""),"""")"),"")</f>
        <v/>
      </c>
      <c r="E1502" s="2"/>
      <c r="F1502" s="2" t="str">
        <f>IFERROR(__xludf.DUMMYFUNCTION("IF(E1502&lt;&gt;"""", GOOGLETRANSLATE(E1502, ""en"", ""te""),"""")"),"")</f>
        <v/>
      </c>
      <c r="G1502" s="2"/>
      <c r="H1502" s="2" t="str">
        <f>IFERROR(__xludf.DUMMYFUNCTION("IF(G1502&lt;&gt;"""", GOOGLETRANSLATE(G1502, ""en"", ""te""),"""")"),"")</f>
        <v/>
      </c>
      <c r="I1502" s="3"/>
    </row>
    <row r="1503" customHeight="1" spans="1:9">
      <c r="A1503" s="2"/>
      <c r="B1503" s="2" t="str">
        <f>IFERROR(__xludf.DUMMYFUNCTION("IF(A1503&lt;&gt;"""", GOOGLETRANSLATE(A1503, ""en"", ""te""),"""")"),"")</f>
        <v/>
      </c>
      <c r="C1503" s="2"/>
      <c r="D1503" s="2" t="str">
        <f>IFERROR(__xludf.DUMMYFUNCTION("IF(C1503&lt;&gt;"""", GOOGLETRANSLATE(C1503, ""en"", ""te""),"""")"),"")</f>
        <v/>
      </c>
      <c r="E1503" s="2"/>
      <c r="F1503" s="2" t="str">
        <f>IFERROR(__xludf.DUMMYFUNCTION("IF(E1503&lt;&gt;"""", GOOGLETRANSLATE(E1503, ""en"", ""te""),"""")"),"")</f>
        <v/>
      </c>
      <c r="G1503" s="2"/>
      <c r="H1503" s="2" t="str">
        <f>IFERROR(__xludf.DUMMYFUNCTION("IF(G1503&lt;&gt;"""", GOOGLETRANSLATE(G1503, ""en"", ""te""),"""")"),"")</f>
        <v/>
      </c>
      <c r="I1503" s="3"/>
    </row>
    <row r="1504" customHeight="1" spans="1:9">
      <c r="A1504" s="2"/>
      <c r="B1504" s="2" t="str">
        <f>IFERROR(__xludf.DUMMYFUNCTION("IF(A1504&lt;&gt;"""", GOOGLETRANSLATE(A1504, ""en"", ""te""),"""")"),"")</f>
        <v/>
      </c>
      <c r="C1504" s="2"/>
      <c r="D1504" s="2" t="str">
        <f>IFERROR(__xludf.DUMMYFUNCTION("IF(C1504&lt;&gt;"""", GOOGLETRANSLATE(C1504, ""en"", ""te""),"""")"),"")</f>
        <v/>
      </c>
      <c r="E1504" s="2"/>
      <c r="F1504" s="2" t="str">
        <f>IFERROR(__xludf.DUMMYFUNCTION("IF(E1504&lt;&gt;"""", GOOGLETRANSLATE(E1504, ""en"", ""te""),"""")"),"")</f>
        <v/>
      </c>
      <c r="G1504" s="2"/>
      <c r="H1504" s="2" t="str">
        <f>IFERROR(__xludf.DUMMYFUNCTION("IF(G1504&lt;&gt;"""", GOOGLETRANSLATE(G1504, ""en"", ""te""),"""")"),"")</f>
        <v/>
      </c>
      <c r="I1504" s="3"/>
    </row>
    <row r="1505" customHeight="1" spans="1:9">
      <c r="A1505" s="2"/>
      <c r="B1505" s="2" t="str">
        <f>IFERROR(__xludf.DUMMYFUNCTION("IF(A1505&lt;&gt;"""", GOOGLETRANSLATE(A1505, ""en"", ""te""),"""")"),"")</f>
        <v/>
      </c>
      <c r="C1505" s="2"/>
      <c r="D1505" s="2" t="str">
        <f>IFERROR(__xludf.DUMMYFUNCTION("IF(C1505&lt;&gt;"""", GOOGLETRANSLATE(C1505, ""en"", ""te""),"""")"),"")</f>
        <v/>
      </c>
      <c r="E1505" s="2"/>
      <c r="F1505" s="2" t="str">
        <f>IFERROR(__xludf.DUMMYFUNCTION("IF(E1505&lt;&gt;"""", GOOGLETRANSLATE(E1505, ""en"", ""te""),"""")"),"")</f>
        <v/>
      </c>
      <c r="G1505" s="2"/>
      <c r="H1505" s="2" t="str">
        <f>IFERROR(__xludf.DUMMYFUNCTION("IF(G1505&lt;&gt;"""", GOOGLETRANSLATE(G1505, ""en"", ""te""),"""")"),"")</f>
        <v/>
      </c>
      <c r="I1505" s="3"/>
    </row>
    <row r="1506" customHeight="1" spans="1:9">
      <c r="A1506" s="2"/>
      <c r="B1506" s="2" t="str">
        <f>IFERROR(__xludf.DUMMYFUNCTION("IF(A1506&lt;&gt;"""", GOOGLETRANSLATE(A1506, ""en"", ""te""),"""")"),"")</f>
        <v/>
      </c>
      <c r="C1506" s="2"/>
      <c r="D1506" s="2" t="str">
        <f>IFERROR(__xludf.DUMMYFUNCTION("IF(C1506&lt;&gt;"""", GOOGLETRANSLATE(C1506, ""en"", ""te""),"""")"),"")</f>
        <v/>
      </c>
      <c r="E1506" s="2"/>
      <c r="F1506" s="2" t="str">
        <f>IFERROR(__xludf.DUMMYFUNCTION("IF(E1506&lt;&gt;"""", GOOGLETRANSLATE(E1506, ""en"", ""te""),"""")"),"")</f>
        <v/>
      </c>
      <c r="G1506" s="2" t="s">
        <v>950</v>
      </c>
      <c r="H1506" s="2" t="str">
        <f>IFERROR(__xludf.DUMMYFUNCTION("IF(G1506&lt;&gt;"""", GOOGLETRANSLATE(G1506, ""en"", ""te""),"""")"),"[ '17 వ ఇన్నింగ్స్ లో వచ్చిన ఎక్కువ సిక్స్ (9)', 'ఇన్నింగ్స్ లో ఫోర్లు, సిక్సర్లు నుండి 42 వ అత్యధిక పరుగులు (74)']")</f>
        <v>[ '17 వ ఇన్నింగ్స్ లో వచ్చిన ఎక్కువ సిక్స్ (9)', 'ఇన్నింగ్స్ లో ఫోర్లు, సిక్సర్లు నుండి 42 వ అత్యధిక పరుగులు (74)']</v>
      </c>
      <c r="I1506" s="3"/>
    </row>
    <row r="1507" customHeight="1" spans="1:9">
      <c r="A1507" s="2"/>
      <c r="B1507" s="2" t="str">
        <f>IFERROR(__xludf.DUMMYFUNCTION("IF(A1507&lt;&gt;"""", GOOGLETRANSLATE(A1507, ""en"", ""te""),"""")"),"")</f>
        <v/>
      </c>
      <c r="C1507" s="2"/>
      <c r="D1507" s="2" t="str">
        <f>IFERROR(__xludf.DUMMYFUNCTION("IF(C1507&lt;&gt;"""", GOOGLETRANSLATE(C1507, ""en"", ""te""),"""")"),"")</f>
        <v/>
      </c>
      <c r="E1507" s="2"/>
      <c r="F1507" s="2" t="str">
        <f>IFERROR(__xludf.DUMMYFUNCTION("IF(E1507&lt;&gt;"""", GOOGLETRANSLATE(E1507, ""en"", ""te""),"""")"),"")</f>
        <v/>
      </c>
      <c r="G1507" s="2"/>
      <c r="H1507" s="2" t="str">
        <f>IFERROR(__xludf.DUMMYFUNCTION("IF(G1507&lt;&gt;"""", GOOGLETRANSLATE(G1507, ""en"", ""te""),"""")"),"")</f>
        <v/>
      </c>
      <c r="I1507" s="3"/>
    </row>
    <row r="1508" customHeight="1" spans="1:9">
      <c r="A1508" s="2"/>
      <c r="B1508" s="2" t="str">
        <f>IFERROR(__xludf.DUMMYFUNCTION("IF(A1508&lt;&gt;"""", GOOGLETRANSLATE(A1508, ""en"", ""te""),"""")"),"")</f>
        <v/>
      </c>
      <c r="C1508" s="2"/>
      <c r="D1508" s="2" t="str">
        <f>IFERROR(__xludf.DUMMYFUNCTION("IF(C1508&lt;&gt;"""", GOOGLETRANSLATE(C1508, ""en"", ""te""),"""")"),"")</f>
        <v/>
      </c>
      <c r="E1508" s="2"/>
      <c r="F1508" s="2" t="str">
        <f>IFERROR(__xludf.DUMMYFUNCTION("IF(E1508&lt;&gt;"""", GOOGLETRANSLATE(E1508, ""en"", ""te""),"""")"),"")</f>
        <v/>
      </c>
      <c r="G1508" s="2"/>
      <c r="H1508" s="2" t="str">
        <f>IFERROR(__xludf.DUMMYFUNCTION("IF(G1508&lt;&gt;"""", GOOGLETRANSLATE(G1508, ""en"", ""te""),"""")"),"")</f>
        <v/>
      </c>
      <c r="I1508" s="3"/>
    </row>
    <row r="1509" customHeight="1" spans="1:9">
      <c r="A1509" s="2"/>
      <c r="B1509" s="2" t="str">
        <f>IFERROR(__xludf.DUMMYFUNCTION("IF(A1509&lt;&gt;"""", GOOGLETRANSLATE(A1509, ""en"", ""te""),"""")"),"")</f>
        <v/>
      </c>
      <c r="C1509" s="2"/>
      <c r="D1509" s="2" t="str">
        <f>IFERROR(__xludf.DUMMYFUNCTION("IF(C1509&lt;&gt;"""", GOOGLETRANSLATE(C1509, ""en"", ""te""),"""")"),"")</f>
        <v/>
      </c>
      <c r="E1509" s="2" t="s">
        <v>951</v>
      </c>
      <c r="F1509" s="2" t="str">
        <f>IFERROR(__xludf.DUMMYFUNCTION("IF(E1509&lt;&gt;"""", GOOGLETRANSLATE(E1509, ""en"", ""te""),"""")"),"[ 'ప్రదర్శనల మధ్య 30 వ లాంగెస్ట్ వ్యవధిలో (7y 3)', '12 వ వరుస మ్యాచ్లు ఆడి మధ్య జట్టు (183) కోసం తప్పిన']")</f>
        <v>[ 'ప్రదర్శనల మధ్య 30 వ లాంగెస్ట్ వ్యవధిలో (7y 3)', '12 వ వరుస మ్యాచ్లు ఆడి మధ్య జట్టు (183) కోసం తప్పిన']</v>
      </c>
      <c r="G1509" s="2"/>
      <c r="H1509" s="2" t="str">
        <f>IFERROR(__xludf.DUMMYFUNCTION("IF(G1509&lt;&gt;"""", GOOGLETRANSLATE(G1509, ""en"", ""te""),"""")"),"")</f>
        <v/>
      </c>
      <c r="I1509" s="3"/>
    </row>
    <row r="1510" customHeight="1" spans="1:9">
      <c r="A1510" s="2"/>
      <c r="B1510" s="2" t="str">
        <f>IFERROR(__xludf.DUMMYFUNCTION("IF(A1510&lt;&gt;"""", GOOGLETRANSLATE(A1510, ""en"", ""te""),"""")"),"")</f>
        <v/>
      </c>
      <c r="C1510" s="2"/>
      <c r="D1510" s="2" t="str">
        <f>IFERROR(__xludf.DUMMYFUNCTION("IF(C1510&lt;&gt;"""", GOOGLETRANSLATE(C1510, ""en"", ""te""),"""")"),"")</f>
        <v/>
      </c>
      <c r="E1510" s="2"/>
      <c r="F1510" s="2" t="str">
        <f>IFERROR(__xludf.DUMMYFUNCTION("IF(E1510&lt;&gt;"""", GOOGLETRANSLATE(E1510, ""en"", ""te""),"""")"),"")</f>
        <v/>
      </c>
      <c r="G1510" s="2"/>
      <c r="H1510" s="2" t="str">
        <f>IFERROR(__xludf.DUMMYFUNCTION("IF(G1510&lt;&gt;"""", GOOGLETRANSLATE(G1510, ""en"", ""te""),"""")"),"")</f>
        <v/>
      </c>
      <c r="I1510" s="3"/>
    </row>
    <row r="1511" customHeight="1" spans="1:9">
      <c r="A1511" s="2"/>
      <c r="B1511" s="2" t="str">
        <f>IFERROR(__xludf.DUMMYFUNCTION("IF(A1511&lt;&gt;"""", GOOGLETRANSLATE(A1511, ""en"", ""te""),"""")"),"")</f>
        <v/>
      </c>
      <c r="C1511" s="2" t="s">
        <v>952</v>
      </c>
      <c r="D1511" s="2" t="str">
        <f>IFERROR(__xludf.DUMMYFUNCTION("IF(C1511&lt;&gt;"""", GOOGLETRANSLATE(C1511, ""en"", ""te""),"""")"),"[40 వ షార్టేస్ట్ నివసించారు క్రీడాకారులు (33y 337d) ']")</f>
        <v>[40 వ షార్టేస్ట్ నివసించారు క్రీడాకారులు (33y 337d) ']</v>
      </c>
      <c r="E1511" s="2" t="s">
        <v>953</v>
      </c>
      <c r="F1511" s="2" t="str">
        <f>IFERROR(__xludf.DUMMYFUNCTION("IF(E1511&lt;&gt;"""", GOOGLETRANSLATE(E1511, ""en"", ""te""),"""")"),"[ '14 వ షార్టేస్ట్ నివసించారు క్రీడాకారులు (33y 337d)']")</f>
        <v>[ '14 వ షార్టేస్ట్ నివసించారు క్రీడాకారులు (33y 337d)']</v>
      </c>
      <c r="G1511" s="2"/>
      <c r="H1511" s="2" t="str">
        <f>IFERROR(__xludf.DUMMYFUNCTION("IF(G1511&lt;&gt;"""", GOOGLETRANSLATE(G1511, ""en"", ""te""),"""")"),"")</f>
        <v/>
      </c>
      <c r="I1511" s="3"/>
    </row>
    <row r="1512" customHeight="1" spans="1:9">
      <c r="A1512" s="2"/>
      <c r="B1512" s="2" t="str">
        <f>IFERROR(__xludf.DUMMYFUNCTION("IF(A1512&lt;&gt;"""", GOOGLETRANSLATE(A1512, ""en"", ""te""),"""")"),"")</f>
        <v/>
      </c>
      <c r="C1512" s="2"/>
      <c r="D1512" s="2" t="str">
        <f>IFERROR(__xludf.DUMMYFUNCTION("IF(C1512&lt;&gt;"""", GOOGLETRANSLATE(C1512, ""en"", ""te""),"""")"),"")</f>
        <v/>
      </c>
      <c r="E1512" s="2"/>
      <c r="F1512" s="2" t="str">
        <f>IFERROR(__xludf.DUMMYFUNCTION("IF(E1512&lt;&gt;"""", GOOGLETRANSLATE(E1512, ""en"", ""te""),"""")"),"")</f>
        <v/>
      </c>
      <c r="G1512" s="2"/>
      <c r="H1512" s="2" t="str">
        <f>IFERROR(__xludf.DUMMYFUNCTION("IF(G1512&lt;&gt;"""", GOOGLETRANSLATE(G1512, ""en"", ""te""),"""")"),"")</f>
        <v/>
      </c>
      <c r="I1512" s="3"/>
    </row>
    <row r="1513" customHeight="1" spans="1:9">
      <c r="A1513" s="2" t="s">
        <v>811</v>
      </c>
      <c r="B1513" s="2" t="str">
        <f>IFERROR(__xludf.DUMMYFUNCTION("IF(A1513&lt;&gt;"""", GOOGLETRANSLATE(A1513, ""en"", ""te""),"""")"),"[ '9 వ అత్యుత్తమ ఇన్నింగ్స్ (3/5) విశ్లేషణలలో బౌలింగ్']")</f>
        <v>[ '9 వ అత్యుత్తమ ఇన్నింగ్స్ (3/5) విశ్లేషణలలో బౌలింగ్']</v>
      </c>
      <c r="C1513" s="2"/>
      <c r="D1513" s="2" t="str">
        <f>IFERROR(__xludf.DUMMYFUNCTION("IF(C1513&lt;&gt;"""", GOOGLETRANSLATE(C1513, ""en"", ""te""),"""")"),"")</f>
        <v/>
      </c>
      <c r="E1513" s="2" t="s">
        <v>954</v>
      </c>
      <c r="F1513" s="2" t="str">
        <f>IFERROR(__xludf.DUMMYFUNCTION("IF(E1513&lt;&gt;"""", GOOGLETRANSLATE(E1513, ""en"", ""te""),"""")"),"[ '9 వ అత్యుత్తమ ఇన్నింగ్స్ లో బౌలింగ్ విశ్లేషణలు (3/5)', '25 వ ఉత్తమ కెరీర్ (అర్హత లేకుండా) సగటు బౌలింగ్ (11.00)', 'ఎనిమిదవ వికెట్ (91) కోసం 17 అత్యధిక భాగస్వామ్యం']")</f>
        <v>[ '9 వ అత్యుత్తమ ఇన్నింగ్స్ లో బౌలింగ్ విశ్లేషణలు (3/5)', '25 వ ఉత్తమ కెరీర్ (అర్హత లేకుండా) సగటు బౌలింగ్ (11.00)', 'ఎనిమిదవ వికెట్ (91) కోసం 17 అత్యధిక భాగస్వామ్యం']</v>
      </c>
      <c r="G1513" s="2"/>
      <c r="H1513" s="2" t="str">
        <f>IFERROR(__xludf.DUMMYFUNCTION("IF(G1513&lt;&gt;"""", GOOGLETRANSLATE(G1513, ""en"", ""te""),"""")"),"")</f>
        <v/>
      </c>
      <c r="I1513" s="3"/>
    </row>
    <row r="1514" customHeight="1" spans="1:9">
      <c r="A1514" s="2"/>
      <c r="B1514" s="2" t="str">
        <f>IFERROR(__xludf.DUMMYFUNCTION("IF(A1514&lt;&gt;"""", GOOGLETRANSLATE(A1514, ""en"", ""te""),"""")"),"")</f>
        <v/>
      </c>
      <c r="C1514" s="2"/>
      <c r="D1514" s="2" t="str">
        <f>IFERROR(__xludf.DUMMYFUNCTION("IF(C1514&lt;&gt;"""", GOOGLETRANSLATE(C1514, ""en"", ""te""),"""")"),"")</f>
        <v/>
      </c>
      <c r="E1514" s="2"/>
      <c r="F1514" s="2" t="str">
        <f>IFERROR(__xludf.DUMMYFUNCTION("IF(E1514&lt;&gt;"""", GOOGLETRANSLATE(E1514, ""en"", ""te""),"""")"),"")</f>
        <v/>
      </c>
      <c r="G1514" s="2"/>
      <c r="H1514" s="2" t="str">
        <f>IFERROR(__xludf.DUMMYFUNCTION("IF(G1514&lt;&gt;"""", GOOGLETRANSLATE(G1514, ""en"", ""te""),"""")"),"")</f>
        <v/>
      </c>
      <c r="I1514" s="3"/>
    </row>
    <row r="1515" customHeight="1" spans="1:9">
      <c r="A1515" s="2"/>
      <c r="B1515" s="2" t="str">
        <f>IFERROR(__xludf.DUMMYFUNCTION("IF(A1515&lt;&gt;"""", GOOGLETRANSLATE(A1515, ""en"", ""te""),"""")"),"")</f>
        <v/>
      </c>
      <c r="C1515" s="2"/>
      <c r="D1515" s="2" t="str">
        <f>IFERROR(__xludf.DUMMYFUNCTION("IF(C1515&lt;&gt;"""", GOOGLETRANSLATE(C1515, ""en"", ""te""),"""")"),"")</f>
        <v/>
      </c>
      <c r="E1515" s="2"/>
      <c r="F1515" s="2" t="str">
        <f>IFERROR(__xludf.DUMMYFUNCTION("IF(E1515&lt;&gt;"""", GOOGLETRANSLATE(E1515, ""en"", ""te""),"""")"),"")</f>
        <v/>
      </c>
      <c r="G1515" s="2"/>
      <c r="H1515" s="2" t="str">
        <f>IFERROR(__xludf.DUMMYFUNCTION("IF(G1515&lt;&gt;"""", GOOGLETRANSLATE(G1515, ""en"", ""te""),"""")"),"")</f>
        <v/>
      </c>
      <c r="I1515" s="3"/>
    </row>
    <row r="1516" customHeight="1" spans="1:9">
      <c r="A1516" s="2"/>
      <c r="B1516" s="2" t="str">
        <f>IFERROR(__xludf.DUMMYFUNCTION("IF(A1516&lt;&gt;"""", GOOGLETRANSLATE(A1516, ""en"", ""te""),"""")"),"")</f>
        <v/>
      </c>
      <c r="C1516" s="2"/>
      <c r="D1516" s="2" t="str">
        <f>IFERROR(__xludf.DUMMYFUNCTION("IF(C1516&lt;&gt;"""", GOOGLETRANSLATE(C1516, ""en"", ""te""),"""")"),"")</f>
        <v/>
      </c>
      <c r="E1516" s="2"/>
      <c r="F1516" s="2" t="str">
        <f>IFERROR(__xludf.DUMMYFUNCTION("IF(E1516&lt;&gt;"""", GOOGLETRANSLATE(E1516, ""en"", ""te""),"""")"),"")</f>
        <v/>
      </c>
      <c r="G1516" s="2"/>
      <c r="H1516" s="2" t="str">
        <f>IFERROR(__xludf.DUMMYFUNCTION("IF(G1516&lt;&gt;"""", GOOGLETRANSLATE(G1516, ""en"", ""te""),"""")"),"")</f>
        <v/>
      </c>
      <c r="I1516" s="3"/>
    </row>
    <row r="1517" customHeight="1" spans="1:9">
      <c r="A1517" s="2"/>
      <c r="B1517" s="2" t="str">
        <f>IFERROR(__xludf.DUMMYFUNCTION("IF(A1517&lt;&gt;"""", GOOGLETRANSLATE(A1517, ""en"", ""te""),"""")"),"")</f>
        <v/>
      </c>
      <c r="C1517" s="2"/>
      <c r="D1517" s="2" t="str">
        <f>IFERROR(__xludf.DUMMYFUNCTION("IF(C1517&lt;&gt;"""", GOOGLETRANSLATE(C1517, ""en"", ""te""),"""")"),"")</f>
        <v/>
      </c>
      <c r="E1517" s="2"/>
      <c r="F1517" s="2" t="str">
        <f>IFERROR(__xludf.DUMMYFUNCTION("IF(E1517&lt;&gt;"""", GOOGLETRANSLATE(E1517, ""en"", ""te""),"""")"),"")</f>
        <v/>
      </c>
      <c r="G1517" s="2"/>
      <c r="H1517" s="2" t="str">
        <f>IFERROR(__xludf.DUMMYFUNCTION("IF(G1517&lt;&gt;"""", GOOGLETRANSLATE(G1517, ""en"", ""te""),"""")"),"")</f>
        <v/>
      </c>
      <c r="I1517" s="3"/>
    </row>
    <row r="1518" customHeight="1" spans="1:9">
      <c r="A1518" s="2" t="s">
        <v>851</v>
      </c>
      <c r="B1518" s="2" t="str">
        <f>IFERROR(__xludf.DUMMYFUNCTION("IF(A1518&lt;&gt;"""", GOOGLETRANSLATE(A1518, ""en"", ""te""),"""")"),"[ 'తొలి మ్యాచ్లో 5 వ ఉత్తమ బొమ్మలు (11)']")</f>
        <v>[ 'తొలి మ్యాచ్లో 5 వ ఉత్తమ బొమ్మలు (11)']</v>
      </c>
      <c r="C1518" s="2" t="s">
        <v>955</v>
      </c>
      <c r="D1518" s="2" t="str">
        <f>IFERROR(__xludf.DUMMYFUNCTION("IF(C1518&lt;&gt;"""", GOOGLETRANSLATE(C1518, ""en"", ""te""),"""")"),"[ '22 వ ఉత్తమ తొలి ఇన్నింగ్స్లో గణాంకాలు (6)', '5 వ ఉత్తమ తొలి మ్యాచ్లో గణాంకాలు (11)', '37 వ పురాతన దేశం' 15 మ్యాచ్ ఉన్నప్పుడు పరాజయం వైపు (11) ఉత్తమ ప్రముఖులలో క్రీడాకారులు (87y 82d) ']")</f>
        <v>[ '22 వ ఉత్తమ తొలి ఇన్నింగ్స్లో గణాంకాలు (6)', '5 వ ఉత్తమ తొలి మ్యాచ్లో గణాంకాలు (11)', '37 వ పురాతన దేశం' 15 మ్యాచ్ ఉన్నప్పుడు పరాజయం వైపు (11) ఉత్తమ ప్రముఖులలో క్రీడాకారులు (87y 82d) ']</v>
      </c>
      <c r="E1518" s="2"/>
      <c r="F1518" s="2" t="str">
        <f>IFERROR(__xludf.DUMMYFUNCTION("IF(E1518&lt;&gt;"""", GOOGLETRANSLATE(E1518, ""en"", ""te""),"""")"),"")</f>
        <v/>
      </c>
      <c r="G1518" s="2"/>
      <c r="H1518" s="2" t="str">
        <f>IFERROR(__xludf.DUMMYFUNCTION("IF(G1518&lt;&gt;"""", GOOGLETRANSLATE(G1518, ""en"", ""te""),"""")"),"")</f>
        <v/>
      </c>
      <c r="I1518" s="3"/>
    </row>
    <row r="1519" customHeight="1" spans="1:9">
      <c r="A1519" s="2"/>
      <c r="B1519" s="2" t="str">
        <f>IFERROR(__xludf.DUMMYFUNCTION("IF(A1519&lt;&gt;"""", GOOGLETRANSLATE(A1519, ""en"", ""te""),"""")"),"")</f>
        <v/>
      </c>
      <c r="C1519" s="2"/>
      <c r="D1519" s="2" t="str">
        <f>IFERROR(__xludf.DUMMYFUNCTION("IF(C1519&lt;&gt;"""", GOOGLETRANSLATE(C1519, ""en"", ""te""),"""")"),"")</f>
        <v/>
      </c>
      <c r="E1519" s="2"/>
      <c r="F1519" s="2" t="str">
        <f>IFERROR(__xludf.DUMMYFUNCTION("IF(E1519&lt;&gt;"""", GOOGLETRANSLATE(E1519, ""en"", ""te""),"""")"),"")</f>
        <v/>
      </c>
      <c r="G1519" s="2"/>
      <c r="H1519" s="2" t="str">
        <f>IFERROR(__xludf.DUMMYFUNCTION("IF(G1519&lt;&gt;"""", GOOGLETRANSLATE(G1519, ""en"", ""te""),"""")"),"")</f>
        <v/>
      </c>
      <c r="I1519" s="3"/>
    </row>
    <row r="1520" customHeight="1" spans="1:9">
      <c r="A1520" s="2"/>
      <c r="B1520" s="2" t="str">
        <f>IFERROR(__xludf.DUMMYFUNCTION("IF(A1520&lt;&gt;"""", GOOGLETRANSLATE(A1520, ""en"", ""te""),"""")"),"")</f>
        <v/>
      </c>
      <c r="C1520" s="2"/>
      <c r="D1520" s="2" t="str">
        <f>IFERROR(__xludf.DUMMYFUNCTION("IF(C1520&lt;&gt;"""", GOOGLETRANSLATE(C1520, ""en"", ""te""),"""")"),"")</f>
        <v/>
      </c>
      <c r="E1520" s="2"/>
      <c r="F1520" s="2" t="str">
        <f>IFERROR(__xludf.DUMMYFUNCTION("IF(E1520&lt;&gt;"""", GOOGLETRANSLATE(E1520, ""en"", ""te""),"""")"),"")</f>
        <v/>
      </c>
      <c r="G1520" s="2"/>
      <c r="H1520" s="2" t="str">
        <f>IFERROR(__xludf.DUMMYFUNCTION("IF(G1520&lt;&gt;"""", GOOGLETRANSLATE(G1520, ""en"", ""te""),"""")"),"")</f>
        <v/>
      </c>
      <c r="I1520" s="3"/>
    </row>
    <row r="1521" customHeight="1" spans="1:9">
      <c r="A1521" s="2"/>
      <c r="B1521" s="2" t="str">
        <f>IFERROR(__xludf.DUMMYFUNCTION("IF(A1521&lt;&gt;"""", GOOGLETRANSLATE(A1521, ""en"", ""te""),"""")"),"")</f>
        <v/>
      </c>
      <c r="C1521" s="2" t="s">
        <v>956</v>
      </c>
      <c r="D1521" s="2" t="str">
        <f>IFERROR(__xludf.DUMMYFUNCTION("IF(C1521&lt;&gt;"""", GOOGLETRANSLATE(C1521, ""en"", ""te""),"""")"),"[ '25 పురాతన దేశం ఆటగాళ్ళు (88y 340d)']")</f>
        <v>[ '25 పురాతన దేశం ఆటగాళ్ళు (88y 340d)']</v>
      </c>
      <c r="E1521" s="2"/>
      <c r="F1521" s="2" t="str">
        <f>IFERROR(__xludf.DUMMYFUNCTION("IF(E1521&lt;&gt;"""", GOOGLETRANSLATE(E1521, ""en"", ""te""),"""")"),"")</f>
        <v/>
      </c>
      <c r="G1521" s="2"/>
      <c r="H1521" s="2" t="str">
        <f>IFERROR(__xludf.DUMMYFUNCTION("IF(G1521&lt;&gt;"""", GOOGLETRANSLATE(G1521, ""en"", ""te""),"""")"),"")</f>
        <v/>
      </c>
      <c r="I1521" s="3"/>
    </row>
    <row r="1522" customHeight="1" spans="1:9">
      <c r="A1522" s="2" t="s">
        <v>957</v>
      </c>
      <c r="B1522" s="2" t="str">
        <f>IFERROR(__xludf.DUMMYFUNCTION("IF(A1522&lt;&gt;"""", GOOGLETRANSLATE(A1522, ""en"", ""te""),"""")"),"[ 'ప్రవేశం (113) పై వంద']")</f>
        <v>[ 'ప్రవేశం (113) పై వంద']</v>
      </c>
      <c r="C1522" s="2" t="s">
        <v>958</v>
      </c>
      <c r="D1522" s="2" t="str">
        <f>IFERROR(__xludf.DUMMYFUNCTION("IF(C1522&lt;&gt;"""", GOOGLETRANSLATE(C1522, ""en"", ""te""),"""")"),"[ 'ఏడవ వికెట్ (167) కోసం 40 వ అత్యధిక భాగస్వామ్యం']")</f>
        <v>[ 'ఏడవ వికెట్ (167) కోసం 40 వ అత్యధిక భాగస్వామ్యం']</v>
      </c>
      <c r="E1522" s="2" t="s">
        <v>959</v>
      </c>
      <c r="F1522" s="2" t="str">
        <f>IFERROR(__xludf.DUMMYFUNCTION("IF(E1522&lt;&gt;"""", GOOGLETRANSLATE(E1522, ""en"", ""te""),"""")"),"[ '7th అత్యంత తొలి మ్యాచ్ (113) లో నడుస్తుంది']")</f>
        <v>[ '7th అత్యంత తొలి మ్యాచ్ (113) లో నడుస్తుంది']</v>
      </c>
      <c r="G1522" s="2" t="s">
        <v>933</v>
      </c>
      <c r="H1522" s="2" t="str">
        <f>IFERROR(__xludf.DUMMYFUNCTION("IF(G1522&lt;&gt;"""", GOOGLETRANSLATE(G1522, ""en"", ""te""),"""")"),"[ '15 వ ఇన్నింగ్స్ లో అత్యధిక క్యాచ్లు (3)']")</f>
        <v>[ '15 వ ఇన్నింగ్స్ లో అత్యధిక క్యాచ్లు (3)']</v>
      </c>
      <c r="I1522" s="3"/>
    </row>
    <row r="1523" customHeight="1" spans="1:9">
      <c r="A1523" s="2"/>
      <c r="B1523" s="2" t="str">
        <f>IFERROR(__xludf.DUMMYFUNCTION("IF(A1523&lt;&gt;"""", GOOGLETRANSLATE(A1523, ""en"", ""te""),"""")"),"")</f>
        <v/>
      </c>
      <c r="C1523" s="2"/>
      <c r="D1523" s="2" t="str">
        <f>IFERROR(__xludf.DUMMYFUNCTION("IF(C1523&lt;&gt;"""", GOOGLETRANSLATE(C1523, ""en"", ""te""),"""")"),"")</f>
        <v/>
      </c>
      <c r="E1523" s="2"/>
      <c r="F1523" s="2" t="str">
        <f>IFERROR(__xludf.DUMMYFUNCTION("IF(E1523&lt;&gt;"""", GOOGLETRANSLATE(E1523, ""en"", ""te""),"""")"),"")</f>
        <v/>
      </c>
      <c r="G1523" s="2"/>
      <c r="H1523" s="2" t="str">
        <f>IFERROR(__xludf.DUMMYFUNCTION("IF(G1523&lt;&gt;"""", GOOGLETRANSLATE(G1523, ""en"", ""te""),"""")"),"")</f>
        <v/>
      </c>
      <c r="I1523" s="3"/>
    </row>
    <row r="1524" customHeight="1" spans="1:9">
      <c r="A1524" s="2"/>
      <c r="B1524" s="2" t="str">
        <f>IFERROR(__xludf.DUMMYFUNCTION("IF(A1524&lt;&gt;"""", GOOGLETRANSLATE(A1524, ""en"", ""te""),"""")"),"")</f>
        <v/>
      </c>
      <c r="C1524" s="2"/>
      <c r="D1524" s="2" t="str">
        <f>IFERROR(__xludf.DUMMYFUNCTION("IF(C1524&lt;&gt;"""", GOOGLETRANSLATE(C1524, ""en"", ""te""),"""")"),"")</f>
        <v/>
      </c>
      <c r="E1524" s="2"/>
      <c r="F1524" s="2" t="str">
        <f>IFERROR(__xludf.DUMMYFUNCTION("IF(E1524&lt;&gt;"""", GOOGLETRANSLATE(E1524, ""en"", ""te""),"""")"),"")</f>
        <v/>
      </c>
      <c r="G1524" s="2"/>
      <c r="H1524" s="2" t="str">
        <f>IFERROR(__xludf.DUMMYFUNCTION("IF(G1524&lt;&gt;"""", GOOGLETRANSLATE(G1524, ""en"", ""te""),"""")"),"")</f>
        <v/>
      </c>
      <c r="I1524" s="3"/>
    </row>
    <row r="1525" customHeight="1" spans="1:9">
      <c r="A1525" s="2"/>
      <c r="B1525" s="2" t="str">
        <f>IFERROR(__xludf.DUMMYFUNCTION("IF(A1525&lt;&gt;"""", GOOGLETRANSLATE(A1525, ""en"", ""te""),"""")"),"")</f>
        <v/>
      </c>
      <c r="C1525" s="2"/>
      <c r="D1525" s="2" t="str">
        <f>IFERROR(__xludf.DUMMYFUNCTION("IF(C1525&lt;&gt;"""", GOOGLETRANSLATE(C1525, ""en"", ""te""),"""")"),"")</f>
        <v/>
      </c>
      <c r="E1525" s="2"/>
      <c r="F1525" s="2" t="str">
        <f>IFERROR(__xludf.DUMMYFUNCTION("IF(E1525&lt;&gt;"""", GOOGLETRANSLATE(E1525, ""en"", ""te""),"""")"),"")</f>
        <v/>
      </c>
      <c r="G1525" s="2"/>
      <c r="H1525" s="2" t="str">
        <f>IFERROR(__xludf.DUMMYFUNCTION("IF(G1525&lt;&gt;"""", GOOGLETRANSLATE(G1525, ""en"", ""te""),"""")"),"")</f>
        <v/>
      </c>
      <c r="I1525" s="3"/>
    </row>
    <row r="1526" customHeight="1" spans="1:9">
      <c r="A1526" s="2"/>
      <c r="B1526" s="2" t="str">
        <f>IFERROR(__xludf.DUMMYFUNCTION("IF(A1526&lt;&gt;"""", GOOGLETRANSLATE(A1526, ""en"", ""te""),"""")"),"")</f>
        <v/>
      </c>
      <c r="C1526" s="2"/>
      <c r="D1526" s="2" t="str">
        <f>IFERROR(__xludf.DUMMYFUNCTION("IF(C1526&lt;&gt;"""", GOOGLETRANSLATE(C1526, ""en"", ""te""),"""")"),"")</f>
        <v/>
      </c>
      <c r="E1526" s="2"/>
      <c r="F1526" s="2" t="str">
        <f>IFERROR(__xludf.DUMMYFUNCTION("IF(E1526&lt;&gt;"""", GOOGLETRANSLATE(E1526, ""en"", ""te""),"""")"),"")</f>
        <v/>
      </c>
      <c r="G1526" s="2"/>
      <c r="H1526" s="2" t="str">
        <f>IFERROR(__xludf.DUMMYFUNCTION("IF(G1526&lt;&gt;"""", GOOGLETRANSLATE(G1526, ""en"", ""te""),"""")"),"")</f>
        <v/>
      </c>
      <c r="I1526" s="3"/>
    </row>
    <row r="1527" customHeight="1" spans="1:9">
      <c r="A1527" s="2"/>
      <c r="B1527" s="2" t="str">
        <f>IFERROR(__xludf.DUMMYFUNCTION("IF(A1527&lt;&gt;"""", GOOGLETRANSLATE(A1527, ""en"", ""te""),"""")"),"")</f>
        <v/>
      </c>
      <c r="C1527" s="2"/>
      <c r="D1527" s="2" t="str">
        <f>IFERROR(__xludf.DUMMYFUNCTION("IF(C1527&lt;&gt;"""", GOOGLETRANSLATE(C1527, ""en"", ""te""),"""")"),"")</f>
        <v/>
      </c>
      <c r="E1527" s="2"/>
      <c r="F1527" s="2" t="str">
        <f>IFERROR(__xludf.DUMMYFUNCTION("IF(E1527&lt;&gt;"""", GOOGLETRANSLATE(E1527, ""en"", ""te""),"""")"),"")</f>
        <v/>
      </c>
      <c r="G1527" s="2"/>
      <c r="H1527" s="2" t="str">
        <f>IFERROR(__xludf.DUMMYFUNCTION("IF(G1527&lt;&gt;"""", GOOGLETRANSLATE(G1527, ""en"", ""te""),"""")"),"")</f>
        <v/>
      </c>
      <c r="I1527" s="3"/>
    </row>
    <row r="1528" customHeight="1" spans="1:9">
      <c r="A1528" s="2"/>
      <c r="B1528" s="2" t="str">
        <f>IFERROR(__xludf.DUMMYFUNCTION("IF(A1528&lt;&gt;"""", GOOGLETRANSLATE(A1528, ""en"", ""te""),"""")"),"")</f>
        <v/>
      </c>
      <c r="C1528" s="2"/>
      <c r="D1528" s="2" t="str">
        <f>IFERROR(__xludf.DUMMYFUNCTION("IF(C1528&lt;&gt;"""", GOOGLETRANSLATE(C1528, ""en"", ""te""),"""")"),"")</f>
        <v/>
      </c>
      <c r="E1528" s="2"/>
      <c r="F1528" s="2" t="str">
        <f>IFERROR(__xludf.DUMMYFUNCTION("IF(E1528&lt;&gt;"""", GOOGLETRANSLATE(E1528, ""en"", ""te""),"""")"),"")</f>
        <v/>
      </c>
      <c r="G1528" s="2"/>
      <c r="H1528" s="2" t="str">
        <f>IFERROR(__xludf.DUMMYFUNCTION("IF(G1528&lt;&gt;"""", GOOGLETRANSLATE(G1528, ""en"", ""te""),"""")"),"")</f>
        <v/>
      </c>
      <c r="I1528" s="3"/>
    </row>
    <row r="1529" customHeight="1" spans="1:9">
      <c r="A1529" s="2" t="s">
        <v>960</v>
      </c>
      <c r="B1529" s="2" t="str">
        <f>IFERROR(__xludf.DUMMYFUNCTION("IF(A1529&lt;&gt;"""", GOOGLETRANSLATE(A1529, ""en"", ""te""),"""")"),"[ 'కెరీర్లో 1st అత్యధిక వికెట్లు (555)', '1st కెరీర్లో అత్యధిక క్యాచ్లు (532)', 'హండ్రెడ్ మరియు ఒక మ్యాచ్లో ఒక డక్' కోసం, '300 పరుగులు మరియు ఒక సిరీస్లో 15 వికెట్కీపింగ్ తొలగింపులకు', '1 వ అత్యధిక భాగస్వామ్యం తొమ్మిదవ వికెట్ (195) ',' 1st ఎక్కువ సార్లు అవ"&amp;"ుట్ ఇన్నింగ్స్ (6) ',' 10 వ వరుస మ్యాచ్లు లో ఒక జట్టు (120) ',' 1 వ ఇన్నింగ్స్ లో అత్యధిక క్యాచ్లు (6) ',' 6 వ అత్యంత బాతులు వరుస (3) ',' 200 పరుగులు మరియు ఒక సిరీస్లో 10 వికెట్కీపింగ్ తొలగింపులకు ',' 1 వ అత్యంత ఇన్నింగ్స్ లో కెరీర్ లో సాధించిన (15) ',' 1"&amp;" వ అత్యధిక వికెట్లు బైస్ (998) ',' 1st కెరీర్లో అత్యధిక క్యాచ్లు ( 952) ']")</f>
        <v>[ 'కెరీర్లో 1st అత్యధిక వికెట్లు (555)', '1st కెరీర్లో అత్యధిక క్యాచ్లు (532)', 'హండ్రెడ్ మరియు ఒక మ్యాచ్లో ఒక డక్' కోసం, '300 పరుగులు మరియు ఒక సిరీస్లో 15 వికెట్కీపింగ్ తొలగింపులకు', '1 వ అత్యధిక భాగస్వామ్యం తొమ్మిదవ వికెట్ (195) ',' 1st ఎక్కువ సార్లు అవుట్ ఇన్నింగ్స్ (6) ',' 10 వ వరుస మ్యాచ్లు లో ఒక జట్టు (120) ',' 1 వ ఇన్నింగ్స్ లో అత్యధిక క్యాచ్లు (6) ',' 6 వ అత్యంత బాతులు వరుస (3) ',' 200 పరుగులు మరియు ఒక సిరీస్లో 10 వికెట్కీపింగ్ తొలగింపులకు ',' 1 వ అత్యంత ఇన్నింగ్స్ లో కెరీర్ లో సాధించిన (15) ',' 1 వ అత్యధిక వికెట్లు బైస్ (998) ',' 1st కెరీర్లో అత్యధిక క్యాచ్లు ( 952) ']</v>
      </c>
      <c r="C1529" s="2" t="s">
        <v>961</v>
      </c>
      <c r="D1529" s="2" t="str">
        <f>IFERROR(__xludf.DUMMYFUNCTION("IF(C1529&lt;&gt;"""", GOOGLETRANSLATE(C1529, ""en"", ""te""),"""")"),"[ '35 వ అత్యంత వికెట్కీపర్ శ్రేణిలో పరుగులు (341)', '39 వ కెరీర్ బాతులు (17)', వికెట్ తేడాతో '12 వ ఉత్తమ కెరీర్ (6.00) (అర్హత లేకుండా) సగటు బౌలింగ్', '9 వ అత్యధిక భాగస్వామ్యాల (9 ) ',' ఎనిమిదవ వికెట్కు 23 అత్యధిక భాగస్వామ్యం (148) ',' తొమ్మిదవ వికెట్కు 1s"&amp;"t అత్యధిక భాగస్వామ్యం (195) ',' 11 వ అత్యధిక కెరీర్ లో మ్యాచ్లు (147) ',' ఒక జట్టు కోసం 17 వరుస మ్యాచ్లు (75 ) ',' 30 వ పిన్న కాప్టెన్ (25y 81d) ',' ఇన్నింగ్స్ లో వికెట్ (4) ',' 1st కెరీర్లో అత్యధిక వికెట్లు (555) ',' 5 వ అత్యధిక వికెట్లు ఉంచింది చేసిన 19"&amp;" కెప్టెన్ల (6) ',' 8 వ వరుస (9) ',' 5 వ అత్యధిక వికెట్లు ఒక మ్యాచ్లో అత్యధిక వికెట్లు (26) ',' 1 వ అత్యధిక క్యాచ్లు ఒక ఇన్నింగ్స్ లో (6) ',' 8 వ అత్యధిక క్యాచ్లు కెరీర్ లో (532) ',' 5 వ అత్యధిక క్యాచ్లు ఒక మ్యాచ్ (9) ',' 11 వ అత్యంత వరుస క్యాచ్లు (25) ','"&amp;" 12 వ కెరీర్ స్టంపింగ్లు (23) ',' 19 వ అత్యధిక ఇన్నింగ్స్ బై (595) గూడా ఇవ్వకుండా మొత్తం ']")</f>
        <v>[ '35 వ అత్యంత వికెట్కీపర్ శ్రేణిలో పరుగులు (341)', '39 వ కెరీర్ బాతులు (17)', వికెట్ తేడాతో '12 వ ఉత్తమ కెరీర్ (6.00) (అర్హత లేకుండా) సగటు బౌలింగ్', '9 వ అత్యధిక భాగస్వామ్యాల (9 ) ',' ఎనిమిదవ వికెట్కు 23 అత్యధిక భాగస్వామ్యం (148) ',' తొమ్మిదవ వికెట్కు 1st అత్యధిక భాగస్వామ్యం (195) ',' 11 వ అత్యధిక కెరీర్ లో మ్యాచ్లు (147) ',' ఒక జట్టు కోసం 17 వరుస మ్యాచ్లు (75 ) ',' 30 వ పిన్న కాప్టెన్ (25y 81d) ',' ఇన్నింగ్స్ లో వికెట్ (4) ',' 1st కెరీర్లో అత్యధిక వికెట్లు (555) ',' 5 వ అత్యధిక వికెట్లు ఉంచింది చేసిన 19 కెప్టెన్ల (6) ',' 8 వ వరుస (9) ',' 5 వ అత్యధిక వికెట్లు ఒక మ్యాచ్లో అత్యధిక వికెట్లు (26) ',' 1 వ అత్యధిక క్యాచ్లు ఒక ఇన్నింగ్స్ లో (6) ',' 8 వ అత్యధిక క్యాచ్లు కెరీర్ లో (532) ',' 5 వ అత్యధిక క్యాచ్లు ఒక మ్యాచ్ (9) ',' 11 వ అత్యంత వరుస క్యాచ్లు (25) ',' 12 వ కెరీర్ స్టంపింగ్లు (23) ',' 19 వ అత్యధిక ఇన్నింగ్స్ బై (595) గూడా ఇవ్వకుండా మొత్తం ']</v>
      </c>
      <c r="E1529" s="2" t="s">
        <v>962</v>
      </c>
      <c r="F1529" s="2" t="str">
        <f>IFERROR(__xludf.DUMMYFUNCTION("IF(E1529&lt;&gt;"""", GOOGLETRANSLATE(E1529, ""en"", ""te""),"""")"),"[ '13 వ ఇన్నింగ్స్ లో అత్యధిక పరుగులు (బ్యాటింగ్ స్థానంలో ప్రకారం) (147 *)', '15 వ ఇన్నింగ్స్ లో అత్యధిక పరుగులు అత్యధిక వికెట్లు (147 *)', '23 వ ఎత్తైన తొలి వంద (147 *)', '37 వ అత్యంత బాతులు కెరీర్లో (16) ',' 6 వ ఒక సిరీస్లో అత్యధిక బాతులు ఇన్నింగ్స్ లో"&amp;" (3) ',' 22 వ ఎక్కువ సిక్స్ (10) ఆరవ వికెట్కు ',' 34 వ అత్యధిక భాగస్వామ్యం (131) ',' 16 వ అత్యధిక కొరకు చేసిన భాగస్వామ్యం ఏడవ వికెట్ (114) ',' 23 వ కెరీర్ లో అత్యధిక మ్యాచ్లు (295) ',' ఒక జట్టుకు 10 వ వరుస మ్యాచ్లు (120) ',' వికెట్ను కాపాడుకున్నాడు చేసిన "&amp;"31 కెప్టెన్ల (1) ',' 4 వ కెరీర్ లో అత్యధిక వికెట్లు ( వరుస ఇన్నింగ్స్ లో 424) ',' 1 వ అత్యధిక వికెట్లు (6) ',' 25 వ అత్యధిక వికెట్లు కెరీర్లో (16) ',' 2 వ అత్యధిక క్యాచ్లు (402) ',' 1 వ ఇన్నింగ్స్ లో అత్యధిక క్యాచ్లు (6) ' '12 వ ఒక సిరీస్లో అత్యధిక క్యాచ్"&amp;"లు (16)', 'కెరీర్ లో 21 వ అత్యంత స్టంపింగ్లు (22)']")</f>
        <v>[ '13 వ ఇన్నింగ్స్ లో అత్యధిక పరుగులు (బ్యాటింగ్ స్థానంలో ప్రకారం) (147 *)', '15 వ ఇన్నింగ్స్ లో అత్యధిక పరుగులు అత్యధిక వికెట్లు (147 *)', '23 వ ఎత్తైన తొలి వంద (147 *)', '37 వ అత్యంత బాతులు కెరీర్లో (16) ',' 6 వ ఒక సిరీస్లో అత్యధిక బాతులు ఇన్నింగ్స్ లో (3) ',' 22 వ ఎక్కువ సిక్స్ (10) ఆరవ వికెట్కు ',' 34 వ అత్యధిక భాగస్వామ్యం (131) ',' 16 వ అత్యధిక కొరకు చేసిన భాగస్వామ్యం ఏడవ వికెట్ (114) ',' 23 వ కెరీర్ లో అత్యధిక మ్యాచ్లు (295) ',' ఒక జట్టుకు 10 వ వరుస మ్యాచ్లు (120) ',' వికెట్ను కాపాడుకున్నాడు చేసిన 31 కెప్టెన్ల (1) ',' 4 వ కెరీర్ లో అత్యధిక వికెట్లు ( వరుస ఇన్నింగ్స్ లో 424) ',' 1 వ అత్యధిక వికెట్లు (6) ',' 25 వ అత్యధిక వికెట్లు కెరీర్లో (16) ',' 2 వ అత్యధిక క్యాచ్లు (402) ',' 1 వ ఇన్నింగ్స్ లో అత్యధిక క్యాచ్లు (6) ' '12 వ ఒక సిరీస్లో అత్యధిక క్యాచ్లు (16)', 'కెరీర్ లో 21 వ అత్యంత స్టంపింగ్లు (22)']</v>
      </c>
      <c r="G1529" s="2" t="s">
        <v>963</v>
      </c>
      <c r="H1529" s="2" t="str">
        <f>IFERROR(__xludf.DUMMYFUNCTION("IF(G1529&lt;&gt;"""", GOOGLETRANSLATE(G1529, ""en"", ""te""),"""")"),"[ 'కెరీర్లో 24 వ లేవు బాతులు (21)', 'ఆరవ వికెట్కు 29 అత్యధిక భాగస్వామ్యం (69)', '19 వ అత్యధిక కెరీర్ లో క్యాచ్లు (18)', '13 వ అత్యంత ఇన్నింగ్స్ లో క్యాచ్లు (3)', '1st ఒక ఇన్నింగ్స్ లో సాధించిన అత్యంత బైలు (15) ']")</f>
        <v>[ 'కెరీర్లో 24 వ లేవు బాతులు (21)', 'ఆరవ వికెట్కు 29 అత్యధిక భాగస్వామ్యం (69)', '19 వ అత్యధిక కెరీర్ లో క్యాచ్లు (18)', '13 వ అత్యంత ఇన్నింగ్స్ లో క్యాచ్లు (3)', '1st ఒక ఇన్నింగ్స్ లో సాధించిన అత్యంత బైలు (15) ']</v>
      </c>
      <c r="I1529" s="3"/>
    </row>
    <row r="1530" customHeight="1" spans="1:9">
      <c r="A1530" s="2"/>
      <c r="B1530" s="2" t="str">
        <f>IFERROR(__xludf.DUMMYFUNCTION("IF(A1530&lt;&gt;"""", GOOGLETRANSLATE(A1530, ""en"", ""te""),"""")"),"")</f>
        <v/>
      </c>
      <c r="C1530" s="2" t="s">
        <v>964</v>
      </c>
      <c r="D1530" s="2" t="str">
        <f>IFERROR(__xludf.DUMMYFUNCTION("IF(C1530&lt;&gt;"""", GOOGLETRANSLATE(C1530, ""en"", ""te""),"""")"),"[ '20 వ వరుస (4) లో అన్ని టాస్ గెలిచి']")</f>
        <v>[ '20 వ వరుస (4) లో అన్ని టాస్ గెలిచి']</v>
      </c>
      <c r="E1530" s="2"/>
      <c r="F1530" s="2" t="str">
        <f>IFERROR(__xludf.DUMMYFUNCTION("IF(E1530&lt;&gt;"""", GOOGLETRANSLATE(E1530, ""en"", ""te""),"""")"),"")</f>
        <v/>
      </c>
      <c r="G1530" s="2"/>
      <c r="H1530" s="2" t="str">
        <f>IFERROR(__xludf.DUMMYFUNCTION("IF(G1530&lt;&gt;"""", GOOGLETRANSLATE(G1530, ""en"", ""te""),"""")"),"")</f>
        <v/>
      </c>
      <c r="I1530" s="3"/>
    </row>
    <row r="1531" customHeight="1" spans="1:9">
      <c r="A1531" s="2"/>
      <c r="B1531" s="2" t="str">
        <f>IFERROR(__xludf.DUMMYFUNCTION("IF(A1531&lt;&gt;"""", GOOGLETRANSLATE(A1531, ""en"", ""te""),"""")"),"")</f>
        <v/>
      </c>
      <c r="C1531" s="2"/>
      <c r="D1531" s="2" t="str">
        <f>IFERROR(__xludf.DUMMYFUNCTION("IF(C1531&lt;&gt;"""", GOOGLETRANSLATE(C1531, ""en"", ""te""),"""")"),"")</f>
        <v/>
      </c>
      <c r="E1531" s="2"/>
      <c r="F1531" s="2" t="str">
        <f>IFERROR(__xludf.DUMMYFUNCTION("IF(E1531&lt;&gt;"""", GOOGLETRANSLATE(E1531, ""en"", ""te""),"""")"),"")</f>
        <v/>
      </c>
      <c r="G1531" s="2"/>
      <c r="H1531" s="2" t="str">
        <f>IFERROR(__xludf.DUMMYFUNCTION("IF(G1531&lt;&gt;"""", GOOGLETRANSLATE(G1531, ""en"", ""te""),"""")"),"")</f>
        <v/>
      </c>
      <c r="I1531" s="3"/>
    </row>
    <row r="1532" customHeight="1" spans="1:9">
      <c r="A1532" s="2"/>
      <c r="B1532" s="2" t="str">
        <f>IFERROR(__xludf.DUMMYFUNCTION("IF(A1532&lt;&gt;"""", GOOGLETRANSLATE(A1532, ""en"", ""te""),"""")"),"")</f>
        <v/>
      </c>
      <c r="C1532" s="2"/>
      <c r="D1532" s="2" t="str">
        <f>IFERROR(__xludf.DUMMYFUNCTION("IF(C1532&lt;&gt;"""", GOOGLETRANSLATE(C1532, ""en"", ""te""),"""")"),"")</f>
        <v/>
      </c>
      <c r="E1532" s="2"/>
      <c r="F1532" s="2" t="str">
        <f>IFERROR(__xludf.DUMMYFUNCTION("IF(E1532&lt;&gt;"""", GOOGLETRANSLATE(E1532, ""en"", ""te""),"""")"),"")</f>
        <v/>
      </c>
      <c r="G1532" s="2"/>
      <c r="H1532" s="2" t="str">
        <f>IFERROR(__xludf.DUMMYFUNCTION("IF(G1532&lt;&gt;"""", GOOGLETRANSLATE(G1532, ""en"", ""te""),"""")"),"")</f>
        <v/>
      </c>
      <c r="I1532" s="3"/>
    </row>
    <row r="1533" customHeight="1" spans="1:9">
      <c r="A1533" s="2"/>
      <c r="B1533" s="2" t="str">
        <f>IFERROR(__xludf.DUMMYFUNCTION("IF(A1533&lt;&gt;"""", GOOGLETRANSLATE(A1533, ""en"", ""te""),"""")"),"")</f>
        <v/>
      </c>
      <c r="C1533" s="2"/>
      <c r="D1533" s="2" t="str">
        <f>IFERROR(__xludf.DUMMYFUNCTION("IF(C1533&lt;&gt;"""", GOOGLETRANSLATE(C1533, ""en"", ""te""),"""")"),"")</f>
        <v/>
      </c>
      <c r="E1533" s="2"/>
      <c r="F1533" s="2" t="str">
        <f>IFERROR(__xludf.DUMMYFUNCTION("IF(E1533&lt;&gt;"""", GOOGLETRANSLATE(E1533, ""en"", ""te""),"""")"),"")</f>
        <v/>
      </c>
      <c r="G1533" s="2"/>
      <c r="H1533" s="2" t="str">
        <f>IFERROR(__xludf.DUMMYFUNCTION("IF(G1533&lt;&gt;"""", GOOGLETRANSLATE(G1533, ""en"", ""te""),"""")"),"")</f>
        <v/>
      </c>
      <c r="I1533" s="3"/>
    </row>
    <row r="1534" customHeight="1" spans="1:9">
      <c r="A1534" s="2"/>
      <c r="B1534" s="2" t="str">
        <f>IFERROR(__xludf.DUMMYFUNCTION("IF(A1534&lt;&gt;"""", GOOGLETRANSLATE(A1534, ""en"", ""te""),"""")"),"")</f>
        <v/>
      </c>
      <c r="C1534" s="2"/>
      <c r="D1534" s="2" t="str">
        <f>IFERROR(__xludf.DUMMYFUNCTION("IF(C1534&lt;&gt;"""", GOOGLETRANSLATE(C1534, ""en"", ""te""),"""")"),"")</f>
        <v/>
      </c>
      <c r="E1534" s="2"/>
      <c r="F1534" s="2" t="str">
        <f>IFERROR(__xludf.DUMMYFUNCTION("IF(E1534&lt;&gt;"""", GOOGLETRANSLATE(E1534, ""en"", ""te""),"""")"),"")</f>
        <v/>
      </c>
      <c r="G1534" s="2"/>
      <c r="H1534" s="2" t="str">
        <f>IFERROR(__xludf.DUMMYFUNCTION("IF(G1534&lt;&gt;"""", GOOGLETRANSLATE(G1534, ""en"", ""te""),"""")"),"")</f>
        <v/>
      </c>
      <c r="I1534" s="3"/>
    </row>
    <row r="1535" customHeight="1" spans="1:9">
      <c r="A1535" s="2"/>
      <c r="B1535" s="2" t="str">
        <f>IFERROR(__xludf.DUMMYFUNCTION("IF(A1535&lt;&gt;"""", GOOGLETRANSLATE(A1535, ""en"", ""te""),"""")"),"")</f>
        <v/>
      </c>
      <c r="C1535" s="2"/>
      <c r="D1535" s="2" t="str">
        <f>IFERROR(__xludf.DUMMYFUNCTION("IF(C1535&lt;&gt;"""", GOOGLETRANSLATE(C1535, ""en"", ""te""),"""")"),"")</f>
        <v/>
      </c>
      <c r="E1535" s="2"/>
      <c r="F1535" s="2" t="str">
        <f>IFERROR(__xludf.DUMMYFUNCTION("IF(E1535&lt;&gt;"""", GOOGLETRANSLATE(E1535, ""en"", ""te""),"""")"),"")</f>
        <v/>
      </c>
      <c r="G1535" s="2"/>
      <c r="H1535" s="2" t="str">
        <f>IFERROR(__xludf.DUMMYFUNCTION("IF(G1535&lt;&gt;"""", GOOGLETRANSLATE(G1535, ""en"", ""te""),"""")"),"")</f>
        <v/>
      </c>
      <c r="I1535" s="3"/>
    </row>
    <row r="1536" customHeight="1" spans="1:9">
      <c r="A1536" s="2"/>
      <c r="B1536" s="2" t="str">
        <f>IFERROR(__xludf.DUMMYFUNCTION("IF(A1536&lt;&gt;"""", GOOGLETRANSLATE(A1536, ""en"", ""te""),"""")"),"")</f>
        <v/>
      </c>
      <c r="C1536" s="2"/>
      <c r="D1536" s="2" t="str">
        <f>IFERROR(__xludf.DUMMYFUNCTION("IF(C1536&lt;&gt;"""", GOOGLETRANSLATE(C1536, ""en"", ""te""),"""")"),"")</f>
        <v/>
      </c>
      <c r="E1536" s="2"/>
      <c r="F1536" s="2" t="str">
        <f>IFERROR(__xludf.DUMMYFUNCTION("IF(E1536&lt;&gt;"""", GOOGLETRANSLATE(E1536, ""en"", ""te""),"""")"),"")</f>
        <v/>
      </c>
      <c r="G1536" s="2"/>
      <c r="H1536" s="2" t="str">
        <f>IFERROR(__xludf.DUMMYFUNCTION("IF(G1536&lt;&gt;"""", GOOGLETRANSLATE(G1536, ""en"", ""te""),"""")"),"")</f>
        <v/>
      </c>
      <c r="I1536" s="3"/>
    </row>
    <row r="1537" customHeight="1" spans="1:9">
      <c r="A1537" s="2"/>
      <c r="B1537" s="2" t="str">
        <f>IFERROR(__xludf.DUMMYFUNCTION("IF(A1537&lt;&gt;"""", GOOGLETRANSLATE(A1537, ""en"", ""te""),"""")"),"")</f>
        <v/>
      </c>
      <c r="C1537" s="2"/>
      <c r="D1537" s="2" t="str">
        <f>IFERROR(__xludf.DUMMYFUNCTION("IF(C1537&lt;&gt;"""", GOOGLETRANSLATE(C1537, ""en"", ""te""),"""")"),"")</f>
        <v/>
      </c>
      <c r="E1537" s="2"/>
      <c r="F1537" s="2" t="str">
        <f>IFERROR(__xludf.DUMMYFUNCTION("IF(E1537&lt;&gt;"""", GOOGLETRANSLATE(E1537, ""en"", ""te""),"""")"),"")</f>
        <v/>
      </c>
      <c r="G1537" s="2"/>
      <c r="H1537" s="2" t="str">
        <f>IFERROR(__xludf.DUMMYFUNCTION("IF(G1537&lt;&gt;"""", GOOGLETRANSLATE(G1537, ""en"", ""te""),"""")"),"")</f>
        <v/>
      </c>
      <c r="I1537" s="3"/>
    </row>
    <row r="1538" customHeight="1" spans="1:9">
      <c r="A1538" s="2"/>
      <c r="B1538" s="2" t="str">
        <f>IFERROR(__xludf.DUMMYFUNCTION("IF(A1538&lt;&gt;"""", GOOGLETRANSLATE(A1538, ""en"", ""te""),"""")"),"")</f>
        <v/>
      </c>
      <c r="C1538" s="2"/>
      <c r="D1538" s="2" t="str">
        <f>IFERROR(__xludf.DUMMYFUNCTION("IF(C1538&lt;&gt;"""", GOOGLETRANSLATE(C1538, ""en"", ""te""),"""")"),"")</f>
        <v/>
      </c>
      <c r="E1538" s="2"/>
      <c r="F1538" s="2" t="str">
        <f>IFERROR(__xludf.DUMMYFUNCTION("IF(E1538&lt;&gt;"""", GOOGLETRANSLATE(E1538, ""en"", ""te""),"""")"),"")</f>
        <v/>
      </c>
      <c r="G1538" s="2"/>
      <c r="H1538" s="2" t="str">
        <f>IFERROR(__xludf.DUMMYFUNCTION("IF(G1538&lt;&gt;"""", GOOGLETRANSLATE(G1538, ""en"", ""te""),"""")"),"")</f>
        <v/>
      </c>
      <c r="I1538" s="3"/>
    </row>
    <row r="1539" customHeight="1" spans="1:9">
      <c r="A1539" s="2"/>
      <c r="B1539" s="2" t="str">
        <f>IFERROR(__xludf.DUMMYFUNCTION("IF(A1539&lt;&gt;"""", GOOGLETRANSLATE(A1539, ""en"", ""te""),"""")"),"")</f>
        <v/>
      </c>
      <c r="C1539" s="2"/>
      <c r="D1539" s="2" t="str">
        <f>IFERROR(__xludf.DUMMYFUNCTION("IF(C1539&lt;&gt;"""", GOOGLETRANSLATE(C1539, ""en"", ""te""),"""")"),"")</f>
        <v/>
      </c>
      <c r="E1539" s="2"/>
      <c r="F1539" s="2" t="str">
        <f>IFERROR(__xludf.DUMMYFUNCTION("IF(E1539&lt;&gt;"""", GOOGLETRANSLATE(E1539, ""en"", ""te""),"""")"),"")</f>
        <v/>
      </c>
      <c r="G1539" s="2"/>
      <c r="H1539" s="2" t="str">
        <f>IFERROR(__xludf.DUMMYFUNCTION("IF(G1539&lt;&gt;"""", GOOGLETRANSLATE(G1539, ""en"", ""te""),"""")"),"")</f>
        <v/>
      </c>
      <c r="I1539" s="3"/>
    </row>
    <row r="1540" customHeight="1" spans="1:9">
      <c r="A1540" s="2"/>
      <c r="B1540" s="2" t="str">
        <f>IFERROR(__xludf.DUMMYFUNCTION("IF(A1540&lt;&gt;"""", GOOGLETRANSLATE(A1540, ""en"", ""te""),"""")"),"")</f>
        <v/>
      </c>
      <c r="C1540" s="2" t="s">
        <v>965</v>
      </c>
      <c r="D1540" s="2" t="str">
        <f>IFERROR(__xludf.DUMMYFUNCTION("IF(C1540&lt;&gt;"""", GOOGLETRANSLATE(C1540, ""en"", ""te""),"""")"),"[ '32 వ పిన్న ఆటగాడు ఐదు వికెట్ల లో-ఒక-ఇన్నింగ్స్ తీసుకోవాలని (19y 360d)']")</f>
        <v>[ '32 వ పిన్న ఆటగాడు ఐదు వికెట్ల లో-ఒక-ఇన్నింగ్స్ తీసుకోవాలని (19y 360d)']</v>
      </c>
      <c r="E1540" s="2"/>
      <c r="F1540" s="2" t="str">
        <f>IFERROR(__xludf.DUMMYFUNCTION("IF(E1540&lt;&gt;"""", GOOGLETRANSLATE(E1540, ""en"", ""te""),"""")"),"")</f>
        <v/>
      </c>
      <c r="G1540" s="2"/>
      <c r="H1540" s="2" t="str">
        <f>IFERROR(__xludf.DUMMYFUNCTION("IF(G1540&lt;&gt;"""", GOOGLETRANSLATE(G1540, ""en"", ""te""),"""")"),"")</f>
        <v/>
      </c>
      <c r="I1540" s="3"/>
    </row>
    <row r="1541" customHeight="1" spans="1:9">
      <c r="A1541" s="2"/>
      <c r="B1541" s="2" t="str">
        <f>IFERROR(__xludf.DUMMYFUNCTION("IF(A1541&lt;&gt;"""", GOOGLETRANSLATE(A1541, ""en"", ""te""),"""")"),"")</f>
        <v/>
      </c>
      <c r="C1541" s="2"/>
      <c r="D1541" s="2" t="str">
        <f>IFERROR(__xludf.DUMMYFUNCTION("IF(C1541&lt;&gt;"""", GOOGLETRANSLATE(C1541, ""en"", ""te""),"""")"),"")</f>
        <v/>
      </c>
      <c r="E1541" s="2"/>
      <c r="F1541" s="2" t="str">
        <f>IFERROR(__xludf.DUMMYFUNCTION("IF(E1541&lt;&gt;"""", GOOGLETRANSLATE(E1541, ""en"", ""te""),"""")"),"")</f>
        <v/>
      </c>
      <c r="G1541" s="2"/>
      <c r="H1541" s="2" t="str">
        <f>IFERROR(__xludf.DUMMYFUNCTION("IF(G1541&lt;&gt;"""", GOOGLETRANSLATE(G1541, ""en"", ""te""),"""")"),"")</f>
        <v/>
      </c>
      <c r="I1541" s="3"/>
    </row>
    <row r="1542" customHeight="1" spans="1:9">
      <c r="A1542" s="2"/>
      <c r="B1542" s="2" t="str">
        <f>IFERROR(__xludf.DUMMYFUNCTION("IF(A1542&lt;&gt;"""", GOOGLETRANSLATE(A1542, ""en"", ""te""),"""")"),"")</f>
        <v/>
      </c>
      <c r="C1542" s="2"/>
      <c r="D1542" s="2" t="str">
        <f>IFERROR(__xludf.DUMMYFUNCTION("IF(C1542&lt;&gt;"""", GOOGLETRANSLATE(C1542, ""en"", ""te""),"""")"),"")</f>
        <v/>
      </c>
      <c r="E1542" s="2"/>
      <c r="F1542" s="2" t="str">
        <f>IFERROR(__xludf.DUMMYFUNCTION("IF(E1542&lt;&gt;"""", GOOGLETRANSLATE(E1542, ""en"", ""te""),"""")"),"")</f>
        <v/>
      </c>
      <c r="G1542" s="2"/>
      <c r="H1542" s="2" t="str">
        <f>IFERROR(__xludf.DUMMYFUNCTION("IF(G1542&lt;&gt;"""", GOOGLETRANSLATE(G1542, ""en"", ""te""),"""")"),"")</f>
        <v/>
      </c>
      <c r="I1542" s="3"/>
    </row>
    <row r="1543" customHeight="1" spans="1:9">
      <c r="A1543" s="2"/>
      <c r="B1543" s="2" t="str">
        <f>IFERROR(__xludf.DUMMYFUNCTION("IF(A1543&lt;&gt;"""", GOOGLETRANSLATE(A1543, ""en"", ""te""),"""")"),"")</f>
        <v/>
      </c>
      <c r="C1543" s="2"/>
      <c r="D1543" s="2" t="str">
        <f>IFERROR(__xludf.DUMMYFUNCTION("IF(C1543&lt;&gt;"""", GOOGLETRANSLATE(C1543, ""en"", ""te""),"""")"),"")</f>
        <v/>
      </c>
      <c r="E1543" s="2"/>
      <c r="F1543" s="2" t="str">
        <f>IFERROR(__xludf.DUMMYFUNCTION("IF(E1543&lt;&gt;"""", GOOGLETRANSLATE(E1543, ""en"", ""te""),"""")"),"")</f>
        <v/>
      </c>
      <c r="G1543" s="2"/>
      <c r="H1543" s="2" t="str">
        <f>IFERROR(__xludf.DUMMYFUNCTION("IF(G1543&lt;&gt;"""", GOOGLETRANSLATE(G1543, ""en"", ""te""),"""")"),"")</f>
        <v/>
      </c>
      <c r="I1543" s="3"/>
    </row>
    <row r="1544" customHeight="1" spans="1:9">
      <c r="A1544" s="2"/>
      <c r="B1544" s="2" t="str">
        <f>IFERROR(__xludf.DUMMYFUNCTION("IF(A1544&lt;&gt;"""", GOOGLETRANSLATE(A1544, ""en"", ""te""),"""")"),"")</f>
        <v/>
      </c>
      <c r="C1544" s="2"/>
      <c r="D1544" s="2" t="str">
        <f>IFERROR(__xludf.DUMMYFUNCTION("IF(C1544&lt;&gt;"""", GOOGLETRANSLATE(C1544, ""en"", ""te""),"""")"),"")</f>
        <v/>
      </c>
      <c r="E1544" s="2"/>
      <c r="F1544" s="2" t="str">
        <f>IFERROR(__xludf.DUMMYFUNCTION("IF(E1544&lt;&gt;"""", GOOGLETRANSLATE(E1544, ""en"", ""te""),"""")"),"")</f>
        <v/>
      </c>
      <c r="G1544" s="2"/>
      <c r="H1544" s="2" t="str">
        <f>IFERROR(__xludf.DUMMYFUNCTION("IF(G1544&lt;&gt;"""", GOOGLETRANSLATE(G1544, ""en"", ""te""),"""")"),"")</f>
        <v/>
      </c>
      <c r="I1544" s="3"/>
    </row>
    <row r="1545" customHeight="1" spans="1:9">
      <c r="A1545" s="2"/>
      <c r="B1545" s="2" t="str">
        <f>IFERROR(__xludf.DUMMYFUNCTION("IF(A1545&lt;&gt;"""", GOOGLETRANSLATE(A1545, ""en"", ""te""),"""")"),"")</f>
        <v/>
      </c>
      <c r="C1545" s="2"/>
      <c r="D1545" s="2" t="str">
        <f>IFERROR(__xludf.DUMMYFUNCTION("IF(C1545&lt;&gt;"""", GOOGLETRANSLATE(C1545, ""en"", ""te""),"""")"),"")</f>
        <v/>
      </c>
      <c r="E1545" s="2"/>
      <c r="F1545" s="2" t="str">
        <f>IFERROR(__xludf.DUMMYFUNCTION("IF(E1545&lt;&gt;"""", GOOGLETRANSLATE(E1545, ""en"", ""te""),"""")"),"")</f>
        <v/>
      </c>
      <c r="G1545" s="2"/>
      <c r="H1545" s="2" t="str">
        <f>IFERROR(__xludf.DUMMYFUNCTION("IF(G1545&lt;&gt;"""", GOOGLETRANSLATE(G1545, ""en"", ""te""),"""")"),"")</f>
        <v/>
      </c>
      <c r="I1545" s="3"/>
    </row>
    <row r="1546" customHeight="1" spans="1:9">
      <c r="A1546" s="2"/>
      <c r="B1546" s="2" t="str">
        <f>IFERROR(__xludf.DUMMYFUNCTION("IF(A1546&lt;&gt;"""", GOOGLETRANSLATE(A1546, ""en"", ""te""),"""")"),"")</f>
        <v/>
      </c>
      <c r="C1546" s="2"/>
      <c r="D1546" s="2" t="str">
        <f>IFERROR(__xludf.DUMMYFUNCTION("IF(C1546&lt;&gt;"""", GOOGLETRANSLATE(C1546, ""en"", ""te""),"""")"),"")</f>
        <v/>
      </c>
      <c r="E1546" s="2"/>
      <c r="F1546" s="2" t="str">
        <f>IFERROR(__xludf.DUMMYFUNCTION("IF(E1546&lt;&gt;"""", GOOGLETRANSLATE(E1546, ""en"", ""te""),"""")"),"")</f>
        <v/>
      </c>
      <c r="G1546" s="2"/>
      <c r="H1546" s="2" t="str">
        <f>IFERROR(__xludf.DUMMYFUNCTION("IF(G1546&lt;&gt;"""", GOOGLETRANSLATE(G1546, ""en"", ""te""),"""")"),"")</f>
        <v/>
      </c>
      <c r="I1546" s="3"/>
    </row>
    <row r="1547" customHeight="1" spans="1:9">
      <c r="A1547" s="2"/>
      <c r="B1547" s="2" t="str">
        <f>IFERROR(__xludf.DUMMYFUNCTION("IF(A1547&lt;&gt;"""", GOOGLETRANSLATE(A1547, ""en"", ""te""),"""")"),"")</f>
        <v/>
      </c>
      <c r="C1547" s="2"/>
      <c r="D1547" s="2" t="str">
        <f>IFERROR(__xludf.DUMMYFUNCTION("IF(C1547&lt;&gt;"""", GOOGLETRANSLATE(C1547, ""en"", ""te""),"""")"),"")</f>
        <v/>
      </c>
      <c r="E1547" s="2"/>
      <c r="F1547" s="2" t="str">
        <f>IFERROR(__xludf.DUMMYFUNCTION("IF(E1547&lt;&gt;"""", GOOGLETRANSLATE(E1547, ""en"", ""te""),"""")"),"")</f>
        <v/>
      </c>
      <c r="G1547" s="2"/>
      <c r="H1547" s="2" t="str">
        <f>IFERROR(__xludf.DUMMYFUNCTION("IF(G1547&lt;&gt;"""", GOOGLETRANSLATE(G1547, ""en"", ""te""),"""")"),"")</f>
        <v/>
      </c>
      <c r="I1547" s="3"/>
    </row>
    <row r="1548" customHeight="1" spans="1:9">
      <c r="A1548" s="2" t="s">
        <v>966</v>
      </c>
      <c r="B1548" s="2" t="str">
        <f>IFERROR(__xludf.DUMMYFUNCTION("IF(A1548&lt;&gt;"""", GOOGLETRANSLATE(A1548, ""en"", ""te""),"""")"),"[ '7th పిన్న కాప్టెన్ (23y 250d)', '8 వ అత్యధిక పరుగులు ఇన్నింగ్స్ లో (బ్యాటింగ్ స్థానం) (61)', 'ఒకే మ్యాచ్ లో బ్యాటింగ్ ప్రారంభించుటకు మరియు బౌలింగ్']")</f>
        <v>[ '7th పిన్న కాప్టెన్ (23y 250d)', '8 వ అత్యధిక పరుగులు ఇన్నింగ్స్ లో (బ్యాటింగ్ స్థానం) (61)', 'ఒకే మ్యాచ్ లో బ్యాటింగ్ ప్రారంభించుటకు మరియు బౌలింగ్']</v>
      </c>
      <c r="C1548" s="2" t="s">
        <v>967</v>
      </c>
      <c r="D1548" s="2" t="str">
        <f>IFERROR(__xludf.DUMMYFUNCTION("IF(C1548&lt;&gt;"""", GOOGLETRANSLATE(C1548, ""en"", ""te""),"""")"),"[ 'ఇన్నింగ్స్ లో 8 వ అత్యధిక పరుగులు (బ్యాటింగ్ స్థానంలో ప్రకారం) (61)', 'ఎనిమిదవ వికెట్కు 16 అత్యధిక భాగస్వామ్యం (59)', '7 వ పిన్న కాప్టెన్ (23y 250d)']")</f>
        <v>[ 'ఇన్నింగ్స్ లో 8 వ అత్యధిక పరుగులు (బ్యాటింగ్ స్థానంలో ప్రకారం) (61)', 'ఎనిమిదవ వికెట్కు 16 అత్యధిక భాగస్వామ్యం (59)', '7 వ పిన్న కాప్టెన్ (23y 250d)']</v>
      </c>
      <c r="E1548" s="2" t="s">
        <v>968</v>
      </c>
      <c r="F1548" s="2" t="str">
        <f>IFERROR(__xludf.DUMMYFUNCTION("IF(E1548&lt;&gt;"""", GOOGLETRANSLATE(E1548, ""en"", ""te""),"""")"),"[ 'ఒక కెప్టెన్తో ఇన్నింగ్స్ లో 30 వ అత్యధిక పరుగులు (107 *)', '49 వ అత్యధిక తొలి వంద (107 *)', '43 వ కెరీర్ అర్ధ (12)', ఒక ఇన్నింగ్స్ లో '20 వ చెత్త ఆర్థిక రేటు (9.00) ',' 47 వ అత్యధిక పరుగులు ఇన్నింగ్స్ లో సాధించిన (70) ',' మూడో వికెట్ (126 *) కోసం 40 వ "&amp;"అత్యధిక భాగస్వామ్యం ',' ఒక జట్టుకు 36 వ వరుస మ్యాచ్లు (42) ',' 34 వ కెప్టెన్గా అత్యధిక మ్యాచ్లు (23 ) ',' 41 వ వరుస మ్యాచ్లు ఒక జట్టు కెప్టెన్గా (16) ',' 25 వ పిన్న కాప్టెన్ (23y 61d) ']")</f>
        <v>[ 'ఒక కెప్టెన్తో ఇన్నింగ్స్ లో 30 వ అత్యధిక పరుగులు (107 *)', '49 వ అత్యధిక తొలి వంద (107 *)', '43 వ కెరీర్ అర్ధ (12)', ఒక ఇన్నింగ్స్ లో '20 వ చెత్త ఆర్థిక రేటు (9.00) ',' 47 వ అత్యధిక పరుగులు ఇన్నింగ్స్ లో సాధించిన (70) ',' మూడో వికెట్ (126 *) కోసం 40 వ అత్యధిక భాగస్వామ్యం ',' ఒక జట్టుకు 36 వ వరుస మ్యాచ్లు (42) ',' 34 వ కెప్టెన్గా అత్యధిక మ్యాచ్లు (23 ) ',' 41 వ వరుస మ్యాచ్లు ఒక జట్టు కెప్టెన్గా (16) ',' 25 వ పిన్న కాప్టెన్ (23y 61d) ']</v>
      </c>
      <c r="G1548" s="2" t="s">
        <v>969</v>
      </c>
      <c r="H1548" s="2" t="str">
        <f>IFERROR(__xludf.DUMMYFUNCTION("IF(G1548&lt;&gt;"""", GOOGLETRANSLATE(G1548, ""en"", ""te""),"""")"),"[ 'మొదటి డక్ ముందు 25 మోస్ట్ ఇన్నింగ్స్ (17)', 'నాలుగవ వికెట్కు 14 అత్యధిక భాగస్వామ్యం (91)', '37 వ అత్యంత కెప్టెన్గా మ్యాచ్లు (12)']")</f>
        <v>[ 'మొదటి డక్ ముందు 25 మోస్ట్ ఇన్నింగ్స్ (17)', 'నాలుగవ వికెట్కు 14 అత్యధిక భాగస్వామ్యం (91)', '37 వ అత్యంత కెప్టెన్గా మ్యాచ్లు (12)']</v>
      </c>
      <c r="I1548" s="3"/>
    </row>
    <row r="1549" customHeight="1" spans="1:9">
      <c r="A1549" s="2"/>
      <c r="B1549" s="2" t="str">
        <f>IFERROR(__xludf.DUMMYFUNCTION("IF(A1549&lt;&gt;"""", GOOGLETRANSLATE(A1549, ""en"", ""te""),"""")"),"")</f>
        <v/>
      </c>
      <c r="C1549" s="2"/>
      <c r="D1549" s="2" t="str">
        <f>IFERROR(__xludf.DUMMYFUNCTION("IF(C1549&lt;&gt;"""", GOOGLETRANSLATE(C1549, ""en"", ""te""),"""")"),"")</f>
        <v/>
      </c>
      <c r="E1549" s="2"/>
      <c r="F1549" s="2" t="str">
        <f>IFERROR(__xludf.DUMMYFUNCTION("IF(E1549&lt;&gt;"""", GOOGLETRANSLATE(E1549, ""en"", ""te""),"""")"),"")</f>
        <v/>
      </c>
      <c r="G1549" s="2"/>
      <c r="H1549" s="2" t="str">
        <f>IFERROR(__xludf.DUMMYFUNCTION("IF(G1549&lt;&gt;"""", GOOGLETRANSLATE(G1549, ""en"", ""te""),"""")"),"")</f>
        <v/>
      </c>
      <c r="I1549" s="3"/>
    </row>
    <row r="1550" customHeight="1" spans="1:9">
      <c r="A1550" s="2"/>
      <c r="B1550" s="2" t="str">
        <f>IFERROR(__xludf.DUMMYFUNCTION("IF(A1550&lt;&gt;"""", GOOGLETRANSLATE(A1550, ""en"", ""te""),"""")"),"")</f>
        <v/>
      </c>
      <c r="C1550" s="2"/>
      <c r="D1550" s="2" t="str">
        <f>IFERROR(__xludf.DUMMYFUNCTION("IF(C1550&lt;&gt;"""", GOOGLETRANSLATE(C1550, ""en"", ""te""),"""")"),"")</f>
        <v/>
      </c>
      <c r="E1550" s="2"/>
      <c r="F1550" s="2" t="str">
        <f>IFERROR(__xludf.DUMMYFUNCTION("IF(E1550&lt;&gt;"""", GOOGLETRANSLATE(E1550, ""en"", ""te""),"""")"),"")</f>
        <v/>
      </c>
      <c r="G1550" s="2"/>
      <c r="H1550" s="2" t="str">
        <f>IFERROR(__xludf.DUMMYFUNCTION("IF(G1550&lt;&gt;"""", GOOGLETRANSLATE(G1550, ""en"", ""te""),"""")"),"")</f>
        <v/>
      </c>
      <c r="I1550" s="3"/>
    </row>
    <row r="1551" customHeight="1" spans="1:9">
      <c r="A1551" s="2"/>
      <c r="B1551" s="2" t="str">
        <f>IFERROR(__xludf.DUMMYFUNCTION("IF(A1551&lt;&gt;"""", GOOGLETRANSLATE(A1551, ""en"", ""te""),"""")"),"")</f>
        <v/>
      </c>
      <c r="C1551" s="2"/>
      <c r="D1551" s="2" t="str">
        <f>IFERROR(__xludf.DUMMYFUNCTION("IF(C1551&lt;&gt;"""", GOOGLETRANSLATE(C1551, ""en"", ""te""),"""")"),"")</f>
        <v/>
      </c>
      <c r="E1551" s="2"/>
      <c r="F1551" s="2" t="str">
        <f>IFERROR(__xludf.DUMMYFUNCTION("IF(E1551&lt;&gt;"""", GOOGLETRANSLATE(E1551, ""en"", ""te""),"""")"),"")</f>
        <v/>
      </c>
      <c r="G1551" s="2"/>
      <c r="H1551" s="2" t="str">
        <f>IFERROR(__xludf.DUMMYFUNCTION("IF(G1551&lt;&gt;"""", GOOGLETRANSLATE(G1551, ""en"", ""te""),"""")"),"")</f>
        <v/>
      </c>
      <c r="I1551" s="3"/>
    </row>
    <row r="1552" customHeight="1" spans="1:9">
      <c r="A1552" s="2"/>
      <c r="B1552" s="2" t="str">
        <f>IFERROR(__xludf.DUMMYFUNCTION("IF(A1552&lt;&gt;"""", GOOGLETRANSLATE(A1552, ""en"", ""te""),"""")"),"")</f>
        <v/>
      </c>
      <c r="C1552" s="2"/>
      <c r="D1552" s="2" t="str">
        <f>IFERROR(__xludf.DUMMYFUNCTION("IF(C1552&lt;&gt;"""", GOOGLETRANSLATE(C1552, ""en"", ""te""),"""")"),"")</f>
        <v/>
      </c>
      <c r="E1552" s="2"/>
      <c r="F1552" s="2" t="str">
        <f>IFERROR(__xludf.DUMMYFUNCTION("IF(E1552&lt;&gt;"""", GOOGLETRANSLATE(E1552, ""en"", ""te""),"""")"),"")</f>
        <v/>
      </c>
      <c r="G1552" s="2"/>
      <c r="H1552" s="2" t="str">
        <f>IFERROR(__xludf.DUMMYFUNCTION("IF(G1552&lt;&gt;"""", GOOGLETRANSLATE(G1552, ""en"", ""te""),"""")"),"")</f>
        <v/>
      </c>
      <c r="I1552" s="3"/>
    </row>
    <row r="1553" customHeight="1" spans="1:9">
      <c r="A1553" s="2"/>
      <c r="B1553" s="2" t="str">
        <f>IFERROR(__xludf.DUMMYFUNCTION("IF(A1553&lt;&gt;"""", GOOGLETRANSLATE(A1553, ""en"", ""te""),"""")"),"")</f>
        <v/>
      </c>
      <c r="C1553" s="2"/>
      <c r="D1553" s="2" t="str">
        <f>IFERROR(__xludf.DUMMYFUNCTION("IF(C1553&lt;&gt;"""", GOOGLETRANSLATE(C1553, ""en"", ""te""),"""")"),"")</f>
        <v/>
      </c>
      <c r="E1553" s="2"/>
      <c r="F1553" s="2" t="str">
        <f>IFERROR(__xludf.DUMMYFUNCTION("IF(E1553&lt;&gt;"""", GOOGLETRANSLATE(E1553, ""en"", ""te""),"""")"),"")</f>
        <v/>
      </c>
      <c r="G1553" s="2"/>
      <c r="H1553" s="2" t="str">
        <f>IFERROR(__xludf.DUMMYFUNCTION("IF(G1553&lt;&gt;"""", GOOGLETRANSLATE(G1553, ""en"", ""te""),"""")"),"")</f>
        <v/>
      </c>
      <c r="I1553" s="3"/>
    </row>
    <row r="1554" customHeight="1" spans="1:9">
      <c r="A1554" s="2"/>
      <c r="B1554" s="2" t="str">
        <f>IFERROR(__xludf.DUMMYFUNCTION("IF(A1554&lt;&gt;"""", GOOGLETRANSLATE(A1554, ""en"", ""te""),"""")"),"")</f>
        <v/>
      </c>
      <c r="C1554" s="2"/>
      <c r="D1554" s="2" t="str">
        <f>IFERROR(__xludf.DUMMYFUNCTION("IF(C1554&lt;&gt;"""", GOOGLETRANSLATE(C1554, ""en"", ""te""),"""")"),"")</f>
        <v/>
      </c>
      <c r="E1554" s="2" t="s">
        <v>970</v>
      </c>
      <c r="F1554" s="2" t="str">
        <f>IFERROR(__xludf.DUMMYFUNCTION("IF(E1554&lt;&gt;"""", GOOGLETRANSLATE(E1554, ""en"", ""te""),"""")"),"[ '17 చెత్త కెరీర్ (113.00) (అర్హత లేకుండా) సగటు బౌలింగ్', '14 వ వరుస మ్యాచ్లు ప్రదర్శనల మధ్య బృందం (51) కోసం తప్పిన']")</f>
        <v>[ '17 చెత్త కెరీర్ (113.00) (అర్హత లేకుండా) సగటు బౌలింగ్', '14 వ వరుస మ్యాచ్లు ప్రదర్శనల మధ్య బృందం (51) కోసం తప్పిన']</v>
      </c>
      <c r="G1554" s="2" t="s">
        <v>971</v>
      </c>
      <c r="H1554" s="2" t="str">
        <f>IFERROR(__xludf.DUMMYFUNCTION("IF(G1554&lt;&gt;"""", GOOGLETRANSLATE(G1554, ""en"", ""te""),"""")"),"[ 'రెండవ వికెట్కు 42 వ అత్యధిక భాగస్వామ్యం (90)']")</f>
        <v>[ 'రెండవ వికెట్కు 42 వ అత్యధిక భాగస్వామ్యం (90)']</v>
      </c>
      <c r="I1554" s="3"/>
    </row>
    <row r="1555" customHeight="1" spans="1:9">
      <c r="A1555" s="2"/>
      <c r="B1555" s="2" t="str">
        <f>IFERROR(__xludf.DUMMYFUNCTION("IF(A1555&lt;&gt;"""", GOOGLETRANSLATE(A1555, ""en"", ""te""),"""")"),"")</f>
        <v/>
      </c>
      <c r="C1555" s="2"/>
      <c r="D1555" s="2" t="str">
        <f>IFERROR(__xludf.DUMMYFUNCTION("IF(C1555&lt;&gt;"""", GOOGLETRANSLATE(C1555, ""en"", ""te""),"""")"),"")</f>
        <v/>
      </c>
      <c r="E1555" s="2" t="s">
        <v>972</v>
      </c>
      <c r="F1555" s="2" t="str">
        <f>IFERROR(__xludf.DUMMYFUNCTION("IF(E1555&lt;&gt;"""", GOOGLETRANSLATE(E1555, ""en"", ""te""),"""")"),"[ 'ఒక కెప్టెన్తో ఒక ఇన్నింగ్స్ లో 26 వ బెస్ట్ ఫిగర్స్ (4)']")</f>
        <v>[ 'ఒక కెప్టెన్తో ఒక ఇన్నింగ్స్ లో 26 వ బెస్ట్ ఫిగర్స్ (4)']</v>
      </c>
      <c r="G1555" s="2" t="s">
        <v>973</v>
      </c>
      <c r="H1555" s="2" t="str">
        <f>IFERROR(__xludf.DUMMYFUNCTION("IF(G1555&lt;&gt;"""", GOOGLETRANSLATE(G1555, ""en"", ""te""),"""")"),"[ 'ఇన్నింగ్స్ లో 16 వ అత్యధిక పరుగులు (28 *) (బ్యాటింగ్ స్థానం)', 'ఒక కెప్టెన్తో ఒక ఇన్నింగ్స్ లో 20 వ బెస్ట్ ఫిగర్స్ (3)', '12 వ ఉత్తమ కెరీర్ ఆర్థిక' 50 వ ఉత్తమ కెరీర్ సగటు (22.24) బౌలింగ్ ' రేటు (6.37) ']")</f>
        <v>[ 'ఇన్నింగ్స్ లో 16 వ అత్యధిక పరుగులు (28 *) (బ్యాటింగ్ స్థానం)', 'ఒక కెప్టెన్తో ఒక ఇన్నింగ్స్ లో 20 వ బెస్ట్ ఫిగర్స్ (3)', '12 వ ఉత్తమ కెరీర్ ఆర్థిక' 50 వ ఉత్తమ కెరీర్ సగటు (22.24) బౌలింగ్ ' రేటు (6.37) ']</v>
      </c>
      <c r="I1555" s="3"/>
    </row>
    <row r="1556" customHeight="1" spans="1:9">
      <c r="A1556" s="2"/>
      <c r="B1556" s="2" t="str">
        <f>IFERROR(__xludf.DUMMYFUNCTION("IF(A1556&lt;&gt;"""", GOOGLETRANSLATE(A1556, ""en"", ""te""),"""")"),"")</f>
        <v/>
      </c>
      <c r="C1556" s="2"/>
      <c r="D1556" s="2" t="str">
        <f>IFERROR(__xludf.DUMMYFUNCTION("IF(C1556&lt;&gt;"""", GOOGLETRANSLATE(C1556, ""en"", ""te""),"""")"),"")</f>
        <v/>
      </c>
      <c r="E1556" s="2"/>
      <c r="F1556" s="2" t="str">
        <f>IFERROR(__xludf.DUMMYFUNCTION("IF(E1556&lt;&gt;"""", GOOGLETRANSLATE(E1556, ""en"", ""te""),"""")"),"")</f>
        <v/>
      </c>
      <c r="G1556" s="2"/>
      <c r="H1556" s="2" t="str">
        <f>IFERROR(__xludf.DUMMYFUNCTION("IF(G1556&lt;&gt;"""", GOOGLETRANSLATE(G1556, ""en"", ""te""),"""")"),"")</f>
        <v/>
      </c>
      <c r="I1556" s="3"/>
    </row>
    <row r="1557" customHeight="1" spans="1:9">
      <c r="A1557" s="2"/>
      <c r="B1557" s="2" t="str">
        <f>IFERROR(__xludf.DUMMYFUNCTION("IF(A1557&lt;&gt;"""", GOOGLETRANSLATE(A1557, ""en"", ""te""),"""")"),"")</f>
        <v/>
      </c>
      <c r="C1557" s="2"/>
      <c r="D1557" s="2" t="str">
        <f>IFERROR(__xludf.DUMMYFUNCTION("IF(C1557&lt;&gt;"""", GOOGLETRANSLATE(C1557, ""en"", ""te""),"""")"),"")</f>
        <v/>
      </c>
      <c r="E1557" s="2"/>
      <c r="F1557" s="2" t="str">
        <f>IFERROR(__xludf.DUMMYFUNCTION("IF(E1557&lt;&gt;"""", GOOGLETRANSLATE(E1557, ""en"", ""te""),"""")"),"")</f>
        <v/>
      </c>
      <c r="G1557" s="2"/>
      <c r="H1557" s="2" t="str">
        <f>IFERROR(__xludf.DUMMYFUNCTION("IF(G1557&lt;&gt;"""", GOOGLETRANSLATE(G1557, ""en"", ""te""),"""")"),"")</f>
        <v/>
      </c>
      <c r="I1557" s="3"/>
    </row>
    <row r="1558" customHeight="1" spans="1:9">
      <c r="A1558" s="2"/>
      <c r="B1558" s="2" t="str">
        <f>IFERROR(__xludf.DUMMYFUNCTION("IF(A1558&lt;&gt;"""", GOOGLETRANSLATE(A1558, ""en"", ""te""),"""")"),"")</f>
        <v/>
      </c>
      <c r="C1558" s="2"/>
      <c r="D1558" s="2" t="str">
        <f>IFERROR(__xludf.DUMMYFUNCTION("IF(C1558&lt;&gt;"""", GOOGLETRANSLATE(C1558, ""en"", ""te""),"""")"),"")</f>
        <v/>
      </c>
      <c r="E1558" s="2"/>
      <c r="F1558" s="2" t="str">
        <f>IFERROR(__xludf.DUMMYFUNCTION("IF(E1558&lt;&gt;"""", GOOGLETRANSLATE(E1558, ""en"", ""te""),"""")"),"")</f>
        <v/>
      </c>
      <c r="G1558" s="2"/>
      <c r="H1558" s="2" t="str">
        <f>IFERROR(__xludf.DUMMYFUNCTION("IF(G1558&lt;&gt;"""", GOOGLETRANSLATE(G1558, ""en"", ""te""),"""")"),"")</f>
        <v/>
      </c>
      <c r="I1558" s="3"/>
    </row>
    <row r="1559" customHeight="1" spans="1:9">
      <c r="A1559" s="2" t="s">
        <v>974</v>
      </c>
      <c r="B1559" s="2" t="str">
        <f>IFERROR(__xludf.DUMMYFUNCTION("IF(A1559&lt;&gt;"""", GOOGLETRANSLATE(A1559, ""en"", ""te""),"""")"),"[ '9 వ పిన్న కాప్టెన్ (22y 306d)', '9 వ అత్యంత ఇన్నింగ్స్ లో సాధించిన బైస్ (30)']")</f>
        <v>[ '9 వ పిన్న కాప్టెన్ (22y 306d)', '9 వ అత్యంత ఇన్నింగ్స్ లో సాధించిన బైస్ (30)']</v>
      </c>
      <c r="C1559" s="2" t="s">
        <v>975</v>
      </c>
      <c r="D1559" s="2" t="str">
        <f>IFERROR(__xludf.DUMMYFUNCTION("IF(C1559&lt;&gt;"""", GOOGLETRANSLATE(C1559, ""en"", ""te""),"""")"),"[ '19 లాంగెస్ట్ ప్రదర్శనలు (10y 341d) మధ్య వ్యవధిలో', '9 వ పిన్న కాప్టెన్ (22y 306d)', 'వికెట్ (1) ఉంచింది చేసిన 27 కెప్టెన్ల', '9 వ అత్యంత ఇన్నింగ్స్ లో సాధించిన బైస్ (30)']")</f>
        <v>[ '19 లాంగెస్ట్ ప్రదర్శనలు (10y 341d) మధ్య వ్యవధిలో', '9 వ పిన్న కాప్టెన్ (22y 306d)', 'వికెట్ (1) ఉంచింది చేసిన 27 కెప్టెన్ల', '9 వ అత్యంత ఇన్నింగ్స్ లో సాధించిన బైస్ (30)']</v>
      </c>
      <c r="E1559" s="2"/>
      <c r="F1559" s="2" t="str">
        <f>IFERROR(__xludf.DUMMYFUNCTION("IF(E1559&lt;&gt;"""", GOOGLETRANSLATE(E1559, ""en"", ""te""),"""")"),"")</f>
        <v/>
      </c>
      <c r="G1559" s="2"/>
      <c r="H1559" s="2" t="str">
        <f>IFERROR(__xludf.DUMMYFUNCTION("IF(G1559&lt;&gt;"""", GOOGLETRANSLATE(G1559, ""en"", ""te""),"""")"),"")</f>
        <v/>
      </c>
      <c r="I1559" s="3"/>
    </row>
    <row r="1560" customHeight="1" spans="1:9">
      <c r="A1560" s="2"/>
      <c r="B1560" s="2" t="str">
        <f>IFERROR(__xludf.DUMMYFUNCTION("IF(A1560&lt;&gt;"""", GOOGLETRANSLATE(A1560, ""en"", ""te""),"""")"),"")</f>
        <v/>
      </c>
      <c r="C1560" s="2"/>
      <c r="D1560" s="2" t="str">
        <f>IFERROR(__xludf.DUMMYFUNCTION("IF(C1560&lt;&gt;"""", GOOGLETRANSLATE(C1560, ""en"", ""te""),"""")"),"")</f>
        <v/>
      </c>
      <c r="E1560" s="2"/>
      <c r="F1560" s="2" t="str">
        <f>IFERROR(__xludf.DUMMYFUNCTION("IF(E1560&lt;&gt;"""", GOOGLETRANSLATE(E1560, ""en"", ""te""),"""")"),"")</f>
        <v/>
      </c>
      <c r="G1560" s="2"/>
      <c r="H1560" s="2" t="str">
        <f>IFERROR(__xludf.DUMMYFUNCTION("IF(G1560&lt;&gt;"""", GOOGLETRANSLATE(G1560, ""en"", ""te""),"""")"),"")</f>
        <v/>
      </c>
      <c r="I1560" s="3"/>
    </row>
    <row r="1561" customHeight="1" spans="1:9">
      <c r="A1561" s="2"/>
      <c r="B1561" s="2" t="str">
        <f>IFERROR(__xludf.DUMMYFUNCTION("IF(A1561&lt;&gt;"""", GOOGLETRANSLATE(A1561, ""en"", ""te""),"""")"),"")</f>
        <v/>
      </c>
      <c r="C1561" s="2"/>
      <c r="D1561" s="2" t="str">
        <f>IFERROR(__xludf.DUMMYFUNCTION("IF(C1561&lt;&gt;"""", GOOGLETRANSLATE(C1561, ""en"", ""te""),"""")"),"")</f>
        <v/>
      </c>
      <c r="E1561" s="2"/>
      <c r="F1561" s="2" t="str">
        <f>IFERROR(__xludf.DUMMYFUNCTION("IF(E1561&lt;&gt;"""", GOOGLETRANSLATE(E1561, ""en"", ""te""),"""")"),"")</f>
        <v/>
      </c>
      <c r="G1561" s="2"/>
      <c r="H1561" s="2" t="str">
        <f>IFERROR(__xludf.DUMMYFUNCTION("IF(G1561&lt;&gt;"""", GOOGLETRANSLATE(G1561, ""en"", ""te""),"""")"),"")</f>
        <v/>
      </c>
      <c r="I1561" s="3"/>
    </row>
    <row r="1562" customHeight="1" spans="1:9">
      <c r="A1562" s="2"/>
      <c r="B1562" s="2" t="str">
        <f>IFERROR(__xludf.DUMMYFUNCTION("IF(A1562&lt;&gt;"""", GOOGLETRANSLATE(A1562, ""en"", ""te""),"""")"),"")</f>
        <v/>
      </c>
      <c r="C1562" s="2"/>
      <c r="D1562" s="2" t="str">
        <f>IFERROR(__xludf.DUMMYFUNCTION("IF(C1562&lt;&gt;"""", GOOGLETRANSLATE(C1562, ""en"", ""te""),"""")"),"")</f>
        <v/>
      </c>
      <c r="E1562" s="2"/>
      <c r="F1562" s="2" t="str">
        <f>IFERROR(__xludf.DUMMYFUNCTION("IF(E1562&lt;&gt;"""", GOOGLETRANSLATE(E1562, ""en"", ""te""),"""")"),"")</f>
        <v/>
      </c>
      <c r="G1562" s="2"/>
      <c r="H1562" s="2" t="str">
        <f>IFERROR(__xludf.DUMMYFUNCTION("IF(G1562&lt;&gt;"""", GOOGLETRANSLATE(G1562, ""en"", ""te""),"""")"),"")</f>
        <v/>
      </c>
      <c r="I1562" s="3"/>
    </row>
    <row r="1563" customHeight="1" spans="1:9">
      <c r="A1563" s="2"/>
      <c r="B1563" s="2" t="str">
        <f>IFERROR(__xludf.DUMMYFUNCTION("IF(A1563&lt;&gt;"""", GOOGLETRANSLATE(A1563, ""en"", ""te""),"""")"),"")</f>
        <v/>
      </c>
      <c r="C1563" s="2"/>
      <c r="D1563" s="2" t="str">
        <f>IFERROR(__xludf.DUMMYFUNCTION("IF(C1563&lt;&gt;"""", GOOGLETRANSLATE(C1563, ""en"", ""te""),"""")"),"")</f>
        <v/>
      </c>
      <c r="E1563" s="2"/>
      <c r="F1563" s="2" t="str">
        <f>IFERROR(__xludf.DUMMYFUNCTION("IF(E1563&lt;&gt;"""", GOOGLETRANSLATE(E1563, ""en"", ""te""),"""")"),"")</f>
        <v/>
      </c>
      <c r="G1563" s="2"/>
      <c r="H1563" s="2" t="str">
        <f>IFERROR(__xludf.DUMMYFUNCTION("IF(G1563&lt;&gt;"""", GOOGLETRANSLATE(G1563, ""en"", ""te""),"""")"),"")</f>
        <v/>
      </c>
      <c r="I1563" s="3"/>
    </row>
    <row r="1564" customHeight="1" spans="1:9">
      <c r="A1564" s="2"/>
      <c r="B1564" s="2" t="str">
        <f>IFERROR(__xludf.DUMMYFUNCTION("IF(A1564&lt;&gt;"""", GOOGLETRANSLATE(A1564, ""en"", ""te""),"""")"),"")</f>
        <v/>
      </c>
      <c r="C1564" s="2"/>
      <c r="D1564" s="2" t="str">
        <f>IFERROR(__xludf.DUMMYFUNCTION("IF(C1564&lt;&gt;"""", GOOGLETRANSLATE(C1564, ""en"", ""te""),"""")"),"")</f>
        <v/>
      </c>
      <c r="E1564" s="2"/>
      <c r="F1564" s="2" t="str">
        <f>IFERROR(__xludf.DUMMYFUNCTION("IF(E1564&lt;&gt;"""", GOOGLETRANSLATE(E1564, ""en"", ""te""),"""")"),"")</f>
        <v/>
      </c>
      <c r="G1564" s="2"/>
      <c r="H1564" s="2" t="str">
        <f>IFERROR(__xludf.DUMMYFUNCTION("IF(G1564&lt;&gt;"""", GOOGLETRANSLATE(G1564, ""en"", ""te""),"""")"),"")</f>
        <v/>
      </c>
      <c r="I1564" s="3"/>
    </row>
    <row r="1565" customHeight="1" spans="1:9">
      <c r="A1565" s="2"/>
      <c r="B1565" s="2" t="str">
        <f>IFERROR(__xludf.DUMMYFUNCTION("IF(A1565&lt;&gt;"""", GOOGLETRANSLATE(A1565, ""en"", ""te""),"""")"),"")</f>
        <v/>
      </c>
      <c r="C1565" s="2"/>
      <c r="D1565" s="2" t="str">
        <f>IFERROR(__xludf.DUMMYFUNCTION("IF(C1565&lt;&gt;"""", GOOGLETRANSLATE(C1565, ""en"", ""te""),"""")"),"")</f>
        <v/>
      </c>
      <c r="E1565" s="2"/>
      <c r="F1565" s="2" t="str">
        <f>IFERROR(__xludf.DUMMYFUNCTION("IF(E1565&lt;&gt;"""", GOOGLETRANSLATE(E1565, ""en"", ""te""),"""")"),"")</f>
        <v/>
      </c>
      <c r="G1565" s="2"/>
      <c r="H1565" s="2" t="str">
        <f>IFERROR(__xludf.DUMMYFUNCTION("IF(G1565&lt;&gt;"""", GOOGLETRANSLATE(G1565, ""en"", ""te""),"""")"),"")</f>
        <v/>
      </c>
      <c r="I1565" s="3"/>
    </row>
    <row r="1566" customHeight="1" spans="1:9">
      <c r="A1566" s="2"/>
      <c r="B1566" s="2" t="str">
        <f>IFERROR(__xludf.DUMMYFUNCTION("IF(A1566&lt;&gt;"""", GOOGLETRANSLATE(A1566, ""en"", ""te""),"""")"),"")</f>
        <v/>
      </c>
      <c r="C1566" s="2" t="s">
        <v>761</v>
      </c>
      <c r="D1566" s="2" t="str">
        <f>IFERROR(__xludf.DUMMYFUNCTION("IF(C1566&lt;&gt;"""", GOOGLETRANSLATE(C1566, ""en"", ""te""),"""")"),"[ 'తొలి ఇన్నింగ్స్లో 22 బెస్ట్ ఫిగర్స్ (6)']")</f>
        <v>[ 'తొలి ఇన్నింగ్స్లో 22 బెస్ట్ ఫిగర్స్ (6)']</v>
      </c>
      <c r="E1566" s="2"/>
      <c r="F1566" s="2" t="str">
        <f>IFERROR(__xludf.DUMMYFUNCTION("IF(E1566&lt;&gt;"""", GOOGLETRANSLATE(E1566, ""en"", ""te""),"""")"),"")</f>
        <v/>
      </c>
      <c r="G1566" s="2"/>
      <c r="H1566" s="2" t="str">
        <f>IFERROR(__xludf.DUMMYFUNCTION("IF(G1566&lt;&gt;"""", GOOGLETRANSLATE(G1566, ""en"", ""te""),"""")"),"")</f>
        <v/>
      </c>
      <c r="I1566" s="3"/>
    </row>
    <row r="1567" customHeight="1" spans="1:9">
      <c r="A1567" s="2"/>
      <c r="B1567" s="2" t="str">
        <f>IFERROR(__xludf.DUMMYFUNCTION("IF(A1567&lt;&gt;"""", GOOGLETRANSLATE(A1567, ""en"", ""te""),"""")"),"")</f>
        <v/>
      </c>
      <c r="C1567" s="2"/>
      <c r="D1567" s="2" t="str">
        <f>IFERROR(__xludf.DUMMYFUNCTION("IF(C1567&lt;&gt;"""", GOOGLETRANSLATE(C1567, ""en"", ""te""),"""")"),"")</f>
        <v/>
      </c>
      <c r="E1567" s="2"/>
      <c r="F1567" s="2" t="str">
        <f>IFERROR(__xludf.DUMMYFUNCTION("IF(E1567&lt;&gt;"""", GOOGLETRANSLATE(E1567, ""en"", ""te""),"""")"),"")</f>
        <v/>
      </c>
      <c r="G1567" s="2"/>
      <c r="H1567" s="2" t="str">
        <f>IFERROR(__xludf.DUMMYFUNCTION("IF(G1567&lt;&gt;"""", GOOGLETRANSLATE(G1567, ""en"", ""te""),"""")"),"")</f>
        <v/>
      </c>
      <c r="I1567" s="3"/>
    </row>
    <row r="1568" customHeight="1" spans="1:9">
      <c r="A1568" s="2" t="s">
        <v>976</v>
      </c>
      <c r="B1568" s="2" t="str">
        <f>IFERROR(__xludf.DUMMYFUNCTION("IF(A1568&lt;&gt;"""", GOOGLETRANSLATE(A1568, ""en"", ""te""),"""")"),"[ '1st అత్యుత్తమ బౌలింగ్ ఇన్నింగ్స్ లో విశ్లేషించడం (2/1)', '1 వ ఉత్తమ కెరీర్ (0.50) (అర్హత లేకుండా) సగటు బౌలింగ్', 'ఎనిమిదవ వికెట్కు 6 వ అత్యధిక భాగస్వామ్యం (71)']")</f>
        <v>[ '1st అత్యుత్తమ బౌలింగ్ ఇన్నింగ్స్ లో విశ్లేషించడం (2/1)', '1 వ ఉత్తమ కెరీర్ (0.50) (అర్హత లేకుండా) సగటు బౌలింగ్', 'ఎనిమిదవ వికెట్కు 6 వ అత్యధిక భాగస్వామ్యం (71)']</v>
      </c>
      <c r="C1568" s="2" t="s">
        <v>977</v>
      </c>
      <c r="D1568" s="2" t="str">
        <f>IFERROR(__xludf.DUMMYFUNCTION("IF(C1568&lt;&gt;"""", GOOGLETRANSLATE(C1568, ""en"", ""te""),"""")"),"[ '1st అత్యుత్తమ ఇన్నింగ్స్ లో విశ్లేషణలు బౌలింగ్ (2/1)', '1st బెస్ట్ కెరీర్ (అర్హత లేకుండా) సగటు బౌలింగ్ (0.50)']")</f>
        <v>[ '1st అత్యుత్తమ ఇన్నింగ్స్ లో విశ్లేషణలు బౌలింగ్ (2/1)', '1st బెస్ట్ కెరీర్ (అర్హత లేకుండా) సగటు బౌలింగ్ (0.50)']</v>
      </c>
      <c r="E1568" s="2" t="s">
        <v>978</v>
      </c>
      <c r="F1568" s="2" t="str">
        <f>IFERROR(__xludf.DUMMYFUNCTION("IF(E1568&lt;&gt;"""", GOOGLETRANSLATE(E1568, ""en"", ""te""),"""")"),"[ '41 వ అత్యంత ఇన్నింగ్స్ లో సాధించిన పరుగులు (71)', 'ఎనిమిదవ వికెట్కు 6 వ అత్యధిక భాగస్వామ్యం (71)']")</f>
        <v>[ '41 వ అత్యంత ఇన్నింగ్స్ లో సాధించిన పరుగులు (71)', 'ఎనిమిదవ వికెట్కు 6 వ అత్యధిక భాగస్వామ్యం (71)']</v>
      </c>
      <c r="G1568" s="2" t="s">
        <v>979</v>
      </c>
      <c r="H1568" s="2" t="str">
        <f>IFERROR(__xludf.DUMMYFUNCTION("IF(G1568&lt;&gt;"""", GOOGLETRANSLATE(G1568, ""en"", ""te""),"""")"),"[ '36 వ ఇన్నింగ్స్ లో అత్యధిక పరుగులు (బ్యాటింగ్ స్థానంలో ప్రకారం) (53 *)', 'ఐదవ వికెట్కు 35 వ అత్యధిక భాగస్వామ్యం (56 నాటౌట్)', '12 వ అత్యంత పనికత్తెలయొద్ద ఇన్నింగ్స్ (2)']")</f>
        <v>[ '36 వ ఇన్నింగ్స్ లో అత్యధిక పరుగులు (బ్యాటింగ్ స్థానంలో ప్రకారం) (53 *)', 'ఐదవ వికెట్కు 35 వ అత్యధిక భాగస్వామ్యం (56 నాటౌట్)', '12 వ అత్యంత పనికత్తెలయొద్ద ఇన్నింగ్స్ (2)']</v>
      </c>
      <c r="I1568" s="3"/>
    </row>
    <row r="1569" customHeight="1" spans="1:9">
      <c r="A1569" s="2"/>
      <c r="B1569" s="2" t="str">
        <f>IFERROR(__xludf.DUMMYFUNCTION("IF(A1569&lt;&gt;"""", GOOGLETRANSLATE(A1569, ""en"", ""te""),"""")"),"")</f>
        <v/>
      </c>
      <c r="C1569" s="2"/>
      <c r="D1569" s="2" t="str">
        <f>IFERROR(__xludf.DUMMYFUNCTION("IF(C1569&lt;&gt;"""", GOOGLETRANSLATE(C1569, ""en"", ""te""),"""")"),"")</f>
        <v/>
      </c>
      <c r="E1569" s="2"/>
      <c r="F1569" s="2" t="str">
        <f>IFERROR(__xludf.DUMMYFUNCTION("IF(E1569&lt;&gt;"""", GOOGLETRANSLATE(E1569, ""en"", ""te""),"""")"),"")</f>
        <v/>
      </c>
      <c r="G1569" s="2"/>
      <c r="H1569" s="2" t="str">
        <f>IFERROR(__xludf.DUMMYFUNCTION("IF(G1569&lt;&gt;"""", GOOGLETRANSLATE(G1569, ""en"", ""te""),"""")"),"")</f>
        <v/>
      </c>
      <c r="I1569" s="3"/>
    </row>
    <row r="1570" customHeight="1" spans="1:9">
      <c r="A1570" s="2"/>
      <c r="B1570" s="2" t="str">
        <f>IFERROR(__xludf.DUMMYFUNCTION("IF(A1570&lt;&gt;"""", GOOGLETRANSLATE(A1570, ""en"", ""te""),"""")"),"")</f>
        <v/>
      </c>
      <c r="C1570" s="2"/>
      <c r="D1570" s="2" t="str">
        <f>IFERROR(__xludf.DUMMYFUNCTION("IF(C1570&lt;&gt;"""", GOOGLETRANSLATE(C1570, ""en"", ""te""),"""")"),"")</f>
        <v/>
      </c>
      <c r="E1570" s="2"/>
      <c r="F1570" s="2" t="str">
        <f>IFERROR(__xludf.DUMMYFUNCTION("IF(E1570&lt;&gt;"""", GOOGLETRANSLATE(E1570, ""en"", ""te""),"""")"),"")</f>
        <v/>
      </c>
      <c r="G1570" s="2"/>
      <c r="H1570" s="2" t="str">
        <f>IFERROR(__xludf.DUMMYFUNCTION("IF(G1570&lt;&gt;"""", GOOGLETRANSLATE(G1570, ""en"", ""te""),"""")"),"")</f>
        <v/>
      </c>
      <c r="I1570" s="3"/>
    </row>
    <row r="1571" customHeight="1" spans="1:9">
      <c r="A1571" s="2"/>
      <c r="B1571" s="2" t="str">
        <f>IFERROR(__xludf.DUMMYFUNCTION("IF(A1571&lt;&gt;"""", GOOGLETRANSLATE(A1571, ""en"", ""te""),"""")"),"")</f>
        <v/>
      </c>
      <c r="C1571" s="2"/>
      <c r="D1571" s="2" t="str">
        <f>IFERROR(__xludf.DUMMYFUNCTION("IF(C1571&lt;&gt;"""", GOOGLETRANSLATE(C1571, ""en"", ""te""),"""")"),"")</f>
        <v/>
      </c>
      <c r="E1571" s="2"/>
      <c r="F1571" s="2" t="str">
        <f>IFERROR(__xludf.DUMMYFUNCTION("IF(E1571&lt;&gt;"""", GOOGLETRANSLATE(E1571, ""en"", ""te""),"""")"),"")</f>
        <v/>
      </c>
      <c r="G1571" s="2"/>
      <c r="H1571" s="2" t="str">
        <f>IFERROR(__xludf.DUMMYFUNCTION("IF(G1571&lt;&gt;"""", GOOGLETRANSLATE(G1571, ""en"", ""te""),"""")"),"")</f>
        <v/>
      </c>
      <c r="I1571" s="3"/>
    </row>
    <row r="1572" customHeight="1" spans="1:9">
      <c r="A1572" s="2"/>
      <c r="B1572" s="2" t="str">
        <f>IFERROR(__xludf.DUMMYFUNCTION("IF(A1572&lt;&gt;"""", GOOGLETRANSLATE(A1572, ""en"", ""te""),"""")"),"")</f>
        <v/>
      </c>
      <c r="C1572" s="2"/>
      <c r="D1572" s="2" t="str">
        <f>IFERROR(__xludf.DUMMYFUNCTION("IF(C1572&lt;&gt;"""", GOOGLETRANSLATE(C1572, ""en"", ""te""),"""")"),"")</f>
        <v/>
      </c>
      <c r="E1572" s="2" t="s">
        <v>980</v>
      </c>
      <c r="F1572" s="2" t="str">
        <f>IFERROR(__xludf.DUMMYFUNCTION("IF(E1572&lt;&gt;"""", GOOGLETRANSLATE(E1572, ""en"", ""te""),"""")"),"[ '37 వ అత్యధిక కెరీర్ సమ్మె రేటు (97.90)']")</f>
        <v>[ '37 వ అత్యధిక కెరీర్ సమ్మె రేటు (97.90)']</v>
      </c>
      <c r="G1572" s="2" t="s">
        <v>981</v>
      </c>
      <c r="H1572" s="2" t="str">
        <f>IFERROR(__xludf.DUMMYFUNCTION("IF(G1572&lt;&gt;"""", GOOGLETRANSLATE(G1572, ""en"", ""te""),"""")"),"[ '36 వ ఇన్నింగ్స్ లో అత్యధిక పరుగులు (బ్యాటింగ్ స్థానంలో ప్రకారం) (64 *)', '26th అత్యధిక కెరీర్ బ్యాటింగ్ సగటు (32.37)', '49 వ ఉత్తమ కెరీర్ (అర్హత లేకుండా) సగటు బౌలింగ్ (9.00)' కోసం, '49 వ అత్యధిక భాగస్వామ్యం ఆరవ వికెట్ (60 *) ']")</f>
        <v>[ '36 వ ఇన్నింగ్స్ లో అత్యధిక పరుగులు (బ్యాటింగ్ స్థానంలో ప్రకారం) (64 *)', '26th అత్యధిక కెరీర్ బ్యాటింగ్ సగటు (32.37)', '49 వ ఉత్తమ కెరీర్ (అర్హత లేకుండా) సగటు బౌలింగ్ (9.00)' కోసం, '49 వ అత్యధిక భాగస్వామ్యం ఆరవ వికెట్ (60 *) ']</v>
      </c>
      <c r="I1572" s="3"/>
    </row>
    <row r="1573" customHeight="1" spans="1:9">
      <c r="A1573" s="2"/>
      <c r="B1573" s="2" t="str">
        <f>IFERROR(__xludf.DUMMYFUNCTION("IF(A1573&lt;&gt;"""", GOOGLETRANSLATE(A1573, ""en"", ""te""),"""")"),"")</f>
        <v/>
      </c>
      <c r="C1573" s="2"/>
      <c r="D1573" s="2" t="str">
        <f>IFERROR(__xludf.DUMMYFUNCTION("IF(C1573&lt;&gt;"""", GOOGLETRANSLATE(C1573, ""en"", ""te""),"""")"),"")</f>
        <v/>
      </c>
      <c r="E1573" s="2"/>
      <c r="F1573" s="2" t="str">
        <f>IFERROR(__xludf.DUMMYFUNCTION("IF(E1573&lt;&gt;"""", GOOGLETRANSLATE(E1573, ""en"", ""te""),"""")"),"")</f>
        <v/>
      </c>
      <c r="G1573" s="2"/>
      <c r="H1573" s="2" t="str">
        <f>IFERROR(__xludf.DUMMYFUNCTION("IF(G1573&lt;&gt;"""", GOOGLETRANSLATE(G1573, ""en"", ""te""),"""")"),"")</f>
        <v/>
      </c>
      <c r="I1573" s="3"/>
    </row>
    <row r="1574" customHeight="1" spans="1:9">
      <c r="A1574" s="2" t="s">
        <v>982</v>
      </c>
      <c r="B1574" s="2" t="str">
        <f>IFERROR(__xludf.DUMMYFUNCTION("IF(A1574&lt;&gt;"""", GOOGLETRANSLATE(A1574, ""en"", ""te""),"""")"),"[ '1000 పరుగులు మరియు 100 వికెట్లు']")</f>
        <v>[ '1000 పరుగులు మరియు 100 వికెట్లు']</v>
      </c>
      <c r="C1574" s="2" t="s">
        <v>983</v>
      </c>
      <c r="D1574" s="2" t="str">
        <f>IFERROR(__xludf.DUMMYFUNCTION("IF(C1574&lt;&gt;"""", GOOGLETRANSLATE(C1574, ""en"", ""te""),"""")"),"[ 'ఇన్నింగ్స్ లో సాధించిన అత్యధిక పరుగులు 15 న (221)', '23 వ వంద (1312) లేకుండా ఒక వృత్తిలో పరుగులు']")</f>
        <v>[ 'ఇన్నింగ్స్ లో సాధించిన అత్యధిక పరుగులు 15 న (221)', '23 వ వంద (1312) లేకుండా ఒక వృత్తిలో పరుగులు']</v>
      </c>
      <c r="E1574" s="2" t="s">
        <v>984</v>
      </c>
      <c r="F1574" s="2" t="str">
        <f>IFERROR(__xludf.DUMMYFUNCTION("IF(E1574&lt;&gt;"""", GOOGLETRANSLATE(E1574, ""en"", ""te""),"""")"),"[ 'కెరీర్లో 25 వ అతి తక్కువ బాతులు (35.5)']")</f>
        <v>[ 'కెరీర్లో 25 వ అతి తక్కువ బాతులు (35.5)']</v>
      </c>
      <c r="G1574" s="2" t="s">
        <v>985</v>
      </c>
      <c r="H1574" s="2" t="str">
        <f>IFERROR(__xludf.DUMMYFUNCTION("IF(G1574&lt;&gt;"""", GOOGLETRANSLATE(G1574, ""en"", ""te""),"""")"),"[ '44 వ పురాతన దేశం ఆటగాళ్ళు (47y 360d)']")</f>
        <v>[ '44 వ పురాతన దేశం ఆటగాళ్ళు (47y 360d)']</v>
      </c>
      <c r="I1574" s="3"/>
    </row>
    <row r="1575" customHeight="1" spans="1:9">
      <c r="A1575" s="2"/>
      <c r="B1575" s="2" t="str">
        <f>IFERROR(__xludf.DUMMYFUNCTION("IF(A1575&lt;&gt;"""", GOOGLETRANSLATE(A1575, ""en"", ""te""),"""")"),"")</f>
        <v/>
      </c>
      <c r="C1575" s="2"/>
      <c r="D1575" s="2" t="str">
        <f>IFERROR(__xludf.DUMMYFUNCTION("IF(C1575&lt;&gt;"""", GOOGLETRANSLATE(C1575, ""en"", ""te""),"""")"),"")</f>
        <v/>
      </c>
      <c r="E1575" s="2"/>
      <c r="F1575" s="2" t="str">
        <f>IFERROR(__xludf.DUMMYFUNCTION("IF(E1575&lt;&gt;"""", GOOGLETRANSLATE(E1575, ""en"", ""te""),"""")"),"")</f>
        <v/>
      </c>
      <c r="G1575" s="2"/>
      <c r="H1575" s="2" t="str">
        <f>IFERROR(__xludf.DUMMYFUNCTION("IF(G1575&lt;&gt;"""", GOOGLETRANSLATE(G1575, ""en"", ""te""),"""")"),"")</f>
        <v/>
      </c>
      <c r="I1575" s="3"/>
    </row>
    <row r="1576" customHeight="1" spans="1:9">
      <c r="A1576" s="2"/>
      <c r="B1576" s="2" t="str">
        <f>IFERROR(__xludf.DUMMYFUNCTION("IF(A1576&lt;&gt;"""", GOOGLETRANSLATE(A1576, ""en"", ""te""),"""")"),"")</f>
        <v/>
      </c>
      <c r="C1576" s="2"/>
      <c r="D1576" s="2" t="str">
        <f>IFERROR(__xludf.DUMMYFUNCTION("IF(C1576&lt;&gt;"""", GOOGLETRANSLATE(C1576, ""en"", ""te""),"""")"),"")</f>
        <v/>
      </c>
      <c r="E1576" s="2"/>
      <c r="F1576" s="2" t="str">
        <f>IFERROR(__xludf.DUMMYFUNCTION("IF(E1576&lt;&gt;"""", GOOGLETRANSLATE(E1576, ""en"", ""te""),"""")"),"")</f>
        <v/>
      </c>
      <c r="G1576" s="2"/>
      <c r="H1576" s="2" t="str">
        <f>IFERROR(__xludf.DUMMYFUNCTION("IF(G1576&lt;&gt;"""", GOOGLETRANSLATE(G1576, ""en"", ""te""),"""")"),"")</f>
        <v/>
      </c>
      <c r="I1576" s="3"/>
    </row>
    <row r="1577" customHeight="1" spans="1:9">
      <c r="A1577" s="2"/>
      <c r="B1577" s="2" t="str">
        <f>IFERROR(__xludf.DUMMYFUNCTION("IF(A1577&lt;&gt;"""", GOOGLETRANSLATE(A1577, ""en"", ""te""),"""")"),"")</f>
        <v/>
      </c>
      <c r="C1577" s="2"/>
      <c r="D1577" s="2" t="str">
        <f>IFERROR(__xludf.DUMMYFUNCTION("IF(C1577&lt;&gt;"""", GOOGLETRANSLATE(C1577, ""en"", ""te""),"""")"),"")</f>
        <v/>
      </c>
      <c r="E1577" s="2"/>
      <c r="F1577" s="2" t="str">
        <f>IFERROR(__xludf.DUMMYFUNCTION("IF(E1577&lt;&gt;"""", GOOGLETRANSLATE(E1577, ""en"", ""te""),"""")"),"")</f>
        <v/>
      </c>
      <c r="G1577" s="2"/>
      <c r="H1577" s="2" t="str">
        <f>IFERROR(__xludf.DUMMYFUNCTION("IF(G1577&lt;&gt;"""", GOOGLETRANSLATE(G1577, ""en"", ""te""),"""")"),"")</f>
        <v/>
      </c>
      <c r="I1577" s="3"/>
    </row>
    <row r="1578" customHeight="1" spans="1:9">
      <c r="A1578" s="2"/>
      <c r="B1578" s="2" t="str">
        <f>IFERROR(__xludf.DUMMYFUNCTION("IF(A1578&lt;&gt;"""", GOOGLETRANSLATE(A1578, ""en"", ""te""),"""")"),"")</f>
        <v/>
      </c>
      <c r="C1578" s="2"/>
      <c r="D1578" s="2" t="str">
        <f>IFERROR(__xludf.DUMMYFUNCTION("IF(C1578&lt;&gt;"""", GOOGLETRANSLATE(C1578, ""en"", ""te""),"""")"),"")</f>
        <v/>
      </c>
      <c r="E1578" s="2"/>
      <c r="F1578" s="2" t="str">
        <f>IFERROR(__xludf.DUMMYFUNCTION("IF(E1578&lt;&gt;"""", GOOGLETRANSLATE(E1578, ""en"", ""te""),"""")"),"")</f>
        <v/>
      </c>
      <c r="G1578" s="2"/>
      <c r="H1578" s="2" t="str">
        <f>IFERROR(__xludf.DUMMYFUNCTION("IF(G1578&lt;&gt;"""", GOOGLETRANSLATE(G1578, ""en"", ""te""),"""")"),"")</f>
        <v/>
      </c>
      <c r="I1578" s="3"/>
    </row>
    <row r="1579" customHeight="1" spans="1:9">
      <c r="A1579" s="2"/>
      <c r="B1579" s="2" t="str">
        <f>IFERROR(__xludf.DUMMYFUNCTION("IF(A1579&lt;&gt;"""", GOOGLETRANSLATE(A1579, ""en"", ""te""),"""")"),"")</f>
        <v/>
      </c>
      <c r="C1579" s="2"/>
      <c r="D1579" s="2" t="str">
        <f>IFERROR(__xludf.DUMMYFUNCTION("IF(C1579&lt;&gt;"""", GOOGLETRANSLATE(C1579, ""en"", ""te""),"""")"),"")</f>
        <v/>
      </c>
      <c r="E1579" s="2"/>
      <c r="F1579" s="2" t="str">
        <f>IFERROR(__xludf.DUMMYFUNCTION("IF(E1579&lt;&gt;"""", GOOGLETRANSLATE(E1579, ""en"", ""te""),"""")"),"")</f>
        <v/>
      </c>
      <c r="G1579" s="2"/>
      <c r="H1579" s="2" t="str">
        <f>IFERROR(__xludf.DUMMYFUNCTION("IF(G1579&lt;&gt;"""", GOOGLETRANSLATE(G1579, ""en"", ""te""),"""")"),"")</f>
        <v/>
      </c>
      <c r="I1579" s="3"/>
    </row>
    <row r="1580" customHeight="1" spans="1:9">
      <c r="A1580" s="2"/>
      <c r="B1580" s="2" t="str">
        <f>IFERROR(__xludf.DUMMYFUNCTION("IF(A1580&lt;&gt;"""", GOOGLETRANSLATE(A1580, ""en"", ""te""),"""")"),"")</f>
        <v/>
      </c>
      <c r="C1580" s="2"/>
      <c r="D1580" s="2" t="str">
        <f>IFERROR(__xludf.DUMMYFUNCTION("IF(C1580&lt;&gt;"""", GOOGLETRANSLATE(C1580, ""en"", ""te""),"""")"),"")</f>
        <v/>
      </c>
      <c r="E1580" s="2"/>
      <c r="F1580" s="2" t="str">
        <f>IFERROR(__xludf.DUMMYFUNCTION("IF(E1580&lt;&gt;"""", GOOGLETRANSLATE(E1580, ""en"", ""te""),"""")"),"")</f>
        <v/>
      </c>
      <c r="G1580" s="2"/>
      <c r="H1580" s="2" t="str">
        <f>IFERROR(__xludf.DUMMYFUNCTION("IF(G1580&lt;&gt;"""", GOOGLETRANSLATE(G1580, ""en"", ""te""),"""")"),"")</f>
        <v/>
      </c>
      <c r="I1580" s="3"/>
    </row>
    <row r="1581" customHeight="1" spans="1:9">
      <c r="A1581" s="2"/>
      <c r="B1581" s="2" t="str">
        <f>IFERROR(__xludf.DUMMYFUNCTION("IF(A1581&lt;&gt;"""", GOOGLETRANSLATE(A1581, ""en"", ""te""),"""")"),"")</f>
        <v/>
      </c>
      <c r="C1581" s="2"/>
      <c r="D1581" s="2" t="str">
        <f>IFERROR(__xludf.DUMMYFUNCTION("IF(C1581&lt;&gt;"""", GOOGLETRANSLATE(C1581, ""en"", ""te""),"""")"),"")</f>
        <v/>
      </c>
      <c r="E1581" s="2"/>
      <c r="F1581" s="2" t="str">
        <f>IFERROR(__xludf.DUMMYFUNCTION("IF(E1581&lt;&gt;"""", GOOGLETRANSLATE(E1581, ""en"", ""te""),"""")"),"")</f>
        <v/>
      </c>
      <c r="G1581" s="2"/>
      <c r="H1581" s="2" t="str">
        <f>IFERROR(__xludf.DUMMYFUNCTION("IF(G1581&lt;&gt;"""", GOOGLETRANSLATE(G1581, ""en"", ""te""),"""")"),"")</f>
        <v/>
      </c>
      <c r="I1581" s="3"/>
    </row>
    <row r="1582" customHeight="1" spans="1:9">
      <c r="A1582" s="2"/>
      <c r="B1582" s="2" t="str">
        <f>IFERROR(__xludf.DUMMYFUNCTION("IF(A1582&lt;&gt;"""", GOOGLETRANSLATE(A1582, ""en"", ""te""),"""")"),"")</f>
        <v/>
      </c>
      <c r="C1582" s="2"/>
      <c r="D1582" s="2" t="str">
        <f>IFERROR(__xludf.DUMMYFUNCTION("IF(C1582&lt;&gt;"""", GOOGLETRANSLATE(C1582, ""en"", ""te""),"""")"),"")</f>
        <v/>
      </c>
      <c r="E1582" s="2"/>
      <c r="F1582" s="2" t="str">
        <f>IFERROR(__xludf.DUMMYFUNCTION("IF(E1582&lt;&gt;"""", GOOGLETRANSLATE(E1582, ""en"", ""te""),"""")"),"")</f>
        <v/>
      </c>
      <c r="G1582" s="2"/>
      <c r="H1582" s="2" t="str">
        <f>IFERROR(__xludf.DUMMYFUNCTION("IF(G1582&lt;&gt;"""", GOOGLETRANSLATE(G1582, ""en"", ""te""),"""")"),"")</f>
        <v/>
      </c>
      <c r="I1582" s="3"/>
    </row>
    <row r="1583" customHeight="1" spans="1:9">
      <c r="A1583" s="2"/>
      <c r="B1583" s="2" t="str">
        <f>IFERROR(__xludf.DUMMYFUNCTION("IF(A1583&lt;&gt;"""", GOOGLETRANSLATE(A1583, ""en"", ""te""),"""")"),"")</f>
        <v/>
      </c>
      <c r="C1583" s="2" t="s">
        <v>986</v>
      </c>
      <c r="D1583" s="2" t="str">
        <f>IFERROR(__xludf.DUMMYFUNCTION("IF(C1583&lt;&gt;"""", GOOGLETRANSLATE(C1583, ""en"", ""te""),"""")"),"[ '11 వ ఒక సిరీస్లో అత్యధిక బాతులు (4)']")</f>
        <v>[ '11 వ ఒక సిరీస్లో అత్యధిక బాతులు (4)']</v>
      </c>
      <c r="E1583" s="2"/>
      <c r="F1583" s="2" t="str">
        <f>IFERROR(__xludf.DUMMYFUNCTION("IF(E1583&lt;&gt;"""", GOOGLETRANSLATE(E1583, ""en"", ""te""),"""")"),"")</f>
        <v/>
      </c>
      <c r="G1583" s="2"/>
      <c r="H1583" s="2" t="str">
        <f>IFERROR(__xludf.DUMMYFUNCTION("IF(G1583&lt;&gt;"""", GOOGLETRANSLATE(G1583, ""en"", ""te""),"""")"),"")</f>
        <v/>
      </c>
      <c r="I1583" s="3"/>
    </row>
    <row r="1584" customHeight="1" spans="1:9">
      <c r="A1584" s="2" t="s">
        <v>987</v>
      </c>
      <c r="B1584" s="2" t="str">
        <f>IFERROR(__xludf.DUMMYFUNCTION("IF(A1584&lt;&gt;"""", GOOGLETRANSLATE(A1584, ""en"", ""te""),"""")"),"[ 'హండ్రెడ్ మరియు ఒక మ్యాచ్లో ఒక డక్', '10 వ అత్యుత్తమ బౌలింగ్ ఇన్నింగ్స్ లో విశ్లేషణలు (3/6)']")</f>
        <v>[ 'హండ్రెడ్ మరియు ఒక మ్యాచ్లో ఒక డక్', '10 వ అత్యుత్తమ బౌలింగ్ ఇన్నింగ్స్ లో విశ్లేషణలు (3/6)']</v>
      </c>
      <c r="C1584" s="2" t="s">
        <v>988</v>
      </c>
      <c r="D1584" s="2" t="str">
        <f>IFERROR(__xludf.DUMMYFUNCTION("IF(C1584&lt;&gt;"""", GOOGLETRANSLATE(C1584, ""en"", ""te""),"""")"),"[ '35 వ వేగవంతమైన 1000 పరుగులు (21)' '29 వ వేగవంతమైన 2000 పరుగులు (43)', '10 వ అత్యుత్తమ బౌలింగ్ ఇన్నింగ్స్ లో విశ్లేషించడం (3/6' 23 పిన్న ఆటగాడు డబుల్ సెంచరీ (23y 165d) స్కోర్ ', ) ',' మూడో వికెట్ (341 కోసం 11 వ అత్యధిక భాగస్వామ్యం) ']")</f>
        <v>[ '35 వ వేగవంతమైన 1000 పరుగులు (21)' '29 వ వేగవంతమైన 2000 పరుగులు (43)', '10 వ అత్యుత్తమ బౌలింగ్ ఇన్నింగ్స్ లో విశ్లేషించడం (3/6' 23 పిన్న ఆటగాడు డబుల్ సెంచరీ (23y 165d) స్కోర్ ', ) ',' మూడో వికెట్ (341 కోసం 11 వ అత్యధిక భాగస్వామ్యం) ']</v>
      </c>
      <c r="E1584" s="2"/>
      <c r="F1584" s="2" t="str">
        <f>IFERROR(__xludf.DUMMYFUNCTION("IF(E1584&lt;&gt;"""", GOOGLETRANSLATE(E1584, ""en"", ""te""),"""")"),"")</f>
        <v/>
      </c>
      <c r="G1584" s="2"/>
      <c r="H1584" s="2" t="str">
        <f>IFERROR(__xludf.DUMMYFUNCTION("IF(G1584&lt;&gt;"""", GOOGLETRANSLATE(G1584, ""en"", ""te""),"""")"),"")</f>
        <v/>
      </c>
      <c r="I1584" s="3"/>
    </row>
    <row r="1585" customHeight="1" spans="1:9">
      <c r="A1585" s="2"/>
      <c r="B1585" s="2" t="str">
        <f>IFERROR(__xludf.DUMMYFUNCTION("IF(A1585&lt;&gt;"""", GOOGLETRANSLATE(A1585, ""en"", ""te""),"""")"),"")</f>
        <v/>
      </c>
      <c r="C1585" s="2"/>
      <c r="D1585" s="2" t="str">
        <f>IFERROR(__xludf.DUMMYFUNCTION("IF(C1585&lt;&gt;"""", GOOGLETRANSLATE(C1585, ""en"", ""te""),"""")"),"")</f>
        <v/>
      </c>
      <c r="E1585" s="2"/>
      <c r="F1585" s="2" t="str">
        <f>IFERROR(__xludf.DUMMYFUNCTION("IF(E1585&lt;&gt;"""", GOOGLETRANSLATE(E1585, ""en"", ""te""),"""")"),"")</f>
        <v/>
      </c>
      <c r="G1585" s="2"/>
      <c r="H1585" s="2" t="str">
        <f>IFERROR(__xludf.DUMMYFUNCTION("IF(G1585&lt;&gt;"""", GOOGLETRANSLATE(G1585, ""en"", ""te""),"""")"),"")</f>
        <v/>
      </c>
      <c r="I1585" s="3"/>
    </row>
    <row r="1586" customHeight="1" spans="1:9">
      <c r="A1586" s="2"/>
      <c r="B1586" s="2" t="str">
        <f>IFERROR(__xludf.DUMMYFUNCTION("IF(A1586&lt;&gt;"""", GOOGLETRANSLATE(A1586, ""en"", ""te""),"""")"),"")</f>
        <v/>
      </c>
      <c r="C1586" s="2"/>
      <c r="D1586" s="2" t="str">
        <f>IFERROR(__xludf.DUMMYFUNCTION("IF(C1586&lt;&gt;"""", GOOGLETRANSLATE(C1586, ""en"", ""te""),"""")"),"")</f>
        <v/>
      </c>
      <c r="E1586" s="2"/>
      <c r="F1586" s="2" t="str">
        <f>IFERROR(__xludf.DUMMYFUNCTION("IF(E1586&lt;&gt;"""", GOOGLETRANSLATE(E1586, ""en"", ""te""),"""")"),"")</f>
        <v/>
      </c>
      <c r="G1586" s="2"/>
      <c r="H1586" s="2" t="str">
        <f>IFERROR(__xludf.DUMMYFUNCTION("IF(G1586&lt;&gt;"""", GOOGLETRANSLATE(G1586, ""en"", ""te""),"""")"),"")</f>
        <v/>
      </c>
      <c r="I1586" s="3"/>
    </row>
    <row r="1587" customHeight="1" spans="1:9">
      <c r="A1587" s="2"/>
      <c r="B1587" s="2" t="str">
        <f>IFERROR(__xludf.DUMMYFUNCTION("IF(A1587&lt;&gt;"""", GOOGLETRANSLATE(A1587, ""en"", ""te""),"""")"),"")</f>
        <v/>
      </c>
      <c r="C1587" s="2" t="s">
        <v>989</v>
      </c>
      <c r="D1587" s="2" t="str">
        <f>IFERROR(__xludf.DUMMYFUNCTION("IF(C1587&lt;&gt;"""", GOOGLETRANSLATE(C1587, ""en"", ""te""),"""")"),"[ '50 వ అత్యధిక కెరీర్ బ్యాటింగ్ సగటు (49.08)']")</f>
        <v>[ '50 వ అత్యధిక కెరీర్ బ్యాటింగ్ సగటు (49.08)']</v>
      </c>
      <c r="E1587" s="2"/>
      <c r="F1587" s="2" t="str">
        <f>IFERROR(__xludf.DUMMYFUNCTION("IF(E1587&lt;&gt;"""", GOOGLETRANSLATE(E1587, ""en"", ""te""),"""")"),"")</f>
        <v/>
      </c>
      <c r="G1587" s="2"/>
      <c r="H1587" s="2" t="str">
        <f>IFERROR(__xludf.DUMMYFUNCTION("IF(G1587&lt;&gt;"""", GOOGLETRANSLATE(G1587, ""en"", ""te""),"""")"),"")</f>
        <v/>
      </c>
      <c r="I1587" s="3"/>
    </row>
    <row r="1588" customHeight="1" spans="1:9">
      <c r="A1588" s="2"/>
      <c r="B1588" s="2" t="str">
        <f>IFERROR(__xludf.DUMMYFUNCTION("IF(A1588&lt;&gt;"""", GOOGLETRANSLATE(A1588, ""en"", ""te""),"""")"),"")</f>
        <v/>
      </c>
      <c r="C1588" s="2"/>
      <c r="D1588" s="2" t="str">
        <f>IFERROR(__xludf.DUMMYFUNCTION("IF(C1588&lt;&gt;"""", GOOGLETRANSLATE(C1588, ""en"", ""te""),"""")"),"")</f>
        <v/>
      </c>
      <c r="E1588" s="2"/>
      <c r="F1588" s="2" t="str">
        <f>IFERROR(__xludf.DUMMYFUNCTION("IF(E1588&lt;&gt;"""", GOOGLETRANSLATE(E1588, ""en"", ""te""),"""")"),"")</f>
        <v/>
      </c>
      <c r="G1588" s="2"/>
      <c r="H1588" s="2" t="str">
        <f>IFERROR(__xludf.DUMMYFUNCTION("IF(G1588&lt;&gt;"""", GOOGLETRANSLATE(G1588, ""en"", ""te""),"""")"),"")</f>
        <v/>
      </c>
      <c r="I1588" s="3"/>
    </row>
    <row r="1589" customHeight="1" spans="1:9">
      <c r="A1589" s="2"/>
      <c r="B1589" s="2" t="str">
        <f>IFERROR(__xludf.DUMMYFUNCTION("IF(A1589&lt;&gt;"""", GOOGLETRANSLATE(A1589, ""en"", ""te""),"""")"),"")</f>
        <v/>
      </c>
      <c r="C1589" s="2"/>
      <c r="D1589" s="2" t="str">
        <f>IFERROR(__xludf.DUMMYFUNCTION("IF(C1589&lt;&gt;"""", GOOGLETRANSLATE(C1589, ""en"", ""te""),"""")"),"")</f>
        <v/>
      </c>
      <c r="E1589" s="2"/>
      <c r="F1589" s="2" t="str">
        <f>IFERROR(__xludf.DUMMYFUNCTION("IF(E1589&lt;&gt;"""", GOOGLETRANSLATE(E1589, ""en"", ""te""),"""")"),"")</f>
        <v/>
      </c>
      <c r="G1589" s="2"/>
      <c r="H1589" s="2" t="str">
        <f>IFERROR(__xludf.DUMMYFUNCTION("IF(G1589&lt;&gt;"""", GOOGLETRANSLATE(G1589, ""en"", ""te""),"""")"),"")</f>
        <v/>
      </c>
      <c r="I1589" s="3"/>
    </row>
    <row r="1590" customHeight="1" spans="1:9">
      <c r="A1590" s="2"/>
      <c r="B1590" s="2" t="str">
        <f>IFERROR(__xludf.DUMMYFUNCTION("IF(A1590&lt;&gt;"""", GOOGLETRANSLATE(A1590, ""en"", ""te""),"""")"),"")</f>
        <v/>
      </c>
      <c r="C1590" s="2"/>
      <c r="D1590" s="2" t="str">
        <f>IFERROR(__xludf.DUMMYFUNCTION("IF(C1590&lt;&gt;"""", GOOGLETRANSLATE(C1590, ""en"", ""te""),"""")"),"")</f>
        <v/>
      </c>
      <c r="E1590" s="2"/>
      <c r="F1590" s="2" t="str">
        <f>IFERROR(__xludf.DUMMYFUNCTION("IF(E1590&lt;&gt;"""", GOOGLETRANSLATE(E1590, ""en"", ""te""),"""")"),"")</f>
        <v/>
      </c>
      <c r="G1590" s="2"/>
      <c r="H1590" s="2" t="str">
        <f>IFERROR(__xludf.DUMMYFUNCTION("IF(G1590&lt;&gt;"""", GOOGLETRANSLATE(G1590, ""en"", ""te""),"""")"),"")</f>
        <v/>
      </c>
      <c r="I1590" s="3"/>
    </row>
    <row r="1591" customHeight="1" spans="1:9">
      <c r="A1591" s="2" t="s">
        <v>990</v>
      </c>
      <c r="B1591" s="2" t="str">
        <f>IFERROR(__xludf.DUMMYFUNCTION("IF(A1591&lt;&gt;"""", GOOGLETRANSLATE(A1591, ""en"", ""te""),"""")"),"[ '10 వ ఇన్నింగ్స్ లో అత్యధిక పరుగులు (బ్యాటింగ్ స్థానంలో ప్రకారం) (275 *)', 'హండ్రెడ్ మరియు ఒక మ్యాచ్లో ఒక డక్', '4 వ అసాధారణ వికెట్లు (bal నిర్వహించింది)', 'నాలుగవ వికెట్కు 5 వ అత్యధిక భాగస్వామ్యం (232 ) ']")</f>
        <v>[ '10 వ ఇన్నింగ్స్ లో అత్యధిక పరుగులు (బ్యాటింగ్ స్థానంలో ప్రకారం) (275 *)', 'హండ్రెడ్ మరియు ఒక మ్యాచ్లో ఒక డక్', '4 వ అసాధారణ వికెట్లు (bal నిర్వహించింది)', 'నాలుగవ వికెట్కు 5 వ అత్యధిక భాగస్వామ్యం (232 ) ']</v>
      </c>
      <c r="C1591" s="2" t="s">
        <v>991</v>
      </c>
      <c r="D1591" s="2" t="str">
        <f>IFERROR(__xludf.DUMMYFUNCTION("IF(C1591&lt;&gt;"""", GOOGLETRANSLATE(C1591, ""en"", ""te""),"""")"),"[ '48 వ ఇన్నింగ్స్ లో అత్యధిక పరుగులు (275 *)', '10 వ ఇన్నింగ్స్ లో అత్యధిక పరుగులు (బ్యాటింగ్ స్థానంలో ప్రకారం) (275 *)', '48 వ లాంగెస్ట్ వ్యక్తిగత ఇన్నింగ్స్ (నిమిషాలు) (658)', '42 వ అత్యధిక క్యాచ్లు వరుస (10) ',' ఎనిమిదవ వికెట్ (127) 43 వ అత్యధిక భాగస్"&amp;"వామ్యం ']")</f>
        <v>[ '48 వ ఇన్నింగ్స్ లో అత్యధిక పరుగులు (275 *)', '10 వ ఇన్నింగ్స్ లో అత్యధిక పరుగులు (బ్యాటింగ్ స్థానంలో ప్రకారం) (275 *)', '48 వ లాంగెస్ట్ వ్యక్తిగత ఇన్నింగ్స్ (నిమిషాలు) (658)', '42 వ అత్యధిక క్యాచ్లు వరుస (10) ',' ఎనిమిదవ వికెట్ (127) 43 వ అత్యధిక భాగస్వామ్యం ']</v>
      </c>
      <c r="E1591" s="2" t="s">
        <v>992</v>
      </c>
      <c r="F1591" s="2" t="str">
        <f>IFERROR(__xludf.DUMMYFUNCTION("IF(E1591&lt;&gt;"""", GOOGLETRANSLATE(E1591, ""en"", ""te""),"""")"),"'వరుస 24 వ అత్యధిక క్యాచ్లు (8)' [ 'వరుస ఇన్నింగ్స్లో 44 వ యాభైల్లో (4)', '4 వ అసాధారణ వికెట్లు (bal నిర్వహించింది)', '45 వ అత్యధిక భాగస్వామ్యాలు ఏ వికెట్కు (232)', '5 వ అత్యధిక నాలుగో వికెట్కు భాగస్వామ్యం (232) ']")</f>
        <v>'వరుస 24 వ అత్యధిక క్యాచ్లు (8)' [ 'వరుస ఇన్నింగ్స్లో 44 వ యాభైల్లో (4)', '4 వ అసాధారణ వికెట్లు (bal నిర్వహించింది)', '45 వ అత్యధిక భాగస్వామ్యాలు ఏ వికెట్కు (232)', '5 వ అత్యధిక నాలుగో వికెట్కు భాగస్వామ్యం (232) ']</v>
      </c>
      <c r="G1591" s="2"/>
      <c r="H1591" s="2" t="str">
        <f>IFERROR(__xludf.DUMMYFUNCTION("IF(G1591&lt;&gt;"""", GOOGLETRANSLATE(G1591, ""en"", ""te""),"""")"),"")</f>
        <v/>
      </c>
      <c r="I1591" s="3"/>
    </row>
    <row r="1592" customHeight="1" spans="1:9">
      <c r="A1592" s="2"/>
      <c r="B1592" s="2" t="str">
        <f>IFERROR(__xludf.DUMMYFUNCTION("IF(A1592&lt;&gt;"""", GOOGLETRANSLATE(A1592, ""en"", ""te""),"""")"),"")</f>
        <v/>
      </c>
      <c r="C1592" s="2"/>
      <c r="D1592" s="2" t="str">
        <f>IFERROR(__xludf.DUMMYFUNCTION("IF(C1592&lt;&gt;"""", GOOGLETRANSLATE(C1592, ""en"", ""te""),"""")"),"")</f>
        <v/>
      </c>
      <c r="E1592" s="2"/>
      <c r="F1592" s="2" t="str">
        <f>IFERROR(__xludf.DUMMYFUNCTION("IF(E1592&lt;&gt;"""", GOOGLETRANSLATE(E1592, ""en"", ""te""),"""")"),"")</f>
        <v/>
      </c>
      <c r="G1592" s="2"/>
      <c r="H1592" s="2" t="str">
        <f>IFERROR(__xludf.DUMMYFUNCTION("IF(G1592&lt;&gt;"""", GOOGLETRANSLATE(G1592, ""en"", ""te""),"""")"),"")</f>
        <v/>
      </c>
      <c r="I1592" s="3"/>
    </row>
    <row r="1593" customHeight="1" spans="1:9">
      <c r="A1593" s="2"/>
      <c r="B1593" s="2" t="str">
        <f>IFERROR(__xludf.DUMMYFUNCTION("IF(A1593&lt;&gt;"""", GOOGLETRANSLATE(A1593, ""en"", ""te""),"""")"),"")</f>
        <v/>
      </c>
      <c r="C1593" s="2"/>
      <c r="D1593" s="2" t="str">
        <f>IFERROR(__xludf.DUMMYFUNCTION("IF(C1593&lt;&gt;"""", GOOGLETRANSLATE(C1593, ""en"", ""te""),"""")"),"")</f>
        <v/>
      </c>
      <c r="E1593" s="2"/>
      <c r="F1593" s="2" t="str">
        <f>IFERROR(__xludf.DUMMYFUNCTION("IF(E1593&lt;&gt;"""", GOOGLETRANSLATE(E1593, ""en"", ""te""),"""")"),"")</f>
        <v/>
      </c>
      <c r="G1593" s="2"/>
      <c r="H1593" s="2" t="str">
        <f>IFERROR(__xludf.DUMMYFUNCTION("IF(G1593&lt;&gt;"""", GOOGLETRANSLATE(G1593, ""en"", ""te""),"""")"),"")</f>
        <v/>
      </c>
      <c r="I1593" s="3"/>
    </row>
    <row r="1594" customHeight="1" spans="1:9">
      <c r="A1594" s="2" t="s">
        <v>993</v>
      </c>
      <c r="B1594" s="2" t="str">
        <f>IFERROR(__xludf.DUMMYFUNCTION("IF(A1594&lt;&gt;"""", GOOGLETRANSLATE(A1594, ""en"", ""te""),"""")"),"[ '1st అత్యుత్తమ బౌలింగ్ ఇన్నింగ్స్ లో విశ్లేషించడం (1/0)', ​​'ఒక జట్టు 3 వ వరుస మ్యాచ్లు (162)', 'ఒక జట్టు కెప్టెన్గా 1st వరుస మ్యాచ్లు (130)', '250 పరుగులు మరియు 10 వికెట్లు వరుస ',' 1000 పరుగులు, 50 వికెట్లు, 50 క్యాచ్లు ',' 5000 పరుగులు మరియు 50 ఫీల్డ"&amp;"ింగ్ వికెట్లు ',' 1 వ వరుస మ్యాచ్లు (130) ',' 6 వ అత్యధిక వరుస జట్టు మ్యాచ్లు జట్టు కెప్టెన్గా (142 ) ',' ఒక జట్టు కెప్టెన్గా 3 వ వరుస మ్యాచ్లు (99) ']")</f>
        <v>[ '1st అత్యుత్తమ బౌలింగ్ ఇన్నింగ్స్ లో విశ్లేషించడం (1/0)', ​​'ఒక జట్టు 3 వ వరుస మ్యాచ్లు (162)', 'ఒక జట్టు కెప్టెన్గా 1st వరుస మ్యాచ్లు (130)', '250 పరుగులు మరియు 10 వికెట్లు వరుస ',' 1000 పరుగులు, 50 వికెట్లు, 50 క్యాచ్లు ',' 5000 పరుగులు మరియు 50 ఫీల్డింగ్ వికెట్లు ',' 1 వ వరుస మ్యాచ్లు (130) ',' 6 వ అత్యధిక వరుస జట్టు మ్యాచ్లు జట్టు కెప్టెన్గా (142 ) ',' ఒక జట్టు కెప్టెన్గా 3 వ వరుస మ్యాచ్లు (99) ']</v>
      </c>
      <c r="C1594" s="2" t="s">
        <v>994</v>
      </c>
      <c r="D1594" s="2" t="str">
        <f>IFERROR(__xludf.DUMMYFUNCTION("IF(C1594&lt;&gt;"""", GOOGLETRANSLATE(C1594, ""en"", ""te""),"""")"),"'వరుస (10) 42 వ అత్యధిక క్యాచ్లు' [ 'వరుస ఇన్నింగ్స్లో 32 వ యాభైల్లో (5)', '36 వ ఇన్నింగ్స్ (6) లో వచ్చిన ఎక్కువ సిక్స్' '1 వ అత్యుత్తమ బౌలింగ్ ఇన్నింగ్స్ లో విశ్లేషించడం (1/0)', '33 వ షార్టేస్ట్ క్రీడాకారులు నివసించారు (32y 249d)', '13 వ అత్యధిక మ్యాచ్ల"&amp;"ు కెప్టెన్గా (53)', '31 వరుస మ్యాచ్లు ఒక జట్టు కెప్టెన్గా (26)', '21 వ పిన్న కాప్టెన్ (24y 125d) ']")</f>
        <v>'వరుస (10) 42 వ అత్యధిక క్యాచ్లు' [ 'వరుస ఇన్నింగ్స్లో 32 వ యాభైల్లో (5)', '36 వ ఇన్నింగ్స్ (6) లో వచ్చిన ఎక్కువ సిక్స్' '1 వ అత్యుత్తమ బౌలింగ్ ఇన్నింగ్స్ లో విశ్లేషించడం (1/0)', '33 వ షార్టేస్ట్ క్రీడాకారులు నివసించారు (32y 249d)', '13 వ అత్యధిక మ్యాచ్లు కెప్టెన్గా (53)', '31 వరుస మ్యాచ్లు ఒక జట్టు కెప్టెన్గా (26)', '21 వ పిన్న కాప్టెన్ (24y 125d) ']</v>
      </c>
      <c r="E1594" s="2" t="s">
        <v>995</v>
      </c>
      <c r="F1594" s="2" t="str">
        <f>IFERROR(__xludf.DUMMYFUNCTION("IF(E1594&lt;&gt;"""", GOOGLETRANSLATE(E1594, ""en"", ""te""),"""")"),"[ '22 వ కెరీర్ తొంభైల (5)', '42 వ ఎక్కువ సిక్స్ కెరీర్లో (94)', 'ఒక కెప్టెన్తో ఒక ఇన్నింగ్స్ లో 26 వ బెస్ట్ ఫిగర్స్ (4)', 'ఆరవ వికెట్ (137) కోసం 23 అత్యధిక భాగస్వామ్యం' 'జట్టు 3 వ వరుస మ్యాచ్లు (162)', '40 వ అత్యంత ప్లేయర్ ఆఫ్ ది మ్యాచ్ అవార్డులు (18)', "&amp;"'10 వ షార్టేస్ట్ క్రీడాకారులు నివసించారు (32y 249d)', '10 వ కెప్టెన్గా అత్యధిక మ్యాచ్లు (138) ',' ఒక జట్టు కెప్టెన్గా 1st వరుస మ్యాచ్లు (130) ', '21 వ వరుస అన్ని టాస్ గెలిచిన (3)', '28th పిన్న కాప్టెన్ (24y 105d)']")</f>
        <v>[ '22 వ కెరీర్ తొంభైల (5)', '42 వ ఎక్కువ సిక్స్ కెరీర్లో (94)', 'ఒక కెప్టెన్తో ఒక ఇన్నింగ్స్ లో 26 వ బెస్ట్ ఫిగర్స్ (4)', 'ఆరవ వికెట్ (137) కోసం 23 అత్యధిక భాగస్వామ్యం' 'జట్టు 3 వ వరుస మ్యాచ్లు (162)', '40 వ అత్యంత ప్లేయర్ ఆఫ్ ది మ్యాచ్ అవార్డులు (18)', '10 వ షార్టేస్ట్ క్రీడాకారులు నివసించారు (32y 249d)', '10 వ కెప్టెన్గా అత్యధిక మ్యాచ్లు (138) ',' ఒక జట్టు కెప్టెన్గా 1st వరుస మ్యాచ్లు (130) ', '21 వ వరుస అన్ని టాస్ గెలిచిన (3)', '28th పిన్న కాప్టెన్ (24y 105d)']</v>
      </c>
      <c r="G1594" s="2" t="s">
        <v>996</v>
      </c>
      <c r="H1594" s="2" t="str">
        <f>IFERROR(__xludf.DUMMYFUNCTION("IF(G1594&lt;&gt;"""", GOOGLETRANSLATE(G1594, ""en"", ""te""),"""")"),"[ '1st చాలా జట్టు కెప్టెన్గా వరుస మ్యాచ్లు (130)']")</f>
        <v>[ '1st చాలా జట్టు కెప్టెన్గా వరుస మ్యాచ్లు (130)']</v>
      </c>
      <c r="I1594" s="3"/>
    </row>
    <row r="1595" customHeight="1" spans="1:9">
      <c r="A1595" s="2"/>
      <c r="B1595" s="2" t="str">
        <f>IFERROR(__xludf.DUMMYFUNCTION("IF(A1595&lt;&gt;"""", GOOGLETRANSLATE(A1595, ""en"", ""te""),"""")"),"")</f>
        <v/>
      </c>
      <c r="C1595" s="2"/>
      <c r="D1595" s="2" t="str">
        <f>IFERROR(__xludf.DUMMYFUNCTION("IF(C1595&lt;&gt;"""", GOOGLETRANSLATE(C1595, ""en"", ""te""),"""")"),"")</f>
        <v/>
      </c>
      <c r="E1595" s="2"/>
      <c r="F1595" s="2" t="str">
        <f>IFERROR(__xludf.DUMMYFUNCTION("IF(E1595&lt;&gt;"""", GOOGLETRANSLATE(E1595, ""en"", ""te""),"""")"),"")</f>
        <v/>
      </c>
      <c r="G1595" s="2"/>
      <c r="H1595" s="2" t="str">
        <f>IFERROR(__xludf.DUMMYFUNCTION("IF(G1595&lt;&gt;"""", GOOGLETRANSLATE(G1595, ""en"", ""te""),"""")"),"")</f>
        <v/>
      </c>
      <c r="I1595" s="3"/>
    </row>
    <row r="1596" customHeight="1" spans="1:9">
      <c r="A1596" s="2"/>
      <c r="B1596" s="2" t="str">
        <f>IFERROR(__xludf.DUMMYFUNCTION("IF(A1596&lt;&gt;"""", GOOGLETRANSLATE(A1596, ""en"", ""te""),"""")"),"")</f>
        <v/>
      </c>
      <c r="C1596" s="2"/>
      <c r="D1596" s="2" t="str">
        <f>IFERROR(__xludf.DUMMYFUNCTION("IF(C1596&lt;&gt;"""", GOOGLETRANSLATE(C1596, ""en"", ""te""),"""")"),"")</f>
        <v/>
      </c>
      <c r="E1596" s="2"/>
      <c r="F1596" s="2" t="str">
        <f>IFERROR(__xludf.DUMMYFUNCTION("IF(E1596&lt;&gt;"""", GOOGLETRANSLATE(E1596, ""en"", ""te""),"""")"),"")</f>
        <v/>
      </c>
      <c r="G1596" s="2"/>
      <c r="H1596" s="2" t="str">
        <f>IFERROR(__xludf.DUMMYFUNCTION("IF(G1596&lt;&gt;"""", GOOGLETRANSLATE(G1596, ""en"", ""te""),"""")"),"")</f>
        <v/>
      </c>
      <c r="I1596" s="3"/>
    </row>
    <row r="1597" customHeight="1" spans="1:9">
      <c r="A1597" s="2"/>
      <c r="B1597" s="2" t="str">
        <f>IFERROR(__xludf.DUMMYFUNCTION("IF(A1597&lt;&gt;"""", GOOGLETRANSLATE(A1597, ""en"", ""te""),"""")"),"")</f>
        <v/>
      </c>
      <c r="C1597" s="2"/>
      <c r="D1597" s="2" t="str">
        <f>IFERROR(__xludf.DUMMYFUNCTION("IF(C1597&lt;&gt;"""", GOOGLETRANSLATE(C1597, ""en"", ""te""),"""")"),"")</f>
        <v/>
      </c>
      <c r="E1597" s="2"/>
      <c r="F1597" s="2" t="str">
        <f>IFERROR(__xludf.DUMMYFUNCTION("IF(E1597&lt;&gt;"""", GOOGLETRANSLATE(E1597, ""en"", ""te""),"""")"),"")</f>
        <v/>
      </c>
      <c r="G1597" s="2"/>
      <c r="H1597" s="2" t="str">
        <f>IFERROR(__xludf.DUMMYFUNCTION("IF(G1597&lt;&gt;"""", GOOGLETRANSLATE(G1597, ""en"", ""te""),"""")"),"")</f>
        <v/>
      </c>
      <c r="I1597" s="3"/>
    </row>
    <row r="1598" customHeight="1" spans="1:9">
      <c r="A1598" s="2"/>
      <c r="B1598" s="2" t="str">
        <f>IFERROR(__xludf.DUMMYFUNCTION("IF(A1598&lt;&gt;"""", GOOGLETRANSLATE(A1598, ""en"", ""te""),"""")"),"")</f>
        <v/>
      </c>
      <c r="C1598" s="2"/>
      <c r="D1598" s="2" t="str">
        <f>IFERROR(__xludf.DUMMYFUNCTION("IF(C1598&lt;&gt;"""", GOOGLETRANSLATE(C1598, ""en"", ""te""),"""")"),"")</f>
        <v/>
      </c>
      <c r="E1598" s="2"/>
      <c r="F1598" s="2" t="str">
        <f>IFERROR(__xludf.DUMMYFUNCTION("IF(E1598&lt;&gt;"""", GOOGLETRANSLATE(E1598, ""en"", ""te""),"""")"),"")</f>
        <v/>
      </c>
      <c r="G1598" s="2"/>
      <c r="H1598" s="2" t="str">
        <f>IFERROR(__xludf.DUMMYFUNCTION("IF(G1598&lt;&gt;"""", GOOGLETRANSLATE(G1598, ""en"", ""te""),"""")"),"")</f>
        <v/>
      </c>
      <c r="I1598" s="3"/>
    </row>
    <row r="1599" customHeight="1" spans="1:9">
      <c r="A1599" s="2"/>
      <c r="B1599" s="2" t="str">
        <f>IFERROR(__xludf.DUMMYFUNCTION("IF(A1599&lt;&gt;"""", GOOGLETRANSLATE(A1599, ""en"", ""te""),"""")"),"")</f>
        <v/>
      </c>
      <c r="C1599" s="2"/>
      <c r="D1599" s="2" t="str">
        <f>IFERROR(__xludf.DUMMYFUNCTION("IF(C1599&lt;&gt;"""", GOOGLETRANSLATE(C1599, ""en"", ""te""),"""")"),"")</f>
        <v/>
      </c>
      <c r="E1599" s="2"/>
      <c r="F1599" s="2" t="str">
        <f>IFERROR(__xludf.DUMMYFUNCTION("IF(E1599&lt;&gt;"""", GOOGLETRANSLATE(E1599, ""en"", ""te""),"""")"),"")</f>
        <v/>
      </c>
      <c r="G1599" s="2"/>
      <c r="H1599" s="2" t="str">
        <f>IFERROR(__xludf.DUMMYFUNCTION("IF(G1599&lt;&gt;"""", GOOGLETRANSLATE(G1599, ""en"", ""te""),"""")"),"")</f>
        <v/>
      </c>
      <c r="I1599" s="3"/>
    </row>
    <row r="1600" customHeight="1" spans="1:9">
      <c r="A1600" s="2"/>
      <c r="B1600" s="2" t="str">
        <f>IFERROR(__xludf.DUMMYFUNCTION("IF(A1600&lt;&gt;"""", GOOGLETRANSLATE(A1600, ""en"", ""te""),"""")"),"")</f>
        <v/>
      </c>
      <c r="C1600" s="2"/>
      <c r="D1600" s="2" t="str">
        <f>IFERROR(__xludf.DUMMYFUNCTION("IF(C1600&lt;&gt;"""", GOOGLETRANSLATE(C1600, ""en"", ""te""),"""")"),"")</f>
        <v/>
      </c>
      <c r="E1600" s="2"/>
      <c r="F1600" s="2" t="str">
        <f>IFERROR(__xludf.DUMMYFUNCTION("IF(E1600&lt;&gt;"""", GOOGLETRANSLATE(E1600, ""en"", ""te""),"""")"),"")</f>
        <v/>
      </c>
      <c r="G1600" s="2"/>
      <c r="H1600" s="2" t="str">
        <f>IFERROR(__xludf.DUMMYFUNCTION("IF(G1600&lt;&gt;"""", GOOGLETRANSLATE(G1600, ""en"", ""te""),"""")"),"")</f>
        <v/>
      </c>
      <c r="I1600" s="3"/>
    </row>
    <row r="1601" customHeight="1" spans="1:9">
      <c r="A1601" s="2"/>
      <c r="B1601" s="2" t="str">
        <f>IFERROR(__xludf.DUMMYFUNCTION("IF(A1601&lt;&gt;"""", GOOGLETRANSLATE(A1601, ""en"", ""te""),"""")"),"")</f>
        <v/>
      </c>
      <c r="C1601" s="2"/>
      <c r="D1601" s="2" t="str">
        <f>IFERROR(__xludf.DUMMYFUNCTION("IF(C1601&lt;&gt;"""", GOOGLETRANSLATE(C1601, ""en"", ""te""),"""")"),"")</f>
        <v/>
      </c>
      <c r="E1601" s="2"/>
      <c r="F1601" s="2" t="str">
        <f>IFERROR(__xludf.DUMMYFUNCTION("IF(E1601&lt;&gt;"""", GOOGLETRANSLATE(E1601, ""en"", ""te""),"""")"),"")</f>
        <v/>
      </c>
      <c r="G1601" s="2"/>
      <c r="H1601" s="2" t="str">
        <f>IFERROR(__xludf.DUMMYFUNCTION("IF(G1601&lt;&gt;"""", GOOGLETRANSLATE(G1601, ""en"", ""te""),"""")"),"")</f>
        <v/>
      </c>
      <c r="I1601" s="3"/>
    </row>
    <row r="1602" customHeight="1" spans="1:9">
      <c r="A1602" s="2"/>
      <c r="B1602" s="2" t="str">
        <f>IFERROR(__xludf.DUMMYFUNCTION("IF(A1602&lt;&gt;"""", GOOGLETRANSLATE(A1602, ""en"", ""te""),"""")"),"")</f>
        <v/>
      </c>
      <c r="C1602" s="2"/>
      <c r="D1602" s="2" t="str">
        <f>IFERROR(__xludf.DUMMYFUNCTION("IF(C1602&lt;&gt;"""", GOOGLETRANSLATE(C1602, ""en"", ""te""),"""")"),"")</f>
        <v/>
      </c>
      <c r="E1602" s="2"/>
      <c r="F1602" s="2" t="str">
        <f>IFERROR(__xludf.DUMMYFUNCTION("IF(E1602&lt;&gt;"""", GOOGLETRANSLATE(E1602, ""en"", ""te""),"""")"),"")</f>
        <v/>
      </c>
      <c r="G1602" s="2"/>
      <c r="H1602" s="2" t="str">
        <f>IFERROR(__xludf.DUMMYFUNCTION("IF(G1602&lt;&gt;"""", GOOGLETRANSLATE(G1602, ""en"", ""te""),"""")"),"")</f>
        <v/>
      </c>
      <c r="I1602" s="3"/>
    </row>
    <row r="1603" customHeight="1" spans="1:9">
      <c r="A1603" s="2"/>
      <c r="B1603" s="2" t="str">
        <f>IFERROR(__xludf.DUMMYFUNCTION("IF(A1603&lt;&gt;"""", GOOGLETRANSLATE(A1603, ""en"", ""te""),"""")"),"")</f>
        <v/>
      </c>
      <c r="C1603" s="2"/>
      <c r="D1603" s="2" t="str">
        <f>IFERROR(__xludf.DUMMYFUNCTION("IF(C1603&lt;&gt;"""", GOOGLETRANSLATE(C1603, ""en"", ""te""),"""")"),"")</f>
        <v/>
      </c>
      <c r="E1603" s="2"/>
      <c r="F1603" s="2" t="str">
        <f>IFERROR(__xludf.DUMMYFUNCTION("IF(E1603&lt;&gt;"""", GOOGLETRANSLATE(E1603, ""en"", ""te""),"""")"),"")</f>
        <v/>
      </c>
      <c r="G1603" s="2"/>
      <c r="H1603" s="2" t="str">
        <f>IFERROR(__xludf.DUMMYFUNCTION("IF(G1603&lt;&gt;"""", GOOGLETRANSLATE(G1603, ""en"", ""te""),"""")"),"")</f>
        <v/>
      </c>
      <c r="I1603" s="3"/>
    </row>
    <row r="1604" customHeight="1" spans="1:9">
      <c r="A1604" s="2"/>
      <c r="B1604" s="2" t="str">
        <f>IFERROR(__xludf.DUMMYFUNCTION("IF(A1604&lt;&gt;"""", GOOGLETRANSLATE(A1604, ""en"", ""te""),"""")"),"")</f>
        <v/>
      </c>
      <c r="C1604" s="2"/>
      <c r="D1604" s="2" t="str">
        <f>IFERROR(__xludf.DUMMYFUNCTION("IF(C1604&lt;&gt;"""", GOOGLETRANSLATE(C1604, ""en"", ""te""),"""")"),"")</f>
        <v/>
      </c>
      <c r="E1604" s="2"/>
      <c r="F1604" s="2" t="str">
        <f>IFERROR(__xludf.DUMMYFUNCTION("IF(E1604&lt;&gt;"""", GOOGLETRANSLATE(E1604, ""en"", ""te""),"""")"),"")</f>
        <v/>
      </c>
      <c r="G1604" s="2"/>
      <c r="H1604" s="2" t="str">
        <f>IFERROR(__xludf.DUMMYFUNCTION("IF(G1604&lt;&gt;"""", GOOGLETRANSLATE(G1604, ""en"", ""te""),"""")"),"")</f>
        <v/>
      </c>
      <c r="I1604" s="3"/>
    </row>
    <row r="1605" customHeight="1" spans="1:9">
      <c r="A1605" s="2"/>
      <c r="B1605" s="2" t="str">
        <f>IFERROR(__xludf.DUMMYFUNCTION("IF(A1605&lt;&gt;"""", GOOGLETRANSLATE(A1605, ""en"", ""te""),"""")"),"")</f>
        <v/>
      </c>
      <c r="C1605" s="2"/>
      <c r="D1605" s="2" t="str">
        <f>IFERROR(__xludf.DUMMYFUNCTION("IF(C1605&lt;&gt;"""", GOOGLETRANSLATE(C1605, ""en"", ""te""),"""")"),"")</f>
        <v/>
      </c>
      <c r="E1605" s="2"/>
      <c r="F1605" s="2" t="str">
        <f>IFERROR(__xludf.DUMMYFUNCTION("IF(E1605&lt;&gt;"""", GOOGLETRANSLATE(E1605, ""en"", ""te""),"""")"),"")</f>
        <v/>
      </c>
      <c r="G1605" s="2"/>
      <c r="H1605" s="2" t="str">
        <f>IFERROR(__xludf.DUMMYFUNCTION("IF(G1605&lt;&gt;"""", GOOGLETRANSLATE(G1605, ""en"", ""te""),"""")"),"")</f>
        <v/>
      </c>
      <c r="I1605" s="3"/>
    </row>
    <row r="1606" customHeight="1" spans="1:9">
      <c r="A1606" s="2"/>
      <c r="B1606" s="2" t="str">
        <f>IFERROR(__xludf.DUMMYFUNCTION("IF(A1606&lt;&gt;"""", GOOGLETRANSLATE(A1606, ""en"", ""te""),"""")"),"")</f>
        <v/>
      </c>
      <c r="C1606" s="2"/>
      <c r="D1606" s="2" t="str">
        <f>IFERROR(__xludf.DUMMYFUNCTION("IF(C1606&lt;&gt;"""", GOOGLETRANSLATE(C1606, ""en"", ""te""),"""")"),"")</f>
        <v/>
      </c>
      <c r="E1606" s="2"/>
      <c r="F1606" s="2" t="str">
        <f>IFERROR(__xludf.DUMMYFUNCTION("IF(E1606&lt;&gt;"""", GOOGLETRANSLATE(E1606, ""en"", ""te""),"""")"),"")</f>
        <v/>
      </c>
      <c r="G1606" s="2"/>
      <c r="H1606" s="2" t="str">
        <f>IFERROR(__xludf.DUMMYFUNCTION("IF(G1606&lt;&gt;"""", GOOGLETRANSLATE(G1606, ""en"", ""te""),"""")"),"")</f>
        <v/>
      </c>
      <c r="I1606" s="3"/>
    </row>
    <row r="1607" customHeight="1" spans="1:9">
      <c r="A1607" s="2"/>
      <c r="B1607" s="2" t="str">
        <f>IFERROR(__xludf.DUMMYFUNCTION("IF(A1607&lt;&gt;"""", GOOGLETRANSLATE(A1607, ""en"", ""te""),"""")"),"")</f>
        <v/>
      </c>
      <c r="C1607" s="2"/>
      <c r="D1607" s="2" t="str">
        <f>IFERROR(__xludf.DUMMYFUNCTION("IF(C1607&lt;&gt;"""", GOOGLETRANSLATE(C1607, ""en"", ""te""),"""")"),"")</f>
        <v/>
      </c>
      <c r="E1607" s="2"/>
      <c r="F1607" s="2" t="str">
        <f>IFERROR(__xludf.DUMMYFUNCTION("IF(E1607&lt;&gt;"""", GOOGLETRANSLATE(E1607, ""en"", ""te""),"""")"),"")</f>
        <v/>
      </c>
      <c r="G1607" s="2"/>
      <c r="H1607" s="2" t="str">
        <f>IFERROR(__xludf.DUMMYFUNCTION("IF(G1607&lt;&gt;"""", GOOGLETRANSLATE(G1607, ""en"", ""te""),"""")"),"")</f>
        <v/>
      </c>
      <c r="I1607" s="3"/>
    </row>
    <row r="1608" customHeight="1" spans="1:9">
      <c r="A1608" s="2"/>
      <c r="B1608" s="2" t="str">
        <f>IFERROR(__xludf.DUMMYFUNCTION("IF(A1608&lt;&gt;"""", GOOGLETRANSLATE(A1608, ""en"", ""te""),"""")"),"")</f>
        <v/>
      </c>
      <c r="C1608" s="2"/>
      <c r="D1608" s="2" t="str">
        <f>IFERROR(__xludf.DUMMYFUNCTION("IF(C1608&lt;&gt;"""", GOOGLETRANSLATE(C1608, ""en"", ""te""),"""")"),"")</f>
        <v/>
      </c>
      <c r="E1608" s="2"/>
      <c r="F1608" s="2" t="str">
        <f>IFERROR(__xludf.DUMMYFUNCTION("IF(E1608&lt;&gt;"""", GOOGLETRANSLATE(E1608, ""en"", ""te""),"""")"),"")</f>
        <v/>
      </c>
      <c r="G1608" s="2"/>
      <c r="H1608" s="2" t="str">
        <f>IFERROR(__xludf.DUMMYFUNCTION("IF(G1608&lt;&gt;"""", GOOGLETRANSLATE(G1608, ""en"", ""te""),"""")"),"")</f>
        <v/>
      </c>
      <c r="I1608" s="3"/>
    </row>
    <row r="1609" customHeight="1" spans="1:9">
      <c r="A1609" s="2"/>
      <c r="B1609" s="2" t="str">
        <f>IFERROR(__xludf.DUMMYFUNCTION("IF(A1609&lt;&gt;"""", GOOGLETRANSLATE(A1609, ""en"", ""te""),"""")"),"")</f>
        <v/>
      </c>
      <c r="C1609" s="2"/>
      <c r="D1609" s="2" t="str">
        <f>IFERROR(__xludf.DUMMYFUNCTION("IF(C1609&lt;&gt;"""", GOOGLETRANSLATE(C1609, ""en"", ""te""),"""")"),"")</f>
        <v/>
      </c>
      <c r="E1609" s="2"/>
      <c r="F1609" s="2" t="str">
        <f>IFERROR(__xludf.DUMMYFUNCTION("IF(E1609&lt;&gt;"""", GOOGLETRANSLATE(E1609, ""en"", ""te""),"""")"),"")</f>
        <v/>
      </c>
      <c r="G1609" s="2"/>
      <c r="H1609" s="2" t="str">
        <f>IFERROR(__xludf.DUMMYFUNCTION("IF(G1609&lt;&gt;"""", GOOGLETRANSLATE(G1609, ""en"", ""te""),"""")"),"")</f>
        <v/>
      </c>
      <c r="I1609" s="3"/>
    </row>
    <row r="1610" customHeight="1" spans="1:9">
      <c r="A1610" s="2"/>
      <c r="B1610" s="2" t="str">
        <f>IFERROR(__xludf.DUMMYFUNCTION("IF(A1610&lt;&gt;"""", GOOGLETRANSLATE(A1610, ""en"", ""te""),"""")"),"")</f>
        <v/>
      </c>
      <c r="C1610" s="2"/>
      <c r="D1610" s="2" t="str">
        <f>IFERROR(__xludf.DUMMYFUNCTION("IF(C1610&lt;&gt;"""", GOOGLETRANSLATE(C1610, ""en"", ""te""),"""")"),"")</f>
        <v/>
      </c>
      <c r="E1610" s="2"/>
      <c r="F1610" s="2" t="str">
        <f>IFERROR(__xludf.DUMMYFUNCTION("IF(E1610&lt;&gt;"""", GOOGLETRANSLATE(E1610, ""en"", ""te""),"""")"),"")</f>
        <v/>
      </c>
      <c r="G1610" s="2"/>
      <c r="H1610" s="2" t="str">
        <f>IFERROR(__xludf.DUMMYFUNCTION("IF(G1610&lt;&gt;"""", GOOGLETRANSLATE(G1610, ""en"", ""te""),"""")"),"")</f>
        <v/>
      </c>
      <c r="I1610" s="3"/>
    </row>
    <row r="1611" customHeight="1" spans="1:9">
      <c r="A1611" s="2" t="s">
        <v>300</v>
      </c>
      <c r="B1611" s="2" t="str">
        <f>IFERROR(__xludf.DUMMYFUNCTION("IF(A1611&lt;&gt;"""", GOOGLETRANSLATE(A1611, ""en"", ""te""),"""")"),"[ 'ప్రవేశం (115) పై వంద']")</f>
        <v>[ 'ప్రవేశం (115) పై వంద']</v>
      </c>
      <c r="C1611" s="2"/>
      <c r="D1611" s="2" t="str">
        <f>IFERROR(__xludf.DUMMYFUNCTION("IF(C1611&lt;&gt;"""", GOOGLETRANSLATE(C1611, ""en"", ""te""),"""")"),"")</f>
        <v/>
      </c>
      <c r="E1611" s="2"/>
      <c r="F1611" s="2" t="str">
        <f>IFERROR(__xludf.DUMMYFUNCTION("IF(E1611&lt;&gt;"""", GOOGLETRANSLATE(E1611, ""en"", ""te""),"""")"),"")</f>
        <v/>
      </c>
      <c r="G1611" s="2"/>
      <c r="H1611" s="2" t="str">
        <f>IFERROR(__xludf.DUMMYFUNCTION("IF(G1611&lt;&gt;"""", GOOGLETRANSLATE(G1611, ""en"", ""te""),"""")"),"")</f>
        <v/>
      </c>
      <c r="I1611" s="3"/>
    </row>
    <row r="1612" customHeight="1" spans="1:9">
      <c r="A1612" s="2"/>
      <c r="B1612" s="2" t="str">
        <f>IFERROR(__xludf.DUMMYFUNCTION("IF(A1612&lt;&gt;"""", GOOGLETRANSLATE(A1612, ""en"", ""te""),"""")"),"")</f>
        <v/>
      </c>
      <c r="C1612" s="2"/>
      <c r="D1612" s="2" t="str">
        <f>IFERROR(__xludf.DUMMYFUNCTION("IF(C1612&lt;&gt;"""", GOOGLETRANSLATE(C1612, ""en"", ""te""),"""")"),"")</f>
        <v/>
      </c>
      <c r="E1612" s="2"/>
      <c r="F1612" s="2" t="str">
        <f>IFERROR(__xludf.DUMMYFUNCTION("IF(E1612&lt;&gt;"""", GOOGLETRANSLATE(E1612, ""en"", ""te""),"""")"),"")</f>
        <v/>
      </c>
      <c r="G1612" s="2"/>
      <c r="H1612" s="2" t="str">
        <f>IFERROR(__xludf.DUMMYFUNCTION("IF(G1612&lt;&gt;"""", GOOGLETRANSLATE(G1612, ""en"", ""te""),"""")"),"")</f>
        <v/>
      </c>
      <c r="I1612" s="3"/>
    </row>
    <row r="1613" customHeight="1" spans="1:9">
      <c r="A1613" s="2"/>
      <c r="B1613" s="2" t="str">
        <f>IFERROR(__xludf.DUMMYFUNCTION("IF(A1613&lt;&gt;"""", GOOGLETRANSLATE(A1613, ""en"", ""te""),"""")"),"")</f>
        <v/>
      </c>
      <c r="C1613" s="2"/>
      <c r="D1613" s="2" t="str">
        <f>IFERROR(__xludf.DUMMYFUNCTION("IF(C1613&lt;&gt;"""", GOOGLETRANSLATE(C1613, ""en"", ""te""),"""")"),"")</f>
        <v/>
      </c>
      <c r="E1613" s="2"/>
      <c r="F1613" s="2" t="str">
        <f>IFERROR(__xludf.DUMMYFUNCTION("IF(E1613&lt;&gt;"""", GOOGLETRANSLATE(E1613, ""en"", ""te""),"""")"),"")</f>
        <v/>
      </c>
      <c r="G1613" s="2"/>
      <c r="H1613" s="2" t="str">
        <f>IFERROR(__xludf.DUMMYFUNCTION("IF(G1613&lt;&gt;"""", GOOGLETRANSLATE(G1613, ""en"", ""te""),"""")"),"")</f>
        <v/>
      </c>
      <c r="I1613" s="3"/>
    </row>
    <row r="1614" customHeight="1" spans="1:9">
      <c r="A1614" s="2"/>
      <c r="B1614" s="2" t="str">
        <f>IFERROR(__xludf.DUMMYFUNCTION("IF(A1614&lt;&gt;"""", GOOGLETRANSLATE(A1614, ""en"", ""te""),"""")"),"")</f>
        <v/>
      </c>
      <c r="C1614" s="2"/>
      <c r="D1614" s="2" t="str">
        <f>IFERROR(__xludf.DUMMYFUNCTION("IF(C1614&lt;&gt;"""", GOOGLETRANSLATE(C1614, ""en"", ""te""),"""")"),"")</f>
        <v/>
      </c>
      <c r="E1614" s="2"/>
      <c r="F1614" s="2" t="str">
        <f>IFERROR(__xludf.DUMMYFUNCTION("IF(E1614&lt;&gt;"""", GOOGLETRANSLATE(E1614, ""en"", ""te""),"""")"),"")</f>
        <v/>
      </c>
      <c r="G1614" s="2"/>
      <c r="H1614" s="2" t="str">
        <f>IFERROR(__xludf.DUMMYFUNCTION("IF(G1614&lt;&gt;"""", GOOGLETRANSLATE(G1614, ""en"", ""te""),"""")"),"")</f>
        <v/>
      </c>
      <c r="I1614" s="3"/>
    </row>
    <row r="1615" customHeight="1" spans="1:9">
      <c r="A1615" s="2"/>
      <c r="B1615" s="2" t="str">
        <f>IFERROR(__xludf.DUMMYFUNCTION("IF(A1615&lt;&gt;"""", GOOGLETRANSLATE(A1615, ""en"", ""te""),"""")"),"")</f>
        <v/>
      </c>
      <c r="C1615" s="2"/>
      <c r="D1615" s="2" t="str">
        <f>IFERROR(__xludf.DUMMYFUNCTION("IF(C1615&lt;&gt;"""", GOOGLETRANSLATE(C1615, ""en"", ""te""),"""")"),"")</f>
        <v/>
      </c>
      <c r="E1615" s="2"/>
      <c r="F1615" s="2" t="str">
        <f>IFERROR(__xludf.DUMMYFUNCTION("IF(E1615&lt;&gt;"""", GOOGLETRANSLATE(E1615, ""en"", ""te""),"""")"),"")</f>
        <v/>
      </c>
      <c r="G1615" s="2"/>
      <c r="H1615" s="2" t="str">
        <f>IFERROR(__xludf.DUMMYFUNCTION("IF(G1615&lt;&gt;"""", GOOGLETRANSLATE(G1615, ""en"", ""te""),"""")"),"")</f>
        <v/>
      </c>
      <c r="I1615" s="3"/>
    </row>
    <row r="1616" customHeight="1" spans="1:9">
      <c r="A1616" s="2" t="s">
        <v>9</v>
      </c>
      <c r="B1616" s="2" t="str">
        <f>IFERROR(__xludf.DUMMYFUNCTION("IF(A1616&lt;&gt;"""", GOOGLETRANSLATE(A1616, ""en"", ""te""),"""")"),"[ 'హండ్రెడ్ మరియు ఒక మ్యాచ్లో ఒక డక్']")</f>
        <v>[ 'హండ్రెడ్ మరియు ఒక మ్యాచ్లో ఒక డక్']</v>
      </c>
      <c r="C1616" s="2"/>
      <c r="D1616" s="2" t="str">
        <f>IFERROR(__xludf.DUMMYFUNCTION("IF(C1616&lt;&gt;"""", GOOGLETRANSLATE(C1616, ""en"", ""te""),"""")"),"")</f>
        <v/>
      </c>
      <c r="E1616" s="2"/>
      <c r="F1616" s="2" t="str">
        <f>IFERROR(__xludf.DUMMYFUNCTION("IF(E1616&lt;&gt;"""", GOOGLETRANSLATE(E1616, ""en"", ""te""),"""")"),"")</f>
        <v/>
      </c>
      <c r="G1616" s="2"/>
      <c r="H1616" s="2" t="str">
        <f>IFERROR(__xludf.DUMMYFUNCTION("IF(G1616&lt;&gt;"""", GOOGLETRANSLATE(G1616, ""en"", ""te""),"""")"),"")</f>
        <v/>
      </c>
      <c r="I1616" s="3"/>
    </row>
    <row r="1617" customHeight="1" spans="1:9">
      <c r="A1617" s="2"/>
      <c r="B1617" s="2" t="str">
        <f>IFERROR(__xludf.DUMMYFUNCTION("IF(A1617&lt;&gt;"""", GOOGLETRANSLATE(A1617, ""en"", ""te""),"""")"),"")</f>
        <v/>
      </c>
      <c r="C1617" s="2"/>
      <c r="D1617" s="2" t="str">
        <f>IFERROR(__xludf.DUMMYFUNCTION("IF(C1617&lt;&gt;"""", GOOGLETRANSLATE(C1617, ""en"", ""te""),"""")"),"")</f>
        <v/>
      </c>
      <c r="E1617" s="2"/>
      <c r="F1617" s="2" t="str">
        <f>IFERROR(__xludf.DUMMYFUNCTION("IF(E1617&lt;&gt;"""", GOOGLETRANSLATE(E1617, ""en"", ""te""),"""")"),"")</f>
        <v/>
      </c>
      <c r="G1617" s="2"/>
      <c r="H1617" s="2" t="str">
        <f>IFERROR(__xludf.DUMMYFUNCTION("IF(G1617&lt;&gt;"""", GOOGLETRANSLATE(G1617, ""en"", ""te""),"""")"),"")</f>
        <v/>
      </c>
      <c r="I1617" s="3"/>
    </row>
    <row r="1618" customHeight="1" spans="1:9">
      <c r="A1618" s="2" t="s">
        <v>323</v>
      </c>
      <c r="B1618" s="2" t="str">
        <f>IFERROR(__xludf.DUMMYFUNCTION("IF(A1618&lt;&gt;"""", GOOGLETRANSLATE(A1618, ""en"", ""te""),"""")"),"[ '4 వ అత్యధిక వరుస బాతులు (4)']")</f>
        <v>[ '4 వ అత్యధిక వరుస బాతులు (4)']</v>
      </c>
      <c r="C1618" s="2" t="s">
        <v>324</v>
      </c>
      <c r="D1618" s="2" t="str">
        <f>IFERROR(__xludf.DUMMYFUNCTION("IF(C1618&lt;&gt;"""", GOOGLETRANSLATE(C1618, ""en"", ""te""),"""")"),"[ '11 వ ఒక సిరీస్లో అత్యధిక బాతులు (4)', '4 వ అత్యధిక వరుస బాతులు (4)']")</f>
        <v>[ '11 వ ఒక సిరీస్లో అత్యధిక బాతులు (4)', '4 వ అత్యధిక వరుస బాతులు (4)']</v>
      </c>
      <c r="E1618" s="2"/>
      <c r="F1618" s="2" t="str">
        <f>IFERROR(__xludf.DUMMYFUNCTION("IF(E1618&lt;&gt;"""", GOOGLETRANSLATE(E1618, ""en"", ""te""),"""")"),"")</f>
        <v/>
      </c>
      <c r="G1618" s="2"/>
      <c r="H1618" s="2" t="str">
        <f>IFERROR(__xludf.DUMMYFUNCTION("IF(G1618&lt;&gt;"""", GOOGLETRANSLATE(G1618, ""en"", ""te""),"""")"),"")</f>
        <v/>
      </c>
      <c r="I1618" s="3"/>
    </row>
    <row r="1619" customHeight="1" spans="1:9">
      <c r="A1619" s="2"/>
      <c r="B1619" s="2" t="str">
        <f>IFERROR(__xludf.DUMMYFUNCTION("IF(A1619&lt;&gt;"""", GOOGLETRANSLATE(A1619, ""en"", ""te""),"""")"),"")</f>
        <v/>
      </c>
      <c r="C1619" s="2"/>
      <c r="D1619" s="2" t="str">
        <f>IFERROR(__xludf.DUMMYFUNCTION("IF(C1619&lt;&gt;"""", GOOGLETRANSLATE(C1619, ""en"", ""te""),"""")"),"")</f>
        <v/>
      </c>
      <c r="E1619" s="2"/>
      <c r="F1619" s="2" t="str">
        <f>IFERROR(__xludf.DUMMYFUNCTION("IF(E1619&lt;&gt;"""", GOOGLETRANSLATE(E1619, ""en"", ""te""),"""")"),"")</f>
        <v/>
      </c>
      <c r="G1619" s="2"/>
      <c r="H1619" s="2" t="str">
        <f>IFERROR(__xludf.DUMMYFUNCTION("IF(G1619&lt;&gt;"""", GOOGLETRANSLATE(G1619, ""en"", ""te""),"""")"),"")</f>
        <v/>
      </c>
      <c r="I1619" s="3"/>
    </row>
    <row r="1620" customHeight="1" spans="1:9">
      <c r="A1620" s="2"/>
      <c r="B1620" s="2" t="str">
        <f>IFERROR(__xludf.DUMMYFUNCTION("IF(A1620&lt;&gt;"""", GOOGLETRANSLATE(A1620, ""en"", ""te""),"""")"),"")</f>
        <v/>
      </c>
      <c r="C1620" s="2"/>
      <c r="D1620" s="2" t="str">
        <f>IFERROR(__xludf.DUMMYFUNCTION("IF(C1620&lt;&gt;"""", GOOGLETRANSLATE(C1620, ""en"", ""te""),"""")"),"")</f>
        <v/>
      </c>
      <c r="E1620" s="2"/>
      <c r="F1620" s="2" t="str">
        <f>IFERROR(__xludf.DUMMYFUNCTION("IF(E1620&lt;&gt;"""", GOOGLETRANSLATE(E1620, ""en"", ""te""),"""")"),"")</f>
        <v/>
      </c>
      <c r="G1620" s="2"/>
      <c r="H1620" s="2" t="str">
        <f>IFERROR(__xludf.DUMMYFUNCTION("IF(G1620&lt;&gt;"""", GOOGLETRANSLATE(G1620, ""en"", ""te""),"""")"),"")</f>
        <v/>
      </c>
      <c r="I1620" s="3"/>
    </row>
    <row r="1621" customHeight="1" spans="1:9">
      <c r="A1621" s="2"/>
      <c r="B1621" s="2" t="str">
        <f>IFERROR(__xludf.DUMMYFUNCTION("IF(A1621&lt;&gt;"""", GOOGLETRANSLATE(A1621, ""en"", ""te""),"""")"),"")</f>
        <v/>
      </c>
      <c r="C1621" s="2"/>
      <c r="D1621" s="2" t="str">
        <f>IFERROR(__xludf.DUMMYFUNCTION("IF(C1621&lt;&gt;"""", GOOGLETRANSLATE(C1621, ""en"", ""te""),"""")"),"")</f>
        <v/>
      </c>
      <c r="E1621" s="2"/>
      <c r="F1621" s="2" t="str">
        <f>IFERROR(__xludf.DUMMYFUNCTION("IF(E1621&lt;&gt;"""", GOOGLETRANSLATE(E1621, ""en"", ""te""),"""")"),"")</f>
        <v/>
      </c>
      <c r="G1621" s="2"/>
      <c r="H1621" s="2" t="str">
        <f>IFERROR(__xludf.DUMMYFUNCTION("IF(G1621&lt;&gt;"""", GOOGLETRANSLATE(G1621, ""en"", ""te""),"""")"),"")</f>
        <v/>
      </c>
      <c r="I1621" s="3"/>
    </row>
    <row r="1622" customHeight="1" spans="1:9">
      <c r="A1622" s="2"/>
      <c r="B1622" s="2" t="str">
        <f>IFERROR(__xludf.DUMMYFUNCTION("IF(A1622&lt;&gt;"""", GOOGLETRANSLATE(A1622, ""en"", ""te""),"""")"),"")</f>
        <v/>
      </c>
      <c r="C1622" s="2"/>
      <c r="D1622" s="2" t="str">
        <f>IFERROR(__xludf.DUMMYFUNCTION("IF(C1622&lt;&gt;"""", GOOGLETRANSLATE(C1622, ""en"", ""te""),"""")"),"")</f>
        <v/>
      </c>
      <c r="E1622" s="2"/>
      <c r="F1622" s="2" t="str">
        <f>IFERROR(__xludf.DUMMYFUNCTION("IF(E1622&lt;&gt;"""", GOOGLETRANSLATE(E1622, ""en"", ""te""),"""")"),"")</f>
        <v/>
      </c>
      <c r="G1622" s="2"/>
      <c r="H1622" s="2" t="str">
        <f>IFERROR(__xludf.DUMMYFUNCTION("IF(G1622&lt;&gt;"""", GOOGLETRANSLATE(G1622, ""en"", ""te""),"""")"),"")</f>
        <v/>
      </c>
      <c r="I1622" s="3"/>
    </row>
    <row r="1623" customHeight="1" spans="1:9">
      <c r="A1623" s="2"/>
      <c r="B1623" s="2" t="str">
        <f>IFERROR(__xludf.DUMMYFUNCTION("IF(A1623&lt;&gt;"""", GOOGLETRANSLATE(A1623, ""en"", ""te""),"""")"),"")</f>
        <v/>
      </c>
      <c r="C1623" s="2"/>
      <c r="D1623" s="2" t="str">
        <f>IFERROR(__xludf.DUMMYFUNCTION("IF(C1623&lt;&gt;"""", GOOGLETRANSLATE(C1623, ""en"", ""te""),"""")"),"")</f>
        <v/>
      </c>
      <c r="E1623" s="2"/>
      <c r="F1623" s="2" t="str">
        <f>IFERROR(__xludf.DUMMYFUNCTION("IF(E1623&lt;&gt;"""", GOOGLETRANSLATE(E1623, ""en"", ""te""),"""")"),"")</f>
        <v/>
      </c>
      <c r="G1623" s="2"/>
      <c r="H1623" s="2" t="str">
        <f>IFERROR(__xludf.DUMMYFUNCTION("IF(G1623&lt;&gt;"""", GOOGLETRANSLATE(G1623, ""en"", ""te""),"""")"),"")</f>
        <v/>
      </c>
      <c r="I1623" s="3"/>
    </row>
    <row r="1624" customHeight="1" spans="1:9">
      <c r="A1624" s="2"/>
      <c r="B1624" s="2" t="str">
        <f>IFERROR(__xludf.DUMMYFUNCTION("IF(A1624&lt;&gt;"""", GOOGLETRANSLATE(A1624, ""en"", ""te""),"""")"),"")</f>
        <v/>
      </c>
      <c r="C1624" s="2" t="s">
        <v>997</v>
      </c>
      <c r="D1624" s="2" t="str">
        <f>IFERROR(__xludf.DUMMYFUNCTION("IF(C1624&lt;&gt;"""", GOOGLETRANSLATE(C1624, ""en"", ""te""),"""")"),"[ '30 వ అత్యంత లేకుండా కెరీర్లో పరుగులు వంద (1239)', '39 వ పిన్న కాప్టెన్ (25y 223d)', '28th షార్టేస్ట్ క్రీడాకారులు (30y 120d) నివసించారు' 'వికెట్ను కాపాడుకున్నాడు చేసిన 14 వ కెప్టెన్ల (9)', ' ఒక మ్యాచ్లో కెరీర్లో 37 వ అత్యంత స్టంపింగ్లు (12) ',' 12 వ అత"&amp;"్యంత స్టంపింగ్లు (3) ']")</f>
        <v>[ '30 వ అత్యంత లేకుండా కెరీర్లో పరుగులు వంద (1239)', '39 వ పిన్న కాప్టెన్ (25y 223d)', '28th షార్టేస్ట్ క్రీడాకారులు (30y 120d) నివసించారు' 'వికెట్ను కాపాడుకున్నాడు చేసిన 14 వ కెప్టెన్ల (9)', ' ఒక మ్యాచ్లో కెరీర్లో 37 వ అత్యంత స్టంపింగ్లు (12) ',' 12 వ అత్యంత స్టంపింగ్లు (3) ']</v>
      </c>
      <c r="E1624" s="2"/>
      <c r="F1624" s="2" t="str">
        <f>IFERROR(__xludf.DUMMYFUNCTION("IF(E1624&lt;&gt;"""", GOOGLETRANSLATE(E1624, ""en"", ""te""),"""")"),"")</f>
        <v/>
      </c>
      <c r="G1624" s="2"/>
      <c r="H1624" s="2" t="str">
        <f>IFERROR(__xludf.DUMMYFUNCTION("IF(G1624&lt;&gt;"""", GOOGLETRANSLATE(G1624, ""en"", ""te""),"""")"),"")</f>
        <v/>
      </c>
      <c r="I1624" s="3"/>
    </row>
    <row r="1625" customHeight="1" spans="1:9">
      <c r="A1625" s="2"/>
      <c r="B1625" s="2" t="str">
        <f>IFERROR(__xludf.DUMMYFUNCTION("IF(A1625&lt;&gt;"""", GOOGLETRANSLATE(A1625, ""en"", ""te""),"""")"),"")</f>
        <v/>
      </c>
      <c r="C1625" s="2"/>
      <c r="D1625" s="2" t="str">
        <f>IFERROR(__xludf.DUMMYFUNCTION("IF(C1625&lt;&gt;"""", GOOGLETRANSLATE(C1625, ""en"", ""te""),"""")"),"")</f>
        <v/>
      </c>
      <c r="E1625" s="2"/>
      <c r="F1625" s="2" t="str">
        <f>IFERROR(__xludf.DUMMYFUNCTION("IF(E1625&lt;&gt;"""", GOOGLETRANSLATE(E1625, ""en"", ""te""),"""")"),"")</f>
        <v/>
      </c>
      <c r="G1625" s="2"/>
      <c r="H1625" s="2" t="str">
        <f>IFERROR(__xludf.DUMMYFUNCTION("IF(G1625&lt;&gt;"""", GOOGLETRANSLATE(G1625, ""en"", ""te""),"""")"),"")</f>
        <v/>
      </c>
      <c r="I1625" s="3"/>
    </row>
    <row r="1626" customHeight="1" spans="1:9">
      <c r="A1626" s="2" t="s">
        <v>998</v>
      </c>
      <c r="B1626" s="2" t="str">
        <f>IFERROR(__xludf.DUMMYFUNCTION("IF(A1626&lt;&gt;"""", GOOGLETRANSLATE(A1626, ""en"", ""te""),"""")"),"[ '9 వ అత్యధిక తొలి వంద (169 *)']")</f>
        <v>[ '9 వ అత్యధిక తొలి వంద (169 *)']</v>
      </c>
      <c r="C1626" s="2"/>
      <c r="D1626" s="2" t="str">
        <f>IFERROR(__xludf.DUMMYFUNCTION("IF(C1626&lt;&gt;"""", GOOGLETRANSLATE(C1626, ""en"", ""te""),"""")"),"")</f>
        <v/>
      </c>
      <c r="E1626" s="2" t="s">
        <v>999</v>
      </c>
      <c r="F1626" s="2" t="str">
        <f>IFERROR(__xludf.DUMMYFUNCTION("IF(E1626&lt;&gt;"""", GOOGLETRANSLATE(E1626, ""en"", ""te""),"""")"),"[ '9 వ అత్యధిక తొలి వంద (169 *)', '39 వ ఇన్నింగ్స్ లో వచ్చిన ఎక్కువ ఫోర్లు (19)', '48 వ వరుస మ్యాచ్లు ఆడి మధ్య జట్టు (121) కోసం తప్పిన']")</f>
        <v>[ '9 వ అత్యధిక తొలి వంద (169 *)', '39 వ ఇన్నింగ్స్ లో వచ్చిన ఎక్కువ ఫోర్లు (19)', '48 వ వరుస మ్యాచ్లు ఆడి మధ్య జట్టు (121) కోసం తప్పిన']</v>
      </c>
      <c r="G1626" s="2"/>
      <c r="H1626" s="2" t="str">
        <f>IFERROR(__xludf.DUMMYFUNCTION("IF(G1626&lt;&gt;"""", GOOGLETRANSLATE(G1626, ""en"", ""te""),"""")"),"")</f>
        <v/>
      </c>
      <c r="I1626" s="3"/>
    </row>
    <row r="1627" customHeight="1" spans="1:9">
      <c r="A1627" s="2"/>
      <c r="B1627" s="2" t="str">
        <f>IFERROR(__xludf.DUMMYFUNCTION("IF(A1627&lt;&gt;"""", GOOGLETRANSLATE(A1627, ""en"", ""te""),"""")"),"")</f>
        <v/>
      </c>
      <c r="C1627" s="2"/>
      <c r="D1627" s="2" t="str">
        <f>IFERROR(__xludf.DUMMYFUNCTION("IF(C1627&lt;&gt;"""", GOOGLETRANSLATE(C1627, ""en"", ""te""),"""")"),"")</f>
        <v/>
      </c>
      <c r="E1627" s="2"/>
      <c r="F1627" s="2" t="str">
        <f>IFERROR(__xludf.DUMMYFUNCTION("IF(E1627&lt;&gt;"""", GOOGLETRANSLATE(E1627, ""en"", ""te""),"""")"),"")</f>
        <v/>
      </c>
      <c r="G1627" s="2"/>
      <c r="H1627" s="2" t="str">
        <f>IFERROR(__xludf.DUMMYFUNCTION("IF(G1627&lt;&gt;"""", GOOGLETRANSLATE(G1627, ""en"", ""te""),"""")"),"")</f>
        <v/>
      </c>
      <c r="I1627" s="3"/>
    </row>
    <row r="1628" customHeight="1" spans="1:9">
      <c r="A1628" s="2"/>
      <c r="B1628" s="2" t="str">
        <f>IFERROR(__xludf.DUMMYFUNCTION("IF(A1628&lt;&gt;"""", GOOGLETRANSLATE(A1628, ""en"", ""te""),"""")"),"")</f>
        <v/>
      </c>
      <c r="C1628" s="2" t="s">
        <v>1000</v>
      </c>
      <c r="D1628" s="2" t="str">
        <f>IFERROR(__xludf.DUMMYFUNCTION("IF(C1628&lt;&gt;"""", GOOGLETRANSLATE(C1628, ""en"", ""te""),"""")"),"[ 'తొలి 21 వ ఓల్డెస్ట్ క్రీడాకారులు (39y 105d)']")</f>
        <v>[ 'తొలి 21 వ ఓల్డెస్ట్ క్రీడాకారులు (39y 105d)']</v>
      </c>
      <c r="E1628" s="2" t="s">
        <v>1001</v>
      </c>
      <c r="F1628" s="2" t="str">
        <f>IFERROR(__xludf.DUMMYFUNCTION("IF(E1628&lt;&gt;"""", GOOGLETRANSLATE(E1628, ""en"", ""te""),"""")"),"[ 'తొలి 33 వ ఓల్డెస్ట్ క్రీడాకారులు (38y 102d)', '44 వ ఓల్డెస్ట్ క్రీడాకారులు (40y 33d)']")</f>
        <v>[ 'తొలి 33 వ ఓల్డెస్ట్ క్రీడాకారులు (38y 102d)', '44 వ ఓల్డెస్ట్ క్రీడాకారులు (40y 33d)']</v>
      </c>
      <c r="G1628" s="2"/>
      <c r="H1628" s="2" t="str">
        <f>IFERROR(__xludf.DUMMYFUNCTION("IF(G1628&lt;&gt;"""", GOOGLETRANSLATE(G1628, ""en"", ""te""),"""")"),"")</f>
        <v/>
      </c>
      <c r="I1628" s="3"/>
    </row>
    <row r="1629" customHeight="1" spans="1:9">
      <c r="A1629" s="2"/>
      <c r="B1629" s="2" t="str">
        <f>IFERROR(__xludf.DUMMYFUNCTION("IF(A1629&lt;&gt;"""", GOOGLETRANSLATE(A1629, ""en"", ""te""),"""")"),"")</f>
        <v/>
      </c>
      <c r="C1629" s="2"/>
      <c r="D1629" s="2" t="str">
        <f>IFERROR(__xludf.DUMMYFUNCTION("IF(C1629&lt;&gt;"""", GOOGLETRANSLATE(C1629, ""en"", ""te""),"""")"),"")</f>
        <v/>
      </c>
      <c r="E1629" s="2"/>
      <c r="F1629" s="2" t="str">
        <f>IFERROR(__xludf.DUMMYFUNCTION("IF(E1629&lt;&gt;"""", GOOGLETRANSLATE(E1629, ""en"", ""te""),"""")"),"")</f>
        <v/>
      </c>
      <c r="G1629" s="2"/>
      <c r="H1629" s="2" t="str">
        <f>IFERROR(__xludf.DUMMYFUNCTION("IF(G1629&lt;&gt;"""", GOOGLETRANSLATE(G1629, ""en"", ""te""),"""")"),"")</f>
        <v/>
      </c>
      <c r="I1629" s="3"/>
    </row>
    <row r="1630" customHeight="1" spans="1:9">
      <c r="A1630" s="2" t="s">
        <v>1002</v>
      </c>
      <c r="B1630" s="2" t="str">
        <f>IFERROR(__xludf.DUMMYFUNCTION("IF(A1630&lt;&gt;"""", GOOGLETRANSLATE(A1630, ""en"", ""te""),"""")"),"[ 'వరుస 1 వ అత్యధిక వికెట్లు (23)', '1 వ అత్యధిక క్యాచ్లు కెరీర్లో (113)', '3 వ అత్యంత స్టంపింగ్లు కెరీర్లో (48)', '9 వ అత్యంత ఇన్నింగ్స్ లో సాధించిన బైస్ (10)', '2nd వంద (2599) ',' 10 వ లేకుండా జీవితంలో అత్యధిక పరుగులు కెరీర్లో (2) ',' ఎ ఏబది ఇన్నింగ్స్"&amp;" లో ఐదు తొలగింపులకు ',' ఇన్నింగ్స్ లో 6 వ అత్యధిక వికెట్లు (4) ',' 3 వ ఎక్కువగా తొంభైల కెరీర్లో క్యాచ్లు (37) ',' 7 వ కెరీర్ స్టంపింగ్లు (27) ',' 6 వ అత్యంత ఇన్నింగ్స్ లో సాధించిన బైస్ (8) ']")</f>
        <v>[ 'వరుస 1 వ అత్యధిక వికెట్లు (23)', '1 వ అత్యధిక క్యాచ్లు కెరీర్లో (113)', '3 వ అత్యంత స్టంపింగ్లు కెరీర్లో (48)', '9 వ అత్యంత ఇన్నింగ్స్ లో సాధించిన బైస్ (10)', '2nd వంద (2599) ',' 10 వ లేకుండా జీవితంలో అత్యధిక పరుగులు కెరీర్లో (2) ',' ఎ ఏబది ఇన్నింగ్స్ లో ఐదు తొలగింపులకు ',' ఇన్నింగ్స్ లో 6 వ అత్యధిక వికెట్లు (4) ',' 3 వ ఎక్కువగా తొంభైల కెరీర్లో క్యాచ్లు (37) ',' 7 వ కెరీర్ స్టంపింగ్లు (27) ',' 6 వ అత్యంత ఇన్నింగ్స్ లో సాధించిన బైస్ (8) ']</v>
      </c>
      <c r="C1630" s="2" t="s">
        <v>1003</v>
      </c>
      <c r="D1630" s="2" t="str">
        <f>IFERROR(__xludf.DUMMYFUNCTION("IF(C1630&lt;&gt;"""", GOOGLETRANSLATE(C1630, ""en"", ""te""),"""")"),"[ '17 వ పరాజయం వైపు (91) ఒక మ్యాచ్లో అత్యధిక పరుగులు']")</f>
        <v>[ '17 వ పరాజయం వైపు (91) ఒక మ్యాచ్లో అత్యధిక పరుగులు']</v>
      </c>
      <c r="E1630" s="2" t="s">
        <v>1004</v>
      </c>
      <c r="F1630" s="2" t="str">
        <f>IFERROR(__xludf.DUMMYFUNCTION("IF(E1630&lt;&gt;"""", GOOGLETRANSLATE(E1630, ""en"", ""te""),"""")"),"[ '28 అత్యధిక కెరీర్ లో పరుగులు (2599)', 'వరుస 40 వ అత్యధిక పరుగులు (482)', '40 వ పరాజయం వైపు ఒక మ్యాచ్లో అత్యధిక పరుగులు (90)', '23 వ ఒకే మైదానంలో అత్యధిక పరుగులు (410 ) ',' 3 వ అత్యంత వరుస వికెట్లు (482) ',' అత్యధిక వికెట్లు ఇన్నింగ్స్ లో 20 వ అత్యధిక"&amp;" పరుగులు (95) ',' ఒక వృత్తిలో 2 వ అత్యధిక పరుగులు వంద (2599) ',' 10 వ లేకుండా నడుస్తుంది జీవితంలో అత్యధిక తొంభైల (2) ',' కెరీర్లో 31 అత్యంత అర్ధ (16) ',' రెండవ వికెట్కు 40 వ అత్యధిక భాగస్వామ్యం (143) ',' మూడో వికెట్కు 46 వ అత్యధిక భాగస్వామ్యం (122) ',' 2"&amp;"6th అత్యధిక మ్యాచ్లు కెరీర్లో (116) ',' 30 వ వరుస జట్టు మ్యాచ్లు (44) ',' 35 వ లాంగెస్ట్ కెరీర్లు (14y 48d) ',' 1st కెరీర్లో అత్యధిక వికెట్లు (161) ',' 5 వ ఇన్నింగ్స్ లో అత్యధిక వికెట్లు (5 ) ',' కెరీర్ లో వరుస 1 వ అత్యధిక వికెట్లు (23) ',' 1 వ అత్యధిక క్"&amp;"యాచ్లు (113) ',' ఇన్నింగ్స్ లో 3 వ అత్యధిక క్యాచ్లు (4) ',' వరుస 2 వ అత్యధిక క్యాచ్లు (16) ', 'కెరీర్ లో 3 వ అత్యంత స్టంపింగ్లు (48)', '6 వ ఇన్నింగ్స్ లో వచ్చిన ఎక్కువ స్టంపింగ్లు (3)', '10th ఒక సిరీస్లో అత్యధిక స్టంపింగ్లు (7)', '9 వ అత్యంత conce బైస్ ఒ"&amp;"క ఇన్నింగ్స్ లో ded (10) ']")</f>
        <v>[ '28 అత్యధిక కెరీర్ లో పరుగులు (2599)', 'వరుస 40 వ అత్యధిక పరుగులు (482)', '40 వ పరాజయం వైపు ఒక మ్యాచ్లో అత్యధిక పరుగులు (90)', '23 వ ఒకే మైదానంలో అత్యధిక పరుగులు (410 ) ',' 3 వ అత్యంత వరుస వికెట్లు (482) ',' అత్యధిక వికెట్లు ఇన్నింగ్స్ లో 20 వ అత్యధిక పరుగులు (95) ',' ఒక వృత్తిలో 2 వ అత్యధిక పరుగులు వంద (2599) ',' 10 వ లేకుండా నడుస్తుంది జీవితంలో అత్యధిక తొంభైల (2) ',' కెరీర్లో 31 అత్యంత అర్ధ (16) ',' రెండవ వికెట్కు 40 వ అత్యధిక భాగస్వామ్యం (143) ',' మూడో వికెట్కు 46 వ అత్యధిక భాగస్వామ్యం (122) ',' 26th అత్యధిక మ్యాచ్లు కెరీర్లో (116) ',' 30 వ వరుస జట్టు మ్యాచ్లు (44) ',' 35 వ లాంగెస్ట్ కెరీర్లు (14y 48d) ',' 1st కెరీర్లో అత్యధిక వికెట్లు (161) ',' 5 వ ఇన్నింగ్స్ లో అత్యధిక వికెట్లు (5 ) ',' కెరీర్ లో వరుస 1 వ అత్యధిక వికెట్లు (23) ',' 1 వ అత్యధిక క్యాచ్లు (113) ',' ఇన్నింగ్స్ లో 3 వ అత్యధిక క్యాచ్లు (4) ',' వరుస 2 వ అత్యధిక క్యాచ్లు (16) ', 'కెరీర్ లో 3 వ అత్యంత స్టంపింగ్లు (48)', '6 వ ఇన్నింగ్స్ లో వచ్చిన ఎక్కువ స్టంపింగ్లు (3)', '10th ఒక సిరీస్లో అత్యధిక స్టంపింగ్లు (7)', '9 వ అత్యంత conce బైస్ ఒక ఇన్నింగ్స్ లో ded (10) ']</v>
      </c>
      <c r="G1630" s="2" t="s">
        <v>1005</v>
      </c>
      <c r="H1630" s="2" t="str">
        <f>IFERROR(__xludf.DUMMYFUNCTION("IF(G1630&lt;&gt;"""", GOOGLETRANSLATE(G1630, ""en"", ""te""),"""")"),"[ '30 వ కెరీర్ లో అత్యధిక పరుగులు (1109)', '36 వ ఒకే మైదానంలో అత్యధిక పరుగులు (191)', 'అత్యధిక వికెట్లు ఇన్నింగ్స్ లో 38 వ అత్యధిక పరుగులు (55)', '34 వ అత్యంత అర్ధ కెరీర్లో (3)' 'కెరీర్లో 16 వ అత్యంత బాతులు (6)', 'మూడో వికెట్కు 16 అత్యధిక భాగస్వామ్యం (10"&amp;"3)', '43 వ అత్యధిక కెరీర్ లో మ్యాచ్లు (76)', '6 వ అత్యధిక కెరీర్ లో వికెట్లు (64)', '6 వ అత్యంత ఒక ఇన్నింగ్స్ లో వికెట్లు (4) ',' కెరీర్ లో 3 వ అత్యధిక క్యాచ్లు (37) ',' 5 వ ఇన్నింగ్స్ లో అత్యధిక క్యాచ్లు (3) ',' 7 వ కెరీర్ స్టంపింగ్లు (27) ',' 6 వ చాల వర"&amp;"కు ఒక లో సాధించిన బైస్ ఇన్నింగ్స్ (8) ']")</f>
        <v>[ '30 వ కెరీర్ లో అత్యధిక పరుగులు (1109)', '36 వ ఒకే మైదానంలో అత్యధిక పరుగులు (191)', 'అత్యధిక వికెట్లు ఇన్నింగ్స్ లో 38 వ అత్యధిక పరుగులు (55)', '34 వ అత్యంత అర్ధ కెరీర్లో (3)' 'కెరీర్లో 16 వ అత్యంత బాతులు (6)', 'మూడో వికెట్కు 16 అత్యధిక భాగస్వామ్యం (103)', '43 వ అత్యధిక కెరీర్ లో మ్యాచ్లు (76)', '6 వ అత్యధిక కెరీర్ లో వికెట్లు (64)', '6 వ అత్యంత ఒక ఇన్నింగ్స్ లో వికెట్లు (4) ',' కెరీర్ లో 3 వ అత్యధిక క్యాచ్లు (37) ',' 5 వ ఇన్నింగ్స్ లో అత్యధిక క్యాచ్లు (3) ',' 7 వ కెరీర్ స్టంపింగ్లు (27) ',' 6 వ చాల వరకు ఒక లో సాధించిన బైస్ ఇన్నింగ్స్ (8) ']</v>
      </c>
      <c r="I1630" s="3"/>
    </row>
    <row r="1631" customHeight="1" spans="1:9">
      <c r="A1631" s="2"/>
      <c r="B1631" s="2" t="str">
        <f>IFERROR(__xludf.DUMMYFUNCTION("IF(A1631&lt;&gt;"""", GOOGLETRANSLATE(A1631, ""en"", ""te""),"""")"),"")</f>
        <v/>
      </c>
      <c r="C1631" s="2"/>
      <c r="D1631" s="2" t="str">
        <f>IFERROR(__xludf.DUMMYFUNCTION("IF(C1631&lt;&gt;"""", GOOGLETRANSLATE(C1631, ""en"", ""te""),"""")"),"")</f>
        <v/>
      </c>
      <c r="E1631" s="2"/>
      <c r="F1631" s="2" t="str">
        <f>IFERROR(__xludf.DUMMYFUNCTION("IF(E1631&lt;&gt;"""", GOOGLETRANSLATE(E1631, ""en"", ""te""),"""")"),"")</f>
        <v/>
      </c>
      <c r="G1631" s="2"/>
      <c r="H1631" s="2" t="str">
        <f>IFERROR(__xludf.DUMMYFUNCTION("IF(G1631&lt;&gt;"""", GOOGLETRANSLATE(G1631, ""en"", ""te""),"""")"),"")</f>
        <v/>
      </c>
      <c r="I1631" s="3"/>
    </row>
    <row r="1632" customHeight="1" spans="1:9">
      <c r="A1632" s="2" t="s">
        <v>1006</v>
      </c>
      <c r="B1632" s="2" t="str">
        <f>IFERROR(__xludf.DUMMYFUNCTION("IF(A1632&lt;&gt;"""", GOOGLETRANSLATE(A1632, ""en"", ""te""),"""")"),"[ '5 వ అత్యంత వృద్ధ ఆటగాడు తొలి తీసుకుని ఐదు-వికెట్ల లో-ఒక-ఇన్నింగ్స్ (40y 70d)']")</f>
        <v>[ '5 వ అత్యంత వృద్ధ ఆటగాడు తొలి తీసుకుని ఐదు-వికెట్ల లో-ఒక-ఇన్నింగ్స్ (40y 70d)']</v>
      </c>
      <c r="C1632" s="2" t="s">
        <v>1007</v>
      </c>
      <c r="D1632" s="2" t="str">
        <f>IFERROR(__xludf.DUMMYFUNCTION("IF(C1632&lt;&gt;"""", GOOGLETRANSLATE(C1632, ""en"", ""te""),"""")"),"[ '14 వ అత్యంత వృద్ధ ఆటగాడు (40y 84d) ఐదు వికెట్లు-ఇన్-ఒక-ఇన్నింగ్స్ తీసుకోవాలని', 'తొలి తీసుకోవాలని 5 వ ఓల్డెస్ట్ క్రీడాకారుడు ఐదు-వికెట్ల లో-ఒక-ఇన్నింగ్స్ (40y 70d)', 'న 12 వ ఓల్డెస్ట్ క్రీడాకారులు ప్రవేశం (40y 56d) ']")</f>
        <v>[ '14 వ అత్యంత వృద్ధ ఆటగాడు (40y 84d) ఐదు వికెట్లు-ఇన్-ఒక-ఇన్నింగ్స్ తీసుకోవాలని', 'తొలి తీసుకోవాలని 5 వ ఓల్డెస్ట్ క్రీడాకారుడు ఐదు-వికెట్ల లో-ఒక-ఇన్నింగ్స్ (40y 70d)', 'న 12 వ ఓల్డెస్ట్ క్రీడాకారులు ప్రవేశం (40y 56d) ']</v>
      </c>
      <c r="E1632" s="2"/>
      <c r="F1632" s="2" t="str">
        <f>IFERROR(__xludf.DUMMYFUNCTION("IF(E1632&lt;&gt;"""", GOOGLETRANSLATE(E1632, ""en"", ""te""),"""")"),"")</f>
        <v/>
      </c>
      <c r="G1632" s="2"/>
      <c r="H1632" s="2" t="str">
        <f>IFERROR(__xludf.DUMMYFUNCTION("IF(G1632&lt;&gt;"""", GOOGLETRANSLATE(G1632, ""en"", ""te""),"""")"),"")</f>
        <v/>
      </c>
      <c r="I1632" s="3"/>
    </row>
    <row r="1633" customHeight="1" spans="1:9">
      <c r="A1633" s="2"/>
      <c r="B1633" s="2" t="str">
        <f>IFERROR(__xludf.DUMMYFUNCTION("IF(A1633&lt;&gt;"""", GOOGLETRANSLATE(A1633, ""en"", ""te""),"""")"),"")</f>
        <v/>
      </c>
      <c r="C1633" s="2"/>
      <c r="D1633" s="2" t="str">
        <f>IFERROR(__xludf.DUMMYFUNCTION("IF(C1633&lt;&gt;"""", GOOGLETRANSLATE(C1633, ""en"", ""te""),"""")"),"")</f>
        <v/>
      </c>
      <c r="E1633" s="2"/>
      <c r="F1633" s="2" t="str">
        <f>IFERROR(__xludf.DUMMYFUNCTION("IF(E1633&lt;&gt;"""", GOOGLETRANSLATE(E1633, ""en"", ""te""),"""")"),"")</f>
        <v/>
      </c>
      <c r="G1633" s="2"/>
      <c r="H1633" s="2" t="str">
        <f>IFERROR(__xludf.DUMMYFUNCTION("IF(G1633&lt;&gt;"""", GOOGLETRANSLATE(G1633, ""en"", ""te""),"""")"),"")</f>
        <v/>
      </c>
      <c r="I1633" s="3"/>
    </row>
    <row r="1634" customHeight="1" spans="1:9">
      <c r="A1634" s="2"/>
      <c r="B1634" s="2" t="str">
        <f>IFERROR(__xludf.DUMMYFUNCTION("IF(A1634&lt;&gt;"""", GOOGLETRANSLATE(A1634, ""en"", ""te""),"""")"),"")</f>
        <v/>
      </c>
      <c r="C1634" s="2"/>
      <c r="D1634" s="2" t="str">
        <f>IFERROR(__xludf.DUMMYFUNCTION("IF(C1634&lt;&gt;"""", GOOGLETRANSLATE(C1634, ""en"", ""te""),"""")"),"")</f>
        <v/>
      </c>
      <c r="E1634" s="2"/>
      <c r="F1634" s="2" t="str">
        <f>IFERROR(__xludf.DUMMYFUNCTION("IF(E1634&lt;&gt;"""", GOOGLETRANSLATE(E1634, ""en"", ""te""),"""")"),"")</f>
        <v/>
      </c>
      <c r="G1634" s="2"/>
      <c r="H1634" s="2" t="str">
        <f>IFERROR(__xludf.DUMMYFUNCTION("IF(G1634&lt;&gt;"""", GOOGLETRANSLATE(G1634, ""en"", ""te""),"""")"),"")</f>
        <v/>
      </c>
      <c r="I1634" s="3"/>
    </row>
    <row r="1635" customHeight="1" spans="1:9">
      <c r="A1635" s="2"/>
      <c r="B1635" s="2" t="str">
        <f>IFERROR(__xludf.DUMMYFUNCTION("IF(A1635&lt;&gt;"""", GOOGLETRANSLATE(A1635, ""en"", ""te""),"""")"),"")</f>
        <v/>
      </c>
      <c r="C1635" s="2" t="s">
        <v>1008</v>
      </c>
      <c r="D1635" s="2" t="str">
        <f>IFERROR(__xludf.DUMMYFUNCTION("IF(C1635&lt;&gt;"""", GOOGLETRANSLATE(C1635, ""en"", ""te""),"""")"),"[ '11 వ అత్యంత వృద్ధ ఆటగాడు ఐదు వికెట్ల లో-ఒక-ఇన్నింగ్స్ తీసుకోవాలని (40y 203d)', '26th ఓల్డెస్ట్ క్రీడాకారులు (43y 118d)']")</f>
        <v>[ '11 వ అత్యంత వృద్ధ ఆటగాడు ఐదు వికెట్ల లో-ఒక-ఇన్నింగ్స్ తీసుకోవాలని (40y 203d)', '26th ఓల్డెస్ట్ క్రీడాకారులు (43y 118d)']</v>
      </c>
      <c r="E1635" s="2"/>
      <c r="F1635" s="2" t="str">
        <f>IFERROR(__xludf.DUMMYFUNCTION("IF(E1635&lt;&gt;"""", GOOGLETRANSLATE(E1635, ""en"", ""te""),"""")"),"")</f>
        <v/>
      </c>
      <c r="G1635" s="2"/>
      <c r="H1635" s="2" t="str">
        <f>IFERROR(__xludf.DUMMYFUNCTION("IF(G1635&lt;&gt;"""", GOOGLETRANSLATE(G1635, ""en"", ""te""),"""")"),"")</f>
        <v/>
      </c>
      <c r="I1635" s="3"/>
    </row>
    <row r="1636" customHeight="1" spans="1:9">
      <c r="A1636" s="2"/>
      <c r="B1636" s="2" t="str">
        <f>IFERROR(__xludf.DUMMYFUNCTION("IF(A1636&lt;&gt;"""", GOOGLETRANSLATE(A1636, ""en"", ""te""),"""")"),"")</f>
        <v/>
      </c>
      <c r="C1636" s="2"/>
      <c r="D1636" s="2" t="str">
        <f>IFERROR(__xludf.DUMMYFUNCTION("IF(C1636&lt;&gt;"""", GOOGLETRANSLATE(C1636, ""en"", ""te""),"""")"),"")</f>
        <v/>
      </c>
      <c r="E1636" s="2"/>
      <c r="F1636" s="2" t="str">
        <f>IFERROR(__xludf.DUMMYFUNCTION("IF(E1636&lt;&gt;"""", GOOGLETRANSLATE(E1636, ""en"", ""te""),"""")"),"")</f>
        <v/>
      </c>
      <c r="G1636" s="2"/>
      <c r="H1636" s="2" t="str">
        <f>IFERROR(__xludf.DUMMYFUNCTION("IF(G1636&lt;&gt;"""", GOOGLETRANSLATE(G1636, ""en"", ""te""),"""")"),"")</f>
        <v/>
      </c>
      <c r="I1636" s="3"/>
    </row>
    <row r="1637" customHeight="1" spans="1:9">
      <c r="A1637" s="2"/>
      <c r="B1637" s="2" t="str">
        <f>IFERROR(__xludf.DUMMYFUNCTION("IF(A1637&lt;&gt;"""", GOOGLETRANSLATE(A1637, ""en"", ""te""),"""")"),"")</f>
        <v/>
      </c>
      <c r="C1637" s="2"/>
      <c r="D1637" s="2" t="str">
        <f>IFERROR(__xludf.DUMMYFUNCTION("IF(C1637&lt;&gt;"""", GOOGLETRANSLATE(C1637, ""en"", ""te""),"""")"),"")</f>
        <v/>
      </c>
      <c r="E1637" s="2"/>
      <c r="F1637" s="2" t="str">
        <f>IFERROR(__xludf.DUMMYFUNCTION("IF(E1637&lt;&gt;"""", GOOGLETRANSLATE(E1637, ""en"", ""te""),"""")"),"")</f>
        <v/>
      </c>
      <c r="G1637" s="2"/>
      <c r="H1637" s="2" t="str">
        <f>IFERROR(__xludf.DUMMYFUNCTION("IF(G1637&lt;&gt;"""", GOOGLETRANSLATE(G1637, ""en"", ""te""),"""")"),"")</f>
        <v/>
      </c>
      <c r="I1637" s="3"/>
    </row>
    <row r="1638" customHeight="1" spans="1:9">
      <c r="A1638" s="2"/>
      <c r="B1638" s="2" t="str">
        <f>IFERROR(__xludf.DUMMYFUNCTION("IF(A1638&lt;&gt;"""", GOOGLETRANSLATE(A1638, ""en"", ""te""),"""")"),"")</f>
        <v/>
      </c>
      <c r="C1638" s="2"/>
      <c r="D1638" s="2" t="str">
        <f>IFERROR(__xludf.DUMMYFUNCTION("IF(C1638&lt;&gt;"""", GOOGLETRANSLATE(C1638, ""en"", ""te""),"""")"),"")</f>
        <v/>
      </c>
      <c r="E1638" s="2"/>
      <c r="F1638" s="2" t="str">
        <f>IFERROR(__xludf.DUMMYFUNCTION("IF(E1638&lt;&gt;"""", GOOGLETRANSLATE(E1638, ""en"", ""te""),"""")"),"")</f>
        <v/>
      </c>
      <c r="G1638" s="2"/>
      <c r="H1638" s="2" t="str">
        <f>IFERROR(__xludf.DUMMYFUNCTION("IF(G1638&lt;&gt;"""", GOOGLETRANSLATE(G1638, ""en"", ""te""),"""")"),"")</f>
        <v/>
      </c>
      <c r="I1638" s="3"/>
    </row>
    <row r="1639" customHeight="1" spans="1:9">
      <c r="A1639" s="2" t="s">
        <v>1009</v>
      </c>
      <c r="B1639" s="2" t="str">
        <f>IFERROR(__xludf.DUMMYFUNCTION("IF(A1639&lt;&gt;"""", GOOGLETRANSLATE(A1639, ""en"", ""te""),"""")"),"[ 'ప్రదర్శనల మధ్య 4 వ లాంగెస్ట్ వ్యవధిలో (14y 92d)']")</f>
        <v>[ 'ప్రదర్శనల మధ్య 4 వ లాంగెస్ట్ వ్యవధిలో (14y 92d)']</v>
      </c>
      <c r="C1639" s="2" t="s">
        <v>1010</v>
      </c>
      <c r="D1639" s="2" t="str">
        <f>IFERROR(__xludf.DUMMYFUNCTION("IF(C1639&lt;&gt;"""", GOOGLETRANSLATE(C1639, ""en"", ""te""),"""")"),"[18 వ ఓల్డెస్ట్ క్రీడాకారులు (44y 317d) ',' 44th లాంగెస్ట్ కెరీర్లు (18y 3) ',' ప్రదర్శనల మధ్య 4 వ లాంగెస్ట్ వ్యవధిలో (14y 92d) ']")</f>
        <v>[18 వ ఓల్డెస్ట్ క్రీడాకారులు (44y 317d) ',' 44th లాంగెస్ట్ కెరీర్లు (18y 3) ',' ప్రదర్శనల మధ్య 4 వ లాంగెస్ట్ వ్యవధిలో (14y 92d) ']</v>
      </c>
      <c r="E1639" s="2"/>
      <c r="F1639" s="2" t="str">
        <f>IFERROR(__xludf.DUMMYFUNCTION("IF(E1639&lt;&gt;"""", GOOGLETRANSLATE(E1639, ""en"", ""te""),"""")"),"")</f>
        <v/>
      </c>
      <c r="G1639" s="2"/>
      <c r="H1639" s="2" t="str">
        <f>IFERROR(__xludf.DUMMYFUNCTION("IF(G1639&lt;&gt;"""", GOOGLETRANSLATE(G1639, ""en"", ""te""),"""")"),"")</f>
        <v/>
      </c>
      <c r="I1639" s="3"/>
    </row>
    <row r="1640" customHeight="1" spans="1:9">
      <c r="A1640" s="2"/>
      <c r="B1640" s="2" t="str">
        <f>IFERROR(__xludf.DUMMYFUNCTION("IF(A1640&lt;&gt;"""", GOOGLETRANSLATE(A1640, ""en"", ""te""),"""")"),"")</f>
        <v/>
      </c>
      <c r="C1640" s="2"/>
      <c r="D1640" s="2" t="str">
        <f>IFERROR(__xludf.DUMMYFUNCTION("IF(C1640&lt;&gt;"""", GOOGLETRANSLATE(C1640, ""en"", ""te""),"""")"),"")</f>
        <v/>
      </c>
      <c r="E1640" s="2"/>
      <c r="F1640" s="2" t="str">
        <f>IFERROR(__xludf.DUMMYFUNCTION("IF(E1640&lt;&gt;"""", GOOGLETRANSLATE(E1640, ""en"", ""te""),"""")"),"")</f>
        <v/>
      </c>
      <c r="G1640" s="2"/>
      <c r="H1640" s="2" t="str">
        <f>IFERROR(__xludf.DUMMYFUNCTION("IF(G1640&lt;&gt;"""", GOOGLETRANSLATE(G1640, ""en"", ""te""),"""")"),"")</f>
        <v/>
      </c>
      <c r="I1640" s="3"/>
    </row>
    <row r="1641" customHeight="1" spans="1:9">
      <c r="A1641" s="2"/>
      <c r="B1641" s="2" t="str">
        <f>IFERROR(__xludf.DUMMYFUNCTION("IF(A1641&lt;&gt;"""", GOOGLETRANSLATE(A1641, ""en"", ""te""),"""")"),"")</f>
        <v/>
      </c>
      <c r="C1641" s="2"/>
      <c r="D1641" s="2" t="str">
        <f>IFERROR(__xludf.DUMMYFUNCTION("IF(C1641&lt;&gt;"""", GOOGLETRANSLATE(C1641, ""en"", ""te""),"""")"),"")</f>
        <v/>
      </c>
      <c r="E1641" s="2"/>
      <c r="F1641" s="2" t="str">
        <f>IFERROR(__xludf.DUMMYFUNCTION("IF(E1641&lt;&gt;"""", GOOGLETRANSLATE(E1641, ""en"", ""te""),"""")"),"")</f>
        <v/>
      </c>
      <c r="G1641" s="2"/>
      <c r="H1641" s="2" t="str">
        <f>IFERROR(__xludf.DUMMYFUNCTION("IF(G1641&lt;&gt;"""", GOOGLETRANSLATE(G1641, ""en"", ""te""),"""")"),"")</f>
        <v/>
      </c>
      <c r="I1641" s="3"/>
    </row>
    <row r="1642" customHeight="1" spans="1:9">
      <c r="A1642" s="2"/>
      <c r="B1642" s="2" t="str">
        <f>IFERROR(__xludf.DUMMYFUNCTION("IF(A1642&lt;&gt;"""", GOOGLETRANSLATE(A1642, ""en"", ""te""),"""")"),"")</f>
        <v/>
      </c>
      <c r="C1642" s="2"/>
      <c r="D1642" s="2" t="str">
        <f>IFERROR(__xludf.DUMMYFUNCTION("IF(C1642&lt;&gt;"""", GOOGLETRANSLATE(C1642, ""en"", ""te""),"""")"),"")</f>
        <v/>
      </c>
      <c r="E1642" s="2"/>
      <c r="F1642" s="2" t="str">
        <f>IFERROR(__xludf.DUMMYFUNCTION("IF(E1642&lt;&gt;"""", GOOGLETRANSLATE(E1642, ""en"", ""te""),"""")"),"")</f>
        <v/>
      </c>
      <c r="G1642" s="2"/>
      <c r="H1642" s="2" t="str">
        <f>IFERROR(__xludf.DUMMYFUNCTION("IF(G1642&lt;&gt;"""", GOOGLETRANSLATE(G1642, ""en"", ""te""),"""")"),"")</f>
        <v/>
      </c>
      <c r="I1642" s="3"/>
    </row>
    <row r="1643" customHeight="1" spans="1:9">
      <c r="A1643" s="2"/>
      <c r="B1643" s="2" t="str">
        <f>IFERROR(__xludf.DUMMYFUNCTION("IF(A1643&lt;&gt;"""", GOOGLETRANSLATE(A1643, ""en"", ""te""),"""")"),"")</f>
        <v/>
      </c>
      <c r="C1643" s="2"/>
      <c r="D1643" s="2" t="str">
        <f>IFERROR(__xludf.DUMMYFUNCTION("IF(C1643&lt;&gt;"""", GOOGLETRANSLATE(C1643, ""en"", ""te""),"""")"),"")</f>
        <v/>
      </c>
      <c r="E1643" s="2"/>
      <c r="F1643" s="2" t="str">
        <f>IFERROR(__xludf.DUMMYFUNCTION("IF(E1643&lt;&gt;"""", GOOGLETRANSLATE(E1643, ""en"", ""te""),"""")"),"")</f>
        <v/>
      </c>
      <c r="G1643" s="2"/>
      <c r="H1643" s="2" t="str">
        <f>IFERROR(__xludf.DUMMYFUNCTION("IF(G1643&lt;&gt;"""", GOOGLETRANSLATE(G1643, ""en"", ""te""),"""")"),"")</f>
        <v/>
      </c>
      <c r="I1643" s="3"/>
    </row>
    <row r="1644" customHeight="1" spans="1:9">
      <c r="A1644" s="2" t="s">
        <v>352</v>
      </c>
      <c r="B1644" s="2" t="str">
        <f>IFERROR(__xludf.DUMMYFUNCTION("IF(A1644&lt;&gt;"""", GOOGLETRANSLATE(A1644, ""en"", ""te""),"""")"),"[ 'బ్యాటింగ్ ప్రారంభించుటకు మరియు అదే మ్యాచ్ లో బౌలింగ్']")</f>
        <v>[ 'బ్యాటింగ్ ప్రారంభించుటకు మరియు అదే మ్యాచ్ లో బౌలింగ్']</v>
      </c>
      <c r="C1644" s="2"/>
      <c r="D1644" s="2" t="str">
        <f>IFERROR(__xludf.DUMMYFUNCTION("IF(C1644&lt;&gt;"""", GOOGLETRANSLATE(C1644, ""en"", ""te""),"""")"),"")</f>
        <v/>
      </c>
      <c r="E1644" s="2" t="s">
        <v>1011</v>
      </c>
      <c r="F1644" s="2" t="str">
        <f>IFERROR(__xludf.DUMMYFUNCTION("IF(E1644&lt;&gt;"""", GOOGLETRANSLATE(E1644, ""en"", ""te""),"""")"),"[ 'తొలి 32 వ ఓల్డెస్ట్ క్రీడాకారులు (38y 108d)']")</f>
        <v>[ 'తొలి 32 వ ఓల్డెస్ట్ క్రీడాకారులు (38y 108d)']</v>
      </c>
      <c r="G1644" s="2"/>
      <c r="H1644" s="2" t="str">
        <f>IFERROR(__xludf.DUMMYFUNCTION("IF(G1644&lt;&gt;"""", GOOGLETRANSLATE(G1644, ""en"", ""te""),"""")"),"")</f>
        <v/>
      </c>
      <c r="I1644" s="3"/>
    </row>
    <row r="1645" customHeight="1" spans="1:9">
      <c r="A1645" s="2"/>
      <c r="B1645" s="2" t="str">
        <f>IFERROR(__xludf.DUMMYFUNCTION("IF(A1645&lt;&gt;"""", GOOGLETRANSLATE(A1645, ""en"", ""te""),"""")"),"")</f>
        <v/>
      </c>
      <c r="C1645" s="2"/>
      <c r="D1645" s="2" t="str">
        <f>IFERROR(__xludf.DUMMYFUNCTION("IF(C1645&lt;&gt;"""", GOOGLETRANSLATE(C1645, ""en"", ""te""),"""")"),"")</f>
        <v/>
      </c>
      <c r="E1645" s="2"/>
      <c r="F1645" s="2" t="str">
        <f>IFERROR(__xludf.DUMMYFUNCTION("IF(E1645&lt;&gt;"""", GOOGLETRANSLATE(E1645, ""en"", ""te""),"""")"),"")</f>
        <v/>
      </c>
      <c r="G1645" s="2"/>
      <c r="H1645" s="2" t="str">
        <f>IFERROR(__xludf.DUMMYFUNCTION("IF(G1645&lt;&gt;"""", GOOGLETRANSLATE(G1645, ""en"", ""te""),"""")"),"")</f>
        <v/>
      </c>
      <c r="I1645" s="3"/>
    </row>
    <row r="1646" customHeight="1" spans="1:9">
      <c r="A1646" s="2"/>
      <c r="B1646" s="2" t="str">
        <f>IFERROR(__xludf.DUMMYFUNCTION("IF(A1646&lt;&gt;"""", GOOGLETRANSLATE(A1646, ""en"", ""te""),"""")"),"")</f>
        <v/>
      </c>
      <c r="C1646" s="2"/>
      <c r="D1646" s="2" t="str">
        <f>IFERROR(__xludf.DUMMYFUNCTION("IF(C1646&lt;&gt;"""", GOOGLETRANSLATE(C1646, ""en"", ""te""),"""")"),"")</f>
        <v/>
      </c>
      <c r="E1646" s="2"/>
      <c r="F1646" s="2" t="str">
        <f>IFERROR(__xludf.DUMMYFUNCTION("IF(E1646&lt;&gt;"""", GOOGLETRANSLATE(E1646, ""en"", ""te""),"""")"),"")</f>
        <v/>
      </c>
      <c r="G1646" s="2"/>
      <c r="H1646" s="2" t="str">
        <f>IFERROR(__xludf.DUMMYFUNCTION("IF(G1646&lt;&gt;"""", GOOGLETRANSLATE(G1646, ""en"", ""te""),"""")"),"")</f>
        <v/>
      </c>
      <c r="I1646" s="3"/>
    </row>
    <row r="1647" customHeight="1" spans="1:9">
      <c r="A1647" s="2"/>
      <c r="B1647" s="2" t="str">
        <f>IFERROR(__xludf.DUMMYFUNCTION("IF(A1647&lt;&gt;"""", GOOGLETRANSLATE(A1647, ""en"", ""te""),"""")"),"")</f>
        <v/>
      </c>
      <c r="C1647" s="2"/>
      <c r="D1647" s="2" t="str">
        <f>IFERROR(__xludf.DUMMYFUNCTION("IF(C1647&lt;&gt;"""", GOOGLETRANSLATE(C1647, ""en"", ""te""),"""")"),"")</f>
        <v/>
      </c>
      <c r="E1647" s="2"/>
      <c r="F1647" s="2" t="str">
        <f>IFERROR(__xludf.DUMMYFUNCTION("IF(E1647&lt;&gt;"""", GOOGLETRANSLATE(E1647, ""en"", ""te""),"""")"),"")</f>
        <v/>
      </c>
      <c r="G1647" s="2"/>
      <c r="H1647" s="2" t="str">
        <f>IFERROR(__xludf.DUMMYFUNCTION("IF(G1647&lt;&gt;"""", GOOGLETRANSLATE(G1647, ""en"", ""te""),"""")"),"")</f>
        <v/>
      </c>
      <c r="I1647" s="3"/>
    </row>
    <row r="1648" customHeight="1" spans="1:9">
      <c r="A1648" s="2"/>
      <c r="B1648" s="2" t="str">
        <f>IFERROR(__xludf.DUMMYFUNCTION("IF(A1648&lt;&gt;"""", GOOGLETRANSLATE(A1648, ""en"", ""te""),"""")"),"")</f>
        <v/>
      </c>
      <c r="C1648" s="2"/>
      <c r="D1648" s="2" t="str">
        <f>IFERROR(__xludf.DUMMYFUNCTION("IF(C1648&lt;&gt;"""", GOOGLETRANSLATE(C1648, ""en"", ""te""),"""")"),"")</f>
        <v/>
      </c>
      <c r="E1648" s="2"/>
      <c r="F1648" s="2" t="str">
        <f>IFERROR(__xludf.DUMMYFUNCTION("IF(E1648&lt;&gt;"""", GOOGLETRANSLATE(E1648, ""en"", ""te""),"""")"),"")</f>
        <v/>
      </c>
      <c r="G1648" s="2"/>
      <c r="H1648" s="2" t="str">
        <f>IFERROR(__xludf.DUMMYFUNCTION("IF(G1648&lt;&gt;"""", GOOGLETRANSLATE(G1648, ""en"", ""te""),"""")"),"")</f>
        <v/>
      </c>
      <c r="I1648" s="3"/>
    </row>
    <row r="1649" customHeight="1" spans="1:9">
      <c r="A1649" s="2"/>
      <c r="B1649" s="2" t="str">
        <f>IFERROR(__xludf.DUMMYFUNCTION("IF(A1649&lt;&gt;"""", GOOGLETRANSLATE(A1649, ""en"", ""te""),"""")"),"")</f>
        <v/>
      </c>
      <c r="C1649" s="2"/>
      <c r="D1649" s="2" t="str">
        <f>IFERROR(__xludf.DUMMYFUNCTION("IF(C1649&lt;&gt;"""", GOOGLETRANSLATE(C1649, ""en"", ""te""),"""")"),"")</f>
        <v/>
      </c>
      <c r="E1649" s="2"/>
      <c r="F1649" s="2" t="str">
        <f>IFERROR(__xludf.DUMMYFUNCTION("IF(E1649&lt;&gt;"""", GOOGLETRANSLATE(E1649, ""en"", ""te""),"""")"),"")</f>
        <v/>
      </c>
      <c r="G1649" s="2"/>
      <c r="H1649" s="2" t="str">
        <f>IFERROR(__xludf.DUMMYFUNCTION("IF(G1649&lt;&gt;"""", GOOGLETRANSLATE(G1649, ""en"", ""te""),"""")"),"")</f>
        <v/>
      </c>
      <c r="I1649" s="3"/>
    </row>
    <row r="1650" customHeight="1" spans="1:9">
      <c r="A1650" s="2"/>
      <c r="B1650" s="2" t="str">
        <f>IFERROR(__xludf.DUMMYFUNCTION("IF(A1650&lt;&gt;"""", GOOGLETRANSLATE(A1650, ""en"", ""te""),"""")"),"")</f>
        <v/>
      </c>
      <c r="C1650" s="2"/>
      <c r="D1650" s="2" t="str">
        <f>IFERROR(__xludf.DUMMYFUNCTION("IF(C1650&lt;&gt;"""", GOOGLETRANSLATE(C1650, ""en"", ""te""),"""")"),"")</f>
        <v/>
      </c>
      <c r="E1650" s="2"/>
      <c r="F1650" s="2" t="str">
        <f>IFERROR(__xludf.DUMMYFUNCTION("IF(E1650&lt;&gt;"""", GOOGLETRANSLATE(E1650, ""en"", ""te""),"""")"),"")</f>
        <v/>
      </c>
      <c r="G1650" s="2"/>
      <c r="H1650" s="2" t="str">
        <f>IFERROR(__xludf.DUMMYFUNCTION("IF(G1650&lt;&gt;"""", GOOGLETRANSLATE(G1650, ""en"", ""te""),"""")"),"")</f>
        <v/>
      </c>
      <c r="I1650" s="3"/>
    </row>
    <row r="1651" customHeight="1" spans="1:9">
      <c r="A1651" s="2"/>
      <c r="B1651" s="2" t="str">
        <f>IFERROR(__xludf.DUMMYFUNCTION("IF(A1651&lt;&gt;"""", GOOGLETRANSLATE(A1651, ""en"", ""te""),"""")"),"")</f>
        <v/>
      </c>
      <c r="C1651" s="2"/>
      <c r="D1651" s="2" t="str">
        <f>IFERROR(__xludf.DUMMYFUNCTION("IF(C1651&lt;&gt;"""", GOOGLETRANSLATE(C1651, ""en"", ""te""),"""")"),"")</f>
        <v/>
      </c>
      <c r="E1651" s="2"/>
      <c r="F1651" s="2" t="str">
        <f>IFERROR(__xludf.DUMMYFUNCTION("IF(E1651&lt;&gt;"""", GOOGLETRANSLATE(E1651, ""en"", ""te""),"""")"),"")</f>
        <v/>
      </c>
      <c r="G1651" s="2"/>
      <c r="H1651" s="2" t="str">
        <f>IFERROR(__xludf.DUMMYFUNCTION("IF(G1651&lt;&gt;"""", GOOGLETRANSLATE(G1651, ""en"", ""te""),"""")"),"")</f>
        <v/>
      </c>
      <c r="I1651" s="3"/>
    </row>
    <row r="1652" customHeight="1" spans="1:9">
      <c r="A1652" s="2"/>
      <c r="B1652" s="2" t="str">
        <f>IFERROR(__xludf.DUMMYFUNCTION("IF(A1652&lt;&gt;"""", GOOGLETRANSLATE(A1652, ""en"", ""te""),"""")"),"")</f>
        <v/>
      </c>
      <c r="C1652" s="2"/>
      <c r="D1652" s="2" t="str">
        <f>IFERROR(__xludf.DUMMYFUNCTION("IF(C1652&lt;&gt;"""", GOOGLETRANSLATE(C1652, ""en"", ""te""),"""")"),"")</f>
        <v/>
      </c>
      <c r="E1652" s="2"/>
      <c r="F1652" s="2" t="str">
        <f>IFERROR(__xludf.DUMMYFUNCTION("IF(E1652&lt;&gt;"""", GOOGLETRANSLATE(E1652, ""en"", ""te""),"""")"),"")</f>
        <v/>
      </c>
      <c r="G1652" s="2"/>
      <c r="H1652" s="2" t="str">
        <f>IFERROR(__xludf.DUMMYFUNCTION("IF(G1652&lt;&gt;"""", GOOGLETRANSLATE(G1652, ""en"", ""te""),"""")"),"")</f>
        <v/>
      </c>
      <c r="I1652" s="3"/>
    </row>
    <row r="1653" customHeight="1" spans="1:9">
      <c r="A1653" s="2"/>
      <c r="B1653" s="2" t="str">
        <f>IFERROR(__xludf.DUMMYFUNCTION("IF(A1653&lt;&gt;"""", GOOGLETRANSLATE(A1653, ""en"", ""te""),"""")"),"")</f>
        <v/>
      </c>
      <c r="C1653" s="2"/>
      <c r="D1653" s="2" t="str">
        <f>IFERROR(__xludf.DUMMYFUNCTION("IF(C1653&lt;&gt;"""", GOOGLETRANSLATE(C1653, ""en"", ""te""),"""")"),"")</f>
        <v/>
      </c>
      <c r="E1653" s="2"/>
      <c r="F1653" s="2" t="str">
        <f>IFERROR(__xludf.DUMMYFUNCTION("IF(E1653&lt;&gt;"""", GOOGLETRANSLATE(E1653, ""en"", ""te""),"""")"),"")</f>
        <v/>
      </c>
      <c r="G1653" s="2"/>
      <c r="H1653" s="2" t="str">
        <f>IFERROR(__xludf.DUMMYFUNCTION("IF(G1653&lt;&gt;"""", GOOGLETRANSLATE(G1653, ""en"", ""te""),"""")"),"")</f>
        <v/>
      </c>
      <c r="I1653" s="3"/>
    </row>
    <row r="1654" customHeight="1" spans="1:9">
      <c r="A1654" s="2"/>
      <c r="B1654" s="2" t="str">
        <f>IFERROR(__xludf.DUMMYFUNCTION("IF(A1654&lt;&gt;"""", GOOGLETRANSLATE(A1654, ""en"", ""te""),"""")"),"")</f>
        <v/>
      </c>
      <c r="C1654" s="2"/>
      <c r="D1654" s="2" t="str">
        <f>IFERROR(__xludf.DUMMYFUNCTION("IF(C1654&lt;&gt;"""", GOOGLETRANSLATE(C1654, ""en"", ""te""),"""")"),"")</f>
        <v/>
      </c>
      <c r="E1654" s="2"/>
      <c r="F1654" s="2" t="str">
        <f>IFERROR(__xludf.DUMMYFUNCTION("IF(E1654&lt;&gt;"""", GOOGLETRANSLATE(E1654, ""en"", ""te""),"""")"),"")</f>
        <v/>
      </c>
      <c r="G1654" s="2"/>
      <c r="H1654" s="2" t="str">
        <f>IFERROR(__xludf.DUMMYFUNCTION("IF(G1654&lt;&gt;"""", GOOGLETRANSLATE(G1654, ""en"", ""te""),"""")"),"")</f>
        <v/>
      </c>
      <c r="I1654" s="3"/>
    </row>
    <row r="1655" customHeight="1" spans="1:9">
      <c r="A1655" s="2"/>
      <c r="B1655" s="2" t="str">
        <f>IFERROR(__xludf.DUMMYFUNCTION("IF(A1655&lt;&gt;"""", GOOGLETRANSLATE(A1655, ""en"", ""te""),"""")"),"")</f>
        <v/>
      </c>
      <c r="C1655" s="2"/>
      <c r="D1655" s="2" t="str">
        <f>IFERROR(__xludf.DUMMYFUNCTION("IF(C1655&lt;&gt;"""", GOOGLETRANSLATE(C1655, ""en"", ""te""),"""")"),"")</f>
        <v/>
      </c>
      <c r="E1655" s="2"/>
      <c r="F1655" s="2" t="str">
        <f>IFERROR(__xludf.DUMMYFUNCTION("IF(E1655&lt;&gt;"""", GOOGLETRANSLATE(E1655, ""en"", ""te""),"""")"),"")</f>
        <v/>
      </c>
      <c r="G1655" s="2"/>
      <c r="H1655" s="2" t="str">
        <f>IFERROR(__xludf.DUMMYFUNCTION("IF(G1655&lt;&gt;"""", GOOGLETRANSLATE(G1655, ""en"", ""te""),"""")"),"")</f>
        <v/>
      </c>
      <c r="I1655" s="3"/>
    </row>
    <row r="1656" customHeight="1" spans="1:9">
      <c r="A1656" s="2"/>
      <c r="B1656" s="2" t="str">
        <f>IFERROR(__xludf.DUMMYFUNCTION("IF(A1656&lt;&gt;"""", GOOGLETRANSLATE(A1656, ""en"", ""te""),"""")"),"")</f>
        <v/>
      </c>
      <c r="C1656" s="2"/>
      <c r="D1656" s="2" t="str">
        <f>IFERROR(__xludf.DUMMYFUNCTION("IF(C1656&lt;&gt;"""", GOOGLETRANSLATE(C1656, ""en"", ""te""),"""")"),"")</f>
        <v/>
      </c>
      <c r="E1656" s="2"/>
      <c r="F1656" s="2" t="str">
        <f>IFERROR(__xludf.DUMMYFUNCTION("IF(E1656&lt;&gt;"""", GOOGLETRANSLATE(E1656, ""en"", ""te""),"""")"),"")</f>
        <v/>
      </c>
      <c r="G1656" s="2"/>
      <c r="H1656" s="2" t="str">
        <f>IFERROR(__xludf.DUMMYFUNCTION("IF(G1656&lt;&gt;"""", GOOGLETRANSLATE(G1656, ""en"", ""te""),"""")"),"")</f>
        <v/>
      </c>
      <c r="I1656" s="3"/>
    </row>
    <row r="1657" customHeight="1" spans="1:9">
      <c r="A1657" s="2"/>
      <c r="B1657" s="2" t="str">
        <f>IFERROR(__xludf.DUMMYFUNCTION("IF(A1657&lt;&gt;"""", GOOGLETRANSLATE(A1657, ""en"", ""te""),"""")"),"")</f>
        <v/>
      </c>
      <c r="C1657" s="2"/>
      <c r="D1657" s="2" t="str">
        <f>IFERROR(__xludf.DUMMYFUNCTION("IF(C1657&lt;&gt;"""", GOOGLETRANSLATE(C1657, ""en"", ""te""),"""")"),"")</f>
        <v/>
      </c>
      <c r="E1657" s="2"/>
      <c r="F1657" s="2" t="str">
        <f>IFERROR(__xludf.DUMMYFUNCTION("IF(E1657&lt;&gt;"""", GOOGLETRANSLATE(E1657, ""en"", ""te""),"""")"),"")</f>
        <v/>
      </c>
      <c r="G1657" s="2"/>
      <c r="H1657" s="2" t="str">
        <f>IFERROR(__xludf.DUMMYFUNCTION("IF(G1657&lt;&gt;"""", GOOGLETRANSLATE(G1657, ""en"", ""te""),"""")"),"")</f>
        <v/>
      </c>
      <c r="I1657" s="3"/>
    </row>
    <row r="1658" customHeight="1" spans="1:9">
      <c r="A1658" s="2"/>
      <c r="B1658" s="2" t="str">
        <f>IFERROR(__xludf.DUMMYFUNCTION("IF(A1658&lt;&gt;"""", GOOGLETRANSLATE(A1658, ""en"", ""te""),"""")"),"")</f>
        <v/>
      </c>
      <c r="C1658" s="2"/>
      <c r="D1658" s="2" t="str">
        <f>IFERROR(__xludf.DUMMYFUNCTION("IF(C1658&lt;&gt;"""", GOOGLETRANSLATE(C1658, ""en"", ""te""),"""")"),"")</f>
        <v/>
      </c>
      <c r="E1658" s="2"/>
      <c r="F1658" s="2" t="str">
        <f>IFERROR(__xludf.DUMMYFUNCTION("IF(E1658&lt;&gt;"""", GOOGLETRANSLATE(E1658, ""en"", ""te""),"""")"),"")</f>
        <v/>
      </c>
      <c r="G1658" s="2"/>
      <c r="H1658" s="2" t="str">
        <f>IFERROR(__xludf.DUMMYFUNCTION("IF(G1658&lt;&gt;"""", GOOGLETRANSLATE(G1658, ""en"", ""te""),"""")"),"")</f>
        <v/>
      </c>
      <c r="I1658" s="3"/>
    </row>
    <row r="1659" customHeight="1" spans="1:9">
      <c r="A1659" s="2"/>
      <c r="B1659" s="2" t="str">
        <f>IFERROR(__xludf.DUMMYFUNCTION("IF(A1659&lt;&gt;"""", GOOGLETRANSLATE(A1659, ""en"", ""te""),"""")"),"")</f>
        <v/>
      </c>
      <c r="C1659" s="2"/>
      <c r="D1659" s="2" t="str">
        <f>IFERROR(__xludf.DUMMYFUNCTION("IF(C1659&lt;&gt;"""", GOOGLETRANSLATE(C1659, ""en"", ""te""),"""")"),"")</f>
        <v/>
      </c>
      <c r="E1659" s="2"/>
      <c r="F1659" s="2" t="str">
        <f>IFERROR(__xludf.DUMMYFUNCTION("IF(E1659&lt;&gt;"""", GOOGLETRANSLATE(E1659, ""en"", ""te""),"""")"),"")</f>
        <v/>
      </c>
      <c r="G1659" s="2"/>
      <c r="H1659" s="2" t="str">
        <f>IFERROR(__xludf.DUMMYFUNCTION("IF(G1659&lt;&gt;"""", GOOGLETRANSLATE(G1659, ""en"", ""te""),"""")"),"")</f>
        <v/>
      </c>
      <c r="I1659" s="3"/>
    </row>
    <row r="1660" customHeight="1" spans="1:9">
      <c r="A1660" s="2"/>
      <c r="B1660" s="2" t="str">
        <f>IFERROR(__xludf.DUMMYFUNCTION("IF(A1660&lt;&gt;"""", GOOGLETRANSLATE(A1660, ""en"", ""te""),"""")"),"")</f>
        <v/>
      </c>
      <c r="C1660" s="2"/>
      <c r="D1660" s="2" t="str">
        <f>IFERROR(__xludf.DUMMYFUNCTION("IF(C1660&lt;&gt;"""", GOOGLETRANSLATE(C1660, ""en"", ""te""),"""")"),"")</f>
        <v/>
      </c>
      <c r="E1660" s="2"/>
      <c r="F1660" s="2" t="str">
        <f>IFERROR(__xludf.DUMMYFUNCTION("IF(E1660&lt;&gt;"""", GOOGLETRANSLATE(E1660, ""en"", ""te""),"""")"),"")</f>
        <v/>
      </c>
      <c r="G1660" s="2"/>
      <c r="H1660" s="2" t="str">
        <f>IFERROR(__xludf.DUMMYFUNCTION("IF(G1660&lt;&gt;"""", GOOGLETRANSLATE(G1660, ""en"", ""te""),"""")"),"")</f>
        <v/>
      </c>
      <c r="I1660" s="3"/>
    </row>
    <row r="1661" customHeight="1" spans="1:9">
      <c r="A1661" s="2"/>
      <c r="B1661" s="2" t="str">
        <f>IFERROR(__xludf.DUMMYFUNCTION("IF(A1661&lt;&gt;"""", GOOGLETRANSLATE(A1661, ""en"", ""te""),"""")"),"")</f>
        <v/>
      </c>
      <c r="C1661" s="2"/>
      <c r="D1661" s="2" t="str">
        <f>IFERROR(__xludf.DUMMYFUNCTION("IF(C1661&lt;&gt;"""", GOOGLETRANSLATE(C1661, ""en"", ""te""),"""")"),"")</f>
        <v/>
      </c>
      <c r="E1661" s="2"/>
      <c r="F1661" s="2" t="str">
        <f>IFERROR(__xludf.DUMMYFUNCTION("IF(E1661&lt;&gt;"""", GOOGLETRANSLATE(E1661, ""en"", ""te""),"""")"),"")</f>
        <v/>
      </c>
      <c r="G1661" s="2"/>
      <c r="H1661" s="2" t="str">
        <f>IFERROR(__xludf.DUMMYFUNCTION("IF(G1661&lt;&gt;"""", GOOGLETRANSLATE(G1661, ""en"", ""te""),"""")"),"")</f>
        <v/>
      </c>
      <c r="I1661" s="3"/>
    </row>
    <row r="1662" customHeight="1" spans="1:9">
      <c r="A1662" s="2"/>
      <c r="B1662" s="2" t="str">
        <f>IFERROR(__xludf.DUMMYFUNCTION("IF(A1662&lt;&gt;"""", GOOGLETRANSLATE(A1662, ""en"", ""te""),"""")"),"")</f>
        <v/>
      </c>
      <c r="C1662" s="2"/>
      <c r="D1662" s="2" t="str">
        <f>IFERROR(__xludf.DUMMYFUNCTION("IF(C1662&lt;&gt;"""", GOOGLETRANSLATE(C1662, ""en"", ""te""),"""")"),"")</f>
        <v/>
      </c>
      <c r="E1662" s="2"/>
      <c r="F1662" s="2" t="str">
        <f>IFERROR(__xludf.DUMMYFUNCTION("IF(E1662&lt;&gt;"""", GOOGLETRANSLATE(E1662, ""en"", ""te""),"""")"),"")</f>
        <v/>
      </c>
      <c r="G1662" s="2"/>
      <c r="H1662" s="2" t="str">
        <f>IFERROR(__xludf.DUMMYFUNCTION("IF(G1662&lt;&gt;"""", GOOGLETRANSLATE(G1662, ""en"", ""te""),"""")"),"")</f>
        <v/>
      </c>
      <c r="I1662" s="3"/>
    </row>
    <row r="1663" customHeight="1" spans="1:9">
      <c r="A1663" s="2"/>
      <c r="B1663" s="2" t="str">
        <f>IFERROR(__xludf.DUMMYFUNCTION("IF(A1663&lt;&gt;"""", GOOGLETRANSLATE(A1663, ""en"", ""te""),"""")"),"")</f>
        <v/>
      </c>
      <c r="C1663" s="2"/>
      <c r="D1663" s="2" t="str">
        <f>IFERROR(__xludf.DUMMYFUNCTION("IF(C1663&lt;&gt;"""", GOOGLETRANSLATE(C1663, ""en"", ""te""),"""")"),"")</f>
        <v/>
      </c>
      <c r="E1663" s="2"/>
      <c r="F1663" s="2" t="str">
        <f>IFERROR(__xludf.DUMMYFUNCTION("IF(E1663&lt;&gt;"""", GOOGLETRANSLATE(E1663, ""en"", ""te""),"""")"),"")</f>
        <v/>
      </c>
      <c r="G1663" s="2"/>
      <c r="H1663" s="2" t="str">
        <f>IFERROR(__xludf.DUMMYFUNCTION("IF(G1663&lt;&gt;"""", GOOGLETRANSLATE(G1663, ""en"", ""te""),"""")"),"")</f>
        <v/>
      </c>
      <c r="I1663" s="3"/>
    </row>
    <row r="1664" customHeight="1" spans="1:9">
      <c r="A1664" s="2"/>
      <c r="B1664" s="2" t="str">
        <f>IFERROR(__xludf.DUMMYFUNCTION("IF(A1664&lt;&gt;"""", GOOGLETRANSLATE(A1664, ""en"", ""te""),"""")"),"")</f>
        <v/>
      </c>
      <c r="C1664" s="2"/>
      <c r="D1664" s="2" t="str">
        <f>IFERROR(__xludf.DUMMYFUNCTION("IF(C1664&lt;&gt;"""", GOOGLETRANSLATE(C1664, ""en"", ""te""),"""")"),"")</f>
        <v/>
      </c>
      <c r="E1664" s="2"/>
      <c r="F1664" s="2" t="str">
        <f>IFERROR(__xludf.DUMMYFUNCTION("IF(E1664&lt;&gt;"""", GOOGLETRANSLATE(E1664, ""en"", ""te""),"""")"),"")</f>
        <v/>
      </c>
      <c r="G1664" s="2"/>
      <c r="H1664" s="2" t="str">
        <f>IFERROR(__xludf.DUMMYFUNCTION("IF(G1664&lt;&gt;"""", GOOGLETRANSLATE(G1664, ""en"", ""te""),"""")"),"")</f>
        <v/>
      </c>
      <c r="I1664" s="3"/>
    </row>
    <row r="1665" customHeight="1" spans="1:9">
      <c r="A1665" s="2" t="s">
        <v>1012</v>
      </c>
      <c r="B1665" s="2" t="str">
        <f>IFERROR(__xludf.DUMMYFUNCTION("IF(A1665&lt;&gt;"""", GOOGLETRANSLATE(A1665, ""en"", ""te""),"""")"),"[ '99 పరుగుల 1st (మరియు 199, 299 etc) (99)', 'ఒక ఇన్నింగ్స్లో ద్వారా బ్యాట్ నిదర్శన (56 నాటౌట్)', '3 వ ఉత్తమ కెరీర్ ఆర్థిక రేటు (1.64)', '10th ఒక సిరీస్లో అత్యధిక క్యాచ్లు ( 12) ',' బ్యాటింగ్ తెరవడం మరియు అదే మ్యాచ్ లో బౌలింగ్ ']")</f>
        <v>[ '99 పరుగుల 1st (మరియు 199, 299 etc) (99)', 'ఒక ఇన్నింగ్స్లో ద్వారా బ్యాట్ నిదర్శన (56 నాటౌట్)', '3 వ ఉత్తమ కెరీర్ ఆర్థిక రేటు (1.64)', '10th ఒక సిరీస్లో అత్యధిక క్యాచ్లు ( 12) ',' బ్యాటింగ్ తెరవడం మరియు అదే మ్యాచ్ లో బౌలింగ్ ']</v>
      </c>
      <c r="C1665" s="2" t="s">
        <v>1013</v>
      </c>
      <c r="D1665" s="2" t="str">
        <f>IFERROR(__xludf.DUMMYFUNCTION("IF(C1665&lt;&gt;"""", GOOGLETRANSLATE(C1665, ""en"", ""te""),"""")"),"[ '99 పరుగుల 1st (మరియు 199, 299 etc) (99)', 'ఒక ఇన్నింగ్స్లో పరుగుల 48 వ అత్యధిక శాతం (56.56)', '3 వ ఉత్తమ కెరీర్ ఆర్థిక రేటు (1.64)', '28 వ ఉత్తమ ఎకానమీ రేట్ ఇన్నింగ్స్ (0.56) ',' ఇన్నింగ్స్ లో 40 వ చెత్త సమ్మె రేటు (344.0) ',' 10 వ అత్యధిక క్యాచ్లు వరు"&amp;"స (12) ']")</f>
        <v>[ '99 పరుగుల 1st (మరియు 199, 299 etc) (99)', 'ఒక ఇన్నింగ్స్లో పరుగుల 48 వ అత్యధిక శాతం (56.56)', '3 వ ఉత్తమ కెరీర్ ఆర్థిక రేటు (1.64)', '28 వ ఉత్తమ ఎకానమీ రేట్ ఇన్నింగ్స్ (0.56) ',' ఇన్నింగ్స్ లో 40 వ చెత్త సమ్మె రేటు (344.0) ',' 10 వ అత్యధిక క్యాచ్లు వరుస (12) ']</v>
      </c>
      <c r="E1665" s="2"/>
      <c r="F1665" s="2" t="str">
        <f>IFERROR(__xludf.DUMMYFUNCTION("IF(E1665&lt;&gt;"""", GOOGLETRANSLATE(E1665, ""en"", ""te""),"""")"),"")</f>
        <v/>
      </c>
      <c r="G1665" s="2"/>
      <c r="H1665" s="2" t="str">
        <f>IFERROR(__xludf.DUMMYFUNCTION("IF(G1665&lt;&gt;"""", GOOGLETRANSLATE(G1665, ""en"", ""te""),"""")"),"")</f>
        <v/>
      </c>
      <c r="I1665" s="3"/>
    </row>
    <row r="1666" customHeight="1" spans="1:9">
      <c r="A1666" s="2"/>
      <c r="B1666" s="2" t="str">
        <f>IFERROR(__xludf.DUMMYFUNCTION("IF(A1666&lt;&gt;"""", GOOGLETRANSLATE(A1666, ""en"", ""te""),"""")"),"")</f>
        <v/>
      </c>
      <c r="C1666" s="2"/>
      <c r="D1666" s="2" t="str">
        <f>IFERROR(__xludf.DUMMYFUNCTION("IF(C1666&lt;&gt;"""", GOOGLETRANSLATE(C1666, ""en"", ""te""),"""")"),"")</f>
        <v/>
      </c>
      <c r="E1666" s="2"/>
      <c r="F1666" s="2" t="str">
        <f>IFERROR(__xludf.DUMMYFUNCTION("IF(E1666&lt;&gt;"""", GOOGLETRANSLATE(E1666, ""en"", ""te""),"""")"),"")</f>
        <v/>
      </c>
      <c r="G1666" s="2"/>
      <c r="H1666" s="2" t="str">
        <f>IFERROR(__xludf.DUMMYFUNCTION("IF(G1666&lt;&gt;"""", GOOGLETRANSLATE(G1666, ""en"", ""te""),"""")"),"")</f>
        <v/>
      </c>
      <c r="I1666" s="3"/>
    </row>
    <row r="1667" customHeight="1" spans="1:9">
      <c r="A1667" s="2"/>
      <c r="B1667" s="2" t="str">
        <f>IFERROR(__xludf.DUMMYFUNCTION("IF(A1667&lt;&gt;"""", GOOGLETRANSLATE(A1667, ""en"", ""te""),"""")"),"")</f>
        <v/>
      </c>
      <c r="C1667" s="2"/>
      <c r="D1667" s="2" t="str">
        <f>IFERROR(__xludf.DUMMYFUNCTION("IF(C1667&lt;&gt;"""", GOOGLETRANSLATE(C1667, ""en"", ""te""),"""")"),"")</f>
        <v/>
      </c>
      <c r="E1667" s="2"/>
      <c r="F1667" s="2" t="str">
        <f>IFERROR(__xludf.DUMMYFUNCTION("IF(E1667&lt;&gt;"""", GOOGLETRANSLATE(E1667, ""en"", ""te""),"""")"),"")</f>
        <v/>
      </c>
      <c r="G1667" s="2"/>
      <c r="H1667" s="2" t="str">
        <f>IFERROR(__xludf.DUMMYFUNCTION("IF(G1667&lt;&gt;"""", GOOGLETRANSLATE(G1667, ""en"", ""te""),"""")"),"")</f>
        <v/>
      </c>
      <c r="I1667" s="3"/>
    </row>
    <row r="1668" customHeight="1" spans="1:9">
      <c r="A1668" s="2" t="s">
        <v>1014</v>
      </c>
      <c r="B1668" s="2" t="str">
        <f>IFERROR(__xludf.DUMMYFUNCTION("IF(A1668&lt;&gt;"""", GOOGLETRANSLATE(A1668, ""en"", ""te""),"""")"),"[ 'పరాజయం వైపు ఒక మ్యాచ్లో 6 వ అత్యధిక పరుగులు (259)', 'హండ్రెడ్ మరియు ఒక మ్యాచ్లో తొంభై', 'హండ్రెడ్ మరియు ఒక మ్యాచ్లో ఒక డక్', '5000 పరుగులు మరియు 50 ఫీల్డింగ్ వికెట్లు', '5 వ అత్యధిక పరుగులు ఇన్నింగ్స్ (బ్యాటింగ్ స్థానం) లో (175) ',' వరుస ఇన్నింగ్స్లో"&amp;" 2 వ వందల (3) ',' ఒక ఇన్నింగ్స్లో (59 *) ',' 5000 పరుగులు మరియు 50 ఫీల్డింగ్ వికెట్లు ',' 4 వ అత్యంత ఫోర్లు ద్వారా బ్యాట్ వాహక ఒక ఇన్నింగ్స్ లో (14) ',' వరుస ఇన్నింగ్స్లో 6 వ వందల (3) ',' కెరీర్ (11) 8 వ అత్యంత తొంభైల ']")</f>
        <v>[ 'పరాజయం వైపు ఒక మ్యాచ్లో 6 వ అత్యధిక పరుగులు (259)', 'హండ్రెడ్ మరియు ఒక మ్యాచ్లో తొంభై', 'హండ్రెడ్ మరియు ఒక మ్యాచ్లో ఒక డక్', '5000 పరుగులు మరియు 50 ఫీల్డింగ్ వికెట్లు', '5 వ అత్యధిక పరుగులు ఇన్నింగ్స్ (బ్యాటింగ్ స్థానం) లో (175) ',' వరుస ఇన్నింగ్స్లో 2 వ వందల (3) ',' ఒక ఇన్నింగ్స్లో (59 *) ',' 5000 పరుగులు మరియు 50 ఫీల్డింగ్ వికెట్లు ',' 4 వ అత్యంత ఫోర్లు ద్వారా బ్యాట్ వాహక ఒక ఇన్నింగ్స్ లో (14) ',' వరుస ఇన్నింగ్స్లో 6 వ వందల (3) ',' కెరీర్ (11) 8 వ అత్యంత తొంభైల ']</v>
      </c>
      <c r="C1668" s="2" t="s">
        <v>1015</v>
      </c>
      <c r="D1668" s="2" t="str">
        <f>IFERROR(__xludf.DUMMYFUNCTION("IF(C1668&lt;&gt;"""", GOOGLETRANSLATE(C1668, ""en"", ""te""),"""")"),"[ 'పరాజయం వైపు ఒక మ్యాచ్లో 6 వ అత్యధిక పరుగులు (259)' 'ఒక రోజు లో 11 వ అత్యధిక పరుగులు (228)', 'వరుస మ్యాచ్లలో 21 వందల (3)', '24 వ అత్యధిక తొలి వంద (211 *)' 'కెరీర్లో 10 వ అత్యంత తొంభైల (6)', 'వరుస మ్యాచ్లలో 26 యాభైల్లో (7)', '44th ఎక్కువ సిక్స్ కెరీర్"&amp;"లో (47)', '38 వ అత్యంత ఫోర్లు కెరీర్లో (887)', '36 వ ఎక్కువ సిక్స్ లో ఇన్నింగ్స్ (6) ',' 36 వ ఇన్నింగ్స్ లో వచ్చిన ఎక్కువ ఫోర్లు (35) ',' ఇన్నింగ్స్ లో ఫోర్లు, సిక్సర్లు నుండి 34 వ అత్యధిక పరుగులు (152) ',' 47 వ లాంగెస్ట్ వ్యక్తిగత ఇన్నింగ్స్ (నిమిషాలు) ("&amp;"659) ',' 36 వ వేగవంతమైన 4000 పరుగులు (91) ',' ఫాస్టెస్ట్ 5000 పరుగులు (108) ',' 44 వ వరకు 24 వ వేగవంతమైన 6000 పరుగులు (146) ',' 46 వ కెరీర్ లో అత్యధిక క్యాచ్లు (94) ',' 31 అత్యధిక మొదటి భాగస్వామ్యంతో వికెట్ (256) ',' రెండవ వికెట్ (315 *) కోసం 14 అత్యధిక"&amp;" భాగస్వామ్యం ',' మూడో వికెట్ (251) కోసం 46 వ అత్యధిక భాగస్వామ్యం ']")</f>
        <v>[ 'పరాజయం వైపు ఒక మ్యాచ్లో 6 వ అత్యధిక పరుగులు (259)' 'ఒక రోజు లో 11 వ అత్యధిక పరుగులు (228)', 'వరుస మ్యాచ్లలో 21 వందల (3)', '24 వ అత్యధిక తొలి వంద (211 *)' 'కెరీర్లో 10 వ అత్యంత తొంభైల (6)', 'వరుస మ్యాచ్లలో 26 యాభైల్లో (7)', '44th ఎక్కువ సిక్స్ కెరీర్లో (47)', '38 వ అత్యంత ఫోర్లు కెరీర్లో (887)', '36 వ ఎక్కువ సిక్స్ లో ఇన్నింగ్స్ (6) ',' 36 వ ఇన్నింగ్స్ లో వచ్చిన ఎక్కువ ఫోర్లు (35) ',' ఇన్నింగ్స్ లో ఫోర్లు, సిక్సర్లు నుండి 34 వ అత్యధిక పరుగులు (152) ',' 47 వ లాంగెస్ట్ వ్యక్తిగత ఇన్నింగ్స్ (నిమిషాలు) (659) ',' 36 వ వేగవంతమైన 4000 పరుగులు (91) ',' ఫాస్టెస్ట్ 5000 పరుగులు (108) ',' 44 వ వరకు 24 వ వేగవంతమైన 6000 పరుగులు (146) ',' 46 వ కెరీర్ లో అత్యధిక క్యాచ్లు (94) ',' 31 అత్యధిక మొదటి భాగస్వామ్యంతో వికెట్ (256) ',' రెండవ వికెట్ (315 *) కోసం 14 అత్యధిక భాగస్వామ్యం ',' మూడో వికెట్ (251) కోసం 46 వ అత్యధిక భాగస్వామ్యం ']</v>
      </c>
      <c r="E1668" s="2" t="s">
        <v>1016</v>
      </c>
      <c r="F1668" s="2" t="str">
        <f>IFERROR(__xludf.DUMMYFUNCTION("IF(E1668&lt;&gt;"""", GOOGLETRANSLATE(E1668, ""en"", ""te""),"""")"),"[ 'ఒక క్యాలెండర్ సంవత్సరంలో 29 వ అత్యధిక పరుగులు (1310)' '30 వ అత్యధిక కెరీర్ లో పరుగులు (8094)', '37 వ ఇన్నింగ్స్ లో అత్యధిక పరుగులు (175)', 'ఇన్నింగ్స్ లో 5 వ అత్యధిక పరుగులు (బ్యాటింగ్ స్థానంలో ప్రకారం) ( 175) ',' 25 వ పరాజయం వైపు వ్యతిరేకంగా (143) ',"&amp;"' 12 వ ఒక వృత్తిలో అత్యధిక వందలు (21) ',' 11 వ ఒక క్యాలెండర్ సంవత్సరంలో అత్యధిక వందలు (5) ',' 19 వ అత్యధిక వందలు ఒక మ్యాచ్లో అత్యధిక పరుగులు ఒక జట్టు (5) ',' వరుస ఇన్నింగ్స్లో 2 వ వందల (3) ',' 48 వ అత్యంత వృద్ధ ఆటగాడు కెరీర్లో వంద (35y 49d) ',' 34 వ స్కోర"&amp;"్ అత్యంత తొంభైల కెరీర్లో (4) ',' 33 వ అత్యంత అర్ధ ( 58) ',' వరుస ఇన్నింగ్స్లో 44 వ యాభైల్లో (4) ',' 11 వ అత్యంత బాతులు కెరీర్ లో (22) ',' 22 వ ఎక్కువ సిక్స్ కెరీర్లో (128) ',' 16 వ అత్యంత ఫోర్లు కెరీర్లో (930) ',' 14 వ ఒక ఇన్నింగ్స్ లో చాలా ఫోర్లు (21) "&amp;"',' ఇన్నింగ్స్ లో ఫోర్లు, సిక్సర్లు నుండి 11 వ అత్యధిక పరుగులు (126) ',' 23 వ ఎత్తైన వేగవంతమైన 4000 పరుగులు ఒక ఇన్నింగ్స్లో పరుగుల శాతం (58.41) ',' 47 వ (120) ',' 46 వ 5000 పరుగులు (157) ',' 6000 పరుగులు (184) ',' 24 వ వేగంగా చేయడానికి 33 వ వేగవంతమైన 7"&amp;"000 పరుగులు (209) కు ',' 22 వ వేగంగా వేగంగా 8000 పరుగుల (237) ',' 22 వ కెరీర్ లో అత్యధిక క్యాచ్లు (108) ',' 44 వ కెరీర్ లో అత్యధిక మ్యాచ్లు (248) ',' 23 వ ప్లేయర్ ఆఫ్ ది మ్యాచ్ అవార్డులు (22) ']")</f>
        <v>[ 'ఒక క్యాలెండర్ సంవత్సరంలో 29 వ అత్యధిక పరుగులు (1310)' '30 వ అత్యధిక కెరీర్ లో పరుగులు (8094)', '37 వ ఇన్నింగ్స్ లో అత్యధిక పరుగులు (175)', 'ఇన్నింగ్స్ లో 5 వ అత్యధిక పరుగులు (బ్యాటింగ్ స్థానంలో ప్రకారం) ( 175) ',' 25 వ పరాజయం వైపు వ్యతిరేకంగా (143) ',' 12 వ ఒక వృత్తిలో అత్యధిక వందలు (21) ',' 11 వ ఒక క్యాలెండర్ సంవత్సరంలో అత్యధిక వందలు (5) ',' 19 వ అత్యధిక వందలు ఒక మ్యాచ్లో అత్యధిక పరుగులు ఒక జట్టు (5) ',' వరుస ఇన్నింగ్స్లో 2 వ వందల (3) ',' 48 వ అత్యంత వృద్ధ ఆటగాడు కెరీర్లో వంద (35y 49d) ',' 34 వ స్కోర్ అత్యంత తొంభైల కెరీర్లో (4) ',' 33 వ అత్యంత అర్ధ ( 58) ',' వరుస ఇన్నింగ్స్లో 44 వ యాభైల్లో (4) ',' 11 వ అత్యంత బాతులు కెరీర్ లో (22) ',' 22 వ ఎక్కువ సిక్స్ కెరీర్లో (128) ',' 16 వ అత్యంత ఫోర్లు కెరీర్లో (930) ',' 14 వ ఒక ఇన్నింగ్స్ లో చాలా ఫోర్లు (21) ',' ఇన్నింగ్స్ లో ఫోర్లు, సిక్సర్లు నుండి 11 వ అత్యధిక పరుగులు (126) ',' 23 వ ఎత్తైన వేగవంతమైన 4000 పరుగులు ఒక ఇన్నింగ్స్లో పరుగుల శాతం (58.41) ',' 47 వ (120) ',' 46 వ 5000 పరుగులు (157) ',' 6000 పరుగులు (184) ',' 24 వ వేగంగా చేయడానికి 33 వ వేగవంతమైన 7000 పరుగులు (209) కు ',' 22 వ వేగంగా వేగంగా 8000 పరుగుల (237) ',' 22 వ కెరీర్ లో అత్యధిక క్యాచ్లు (108) ',' 44 వ కెరీర్ లో అత్యధిక మ్యాచ్లు (248) ',' 23 వ ప్లేయర్ ఆఫ్ ది మ్యాచ్ అవార్డులు (22) ']</v>
      </c>
      <c r="G1668" s="2" t="s">
        <v>1017</v>
      </c>
      <c r="H1668" s="2" t="str">
        <f>IFERROR(__xludf.DUMMYFUNCTION("IF(G1668&lt;&gt;"""", GOOGLETRANSLATE(G1668, ""en"", ""te""),"""")"),"[ 'ఇన్నింగ్స్ లో 4 వ అత్యంత ఫోర్లు (14)', '15 వ ఇన్నింగ్స్ లో అత్యధిక క్యాచ్లు (3)', 'మూడో వికెట్కు 15 అత్యధిక భాగస్వామ్యం (120 *)']")</f>
        <v>[ 'ఇన్నింగ్స్ లో 4 వ అత్యంత ఫోర్లు (14)', '15 వ ఇన్నింగ్స్ లో అత్యధిక క్యాచ్లు (3)', 'మూడో వికెట్కు 15 అత్యధిక భాగస్వామ్యం (120 *)']</v>
      </c>
      <c r="I1668" s="3"/>
    </row>
    <row r="1669" customHeight="1" spans="1:9">
      <c r="A1669" s="2"/>
      <c r="B1669" s="2" t="str">
        <f>IFERROR(__xludf.DUMMYFUNCTION("IF(A1669&lt;&gt;"""", GOOGLETRANSLATE(A1669, ""en"", ""te""),"""")"),"")</f>
        <v/>
      </c>
      <c r="C1669" s="2"/>
      <c r="D1669" s="2" t="str">
        <f>IFERROR(__xludf.DUMMYFUNCTION("IF(C1669&lt;&gt;"""", GOOGLETRANSLATE(C1669, ""en"", ""te""),"""")"),"")</f>
        <v/>
      </c>
      <c r="E1669" s="2"/>
      <c r="F1669" s="2" t="str">
        <f>IFERROR(__xludf.DUMMYFUNCTION("IF(E1669&lt;&gt;"""", GOOGLETRANSLATE(E1669, ""en"", ""te""),"""")"),"")</f>
        <v/>
      </c>
      <c r="G1669" s="2"/>
      <c r="H1669" s="2" t="str">
        <f>IFERROR(__xludf.DUMMYFUNCTION("IF(G1669&lt;&gt;"""", GOOGLETRANSLATE(G1669, ""en"", ""te""),"""")"),"")</f>
        <v/>
      </c>
      <c r="I1669" s="3"/>
    </row>
    <row r="1670" customHeight="1" spans="1:9">
      <c r="A1670" s="2"/>
      <c r="B1670" s="2" t="str">
        <f>IFERROR(__xludf.DUMMYFUNCTION("IF(A1670&lt;&gt;"""", GOOGLETRANSLATE(A1670, ""en"", ""te""),"""")"),"")</f>
        <v/>
      </c>
      <c r="C1670" s="2"/>
      <c r="D1670" s="2" t="str">
        <f>IFERROR(__xludf.DUMMYFUNCTION("IF(C1670&lt;&gt;"""", GOOGLETRANSLATE(C1670, ""en"", ""te""),"""")"),"")</f>
        <v/>
      </c>
      <c r="E1670" s="2"/>
      <c r="F1670" s="2" t="str">
        <f>IFERROR(__xludf.DUMMYFUNCTION("IF(E1670&lt;&gt;"""", GOOGLETRANSLATE(E1670, ""en"", ""te""),"""")"),"")</f>
        <v/>
      </c>
      <c r="G1670" s="2"/>
      <c r="H1670" s="2" t="str">
        <f>IFERROR(__xludf.DUMMYFUNCTION("IF(G1670&lt;&gt;"""", GOOGLETRANSLATE(G1670, ""en"", ""te""),"""")"),"")</f>
        <v/>
      </c>
      <c r="I1670" s="3"/>
    </row>
    <row r="1671" customHeight="1" spans="1:9">
      <c r="A1671" s="2"/>
      <c r="B1671" s="2" t="str">
        <f>IFERROR(__xludf.DUMMYFUNCTION("IF(A1671&lt;&gt;"""", GOOGLETRANSLATE(A1671, ""en"", ""te""),"""")"),"")</f>
        <v/>
      </c>
      <c r="C1671" s="2"/>
      <c r="D1671" s="2" t="str">
        <f>IFERROR(__xludf.DUMMYFUNCTION("IF(C1671&lt;&gt;"""", GOOGLETRANSLATE(C1671, ""en"", ""te""),"""")"),"")</f>
        <v/>
      </c>
      <c r="E1671" s="2"/>
      <c r="F1671" s="2" t="str">
        <f>IFERROR(__xludf.DUMMYFUNCTION("IF(E1671&lt;&gt;"""", GOOGLETRANSLATE(E1671, ""en"", ""te""),"""")"),"")</f>
        <v/>
      </c>
      <c r="G1671" s="2"/>
      <c r="H1671" s="2" t="str">
        <f>IFERROR(__xludf.DUMMYFUNCTION("IF(G1671&lt;&gt;"""", GOOGLETRANSLATE(G1671, ""en"", ""te""),"""")"),"")</f>
        <v/>
      </c>
      <c r="I1671" s="3"/>
    </row>
    <row r="1672" customHeight="1" spans="1:9">
      <c r="A1672" s="2"/>
      <c r="B1672" s="2" t="str">
        <f>IFERROR(__xludf.DUMMYFUNCTION("IF(A1672&lt;&gt;"""", GOOGLETRANSLATE(A1672, ""en"", ""te""),"""")"),"")</f>
        <v/>
      </c>
      <c r="C1672" s="2"/>
      <c r="D1672" s="2" t="str">
        <f>IFERROR(__xludf.DUMMYFUNCTION("IF(C1672&lt;&gt;"""", GOOGLETRANSLATE(C1672, ""en"", ""te""),"""")"),"")</f>
        <v/>
      </c>
      <c r="E1672" s="2"/>
      <c r="F1672" s="2" t="str">
        <f>IFERROR(__xludf.DUMMYFUNCTION("IF(E1672&lt;&gt;"""", GOOGLETRANSLATE(E1672, ""en"", ""te""),"""")"),"")</f>
        <v/>
      </c>
      <c r="G1672" s="2"/>
      <c r="H1672" s="2" t="str">
        <f>IFERROR(__xludf.DUMMYFUNCTION("IF(G1672&lt;&gt;"""", GOOGLETRANSLATE(G1672, ""en"", ""te""),"""")"),"")</f>
        <v/>
      </c>
      <c r="I1672" s="3"/>
    </row>
    <row r="1673" customHeight="1" spans="1:9">
      <c r="A1673" s="2"/>
      <c r="B1673" s="2" t="str">
        <f>IFERROR(__xludf.DUMMYFUNCTION("IF(A1673&lt;&gt;"""", GOOGLETRANSLATE(A1673, ""en"", ""te""),"""")"),"")</f>
        <v/>
      </c>
      <c r="C1673" s="2"/>
      <c r="D1673" s="2" t="str">
        <f>IFERROR(__xludf.DUMMYFUNCTION("IF(C1673&lt;&gt;"""", GOOGLETRANSLATE(C1673, ""en"", ""te""),"""")"),"")</f>
        <v/>
      </c>
      <c r="E1673" s="2"/>
      <c r="F1673" s="2" t="str">
        <f>IFERROR(__xludf.DUMMYFUNCTION("IF(E1673&lt;&gt;"""", GOOGLETRANSLATE(E1673, ""en"", ""te""),"""")"),"")</f>
        <v/>
      </c>
      <c r="G1673" s="2"/>
      <c r="H1673" s="2" t="str">
        <f>IFERROR(__xludf.DUMMYFUNCTION("IF(G1673&lt;&gt;"""", GOOGLETRANSLATE(G1673, ""en"", ""te""),"""")"),"")</f>
        <v/>
      </c>
      <c r="I1673" s="3"/>
    </row>
    <row r="1674" customHeight="1" spans="1:9">
      <c r="A1674" s="2"/>
      <c r="B1674" s="2" t="str">
        <f>IFERROR(__xludf.DUMMYFUNCTION("IF(A1674&lt;&gt;"""", GOOGLETRANSLATE(A1674, ""en"", ""te""),"""")"),"")</f>
        <v/>
      </c>
      <c r="C1674" s="2"/>
      <c r="D1674" s="2" t="str">
        <f>IFERROR(__xludf.DUMMYFUNCTION("IF(C1674&lt;&gt;"""", GOOGLETRANSLATE(C1674, ""en"", ""te""),"""")"),"")</f>
        <v/>
      </c>
      <c r="E1674" s="2"/>
      <c r="F1674" s="2" t="str">
        <f>IFERROR(__xludf.DUMMYFUNCTION("IF(E1674&lt;&gt;"""", GOOGLETRANSLATE(E1674, ""en"", ""te""),"""")"),"")</f>
        <v/>
      </c>
      <c r="G1674" s="2"/>
      <c r="H1674" s="2" t="str">
        <f>IFERROR(__xludf.DUMMYFUNCTION("IF(G1674&lt;&gt;"""", GOOGLETRANSLATE(G1674, ""en"", ""te""),"""")"),"")</f>
        <v/>
      </c>
      <c r="I1674" s="3"/>
    </row>
    <row r="1675" customHeight="1" spans="1:9">
      <c r="A1675" s="2"/>
      <c r="B1675" s="2" t="str">
        <f>IFERROR(__xludf.DUMMYFUNCTION("IF(A1675&lt;&gt;"""", GOOGLETRANSLATE(A1675, ""en"", ""te""),"""")"),"")</f>
        <v/>
      </c>
      <c r="C1675" s="2"/>
      <c r="D1675" s="2" t="str">
        <f>IFERROR(__xludf.DUMMYFUNCTION("IF(C1675&lt;&gt;"""", GOOGLETRANSLATE(C1675, ""en"", ""te""),"""")"),"")</f>
        <v/>
      </c>
      <c r="E1675" s="2"/>
      <c r="F1675" s="2" t="str">
        <f>IFERROR(__xludf.DUMMYFUNCTION("IF(E1675&lt;&gt;"""", GOOGLETRANSLATE(E1675, ""en"", ""te""),"""")"),"")</f>
        <v/>
      </c>
      <c r="G1675" s="2"/>
      <c r="H1675" s="2" t="str">
        <f>IFERROR(__xludf.DUMMYFUNCTION("IF(G1675&lt;&gt;"""", GOOGLETRANSLATE(G1675, ""en"", ""te""),"""")"),"")</f>
        <v/>
      </c>
      <c r="I1675" s="3"/>
    </row>
    <row r="1676" customHeight="1" spans="1:9">
      <c r="A1676" s="2"/>
      <c r="B1676" s="2" t="str">
        <f>IFERROR(__xludf.DUMMYFUNCTION("IF(A1676&lt;&gt;"""", GOOGLETRANSLATE(A1676, ""en"", ""te""),"""")"),"")</f>
        <v/>
      </c>
      <c r="C1676" s="2"/>
      <c r="D1676" s="2" t="str">
        <f>IFERROR(__xludf.DUMMYFUNCTION("IF(C1676&lt;&gt;"""", GOOGLETRANSLATE(C1676, ""en"", ""te""),"""")"),"")</f>
        <v/>
      </c>
      <c r="E1676" s="2"/>
      <c r="F1676" s="2" t="str">
        <f>IFERROR(__xludf.DUMMYFUNCTION("IF(E1676&lt;&gt;"""", GOOGLETRANSLATE(E1676, ""en"", ""te""),"""")"),"")</f>
        <v/>
      </c>
      <c r="G1676" s="2"/>
      <c r="H1676" s="2" t="str">
        <f>IFERROR(__xludf.DUMMYFUNCTION("IF(G1676&lt;&gt;"""", GOOGLETRANSLATE(G1676, ""en"", ""te""),"""")"),"")</f>
        <v/>
      </c>
      <c r="I1676" s="3"/>
    </row>
    <row r="1677" customHeight="1" spans="1:9">
      <c r="A1677" s="2"/>
      <c r="B1677" s="2" t="str">
        <f>IFERROR(__xludf.DUMMYFUNCTION("IF(A1677&lt;&gt;"""", GOOGLETRANSLATE(A1677, ""en"", ""te""),"""")"),"")</f>
        <v/>
      </c>
      <c r="C1677" s="2"/>
      <c r="D1677" s="2" t="str">
        <f>IFERROR(__xludf.DUMMYFUNCTION("IF(C1677&lt;&gt;"""", GOOGLETRANSLATE(C1677, ""en"", ""te""),"""")"),"")</f>
        <v/>
      </c>
      <c r="E1677" s="2"/>
      <c r="F1677" s="2" t="str">
        <f>IFERROR(__xludf.DUMMYFUNCTION("IF(E1677&lt;&gt;"""", GOOGLETRANSLATE(E1677, ""en"", ""te""),"""")"),"")</f>
        <v/>
      </c>
      <c r="G1677" s="2"/>
      <c r="H1677" s="2" t="str">
        <f>IFERROR(__xludf.DUMMYFUNCTION("IF(G1677&lt;&gt;"""", GOOGLETRANSLATE(G1677, ""en"", ""te""),"""")"),"")</f>
        <v/>
      </c>
      <c r="I1677" s="3"/>
    </row>
    <row r="1678" customHeight="1" spans="1:9">
      <c r="A1678" s="2" t="s">
        <v>1018</v>
      </c>
      <c r="B1678" s="2" t="str">
        <f>IFERROR(__xludf.DUMMYFUNCTION("IF(A1678&lt;&gt;"""", GOOGLETRANSLATE(A1678, ""en"", ""te""),"""")"),"[ '1st లాంగెస్ట్ క్రీడాకారులు (103y 27d) నివసించారు', 'ఇన్నింగ్స్ లో 5 వ చెత్త సమ్మె రేటు (442.0)', '4 వ మ్యాచ్ (738) లో బౌల్డ్ చాలా బంతుల్లో']")</f>
        <v>[ '1st లాంగెస్ట్ క్రీడాకారులు (103y 27d) నివసించారు', 'ఇన్నింగ్స్ లో 5 వ చెత్త సమ్మె రేటు (442.0)', '4 వ మ్యాచ్ (738) లో బౌల్డ్ చాలా బంతుల్లో']</v>
      </c>
      <c r="C1678" s="2" t="s">
        <v>1019</v>
      </c>
      <c r="D1678" s="2" t="str">
        <f>IFERROR(__xludf.DUMMYFUNCTION("IF(C1678&lt;&gt;"""", GOOGLETRANSLATE(C1678, ""en"", ""te""),"""")"),"[ 'ఇన్నింగ్స్ లో 5 వ చెత్త సమ్మె రేటు (442.0)', '33 వ ఇన్నింగ్స్ లో బౌల్డ్ చాలా బంతుల్లో (442)', '48 వ అత్యంత ఒక మ్యాచ్లో ఇవ్వబడిన పరుగులలో' 4 వ అత్యంత బంతుల్లో ఒక మ్యాచ్ (738) లో బౌల్డ్ '(256 ) ',' 1st లాంగెస్ట్ నివసించారు క్రీడాకారులు (103y 27d) ']")</f>
        <v>[ 'ఇన్నింగ్స్ లో 5 వ చెత్త సమ్మె రేటు (442.0)', '33 వ ఇన్నింగ్స్ లో బౌల్డ్ చాలా బంతుల్లో (442)', '48 వ అత్యంత ఒక మ్యాచ్లో ఇవ్వబడిన పరుగులలో' 4 వ అత్యంత బంతుల్లో ఒక మ్యాచ్ (738) లో బౌల్డ్ '(256 ) ',' 1st లాంగెస్ట్ నివసించారు క్రీడాకారులు (103y 27d) ']</v>
      </c>
      <c r="E1678" s="2"/>
      <c r="F1678" s="2" t="str">
        <f>IFERROR(__xludf.DUMMYFUNCTION("IF(E1678&lt;&gt;"""", GOOGLETRANSLATE(E1678, ""en"", ""te""),"""")"),"")</f>
        <v/>
      </c>
      <c r="G1678" s="2"/>
      <c r="H1678" s="2" t="str">
        <f>IFERROR(__xludf.DUMMYFUNCTION("IF(G1678&lt;&gt;"""", GOOGLETRANSLATE(G1678, ""en"", ""te""),"""")"),"")</f>
        <v/>
      </c>
      <c r="I1678" s="3"/>
    </row>
    <row r="1679" customHeight="1" spans="1:9">
      <c r="A1679" s="2"/>
      <c r="B1679" s="2" t="str">
        <f>IFERROR(__xludf.DUMMYFUNCTION("IF(A1679&lt;&gt;"""", GOOGLETRANSLATE(A1679, ""en"", ""te""),"""")"),"")</f>
        <v/>
      </c>
      <c r="C1679" s="2"/>
      <c r="D1679" s="2" t="str">
        <f>IFERROR(__xludf.DUMMYFUNCTION("IF(C1679&lt;&gt;"""", GOOGLETRANSLATE(C1679, ""en"", ""te""),"""")"),"")</f>
        <v/>
      </c>
      <c r="E1679" s="2" t="s">
        <v>1020</v>
      </c>
      <c r="F1679" s="2" t="str">
        <f>IFERROR(__xludf.DUMMYFUNCTION("IF(E1679&lt;&gt;"""", GOOGLETRANSLATE(E1679, ""en"", ""te""),"""")"),"[ '31 వరుస మ్యాచ్లు ప్రదర్శనల మధ్య బృందం (35) కోసం తప్పిన']")</f>
        <v>[ '31 వరుస మ్యాచ్లు ప్రదర్శనల మధ్య బృందం (35) కోసం తప్పిన']</v>
      </c>
      <c r="G1679" s="2"/>
      <c r="H1679" s="2" t="str">
        <f>IFERROR(__xludf.DUMMYFUNCTION("IF(G1679&lt;&gt;"""", GOOGLETRANSLATE(G1679, ""en"", ""te""),"""")"),"")</f>
        <v/>
      </c>
      <c r="I1679" s="3"/>
    </row>
    <row r="1680" customHeight="1" spans="1:9">
      <c r="A1680" s="2"/>
      <c r="B1680" s="2" t="str">
        <f>IFERROR(__xludf.DUMMYFUNCTION("IF(A1680&lt;&gt;"""", GOOGLETRANSLATE(A1680, ""en"", ""te""),"""")"),"")</f>
        <v/>
      </c>
      <c r="C1680" s="2"/>
      <c r="D1680" s="2" t="str">
        <f>IFERROR(__xludf.DUMMYFUNCTION("IF(C1680&lt;&gt;"""", GOOGLETRANSLATE(C1680, ""en"", ""te""),"""")"),"")</f>
        <v/>
      </c>
      <c r="E1680" s="2"/>
      <c r="F1680" s="2" t="str">
        <f>IFERROR(__xludf.DUMMYFUNCTION("IF(E1680&lt;&gt;"""", GOOGLETRANSLATE(E1680, ""en"", ""te""),"""")"),"")</f>
        <v/>
      </c>
      <c r="G1680" s="2"/>
      <c r="H1680" s="2" t="str">
        <f>IFERROR(__xludf.DUMMYFUNCTION("IF(G1680&lt;&gt;"""", GOOGLETRANSLATE(G1680, ""en"", ""te""),"""")"),"")</f>
        <v/>
      </c>
      <c r="I1680" s="3"/>
    </row>
    <row r="1681" customHeight="1" spans="1:9">
      <c r="A1681" s="2"/>
      <c r="B1681" s="2" t="str">
        <f>IFERROR(__xludf.DUMMYFUNCTION("IF(A1681&lt;&gt;"""", GOOGLETRANSLATE(A1681, ""en"", ""te""),"""")"),"")</f>
        <v/>
      </c>
      <c r="C1681" s="2"/>
      <c r="D1681" s="2" t="str">
        <f>IFERROR(__xludf.DUMMYFUNCTION("IF(C1681&lt;&gt;"""", GOOGLETRANSLATE(C1681, ""en"", ""te""),"""")"),"")</f>
        <v/>
      </c>
      <c r="E1681" s="2"/>
      <c r="F1681" s="2" t="str">
        <f>IFERROR(__xludf.DUMMYFUNCTION("IF(E1681&lt;&gt;"""", GOOGLETRANSLATE(E1681, ""en"", ""te""),"""")"),"")</f>
        <v/>
      </c>
      <c r="G1681" s="2"/>
      <c r="H1681" s="2" t="str">
        <f>IFERROR(__xludf.DUMMYFUNCTION("IF(G1681&lt;&gt;"""", GOOGLETRANSLATE(G1681, ""en"", ""te""),"""")"),"")</f>
        <v/>
      </c>
      <c r="I1681" s="3"/>
    </row>
    <row r="1682" customHeight="1" spans="1:9">
      <c r="A1682" s="2"/>
      <c r="B1682" s="2" t="str">
        <f>IFERROR(__xludf.DUMMYFUNCTION("IF(A1682&lt;&gt;"""", GOOGLETRANSLATE(A1682, ""en"", ""te""),"""")"),"")</f>
        <v/>
      </c>
      <c r="C1682" s="2"/>
      <c r="D1682" s="2" t="str">
        <f>IFERROR(__xludf.DUMMYFUNCTION("IF(C1682&lt;&gt;"""", GOOGLETRANSLATE(C1682, ""en"", ""te""),"""")"),"")</f>
        <v/>
      </c>
      <c r="E1682" s="2"/>
      <c r="F1682" s="2" t="str">
        <f>IFERROR(__xludf.DUMMYFUNCTION("IF(E1682&lt;&gt;"""", GOOGLETRANSLATE(E1682, ""en"", ""te""),"""")"),"")</f>
        <v/>
      </c>
      <c r="G1682" s="2"/>
      <c r="H1682" s="2" t="str">
        <f>IFERROR(__xludf.DUMMYFUNCTION("IF(G1682&lt;&gt;"""", GOOGLETRANSLATE(G1682, ""en"", ""te""),"""")"),"")</f>
        <v/>
      </c>
      <c r="I1682" s="3"/>
    </row>
    <row r="1683" customHeight="1" spans="1:9">
      <c r="A1683" s="2"/>
      <c r="B1683" s="2" t="str">
        <f>IFERROR(__xludf.DUMMYFUNCTION("IF(A1683&lt;&gt;"""", GOOGLETRANSLATE(A1683, ""en"", ""te""),"""")"),"")</f>
        <v/>
      </c>
      <c r="C1683" s="2"/>
      <c r="D1683" s="2" t="str">
        <f>IFERROR(__xludf.DUMMYFUNCTION("IF(C1683&lt;&gt;"""", GOOGLETRANSLATE(C1683, ""en"", ""te""),"""")"),"")</f>
        <v/>
      </c>
      <c r="E1683" s="2"/>
      <c r="F1683" s="2" t="str">
        <f>IFERROR(__xludf.DUMMYFUNCTION("IF(E1683&lt;&gt;"""", GOOGLETRANSLATE(E1683, ""en"", ""te""),"""")"),"")</f>
        <v/>
      </c>
      <c r="G1683" s="2"/>
      <c r="H1683" s="2" t="str">
        <f>IFERROR(__xludf.DUMMYFUNCTION("IF(G1683&lt;&gt;"""", GOOGLETRANSLATE(G1683, ""en"", ""te""),"""")"),"")</f>
        <v/>
      </c>
      <c r="I1683" s="3"/>
    </row>
    <row r="1684" customHeight="1" spans="1:9">
      <c r="A1684" s="2"/>
      <c r="B1684" s="2" t="str">
        <f>IFERROR(__xludf.DUMMYFUNCTION("IF(A1684&lt;&gt;"""", GOOGLETRANSLATE(A1684, ""en"", ""te""),"""")"),"")</f>
        <v/>
      </c>
      <c r="C1684" s="2"/>
      <c r="D1684" s="2" t="str">
        <f>IFERROR(__xludf.DUMMYFUNCTION("IF(C1684&lt;&gt;"""", GOOGLETRANSLATE(C1684, ""en"", ""te""),"""")"),"")</f>
        <v/>
      </c>
      <c r="E1684" s="2"/>
      <c r="F1684" s="2" t="str">
        <f>IFERROR(__xludf.DUMMYFUNCTION("IF(E1684&lt;&gt;"""", GOOGLETRANSLATE(E1684, ""en"", ""te""),"""")"),"")</f>
        <v/>
      </c>
      <c r="G1684" s="2"/>
      <c r="H1684" s="2" t="str">
        <f>IFERROR(__xludf.DUMMYFUNCTION("IF(G1684&lt;&gt;"""", GOOGLETRANSLATE(G1684, ""en"", ""te""),"""")"),"")</f>
        <v/>
      </c>
      <c r="I1684" s="3"/>
    </row>
    <row r="1685" customHeight="1" spans="1:9">
      <c r="A1685" s="2"/>
      <c r="B1685" s="2" t="str">
        <f>IFERROR(__xludf.DUMMYFUNCTION("IF(A1685&lt;&gt;"""", GOOGLETRANSLATE(A1685, ""en"", ""te""),"""")"),"")</f>
        <v/>
      </c>
      <c r="C1685" s="2"/>
      <c r="D1685" s="2" t="str">
        <f>IFERROR(__xludf.DUMMYFUNCTION("IF(C1685&lt;&gt;"""", GOOGLETRANSLATE(C1685, ""en"", ""te""),"""")"),"")</f>
        <v/>
      </c>
      <c r="E1685" s="2"/>
      <c r="F1685" s="2" t="str">
        <f>IFERROR(__xludf.DUMMYFUNCTION("IF(E1685&lt;&gt;"""", GOOGLETRANSLATE(E1685, ""en"", ""te""),"""")"),"")</f>
        <v/>
      </c>
      <c r="G1685" s="2"/>
      <c r="H1685" s="2" t="str">
        <f>IFERROR(__xludf.DUMMYFUNCTION("IF(G1685&lt;&gt;"""", GOOGLETRANSLATE(G1685, ""en"", ""te""),"""")"),"")</f>
        <v/>
      </c>
      <c r="I1685" s="3"/>
    </row>
    <row r="1686" customHeight="1" spans="1:9">
      <c r="A1686" s="2"/>
      <c r="B1686" s="2" t="str">
        <f>IFERROR(__xludf.DUMMYFUNCTION("IF(A1686&lt;&gt;"""", GOOGLETRANSLATE(A1686, ""en"", ""te""),"""")"),"")</f>
        <v/>
      </c>
      <c r="C1686" s="2"/>
      <c r="D1686" s="2" t="str">
        <f>IFERROR(__xludf.DUMMYFUNCTION("IF(C1686&lt;&gt;"""", GOOGLETRANSLATE(C1686, ""en"", ""te""),"""")"),"")</f>
        <v/>
      </c>
      <c r="E1686" s="2"/>
      <c r="F1686" s="2" t="str">
        <f>IFERROR(__xludf.DUMMYFUNCTION("IF(E1686&lt;&gt;"""", GOOGLETRANSLATE(E1686, ""en"", ""te""),"""")"),"")</f>
        <v/>
      </c>
      <c r="G1686" s="2"/>
      <c r="H1686" s="2" t="str">
        <f>IFERROR(__xludf.DUMMYFUNCTION("IF(G1686&lt;&gt;"""", GOOGLETRANSLATE(G1686, ""en"", ""te""),"""")"),"")</f>
        <v/>
      </c>
      <c r="I1686" s="3"/>
    </row>
    <row r="1687" customHeight="1" spans="1:9">
      <c r="A1687" s="2"/>
      <c r="B1687" s="2" t="str">
        <f>IFERROR(__xludf.DUMMYFUNCTION("IF(A1687&lt;&gt;"""", GOOGLETRANSLATE(A1687, ""en"", ""te""),"""")"),"")</f>
        <v/>
      </c>
      <c r="C1687" s="2"/>
      <c r="D1687" s="2" t="str">
        <f>IFERROR(__xludf.DUMMYFUNCTION("IF(C1687&lt;&gt;"""", GOOGLETRANSLATE(C1687, ""en"", ""te""),"""")"),"")</f>
        <v/>
      </c>
      <c r="E1687" s="2"/>
      <c r="F1687" s="2" t="str">
        <f>IFERROR(__xludf.DUMMYFUNCTION("IF(E1687&lt;&gt;"""", GOOGLETRANSLATE(E1687, ""en"", ""te""),"""")"),"")</f>
        <v/>
      </c>
      <c r="G1687" s="2"/>
      <c r="H1687" s="2" t="str">
        <f>IFERROR(__xludf.DUMMYFUNCTION("IF(G1687&lt;&gt;"""", GOOGLETRANSLATE(G1687, ""en"", ""te""),"""")"),"")</f>
        <v/>
      </c>
      <c r="I1687" s="3"/>
    </row>
    <row r="1688" customHeight="1" spans="1:9">
      <c r="A1688" s="2"/>
      <c r="B1688" s="2" t="str">
        <f>IFERROR(__xludf.DUMMYFUNCTION("IF(A1688&lt;&gt;"""", GOOGLETRANSLATE(A1688, ""en"", ""te""),"""")"),"")</f>
        <v/>
      </c>
      <c r="C1688" s="2"/>
      <c r="D1688" s="2" t="str">
        <f>IFERROR(__xludf.DUMMYFUNCTION("IF(C1688&lt;&gt;"""", GOOGLETRANSLATE(C1688, ""en"", ""te""),"""")"),"")</f>
        <v/>
      </c>
      <c r="E1688" s="2"/>
      <c r="F1688" s="2" t="str">
        <f>IFERROR(__xludf.DUMMYFUNCTION("IF(E1688&lt;&gt;"""", GOOGLETRANSLATE(E1688, ""en"", ""te""),"""")"),"")</f>
        <v/>
      </c>
      <c r="G1688" s="2"/>
      <c r="H1688" s="2" t="str">
        <f>IFERROR(__xludf.DUMMYFUNCTION("IF(G1688&lt;&gt;"""", GOOGLETRANSLATE(G1688, ""en"", ""te""),"""")"),"")</f>
        <v/>
      </c>
      <c r="I1688" s="3"/>
    </row>
    <row r="1689" customHeight="1" spans="1:9">
      <c r="A1689" s="2"/>
      <c r="B1689" s="2" t="str">
        <f>IFERROR(__xludf.DUMMYFUNCTION("IF(A1689&lt;&gt;"""", GOOGLETRANSLATE(A1689, ""en"", ""te""),"""")"),"")</f>
        <v/>
      </c>
      <c r="C1689" s="2"/>
      <c r="D1689" s="2" t="str">
        <f>IFERROR(__xludf.DUMMYFUNCTION("IF(C1689&lt;&gt;"""", GOOGLETRANSLATE(C1689, ""en"", ""te""),"""")"),"")</f>
        <v/>
      </c>
      <c r="E1689" s="2"/>
      <c r="F1689" s="2" t="str">
        <f>IFERROR(__xludf.DUMMYFUNCTION("IF(E1689&lt;&gt;"""", GOOGLETRANSLATE(E1689, ""en"", ""te""),"""")"),"")</f>
        <v/>
      </c>
      <c r="G1689" s="2"/>
      <c r="H1689" s="2" t="str">
        <f>IFERROR(__xludf.DUMMYFUNCTION("IF(G1689&lt;&gt;"""", GOOGLETRANSLATE(G1689, ""en"", ""te""),"""")"),"")</f>
        <v/>
      </c>
      <c r="I1689" s="3"/>
    </row>
    <row r="1690" customHeight="1" spans="1:9">
      <c r="A1690" s="2"/>
      <c r="B1690" s="2" t="str">
        <f>IFERROR(__xludf.DUMMYFUNCTION("IF(A1690&lt;&gt;"""", GOOGLETRANSLATE(A1690, ""en"", ""te""),"""")"),"")</f>
        <v/>
      </c>
      <c r="C1690" s="2"/>
      <c r="D1690" s="2" t="str">
        <f>IFERROR(__xludf.DUMMYFUNCTION("IF(C1690&lt;&gt;"""", GOOGLETRANSLATE(C1690, ""en"", ""te""),"""")"),"")</f>
        <v/>
      </c>
      <c r="E1690" s="2"/>
      <c r="F1690" s="2" t="str">
        <f>IFERROR(__xludf.DUMMYFUNCTION("IF(E1690&lt;&gt;"""", GOOGLETRANSLATE(E1690, ""en"", ""te""),"""")"),"")</f>
        <v/>
      </c>
      <c r="G1690" s="2"/>
      <c r="H1690" s="2" t="str">
        <f>IFERROR(__xludf.DUMMYFUNCTION("IF(G1690&lt;&gt;"""", GOOGLETRANSLATE(G1690, ""en"", ""te""),"""")"),"")</f>
        <v/>
      </c>
      <c r="I1690" s="3"/>
    </row>
    <row r="1691" customHeight="1" spans="1:9">
      <c r="A1691" s="2"/>
      <c r="B1691" s="2" t="str">
        <f>IFERROR(__xludf.DUMMYFUNCTION("IF(A1691&lt;&gt;"""", GOOGLETRANSLATE(A1691, ""en"", ""te""),"""")"),"")</f>
        <v/>
      </c>
      <c r="C1691" s="2"/>
      <c r="D1691" s="2" t="str">
        <f>IFERROR(__xludf.DUMMYFUNCTION("IF(C1691&lt;&gt;"""", GOOGLETRANSLATE(C1691, ""en"", ""te""),"""")"),"")</f>
        <v/>
      </c>
      <c r="E1691" s="2"/>
      <c r="F1691" s="2" t="str">
        <f>IFERROR(__xludf.DUMMYFUNCTION("IF(E1691&lt;&gt;"""", GOOGLETRANSLATE(E1691, ""en"", ""te""),"""")"),"")</f>
        <v/>
      </c>
      <c r="G1691" s="2"/>
      <c r="H1691" s="2" t="str">
        <f>IFERROR(__xludf.DUMMYFUNCTION("IF(G1691&lt;&gt;"""", GOOGLETRANSLATE(G1691, ""en"", ""te""),"""")"),"")</f>
        <v/>
      </c>
      <c r="I1691" s="3"/>
    </row>
    <row r="1692" customHeight="1" spans="1:9">
      <c r="A1692" s="2"/>
      <c r="B1692" s="2" t="str">
        <f>IFERROR(__xludf.DUMMYFUNCTION("IF(A1692&lt;&gt;"""", GOOGLETRANSLATE(A1692, ""en"", ""te""),"""")"),"")</f>
        <v/>
      </c>
      <c r="C1692" s="2"/>
      <c r="D1692" s="2" t="str">
        <f>IFERROR(__xludf.DUMMYFUNCTION("IF(C1692&lt;&gt;"""", GOOGLETRANSLATE(C1692, ""en"", ""te""),"""")"),"")</f>
        <v/>
      </c>
      <c r="E1692" s="2"/>
      <c r="F1692" s="2" t="str">
        <f>IFERROR(__xludf.DUMMYFUNCTION("IF(E1692&lt;&gt;"""", GOOGLETRANSLATE(E1692, ""en"", ""te""),"""")"),"")</f>
        <v/>
      </c>
      <c r="G1692" s="2"/>
      <c r="H1692" s="2" t="str">
        <f>IFERROR(__xludf.DUMMYFUNCTION("IF(G1692&lt;&gt;"""", GOOGLETRANSLATE(G1692, ""en"", ""te""),"""")"),"")</f>
        <v/>
      </c>
      <c r="I1692" s="3"/>
    </row>
    <row r="1693" customHeight="1" spans="1:9">
      <c r="A1693" s="2"/>
      <c r="B1693" s="2" t="str">
        <f>IFERROR(__xludf.DUMMYFUNCTION("IF(A1693&lt;&gt;"""", GOOGLETRANSLATE(A1693, ""en"", ""te""),"""")"),"")</f>
        <v/>
      </c>
      <c r="C1693" s="2"/>
      <c r="D1693" s="2" t="str">
        <f>IFERROR(__xludf.DUMMYFUNCTION("IF(C1693&lt;&gt;"""", GOOGLETRANSLATE(C1693, ""en"", ""te""),"""")"),"")</f>
        <v/>
      </c>
      <c r="E1693" s="2"/>
      <c r="F1693" s="2" t="str">
        <f>IFERROR(__xludf.DUMMYFUNCTION("IF(E1693&lt;&gt;"""", GOOGLETRANSLATE(E1693, ""en"", ""te""),"""")"),"")</f>
        <v/>
      </c>
      <c r="G1693" s="2"/>
      <c r="H1693" s="2" t="str">
        <f>IFERROR(__xludf.DUMMYFUNCTION("IF(G1693&lt;&gt;"""", GOOGLETRANSLATE(G1693, ""en"", ""te""),"""")"),"")</f>
        <v/>
      </c>
      <c r="I1693" s="3"/>
    </row>
    <row r="1694" customHeight="1" spans="1:9">
      <c r="A1694" s="2"/>
      <c r="B1694" s="2" t="str">
        <f>IFERROR(__xludf.DUMMYFUNCTION("IF(A1694&lt;&gt;"""", GOOGLETRANSLATE(A1694, ""en"", ""te""),"""")"),"")</f>
        <v/>
      </c>
      <c r="C1694" s="2"/>
      <c r="D1694" s="2" t="str">
        <f>IFERROR(__xludf.DUMMYFUNCTION("IF(C1694&lt;&gt;"""", GOOGLETRANSLATE(C1694, ""en"", ""te""),"""")"),"")</f>
        <v/>
      </c>
      <c r="E1694" s="2"/>
      <c r="F1694" s="2" t="str">
        <f>IFERROR(__xludf.DUMMYFUNCTION("IF(E1694&lt;&gt;"""", GOOGLETRANSLATE(E1694, ""en"", ""te""),"""")"),"")</f>
        <v/>
      </c>
      <c r="G1694" s="2"/>
      <c r="H1694" s="2" t="str">
        <f>IFERROR(__xludf.DUMMYFUNCTION("IF(G1694&lt;&gt;"""", GOOGLETRANSLATE(G1694, ""en"", ""te""),"""")"),"")</f>
        <v/>
      </c>
      <c r="I1694" s="3"/>
    </row>
    <row r="1695" customHeight="1" spans="1:9">
      <c r="A1695" s="2"/>
      <c r="B1695" s="2" t="str">
        <f>IFERROR(__xludf.DUMMYFUNCTION("IF(A1695&lt;&gt;"""", GOOGLETRANSLATE(A1695, ""en"", ""te""),"""")"),"")</f>
        <v/>
      </c>
      <c r="C1695" s="2"/>
      <c r="D1695" s="2" t="str">
        <f>IFERROR(__xludf.DUMMYFUNCTION("IF(C1695&lt;&gt;"""", GOOGLETRANSLATE(C1695, ""en"", ""te""),"""")"),"")</f>
        <v/>
      </c>
      <c r="E1695" s="2"/>
      <c r="F1695" s="2" t="str">
        <f>IFERROR(__xludf.DUMMYFUNCTION("IF(E1695&lt;&gt;"""", GOOGLETRANSLATE(E1695, ""en"", ""te""),"""")"),"")</f>
        <v/>
      </c>
      <c r="G1695" s="2"/>
      <c r="H1695" s="2" t="str">
        <f>IFERROR(__xludf.DUMMYFUNCTION("IF(G1695&lt;&gt;"""", GOOGLETRANSLATE(G1695, ""en"", ""te""),"""")"),"")</f>
        <v/>
      </c>
      <c r="I1695" s="3"/>
    </row>
    <row r="1696" customHeight="1" spans="1:9">
      <c r="A1696" s="2"/>
      <c r="B1696" s="2" t="str">
        <f>IFERROR(__xludf.DUMMYFUNCTION("IF(A1696&lt;&gt;"""", GOOGLETRANSLATE(A1696, ""en"", ""te""),"""")"),"")</f>
        <v/>
      </c>
      <c r="C1696" s="2"/>
      <c r="D1696" s="2" t="str">
        <f>IFERROR(__xludf.DUMMYFUNCTION("IF(C1696&lt;&gt;"""", GOOGLETRANSLATE(C1696, ""en"", ""te""),"""")"),"")</f>
        <v/>
      </c>
      <c r="E1696" s="2"/>
      <c r="F1696" s="2" t="str">
        <f>IFERROR(__xludf.DUMMYFUNCTION("IF(E1696&lt;&gt;"""", GOOGLETRANSLATE(E1696, ""en"", ""te""),"""")"),"")</f>
        <v/>
      </c>
      <c r="G1696" s="2"/>
      <c r="H1696" s="2" t="str">
        <f>IFERROR(__xludf.DUMMYFUNCTION("IF(G1696&lt;&gt;"""", GOOGLETRANSLATE(G1696, ""en"", ""te""),"""")"),"")</f>
        <v/>
      </c>
      <c r="I1696" s="3"/>
    </row>
    <row r="1697" customHeight="1" spans="1:9">
      <c r="A1697" s="2"/>
      <c r="B1697" s="2" t="str">
        <f>IFERROR(__xludf.DUMMYFUNCTION("IF(A1697&lt;&gt;"""", GOOGLETRANSLATE(A1697, ""en"", ""te""),"""")"),"")</f>
        <v/>
      </c>
      <c r="C1697" s="2"/>
      <c r="D1697" s="2" t="str">
        <f>IFERROR(__xludf.DUMMYFUNCTION("IF(C1697&lt;&gt;"""", GOOGLETRANSLATE(C1697, ""en"", ""te""),"""")"),"")</f>
        <v/>
      </c>
      <c r="E1697" s="2"/>
      <c r="F1697" s="2" t="str">
        <f>IFERROR(__xludf.DUMMYFUNCTION("IF(E1697&lt;&gt;"""", GOOGLETRANSLATE(E1697, ""en"", ""te""),"""")"),"")</f>
        <v/>
      </c>
      <c r="G1697" s="2"/>
      <c r="H1697" s="2" t="str">
        <f>IFERROR(__xludf.DUMMYFUNCTION("IF(G1697&lt;&gt;"""", GOOGLETRANSLATE(G1697, ""en"", ""te""),"""")"),"")</f>
        <v/>
      </c>
      <c r="I1697" s="3"/>
    </row>
    <row r="1698" customHeight="1" spans="1:9">
      <c r="A1698" s="2"/>
      <c r="B1698" s="2" t="str">
        <f>IFERROR(__xludf.DUMMYFUNCTION("IF(A1698&lt;&gt;"""", GOOGLETRANSLATE(A1698, ""en"", ""te""),"""")"),"")</f>
        <v/>
      </c>
      <c r="C1698" s="2"/>
      <c r="D1698" s="2" t="str">
        <f>IFERROR(__xludf.DUMMYFUNCTION("IF(C1698&lt;&gt;"""", GOOGLETRANSLATE(C1698, ""en"", ""te""),"""")"),"")</f>
        <v/>
      </c>
      <c r="E1698" s="2"/>
      <c r="F1698" s="2" t="str">
        <f>IFERROR(__xludf.DUMMYFUNCTION("IF(E1698&lt;&gt;"""", GOOGLETRANSLATE(E1698, ""en"", ""te""),"""")"),"")</f>
        <v/>
      </c>
      <c r="G1698" s="2"/>
      <c r="H1698" s="2" t="str">
        <f>IFERROR(__xludf.DUMMYFUNCTION("IF(G1698&lt;&gt;"""", GOOGLETRANSLATE(G1698, ""en"", ""te""),"""")"),"")</f>
        <v/>
      </c>
      <c r="I1698" s="3"/>
    </row>
    <row r="1699" customHeight="1" spans="1:9">
      <c r="A1699" s="2"/>
      <c r="B1699" s="2" t="str">
        <f>IFERROR(__xludf.DUMMYFUNCTION("IF(A1699&lt;&gt;"""", GOOGLETRANSLATE(A1699, ""en"", ""te""),"""")"),"")</f>
        <v/>
      </c>
      <c r="C1699" s="2"/>
      <c r="D1699" s="2" t="str">
        <f>IFERROR(__xludf.DUMMYFUNCTION("IF(C1699&lt;&gt;"""", GOOGLETRANSLATE(C1699, ""en"", ""te""),"""")"),"")</f>
        <v/>
      </c>
      <c r="E1699" s="2"/>
      <c r="F1699" s="2" t="str">
        <f>IFERROR(__xludf.DUMMYFUNCTION("IF(E1699&lt;&gt;"""", GOOGLETRANSLATE(E1699, ""en"", ""te""),"""")"),"")</f>
        <v/>
      </c>
      <c r="G1699" s="2"/>
      <c r="H1699" s="2" t="str">
        <f>IFERROR(__xludf.DUMMYFUNCTION("IF(G1699&lt;&gt;"""", GOOGLETRANSLATE(G1699, ""en"", ""te""),"""")"),"")</f>
        <v/>
      </c>
      <c r="I1699" s="3"/>
    </row>
    <row r="1700" customHeight="1" spans="1:9">
      <c r="A1700" s="2"/>
      <c r="B1700" s="2" t="str">
        <f>IFERROR(__xludf.DUMMYFUNCTION("IF(A1700&lt;&gt;"""", GOOGLETRANSLATE(A1700, ""en"", ""te""),"""")"),"")</f>
        <v/>
      </c>
      <c r="C1700" s="2"/>
      <c r="D1700" s="2" t="str">
        <f>IFERROR(__xludf.DUMMYFUNCTION("IF(C1700&lt;&gt;"""", GOOGLETRANSLATE(C1700, ""en"", ""te""),"""")"),"")</f>
        <v/>
      </c>
      <c r="E1700" s="2"/>
      <c r="F1700" s="2" t="str">
        <f>IFERROR(__xludf.DUMMYFUNCTION("IF(E1700&lt;&gt;"""", GOOGLETRANSLATE(E1700, ""en"", ""te""),"""")"),"")</f>
        <v/>
      </c>
      <c r="G1700" s="2"/>
      <c r="H1700" s="2" t="str">
        <f>IFERROR(__xludf.DUMMYFUNCTION("IF(G1700&lt;&gt;"""", GOOGLETRANSLATE(G1700, ""en"", ""te""),"""")"),"")</f>
        <v/>
      </c>
      <c r="I1700" s="3"/>
    </row>
    <row r="1701" customHeight="1" spans="1:9">
      <c r="A1701" s="2"/>
      <c r="B1701" s="2" t="str">
        <f>IFERROR(__xludf.DUMMYFUNCTION("IF(A1701&lt;&gt;"""", GOOGLETRANSLATE(A1701, ""en"", ""te""),"""")"),"")</f>
        <v/>
      </c>
      <c r="C1701" s="2"/>
      <c r="D1701" s="2" t="str">
        <f>IFERROR(__xludf.DUMMYFUNCTION("IF(C1701&lt;&gt;"""", GOOGLETRANSLATE(C1701, ""en"", ""te""),"""")"),"")</f>
        <v/>
      </c>
      <c r="E1701" s="2"/>
      <c r="F1701" s="2" t="str">
        <f>IFERROR(__xludf.DUMMYFUNCTION("IF(E1701&lt;&gt;"""", GOOGLETRANSLATE(E1701, ""en"", ""te""),"""")"),"")</f>
        <v/>
      </c>
      <c r="G1701" s="2"/>
      <c r="H1701" s="2" t="str">
        <f>IFERROR(__xludf.DUMMYFUNCTION("IF(G1701&lt;&gt;"""", GOOGLETRANSLATE(G1701, ""en"", ""te""),"""")"),"")</f>
        <v/>
      </c>
      <c r="I1701" s="3"/>
    </row>
    <row r="1702" customHeight="1" spans="1:9">
      <c r="A1702" s="2"/>
      <c r="B1702" s="2" t="str">
        <f>IFERROR(__xludf.DUMMYFUNCTION("IF(A1702&lt;&gt;"""", GOOGLETRANSLATE(A1702, ""en"", ""te""),"""")"),"")</f>
        <v/>
      </c>
      <c r="C1702" s="2"/>
      <c r="D1702" s="2" t="str">
        <f>IFERROR(__xludf.DUMMYFUNCTION("IF(C1702&lt;&gt;"""", GOOGLETRANSLATE(C1702, ""en"", ""te""),"""")"),"")</f>
        <v/>
      </c>
      <c r="E1702" s="2"/>
      <c r="F1702" s="2" t="str">
        <f>IFERROR(__xludf.DUMMYFUNCTION("IF(E1702&lt;&gt;"""", GOOGLETRANSLATE(E1702, ""en"", ""te""),"""")"),"")</f>
        <v/>
      </c>
      <c r="G1702" s="2"/>
      <c r="H1702" s="2" t="str">
        <f>IFERROR(__xludf.DUMMYFUNCTION("IF(G1702&lt;&gt;"""", GOOGLETRANSLATE(G1702, ""en"", ""te""),"""")"),"")</f>
        <v/>
      </c>
      <c r="I1702" s="3"/>
    </row>
    <row r="1703" customHeight="1" spans="1:9">
      <c r="A1703" s="2"/>
      <c r="B1703" s="2" t="str">
        <f>IFERROR(__xludf.DUMMYFUNCTION("IF(A1703&lt;&gt;"""", GOOGLETRANSLATE(A1703, ""en"", ""te""),"""")"),"")</f>
        <v/>
      </c>
      <c r="C1703" s="2"/>
      <c r="D1703" s="2" t="str">
        <f>IFERROR(__xludf.DUMMYFUNCTION("IF(C1703&lt;&gt;"""", GOOGLETRANSLATE(C1703, ""en"", ""te""),"""")"),"")</f>
        <v/>
      </c>
      <c r="E1703" s="2"/>
      <c r="F1703" s="2" t="str">
        <f>IFERROR(__xludf.DUMMYFUNCTION("IF(E1703&lt;&gt;"""", GOOGLETRANSLATE(E1703, ""en"", ""te""),"""")"),"")</f>
        <v/>
      </c>
      <c r="G1703" s="2"/>
      <c r="H1703" s="2" t="str">
        <f>IFERROR(__xludf.DUMMYFUNCTION("IF(G1703&lt;&gt;"""", GOOGLETRANSLATE(G1703, ""en"", ""te""),"""")"),"")</f>
        <v/>
      </c>
      <c r="I1703" s="3"/>
    </row>
    <row r="1704" customHeight="1" spans="1:9">
      <c r="A1704" s="2"/>
      <c r="B1704" s="2" t="str">
        <f>IFERROR(__xludf.DUMMYFUNCTION("IF(A1704&lt;&gt;"""", GOOGLETRANSLATE(A1704, ""en"", ""te""),"""")"),"")</f>
        <v/>
      </c>
      <c r="C1704" s="2"/>
      <c r="D1704" s="2" t="str">
        <f>IFERROR(__xludf.DUMMYFUNCTION("IF(C1704&lt;&gt;"""", GOOGLETRANSLATE(C1704, ""en"", ""te""),"""")"),"")</f>
        <v/>
      </c>
      <c r="E1704" s="2"/>
      <c r="F1704" s="2" t="str">
        <f>IFERROR(__xludf.DUMMYFUNCTION("IF(E1704&lt;&gt;"""", GOOGLETRANSLATE(E1704, ""en"", ""te""),"""")"),"")</f>
        <v/>
      </c>
      <c r="G1704" s="2"/>
      <c r="H1704" s="2" t="str">
        <f>IFERROR(__xludf.DUMMYFUNCTION("IF(G1704&lt;&gt;"""", GOOGLETRANSLATE(G1704, ""en"", ""te""),"""")"),"")</f>
        <v/>
      </c>
      <c r="I1704" s="3"/>
    </row>
    <row r="1705" customHeight="1" spans="1:9">
      <c r="A1705" s="2"/>
      <c r="B1705" s="2" t="str">
        <f>IFERROR(__xludf.DUMMYFUNCTION("IF(A1705&lt;&gt;"""", GOOGLETRANSLATE(A1705, ""en"", ""te""),"""")"),"")</f>
        <v/>
      </c>
      <c r="C1705" s="2"/>
      <c r="D1705" s="2" t="str">
        <f>IFERROR(__xludf.DUMMYFUNCTION("IF(C1705&lt;&gt;"""", GOOGLETRANSLATE(C1705, ""en"", ""te""),"""")"),"")</f>
        <v/>
      </c>
      <c r="E1705" s="2"/>
      <c r="F1705" s="2" t="str">
        <f>IFERROR(__xludf.DUMMYFUNCTION("IF(E1705&lt;&gt;"""", GOOGLETRANSLATE(E1705, ""en"", ""te""),"""")"),"")</f>
        <v/>
      </c>
      <c r="G1705" s="2"/>
      <c r="H1705" s="2" t="str">
        <f>IFERROR(__xludf.DUMMYFUNCTION("IF(G1705&lt;&gt;"""", GOOGLETRANSLATE(G1705, ""en"", ""te""),"""")"),"")</f>
        <v/>
      </c>
      <c r="I1705" s="3"/>
    </row>
    <row r="1706" customHeight="1" spans="1:9">
      <c r="A1706" s="2"/>
      <c r="B1706" s="2" t="str">
        <f>IFERROR(__xludf.DUMMYFUNCTION("IF(A1706&lt;&gt;"""", GOOGLETRANSLATE(A1706, ""en"", ""te""),"""")"),"")</f>
        <v/>
      </c>
      <c r="C1706" s="2"/>
      <c r="D1706" s="2" t="str">
        <f>IFERROR(__xludf.DUMMYFUNCTION("IF(C1706&lt;&gt;"""", GOOGLETRANSLATE(C1706, ""en"", ""te""),"""")"),"")</f>
        <v/>
      </c>
      <c r="E1706" s="2"/>
      <c r="F1706" s="2" t="str">
        <f>IFERROR(__xludf.DUMMYFUNCTION("IF(E1706&lt;&gt;"""", GOOGLETRANSLATE(E1706, ""en"", ""te""),"""")"),"")</f>
        <v/>
      </c>
      <c r="G1706" s="2"/>
      <c r="H1706" s="2" t="str">
        <f>IFERROR(__xludf.DUMMYFUNCTION("IF(G1706&lt;&gt;"""", GOOGLETRANSLATE(G1706, ""en"", ""te""),"""")"),"")</f>
        <v/>
      </c>
      <c r="I1706" s="3"/>
    </row>
    <row r="1707" customHeight="1" spans="1:9">
      <c r="A1707" s="2"/>
      <c r="B1707" s="2" t="str">
        <f>IFERROR(__xludf.DUMMYFUNCTION("IF(A1707&lt;&gt;"""", GOOGLETRANSLATE(A1707, ""en"", ""te""),"""")"),"")</f>
        <v/>
      </c>
      <c r="C1707" s="2"/>
      <c r="D1707" s="2" t="str">
        <f>IFERROR(__xludf.DUMMYFUNCTION("IF(C1707&lt;&gt;"""", GOOGLETRANSLATE(C1707, ""en"", ""te""),"""")"),"")</f>
        <v/>
      </c>
      <c r="E1707" s="2"/>
      <c r="F1707" s="2" t="str">
        <f>IFERROR(__xludf.DUMMYFUNCTION("IF(E1707&lt;&gt;"""", GOOGLETRANSLATE(E1707, ""en"", ""te""),"""")"),"")</f>
        <v/>
      </c>
      <c r="G1707" s="2"/>
      <c r="H1707" s="2" t="str">
        <f>IFERROR(__xludf.DUMMYFUNCTION("IF(G1707&lt;&gt;"""", GOOGLETRANSLATE(G1707, ""en"", ""te""),"""")"),"")</f>
        <v/>
      </c>
      <c r="I1707" s="3"/>
    </row>
    <row r="1708" customHeight="1" spans="1:9">
      <c r="A1708" s="2"/>
      <c r="B1708" s="2" t="str">
        <f>IFERROR(__xludf.DUMMYFUNCTION("IF(A1708&lt;&gt;"""", GOOGLETRANSLATE(A1708, ""en"", ""te""),"""")"),"")</f>
        <v/>
      </c>
      <c r="C1708" s="2"/>
      <c r="D1708" s="2" t="str">
        <f>IFERROR(__xludf.DUMMYFUNCTION("IF(C1708&lt;&gt;"""", GOOGLETRANSLATE(C1708, ""en"", ""te""),"""")"),"")</f>
        <v/>
      </c>
      <c r="E1708" s="2"/>
      <c r="F1708" s="2" t="str">
        <f>IFERROR(__xludf.DUMMYFUNCTION("IF(E1708&lt;&gt;"""", GOOGLETRANSLATE(E1708, ""en"", ""te""),"""")"),"")</f>
        <v/>
      </c>
      <c r="G1708" s="2"/>
      <c r="H1708" s="2" t="str">
        <f>IFERROR(__xludf.DUMMYFUNCTION("IF(G1708&lt;&gt;"""", GOOGLETRANSLATE(G1708, ""en"", ""te""),"""")"),"")</f>
        <v/>
      </c>
      <c r="I1708" s="3"/>
    </row>
    <row r="1709" customHeight="1" spans="1:9">
      <c r="A1709" s="2" t="s">
        <v>399</v>
      </c>
      <c r="B1709" s="2" t="str">
        <f>IFERROR(__xludf.DUMMYFUNCTION("IF(A1709&lt;&gt;"""", GOOGLETRANSLATE(A1709, ""en"", ""te""),"""")"),"[ 'తొలి పెయిర్']")</f>
        <v>[ 'తొలి పెయిర్']</v>
      </c>
      <c r="C1709" s="2" t="s">
        <v>1021</v>
      </c>
      <c r="D1709" s="2" t="str">
        <f>IFERROR(__xludf.DUMMYFUNCTION("IF(C1709&lt;&gt;"""", GOOGLETRANSLATE(C1709, ""en"", ""te""),"""")"),"[ 'కెరీర్లో 2 వ అత్యంత జతల (1)', '18 వ చెత్త కెరీర్ బౌలింగ్ సరాసరి (అర్హత లేకుండా) (79.00)', 'ఇన్నింగ్స్ లో 17 చెత్త ఆర్థిక రేటు (4.38)']")</f>
        <v>[ 'కెరీర్లో 2 వ అత్యంత జతల (1)', '18 వ చెత్త కెరీర్ బౌలింగ్ సరాసరి (అర్హత లేకుండా) (79.00)', 'ఇన్నింగ్స్ లో 17 చెత్త ఆర్థిక రేటు (4.38)']</v>
      </c>
      <c r="E1709" s="2"/>
      <c r="F1709" s="2" t="str">
        <f>IFERROR(__xludf.DUMMYFUNCTION("IF(E1709&lt;&gt;"""", GOOGLETRANSLATE(E1709, ""en"", ""te""),"""")"),"")</f>
        <v/>
      </c>
      <c r="G1709" s="2"/>
      <c r="H1709" s="2" t="str">
        <f>IFERROR(__xludf.DUMMYFUNCTION("IF(G1709&lt;&gt;"""", GOOGLETRANSLATE(G1709, ""en"", ""te""),"""")"),"")</f>
        <v/>
      </c>
      <c r="I1709" s="3"/>
    </row>
    <row r="1710" customHeight="1" spans="1:9">
      <c r="A1710" s="2"/>
      <c r="B1710" s="2" t="str">
        <f>IFERROR(__xludf.DUMMYFUNCTION("IF(A1710&lt;&gt;"""", GOOGLETRANSLATE(A1710, ""en"", ""te""),"""")"),"")</f>
        <v/>
      </c>
      <c r="C1710" s="2"/>
      <c r="D1710" s="2" t="str">
        <f>IFERROR(__xludf.DUMMYFUNCTION("IF(C1710&lt;&gt;"""", GOOGLETRANSLATE(C1710, ""en"", ""te""),"""")"),"")</f>
        <v/>
      </c>
      <c r="E1710" s="2"/>
      <c r="F1710" s="2" t="str">
        <f>IFERROR(__xludf.DUMMYFUNCTION("IF(E1710&lt;&gt;"""", GOOGLETRANSLATE(E1710, ""en"", ""te""),"""")"),"")</f>
        <v/>
      </c>
      <c r="G1710" s="2"/>
      <c r="H1710" s="2" t="str">
        <f>IFERROR(__xludf.DUMMYFUNCTION("IF(G1710&lt;&gt;"""", GOOGLETRANSLATE(G1710, ""en"", ""te""),"""")"),"")</f>
        <v/>
      </c>
      <c r="I1710" s="3"/>
    </row>
    <row r="1711" customHeight="1" spans="1:9">
      <c r="A1711" s="2"/>
      <c r="B1711" s="2" t="str">
        <f>IFERROR(__xludf.DUMMYFUNCTION("IF(A1711&lt;&gt;"""", GOOGLETRANSLATE(A1711, ""en"", ""te""),"""")"),"")</f>
        <v/>
      </c>
      <c r="C1711" s="2"/>
      <c r="D1711" s="2" t="str">
        <f>IFERROR(__xludf.DUMMYFUNCTION("IF(C1711&lt;&gt;"""", GOOGLETRANSLATE(C1711, ""en"", ""te""),"""")"),"")</f>
        <v/>
      </c>
      <c r="E1711" s="2"/>
      <c r="F1711" s="2" t="str">
        <f>IFERROR(__xludf.DUMMYFUNCTION("IF(E1711&lt;&gt;"""", GOOGLETRANSLATE(E1711, ""en"", ""te""),"""")"),"")</f>
        <v/>
      </c>
      <c r="G1711" s="2"/>
      <c r="H1711" s="2" t="str">
        <f>IFERROR(__xludf.DUMMYFUNCTION("IF(G1711&lt;&gt;"""", GOOGLETRANSLATE(G1711, ""en"", ""te""),"""")"),"")</f>
        <v/>
      </c>
      <c r="I1711" s="3"/>
    </row>
    <row r="1712" customHeight="1" spans="1:9">
      <c r="A1712" s="2"/>
      <c r="B1712" s="2" t="str">
        <f>IFERROR(__xludf.DUMMYFUNCTION("IF(A1712&lt;&gt;"""", GOOGLETRANSLATE(A1712, ""en"", ""te""),"""")"),"")</f>
        <v/>
      </c>
      <c r="C1712" s="2" t="s">
        <v>655</v>
      </c>
      <c r="D1712" s="2" t="str">
        <f>IFERROR(__xludf.DUMMYFUNCTION("IF(C1712&lt;&gt;"""", GOOGLETRANSLATE(C1712, ""en"", ""te""),"""")"),"[ '33 వ ప్రవేశం (8) ఒక మ్యాచ్లో బెస్ట్ ఫిగర్స్']")</f>
        <v>[ '33 వ ప్రవేశం (8) ఒక మ్యాచ్లో బెస్ట్ ఫిగర్స్']</v>
      </c>
      <c r="E1712" s="2"/>
      <c r="F1712" s="2" t="str">
        <f>IFERROR(__xludf.DUMMYFUNCTION("IF(E1712&lt;&gt;"""", GOOGLETRANSLATE(E1712, ""en"", ""te""),"""")"),"")</f>
        <v/>
      </c>
      <c r="G1712" s="2"/>
      <c r="H1712" s="2" t="str">
        <f>IFERROR(__xludf.DUMMYFUNCTION("IF(G1712&lt;&gt;"""", GOOGLETRANSLATE(G1712, ""en"", ""te""),"""")"),"")</f>
        <v/>
      </c>
      <c r="I1712" s="3"/>
    </row>
    <row r="1713" customHeight="1" spans="1:9">
      <c r="A1713" s="2"/>
      <c r="B1713" s="2" t="str">
        <f>IFERROR(__xludf.DUMMYFUNCTION("IF(A1713&lt;&gt;"""", GOOGLETRANSLATE(A1713, ""en"", ""te""),"""")"),"")</f>
        <v/>
      </c>
      <c r="C1713" s="2"/>
      <c r="D1713" s="2" t="str">
        <f>IFERROR(__xludf.DUMMYFUNCTION("IF(C1713&lt;&gt;"""", GOOGLETRANSLATE(C1713, ""en"", ""te""),"""")"),"")</f>
        <v/>
      </c>
      <c r="E1713" s="2"/>
      <c r="F1713" s="2" t="str">
        <f>IFERROR(__xludf.DUMMYFUNCTION("IF(E1713&lt;&gt;"""", GOOGLETRANSLATE(E1713, ""en"", ""te""),"""")"),"")</f>
        <v/>
      </c>
      <c r="G1713" s="2"/>
      <c r="H1713" s="2" t="str">
        <f>IFERROR(__xludf.DUMMYFUNCTION("IF(G1713&lt;&gt;"""", GOOGLETRANSLATE(G1713, ""en"", ""te""),"""")"),"")</f>
        <v/>
      </c>
      <c r="I1713" s="3"/>
    </row>
    <row r="1714" customHeight="1" spans="1:9">
      <c r="A1714" s="2" t="s">
        <v>1022</v>
      </c>
      <c r="B1714" s="2" t="str">
        <f>IFERROR(__xludf.DUMMYFUNCTION("IF(A1714&lt;&gt;"""", GOOGLETRANSLATE(A1714, ""en"", ""te""),"""")"),"[ '99 పరుగుల 1st (మరియు 199, 299 etc) (99)', 'హండ్రెడ్ మరియు ఒక మ్యాచ్లో ఒక డక్', 'బ్యాటింగ్ తెరవడం మరియు అదే మ్యాచ్ లో బౌలింగ్']")</f>
        <v>[ '99 పరుగుల 1st (మరియు 199, 299 etc) (99)', 'హండ్రెడ్ మరియు ఒక మ్యాచ్లో ఒక డక్', 'బ్యాటింగ్ తెరవడం మరియు అదే మ్యాచ్ లో బౌలింగ్']</v>
      </c>
      <c r="C1714" s="2" t="s">
        <v>1023</v>
      </c>
      <c r="D1714" s="2" t="str">
        <f>IFERROR(__xludf.DUMMYFUNCTION("IF(C1714&lt;&gt;"""", GOOGLETRANSLATE(C1714, ""en"", ""te""),"""")"),"[ '22 ఒక సిరీస్లో అత్యధిక పరుగులు (732)', '48 వ పరాజయం వైపు ఒక మ్యాచ్లో అత్యధిక పరుగులు (212)', '26 లో యాభైల్లో' 1st 99 (199, 299 etc) (99) అవుటయ్యాడు ' వరుస మ్యాచ్లు (7) ',' 35 వ అత్యంత ఇన్నింగ్స్ తొలి డక్ ముందు (35) ',' 24th ఒక ఇన్నింగ్స్ లోని బెస్ట్ "&amp;"ఫిగర్స్ ఉన్నప్పుడు పరాజయం వైపు (7) ',' 48 వ ఉత్తమ కెరీర్ సమ్మె రేటు (51.5) ',' 35 వ ఓల్డెస్ట్ క్రీడాకారులు (42y 197d) ',' 32 వ లాంగెస్ట్ కెరీర్లు (18y 181d) ',' ప్రదర్శనల మధ్య 13 వ లాంగెస్ట్ వ్యవధిలో (11y 320d) ']")</f>
        <v>[ '22 ఒక సిరీస్లో అత్యధిక పరుగులు (732)', '48 వ పరాజయం వైపు ఒక మ్యాచ్లో అత్యధిక పరుగులు (212)', '26 లో యాభైల్లో' 1st 99 (199, 299 etc) (99) అవుటయ్యాడు ' వరుస మ్యాచ్లు (7) ',' 35 వ అత్యంత ఇన్నింగ్స్ తొలి డక్ ముందు (35) ',' 24th ఒక ఇన్నింగ్స్ లోని బెస్ట్ ఫిగర్స్ ఉన్నప్పుడు పరాజయం వైపు (7) ',' 48 వ ఉత్తమ కెరీర్ సమ్మె రేటు (51.5) ',' 35 వ ఓల్డెస్ట్ క్రీడాకారులు (42y 197d) ',' 32 వ లాంగెస్ట్ కెరీర్లు (18y 181d) ',' ప్రదర్శనల మధ్య 13 వ లాంగెస్ట్ వ్యవధిలో (11y 320d) ']</v>
      </c>
      <c r="E1714" s="2"/>
      <c r="F1714" s="2" t="str">
        <f>IFERROR(__xludf.DUMMYFUNCTION("IF(E1714&lt;&gt;"""", GOOGLETRANSLATE(E1714, ""en"", ""te""),"""")"),"")</f>
        <v/>
      </c>
      <c r="G1714" s="2"/>
      <c r="H1714" s="2" t="str">
        <f>IFERROR(__xludf.DUMMYFUNCTION("IF(G1714&lt;&gt;"""", GOOGLETRANSLATE(G1714, ""en"", ""te""),"""")"),"")</f>
        <v/>
      </c>
      <c r="I1714" s="3"/>
    </row>
    <row r="1715" customHeight="1" spans="1:9">
      <c r="A1715" s="2"/>
      <c r="B1715" s="2" t="str">
        <f>IFERROR(__xludf.DUMMYFUNCTION("IF(A1715&lt;&gt;"""", GOOGLETRANSLATE(A1715, ""en"", ""te""),"""")"),"")</f>
        <v/>
      </c>
      <c r="C1715" s="2"/>
      <c r="D1715" s="2" t="str">
        <f>IFERROR(__xludf.DUMMYFUNCTION("IF(C1715&lt;&gt;"""", GOOGLETRANSLATE(C1715, ""en"", ""te""),"""")"),"")</f>
        <v/>
      </c>
      <c r="E1715" s="2"/>
      <c r="F1715" s="2" t="str">
        <f>IFERROR(__xludf.DUMMYFUNCTION("IF(E1715&lt;&gt;"""", GOOGLETRANSLATE(E1715, ""en"", ""te""),"""")"),"")</f>
        <v/>
      </c>
      <c r="G1715" s="2"/>
      <c r="H1715" s="2" t="str">
        <f>IFERROR(__xludf.DUMMYFUNCTION("IF(G1715&lt;&gt;"""", GOOGLETRANSLATE(G1715, ""en"", ""te""),"""")"),"")</f>
        <v/>
      </c>
      <c r="I1715" s="3"/>
    </row>
    <row r="1716" customHeight="1" spans="1:9">
      <c r="A1716" s="2"/>
      <c r="B1716" s="2" t="str">
        <f>IFERROR(__xludf.DUMMYFUNCTION("IF(A1716&lt;&gt;"""", GOOGLETRANSLATE(A1716, ""en"", ""te""),"""")"),"")</f>
        <v/>
      </c>
      <c r="C1716" s="2"/>
      <c r="D1716" s="2" t="str">
        <f>IFERROR(__xludf.DUMMYFUNCTION("IF(C1716&lt;&gt;"""", GOOGLETRANSLATE(C1716, ""en"", ""te""),"""")"),"")</f>
        <v/>
      </c>
      <c r="E1716" s="2"/>
      <c r="F1716" s="2" t="str">
        <f>IFERROR(__xludf.DUMMYFUNCTION("IF(E1716&lt;&gt;"""", GOOGLETRANSLATE(E1716, ""en"", ""te""),"""")"),"")</f>
        <v/>
      </c>
      <c r="G1716" s="2"/>
      <c r="H1716" s="2" t="str">
        <f>IFERROR(__xludf.DUMMYFUNCTION("IF(G1716&lt;&gt;"""", GOOGLETRANSLATE(G1716, ""en"", ""te""),"""")"),"")</f>
        <v/>
      </c>
      <c r="I1716" s="3"/>
    </row>
    <row r="1717" customHeight="1" spans="1:9">
      <c r="A1717" s="2" t="s">
        <v>1024</v>
      </c>
      <c r="B1717" s="2" t="str">
        <f>IFERROR(__xludf.DUMMYFUNCTION("IF(A1717&lt;&gt;"""", GOOGLETRANSLATE(A1717, ""en"", ""te""),"""")"),"[ 'తొలి ఇన్నింగ్స్లో 6 వ ఉత్తమ బొమ్మలు (4)', 'ఆరవ వికెట్కు 9 వ అత్యధిక భాగస్వామ్యం (90)', '4 వ ఇన్నింగ్స్ లో అత్యధిక పరుగులు (ప్రగతిశీల రికార్డు హోల్డర్) (116 *)', '6 వ అత్యధిక భాగస్వామ్యం తొలి వికెట్కు (170) ']")</f>
        <v>[ 'తొలి ఇన్నింగ్స్లో 6 వ ఉత్తమ బొమ్మలు (4)', 'ఆరవ వికెట్కు 9 వ అత్యధిక భాగస్వామ్యం (90)', '4 వ ఇన్నింగ్స్ లో అత్యధిక పరుగులు (ప్రగతిశీల రికార్డు హోల్డర్) (116 *)', '6 వ అత్యధిక భాగస్వామ్యం తొలి వికెట్కు (170) ']</v>
      </c>
      <c r="C1717" s="2"/>
      <c r="D1717" s="2" t="str">
        <f>IFERROR(__xludf.DUMMYFUNCTION("IF(C1717&lt;&gt;"""", GOOGLETRANSLATE(C1717, ""en"", ""te""),"""")"),"")</f>
        <v/>
      </c>
      <c r="E1717" s="2" t="s">
        <v>1025</v>
      </c>
      <c r="F1717" s="2" t="str">
        <f>IFERROR(__xludf.DUMMYFUNCTION("IF(E1717&lt;&gt;"""", GOOGLETRANSLATE(E1717, ""en"", ""te""),"""")"),"[40 వ అత్యంత వంద (959) లేకుండా ఒక వృత్తిలో పరుగులు ',' ఒక ఇన్నింగ్స్లో పరుగుల 28 అత్యధిక శాతం (53.50) ',' 11 వ ఒక ఇన్నింగ్స్ లోని బెస్ట్ ఫిగర్స్ ఉన్నప్పుడు పరాజయం వైపు (4) ',' 6 వ అరంగేట్రంలోనే ఇన్నింగ్స్ లోని బెస్ట్ ఫిగర్స్ (4) ',' ఆరవ వికెట్కు 9 వ అత్య"&amp;"ధిక భాగస్వామ్యం (90) ']")</f>
        <v>[40 వ అత్యంత వంద (959) లేకుండా ఒక వృత్తిలో పరుగులు ',' ఒక ఇన్నింగ్స్లో పరుగుల 28 అత్యధిక శాతం (53.50) ',' 11 వ ఒక ఇన్నింగ్స్ లోని బెస్ట్ ఫిగర్స్ ఉన్నప్పుడు పరాజయం వైపు (4) ',' 6 వ అరంగేట్రంలోనే ఇన్నింగ్స్ లోని బెస్ట్ ఫిగర్స్ (4) ',' ఆరవ వికెట్కు 9 వ అత్యధిక భాగస్వామ్యం (90) ']</v>
      </c>
      <c r="G1717" s="2" t="s">
        <v>1026</v>
      </c>
      <c r="H1717" s="2" t="str">
        <f>IFERROR(__xludf.DUMMYFUNCTION("IF(G1717&lt;&gt;"""", GOOGLETRANSLATE(G1717, ""en"", ""te""),"""")"),"[ 'ఇన్నింగ్స్ లో 8 వ అత్యధిక పరుగులు (116 *)', '4 వ ఇన్నింగ్స్ లో అత్యధిక పరుగులు (ప్రగతిశీల రికార్డు హోల్డర్) (116 *)', '6 వ ఇన్నింగ్స్ లో అత్యధిక పరుగులు (116 *) (బ్యాటింగ్ స్థానం)', 'ఒక ఇన్నింగ్స్లో పరుగుల 35 వ అత్యధిక శాతం (56.58)', '46 వ చెత్త కెరీర్"&amp;" (అర్హత లేకుండా) సగటు బౌలింగ్ (60.00)', '8 వ అత్యధిక భాగస్వామ్యాలు' పరాజయం వైపు (58) ఒక మ్యాచ్లో 46 వ అత్యధిక పరుగులు ' ఏ వికెట్కు (170) ',' మొదటి వికెట్కు 6 వ అత్యధిక భాగస్వామ్యం (170) ',' రెండవ వికెట్కు 49 వ అత్యధిక భాగస్వామ్యం (84) ']")</f>
        <v>[ 'ఇన్నింగ్స్ లో 8 వ అత్యధిక పరుగులు (116 *)', '4 వ ఇన్నింగ్స్ లో అత్యధిక పరుగులు (ప్రగతిశీల రికార్డు హోల్డర్) (116 *)', '6 వ ఇన్నింగ్స్ లో అత్యధిక పరుగులు (116 *) (బ్యాటింగ్ స్థానం)', 'ఒక ఇన్నింగ్స్లో పరుగుల 35 వ అత్యధిక శాతం (56.58)', '46 వ చెత్త కెరీర్ (అర్హత లేకుండా) సగటు బౌలింగ్ (60.00)', '8 వ అత్యధిక భాగస్వామ్యాలు' పరాజయం వైపు (58) ఒక మ్యాచ్లో 46 వ అత్యధిక పరుగులు ' ఏ వికెట్కు (170) ',' మొదటి వికెట్కు 6 వ అత్యధిక భాగస్వామ్యం (170) ',' రెండవ వికెట్కు 49 వ అత్యధిక భాగస్వామ్యం (84) ']</v>
      </c>
      <c r="I1717" s="3"/>
    </row>
    <row r="1718" customHeight="1" spans="1:9">
      <c r="A1718" s="2"/>
      <c r="B1718" s="2" t="str">
        <f>IFERROR(__xludf.DUMMYFUNCTION("IF(A1718&lt;&gt;"""", GOOGLETRANSLATE(A1718, ""en"", ""te""),"""")"),"")</f>
        <v/>
      </c>
      <c r="C1718" s="2"/>
      <c r="D1718" s="2" t="str">
        <f>IFERROR(__xludf.DUMMYFUNCTION("IF(C1718&lt;&gt;"""", GOOGLETRANSLATE(C1718, ""en"", ""te""),"""")"),"")</f>
        <v/>
      </c>
      <c r="E1718" s="2"/>
      <c r="F1718" s="2" t="str">
        <f>IFERROR(__xludf.DUMMYFUNCTION("IF(E1718&lt;&gt;"""", GOOGLETRANSLATE(E1718, ""en"", ""te""),"""")"),"")</f>
        <v/>
      </c>
      <c r="G1718" s="2"/>
      <c r="H1718" s="2" t="str">
        <f>IFERROR(__xludf.DUMMYFUNCTION("IF(G1718&lt;&gt;"""", GOOGLETRANSLATE(G1718, ""en"", ""te""),"""")"),"")</f>
        <v/>
      </c>
      <c r="I1718" s="3"/>
    </row>
    <row r="1719" customHeight="1" spans="1:9">
      <c r="A1719" s="2"/>
      <c r="B1719" s="2" t="str">
        <f>IFERROR(__xludf.DUMMYFUNCTION("IF(A1719&lt;&gt;"""", GOOGLETRANSLATE(A1719, ""en"", ""te""),"""")"),"")</f>
        <v/>
      </c>
      <c r="C1719" s="2"/>
      <c r="D1719" s="2" t="str">
        <f>IFERROR(__xludf.DUMMYFUNCTION("IF(C1719&lt;&gt;"""", GOOGLETRANSLATE(C1719, ""en"", ""te""),"""")"),"")</f>
        <v/>
      </c>
      <c r="E1719" s="2"/>
      <c r="F1719" s="2" t="str">
        <f>IFERROR(__xludf.DUMMYFUNCTION("IF(E1719&lt;&gt;"""", GOOGLETRANSLATE(E1719, ""en"", ""te""),"""")"),"")</f>
        <v/>
      </c>
      <c r="G1719" s="2"/>
      <c r="H1719" s="2" t="str">
        <f>IFERROR(__xludf.DUMMYFUNCTION("IF(G1719&lt;&gt;"""", GOOGLETRANSLATE(G1719, ""en"", ""te""),"""")"),"")</f>
        <v/>
      </c>
      <c r="I1719" s="3"/>
    </row>
    <row r="1720" customHeight="1" spans="1:9">
      <c r="A1720" s="2"/>
      <c r="B1720" s="2" t="str">
        <f>IFERROR(__xludf.DUMMYFUNCTION("IF(A1720&lt;&gt;"""", GOOGLETRANSLATE(A1720, ""en"", ""te""),"""")"),"")</f>
        <v/>
      </c>
      <c r="C1720" s="2"/>
      <c r="D1720" s="2" t="str">
        <f>IFERROR(__xludf.DUMMYFUNCTION("IF(C1720&lt;&gt;"""", GOOGLETRANSLATE(C1720, ""en"", ""te""),"""")"),"")</f>
        <v/>
      </c>
      <c r="E1720" s="2"/>
      <c r="F1720" s="2" t="str">
        <f>IFERROR(__xludf.DUMMYFUNCTION("IF(E1720&lt;&gt;"""", GOOGLETRANSLATE(E1720, ""en"", ""te""),"""")"),"")</f>
        <v/>
      </c>
      <c r="G1720" s="2"/>
      <c r="H1720" s="2" t="str">
        <f>IFERROR(__xludf.DUMMYFUNCTION("IF(G1720&lt;&gt;"""", GOOGLETRANSLATE(G1720, ""en"", ""te""),"""")"),"")</f>
        <v/>
      </c>
      <c r="I1720" s="3"/>
    </row>
    <row r="1721" customHeight="1" spans="1:9">
      <c r="A1721" s="2"/>
      <c r="B1721" s="2" t="str">
        <f>IFERROR(__xludf.DUMMYFUNCTION("IF(A1721&lt;&gt;"""", GOOGLETRANSLATE(A1721, ""en"", ""te""),"""")"),"")</f>
        <v/>
      </c>
      <c r="C1721" s="2"/>
      <c r="D1721" s="2" t="str">
        <f>IFERROR(__xludf.DUMMYFUNCTION("IF(C1721&lt;&gt;"""", GOOGLETRANSLATE(C1721, ""en"", ""te""),"""")"),"")</f>
        <v/>
      </c>
      <c r="E1721" s="2" t="s">
        <v>1027</v>
      </c>
      <c r="F1721" s="2" t="str">
        <f>IFERROR(__xludf.DUMMYFUNCTION("IF(E1721&lt;&gt;"""", GOOGLETRANSLATE(E1721, ""en"", ""te""),"""")"),"[ '17 వ ఉత్తమ కెరీర్ ఆర్థిక రేటు (3.57)', 'ఇన్నింగ్స్ లో 48 వ బెస్ట్ ఆర్థిక రేటు (1.00)']")</f>
        <v>[ '17 వ ఉత్తమ కెరీర్ ఆర్థిక రేటు (3.57)', 'ఇన్నింగ్స్ లో 48 వ బెస్ట్ ఆర్థిక రేటు (1.00)']</v>
      </c>
      <c r="G1721" s="2"/>
      <c r="H1721" s="2" t="str">
        <f>IFERROR(__xludf.DUMMYFUNCTION("IF(G1721&lt;&gt;"""", GOOGLETRANSLATE(G1721, ""en"", ""te""),"""")"),"")</f>
        <v/>
      </c>
      <c r="I1721" s="3"/>
    </row>
    <row r="1722" customHeight="1" spans="1:9">
      <c r="A1722" s="2"/>
      <c r="B1722" s="2" t="str">
        <f>IFERROR(__xludf.DUMMYFUNCTION("IF(A1722&lt;&gt;"""", GOOGLETRANSLATE(A1722, ""en"", ""te""),"""")"),"")</f>
        <v/>
      </c>
      <c r="C1722" s="2"/>
      <c r="D1722" s="2" t="str">
        <f>IFERROR(__xludf.DUMMYFUNCTION("IF(C1722&lt;&gt;"""", GOOGLETRANSLATE(C1722, ""en"", ""te""),"""")"),"")</f>
        <v/>
      </c>
      <c r="E1722" s="2"/>
      <c r="F1722" s="2" t="str">
        <f>IFERROR(__xludf.DUMMYFUNCTION("IF(E1722&lt;&gt;"""", GOOGLETRANSLATE(E1722, ""en"", ""te""),"""")"),"")</f>
        <v/>
      </c>
      <c r="G1722" s="2"/>
      <c r="H1722" s="2" t="str">
        <f>IFERROR(__xludf.DUMMYFUNCTION("IF(G1722&lt;&gt;"""", GOOGLETRANSLATE(G1722, ""en"", ""te""),"""")"),"")</f>
        <v/>
      </c>
      <c r="I1722" s="3"/>
    </row>
    <row r="1723" customHeight="1" spans="1:9">
      <c r="A1723" s="2"/>
      <c r="B1723" s="2" t="str">
        <f>IFERROR(__xludf.DUMMYFUNCTION("IF(A1723&lt;&gt;"""", GOOGLETRANSLATE(A1723, ""en"", ""te""),"""")"),"")</f>
        <v/>
      </c>
      <c r="C1723" s="2"/>
      <c r="D1723" s="2" t="str">
        <f>IFERROR(__xludf.DUMMYFUNCTION("IF(C1723&lt;&gt;"""", GOOGLETRANSLATE(C1723, ""en"", ""te""),"""")"),"")</f>
        <v/>
      </c>
      <c r="E1723" s="2"/>
      <c r="F1723" s="2" t="str">
        <f>IFERROR(__xludf.DUMMYFUNCTION("IF(E1723&lt;&gt;"""", GOOGLETRANSLATE(E1723, ""en"", ""te""),"""")"),"")</f>
        <v/>
      </c>
      <c r="G1723" s="2"/>
      <c r="H1723" s="2" t="str">
        <f>IFERROR(__xludf.DUMMYFUNCTION("IF(G1723&lt;&gt;"""", GOOGLETRANSLATE(G1723, ""en"", ""te""),"""")"),"")</f>
        <v/>
      </c>
      <c r="I1723" s="3"/>
    </row>
    <row r="1724" customHeight="1" spans="1:9">
      <c r="A1724" s="2" t="s">
        <v>1028</v>
      </c>
      <c r="B1724" s="2" t="str">
        <f>IFERROR(__xludf.DUMMYFUNCTION("IF(A1724&lt;&gt;"""", GOOGLETRANSLATE(A1724, ""en"", ""te""),"""")"),"[ 'ఇన్నింగ్స్ (6) లో 5 వ అత్యధిక వికెట్లు' 'వరుస 3 వ అత్యధిక క్యాచ్లు (42)', 'హండ్రెడ్ మరియు ఒక మ్యాచ్లో ఒక డక్', '300 పరుగులు మరియు ఒక సిరీస్లో 15 వికెట్కీపింగ్ తొలగింపులకు', '1st చాలా ఒక ఇన్నింగ్స్ లో వికెట్లు (6) ',' వరుస ఇన్నింగ్స్ (3) వికెట్ ఉంచింది "&amp;"వికెట్కీపర్ ద్వారా బ్యాటింగ్ (8) ',' 2 వ అత్యంత ఇన్నింగ్స్ లో నడుస్తుంది తెరిచిన చేసిన (178) ',' 2 వ వందల 7 వ కెప్టెన్ల ' 'ఇన్నింగ్స్ లో ఫోర్లు, సిక్సర్లు నుండి 9 వ అత్యధిక పరుగులు (130)', '3 వ 1000 పరుగులు వేగంగా (21)', 'నూట ఇన్నింగ్స్ లో నాలుగు తొలగింపు"&amp;"లకు', 'మొదటి వికెట్కు 6 వ అత్యధిక భాగస్వామ్యం (282 * ) ',' 5 వ ఇన్నింగ్స్ లో అత్యధిక వికెట్లు (4) ',' కెరీర్ లో 3 వ అత్యధిక క్యాచ్లు (41) ',' వికెట్ను కాపాడుకున్నాడు మరియు బ్యాటింగ్ తెరిచారు ఎవరు 8 వ కెప్టెన్ల (11) ',' 7 వ కెరీర్ స్టంపింగ్లు (11 ) ',' వరు"&amp;"స ఇన్నింగ్స్లో 6 వ వందల (3) ']")</f>
        <v>[ 'ఇన్నింగ్స్ (6) లో 5 వ అత్యధిక వికెట్లు' 'వరుస 3 వ అత్యధిక క్యాచ్లు (42)', 'హండ్రెడ్ మరియు ఒక మ్యాచ్లో ఒక డక్', '300 పరుగులు మరియు ఒక సిరీస్లో 15 వికెట్కీపింగ్ తొలగింపులకు', '1st చాలా ఒక ఇన్నింగ్స్ లో వికెట్లు (6) ',' వరుస ఇన్నింగ్స్ (3) వికెట్ ఉంచింది వికెట్కీపర్ ద్వారా బ్యాటింగ్ (8) ',' 2 వ అత్యంత ఇన్నింగ్స్ లో నడుస్తుంది తెరిచిన చేసిన (178) ',' 2 వ వందల 7 వ కెప్టెన్ల ' 'ఇన్నింగ్స్ లో ఫోర్లు, సిక్సర్లు నుండి 9 వ అత్యధిక పరుగులు (130)', '3 వ 1000 పరుగులు వేగంగా (21)', 'నూట ఇన్నింగ్స్ లో నాలుగు తొలగింపులకు', 'మొదటి వికెట్కు 6 వ అత్యధిక భాగస్వామ్యం (282 * ) ',' 5 వ ఇన్నింగ్స్ లో అత్యధిక వికెట్లు (4) ',' కెరీర్ లో 3 వ అత్యధిక క్యాచ్లు (41) ',' వికెట్ను కాపాడుకున్నాడు మరియు బ్యాటింగ్ తెరిచారు ఎవరు 8 వ కెప్టెన్ల (11) ',' 7 వ కెరీర్ స్టంపింగ్లు (11 ) ',' వరుస ఇన్నింగ్స్లో 6 వ వందల (3) ']</v>
      </c>
      <c r="C1724" s="2" t="s">
        <v>1029</v>
      </c>
      <c r="D1724" s="2" t="str">
        <f>IFERROR(__xludf.DUMMYFUNCTION("IF(C1724&lt;&gt;"""", GOOGLETRANSLATE(C1724, ""en"", ""te""),"""")"),"[ 'వరుస ఇన్నింగ్స్లో 32 వ యాభైల్లో (5)', 'వికెట్ను కాపాడుకున్నాడు చేసిన 19 కెప్టెన్ల (4)', '13 వ కెరీర్ లో అత్యధిక వికెట్లు (219)' '15 వ అత్యంత వరుస వికెట్లు (380) పరుగులు', 'ఇన్నింగ్స్ (6) లో 5 వ అత్యధిక వికెట్లు' 'ఒక మ్యాచ్లో 8 వ అత్యధిక వికెట్లు (9)',"&amp;" '19 వ ఒక సిరీస్లో అత్యధిక వికెట్లు (23)', '12 వ అత్యధిక కెరీర్ లో క్యాచ్లు (208)', 'చాలా 5 వ ఒక మ్యాచ్లో ఇన్నింగ్స్ (6) ',' 26th అత్యధిక క్యాచ్లు లో క్యాచ్లు (8) ',' వరుస 3 వ అత్యధిక క్యాచ్లు (42) ',' 43 వ అత్యంత స్టంపింగ్లు కెరీర్లో (11) ',' 16 వ అత్యధి"&amp;"క ఇన్నింగ్స్ లేకుండా మొత్తం ఒక బై చేయక (601/5 రో) ']")</f>
        <v>[ 'వరుస ఇన్నింగ్స్లో 32 వ యాభైల్లో (5)', 'వికెట్ను కాపాడుకున్నాడు చేసిన 19 కెప్టెన్ల (4)', '13 వ కెరీర్ లో అత్యధిక వికెట్లు (219)' '15 వ అత్యంత వరుస వికెట్లు (380) పరుగులు', 'ఇన్నింగ్స్ (6) లో 5 వ అత్యధిక వికెట్లు' 'ఒక మ్యాచ్లో 8 వ అత్యధిక వికెట్లు (9)', '19 వ ఒక సిరీస్లో అత్యధిక వికెట్లు (23)', '12 వ అత్యధిక కెరీర్ లో క్యాచ్లు (208)', 'చాలా 5 వ ఒక మ్యాచ్లో ఇన్నింగ్స్ (6) ',' 26th అత్యధిక క్యాచ్లు లో క్యాచ్లు (8) ',' వరుస 3 వ అత్యధిక క్యాచ్లు (42) ',' 43 వ అత్యంత స్టంపింగ్లు కెరీర్లో (11) ',' 16 వ అత్యధిక ఇన్నింగ్స్ లేకుండా మొత్తం ఒక బై చేయక (601/5 రో) ']</v>
      </c>
      <c r="E1724" s="2" t="s">
        <v>1030</v>
      </c>
      <c r="F1724" s="2" t="str">
        <f>IFERROR(__xludf.DUMMYFUNCTION("IF(E1724&lt;&gt;"""", GOOGLETRANSLATE(E1724, ""en"", ""te""),"""")"),"[ '30 వ ఇన్నింగ్స్ లో అత్యధిక పరుగులు (178)', 'అత్యధిక వికెట్లు 22 ఒక సిరీస్లో అత్యధిక పరుగులు (353)', 'పరాజయం వైపు ఒక మ్యాచ్ (138 *) లో 45 వ అత్యధిక పరుగులు' లో, '2 వ అత్యధిక పరుగులు అత్యధిక వికెట్లు ఇన్నింగ్స్ (178) ',' 32 వ అత్యధిక కెరీర్ బ్యాటింగ్ సగ"&amp;"టు (44.74) ',' 27 వ అత్యధిక వందలు ఒక వృత్తిలో (15) ',' వరుస 3 వ అత్యధిక వందలు (3) ',' 29th అత్యధిక వందలు లో ఒక క్యాలెండర్ ఏడాది (4) ',' 19 ఒక జట్టు వ్యతిరేకంగా అత్యధిక వందలు (5) ',' వరుస ఇన్నింగ్స్లో 2 వ వందల (3) ',' 25 వ పిన్న ఆటగాడు వంద (20y 326d) స్కోర"&amp;"్ ',' 11 వ వరుస లో యాభైల్లో ఇన్నింగ్స్ (5) ', '21 వ మొట్టమొదటి డక్ ముందు అత్యంత ఇన్నింగ్స్ (40)', 'కెరీర్ లో 31 అతి తక్కువ బాతులు (30.75)', '44 వ కెరీర్ ఫోర్లు (603)', '13 వ ఇన్నింగ్స్ లో వచ్చిన ఎక్కువ సిక్స్ (11) ',' 14 వ ఇన్నింగ్స్ లో వచ్చిన ఎక్కువ ఫోర"&amp;"్లు (21) ',' ఇన్నింగ్స్ లో ఫోర్లు, సిక్సర్లు నుండి 9 వ అత్యధిక పరుగులు (130) ',' 3 వ 1000 పరుగులు వేగంగా (21) ', '21 వ 2000 పరుగులు వేగంగా (53) ',' 11 వ 3000 పరుగులు (74) 4000 పరుగులు (94) 5000 పరుగులు (116) ',' 9 వ అత్యధిక వాటా ',' 5 వ వేగవంతమైన వరకు ',"&amp;"' 6 వ వేగవంతమైన వేగంగా ఏ వికెట్కు (282 *) ',' తొలి వికెట్కు (282 *) 6 వ అత్యధిక భాగస్వామ్యం ',' నాలుగవ వికెట్కు 36 వ అత్యధిక భాగస్వామ్యం (171) ',' 17 వ అత్యంత ప్లేయర్ ఆఫ్ ది సిరీస్ అవార్డులు (5) ',' వికెట్ను కాపాడుకున్నాడు మరియు బ్యాటింగ్ తెరిచారు ఎవరు వ"&amp;"ికెట్ (8) ఉంచింది చేసిన 20 వ కెప్టెన్ల ',' 7 వ కెప్టెన్ల (8) ',' 17 వ కెరీర్ లో అత్యధిక వికెట్లు (177) ',' 1 వ ఇన్నింగ్స్ లో అత్యధిక వికెట్లు (6 ) ',' 36 వ అత్యంత వరుస ఇన్నింగ్స్ లో కెరీర్ లో వరుస వికెట్లు (15) ',' 14 వ అత్యధిక క్యాచ్లు (168) ',' 11 వ అత్"&amp;"యధిక క్యాచ్లు (5) ',' 31 అత్యధిక క్యాచ్లు (14) ', '23 వ బైలు ఇన్నింగ్స్ (10) సాధించిన]")</f>
        <v>[ '30 వ ఇన్నింగ్స్ లో అత్యధిక పరుగులు (178)', 'అత్యధిక వికెట్లు 22 ఒక సిరీస్లో అత్యధిక పరుగులు (353)', 'పరాజయం వైపు ఒక మ్యాచ్ (138 *) లో 45 వ అత్యధిక పరుగులు' లో, '2 వ అత్యధిక పరుగులు అత్యధిక వికెట్లు ఇన్నింగ్స్ (178) ',' 32 వ అత్యధిక కెరీర్ బ్యాటింగ్ సగటు (44.74) ',' 27 వ అత్యధిక వందలు ఒక వృత్తిలో (15) ',' వరుస 3 వ అత్యధిక వందలు (3) ',' 29th అత్యధిక వందలు లో ఒక క్యాలెండర్ ఏడాది (4) ',' 19 ఒక జట్టు వ్యతిరేకంగా అత్యధిక వందలు (5) ',' వరుస ఇన్నింగ్స్లో 2 వ వందల (3) ',' 25 వ పిన్న ఆటగాడు వంద (20y 326d) స్కోర్ ',' 11 వ వరుస లో యాభైల్లో ఇన్నింగ్స్ (5) ', '21 వ మొట్టమొదటి డక్ ముందు అత్యంత ఇన్నింగ్స్ (40)', 'కెరీర్ లో 31 అతి తక్కువ బాతులు (30.75)', '44 వ కెరీర్ ఫోర్లు (603)', '13 వ ఇన్నింగ్స్ లో వచ్చిన ఎక్కువ సిక్స్ (11) ',' 14 వ ఇన్నింగ్స్ లో వచ్చిన ఎక్కువ ఫోర్లు (21) ',' ఇన్నింగ్స్ లో ఫోర్లు, సిక్సర్లు నుండి 9 వ అత్యధిక పరుగులు (130) ',' 3 వ 1000 పరుగులు వేగంగా (21) ', '21 వ 2000 పరుగులు వేగంగా (53) ',' 11 వ 3000 పరుగులు (74) 4000 పరుగులు (94) 5000 పరుగులు (116) ',' 9 వ అత్యధిక వాటా ',' 5 వ వేగవంతమైన వరకు ',' 6 వ వేగవంతమైన వేగంగా ఏ వికెట్కు (282 *) ',' తొలి వికెట్కు (282 *) 6 వ అత్యధిక భాగస్వామ్యం ',' నాలుగవ వికెట్కు 36 వ అత్యధిక భాగస్వామ్యం (171) ',' 17 వ అత్యంత ప్లేయర్ ఆఫ్ ది సిరీస్ అవార్డులు (5) ',' వికెట్ను కాపాడుకున్నాడు మరియు బ్యాటింగ్ తెరిచారు ఎవరు వికెట్ (8) ఉంచింది చేసిన 20 వ కెప్టెన్ల ',' 7 వ కెప్టెన్ల (8) ',' 17 వ కెరీర్ లో అత్యధిక వికెట్లు (177) ',' 1 వ ఇన్నింగ్స్ లో అత్యధిక వికెట్లు (6 ) ',' 36 వ అత్యంత వరుస ఇన్నింగ్స్ లో కెరీర్ లో వరుస వికెట్లు (15) ',' 14 వ అత్యధిక క్యాచ్లు (168) ',' 11 వ అత్యధిక క్యాచ్లు (5) ',' 31 అత్యధిక క్యాచ్లు (14) ', '23 వ బైలు ఇన్నింగ్స్ (10) సాధించిన]</v>
      </c>
      <c r="G1724" s="2" t="s">
        <v>1031</v>
      </c>
      <c r="H1724" s="2" t="str">
        <f>IFERROR(__xludf.DUMMYFUNCTION("IF(G1724&lt;&gt;"""", GOOGLETRANSLATE(G1724, ""en"", ""te""),"""")"),"[ '44 వ కెరీర్ లో అత్యధిక పరుగులు (1303)', 'ఒక వికెట్ 18 వ ఇన్నింగ్స్ లో అత్యధిక పరుగులు (79 *)', 'ఒక కెప్టెన్తో ఇన్నింగ్స్ (79 *) లో 38 వ అత్యధిక పరుగులు', '41 వ అత్యధిక కెరీర్ బ్యాటింగ్ సగటు (31.02) ',' ఇన్నింగ్స్ లో 27 అత్యధిక స్ట్రైక్ రేట్ (295.45) '"&amp;",' 48 వ కెరీర్ అర్ధ కెరీర్లో (6) ',' 39 వ అతి తక్కువ బాతులు (15.66) ',' 37 వ ఎక్కువ సిక్స్ కెరీర్లో (53) ' '35 వ కెరీర్ ఫోర్లు (135)', 'రెండవ వికెట్కు 19 అత్యధిక భాగస్వామ్యం (129)', '8 వ' 1000 పరుగులు (38) వేగంగా 19 ',' 30 వ అత్యంత ఇన్నింగ్స్ (8) లో సిక్స"&amp;"్లు ' వికెట్ను కాపాడుకున్నాడు చేసిన కాప్టెన్ (11) ',' వికెట్ను కాపాడుకున్నాడు మరియు బ్యాటింగ్ తెరిచారు ఎవరు 8 వ కాప్టెన్ (11) ',' 26 వరుస అన్ని టాస్ గెలిచిన (3) ',' 6 వ కెరీర్ లో అత్యధిక వికెట్లు (52) ', 'ఇన్నింగ్స్ లో 5 వ అత్యధిక వికెట్లు (4)', 'కెరీర్ ల"&amp;"ో 3 వ అత్యధిక క్యాచ్లు (41)', '13 వ ఇన్నింగ్స్ లో అత్యధిక క్యాచ్లు (3)', '7 వ కెరీర్ (11) అత్యంత స్టంపింగ్లు']")</f>
        <v>[ '44 వ కెరీర్ లో అత్యధిక పరుగులు (1303)', 'ఒక వికెట్ 18 వ ఇన్నింగ్స్ లో అత్యధిక పరుగులు (79 *)', 'ఒక కెప్టెన్తో ఇన్నింగ్స్ (79 *) లో 38 వ అత్యధిక పరుగులు', '41 వ అత్యధిక కెరీర్ బ్యాటింగ్ సగటు (31.02) ',' ఇన్నింగ్స్ లో 27 అత్యధిక స్ట్రైక్ రేట్ (295.45) ',' 48 వ కెరీర్ అర్ధ కెరీర్లో (6) ',' 39 వ అతి తక్కువ బాతులు (15.66) ',' 37 వ ఎక్కువ సిక్స్ కెరీర్లో (53) ' '35 వ కెరీర్ ఫోర్లు (135)', 'రెండవ వికెట్కు 19 అత్యధిక భాగస్వామ్యం (129)', '8 వ' 1000 పరుగులు (38) వేగంగా 19 ',' 30 వ అత్యంత ఇన్నింగ్స్ (8) లో సిక్స్లు ' వికెట్ను కాపాడుకున్నాడు చేసిన కాప్టెన్ (11) ',' వికెట్ను కాపాడుకున్నాడు మరియు బ్యాటింగ్ తెరిచారు ఎవరు 8 వ కాప్టెన్ (11) ',' 26 వరుస అన్ని టాస్ గెలిచిన (3) ',' 6 వ కెరీర్ లో అత్యధిక వికెట్లు (52) ', 'ఇన్నింగ్స్ లో 5 వ అత్యధిక వికెట్లు (4)', 'కెరీర్ లో 3 వ అత్యధిక క్యాచ్లు (41)', '13 వ ఇన్నింగ్స్ లో అత్యధిక క్యాచ్లు (3)', '7 వ కెరీర్ (11) అత్యంత స్టంపింగ్లు']</v>
      </c>
      <c r="I1724" s="3"/>
    </row>
    <row r="1725" customHeight="1" spans="1:9">
      <c r="A1725" s="2"/>
      <c r="B1725" s="2" t="str">
        <f>IFERROR(__xludf.DUMMYFUNCTION("IF(A1725&lt;&gt;"""", GOOGLETRANSLATE(A1725, ""en"", ""te""),"""")"),"")</f>
        <v/>
      </c>
      <c r="C1725" s="2"/>
      <c r="D1725" s="2" t="str">
        <f>IFERROR(__xludf.DUMMYFUNCTION("IF(C1725&lt;&gt;"""", GOOGLETRANSLATE(C1725, ""en"", ""te""),"""")"),"")</f>
        <v/>
      </c>
      <c r="E1725" s="2"/>
      <c r="F1725" s="2" t="str">
        <f>IFERROR(__xludf.DUMMYFUNCTION("IF(E1725&lt;&gt;"""", GOOGLETRANSLATE(E1725, ""en"", ""te""),"""")"),"")</f>
        <v/>
      </c>
      <c r="G1725" s="2"/>
      <c r="H1725" s="2" t="str">
        <f>IFERROR(__xludf.DUMMYFUNCTION("IF(G1725&lt;&gt;"""", GOOGLETRANSLATE(G1725, ""en"", ""te""),"""")"),"")</f>
        <v/>
      </c>
      <c r="I1725" s="3"/>
    </row>
    <row r="1726" customHeight="1" spans="1:9">
      <c r="A1726" s="2"/>
      <c r="B1726" s="2" t="str">
        <f>IFERROR(__xludf.DUMMYFUNCTION("IF(A1726&lt;&gt;"""", GOOGLETRANSLATE(A1726, ""en"", ""te""),"""")"),"")</f>
        <v/>
      </c>
      <c r="C1726" s="2"/>
      <c r="D1726" s="2" t="str">
        <f>IFERROR(__xludf.DUMMYFUNCTION("IF(C1726&lt;&gt;"""", GOOGLETRANSLATE(C1726, ""en"", ""te""),"""")"),"")</f>
        <v/>
      </c>
      <c r="E1726" s="2"/>
      <c r="F1726" s="2" t="str">
        <f>IFERROR(__xludf.DUMMYFUNCTION("IF(E1726&lt;&gt;"""", GOOGLETRANSLATE(E1726, ""en"", ""te""),"""")"),"")</f>
        <v/>
      </c>
      <c r="G1726" s="2"/>
      <c r="H1726" s="2" t="str">
        <f>IFERROR(__xludf.DUMMYFUNCTION("IF(G1726&lt;&gt;"""", GOOGLETRANSLATE(G1726, ""en"", ""te""),"""")"),"")</f>
        <v/>
      </c>
      <c r="I1726" s="3"/>
    </row>
    <row r="1727" customHeight="1" spans="1:9">
      <c r="A1727" s="2"/>
      <c r="B1727" s="2" t="str">
        <f>IFERROR(__xludf.DUMMYFUNCTION("IF(A1727&lt;&gt;"""", GOOGLETRANSLATE(A1727, ""en"", ""te""),"""")"),"")</f>
        <v/>
      </c>
      <c r="C1727" s="2"/>
      <c r="D1727" s="2" t="str">
        <f>IFERROR(__xludf.DUMMYFUNCTION("IF(C1727&lt;&gt;"""", GOOGLETRANSLATE(C1727, ""en"", ""te""),"""")"),"")</f>
        <v/>
      </c>
      <c r="E1727" s="2"/>
      <c r="F1727" s="2" t="str">
        <f>IFERROR(__xludf.DUMMYFUNCTION("IF(E1727&lt;&gt;"""", GOOGLETRANSLATE(E1727, ""en"", ""te""),"""")"),"")</f>
        <v/>
      </c>
      <c r="G1727" s="2"/>
      <c r="H1727" s="2" t="str">
        <f>IFERROR(__xludf.DUMMYFUNCTION("IF(G1727&lt;&gt;"""", GOOGLETRANSLATE(G1727, ""en"", ""te""),"""")"),"")</f>
        <v/>
      </c>
      <c r="I1727" s="3"/>
    </row>
    <row r="1728" customHeight="1" spans="1:9">
      <c r="A1728" s="2" t="s">
        <v>1032</v>
      </c>
      <c r="B1728" s="2" t="str">
        <f>IFERROR(__xludf.DUMMYFUNCTION("IF(A1728&lt;&gt;"""", GOOGLETRANSLATE(A1728, ""en"", ""te""),"""")"),"[ '9 వ చెత్త కెరీర్లో సమ్మె రేటు (28.6)']")</f>
        <v>[ '9 వ చెత్త కెరీర్లో సమ్మె రేటు (28.6)']</v>
      </c>
      <c r="C1728" s="2"/>
      <c r="D1728" s="2" t="str">
        <f>IFERROR(__xludf.DUMMYFUNCTION("IF(C1728&lt;&gt;"""", GOOGLETRANSLATE(C1728, ""en"", ""te""),"""")"),"")</f>
        <v/>
      </c>
      <c r="E1728" s="2" t="s">
        <v>1033</v>
      </c>
      <c r="F1728" s="2" t="str">
        <f>IFERROR(__xludf.DUMMYFUNCTION("IF(E1728&lt;&gt;"""", GOOGLETRANSLATE(E1728, ""en"", ""te""),"""")"),"[ '32 వ చెత్త కెరీర్ బౌలింగ్ సరాసరి (33.25)']")</f>
        <v>[ '32 వ చెత్త కెరీర్ బౌలింగ్ సరాసరి (33.25)']</v>
      </c>
      <c r="G1728" s="2" t="s">
        <v>1034</v>
      </c>
      <c r="H1728" s="2" t="str">
        <f>IFERROR(__xludf.DUMMYFUNCTION("IF(G1728&lt;&gt;"""", GOOGLETRANSLATE(G1728, ""en"", ""te""),"""")"),"[ '9 వ ఉత్తమ కెరీర్ ఆర్థిక రేటు (4.95)', '9 వ చెత్త కెరీర్లో సమ్మె రేటు (28.6)', 'అతని 15 వ అత్యంత పనికత్తెలయొద్ద (8)', '27 వ అత్యధిక వికెట్లు బౌల్డ్ (14) తీసుకున్న', '12 వ అత్యంత పనికత్తెలయొద్ద లో ఇన్నింగ్స్ (2) ']")</f>
        <v>[ '9 వ ఉత్తమ కెరీర్ ఆర్థిక రేటు (4.95)', '9 వ చెత్త కెరీర్లో సమ్మె రేటు (28.6)', 'అతని 15 వ అత్యంత పనికత్తెలయొద్ద (8)', '27 వ అత్యధిక వికెట్లు బౌల్డ్ (14) తీసుకున్న', '12 వ అత్యంత పనికత్తెలయొద్ద లో ఇన్నింగ్స్ (2) ']</v>
      </c>
      <c r="I1728" s="3"/>
    </row>
    <row r="1729" customHeight="1" spans="1:9">
      <c r="A1729" s="2"/>
      <c r="B1729" s="2" t="str">
        <f>IFERROR(__xludf.DUMMYFUNCTION("IF(A1729&lt;&gt;"""", GOOGLETRANSLATE(A1729, ""en"", ""te""),"""")"),"")</f>
        <v/>
      </c>
      <c r="C1729" s="2"/>
      <c r="D1729" s="2" t="str">
        <f>IFERROR(__xludf.DUMMYFUNCTION("IF(C1729&lt;&gt;"""", GOOGLETRANSLATE(C1729, ""en"", ""te""),"""")"),"")</f>
        <v/>
      </c>
      <c r="E1729" s="2"/>
      <c r="F1729" s="2" t="str">
        <f>IFERROR(__xludf.DUMMYFUNCTION("IF(E1729&lt;&gt;"""", GOOGLETRANSLATE(E1729, ""en"", ""te""),"""")"),"")</f>
        <v/>
      </c>
      <c r="G1729" s="2"/>
      <c r="H1729" s="2" t="str">
        <f>IFERROR(__xludf.DUMMYFUNCTION("IF(G1729&lt;&gt;"""", GOOGLETRANSLATE(G1729, ""en"", ""te""),"""")"),"")</f>
        <v/>
      </c>
      <c r="I1729" s="3"/>
    </row>
    <row r="1730" customHeight="1" spans="1:9">
      <c r="A1730" s="2" t="s">
        <v>1035</v>
      </c>
      <c r="B1730" s="2" t="str">
        <f>IFERROR(__xludf.DUMMYFUNCTION("IF(A1730&lt;&gt;"""", GOOGLETRANSLATE(A1730, ""en"", ""te""),"""")"),"[ 'హండ్రెడ్ తొలి (110 *)', 'హండ్రెడ్ మరియు ఒక మ్యాచ్లో ఒక డక్', 'ఇన్నింగ్స్ లో 2 వ అత్యధిక పరుగులు (బ్యాటింగ్ స్థానంలో ప్రకారం) (185)', '10 వ హండ్రెడ్ గత మ్యాచ్లో (100)', ' వరుస (3) ',' 7 వ అత్యంత ఇన్నింగ్స్ తొలి డక్ ముందు (60) ',' 8 వ ఒక సిరీస్లో అత్యధిక"&amp;" క్యాచ్లు (10) ',' 5000 పరుగులు మరియు 50 ఫీల్డింగ్ వికెట్లు ',' 3 వ అత్యధిక కోసం భాగస్వామ్యంతో 3 వ అత్యధిక వందలు నాలుగో వికెట్కు (252) ',' (119) ',' 3 వ లేవు బాతులు కెరీర్ లో (50) ',' 6 వ 3 వ వరుస (3) ',' 3 వ అత్యంత పరాజయం వైపు ఒక మ్యాచ్లో నడుస్తుంది అన్"&amp;"ని టాస్ గెలిచి వేగంగా 1000 పరుగులు (32) ',' నాలుగవ వికెట్కు 2 వ అత్యధిక భాగస్వామ్యం (127 *) ',' మొదటి డక్ (108) ముందు 1 వ అత్యంత ఇన్నింగ్స్] కు")</f>
        <v>[ 'హండ్రెడ్ తొలి (110 *)', 'హండ్రెడ్ మరియు ఒక మ్యాచ్లో ఒక డక్', 'ఇన్నింగ్స్ లో 2 వ అత్యధిక పరుగులు (బ్యాటింగ్ స్థానంలో ప్రకారం) (185)', '10 వ హండ్రెడ్ గత మ్యాచ్లో (100)', ' వరుస (3) ',' 7 వ అత్యంత ఇన్నింగ్స్ తొలి డక్ ముందు (60) ',' 8 వ ఒక సిరీస్లో అత్యధిక క్యాచ్లు (10) ',' 5000 పరుగులు మరియు 50 ఫీల్డింగ్ వికెట్లు ',' 3 వ అత్యధిక కోసం భాగస్వామ్యంతో 3 వ అత్యధిక వందలు నాలుగో వికెట్కు (252) ',' (119) ',' 3 వ లేవు బాతులు కెరీర్ లో (50) ',' 6 వ 3 వ వరుస (3) ',' 3 వ అత్యంత పరాజయం వైపు ఒక మ్యాచ్లో నడుస్తుంది అన్ని టాస్ గెలిచి వేగంగా 1000 పరుగులు (32) ',' నాలుగవ వికెట్కు 2 వ అత్యధిక భాగస్వామ్యం (127 *) ',' మొదటి డక్ (108) ముందు 1 వ అత్యంత ఇన్నింగ్స్] కు</v>
      </c>
      <c r="C1730" s="2" t="s">
        <v>1036</v>
      </c>
      <c r="D1730" s="2" t="str">
        <f>IFERROR(__xludf.DUMMYFUNCTION("IF(C1730&lt;&gt;"""", GOOGLETRANSLATE(C1730, ""en"", ""te""),"""")"),"[ '34 వ కెప్టెన్ (36) గా అత్యధిక మ్యాచ్లు' '17 వ తొలి మ్యాచ్ (188) అత్యధిక పరుగులు']")</f>
        <v>[ '34 వ కెప్టెన్ (36) గా అత్యధిక మ్యాచ్లు' '17 వ తొలి మ్యాచ్ (188) అత్యధిక పరుగులు']</v>
      </c>
      <c r="E1730" s="2" t="s">
        <v>1037</v>
      </c>
      <c r="F1730" s="2" t="str">
        <f>IFERROR(__xludf.DUMMYFUNCTION("IF(E1730&lt;&gt;"""", GOOGLETRANSLATE(E1730, ""en"", ""te""),"""")"),"[ '22 వ అత్యధిక కెరీర్ బ్యాటింగ్' కెప్టెన్ (387) ద్వారా 27th ఒక సిరీస్లో అత్యధిక పరుగులు '' 18 వ అత్యంత ఇన్నింగ్స్ లో పరుగులు (185) ',' ఇన్నింగ్స్ లో 2 వ అత్యధిక పరుగులు (బ్యాటింగ్ స్థానంలో ప్రకారం) (185) ', గత మ్యాచ్లో సగటు (47.47) ',' 10 వ హండ్రెడ్ (100"&amp;") ',' 37 వ ఒక వృత్తిలో అత్యధిక వందలు (12) ',' వరుస 3 వ అత్యధిక వందలు (3) ',' 19 ఒక జట్టు వ్యతిరేకంగా అత్యధిక వందలు (5 ) ',' వరుస ఇన్నింగ్స్లో 44 వ యాభైల్లో (4) ',' 7 వ అత్యంత ఇన్నింగ్స్ తొలి డక్ (60) ',' 16 వ కెరీర్ లో అతి తక్కువ బాతులు ముందు (45.33) ','"&amp;" 27 ఒక ఇన్నింగ్స్లో పరుగుల అత్యధిక శాతం (57.27) ',' 33 వ వరుస 3000 పరుగులు (85) ',' ఫాస్టెస్ట్ 12 వ 5000 పరుగులు (125) ',' 8 వ అత్యధిక క్యాచ్లు 4000 పరుగులు (104) ',' 12 వ వేగవంతమైన కు వేగవంతమైన (10) ',' 24 వ అత్యధిక ఏ వికెట్కు పార్టనర్ షిప్ (252) ',' మ"&amp;"ూడో వికెట్కు 27 అత్యధిక భాగస్వామ్యం (206) ',' నాలుగవ వికెట్కు (252) 3 వ అత్యధిక భాగస్వామ్యం ']")</f>
        <v>[ '22 వ అత్యధిక కెరీర్ బ్యాటింగ్' కెప్టెన్ (387) ద్వారా 27th ఒక సిరీస్లో అత్యధిక పరుగులు '' 18 వ అత్యంత ఇన్నింగ్స్ లో పరుగులు (185) ',' ఇన్నింగ్స్ లో 2 వ అత్యధిక పరుగులు (బ్యాటింగ్ స్థానంలో ప్రకారం) (185) ', గత మ్యాచ్లో సగటు (47.47) ',' 10 వ హండ్రెడ్ (100) ',' 37 వ ఒక వృత్తిలో అత్యధిక వందలు (12) ',' వరుస 3 వ అత్యధిక వందలు (3) ',' 19 ఒక జట్టు వ్యతిరేకంగా అత్యధిక వందలు (5 ) ',' వరుస ఇన్నింగ్స్లో 44 వ యాభైల్లో (4) ',' 7 వ అత్యంత ఇన్నింగ్స్ తొలి డక్ (60) ',' 16 వ కెరీర్ లో అతి తక్కువ బాతులు ముందు (45.33) ',' 27 ఒక ఇన్నింగ్స్లో పరుగుల అత్యధిక శాతం (57.27) ',' 33 వ వరుస 3000 పరుగులు (85) ',' ఫాస్టెస్ట్ 12 వ 5000 పరుగులు (125) ',' 8 వ అత్యధిక క్యాచ్లు 4000 పరుగులు (104) ',' 12 వ వేగవంతమైన కు వేగవంతమైన (10) ',' 24 వ అత్యధిక ఏ వికెట్కు పార్టనర్ షిప్ (252) ',' మూడో వికెట్కు 27 అత్యధిక భాగస్వామ్యం (206) ',' నాలుగవ వికెట్కు (252) 3 వ అత్యధిక భాగస్వామ్యం ']</v>
      </c>
      <c r="G1730" s="2" t="s">
        <v>1038</v>
      </c>
      <c r="H1730" s="2" t="str">
        <f>IFERROR(__xludf.DUMMYFUNCTION("IF(G1730&lt;&gt;"""", GOOGLETRANSLATE(G1730, ""en"", ""te""),"""")"),"[ '33 వ కెరీర్ లో అత్యధిక పరుగులు (1528)', '14 వ ఇన్నింగ్స్ (119) అత్యధిక పరుగులు' '3 వ అత్యంత ఇన్నింగ్స్ లో నడుస్తుంది (బ్యాటింగ్ స్థానం) (119)', '3 వ అత్యంత ఒక మ్యాచ్లో నడుస్తుంది వైపు కోల్పోకుండా (119) ',' ఒకే మైదానంలో 39 వ అత్యధిక పరుగులు (287) ',' "&amp;"ఒక కెప్టెన్తో ఇన్నింగ్స్ లో 5 వ అత్యధిక పరుగులు (119) ',' 18 వ అత్యధిక కెరీర్ బ్యాటింగ్ సగటు (35.53) ',' 20 వ అత్యంత అర్ధ కెరీర్లో (11) ',' 3 వ కెరీర్ లో బాతులు (50) ',' ఒక డక్ లేకుండా 11 వ వరుస ఇన్నింగ్స్ (50 *) ',' 40 వ కెరీర్ లో వచ్చిన ఎక్కువ సిక్స్ (5"&amp;"0) ',' 29th కెరీర్ ఫోర్లు ( 140) ',' 31 ఇన్నింగ్స్ లో వచ్చిన ఎక్కువ ఫోర్లు (11) ',' ఇన్నింగ్స్ లో ఫోర్లు, సిక్సర్లు నుండి 42 వ అత్యధిక పరుగులు (74) ',' 17 వ లాంగెస్ట్ వ్యక్తిగత ఇన్నింగ్స్ (బంతులతో) (65) ',' 6 వ వేగవంతమైన వరకు 1000 పరుగులు (32) ',' 44 వ అ"&amp;"త్యధిక క్యాచ్లు కెరీర్లో (24) ',' మూడో వికెట్కు 20 వ అత్యధిక భాగస్వామ్యం (112) ',' నాలుగవ వికెట్కు (127 *) కోసం 2 వ అత్యధిక భాగస్వామ్యం ',' 10 వ ఎక్కువగా మ్యాచ్లు కెప్టెన్ (40) ',' 3 వ వరుస (3) లో అన్ని టాస్ గెలిచి ']")</f>
        <v>[ '33 వ కెరీర్ లో అత్యధిక పరుగులు (1528)', '14 వ ఇన్నింగ్స్ (119) అత్యధిక పరుగులు' '3 వ అత్యంత ఇన్నింగ్స్ లో నడుస్తుంది (బ్యాటింగ్ స్థానం) (119)', '3 వ అత్యంత ఒక మ్యాచ్లో నడుస్తుంది వైపు కోల్పోకుండా (119) ',' ఒకే మైదానంలో 39 వ అత్యధిక పరుగులు (287) ',' ఒక కెప్టెన్తో ఇన్నింగ్స్ లో 5 వ అత్యధిక పరుగులు (119) ',' 18 వ అత్యధిక కెరీర్ బ్యాటింగ్ సగటు (35.53) ',' 20 వ అత్యంత అర్ధ కెరీర్లో (11) ',' 3 వ కెరీర్ లో బాతులు (50) ',' ఒక డక్ లేకుండా 11 వ వరుస ఇన్నింగ్స్ (50 *) ',' 40 వ కెరీర్ లో వచ్చిన ఎక్కువ సిక్స్ (50) ',' 29th కెరీర్ ఫోర్లు ( 140) ',' 31 ఇన్నింగ్స్ లో వచ్చిన ఎక్కువ ఫోర్లు (11) ',' ఇన్నింగ్స్ లో ఫోర్లు, సిక్సర్లు నుండి 42 వ అత్యధిక పరుగులు (74) ',' 17 వ లాంగెస్ట్ వ్యక్తిగత ఇన్నింగ్స్ (బంతులతో) (65) ',' 6 వ వేగవంతమైన వరకు 1000 పరుగులు (32) ',' 44 వ అత్యధిక క్యాచ్లు కెరీర్లో (24) ',' మూడో వికెట్కు 20 వ అత్యధిక భాగస్వామ్యం (112) ',' నాలుగవ వికెట్కు (127 *) కోసం 2 వ అత్యధిక భాగస్వామ్యం ',' 10 వ ఎక్కువగా మ్యాచ్లు కెప్టెన్ (40) ',' 3 వ వరుస (3) లో అన్ని టాస్ గెలిచి ']</v>
      </c>
      <c r="I1730" s="3"/>
    </row>
    <row r="1731" customHeight="1" spans="1:9">
      <c r="A1731" s="2"/>
      <c r="B1731" s="2" t="str">
        <f>IFERROR(__xludf.DUMMYFUNCTION("IF(A1731&lt;&gt;"""", GOOGLETRANSLATE(A1731, ""en"", ""te""),"""")"),"")</f>
        <v/>
      </c>
      <c r="C1731" s="2"/>
      <c r="D1731" s="2" t="str">
        <f>IFERROR(__xludf.DUMMYFUNCTION("IF(C1731&lt;&gt;"""", GOOGLETRANSLATE(C1731, ""en"", ""te""),"""")"),"")</f>
        <v/>
      </c>
      <c r="E1731" s="2"/>
      <c r="F1731" s="2" t="str">
        <f>IFERROR(__xludf.DUMMYFUNCTION("IF(E1731&lt;&gt;"""", GOOGLETRANSLATE(E1731, ""en"", ""te""),"""")"),"")</f>
        <v/>
      </c>
      <c r="G1731" s="2"/>
      <c r="H1731" s="2" t="str">
        <f>IFERROR(__xludf.DUMMYFUNCTION("IF(G1731&lt;&gt;"""", GOOGLETRANSLATE(G1731, ""en"", ""te""),"""")"),"")</f>
        <v/>
      </c>
      <c r="I1731" s="3"/>
    </row>
    <row r="1732" customHeight="1" spans="1:9">
      <c r="A1732" s="2" t="s">
        <v>1039</v>
      </c>
      <c r="B1732" s="2" t="str">
        <f>IFERROR(__xludf.DUMMYFUNCTION("IF(A1732&lt;&gt;"""", GOOGLETRANSLATE(A1732, ""en"", ""te""),"""")"),"[ '5 వ చెత్త కెరీర్ బౌలింగ్ సరాసరి (అర్హత లేకుండా) (130,00)']")</f>
        <v>[ '5 వ చెత్త కెరీర్ బౌలింగ్ సరాసరి (అర్హత లేకుండా) (130,00)']</v>
      </c>
      <c r="C1732" s="2"/>
      <c r="D1732" s="2" t="str">
        <f>IFERROR(__xludf.DUMMYFUNCTION("IF(C1732&lt;&gt;"""", GOOGLETRANSLATE(C1732, ""en"", ""te""),"""")"),"")</f>
        <v/>
      </c>
      <c r="E1732" s="2" t="s">
        <v>1040</v>
      </c>
      <c r="F1732" s="2" t="str">
        <f>IFERROR(__xludf.DUMMYFUNCTION("IF(E1732&lt;&gt;"""", GOOGLETRANSLATE(E1732, ""en"", ""te""),"""")"),"[ '44 వ వరుస మ్యాచ్లు ప్రదర్శనల మధ్య (30) జట్టుకు దూరమయ్యాడు']")</f>
        <v>[ '44 వ వరుస మ్యాచ్లు ప్రదర్శనల మధ్య (30) జట్టుకు దూరమయ్యాడు']</v>
      </c>
      <c r="G1732" s="2" t="s">
        <v>1039</v>
      </c>
      <c r="H1732" s="2" t="str">
        <f>IFERROR(__xludf.DUMMYFUNCTION("IF(G1732&lt;&gt;"""", GOOGLETRANSLATE(G1732, ""en"", ""te""),"""")"),"[ '5 వ చెత్త కెరీర్ బౌలింగ్ సరాసరి (అర్హత లేకుండా) (130,00)']")</f>
        <v>[ '5 వ చెత్త కెరీర్ బౌలింగ్ సరాసరి (అర్హత లేకుండా) (130,00)']</v>
      </c>
      <c r="I1732" s="3"/>
    </row>
    <row r="1733" customHeight="1" spans="1:9">
      <c r="A1733" s="2"/>
      <c r="B1733" s="2" t="str">
        <f>IFERROR(__xludf.DUMMYFUNCTION("IF(A1733&lt;&gt;"""", GOOGLETRANSLATE(A1733, ""en"", ""te""),"""")"),"")</f>
        <v/>
      </c>
      <c r="C1733" s="2"/>
      <c r="D1733" s="2" t="str">
        <f>IFERROR(__xludf.DUMMYFUNCTION("IF(C1733&lt;&gt;"""", GOOGLETRANSLATE(C1733, ""en"", ""te""),"""")"),"")</f>
        <v/>
      </c>
      <c r="E1733" s="2"/>
      <c r="F1733" s="2" t="str">
        <f>IFERROR(__xludf.DUMMYFUNCTION("IF(E1733&lt;&gt;"""", GOOGLETRANSLATE(E1733, ""en"", ""te""),"""")"),"")</f>
        <v/>
      </c>
      <c r="G1733" s="2"/>
      <c r="H1733" s="2" t="str">
        <f>IFERROR(__xludf.DUMMYFUNCTION("IF(G1733&lt;&gt;"""", GOOGLETRANSLATE(G1733, ""en"", ""te""),"""")"),"")</f>
        <v/>
      </c>
      <c r="I1733" s="3"/>
    </row>
    <row r="1734" customHeight="1" spans="1:9">
      <c r="A1734" s="2"/>
      <c r="B1734" s="2" t="str">
        <f>IFERROR(__xludf.DUMMYFUNCTION("IF(A1734&lt;&gt;"""", GOOGLETRANSLATE(A1734, ""en"", ""te""),"""")"),"")</f>
        <v/>
      </c>
      <c r="C1734" s="2"/>
      <c r="D1734" s="2" t="str">
        <f>IFERROR(__xludf.DUMMYFUNCTION("IF(C1734&lt;&gt;"""", GOOGLETRANSLATE(C1734, ""en"", ""te""),"""")"),"")</f>
        <v/>
      </c>
      <c r="E1734" s="2" t="s">
        <v>1041</v>
      </c>
      <c r="F1734" s="2" t="str">
        <f>IFERROR(__xludf.DUMMYFUNCTION("IF(E1734&lt;&gt;"""", GOOGLETRANSLATE(E1734, ""en"", ""te""),"""")"),"[ '43 వ అత్యధిక కెరీర్ బ్యాటింగ్ సగటు (42.23)', '34 వ వేగవంతమైన 2000 పరుగులు (56)', '16 వ వేగవంతమైన 3000 పరుగులు (79)', 'రెండవ వికెట్కు 49 వ అత్యధిక భాగస్వామ్యం (194)', '46 వ అత్యధిక ఏడవ వికెట్ కొరకు చేసిన భాగస్వామ్యం (101) ']")</f>
        <v>[ '43 వ అత్యధిక కెరీర్ బ్యాటింగ్ సగటు (42.23)', '34 వ వేగవంతమైన 2000 పరుగులు (56)', '16 వ వేగవంతమైన 3000 పరుగులు (79)', 'రెండవ వికెట్కు 49 వ అత్యధిక భాగస్వామ్యం (194)', '46 వ అత్యధిక ఏడవ వికెట్ కొరకు చేసిన భాగస్వామ్యం (101) ']</v>
      </c>
      <c r="G1734" s="2"/>
      <c r="H1734" s="2" t="str">
        <f>IFERROR(__xludf.DUMMYFUNCTION("IF(G1734&lt;&gt;"""", GOOGLETRANSLATE(G1734, ""en"", ""te""),"""")"),"")</f>
        <v/>
      </c>
      <c r="I1734" s="3"/>
    </row>
    <row r="1735" customHeight="1" spans="1:9">
      <c r="A1735" s="2" t="s">
        <v>63</v>
      </c>
      <c r="B1735" s="2" t="str">
        <f>IFERROR(__xludf.DUMMYFUNCTION("IF(A1735&lt;&gt;"""", GOOGLETRANSLATE(A1735, ""en"", ""te""),"""")"),"[ 'తొలి ఇన్నింగ్స్లో 9 వ బెస్ట్ ఫిగర్స్ (7)']")</f>
        <v>[ 'తొలి ఇన్నింగ్స్లో 9 వ బెస్ట్ ఫిగర్స్ (7)']</v>
      </c>
      <c r="C1735" s="2" t="s">
        <v>1042</v>
      </c>
      <c r="D1735" s="2" t="str">
        <f>IFERROR(__xludf.DUMMYFUNCTION("IF(C1735&lt;&gt;"""", GOOGLETRANSLATE(C1735, ""en"", ""te""),"""")"),"[ '24 ఒక ఇన్నింగ్స్ లోని బెస్ట్ ఫిగర్స్ ఉన్నప్పుడు పరాజయం వైపు (7)', '9 వ ఉత్తమ తొలి ఇన్నింగ్స్లో గణాంకాలు (7)', '33 వ ప్రవేశం (8) ఒక మ్యాచ్లో బెస్ట్ ఫిగర్స్']")</f>
        <v>[ '24 ఒక ఇన్నింగ్స్ లోని బెస్ట్ ఫిగర్స్ ఉన్నప్పుడు పరాజయం వైపు (7)', '9 వ ఉత్తమ తొలి ఇన్నింగ్స్లో గణాంకాలు (7)', '33 వ ప్రవేశం (8) ఒక మ్యాచ్లో బెస్ట్ ఫిగర్స్']</v>
      </c>
      <c r="E1735" s="2" t="s">
        <v>549</v>
      </c>
      <c r="F1735" s="2" t="str">
        <f>IFERROR(__xludf.DUMMYFUNCTION("IF(E1735&lt;&gt;"""", GOOGLETRANSLATE(E1735, ""en"", ""te""),"""")"),"[ 'తొలి ఇన్నింగ్స్ 15 వ బెస్ట్ ఫిగర్స్ (4)']")</f>
        <v>[ 'తొలి ఇన్నింగ్స్ 15 వ బెస్ట్ ఫిగర్స్ (4)']</v>
      </c>
      <c r="G1735" s="2"/>
      <c r="H1735" s="2" t="str">
        <f>IFERROR(__xludf.DUMMYFUNCTION("IF(G1735&lt;&gt;"""", GOOGLETRANSLATE(G1735, ""en"", ""te""),"""")"),"")</f>
        <v/>
      </c>
      <c r="I1735" s="3"/>
    </row>
    <row r="1736" customHeight="1" spans="1:9">
      <c r="A1736" s="2"/>
      <c r="B1736" s="2" t="str">
        <f>IFERROR(__xludf.DUMMYFUNCTION("IF(A1736&lt;&gt;"""", GOOGLETRANSLATE(A1736, ""en"", ""te""),"""")"),"")</f>
        <v/>
      </c>
      <c r="C1736" s="2"/>
      <c r="D1736" s="2" t="str">
        <f>IFERROR(__xludf.DUMMYFUNCTION("IF(C1736&lt;&gt;"""", GOOGLETRANSLATE(C1736, ""en"", ""te""),"""")"),"")</f>
        <v/>
      </c>
      <c r="E1736" s="2"/>
      <c r="F1736" s="2" t="str">
        <f>IFERROR(__xludf.DUMMYFUNCTION("IF(E1736&lt;&gt;"""", GOOGLETRANSLATE(E1736, ""en"", ""te""),"""")"),"")</f>
        <v/>
      </c>
      <c r="G1736" s="2"/>
      <c r="H1736" s="2" t="str">
        <f>IFERROR(__xludf.DUMMYFUNCTION("IF(G1736&lt;&gt;"""", GOOGLETRANSLATE(G1736, ""en"", ""te""),"""")"),"")</f>
        <v/>
      </c>
      <c r="I1736" s="3"/>
    </row>
    <row r="1737" customHeight="1" spans="1:9">
      <c r="A1737" s="2"/>
      <c r="B1737" s="2" t="str">
        <f>IFERROR(__xludf.DUMMYFUNCTION("IF(A1737&lt;&gt;"""", GOOGLETRANSLATE(A1737, ""en"", ""te""),"""")"),"")</f>
        <v/>
      </c>
      <c r="C1737" s="2"/>
      <c r="D1737" s="2" t="str">
        <f>IFERROR(__xludf.DUMMYFUNCTION("IF(C1737&lt;&gt;"""", GOOGLETRANSLATE(C1737, ""en"", ""te""),"""")"),"")</f>
        <v/>
      </c>
      <c r="E1737" s="2"/>
      <c r="F1737" s="2" t="str">
        <f>IFERROR(__xludf.DUMMYFUNCTION("IF(E1737&lt;&gt;"""", GOOGLETRANSLATE(E1737, ""en"", ""te""),"""")"),"")</f>
        <v/>
      </c>
      <c r="G1737" s="2"/>
      <c r="H1737" s="2" t="str">
        <f>IFERROR(__xludf.DUMMYFUNCTION("IF(G1737&lt;&gt;"""", GOOGLETRANSLATE(G1737, ""en"", ""te""),"""")"),"")</f>
        <v/>
      </c>
      <c r="I1737" s="3"/>
    </row>
    <row r="1738" customHeight="1" spans="1:9">
      <c r="A1738" s="2"/>
      <c r="B1738" s="2" t="str">
        <f>IFERROR(__xludf.DUMMYFUNCTION("IF(A1738&lt;&gt;"""", GOOGLETRANSLATE(A1738, ""en"", ""te""),"""")"),"")</f>
        <v/>
      </c>
      <c r="C1738" s="2"/>
      <c r="D1738" s="2" t="str">
        <f>IFERROR(__xludf.DUMMYFUNCTION("IF(C1738&lt;&gt;"""", GOOGLETRANSLATE(C1738, ""en"", ""te""),"""")"),"")</f>
        <v/>
      </c>
      <c r="E1738" s="2"/>
      <c r="F1738" s="2" t="str">
        <f>IFERROR(__xludf.DUMMYFUNCTION("IF(E1738&lt;&gt;"""", GOOGLETRANSLATE(E1738, ""en"", ""te""),"""")"),"")</f>
        <v/>
      </c>
      <c r="G1738" s="2"/>
      <c r="H1738" s="2" t="str">
        <f>IFERROR(__xludf.DUMMYFUNCTION("IF(G1738&lt;&gt;"""", GOOGLETRANSLATE(G1738, ""en"", ""te""),"""")"),"")</f>
        <v/>
      </c>
      <c r="I1738" s="3"/>
    </row>
    <row r="1739" customHeight="1" spans="1:9">
      <c r="A1739" s="2"/>
      <c r="B1739" s="2" t="str">
        <f>IFERROR(__xludf.DUMMYFUNCTION("IF(A1739&lt;&gt;"""", GOOGLETRANSLATE(A1739, ""en"", ""te""),"""")"),"")</f>
        <v/>
      </c>
      <c r="C1739" s="2"/>
      <c r="D1739" s="2" t="str">
        <f>IFERROR(__xludf.DUMMYFUNCTION("IF(C1739&lt;&gt;"""", GOOGLETRANSLATE(C1739, ""en"", ""te""),"""")"),"")</f>
        <v/>
      </c>
      <c r="E1739" s="2"/>
      <c r="F1739" s="2" t="str">
        <f>IFERROR(__xludf.DUMMYFUNCTION("IF(E1739&lt;&gt;"""", GOOGLETRANSLATE(E1739, ""en"", ""te""),"""")"),"")</f>
        <v/>
      </c>
      <c r="G1739" s="2"/>
      <c r="H1739" s="2" t="str">
        <f>IFERROR(__xludf.DUMMYFUNCTION("IF(G1739&lt;&gt;"""", GOOGLETRANSLATE(G1739, ""en"", ""te""),"""")"),"")</f>
        <v/>
      </c>
      <c r="I1739" s="3"/>
    </row>
    <row r="1740" customHeight="1" spans="1:9">
      <c r="A1740" s="2"/>
      <c r="B1740" s="2" t="str">
        <f>IFERROR(__xludf.DUMMYFUNCTION("IF(A1740&lt;&gt;"""", GOOGLETRANSLATE(A1740, ""en"", ""te""),"""")"),"")</f>
        <v/>
      </c>
      <c r="C1740" s="2"/>
      <c r="D1740" s="2" t="str">
        <f>IFERROR(__xludf.DUMMYFUNCTION("IF(C1740&lt;&gt;"""", GOOGLETRANSLATE(C1740, ""en"", ""te""),"""")"),"")</f>
        <v/>
      </c>
      <c r="E1740" s="2"/>
      <c r="F1740" s="2" t="str">
        <f>IFERROR(__xludf.DUMMYFUNCTION("IF(E1740&lt;&gt;"""", GOOGLETRANSLATE(E1740, ""en"", ""te""),"""")"),"")</f>
        <v/>
      </c>
      <c r="G1740" s="2"/>
      <c r="H1740" s="2" t="str">
        <f>IFERROR(__xludf.DUMMYFUNCTION("IF(G1740&lt;&gt;"""", GOOGLETRANSLATE(G1740, ""en"", ""te""),"""")"),"")</f>
        <v/>
      </c>
      <c r="I1740" s="3"/>
    </row>
    <row r="1741" customHeight="1" spans="1:9">
      <c r="A1741" s="2"/>
      <c r="B1741" s="2" t="str">
        <f>IFERROR(__xludf.DUMMYFUNCTION("IF(A1741&lt;&gt;"""", GOOGLETRANSLATE(A1741, ""en"", ""te""),"""")"),"")</f>
        <v/>
      </c>
      <c r="C1741" s="2"/>
      <c r="D1741" s="2" t="str">
        <f>IFERROR(__xludf.DUMMYFUNCTION("IF(C1741&lt;&gt;"""", GOOGLETRANSLATE(C1741, ""en"", ""te""),"""")"),"")</f>
        <v/>
      </c>
      <c r="E1741" s="2"/>
      <c r="F1741" s="2" t="str">
        <f>IFERROR(__xludf.DUMMYFUNCTION("IF(E1741&lt;&gt;"""", GOOGLETRANSLATE(E1741, ""en"", ""te""),"""")"),"")</f>
        <v/>
      </c>
      <c r="G1741" s="2"/>
      <c r="H1741" s="2" t="str">
        <f>IFERROR(__xludf.DUMMYFUNCTION("IF(G1741&lt;&gt;"""", GOOGLETRANSLATE(G1741, ""en"", ""te""),"""")"),"")</f>
        <v/>
      </c>
      <c r="I1741" s="3"/>
    </row>
    <row r="1742" customHeight="1" spans="1:9">
      <c r="A1742" s="2"/>
      <c r="B1742" s="2" t="str">
        <f>IFERROR(__xludf.DUMMYFUNCTION("IF(A1742&lt;&gt;"""", GOOGLETRANSLATE(A1742, ""en"", ""te""),"""")"),"")</f>
        <v/>
      </c>
      <c r="C1742" s="2"/>
      <c r="D1742" s="2" t="str">
        <f>IFERROR(__xludf.DUMMYFUNCTION("IF(C1742&lt;&gt;"""", GOOGLETRANSLATE(C1742, ""en"", ""te""),"""")"),"")</f>
        <v/>
      </c>
      <c r="E1742" s="2"/>
      <c r="F1742" s="2" t="str">
        <f>IFERROR(__xludf.DUMMYFUNCTION("IF(E1742&lt;&gt;"""", GOOGLETRANSLATE(E1742, ""en"", ""te""),"""")"),"")</f>
        <v/>
      </c>
      <c r="G1742" s="2"/>
      <c r="H1742" s="2" t="str">
        <f>IFERROR(__xludf.DUMMYFUNCTION("IF(G1742&lt;&gt;"""", GOOGLETRANSLATE(G1742, ""en"", ""te""),"""")"),"")</f>
        <v/>
      </c>
      <c r="I1742" s="3"/>
    </row>
    <row r="1743" customHeight="1" spans="1:9">
      <c r="A1743" s="2"/>
      <c r="B1743" s="2" t="str">
        <f>IFERROR(__xludf.DUMMYFUNCTION("IF(A1743&lt;&gt;"""", GOOGLETRANSLATE(A1743, ""en"", ""te""),"""")"),"")</f>
        <v/>
      </c>
      <c r="C1743" s="2"/>
      <c r="D1743" s="2" t="str">
        <f>IFERROR(__xludf.DUMMYFUNCTION("IF(C1743&lt;&gt;"""", GOOGLETRANSLATE(C1743, ""en"", ""te""),"""")"),"")</f>
        <v/>
      </c>
      <c r="E1743" s="2" t="s">
        <v>1043</v>
      </c>
      <c r="F1743" s="2" t="str">
        <f>IFERROR(__xludf.DUMMYFUNCTION("IF(E1743&lt;&gt;"""", GOOGLETRANSLATE(E1743, ""en"", ""te""),"""")"),"[ '31 చెత్త కెరీర్ బౌలింగ్ సరాసరి (అర్హత లేకుండా) (121.00)']")</f>
        <v>[ '31 చెత్త కెరీర్ బౌలింగ్ సరాసరి (అర్హత లేకుండా) (121.00)']</v>
      </c>
      <c r="G1743" s="2" t="s">
        <v>797</v>
      </c>
      <c r="H1743" s="2" t="str">
        <f>IFERROR(__xludf.DUMMYFUNCTION("IF(G1743&lt;&gt;"""", GOOGLETRANSLATE(G1743, ""en"", ""te""),"""")"),"[ '17 వ బౌలర్ / బ్యాట్స్ కలయికలు (3)']")</f>
        <v>[ '17 వ బౌలర్ / బ్యాట్స్ కలయికలు (3)']</v>
      </c>
      <c r="I1743" s="3"/>
    </row>
    <row r="1744" customHeight="1" spans="1:9">
      <c r="A1744" s="2" t="s">
        <v>399</v>
      </c>
      <c r="B1744" s="2" t="str">
        <f>IFERROR(__xludf.DUMMYFUNCTION("IF(A1744&lt;&gt;"""", GOOGLETRANSLATE(A1744, ""en"", ""te""),"""")"),"[ 'తొలి పెయిర్']")</f>
        <v>[ 'తొలి పెయిర్']</v>
      </c>
      <c r="C1744" s="2"/>
      <c r="D1744" s="2" t="str">
        <f>IFERROR(__xludf.DUMMYFUNCTION("IF(C1744&lt;&gt;"""", GOOGLETRANSLATE(C1744, ""en"", ""te""),"""")"),"")</f>
        <v/>
      </c>
      <c r="E1744" s="2"/>
      <c r="F1744" s="2" t="str">
        <f>IFERROR(__xludf.DUMMYFUNCTION("IF(E1744&lt;&gt;"""", GOOGLETRANSLATE(E1744, ""en"", ""te""),"""")"),"")</f>
        <v/>
      </c>
      <c r="G1744" s="2"/>
      <c r="H1744" s="2" t="str">
        <f>IFERROR(__xludf.DUMMYFUNCTION("IF(G1744&lt;&gt;"""", GOOGLETRANSLATE(G1744, ""en"", ""te""),"""")"),"")</f>
        <v/>
      </c>
      <c r="I1744" s="3"/>
    </row>
    <row r="1745" customHeight="1" spans="1:9">
      <c r="A1745" s="2" t="s">
        <v>1044</v>
      </c>
      <c r="B1745" s="2" t="str">
        <f>IFERROR(__xludf.DUMMYFUNCTION("IF(A1745&lt;&gt;"""", GOOGLETRANSLATE(A1745, ""en"", ""te""),"""")"),"[ 'తొలి పెయిర్', '4 వ ఒక క్యాలెండర్ సంవత్సరంలో అత్యధిక వికెట్లు (80)', 'ఇన్నింగ్స్ లో 4 వ చెత్త ఆర్థిక రేటు (8.00)', '6 వ అత్యధిక వికెట్లు ఒక వికెట్ కీపర్ చే కాట్ తీసుకున్న (100)', '4 వ వేగవంతమైన 250 వికెట్లు (50) ',' 3 వ అరంగేట్రంలోనే ఇన్నింగ్స్ లోని బె"&amp;"స్ట్ ఫిగర్స్ (5) ',' మోస్ట్ నాలుగు వికెట్లు-ఇన్-ఒక-ఇన్నింగ్స్ 10 వ ఒక వృత్తిలో (13) ',' 8 వ అత్యధిక వికెట్లు ఒక పట్టుకుంటే తీసుకున్న వికెట్కీపర్గా (63) ',' ఒక క్యాలెండర్ సంవత్సరంలో 250 వికెట్లు (148) ',' 9 వ అత్యధిక వికెట్లు వేగంగా 3 వ (107) ',' 8 వ అత్యధ"&amp;"ిక వికెట్లు ఒక వికెట్ కీపర్ చే కాట్ తీసుకోకూడదు (163) ']")</f>
        <v>[ 'తొలి పెయిర్', '4 వ ఒక క్యాలెండర్ సంవత్సరంలో అత్యధిక వికెట్లు (80)', 'ఇన్నింగ్స్ లో 4 వ చెత్త ఆర్థిక రేటు (8.00)', '6 వ అత్యధిక వికెట్లు ఒక వికెట్ కీపర్ చే కాట్ తీసుకున్న (100)', '4 వ వేగవంతమైన 250 వికెట్లు (50) ',' 3 వ అరంగేట్రంలోనే ఇన్నింగ్స్ లోని బెస్ట్ ఫిగర్స్ (5) ',' మోస్ట్ నాలుగు వికెట్లు-ఇన్-ఒక-ఇన్నింగ్స్ 10 వ ఒక వృత్తిలో (13) ',' 8 వ అత్యధిక వికెట్లు ఒక పట్టుకుంటే తీసుకున్న వికెట్కీపర్గా (63) ',' ఒక క్యాలెండర్ సంవత్సరంలో 250 వికెట్లు (148) ',' 9 వ అత్యధిక వికెట్లు వేగంగా 3 వ (107) ',' 8 వ అత్యధిక వికెట్లు ఒక వికెట్ కీపర్ చే కాట్ తీసుకోకూడదు (163) ']</v>
      </c>
      <c r="C1745" s="2" t="s">
        <v>1045</v>
      </c>
      <c r="D1745" s="2" t="str">
        <f>IFERROR(__xludf.DUMMYFUNCTION("IF(C1745&lt;&gt;"""", GOOGLETRANSLATE(C1745, ""en"", ""te""),"""")"),"[ '39 వ కెరీర్ బాతులు (17)', '26th అత్యధిక వికెట్లు కెరీర్లో (330)', '33 వ ఒక సిరీస్లో అత్యధిక వికెట్లు (33)', '4 వ ఒక క్యాలెండర్ సంవత్సరంలో అత్యధిక వికెట్లు (80)', '37 వ ఉత్తమ కెరీర్ బౌలింగ్ సరాసరి (22.25) ', '21 వ ఉత్తమ కెరీర్ సమ్మె రేటు (47.0)', '37 వ "&amp;"ఉత్తమ ఆర్ధిక ఇన్నింగ్స్ లో ఒక ఇన్నింగ్స్ లో రేటు (0.60)', '4 వ చెత్త ఆర్థిక రేటు (8.00)', '22 వ అత్యంత ఐదు -wickets-ఇన్-ఒక-ఇన్నింగ్స్ కెరీర్లో (20) ',' 29 వ అత్యధిక పది వికెట్లు లో ఒక మ్యాచ్ ఒక వృత్తిలో (3) ',' పది వికెట్లు ఇన్ ఒక- తీసుకోవాలని 43 వ అత్యంత"&amp;" వృద్ధ ఆటగాడు (33y 36d) మ్యాచ్ ',' 48 వ (15519) ',' 46 వ కెరీర్ లో సాధించిన అత్యధిక పరుగులు (7344) ',' 32 వ బౌలర్ / బ్యాటర్ కలయికలు (11) ',' 20 వ బౌలర్ / ఫీల్డర్ కాంబినేషన్ కెరీర్లో బౌల్డ్ చాలా బంతుల్లో (53 ) ',' 35 వ అత్యధిక వికెట్లు తీసుకున్న బౌల్డ్ (62"&amp;") ',' 24 వ అత్యధిక వికెట్లు తీసుకున్న ఆకర్షించింది (226) ',' 33 వ అత్యధిక వికెట్లు ఒక ఫీల్డర్ చేత క్యాచ్ తీసుకున్న (126) ',' 6 వ అత్యధిక వికెట్లు వికెట్లు (ఆకర్షించింది తీసుకున్న 100 ) ',' 50 వికెట్లు వేగంగా 41 వ (11) ',' 27th 100 వికెట్లు వేగంగా (22) ','"&amp;" 16 వ 150 వికెట్లు వేగంగా (33) ',' 9 వ 200 వికెట్లు వేగంగా (42) ',' 4 వ 250 వికెట్లు వేగంగా (50) ',' వేగంగా 300 వికెట్లు (63) ',' 41 వ అత్యంత ప్లేయర్ ఆఫ్ ది మ్యాచ్ అవార్డులు (8) ',' 24 వ అత్యంత ప్లేయర్ ఆఫ్ ది సిరీస్గా 7 అవార్డులు (4) ']")</f>
        <v>[ '39 వ కెరీర్ బాతులు (17)', '26th అత్యధిక వికెట్లు కెరీర్లో (330)', '33 వ ఒక సిరీస్లో అత్యధిక వికెట్లు (33)', '4 వ ఒక క్యాలెండర్ సంవత్సరంలో అత్యధిక వికెట్లు (80)', '37 వ ఉత్తమ కెరీర్ బౌలింగ్ సరాసరి (22.25) ', '21 వ ఉత్తమ కెరీర్ సమ్మె రేటు (47.0)', '37 వ ఉత్తమ ఆర్ధిక ఇన్నింగ్స్ లో ఒక ఇన్నింగ్స్ లో రేటు (0.60)', '4 వ చెత్త ఆర్థిక రేటు (8.00)', '22 వ అత్యంత ఐదు -wickets-ఇన్-ఒక-ఇన్నింగ్స్ కెరీర్లో (20) ',' 29 వ అత్యధిక పది వికెట్లు లో ఒక మ్యాచ్ ఒక వృత్తిలో (3) ',' పది వికెట్లు ఇన్ ఒక- తీసుకోవాలని 43 వ అత్యంత వృద్ధ ఆటగాడు (33y 36d) మ్యాచ్ ',' 48 వ (15519) ',' 46 వ కెరీర్ లో సాధించిన అత్యధిక పరుగులు (7344) ',' 32 వ బౌలర్ / బ్యాటర్ కలయికలు (11) ',' 20 వ బౌలర్ / ఫీల్డర్ కాంబినేషన్ కెరీర్లో బౌల్డ్ చాలా బంతుల్లో (53 ) ',' 35 వ అత్యధిక వికెట్లు తీసుకున్న బౌల్డ్ (62) ',' 24 వ అత్యధిక వికెట్లు తీసుకున్న ఆకర్షించింది (226) ',' 33 వ అత్యధిక వికెట్లు ఒక ఫీల్డర్ చేత క్యాచ్ తీసుకున్న (126) ',' 6 వ అత్యధిక వికెట్లు వికెట్లు (ఆకర్షించింది తీసుకున్న 100 ) ',' 50 వికెట్లు వేగంగా 41 వ (11) ',' 27th 100 వికెట్లు వేగంగా (22) ',' 16 వ 150 వికెట్లు వేగంగా (33) ',' 9 వ 200 వికెట్లు వేగంగా (42) ',' 4 వ 250 వికెట్లు వేగంగా (50) ',' వేగంగా 300 వికెట్లు (63) ',' 41 వ అత్యంత ప్లేయర్ ఆఫ్ ది మ్యాచ్ అవార్డులు (8) ',' 24 వ అత్యంత ప్లేయర్ ఆఫ్ ది సిరీస్గా 7 అవార్డులు (4) ']</v>
      </c>
      <c r="E1745" s="2" t="s">
        <v>1046</v>
      </c>
      <c r="F1745" s="2" t="str">
        <f>IFERROR(__xludf.DUMMYFUNCTION("IF(E1745&lt;&gt;"""", GOOGLETRANSLATE(E1745, ""en"", ""te""),"""")"),"[ '19 కెరీర్లో అత్యధిక వికెట్లు (272)', '30 వ ఉత్తమ ఇన్నింగ్స్ లో సంఖ్యలు (6/23)', 'వరుస 42 వ అత్యధిక వికెట్లు (18)', '16 వ ఒక క్యాలెండర్ సంవత్సరంలో అత్యధిక వికెట్లు (51)' '14 వ ఒక ఇన్నింగ్స్ లోని బెస్ట్ ఫిగర్స్ ఉన్నప్పుడు పరాజయం వైపు (5) న', '14 వ ఉత్తమ"&amp;" కెరీర్ సగటు (21.78) బౌలింగ్', '42 వ ఉత్తమ కెరీర్ సమ్మె రేటు (31.4)', '3 వ అరంగేట్రంలోనే ఇన్నింగ్స్ లోని బెస్ట్ ఫిగర్స్ ( 5) ',' 43 వ అత్యంత ఐదు-వికెట్ల లో-ఒక-ఇన్నింగ్స్ కెరీర్లో (2) ',' 10 వ అత్యంత నాలుగు వికెట్లు-ఇన్-ఒక-ఇన్నింగ్స్ కెరీర్లో (13) ',' 33 వ"&amp;" అత్యంత బంతుల్లో బౌల్డ్ కెరీర్ (8561) ',' 44 వ కెరీర్ లో సాధించిన అత్యధిక పరుగులు (5926) ',' 19 వ బౌలర్ / ఫీల్డర్ కలయికలు (35) ', '21 వ అత్యధిక వికెట్లు తీసుకున్న బౌల్డ్ (60)', '14 వ అత్యధిక వికెట్లు తీసుకున్న ఆకర్షించింది (186)' , '22 వ అత్యధిక వికెట్లు "&amp;"ఒక ఫీల్డర్ (123) పట్టుకుంటే తీసుకున్న' '8 వ అత్యధిక వికెట్లు తీసుకున్న వికెట్ కీపర్ చే కాట్ (63)', '34 వ అత్యధిక వికెట్లు తీసుకున్న ఎల్బిడబ్ల్యు (26)', '26th 100 వికెట్లు వేగంగా (64)' '6 వ 150 వికెట్లు వేగంగా (89)',] '250 వికెట్లు (148) కు 3 వ అత్యంత వేగం"&amp;"గా' 'ఫాస్టెస్ట్ 200 వికెట్లు (117) 3 వ'")</f>
        <v>[ '19 కెరీర్లో అత్యధిక వికెట్లు (272)', '30 వ ఉత్తమ ఇన్నింగ్స్ లో సంఖ్యలు (6/23)', 'వరుస 42 వ అత్యధిక వికెట్లు (18)', '16 వ ఒక క్యాలెండర్ సంవత్సరంలో అత్యధిక వికెట్లు (51)' '14 వ ఒక ఇన్నింగ్స్ లోని బెస్ట్ ఫిగర్స్ ఉన్నప్పుడు పరాజయం వైపు (5) న', '14 వ ఉత్తమ కెరీర్ సగటు (21.78) బౌలింగ్', '42 వ ఉత్తమ కెరీర్ సమ్మె రేటు (31.4)', '3 వ అరంగేట్రంలోనే ఇన్నింగ్స్ లోని బెస్ట్ ఫిగర్స్ ( 5) ',' 43 వ అత్యంత ఐదు-వికెట్ల లో-ఒక-ఇన్నింగ్స్ కెరీర్లో (2) ',' 10 వ అత్యంత నాలుగు వికెట్లు-ఇన్-ఒక-ఇన్నింగ్స్ కెరీర్లో (13) ',' 33 వ అత్యంత బంతుల్లో బౌల్డ్ కెరీర్ (8561) ',' 44 వ కెరీర్ లో సాధించిన అత్యధిక పరుగులు (5926) ',' 19 వ బౌలర్ / ఫీల్డర్ కలయికలు (35) ', '21 వ అత్యధిక వికెట్లు తీసుకున్న బౌల్డ్ (60)', '14 వ అత్యధిక వికెట్లు తీసుకున్న ఆకర్షించింది (186)' , '22 వ అత్యధిక వికెట్లు ఒక ఫీల్డర్ (123) పట్టుకుంటే తీసుకున్న' '8 వ అత్యధిక వికెట్లు తీసుకున్న వికెట్ కీపర్ చే కాట్ (63)', '34 వ అత్యధిక వికెట్లు తీసుకున్న ఎల్బిడబ్ల్యు (26)', '26th 100 వికెట్లు వేగంగా (64)' '6 వ 150 వికెట్లు వేగంగా (89)',] '250 వికెట్లు (148) కు 3 వ అత్యంత వేగంగా' 'ఫాస్టెస్ట్ 200 వికెట్లు (117) 3 వ'</v>
      </c>
      <c r="G1745" s="2"/>
      <c r="H1745" s="2" t="str">
        <f>IFERROR(__xludf.DUMMYFUNCTION("IF(G1745&lt;&gt;"""", GOOGLETRANSLATE(G1745, ""en"", ""te""),"""")"),"")</f>
        <v/>
      </c>
      <c r="I1745" s="3"/>
    </row>
    <row r="1746" customHeight="1" spans="1:9">
      <c r="A1746" s="2"/>
      <c r="B1746" s="2" t="str">
        <f>IFERROR(__xludf.DUMMYFUNCTION("IF(A1746&lt;&gt;"""", GOOGLETRANSLATE(A1746, ""en"", ""te""),"""")"),"")</f>
        <v/>
      </c>
      <c r="C1746" s="2"/>
      <c r="D1746" s="2" t="str">
        <f>IFERROR(__xludf.DUMMYFUNCTION("IF(C1746&lt;&gt;"""", GOOGLETRANSLATE(C1746, ""en"", ""te""),"""")"),"")</f>
        <v/>
      </c>
      <c r="E1746" s="2"/>
      <c r="F1746" s="2" t="str">
        <f>IFERROR(__xludf.DUMMYFUNCTION("IF(E1746&lt;&gt;"""", GOOGLETRANSLATE(E1746, ""en"", ""te""),"""")"),"")</f>
        <v/>
      </c>
      <c r="G1746" s="2"/>
      <c r="H1746" s="2" t="str">
        <f>IFERROR(__xludf.DUMMYFUNCTION("IF(G1746&lt;&gt;"""", GOOGLETRANSLATE(G1746, ""en"", ""te""),"""")"),"")</f>
        <v/>
      </c>
      <c r="I1746" s="3"/>
    </row>
    <row r="1747" customHeight="1" spans="1:9">
      <c r="A1747" s="2"/>
      <c r="B1747" s="2" t="str">
        <f>IFERROR(__xludf.DUMMYFUNCTION("IF(A1747&lt;&gt;"""", GOOGLETRANSLATE(A1747, ""en"", ""te""),"""")"),"")</f>
        <v/>
      </c>
      <c r="C1747" s="2"/>
      <c r="D1747" s="2" t="str">
        <f>IFERROR(__xludf.DUMMYFUNCTION("IF(C1747&lt;&gt;"""", GOOGLETRANSLATE(C1747, ""en"", ""te""),"""")"),"")</f>
        <v/>
      </c>
      <c r="E1747" s="2"/>
      <c r="F1747" s="2" t="str">
        <f>IFERROR(__xludf.DUMMYFUNCTION("IF(E1747&lt;&gt;"""", GOOGLETRANSLATE(E1747, ""en"", ""te""),"""")"),"")</f>
        <v/>
      </c>
      <c r="G1747" s="2"/>
      <c r="H1747" s="2" t="str">
        <f>IFERROR(__xludf.DUMMYFUNCTION("IF(G1747&lt;&gt;"""", GOOGLETRANSLATE(G1747, ""en"", ""te""),"""")"),"")</f>
        <v/>
      </c>
      <c r="I1747" s="3"/>
    </row>
    <row r="1748" customHeight="1" spans="1:9">
      <c r="A1748" s="2"/>
      <c r="B1748" s="2" t="str">
        <f>IFERROR(__xludf.DUMMYFUNCTION("IF(A1748&lt;&gt;"""", GOOGLETRANSLATE(A1748, ""en"", ""te""),"""")"),"")</f>
        <v/>
      </c>
      <c r="C1748" s="2"/>
      <c r="D1748" s="2" t="str">
        <f>IFERROR(__xludf.DUMMYFUNCTION("IF(C1748&lt;&gt;"""", GOOGLETRANSLATE(C1748, ""en"", ""te""),"""")"),"")</f>
        <v/>
      </c>
      <c r="E1748" s="2"/>
      <c r="F1748" s="2" t="str">
        <f>IFERROR(__xludf.DUMMYFUNCTION("IF(E1748&lt;&gt;"""", GOOGLETRANSLATE(E1748, ""en"", ""te""),"""")"),"")</f>
        <v/>
      </c>
      <c r="G1748" s="2"/>
      <c r="H1748" s="2" t="str">
        <f>IFERROR(__xludf.DUMMYFUNCTION("IF(G1748&lt;&gt;"""", GOOGLETRANSLATE(G1748, ""en"", ""te""),"""")"),"")</f>
        <v/>
      </c>
      <c r="I1748" s="3"/>
    </row>
    <row r="1749" customHeight="1" spans="1:9">
      <c r="A1749" s="2" t="s">
        <v>1047</v>
      </c>
      <c r="B1749" s="2" t="str">
        <f>IFERROR(__xludf.DUMMYFUNCTION("IF(A1749&lt;&gt;"""", GOOGLETRANSLATE(A1749, ""en"", ""te""),"""")"),"[ '6 వ వరుస (5) లో అన్ని టాస్ గెలిచి']")</f>
        <v>[ '6 వ వరుస (5) లో అన్ని టాస్ గెలిచి']</v>
      </c>
      <c r="C1749" s="2" t="s">
        <v>1047</v>
      </c>
      <c r="D1749" s="2" t="str">
        <f>IFERROR(__xludf.DUMMYFUNCTION("IF(C1749&lt;&gt;"""", GOOGLETRANSLATE(C1749, ""en"", ""te""),"""")"),"[ '6 వ వరుస (5) లో అన్ని టాస్ గెలిచి']")</f>
        <v>[ '6 వ వరుస (5) లో అన్ని టాస్ గెలిచి']</v>
      </c>
      <c r="E1749" s="2"/>
      <c r="F1749" s="2" t="str">
        <f>IFERROR(__xludf.DUMMYFUNCTION("IF(E1749&lt;&gt;"""", GOOGLETRANSLATE(E1749, ""en"", ""te""),"""")"),"")</f>
        <v/>
      </c>
      <c r="G1749" s="2"/>
      <c r="H1749" s="2" t="str">
        <f>IFERROR(__xludf.DUMMYFUNCTION("IF(G1749&lt;&gt;"""", GOOGLETRANSLATE(G1749, ""en"", ""te""),"""")"),"")</f>
        <v/>
      </c>
      <c r="I1749" s="3"/>
    </row>
    <row r="1750" customHeight="1" spans="1:9">
      <c r="A1750" s="2"/>
      <c r="B1750" s="2" t="str">
        <f>IFERROR(__xludf.DUMMYFUNCTION("IF(A1750&lt;&gt;"""", GOOGLETRANSLATE(A1750, ""en"", ""te""),"""")"),"")</f>
        <v/>
      </c>
      <c r="C1750" s="2"/>
      <c r="D1750" s="2" t="str">
        <f>IFERROR(__xludf.DUMMYFUNCTION("IF(C1750&lt;&gt;"""", GOOGLETRANSLATE(C1750, ""en"", ""te""),"""")"),"")</f>
        <v/>
      </c>
      <c r="E1750" s="2"/>
      <c r="F1750" s="2" t="str">
        <f>IFERROR(__xludf.DUMMYFUNCTION("IF(E1750&lt;&gt;"""", GOOGLETRANSLATE(E1750, ""en"", ""te""),"""")"),"")</f>
        <v/>
      </c>
      <c r="G1750" s="2"/>
      <c r="H1750" s="2" t="str">
        <f>IFERROR(__xludf.DUMMYFUNCTION("IF(G1750&lt;&gt;"""", GOOGLETRANSLATE(G1750, ""en"", ""te""),"""")"),"")</f>
        <v/>
      </c>
      <c r="I1750" s="3"/>
    </row>
    <row r="1751" customHeight="1" spans="1:9">
      <c r="A1751" s="2"/>
      <c r="B1751" s="2" t="str">
        <f>IFERROR(__xludf.DUMMYFUNCTION("IF(A1751&lt;&gt;"""", GOOGLETRANSLATE(A1751, ""en"", ""te""),"""")"),"")</f>
        <v/>
      </c>
      <c r="C1751" s="2"/>
      <c r="D1751" s="2" t="str">
        <f>IFERROR(__xludf.DUMMYFUNCTION("IF(C1751&lt;&gt;"""", GOOGLETRANSLATE(C1751, ""en"", ""te""),"""")"),"")</f>
        <v/>
      </c>
      <c r="E1751" s="2"/>
      <c r="F1751" s="2" t="str">
        <f>IFERROR(__xludf.DUMMYFUNCTION("IF(E1751&lt;&gt;"""", GOOGLETRANSLATE(E1751, ""en"", ""te""),"""")"),"")</f>
        <v/>
      </c>
      <c r="G1751" s="2"/>
      <c r="H1751" s="2" t="str">
        <f>IFERROR(__xludf.DUMMYFUNCTION("IF(G1751&lt;&gt;"""", GOOGLETRANSLATE(G1751, ""en"", ""te""),"""")"),"")</f>
        <v/>
      </c>
      <c r="I1751" s="3"/>
    </row>
    <row r="1752" customHeight="1" spans="1:9">
      <c r="A1752" s="2"/>
      <c r="B1752" s="2" t="str">
        <f>IFERROR(__xludf.DUMMYFUNCTION("IF(A1752&lt;&gt;"""", GOOGLETRANSLATE(A1752, ""en"", ""te""),"""")"),"")</f>
        <v/>
      </c>
      <c r="C1752" s="2"/>
      <c r="D1752" s="2" t="str">
        <f>IFERROR(__xludf.DUMMYFUNCTION("IF(C1752&lt;&gt;"""", GOOGLETRANSLATE(C1752, ""en"", ""te""),"""")"),"")</f>
        <v/>
      </c>
      <c r="E1752" s="2"/>
      <c r="F1752" s="2" t="str">
        <f>IFERROR(__xludf.DUMMYFUNCTION("IF(E1752&lt;&gt;"""", GOOGLETRANSLATE(E1752, ""en"", ""te""),"""")"),"")</f>
        <v/>
      </c>
      <c r="G1752" s="2"/>
      <c r="H1752" s="2" t="str">
        <f>IFERROR(__xludf.DUMMYFUNCTION("IF(G1752&lt;&gt;"""", GOOGLETRANSLATE(G1752, ""en"", ""te""),"""")"),"")</f>
        <v/>
      </c>
      <c r="I1752" s="3"/>
    </row>
    <row r="1753" customHeight="1" spans="1:9">
      <c r="A1753" s="2" t="s">
        <v>694</v>
      </c>
      <c r="B1753" s="2" t="str">
        <f>IFERROR(__xludf.DUMMYFUNCTION("IF(A1753&lt;&gt;"""", GOOGLETRANSLATE(A1753, ""en"", ""te""),"""")"),"[ '1st అత్యుత్తమ ఇన్నింగ్స్ (1/0) విశ్లేషణలలో బౌలింగ్']")</f>
        <v>[ '1st అత్యుత్తమ ఇన్నింగ్స్ (1/0) విశ్లేషణలలో బౌలింగ్']</v>
      </c>
      <c r="C1753" s="2" t="s">
        <v>694</v>
      </c>
      <c r="D1753" s="2" t="str">
        <f>IFERROR(__xludf.DUMMYFUNCTION("IF(C1753&lt;&gt;"""", GOOGLETRANSLATE(C1753, ""en"", ""te""),"""")"),"[ '1st అత్యుత్తమ ఇన్నింగ్స్ (1/0) విశ్లేషణలలో బౌలింగ్']")</f>
        <v>[ '1st అత్యుత్తమ ఇన్నింగ్స్ (1/0) విశ్లేషణలలో బౌలింగ్']</v>
      </c>
      <c r="E1753" s="2"/>
      <c r="F1753" s="2" t="str">
        <f>IFERROR(__xludf.DUMMYFUNCTION("IF(E1753&lt;&gt;"""", GOOGLETRANSLATE(E1753, ""en"", ""te""),"""")"),"")</f>
        <v/>
      </c>
      <c r="G1753" s="2"/>
      <c r="H1753" s="2" t="str">
        <f>IFERROR(__xludf.DUMMYFUNCTION("IF(G1753&lt;&gt;"""", GOOGLETRANSLATE(G1753, ""en"", ""te""),"""")"),"")</f>
        <v/>
      </c>
      <c r="I1753" s="3"/>
    </row>
    <row r="1754" customHeight="1" spans="1:9">
      <c r="A1754" s="2" t="s">
        <v>1048</v>
      </c>
      <c r="B1754" s="2" t="str">
        <f>IFERROR(__xludf.DUMMYFUNCTION("IF(A1754&lt;&gt;"""", GOOGLETRANSLATE(A1754, ""en"", ""te""),"""")"),"[ 'తొమ్మిదవ వికెట్కు 4 వ అత్యధిక భాగస్వామ్యం (180)', '10 వ ఇన్నింగ్స్ లో అత్యధిక పరుగులు (బ్యాటింగ్ స్థానంలో ప్రకారం) (150 *)', '1 వ 99 పరుగుల (199, 299 etc) (99)', ' 1000 పరుగులు, 50 వికెట్లు, 50 క్యాచ్లు ',' 5000 పరుగులు మరియు 50 ఫీల్డింగ్ వికెట్లు ',' "&amp;"6 వ ఇన్నింగ్స్ లో అత్యధిక పరుగులు (బ్యాటింగ్ స్థానంలో ద్వారా) (86 *) ',' 8 వ అత్యధిక కెరీర్ బ్యాటింగ్ సగటు (38.68) ']")</f>
        <v>[ 'తొమ్మిదవ వికెట్కు 4 వ అత్యధిక భాగస్వామ్యం (180)', '10 వ ఇన్నింగ్స్ లో అత్యధిక పరుగులు (బ్యాటింగ్ స్థానంలో ప్రకారం) (150 *)', '1 వ 99 పరుగుల (199, 299 etc) (99)', ' 1000 పరుగులు, 50 వికెట్లు, 50 క్యాచ్లు ',' 5000 పరుగులు మరియు 50 ఫీల్డింగ్ వికెట్లు ',' 6 వ ఇన్నింగ్స్ లో అత్యధిక పరుగులు (బ్యాటింగ్ స్థానంలో ద్వారా) (86 *) ',' 8 వ అత్యధిక కెరీర్ బ్యాటింగ్ సగటు (38.68) ']</v>
      </c>
      <c r="C1754" s="2" t="s">
        <v>1049</v>
      </c>
      <c r="D1754" s="2" t="str">
        <f>IFERROR(__xludf.DUMMYFUNCTION("IF(C1754&lt;&gt;"""", GOOGLETRANSLATE(C1754, ""en"", ""te""),"""")"),"[ '29 చెత్త కెరీర్లో ఆర్థిక రేటు (3.55)', 'తొమ్మిదవ వికెట్కు 4 వ అత్యధిక భాగస్వామ్యం (180)']")</f>
        <v>[ '29 చెత్త కెరీర్లో ఆర్థిక రేటు (3.55)', 'తొమ్మిదవ వికెట్కు 4 వ అత్యధిక భాగస్వామ్యం (180)']</v>
      </c>
      <c r="E1754" s="2" t="s">
        <v>1050</v>
      </c>
      <c r="F1754" s="2" t="str">
        <f>IFERROR(__xludf.DUMMYFUNCTION("IF(E1754&lt;&gt;"""", GOOGLETRANSLATE(E1754, ""en"", ""te""),"""")"),"[ '10 వ ఇన్నింగ్స్ లో అత్యధిక పరుగులు (బ్యాటింగ్ స్థానంలో ప్రకారం) (150 *)', '45 వ అత్యధిక ఇన్నింగ్స్ లో సమ్మె రేటు (266.66)', '34 వ కెరీర్ తొంభైల (4)', '1 వ 99 పరుగుల (మరియు 199, 299 etc) (99) ',' ఒక డక్ లేకుండా 24 వరుస ఇన్నింగ్స్ (73 *) ',' ఇన్నింగ్స్ "&amp;"లో 44 వ ఎక్కువ సిక్స్ (8) ',' ఇన్నింగ్స్ లో 47 వ ఉత్తమ సమ్మె రేటు (7.2) ',' కెరీర్లో 49 వ అత్యధిక క్యాచ్లు (82) ',' మూడో వికెట్కు 16 అత్యధిక భాగస్వామ్యం (219) ',' కెప్టెన్సీ ప్రవేశం (34y 169d) పై 40 వ ఓల్డెస్ట్ కెప్టెన్లు ']")</f>
        <v>[ '10 వ ఇన్నింగ్స్ లో అత్యధిక పరుగులు (బ్యాటింగ్ స్థానంలో ప్రకారం) (150 *)', '45 వ అత్యధిక ఇన్నింగ్స్ లో సమ్మె రేటు (266.66)', '34 వ కెరీర్ తొంభైల (4)', '1 వ 99 పరుగుల (మరియు 199, 299 etc) (99) ',' ఒక డక్ లేకుండా 24 వరుస ఇన్నింగ్స్ (73 *) ',' ఇన్నింగ్స్ లో 44 వ ఎక్కువ సిక్స్ (8) ',' ఇన్నింగ్స్ లో 47 వ ఉత్తమ సమ్మె రేటు (7.2) ',' కెరీర్లో 49 వ అత్యధిక క్యాచ్లు (82) ',' మూడో వికెట్కు 16 అత్యధిక భాగస్వామ్యం (219) ',' కెప్టెన్సీ ప్రవేశం (34y 169d) పై 40 వ ఓల్డెస్ట్ కెప్టెన్లు ']</v>
      </c>
      <c r="G1754" s="2" t="s">
        <v>1051</v>
      </c>
      <c r="H1754" s="2" t="str">
        <f>IFERROR(__xludf.DUMMYFUNCTION("IF(G1754&lt;&gt;"""", GOOGLETRANSLATE(G1754, ""en"", ""te""),"""")"),"[ '13 వ కెరీర్ లో అత్యధిక పరుగులు (1934)', 'ఇన్నింగ్స్ లో 6 వ అత్యధిక పరుగులు (బ్యాటింగ్ స్థానంలో ద్వారా) (86 *)', '45 వ కోల్పోకుండా వైపు ఒక మ్యాచ్లో అత్యధిక పరుగులు (78)', '8 వ అత్యధిక కెరీర్ బ్యాటింగ్ సగటు (38.68) ',' 20 వ కెరీర్ అర్ధ (11) ',' ఒక డక్ ల"&amp;"ేకుండా 19 వరుస ఇన్నింగ్స్ (44 *) ',' 13 వ కెరీర్ బాతులు (6) ',' 20 వ కెరీర్ లో వచ్చిన ఎక్కువ సిక్స్ ( 71) ',' 32 వ కెరీర్ ఫోర్లు (138) ',' 42 వ ఇన్నింగ్స్ లో వచ్చిన ఎక్కువ సిక్స్ (7) ',' ఒక ఇన్నింగ్స్లో పరుగుల 21 అత్యధిక శాతం (60.00) ',' 24th 1000 పరుగులు"&amp;" వేగంగా (40 ) ',' 14 వ అత్యధిక వికెట్లు ఆకర్షించింది తీసుకున్న మరియు బౌల్డ్ (కెరీర్ 3) ',' 17 వ అత్యధిక క్యాచ్లు (35) ',' మూడో వికెట్కు 49 వ అత్యధిక భాగస్వామ్యం (93) ',' నాలుగవ వికెట్కు 15 అత్యధిక భాగస్వామ్యం (105 *) ',' 17 వ కెరీర్ లో అత్యధిక మ్యాచ్లు (8"&amp;"1) ',' ఒక జట్టు కోసం 31 వరుస మ్యాచ్లు (33) ',' 28 వ అతి ప్లేయర్ ఆఫ్ ది మ్యాచ్ అవార్డులు (5) ',' 47 వ లాంగెస్ట్ కెరీర్లు (11y 190d) ',' 13 వ వరుస (3 అన్ని టాస్ గెలిచిన జట్టు) ']")</f>
        <v>[ '13 వ కెరీర్ లో అత్యధిక పరుగులు (1934)', 'ఇన్నింగ్స్ లో 6 వ అత్యధిక పరుగులు (బ్యాటింగ్ స్థానంలో ద్వారా) (86 *)', '45 వ కోల్పోకుండా వైపు ఒక మ్యాచ్లో అత్యధిక పరుగులు (78)', '8 వ అత్యధిక కెరీర్ బ్యాటింగ్ సగటు (38.68) ',' 20 వ కెరీర్ అర్ధ (11) ',' ఒక డక్ లేకుండా 19 వరుస ఇన్నింగ్స్ (44 *) ',' 13 వ కెరీర్ బాతులు (6) ',' 20 వ కెరీర్ లో వచ్చిన ఎక్కువ సిక్స్ ( 71) ',' 32 వ కెరీర్ ఫోర్లు (138) ',' 42 వ ఇన్నింగ్స్ లో వచ్చిన ఎక్కువ సిక్స్ (7) ',' ఒక ఇన్నింగ్స్లో పరుగుల 21 అత్యధిక శాతం (60.00) ',' 24th 1000 పరుగులు వేగంగా (40 ) ',' 14 వ అత్యధిక వికెట్లు ఆకర్షించింది తీసుకున్న మరియు బౌల్డ్ (కెరీర్ 3) ',' 17 వ అత్యధిక క్యాచ్లు (35) ',' మూడో వికెట్కు 49 వ అత్యధిక భాగస్వామ్యం (93) ',' నాలుగవ వికెట్కు 15 అత్యధిక భాగస్వామ్యం (105 *) ',' 17 వ కెరీర్ లో అత్యధిక మ్యాచ్లు (81) ',' ఒక జట్టు కోసం 31 వరుస మ్యాచ్లు (33) ',' 28 వ అతి ప్లేయర్ ఆఫ్ ది మ్యాచ్ అవార్డులు (5) ',' 47 వ లాంగెస్ట్ కెరీర్లు (11y 190d) ',' 13 వ వరుస (3 అన్ని టాస్ గెలిచిన జట్టు) ']</v>
      </c>
      <c r="I1754" s="3"/>
    </row>
    <row r="1755" customHeight="1" spans="1:9">
      <c r="A1755" s="2"/>
      <c r="B1755" s="2" t="str">
        <f>IFERROR(__xludf.DUMMYFUNCTION("IF(A1755&lt;&gt;"""", GOOGLETRANSLATE(A1755, ""en"", ""te""),"""")"),"")</f>
        <v/>
      </c>
      <c r="C1755" s="2"/>
      <c r="D1755" s="2" t="str">
        <f>IFERROR(__xludf.DUMMYFUNCTION("IF(C1755&lt;&gt;"""", GOOGLETRANSLATE(C1755, ""en"", ""te""),"""")"),"")</f>
        <v/>
      </c>
      <c r="E1755" s="2"/>
      <c r="F1755" s="2" t="str">
        <f>IFERROR(__xludf.DUMMYFUNCTION("IF(E1755&lt;&gt;"""", GOOGLETRANSLATE(E1755, ""en"", ""te""),"""")"),"")</f>
        <v/>
      </c>
      <c r="G1755" s="2"/>
      <c r="H1755" s="2" t="str">
        <f>IFERROR(__xludf.DUMMYFUNCTION("IF(G1755&lt;&gt;"""", GOOGLETRANSLATE(G1755, ""en"", ""te""),"""")"),"")</f>
        <v/>
      </c>
      <c r="I1755" s="3"/>
    </row>
    <row r="1756" customHeight="1" spans="1:9">
      <c r="A1756" s="2"/>
      <c r="B1756" s="2" t="str">
        <f>IFERROR(__xludf.DUMMYFUNCTION("IF(A1756&lt;&gt;"""", GOOGLETRANSLATE(A1756, ""en"", ""te""),"""")"),"")</f>
        <v/>
      </c>
      <c r="C1756" s="2"/>
      <c r="D1756" s="2" t="str">
        <f>IFERROR(__xludf.DUMMYFUNCTION("IF(C1756&lt;&gt;"""", GOOGLETRANSLATE(C1756, ""en"", ""te""),"""")"),"")</f>
        <v/>
      </c>
      <c r="E1756" s="2"/>
      <c r="F1756" s="2" t="str">
        <f>IFERROR(__xludf.DUMMYFUNCTION("IF(E1756&lt;&gt;"""", GOOGLETRANSLATE(E1756, ""en"", ""te""),"""")"),"")</f>
        <v/>
      </c>
      <c r="G1756" s="2"/>
      <c r="H1756" s="2" t="str">
        <f>IFERROR(__xludf.DUMMYFUNCTION("IF(G1756&lt;&gt;"""", GOOGLETRANSLATE(G1756, ""en"", ""te""),"""")"),"")</f>
        <v/>
      </c>
      <c r="I1756" s="3"/>
    </row>
    <row r="1757" customHeight="1" spans="1:9">
      <c r="A1757" s="2"/>
      <c r="B1757" s="2" t="str">
        <f>IFERROR(__xludf.DUMMYFUNCTION("IF(A1757&lt;&gt;"""", GOOGLETRANSLATE(A1757, ""en"", ""te""),"""")"),"")</f>
        <v/>
      </c>
      <c r="C1757" s="2"/>
      <c r="D1757" s="2" t="str">
        <f>IFERROR(__xludf.DUMMYFUNCTION("IF(C1757&lt;&gt;"""", GOOGLETRANSLATE(C1757, ""en"", ""te""),"""")"),"")</f>
        <v/>
      </c>
      <c r="E1757" s="2"/>
      <c r="F1757" s="2" t="str">
        <f>IFERROR(__xludf.DUMMYFUNCTION("IF(E1757&lt;&gt;"""", GOOGLETRANSLATE(E1757, ""en"", ""te""),"""")"),"")</f>
        <v/>
      </c>
      <c r="G1757" s="2"/>
      <c r="H1757" s="2" t="str">
        <f>IFERROR(__xludf.DUMMYFUNCTION("IF(G1757&lt;&gt;"""", GOOGLETRANSLATE(G1757, ""en"", ""te""),"""")"),"")</f>
        <v/>
      </c>
      <c r="I1757" s="3"/>
    </row>
    <row r="1758" customHeight="1" spans="1:9">
      <c r="A1758" s="2"/>
      <c r="B1758" s="2" t="str">
        <f>IFERROR(__xludf.DUMMYFUNCTION("IF(A1758&lt;&gt;"""", GOOGLETRANSLATE(A1758, ""en"", ""te""),"""")"),"")</f>
        <v/>
      </c>
      <c r="C1758" s="2"/>
      <c r="D1758" s="2" t="str">
        <f>IFERROR(__xludf.DUMMYFUNCTION("IF(C1758&lt;&gt;"""", GOOGLETRANSLATE(C1758, ""en"", ""te""),"""")"),"")</f>
        <v/>
      </c>
      <c r="E1758" s="2"/>
      <c r="F1758" s="2" t="str">
        <f>IFERROR(__xludf.DUMMYFUNCTION("IF(E1758&lt;&gt;"""", GOOGLETRANSLATE(E1758, ""en"", ""te""),"""")"),"")</f>
        <v/>
      </c>
      <c r="G1758" s="2"/>
      <c r="H1758" s="2" t="str">
        <f>IFERROR(__xludf.DUMMYFUNCTION("IF(G1758&lt;&gt;"""", GOOGLETRANSLATE(G1758, ""en"", ""te""),"""")"),"")</f>
        <v/>
      </c>
      <c r="I1758" s="3"/>
    </row>
    <row r="1759" customHeight="1" spans="1:9">
      <c r="A1759" s="2"/>
      <c r="B1759" s="2" t="str">
        <f>IFERROR(__xludf.DUMMYFUNCTION("IF(A1759&lt;&gt;"""", GOOGLETRANSLATE(A1759, ""en"", ""te""),"""")"),"")</f>
        <v/>
      </c>
      <c r="C1759" s="2"/>
      <c r="D1759" s="2" t="str">
        <f>IFERROR(__xludf.DUMMYFUNCTION("IF(C1759&lt;&gt;"""", GOOGLETRANSLATE(C1759, ""en"", ""te""),"""")"),"")</f>
        <v/>
      </c>
      <c r="E1759" s="2"/>
      <c r="F1759" s="2" t="str">
        <f>IFERROR(__xludf.DUMMYFUNCTION("IF(E1759&lt;&gt;"""", GOOGLETRANSLATE(E1759, ""en"", ""te""),"""")"),"")</f>
        <v/>
      </c>
      <c r="G1759" s="2"/>
      <c r="H1759" s="2" t="str">
        <f>IFERROR(__xludf.DUMMYFUNCTION("IF(G1759&lt;&gt;"""", GOOGLETRANSLATE(G1759, ""en"", ""te""),"""")"),"")</f>
        <v/>
      </c>
      <c r="I1759" s="3"/>
    </row>
    <row r="1760" customHeight="1" spans="1:9">
      <c r="A1760" s="2"/>
      <c r="B1760" s="2" t="str">
        <f>IFERROR(__xludf.DUMMYFUNCTION("IF(A1760&lt;&gt;"""", GOOGLETRANSLATE(A1760, ""en"", ""te""),"""")"),"")</f>
        <v/>
      </c>
      <c r="C1760" s="2"/>
      <c r="D1760" s="2" t="str">
        <f>IFERROR(__xludf.DUMMYFUNCTION("IF(C1760&lt;&gt;"""", GOOGLETRANSLATE(C1760, ""en"", ""te""),"""")"),"")</f>
        <v/>
      </c>
      <c r="E1760" s="2"/>
      <c r="F1760" s="2" t="str">
        <f>IFERROR(__xludf.DUMMYFUNCTION("IF(E1760&lt;&gt;"""", GOOGLETRANSLATE(E1760, ""en"", ""te""),"""")"),"")</f>
        <v/>
      </c>
      <c r="G1760" s="2"/>
      <c r="H1760" s="2" t="str">
        <f>IFERROR(__xludf.DUMMYFUNCTION("IF(G1760&lt;&gt;"""", GOOGLETRANSLATE(G1760, ""en"", ""te""),"""")"),"")</f>
        <v/>
      </c>
      <c r="I1760" s="3"/>
    </row>
    <row r="1761" customHeight="1" spans="1:9">
      <c r="A1761" s="2"/>
      <c r="B1761" s="2" t="str">
        <f>IFERROR(__xludf.DUMMYFUNCTION("IF(A1761&lt;&gt;"""", GOOGLETRANSLATE(A1761, ""en"", ""te""),"""")"),"")</f>
        <v/>
      </c>
      <c r="C1761" s="2"/>
      <c r="D1761" s="2" t="str">
        <f>IFERROR(__xludf.DUMMYFUNCTION("IF(C1761&lt;&gt;"""", GOOGLETRANSLATE(C1761, ""en"", ""te""),"""")"),"")</f>
        <v/>
      </c>
      <c r="E1761" s="2"/>
      <c r="F1761" s="2" t="str">
        <f>IFERROR(__xludf.DUMMYFUNCTION("IF(E1761&lt;&gt;"""", GOOGLETRANSLATE(E1761, ""en"", ""te""),"""")"),"")</f>
        <v/>
      </c>
      <c r="G1761" s="2"/>
      <c r="H1761" s="2" t="str">
        <f>IFERROR(__xludf.DUMMYFUNCTION("IF(G1761&lt;&gt;"""", GOOGLETRANSLATE(G1761, ""en"", ""te""),"""")"),"")</f>
        <v/>
      </c>
      <c r="I1761" s="3"/>
    </row>
    <row r="1762" customHeight="1" spans="1:9">
      <c r="A1762" s="2"/>
      <c r="B1762" s="2" t="str">
        <f>IFERROR(__xludf.DUMMYFUNCTION("IF(A1762&lt;&gt;"""", GOOGLETRANSLATE(A1762, ""en"", ""te""),"""")"),"")</f>
        <v/>
      </c>
      <c r="C1762" s="2"/>
      <c r="D1762" s="2" t="str">
        <f>IFERROR(__xludf.DUMMYFUNCTION("IF(C1762&lt;&gt;"""", GOOGLETRANSLATE(C1762, ""en"", ""te""),"""")"),"")</f>
        <v/>
      </c>
      <c r="E1762" s="2"/>
      <c r="F1762" s="2" t="str">
        <f>IFERROR(__xludf.DUMMYFUNCTION("IF(E1762&lt;&gt;"""", GOOGLETRANSLATE(E1762, ""en"", ""te""),"""")"),"")</f>
        <v/>
      </c>
      <c r="G1762" s="2"/>
      <c r="H1762" s="2" t="str">
        <f>IFERROR(__xludf.DUMMYFUNCTION("IF(G1762&lt;&gt;"""", GOOGLETRANSLATE(G1762, ""en"", ""te""),"""")"),"")</f>
        <v/>
      </c>
      <c r="I1762" s="3"/>
    </row>
    <row r="1763" customHeight="1" spans="1:9">
      <c r="A1763" s="2" t="s">
        <v>1052</v>
      </c>
      <c r="B1763" s="2" t="str">
        <f>IFERROR(__xludf.DUMMYFUNCTION("IF(A1763&lt;&gt;"""", GOOGLETRANSLATE(A1763, ""en"", ""te""),"""")"),"[ 'పరాజయం వైపు ఒక మ్యాచ్లో 5 వ అత్యధిక పరుగులు (119)', 'హండ్రెడ్ తొలి (102)', ఒక జట్టుకు 'ఐదో వికెట్కు (102) కోసం 10 వ అత్యధిక భాగస్వామ్యం', '2 వ వరుస మ్యాచ్లు (101) ',' ఒక జట్టు కెప్టెన్గా 5 వ వరుస మ్యాచ్లు (46) ',' మొదటి డక్ ముందు (33) ',' ఆరవ వికెట్కు"&amp;" 10 వ అత్యధిక భాగస్వామ్యం (89) ',' 3 వ వరుస జట్టు మ్యాచ్లు 6 వ అత్యంత ఇన్నింగ్స్ (71) ',' 9 వ అత్యధిక మ్యాచ్లు కెప్టెన్గా (50) ',' 9 వ ఇన్నింగ్స్ లో అత్యధిక పరుగులు (బ్యాటింగ్ స్థానంలో ప్రకారం) (59) ',' ఆరవ వికెట్కు 4 వ అత్యధిక భాగస్వామ్యం (65 *) ']")</f>
        <v>[ 'పరాజయం వైపు ఒక మ్యాచ్లో 5 వ అత్యధిక పరుగులు (119)', 'హండ్రెడ్ తొలి (102)', ఒక జట్టుకు 'ఐదో వికెట్కు (102) కోసం 10 వ అత్యధిక భాగస్వామ్యం', '2 వ వరుస మ్యాచ్లు (101) ',' ఒక జట్టు కెప్టెన్గా 5 వ వరుస మ్యాచ్లు (46) ',' మొదటి డక్ ముందు (33) ',' ఆరవ వికెట్కు 10 వ అత్యధిక భాగస్వామ్యం (89) ',' 3 వ వరుస జట్టు మ్యాచ్లు 6 వ అత్యంత ఇన్నింగ్స్ (71) ',' 9 వ అత్యధిక మ్యాచ్లు కెప్టెన్గా (50) ',' 9 వ ఇన్నింగ్స్ లో అత్యధిక పరుగులు (బ్యాటింగ్ స్థానంలో ప్రకారం) (59) ',' ఆరవ వికెట్కు 4 వ అత్యధిక భాగస్వామ్యం (65 *) ']</v>
      </c>
      <c r="C1763" s="2" t="s">
        <v>1053</v>
      </c>
      <c r="D1763" s="2" t="str">
        <f>IFERROR(__xludf.DUMMYFUNCTION("IF(C1763&lt;&gt;"""", GOOGLETRANSLATE(C1763, ""en"", ""te""),"""")"),"[ '16 వ ఇన్నింగ్స్ లో అత్యధిక పరుగులు (బ్యాటింగ్ స్థానంలో ప్రకారం) (102)', '5 వ పరాజయం వైపు ఒక మ్యాచ్లో అత్యధిక పరుగులు (119)', 'ఒక కెప్టెన్తో ఇన్నింగ్స్ లో 18 వ అత్యధిక పరుగులు (102)', ' తొలి మ్యాచ్లో 12 వ అత్యధిక పరుగులు (119) ',' గత మ్యాచ్లో 13 వ హండ్"&amp;"రెడ్ (102) ',' ఐదవ వికెట్కు 10 వ అత్యధిక భాగస్వామ్యం (102) ',' 17 వ పిన్న కాప్టెన్ (25y 156d) ']")</f>
        <v>[ '16 వ ఇన్నింగ్స్ లో అత్యధిక పరుగులు (బ్యాటింగ్ స్థానంలో ప్రకారం) (102)', '5 వ పరాజయం వైపు ఒక మ్యాచ్లో అత్యధిక పరుగులు (119)', 'ఒక కెప్టెన్తో ఇన్నింగ్స్ లో 18 వ అత్యధిక పరుగులు (102)', ' తొలి మ్యాచ్లో 12 వ అత్యధిక పరుగులు (119) ',' గత మ్యాచ్లో 13 వ హండ్రెడ్ (102) ',' ఐదవ వికెట్కు 10 వ అత్యధిక భాగస్వామ్యం (102) ',' 17 వ పిన్న కాప్టెన్ (25y 156d) ']</v>
      </c>
      <c r="E1763" s="2" t="s">
        <v>1054</v>
      </c>
      <c r="F1763" s="2" t="str">
        <f>IFERROR(__xludf.DUMMYFUNCTION("IF(E1763&lt;&gt;"""", GOOGLETRANSLATE(E1763, ""en"", ""te""),"""")"),"[ 'వరుస 35 వ అత్యధిక పరుగులు (529)' '13 వ అత్యధిక కెరీర్ లో పరుగులు (3443)', '21 వ ఒక క్యాలెండర్ సంవత్సరంలో అత్యధిక పరుగులు (641) ',' 18 వ ఒకే క్రీడా (443) పై అత్యధిక పరుగులు ', ఒక కెప్టెన్ ద్వారా ఒక సిరీస్లో 19 అత్యధిక పరుగులు (366) ',' ఒక కెప్టెన్తో ఇన"&amp;"్నింగ్స్ లో 48 వ అత్యధిక పరుగులు (100 *) ',' 43 వ అత్యధిక కెరీర్ బ్యాటింగ్ సగటు (32.79) ',' 25 వ ఒక వృత్తిలో అత్యధిక వందలు ( 2) ',' 25 వ అత్యంత అర్ధ కెరీర్లో (18) ',' 6 వ అత్యంత ఇన్నింగ్స్ తొలి డక్ ముందు (33) ',' ఒక డక్ లేకుండా 42 వ వరుస ఇన్నింగ్స్ (కెరీర"&amp;"్ (18.14 33) ',' 50 వ అతి తక్కువ బాతులు) ' 'ఒక ఇన్నింగ్స్లో పరుగుల 18 అత్యధిక శాతం (54.86)', '26th కెరీర్లో అత్యధిక క్యాచ్లు (35)', 'మూడో వికెట్కు 45 వ అత్యధిక భాగస్వామ్యం (123)' ఐదవ వికెట్కు, '35 వ అత్యధిక భాగస్వామ్యం (92 *) ',' ఆరవ వికెట్కు 10 వ అత్యధిక"&amp;" భాగస్వామ్యం (89) ',' 7 వ కెరీర్లో అత్యధిక మ్యాచ్లు (137) ',' ఒక జట్టు 2 వ వరుస మ్యాచ్లు (101) ',' 33 వ లాంగెస్ట్ కెరీర్లు (14y 54d) ' '11 వ అత్యధిక మ్యాచ్లు కెప్టెన్గా (46)', '5 వ వరుస మ్యాచ్లు ఒక జట్టు కెప్టెన్గా (46)', '20t h పిన్న కాప్టెన్ (22y 134d) "&amp;"',' 13 వ కెప్టెన్ల వికెట్ (3) ఉంచింది చేసిన ']")</f>
        <v>[ 'వరుస 35 వ అత్యధిక పరుగులు (529)' '13 వ అత్యధిక కెరీర్ లో పరుగులు (3443)', '21 వ ఒక క్యాలెండర్ సంవత్సరంలో అత్యధిక పరుగులు (641) ',' 18 వ ఒకే క్రీడా (443) పై అత్యధిక పరుగులు ', ఒక కెప్టెన్ ద్వారా ఒక సిరీస్లో 19 అత్యధిక పరుగులు (366) ',' ఒక కెప్టెన్తో ఇన్నింగ్స్ లో 48 వ అత్యధిక పరుగులు (100 *) ',' 43 వ అత్యధిక కెరీర్ బ్యాటింగ్ సగటు (32.79) ',' 25 వ ఒక వృత్తిలో అత్యధిక వందలు ( 2) ',' 25 వ అత్యంత అర్ధ కెరీర్లో (18) ',' 6 వ అత్యంత ఇన్నింగ్స్ తొలి డక్ ముందు (33) ',' ఒక డక్ లేకుండా 42 వ వరుస ఇన్నింగ్స్ (కెరీర్ (18.14 33) ',' 50 వ అతి తక్కువ బాతులు) ' 'ఒక ఇన్నింగ్స్లో పరుగుల 18 అత్యధిక శాతం (54.86)', '26th కెరీర్లో అత్యధిక క్యాచ్లు (35)', 'మూడో వికెట్కు 45 వ అత్యధిక భాగస్వామ్యం (123)' ఐదవ వికెట్కు, '35 వ అత్యధిక భాగస్వామ్యం (92 *) ',' ఆరవ వికెట్కు 10 వ అత్యధిక భాగస్వామ్యం (89) ',' 7 వ కెరీర్లో అత్యధిక మ్యాచ్లు (137) ',' ఒక జట్టు 2 వ వరుస మ్యాచ్లు (101) ',' 33 వ లాంగెస్ట్ కెరీర్లు (14y 54d) ' '11 వ అత్యధిక మ్యాచ్లు కెప్టెన్గా (46)', '5 వ వరుస మ్యాచ్లు ఒక జట్టు కెప్టెన్గా (46)', '20t h పిన్న కాప్టెన్ (22y 134d) ',' 13 వ కెప్టెన్ల వికెట్ (3) ఉంచింది చేసిన ']</v>
      </c>
      <c r="G1763" s="2" t="s">
        <v>1055</v>
      </c>
      <c r="H1763" s="2" t="str">
        <f>IFERROR(__xludf.DUMMYFUNCTION("IF(G1763&lt;&gt;"""", GOOGLETRANSLATE(G1763, ""en"", ""te""),"""")"),"[ '16 వ కెరీర్ లో అత్యధిక పరుగులు (1750)', '44th ఒక క్యాలెండర్ సంవత్సరంలో అత్యధిక పరుగులు (369)', '9 వ ఇన్నింగ్స్ లో అత్యధిక పరుగులు (బ్యాటింగ్ స్థానంలో ప్రకారం) (59)', '44 వ న ఒక మ్యాచ్లో అత్యధిక పరుగులు పరాజయం వైపు (59) ',' ఒకే మైదానంలో 22 వ అత్యధిక ప"&amp;"రుగులు (211) ',' 20 వ అత్యధిక కెరీర్ లో అర్ధ (7) ',' 11 వ కెరీర్ బాతులు (7) ',' 24 వ అత్యధిక పరుగులు లో శాతం ఒక ఇన్నింగ్స్లో (58.82) ',' 26th అత్యధిక క్యాచ్లు కెరీర్లో (25) ',' నాలుగవ వికెట్కు 15 అత్యధిక భాగస్వామ్యం (89) ',' ఆరవ వికెట్ (65 *) 4 వ అత్యధిక "&amp;"భాగస్వామ్యం ',' 11 వ అత్యధిక భాగస్వామ్యం (32) ',' 9 వ అత్యధిక మ్యాచ్లు కెరీర్లో (108) ',' 3 వ వరుస జట్టు మ్యాచ్లు ఎనిమిదవ వికెట్కు (71) ',' 9 వ అత్యధిక మ్యాచ్లు కెప్టెన్గా (50) ',' 39 వ పిన్న కాప్టెన్ (22y 136d) ']")</f>
        <v>[ '16 వ కెరీర్ లో అత్యధిక పరుగులు (1750)', '44th ఒక క్యాలెండర్ సంవత్సరంలో అత్యధిక పరుగులు (369)', '9 వ ఇన్నింగ్స్ లో అత్యధిక పరుగులు (బ్యాటింగ్ స్థానంలో ప్రకారం) (59)', '44 వ న ఒక మ్యాచ్లో అత్యధిక పరుగులు పరాజయం వైపు (59) ',' ఒకే మైదానంలో 22 వ అత్యధిక పరుగులు (211) ',' 20 వ అత్యధిక కెరీర్ లో అర్ధ (7) ',' 11 వ కెరీర్ బాతులు (7) ',' 24 వ అత్యధిక పరుగులు లో శాతం ఒక ఇన్నింగ్స్లో (58.82) ',' 26th అత్యధిక క్యాచ్లు కెరీర్లో (25) ',' నాలుగవ వికెట్కు 15 అత్యధిక భాగస్వామ్యం (89) ',' ఆరవ వికెట్ (65 *) 4 వ అత్యధిక భాగస్వామ్యం ',' 11 వ అత్యధిక భాగస్వామ్యం (32) ',' 9 వ అత్యధిక మ్యాచ్లు కెరీర్లో (108) ',' 3 వ వరుస జట్టు మ్యాచ్లు ఎనిమిదవ వికెట్కు (71) ',' 9 వ అత్యధిక మ్యాచ్లు కెప్టెన్గా (50) ',' 39 వ పిన్న కాప్టెన్ (22y 136d) ']</v>
      </c>
      <c r="I1763" s="3"/>
    </row>
    <row r="1764" customHeight="1" spans="1:9">
      <c r="A1764" s="2"/>
      <c r="B1764" s="2" t="str">
        <f>IFERROR(__xludf.DUMMYFUNCTION("IF(A1764&lt;&gt;"""", GOOGLETRANSLATE(A1764, ""en"", ""te""),"""")"),"")</f>
        <v/>
      </c>
      <c r="C1764" s="2"/>
      <c r="D1764" s="2" t="str">
        <f>IFERROR(__xludf.DUMMYFUNCTION("IF(C1764&lt;&gt;"""", GOOGLETRANSLATE(C1764, ""en"", ""te""),"""")"),"")</f>
        <v/>
      </c>
      <c r="E1764" s="2"/>
      <c r="F1764" s="2" t="str">
        <f>IFERROR(__xludf.DUMMYFUNCTION("IF(E1764&lt;&gt;"""", GOOGLETRANSLATE(E1764, ""en"", ""te""),"""")"),"")</f>
        <v/>
      </c>
      <c r="G1764" s="2"/>
      <c r="H1764" s="2" t="str">
        <f>IFERROR(__xludf.DUMMYFUNCTION("IF(G1764&lt;&gt;"""", GOOGLETRANSLATE(G1764, ""en"", ""te""),"""")"),"")</f>
        <v/>
      </c>
      <c r="I1764" s="3"/>
    </row>
    <row r="1765" customHeight="1" spans="1:9">
      <c r="A1765" s="2"/>
      <c r="B1765" s="2" t="str">
        <f>IFERROR(__xludf.DUMMYFUNCTION("IF(A1765&lt;&gt;"""", GOOGLETRANSLATE(A1765, ""en"", ""te""),"""")"),"")</f>
        <v/>
      </c>
      <c r="C1765" s="2"/>
      <c r="D1765" s="2" t="str">
        <f>IFERROR(__xludf.DUMMYFUNCTION("IF(C1765&lt;&gt;"""", GOOGLETRANSLATE(C1765, ""en"", ""te""),"""")"),"")</f>
        <v/>
      </c>
      <c r="E1765" s="2"/>
      <c r="F1765" s="2" t="str">
        <f>IFERROR(__xludf.DUMMYFUNCTION("IF(E1765&lt;&gt;"""", GOOGLETRANSLATE(E1765, ""en"", ""te""),"""")"),"")</f>
        <v/>
      </c>
      <c r="G1765" s="2"/>
      <c r="H1765" s="2" t="str">
        <f>IFERROR(__xludf.DUMMYFUNCTION("IF(G1765&lt;&gt;"""", GOOGLETRANSLATE(G1765, ""en"", ""te""),"""")"),"")</f>
        <v/>
      </c>
      <c r="I1765" s="3"/>
    </row>
    <row r="1766" customHeight="1" spans="1:9">
      <c r="A1766" s="2"/>
      <c r="B1766" s="2" t="str">
        <f>IFERROR(__xludf.DUMMYFUNCTION("IF(A1766&lt;&gt;"""", GOOGLETRANSLATE(A1766, ""en"", ""te""),"""")"),"")</f>
        <v/>
      </c>
      <c r="C1766" s="2"/>
      <c r="D1766" s="2" t="str">
        <f>IFERROR(__xludf.DUMMYFUNCTION("IF(C1766&lt;&gt;"""", GOOGLETRANSLATE(C1766, ""en"", ""te""),"""")"),"")</f>
        <v/>
      </c>
      <c r="E1766" s="2"/>
      <c r="F1766" s="2" t="str">
        <f>IFERROR(__xludf.DUMMYFUNCTION("IF(E1766&lt;&gt;"""", GOOGLETRANSLATE(E1766, ""en"", ""te""),"""")"),"")</f>
        <v/>
      </c>
      <c r="G1766" s="2"/>
      <c r="H1766" s="2" t="str">
        <f>IFERROR(__xludf.DUMMYFUNCTION("IF(G1766&lt;&gt;"""", GOOGLETRANSLATE(G1766, ""en"", ""te""),"""")"),"")</f>
        <v/>
      </c>
      <c r="I1766" s="3"/>
    </row>
    <row r="1767" customHeight="1" spans="1:9">
      <c r="A1767" s="2"/>
      <c r="B1767" s="2" t="str">
        <f>IFERROR(__xludf.DUMMYFUNCTION("IF(A1767&lt;&gt;"""", GOOGLETRANSLATE(A1767, ""en"", ""te""),"""")"),"")</f>
        <v/>
      </c>
      <c r="C1767" s="2"/>
      <c r="D1767" s="2" t="str">
        <f>IFERROR(__xludf.DUMMYFUNCTION("IF(C1767&lt;&gt;"""", GOOGLETRANSLATE(C1767, ""en"", ""te""),"""")"),"")</f>
        <v/>
      </c>
      <c r="E1767" s="2"/>
      <c r="F1767" s="2" t="str">
        <f>IFERROR(__xludf.DUMMYFUNCTION("IF(E1767&lt;&gt;"""", GOOGLETRANSLATE(E1767, ""en"", ""te""),"""")"),"")</f>
        <v/>
      </c>
      <c r="G1767" s="2"/>
      <c r="H1767" s="2" t="str">
        <f>IFERROR(__xludf.DUMMYFUNCTION("IF(G1767&lt;&gt;"""", GOOGLETRANSLATE(G1767, ""en"", ""te""),"""")"),"")</f>
        <v/>
      </c>
      <c r="I1767" s="3"/>
    </row>
    <row r="1768" customHeight="1" spans="1:9">
      <c r="A1768" s="2"/>
      <c r="B1768" s="2" t="str">
        <f>IFERROR(__xludf.DUMMYFUNCTION("IF(A1768&lt;&gt;"""", GOOGLETRANSLATE(A1768, ""en"", ""te""),"""")"),"")</f>
        <v/>
      </c>
      <c r="C1768" s="2"/>
      <c r="D1768" s="2" t="str">
        <f>IFERROR(__xludf.DUMMYFUNCTION("IF(C1768&lt;&gt;"""", GOOGLETRANSLATE(C1768, ""en"", ""te""),"""")"),"")</f>
        <v/>
      </c>
      <c r="E1768" s="2"/>
      <c r="F1768" s="2" t="str">
        <f>IFERROR(__xludf.DUMMYFUNCTION("IF(E1768&lt;&gt;"""", GOOGLETRANSLATE(E1768, ""en"", ""te""),"""")"),"")</f>
        <v/>
      </c>
      <c r="G1768" s="2"/>
      <c r="H1768" s="2" t="str">
        <f>IFERROR(__xludf.DUMMYFUNCTION("IF(G1768&lt;&gt;"""", GOOGLETRANSLATE(G1768, ""en"", ""te""),"""")"),"")</f>
        <v/>
      </c>
      <c r="I1768" s="3"/>
    </row>
    <row r="1769" customHeight="1" spans="1:9">
      <c r="A1769" s="2"/>
      <c r="B1769" s="2" t="str">
        <f>IFERROR(__xludf.DUMMYFUNCTION("IF(A1769&lt;&gt;"""", GOOGLETRANSLATE(A1769, ""en"", ""te""),"""")"),"")</f>
        <v/>
      </c>
      <c r="C1769" s="2"/>
      <c r="D1769" s="2" t="str">
        <f>IFERROR(__xludf.DUMMYFUNCTION("IF(C1769&lt;&gt;"""", GOOGLETRANSLATE(C1769, ""en"", ""te""),"""")"),"")</f>
        <v/>
      </c>
      <c r="E1769" s="2"/>
      <c r="F1769" s="2" t="str">
        <f>IFERROR(__xludf.DUMMYFUNCTION("IF(E1769&lt;&gt;"""", GOOGLETRANSLATE(E1769, ""en"", ""te""),"""")"),"")</f>
        <v/>
      </c>
      <c r="G1769" s="2"/>
      <c r="H1769" s="2" t="str">
        <f>IFERROR(__xludf.DUMMYFUNCTION("IF(G1769&lt;&gt;"""", GOOGLETRANSLATE(G1769, ""en"", ""te""),"""")"),"")</f>
        <v/>
      </c>
      <c r="I1769" s="3"/>
    </row>
    <row r="1770" customHeight="1" spans="1:9">
      <c r="A1770" s="2"/>
      <c r="B1770" s="2" t="str">
        <f>IFERROR(__xludf.DUMMYFUNCTION("IF(A1770&lt;&gt;"""", GOOGLETRANSLATE(A1770, ""en"", ""te""),"""")"),"")</f>
        <v/>
      </c>
      <c r="C1770" s="2" t="s">
        <v>1056</v>
      </c>
      <c r="D1770" s="2" t="str">
        <f>IFERROR(__xludf.DUMMYFUNCTION("IF(C1770&lt;&gt;"""", GOOGLETRANSLATE(C1770, ""en"", ""te""),"""")"),"[ 'తొమ్మిదవ వికెట్ (137) కోసం 16 అత్యధిక భాగస్వామ్యం']")</f>
        <v>[ 'తొమ్మిదవ వికెట్ (137) కోసం 16 అత్యధిక భాగస్వామ్యం']</v>
      </c>
      <c r="E1770" s="2"/>
      <c r="F1770" s="2" t="str">
        <f>IFERROR(__xludf.DUMMYFUNCTION("IF(E1770&lt;&gt;"""", GOOGLETRANSLATE(E1770, ""en"", ""te""),"""")"),"")</f>
        <v/>
      </c>
      <c r="G1770" s="2"/>
      <c r="H1770" s="2" t="str">
        <f>IFERROR(__xludf.DUMMYFUNCTION("IF(G1770&lt;&gt;"""", GOOGLETRANSLATE(G1770, ""en"", ""te""),"""")"),"")</f>
        <v/>
      </c>
      <c r="I1770" s="3"/>
    </row>
    <row r="1771" customHeight="1" spans="1:9">
      <c r="A1771" s="2"/>
      <c r="B1771" s="2" t="str">
        <f>IFERROR(__xludf.DUMMYFUNCTION("IF(A1771&lt;&gt;"""", GOOGLETRANSLATE(A1771, ""en"", ""te""),"""")"),"")</f>
        <v/>
      </c>
      <c r="C1771" s="2"/>
      <c r="D1771" s="2" t="str">
        <f>IFERROR(__xludf.DUMMYFUNCTION("IF(C1771&lt;&gt;"""", GOOGLETRANSLATE(C1771, ""en"", ""te""),"""")"),"")</f>
        <v/>
      </c>
      <c r="E1771" s="2"/>
      <c r="F1771" s="2" t="str">
        <f>IFERROR(__xludf.DUMMYFUNCTION("IF(E1771&lt;&gt;"""", GOOGLETRANSLATE(E1771, ""en"", ""te""),"""")"),"")</f>
        <v/>
      </c>
      <c r="G1771" s="2"/>
      <c r="H1771" s="2" t="str">
        <f>IFERROR(__xludf.DUMMYFUNCTION("IF(G1771&lt;&gt;"""", GOOGLETRANSLATE(G1771, ""en"", ""te""),"""")"),"")</f>
        <v/>
      </c>
      <c r="I1771" s="3"/>
    </row>
    <row r="1772" customHeight="1" spans="1:9">
      <c r="A1772" s="2"/>
      <c r="B1772" s="2" t="str">
        <f>IFERROR(__xludf.DUMMYFUNCTION("IF(A1772&lt;&gt;"""", GOOGLETRANSLATE(A1772, ""en"", ""te""),"""")"),"")</f>
        <v/>
      </c>
      <c r="C1772" s="2"/>
      <c r="D1772" s="2" t="str">
        <f>IFERROR(__xludf.DUMMYFUNCTION("IF(C1772&lt;&gt;"""", GOOGLETRANSLATE(C1772, ""en"", ""te""),"""")"),"")</f>
        <v/>
      </c>
      <c r="E1772" s="2"/>
      <c r="F1772" s="2" t="str">
        <f>IFERROR(__xludf.DUMMYFUNCTION("IF(E1772&lt;&gt;"""", GOOGLETRANSLATE(E1772, ""en"", ""te""),"""")"),"")</f>
        <v/>
      </c>
      <c r="G1772" s="2"/>
      <c r="H1772" s="2" t="str">
        <f>IFERROR(__xludf.DUMMYFUNCTION("IF(G1772&lt;&gt;"""", GOOGLETRANSLATE(G1772, ""en"", ""te""),"""")"),"")</f>
        <v/>
      </c>
      <c r="I1772" s="3"/>
    </row>
    <row r="1773" customHeight="1" spans="1:9">
      <c r="A1773" s="2"/>
      <c r="B1773" s="2" t="str">
        <f>IFERROR(__xludf.DUMMYFUNCTION("IF(A1773&lt;&gt;"""", GOOGLETRANSLATE(A1773, ""en"", ""te""),"""")"),"")</f>
        <v/>
      </c>
      <c r="C1773" s="2"/>
      <c r="D1773" s="2" t="str">
        <f>IFERROR(__xludf.DUMMYFUNCTION("IF(C1773&lt;&gt;"""", GOOGLETRANSLATE(C1773, ""en"", ""te""),"""")"),"")</f>
        <v/>
      </c>
      <c r="E1773" s="2"/>
      <c r="F1773" s="2" t="str">
        <f>IFERROR(__xludf.DUMMYFUNCTION("IF(E1773&lt;&gt;"""", GOOGLETRANSLATE(E1773, ""en"", ""te""),"""")"),"")</f>
        <v/>
      </c>
      <c r="G1773" s="2"/>
      <c r="H1773" s="2" t="str">
        <f>IFERROR(__xludf.DUMMYFUNCTION("IF(G1773&lt;&gt;"""", GOOGLETRANSLATE(G1773, ""en"", ""te""),"""")"),"")</f>
        <v/>
      </c>
      <c r="I1773" s="3"/>
    </row>
    <row r="1774" customHeight="1" spans="1:9">
      <c r="A1774" s="2"/>
      <c r="B1774" s="2" t="str">
        <f>IFERROR(__xludf.DUMMYFUNCTION("IF(A1774&lt;&gt;"""", GOOGLETRANSLATE(A1774, ""en"", ""te""),"""")"),"")</f>
        <v/>
      </c>
      <c r="C1774" s="2"/>
      <c r="D1774" s="2" t="str">
        <f>IFERROR(__xludf.DUMMYFUNCTION("IF(C1774&lt;&gt;"""", GOOGLETRANSLATE(C1774, ""en"", ""te""),"""")"),"")</f>
        <v/>
      </c>
      <c r="E1774" s="2"/>
      <c r="F1774" s="2" t="str">
        <f>IFERROR(__xludf.DUMMYFUNCTION("IF(E1774&lt;&gt;"""", GOOGLETRANSLATE(E1774, ""en"", ""te""),"""")"),"")</f>
        <v/>
      </c>
      <c r="G1774" s="2"/>
      <c r="H1774" s="2" t="str">
        <f>IFERROR(__xludf.DUMMYFUNCTION("IF(G1774&lt;&gt;"""", GOOGLETRANSLATE(G1774, ""en"", ""te""),"""")"),"")</f>
        <v/>
      </c>
      <c r="I1774" s="3"/>
    </row>
    <row r="1775" customHeight="1" spans="1:9">
      <c r="A1775" s="2"/>
      <c r="B1775" s="2" t="str">
        <f>IFERROR(__xludf.DUMMYFUNCTION("IF(A1775&lt;&gt;"""", GOOGLETRANSLATE(A1775, ""en"", ""te""),"""")"),"")</f>
        <v/>
      </c>
      <c r="C1775" s="2"/>
      <c r="D1775" s="2" t="str">
        <f>IFERROR(__xludf.DUMMYFUNCTION("IF(C1775&lt;&gt;"""", GOOGLETRANSLATE(C1775, ""en"", ""te""),"""")"),"")</f>
        <v/>
      </c>
      <c r="E1775" s="2"/>
      <c r="F1775" s="2" t="str">
        <f>IFERROR(__xludf.DUMMYFUNCTION("IF(E1775&lt;&gt;"""", GOOGLETRANSLATE(E1775, ""en"", ""te""),"""")"),"")</f>
        <v/>
      </c>
      <c r="G1775" s="2"/>
      <c r="H1775" s="2" t="str">
        <f>IFERROR(__xludf.DUMMYFUNCTION("IF(G1775&lt;&gt;"""", GOOGLETRANSLATE(G1775, ""en"", ""te""),"""")"),"")</f>
        <v/>
      </c>
      <c r="I1775" s="3"/>
    </row>
    <row r="1776" customHeight="1" spans="1:9">
      <c r="A1776" s="2"/>
      <c r="B1776" s="2" t="str">
        <f>IFERROR(__xludf.DUMMYFUNCTION("IF(A1776&lt;&gt;"""", GOOGLETRANSLATE(A1776, ""en"", ""te""),"""")"),"")</f>
        <v/>
      </c>
      <c r="C1776" s="2"/>
      <c r="D1776" s="2" t="str">
        <f>IFERROR(__xludf.DUMMYFUNCTION("IF(C1776&lt;&gt;"""", GOOGLETRANSLATE(C1776, ""en"", ""te""),"""")"),"")</f>
        <v/>
      </c>
      <c r="E1776" s="2"/>
      <c r="F1776" s="2" t="str">
        <f>IFERROR(__xludf.DUMMYFUNCTION("IF(E1776&lt;&gt;"""", GOOGLETRANSLATE(E1776, ""en"", ""te""),"""")"),"")</f>
        <v/>
      </c>
      <c r="G1776" s="2"/>
      <c r="H1776" s="2" t="str">
        <f>IFERROR(__xludf.DUMMYFUNCTION("IF(G1776&lt;&gt;"""", GOOGLETRANSLATE(G1776, ""en"", ""te""),"""")"),"")</f>
        <v/>
      </c>
      <c r="I1776" s="3"/>
    </row>
    <row r="1777" customHeight="1" spans="1:9">
      <c r="A1777" s="2"/>
      <c r="B1777" s="2" t="str">
        <f>IFERROR(__xludf.DUMMYFUNCTION("IF(A1777&lt;&gt;"""", GOOGLETRANSLATE(A1777, ""en"", ""te""),"""")"),"")</f>
        <v/>
      </c>
      <c r="C1777" s="2"/>
      <c r="D1777" s="2" t="str">
        <f>IFERROR(__xludf.DUMMYFUNCTION("IF(C1777&lt;&gt;"""", GOOGLETRANSLATE(C1777, ""en"", ""te""),"""")"),"")</f>
        <v/>
      </c>
      <c r="E1777" s="2"/>
      <c r="F1777" s="2" t="str">
        <f>IFERROR(__xludf.DUMMYFUNCTION("IF(E1777&lt;&gt;"""", GOOGLETRANSLATE(E1777, ""en"", ""te""),"""")"),"")</f>
        <v/>
      </c>
      <c r="G1777" s="2"/>
      <c r="H1777" s="2" t="str">
        <f>IFERROR(__xludf.DUMMYFUNCTION("IF(G1777&lt;&gt;"""", GOOGLETRANSLATE(G1777, ""en"", ""te""),"""")"),"")</f>
        <v/>
      </c>
      <c r="I1777" s="3"/>
    </row>
    <row r="1778" customHeight="1" spans="1:9">
      <c r="A1778" s="2"/>
      <c r="B1778" s="2" t="str">
        <f>IFERROR(__xludf.DUMMYFUNCTION("IF(A1778&lt;&gt;"""", GOOGLETRANSLATE(A1778, ""en"", ""te""),"""")"),"")</f>
        <v/>
      </c>
      <c r="C1778" s="2"/>
      <c r="D1778" s="2" t="str">
        <f>IFERROR(__xludf.DUMMYFUNCTION("IF(C1778&lt;&gt;"""", GOOGLETRANSLATE(C1778, ""en"", ""te""),"""")"),"")</f>
        <v/>
      </c>
      <c r="E1778" s="2"/>
      <c r="F1778" s="2" t="str">
        <f>IFERROR(__xludf.DUMMYFUNCTION("IF(E1778&lt;&gt;"""", GOOGLETRANSLATE(E1778, ""en"", ""te""),"""")"),"")</f>
        <v/>
      </c>
      <c r="G1778" s="2"/>
      <c r="H1778" s="2" t="str">
        <f>IFERROR(__xludf.DUMMYFUNCTION("IF(G1778&lt;&gt;"""", GOOGLETRANSLATE(G1778, ""en"", ""te""),"""")"),"")</f>
        <v/>
      </c>
      <c r="I1778" s="3"/>
    </row>
    <row r="1779" customHeight="1" spans="1:9">
      <c r="A1779" s="2"/>
      <c r="B1779" s="2" t="str">
        <f>IFERROR(__xludf.DUMMYFUNCTION("IF(A1779&lt;&gt;"""", GOOGLETRANSLATE(A1779, ""en"", ""te""),"""")"),"")</f>
        <v/>
      </c>
      <c r="C1779" s="2"/>
      <c r="D1779" s="2" t="str">
        <f>IFERROR(__xludf.DUMMYFUNCTION("IF(C1779&lt;&gt;"""", GOOGLETRANSLATE(C1779, ""en"", ""te""),"""")"),"")</f>
        <v/>
      </c>
      <c r="E1779" s="2"/>
      <c r="F1779" s="2" t="str">
        <f>IFERROR(__xludf.DUMMYFUNCTION("IF(E1779&lt;&gt;"""", GOOGLETRANSLATE(E1779, ""en"", ""te""),"""")"),"")</f>
        <v/>
      </c>
      <c r="G1779" s="2"/>
      <c r="H1779" s="2" t="str">
        <f>IFERROR(__xludf.DUMMYFUNCTION("IF(G1779&lt;&gt;"""", GOOGLETRANSLATE(G1779, ""en"", ""te""),"""")"),"")</f>
        <v/>
      </c>
      <c r="I1779" s="3"/>
    </row>
    <row r="1780" customHeight="1" spans="1:9">
      <c r="A1780" s="2" t="s">
        <v>1057</v>
      </c>
      <c r="B1780" s="2" t="str">
        <f>IFERROR(__xludf.DUMMYFUNCTION("IF(A1780&lt;&gt;"""", GOOGLETRANSLATE(A1780, ""en"", ""te""),"""")"),"[ 'ఒక మ్యాచ్లో 1st అత్యధిక వికెట్లు (11)', 'ఒక జట్టు 6 వ వరుస మ్యాచ్లు (98)', '1st ఒక మ్యాచ్లో అత్యధిక క్యాచ్లు (11)', '5 వ ఇన్నింగ్స్ లో అత్యధిక పరుగులు (బ్యాటింగ్ స్థానంలో ద్వారా) (217 *) ',' నూట ఒక మ్యాచ్లో తొంభై ',' వరుస మ్యాచ్లలో 1st యాభైల్లో (12) "&amp;"',' ఒక కెప్టెన్తో పెయిర్ ',' ఎ నూట ఐదు తొలగింపులకు ఇన్నింగ్స్ లో ',' 5000 పరుగులు మరియు 50 ఫీల్డింగ్ వికెట్లు ',' వికెట్ (30) ',' 1 వ ఇన్నింగ్స్ లో అత్యధిక పరుగులు (బ్యాటింగ్ స్థానంలో ప్రకారం) (162 *) ',' ఇన్నింగ్స్ లో 5 వ అత్యధిక స్ట్రైక్ రేట్ (338.63) "&amp;"',' 2 వ వందల ఉంచింది చేసిన 8 వ కెప్టెన్ల వరుస ఇన్నింగ్స్లో (3) ',' 1 వ 99 (199, 299 etc) (99) ',' ఇన్నింగ్స్ లో (4) ',' 2 వ ఎక్కువ సిక్స్ వరుస 1st చాలా బాతులు (16) ',' అవుట్ 2 వ 9000 పరుగులు వేగంగా (205) ',' ఎ ఏబది ఇన్నింగ్స్ ',' 5000 పరుగులు మరియు 50 ఫీల"&amp;"్డింగ్ వికెట్లు ఐదు తొలగింపులకు ',' ఇన్నింగ్స్ లో 5 వ అత్యధిక వికెట్లు (4) ',' ఇన్నింగ్స్ లో 3 వ అత్యధిక క్యాచ్లు ( 4) ',' వికెట్ (11 ఉంచింది చేసిన 8 వ కెప్టెన్ల) ',' 6 వ అత్యధిక క్యాచ్లు కెరీర్లో (44) ',' 8 వ అత్యధిక కొరకు చేసిన భాగస్వామ్యం నాలుగో వికెట్"&amp;"కు (110 *) ',' 10th ఒక వృత్తిలో అత్యధిక వందలు (47) ',' కెరీర్ లో 2 వ పెద్ద తొంభైల (14) ',' 3 వ అత్యంత ఇన్నింగ్స్ తొలి డక్ ముందు (84) ',' 9 వ అత్యధిక కెరీర్ లో సిక్సర్లు (328) ']")</f>
        <v>[ 'ఒక మ్యాచ్లో 1st అత్యధిక వికెట్లు (11)', 'ఒక జట్టు 6 వ వరుస మ్యాచ్లు (98)', '1st ఒక మ్యాచ్లో అత్యధిక క్యాచ్లు (11)', '5 వ ఇన్నింగ్స్ లో అత్యధిక పరుగులు (బ్యాటింగ్ స్థానంలో ద్వారా) (217 *) ',' నూట ఒక మ్యాచ్లో తొంభై ',' వరుస మ్యాచ్లలో 1st యాభైల్లో (12) ',' ఒక కెప్టెన్తో పెయిర్ ',' ఎ నూట ఐదు తొలగింపులకు ఇన్నింగ్స్ లో ',' 5000 పరుగులు మరియు 50 ఫీల్డింగ్ వికెట్లు ',' వికెట్ (30) ',' 1 వ ఇన్నింగ్స్ లో అత్యధిక పరుగులు (బ్యాటింగ్ స్థానంలో ప్రకారం) (162 *) ',' ఇన్నింగ్స్ లో 5 వ అత్యధిక స్ట్రైక్ రేట్ (338.63) ',' 2 వ వందల ఉంచింది చేసిన 8 వ కెప్టెన్ల వరుస ఇన్నింగ్స్లో (3) ',' 1 వ 99 (199, 299 etc) (99) ',' ఇన్నింగ్స్ లో (4) ',' 2 వ ఎక్కువ సిక్స్ వరుస 1st చాలా బాతులు (16) ',' అవుట్ 2 వ 9000 పరుగులు వేగంగా (205) ',' ఎ ఏబది ఇన్నింగ్స్ ',' 5000 పరుగులు మరియు 50 ఫీల్డింగ్ వికెట్లు ఐదు తొలగింపులకు ',' ఇన్నింగ్స్ లో 5 వ అత్యధిక వికెట్లు (4) ',' ఇన్నింగ్స్ లో 3 వ అత్యధిక క్యాచ్లు ( 4) ',' వికెట్ (11 ఉంచింది చేసిన 8 వ కెప్టెన్ల) ',' 6 వ అత్యధిక క్యాచ్లు కెరీర్లో (44) ',' 8 వ అత్యధిక కొరకు చేసిన భాగస్వామ్యం నాలుగో వికెట్కు (110 *) ',' 10th ఒక వృత్తిలో అత్యధిక వందలు (47) ',' కెరీర్ లో 2 వ పెద్ద తొంభైల (14) ',' 3 వ అత్యంత ఇన్నింగ్స్ తొలి డక్ ముందు (84) ',' 9 వ అత్యధిక కెరీర్ లో సిక్సర్లు (328) ']</v>
      </c>
      <c r="C1780" s="2" t="s">
        <v>1058</v>
      </c>
      <c r="D1780" s="2" t="str">
        <f>IFERROR(__xludf.DUMMYFUNCTION("IF(C1780&lt;&gt;"""", GOOGLETRANSLATE(C1780, ""en"", ""te""),"""")"),"[ '20 వ కెరీర్ లో అత్యధిక పరుగులు (8765)', '44 వ ఇన్నింగ్స్ లో అత్యధిక పరుగులు (278 *)', 'ఇన్నింగ్స్ లో 5 వ అత్యధిక పరుగులు (బ్యాటింగ్ స్థానంలో ప్రకారం) (217 *)', '25 వ ఒక సింగిల్ అత్యధిక పరుగులు ఒక వికెట్ కీపర్ సిరీస్లో భూమి (1344) ',' 26th అత్యధిక పరుగు"&amp;"లు (352) ',' అత్యధిక వికెట్లు ఇన్నింగ్స్ లో 19 అత్యధిక పరుగులు (169) ',' 39 వ అత్యధిక కెరీర్ బ్యాటింగ్ సగటు (50.66) ',' 32 వ అత్యంత ఒక వృత్తిలో వందల (22) ',' 49 వ పిన్న ఆటగాడు వంద (20y 339d) ',' 5 వ కెరీర్ లో స్కోర్ అత్యంత తొంభైల (8) ',' 18 వ కెరీర్ అర్ధ"&amp;" (68) ',' వరుస లో 1 వ యాభైల్లో మ్యాచ్లు (12) ',' 1st మొదటి డక్ ముందు అత్యంత ఇన్నింగ్స్ (78) ',' ఒక డక్ లేకుండా 8 వ వరుస ఇన్నింగ్స్ (78) ',' 22 వ కెరీర్ లో వచ్చిన ఎక్కువ సిక్స్ (64) ',' 22 వ కెరీర్ ఫోర్లు (1024 ) ',' 1000 పరుగులు (ఒక ఇన్నింగ్స్ (7) ',' ఫా"&amp;"స్టెస్ట్ 26 లో 19 ఎక్కువ సిక్స్ 20) ',' 46 వ 5000 పరుగులు (118) ',' 6000 పరుగులు (137) ',' 22 వరకు 36 వ వేగంగా వేగంగా వేగవంతమైన 7000 పరుగులు (151) ',' ఫాస్టెస్ట్ 8000 పరుగులు (172) ',' 22 వ అత్యధిక క్యాచ్లు కెరీర్లో (121) ',' 24 వ అత్యధిక క్యాచ్లు ఒక సిర"&amp;"ీస్లో 15 న (11) ',' 37 వ తొలి వికెట్కు అత్యధిక భాగస్వామ్యం (245) ',' పదవ వికెట్ను (107 *) 19 వ అత్యధిక భాగస్వామ్యం ',' 39 వ కెరీర్ లో అత్యధిక మ్యాచ్లు (114) ',' ఒక జట్టు 6 వ వరుస మ్యాచ్లు (98) ',' 24 వ అత్యంత ప్లేయర్ ఆఫ్ ది సిరీస్గా ఒక మ్యాచ్లో ఇన్నింగ్స్"&amp;" లో కెరీర్ లో అవార్డులు (4) ',' 44 వ అత్యధిక వికెట్లు (106) ',' 5 వ అత్యధిక వికెట్లు (6) ',' 1 వ అత్యధిక వికెట్లు (11) ', '39 వ కెరీర్ లో అత్యధిక క్యాచ్లు (101)', '5 వ ఇన్నింగ్స్ (6) లో అత్యధిక క్యాచ్లు' 'ఒక మ్యాచ్లో 1st అత్యధిక క్యాచ్లు (11)', '32 వ అత్య"&amp;"ధిక ఇన్నింగ్స్ బై (565/5 రో) గూడా ఇవ్వకుండా సంపూర్ణమైనది' ]")</f>
        <v>[ '20 వ కెరీర్ లో అత్యధిక పరుగులు (8765)', '44 వ ఇన్నింగ్స్ లో అత్యధిక పరుగులు (278 *)', 'ఇన్నింగ్స్ లో 5 వ అత్యధిక పరుగులు (బ్యాటింగ్ స్థానంలో ప్రకారం) (217 *)', '25 వ ఒక సింగిల్ అత్యధిక పరుగులు ఒక వికెట్ కీపర్ సిరీస్లో భూమి (1344) ',' 26th అత్యధిక పరుగులు (352) ',' అత్యధిక వికెట్లు ఇన్నింగ్స్ లో 19 అత్యధిక పరుగులు (169) ',' 39 వ అత్యధిక కెరీర్ బ్యాటింగ్ సగటు (50.66) ',' 32 వ అత్యంత ఒక వృత్తిలో వందల (22) ',' 49 వ పిన్న ఆటగాడు వంద (20y 339d) ',' 5 వ కెరీర్ లో స్కోర్ అత్యంత తొంభైల (8) ',' 18 వ కెరీర్ అర్ధ (68) ',' వరుస లో 1 వ యాభైల్లో మ్యాచ్లు (12) ',' 1st మొదటి డక్ ముందు అత్యంత ఇన్నింగ్స్ (78) ',' ఒక డక్ లేకుండా 8 వ వరుస ఇన్నింగ్స్ (78) ',' 22 వ కెరీర్ లో వచ్చిన ఎక్కువ సిక్స్ (64) ',' 22 వ కెరీర్ ఫోర్లు (1024 ) ',' 1000 పరుగులు (ఒక ఇన్నింగ్స్ (7) ',' ఫాస్టెస్ట్ 26 లో 19 ఎక్కువ సిక్స్ 20) ',' 46 వ 5000 పరుగులు (118) ',' 6000 పరుగులు (137) ',' 22 వరకు 36 వ వేగంగా వేగంగా వేగవంతమైన 7000 పరుగులు (151) ',' ఫాస్టెస్ట్ 8000 పరుగులు (172) ',' 22 వ అత్యధిక క్యాచ్లు కెరీర్లో (121) ',' 24 వ అత్యధిక క్యాచ్లు ఒక సిరీస్లో 15 న (11) ',' 37 వ తొలి వికెట్కు అత్యధిక భాగస్వామ్యం (245) ',' పదవ వికెట్ను (107 *) 19 వ అత్యధిక భాగస్వామ్యం ',' 39 వ కెరీర్ లో అత్యధిక మ్యాచ్లు (114) ',' ఒక జట్టు 6 వ వరుస మ్యాచ్లు (98) ',' 24 వ అత్యంత ప్లేయర్ ఆఫ్ ది సిరీస్గా ఒక మ్యాచ్లో ఇన్నింగ్స్ లో కెరీర్ లో అవార్డులు (4) ',' 44 వ అత్యధిక వికెట్లు (106) ',' 5 వ అత్యధిక వికెట్లు (6) ',' 1 వ అత్యధిక వికెట్లు (11) ', '39 వ కెరీర్ లో అత్యధిక క్యాచ్లు (101)', '5 వ ఇన్నింగ్స్ (6) లో అత్యధిక క్యాచ్లు' 'ఒక మ్యాచ్లో 1st అత్యధిక క్యాచ్లు (11)', '32 వ అత్యధిక ఇన్నింగ్స్ బై (565/5 రో) గూడా ఇవ్వకుండా సంపూర్ణమైనది' ]</v>
      </c>
      <c r="E1780" s="2" t="s">
        <v>1059</v>
      </c>
      <c r="F1780" s="2" t="str">
        <f>IFERROR(__xludf.DUMMYFUNCTION("IF(E1780&lt;&gt;"""", GOOGLETRANSLATE(E1780, ""en"", ""te""),"""")"),"[ '17 వ అత్యధిక కెరీర్ లో పరుగులు (9577)', '34 వ ఇన్నింగ్స్ లో అత్యధిక పరుగులు (176)', 'వరుస 42 వ అత్యధిక పరుగులు (482)', '46 వ ఒక క్యాలెండర్ సంవత్సరంలో అత్యధిక పరుగులు (1209)', ' 1 వ భాగం (బ్యాటింగ్ స్థానంలో ద్వారా) ఒక ఇన్నింగ్స్ లో నడుస్తుంది ఒక కెప్టెన"&amp;"్ ద్వారా ఒక సిరీస్లో (162 *) ',' 8 వ అత్యధిక పరుగులు (482) ',' ఒక కెప్టెన్తో ఇన్నింగ్స్ లో 10 వ అత్యధిక పరుగులు (162 *) ',' 18 వ ఒక వికెట్ కీపర్ సిరీస్లో అత్యధిక పరుగులు (367) ',' అత్యధిక వికెట్లు ఇన్నింగ్స్ 12 వ అత్యధిక పరుగులు (149) ',' 6 వ అత్యధిక కెరీ"&amp;"ర్ బ్యాటింగ్ సగటు (53.50) ',' 31 అత్యధిక కెరీర్ సమ్మె రేటు (101.09) ', 'ఇన్నింగ్స్ లో 5 వ అత్యధిక స్ట్రైక్ రేట్ (338.63)', 'ఒక వృత్తిలో 7 వ అత్యధిక వందలు (25)', 'వరుస 3 వ అత్యధిక వందలు (3)', '11 వ అత్యంత ఒక క్యాలెండర్ సంవత్సరంలో వందల (5)', 'ఒక జట్టుతో 10"&amp;" వ అత్యధిక వందలు (6)', 'వరుస ఇన్నింగ్స్లో 2 వ వందల (3)', '25 వ అత్యధిక తొలి వంద (146)', 'కెరీర్లో 8 వ అత్యంత తొంభైల (6)', '1 వ 99 పరుగుల ( 199, 299 etc) (99) ',' 15 వ అత్యధిక కెరీర్ లో అర్ధ (78) ',' వరుస ఇన్నింగ్స్లో 44 వ యాభైల్లో (firs ముందు 4) ',' 40 "&amp;"వ అత్యంత ఇన్నింగ్స్ t డక్ (30) ',' 7 వ అత్యధిక వరుస ఇన్నింగ్స్లో డకౌట్ లేకుండా (90) ',' 30 వ కెరీర్ లో అతి తక్కువ బాతులు (31.14) ',' 1st ఒక సిరీస్లో అత్యధిక బాతులు (4) ',' 7 వ అత్యధిక కెరీర్ లో సిక్సర్లు ( ఒక ఇన్నింగ్స్ లో కెరీర్లో 204) ',' 19 వ అత్యంత ఫో"&amp;"ర్లు (840) ',' 2 వ ఎక్కువ సిక్స్ (16) ',' 3000 పరుగులు ఇన్నింగ్స్ (132) ',' 41 వ అత్యంత వేగంగా ఫోర్లు, సిక్సర్లు నుండి 7 వ అత్యధిక పరుగులు ( 88) ',' 13 వ 4000 పరుగులు (105) ',' 11 వ వేగంగా వేగంగా 5000 పరుగులు (124) ',' 7000 పరుగులు (166) ',' 3 వ 6000 పరుగ"&amp;"ులు (147) ',' 3 వ అత్యంత వేగంగా 5 వ వేగవంతమైన వేగవంతమైన 8000 పరుగులు (182) ',' 2nd 9000 వేగవంతమైన పరుగులు (205) ',' 47 వ కెరీర్ లో (83) ',' ఎనిమిదవ వికెట్కు 41 వ అత్యధిక భాగస్వామ్యం (77) ',' 14 వ అత్యంత ప్లేయర్ ఆఫ్ అత్యధిక క్యాచ్లు -ది-మ్యాచ్ అవార్డులు"&amp;" (27) ',' 12 వ అత్యంత ప్లేయర్ ఆఫ్ ది సిరీస్ అవార్డులు (6) ',' 20 వ అత్యధిక మ్యాచ్లు కెప్టెన్గా (103) ',' వికెట్ను కాపాడుకున్నాడు చేసిన 8 వ కెప్టెన్ల (30) ',' కెరీర్లో 31 వ అత్యధిక వికెట్లు (98) ',' 16 వ ఇన్నింగ్స్ లో అత్యధిక వికెట్లు (5) ',' 29th కెరీర్లో"&amp;" అత్యధిక క్యాచ్లు (93) ',' 11 వ ఇన్నింగ్స్ లో అత్యధిక క్యాచ్లు (5) ']")</f>
        <v>[ '17 వ అత్యధిక కెరీర్ లో పరుగులు (9577)', '34 వ ఇన్నింగ్స్ లో అత్యధిక పరుగులు (176)', 'వరుస 42 వ అత్యధిక పరుగులు (482)', '46 వ ఒక క్యాలెండర్ సంవత్సరంలో అత్యధిక పరుగులు (1209)', ' 1 వ భాగం (బ్యాటింగ్ స్థానంలో ద్వారా) ఒక ఇన్నింగ్స్ లో నడుస్తుంది ఒక కెప్టెన్ ద్వారా ఒక సిరీస్లో (162 *) ',' 8 వ అత్యధిక పరుగులు (482) ',' ఒక కెప్టెన్తో ఇన్నింగ్స్ లో 10 వ అత్యధిక పరుగులు (162 *) ',' 18 వ ఒక వికెట్ కీపర్ సిరీస్లో అత్యధిక పరుగులు (367) ',' అత్యధిక వికెట్లు ఇన్నింగ్స్ 12 వ అత్యధిక పరుగులు (149) ',' 6 వ అత్యధిక కెరీర్ బ్యాటింగ్ సగటు (53.50) ',' 31 అత్యధిక కెరీర్ సమ్మె రేటు (101.09) ', 'ఇన్నింగ్స్ లో 5 వ అత్యధిక స్ట్రైక్ రేట్ (338.63)', 'ఒక వృత్తిలో 7 వ అత్యధిక వందలు (25)', 'వరుస 3 వ అత్యధిక వందలు (3)', '11 వ అత్యంత ఒక క్యాలెండర్ సంవత్సరంలో వందల (5)', 'ఒక జట్టుతో 10 వ అత్యధిక వందలు (6)', 'వరుస ఇన్నింగ్స్లో 2 వ వందల (3)', '25 వ అత్యధిక తొలి వంద (146)', 'కెరీర్లో 8 వ అత్యంత తొంభైల (6)', '1 వ 99 పరుగుల ( 199, 299 etc) (99) ',' 15 వ అత్యధిక కెరీర్ లో అర్ధ (78) ',' వరుస ఇన్నింగ్స్లో 44 వ యాభైల్లో (firs ముందు 4) ',' 40 వ అత్యంత ఇన్నింగ్స్ t డక్ (30) ',' 7 వ అత్యధిక వరుస ఇన్నింగ్స్లో డకౌట్ లేకుండా (90) ',' 30 వ కెరీర్ లో అతి తక్కువ బాతులు (31.14) ',' 1st ఒక సిరీస్లో అత్యధిక బాతులు (4) ',' 7 వ అత్యధిక కెరీర్ లో సిక్సర్లు ( ఒక ఇన్నింగ్స్ లో కెరీర్లో 204) ',' 19 వ అత్యంత ఫోర్లు (840) ',' 2 వ ఎక్కువ సిక్స్ (16) ',' 3000 పరుగులు ఇన్నింగ్స్ (132) ',' 41 వ అత్యంత వేగంగా ఫోర్లు, సిక్సర్లు నుండి 7 వ అత్యధిక పరుగులు ( 88) ',' 13 వ 4000 పరుగులు (105) ',' 11 వ వేగంగా వేగంగా 5000 పరుగులు (124) ',' 7000 పరుగులు (166) ',' 3 వ 6000 పరుగులు (147) ',' 3 వ అత్యంత వేగంగా 5 వ వేగవంతమైన వేగవంతమైన 8000 పరుగులు (182) ',' 2nd 9000 వేగవంతమైన పరుగులు (205) ',' 47 వ కెరీర్ లో (83) ',' ఎనిమిదవ వికెట్కు 41 వ అత్యధిక భాగస్వామ్యం (77) ',' 14 వ అత్యంత ప్లేయర్ ఆఫ్ అత్యధిక క్యాచ్లు -ది-మ్యాచ్ అవార్డులు (27) ',' 12 వ అత్యంత ప్లేయర్ ఆఫ్ ది సిరీస్ అవార్డులు (6) ',' 20 వ అత్యధిక మ్యాచ్లు కెప్టెన్గా (103) ',' వికెట్ను కాపాడుకున్నాడు చేసిన 8 వ కెప్టెన్ల (30) ',' కెరీర్లో 31 వ అత్యధిక వికెట్లు (98) ',' 16 వ ఇన్నింగ్స్ లో అత్యధిక వికెట్లు (5) ',' 29th కెరీర్లో అత్యధిక క్యాచ్లు (93) ',' 11 వ ఇన్నింగ్స్ లో అత్యధిక క్యాచ్లు (5) ']</v>
      </c>
      <c r="G1780" s="2" t="s">
        <v>1060</v>
      </c>
      <c r="H1780" s="2" t="str">
        <f>IFERROR(__xludf.DUMMYFUNCTION("IF(G1780&lt;&gt;"""", GOOGLETRANSLATE(G1780, ""en"", ""te""),"""")"),"[ 'అత్యధిక వికెట్లు 40 వ ఇన్నింగ్స్ లో అత్యధిక పరుగులు (71)' '23 వ కెరీర్ లో పరుగులు (1672)', '28th ఇన్నింగ్స్ లో అత్యధిక పరుగులు (బ్యాటింగ్ స్థానంలో ప్రకారం) (79 *)', '26 వ అధిక అర్ధ సెంచరీలు కెరీర్ (10) ',' ఒక డక్ లేకుండా 42 వ వరుస ఇన్నింగ్స్ (32) ',' క"&amp;"ెరీర్లో 43 వ అతి తక్కువ బాతులు (15) ',' 32 వ కెరీర్ బాతులు (5) ',' 31 కెరీర్లో ఎక్కువ సిక్స్ (60) ',' 29th కెరీర్ ఫోర్లు (140) ',' 6 వ కెరీర్లో అత్యధిక క్యాచ్లు (44) ',' 15 వ అత్యంత ఇన్నింగ్స్ లో క్యాచ్లు (3) తొలి వికెట్కు ',' 34 వ అత్యధిక భాగస్వామ్యం (12"&amp;"5) ',' నాలుగో వికెట్కు (110 *) కోసం 8 వ అత్యధిక భాగస్వామ్యం ',' 25 వ కెరీర్ లో అత్యధిక మ్యాచ్లు (78) ',' 12 వ అత్యంత ప్లేయర్ ఆఫ్ ది మ్యాచ్ అవార్డులు (7) ',' 43 వ లాంగెస్ట్ కెరీర్లు (11y 247d) ', '38 వ కెప్టెన్గా అత్యధిక మ్యాచ్లు (18)', 'వికెట్ను కాపాడుకున"&amp;"్నాడు చేసిన 8 వ కెప్టెన్ల (11)', '15 వ కెరీర్ లో అత్యధిక వికెట్లు (28)', '5 వ ఇన్నింగ్స్ లో అత్యధిక వికెట్లు (4)', '16 వ అత్యధిక క్యాచ్లు కెరీర్లో (21) ',' ఇన్నింగ్స్ లో 3 వ అత్యధిక క్యాచ్లు (4) ',' 14 వ కెరీర్ స్టంపింగ్లు (7) ',' 32 వ అత్యంత బైలు ఇన్నిం"&amp;"గ్స్ లో సాధించిన (5) ']")</f>
        <v>[ 'అత్యధిక వికెట్లు 40 వ ఇన్నింగ్స్ లో అత్యధిక పరుగులు (71)' '23 వ కెరీర్ లో పరుగులు (1672)', '28th ఇన్నింగ్స్ లో అత్యధిక పరుగులు (బ్యాటింగ్ స్థానంలో ప్రకారం) (79 *)', '26 వ అధిక అర్ధ సెంచరీలు కెరీర్ (10) ',' ఒక డక్ లేకుండా 42 వ వరుస ఇన్నింగ్స్ (32) ',' కెరీర్లో 43 వ అతి తక్కువ బాతులు (15) ',' 32 వ కెరీర్ బాతులు (5) ',' 31 కెరీర్లో ఎక్కువ సిక్స్ (60) ',' 29th కెరీర్ ఫోర్లు (140) ',' 6 వ కెరీర్లో అత్యధిక క్యాచ్లు (44) ',' 15 వ అత్యంత ఇన్నింగ్స్ లో క్యాచ్లు (3) తొలి వికెట్కు ',' 34 వ అత్యధిక భాగస్వామ్యం (125) ',' నాలుగో వికెట్కు (110 *) కోసం 8 వ అత్యధిక భాగస్వామ్యం ',' 25 వ కెరీర్ లో అత్యధిక మ్యాచ్లు (78) ',' 12 వ అత్యంత ప్లేయర్ ఆఫ్ ది మ్యాచ్ అవార్డులు (7) ',' 43 వ లాంగెస్ట్ కెరీర్లు (11y 247d) ', '38 వ కెప్టెన్గా అత్యధిక మ్యాచ్లు (18)', 'వికెట్ను కాపాడుకున్నాడు చేసిన 8 వ కెప్టెన్ల (11)', '15 వ కెరీర్ లో అత్యధిక వికెట్లు (28)', '5 వ ఇన్నింగ్స్ లో అత్యధిక వికెట్లు (4)', '16 వ అత్యధిక క్యాచ్లు కెరీర్లో (21) ',' ఇన్నింగ్స్ లో 3 వ అత్యధిక క్యాచ్లు (4) ',' 14 వ కెరీర్ స్టంపింగ్లు (7) ',' 32 వ అత్యంత బైలు ఇన్నింగ్స్ లో సాధించిన (5) ']</v>
      </c>
      <c r="I1780" s="3"/>
    </row>
    <row r="1781" customHeight="1" spans="1:9">
      <c r="A1781" s="2"/>
      <c r="B1781" s="2" t="str">
        <f>IFERROR(__xludf.DUMMYFUNCTION("IF(A1781&lt;&gt;"""", GOOGLETRANSLATE(A1781, ""en"", ""te""),"""")"),"")</f>
        <v/>
      </c>
      <c r="C1781" s="2"/>
      <c r="D1781" s="2" t="str">
        <f>IFERROR(__xludf.DUMMYFUNCTION("IF(C1781&lt;&gt;"""", GOOGLETRANSLATE(C1781, ""en"", ""te""),"""")"),"")</f>
        <v/>
      </c>
      <c r="E1781" s="2"/>
      <c r="F1781" s="2" t="str">
        <f>IFERROR(__xludf.DUMMYFUNCTION("IF(E1781&lt;&gt;"""", GOOGLETRANSLATE(E1781, ""en"", ""te""),"""")"),"")</f>
        <v/>
      </c>
      <c r="G1781" s="2"/>
      <c r="H1781" s="2" t="str">
        <f>IFERROR(__xludf.DUMMYFUNCTION("IF(G1781&lt;&gt;"""", GOOGLETRANSLATE(G1781, ""en"", ""te""),"""")"),"")</f>
        <v/>
      </c>
      <c r="I1781" s="3"/>
    </row>
    <row r="1782" customHeight="1" spans="1:9">
      <c r="A1782" s="2"/>
      <c r="B1782" s="2" t="str">
        <f>IFERROR(__xludf.DUMMYFUNCTION("IF(A1782&lt;&gt;"""", GOOGLETRANSLATE(A1782, ""en"", ""te""),"""")"),"")</f>
        <v/>
      </c>
      <c r="C1782" s="2"/>
      <c r="D1782" s="2" t="str">
        <f>IFERROR(__xludf.DUMMYFUNCTION("IF(C1782&lt;&gt;"""", GOOGLETRANSLATE(C1782, ""en"", ""te""),"""")"),"")</f>
        <v/>
      </c>
      <c r="E1782" s="2"/>
      <c r="F1782" s="2" t="str">
        <f>IFERROR(__xludf.DUMMYFUNCTION("IF(E1782&lt;&gt;"""", GOOGLETRANSLATE(E1782, ""en"", ""te""),"""")"),"")</f>
        <v/>
      </c>
      <c r="G1782" s="2"/>
      <c r="H1782" s="2" t="str">
        <f>IFERROR(__xludf.DUMMYFUNCTION("IF(G1782&lt;&gt;"""", GOOGLETRANSLATE(G1782, ""en"", ""te""),"""")"),"")</f>
        <v/>
      </c>
      <c r="I1782" s="3"/>
    </row>
    <row r="1783" customHeight="1" spans="1:9">
      <c r="A1783" s="2"/>
      <c r="B1783" s="2" t="str">
        <f>IFERROR(__xludf.DUMMYFUNCTION("IF(A1783&lt;&gt;"""", GOOGLETRANSLATE(A1783, ""en"", ""te""),"""")"),"")</f>
        <v/>
      </c>
      <c r="C1783" s="2"/>
      <c r="D1783" s="2" t="str">
        <f>IFERROR(__xludf.DUMMYFUNCTION("IF(C1783&lt;&gt;"""", GOOGLETRANSLATE(C1783, ""en"", ""te""),"""")"),"")</f>
        <v/>
      </c>
      <c r="E1783" s="2"/>
      <c r="F1783" s="2" t="str">
        <f>IFERROR(__xludf.DUMMYFUNCTION("IF(E1783&lt;&gt;"""", GOOGLETRANSLATE(E1783, ""en"", ""te""),"""")"),"")</f>
        <v/>
      </c>
      <c r="G1783" s="2"/>
      <c r="H1783" s="2" t="str">
        <f>IFERROR(__xludf.DUMMYFUNCTION("IF(G1783&lt;&gt;"""", GOOGLETRANSLATE(G1783, ""en"", ""te""),"""")"),"")</f>
        <v/>
      </c>
      <c r="I1783" s="3"/>
    </row>
    <row r="1784" customHeight="1" spans="1:9">
      <c r="A1784" s="2"/>
      <c r="B1784" s="2" t="str">
        <f>IFERROR(__xludf.DUMMYFUNCTION("IF(A1784&lt;&gt;"""", GOOGLETRANSLATE(A1784, ""en"", ""te""),"""")"),"")</f>
        <v/>
      </c>
      <c r="C1784" s="2" t="s">
        <v>1061</v>
      </c>
      <c r="D1784" s="2" t="str">
        <f>IFERROR(__xludf.DUMMYFUNCTION("IF(C1784&lt;&gt;"""", GOOGLETRANSLATE(C1784, ""en"", ""te""),"""")"),"[ '27 పురాతన దేశం ఆటగాళ్ళు (88y 87d)']")</f>
        <v>[ '27 పురాతన దేశం ఆటగాళ్ళు (88y 87d)']</v>
      </c>
      <c r="E1784" s="2"/>
      <c r="F1784" s="2" t="str">
        <f>IFERROR(__xludf.DUMMYFUNCTION("IF(E1784&lt;&gt;"""", GOOGLETRANSLATE(E1784, ""en"", ""te""),"""")"),"")</f>
        <v/>
      </c>
      <c r="G1784" s="2"/>
      <c r="H1784" s="2" t="str">
        <f>IFERROR(__xludf.DUMMYFUNCTION("IF(G1784&lt;&gt;"""", GOOGLETRANSLATE(G1784, ""en"", ""te""),"""")"),"")</f>
        <v/>
      </c>
      <c r="I1784" s="3"/>
    </row>
    <row r="1785" customHeight="1" spans="1:9">
      <c r="A1785" s="2"/>
      <c r="B1785" s="2" t="str">
        <f>IFERROR(__xludf.DUMMYFUNCTION("IF(A1785&lt;&gt;"""", GOOGLETRANSLATE(A1785, ""en"", ""te""),"""")"),"")</f>
        <v/>
      </c>
      <c r="C1785" s="2"/>
      <c r="D1785" s="2" t="str">
        <f>IFERROR(__xludf.DUMMYFUNCTION("IF(C1785&lt;&gt;"""", GOOGLETRANSLATE(C1785, ""en"", ""te""),"""")"),"")</f>
        <v/>
      </c>
      <c r="E1785" s="2"/>
      <c r="F1785" s="2" t="str">
        <f>IFERROR(__xludf.DUMMYFUNCTION("IF(E1785&lt;&gt;"""", GOOGLETRANSLATE(E1785, ""en"", ""te""),"""")"),"")</f>
        <v/>
      </c>
      <c r="G1785" s="2"/>
      <c r="H1785" s="2" t="str">
        <f>IFERROR(__xludf.DUMMYFUNCTION("IF(G1785&lt;&gt;"""", GOOGLETRANSLATE(G1785, ""en"", ""te""),"""")"),"")</f>
        <v/>
      </c>
      <c r="I1785" s="3"/>
    </row>
    <row r="1786" customHeight="1" spans="1:9">
      <c r="A1786" s="2"/>
      <c r="B1786" s="2" t="str">
        <f>IFERROR(__xludf.DUMMYFUNCTION("IF(A1786&lt;&gt;"""", GOOGLETRANSLATE(A1786, ""en"", ""te""),"""")"),"")</f>
        <v/>
      </c>
      <c r="C1786" s="2"/>
      <c r="D1786" s="2" t="str">
        <f>IFERROR(__xludf.DUMMYFUNCTION("IF(C1786&lt;&gt;"""", GOOGLETRANSLATE(C1786, ""en"", ""te""),"""")"),"")</f>
        <v/>
      </c>
      <c r="E1786" s="2"/>
      <c r="F1786" s="2" t="str">
        <f>IFERROR(__xludf.DUMMYFUNCTION("IF(E1786&lt;&gt;"""", GOOGLETRANSLATE(E1786, ""en"", ""te""),"""")"),"")</f>
        <v/>
      </c>
      <c r="G1786" s="2"/>
      <c r="H1786" s="2" t="str">
        <f>IFERROR(__xludf.DUMMYFUNCTION("IF(G1786&lt;&gt;"""", GOOGLETRANSLATE(G1786, ""en"", ""te""),"""")"),"")</f>
        <v/>
      </c>
      <c r="I1786" s="3"/>
    </row>
    <row r="1787" customHeight="1" spans="1:9">
      <c r="A1787" s="2"/>
      <c r="B1787" s="2" t="str">
        <f>IFERROR(__xludf.DUMMYFUNCTION("IF(A1787&lt;&gt;"""", GOOGLETRANSLATE(A1787, ""en"", ""te""),"""")"),"")</f>
        <v/>
      </c>
      <c r="C1787" s="2"/>
      <c r="D1787" s="2" t="str">
        <f>IFERROR(__xludf.DUMMYFUNCTION("IF(C1787&lt;&gt;"""", GOOGLETRANSLATE(C1787, ""en"", ""te""),"""")"),"")</f>
        <v/>
      </c>
      <c r="E1787" s="2"/>
      <c r="F1787" s="2" t="str">
        <f>IFERROR(__xludf.DUMMYFUNCTION("IF(E1787&lt;&gt;"""", GOOGLETRANSLATE(E1787, ""en"", ""te""),"""")"),"")</f>
        <v/>
      </c>
      <c r="G1787" s="2"/>
      <c r="H1787" s="2" t="str">
        <f>IFERROR(__xludf.DUMMYFUNCTION("IF(G1787&lt;&gt;"""", GOOGLETRANSLATE(G1787, ""en"", ""te""),"""")"),"")</f>
        <v/>
      </c>
      <c r="I1787" s="3"/>
    </row>
    <row r="1788" customHeight="1" spans="1:9">
      <c r="A1788" s="2"/>
      <c r="B1788" s="2" t="str">
        <f>IFERROR(__xludf.DUMMYFUNCTION("IF(A1788&lt;&gt;"""", GOOGLETRANSLATE(A1788, ""en"", ""te""),"""")"),"")</f>
        <v/>
      </c>
      <c r="C1788" s="2"/>
      <c r="D1788" s="2" t="str">
        <f>IFERROR(__xludf.DUMMYFUNCTION("IF(C1788&lt;&gt;"""", GOOGLETRANSLATE(C1788, ""en"", ""te""),"""")"),"")</f>
        <v/>
      </c>
      <c r="E1788" s="2"/>
      <c r="F1788" s="2" t="str">
        <f>IFERROR(__xludf.DUMMYFUNCTION("IF(E1788&lt;&gt;"""", GOOGLETRANSLATE(E1788, ""en"", ""te""),"""")"),"")</f>
        <v/>
      </c>
      <c r="G1788" s="2"/>
      <c r="H1788" s="2" t="str">
        <f>IFERROR(__xludf.DUMMYFUNCTION("IF(G1788&lt;&gt;"""", GOOGLETRANSLATE(G1788, ""en"", ""te""),"""")"),"")</f>
        <v/>
      </c>
      <c r="I1788" s="3"/>
    </row>
    <row r="1789" customHeight="1" spans="1:9">
      <c r="A1789" s="2" t="s">
        <v>1062</v>
      </c>
      <c r="B1789" s="2" t="str">
        <f>IFERROR(__xludf.DUMMYFUNCTION("IF(A1789&lt;&gt;"""", GOOGLETRANSLATE(A1789, ""en"", ""te""),"""")"),"[ '10 వ పిన్న కాప్టెన్ (24y 118d)', '7 వ అత్యుత్తమ బౌలింగ్ ఇన్నింగ్స్ లో విశ్లేషించడం (4/4)', 'తొలి ఇన్నింగ్స్లో 6 వ ఉత్తమ బొమ్మలు (4)', 'ఒకే మ్యాచ్ లో బ్యాటింగ్ ప్రారంభించుటకు మరియు బౌలింగ్ ',' ఏడవ వికెట్కు 3 వ అత్యధిక భాగస్వామ్యం (94) ']")</f>
        <v>[ '10 వ పిన్న కాప్టెన్ (24y 118d)', '7 వ అత్యుత్తమ బౌలింగ్ ఇన్నింగ్స్ లో విశ్లేషించడం (4/4)', 'తొలి ఇన్నింగ్స్లో 6 వ ఉత్తమ బొమ్మలు (4)', 'ఒకే మ్యాచ్ లో బ్యాటింగ్ ప్రారంభించుటకు మరియు బౌలింగ్ ',' ఏడవ వికెట్కు 3 వ అత్యధిక భాగస్వామ్యం (94) ']</v>
      </c>
      <c r="C1789" s="2" t="s">
        <v>1063</v>
      </c>
      <c r="D1789" s="2" t="str">
        <f>IFERROR(__xludf.DUMMYFUNCTION("IF(C1789&lt;&gt;"""", GOOGLETRANSLATE(C1789, ""en"", ""te""),"""")"),"[ '10 వ పిన్న కాప్టెన్ (24y 118d)']")</f>
        <v>[ '10 వ పిన్న కాప్టెన్ (24y 118d)']</v>
      </c>
      <c r="E1789" s="2" t="s">
        <v>1064</v>
      </c>
      <c r="F1789" s="2" t="str">
        <f>IFERROR(__xludf.DUMMYFUNCTION("IF(E1789&lt;&gt;"""", GOOGLETRANSLATE(E1789, ""en"", ""te""),"""")"),"[ '7th అత్యుత్తమ ఇన్నింగ్స్ లో బౌలింగ్ విశ్లేషణలు (4/4)', '17 వ ఉత్తమ సమ్మె ఇన్నింగ్స్ లో రేటు (7.0)', '48 వ చెత్త కెరీర్ సగటు (30.82) బౌలింగ్', '41 వ చెత్త కెరీర్లో సమ్మె రేటు (53.0)' '6 వ అరంగేట్రంలోనే ఇన్నింగ్స్ లోని బెస్ట్ ఫిగర్స్ (4)', 'ఏడవ వికెట్కు "&amp;"3 వ అత్యధిక భాగస్వామ్యం (94)', '6 వ పిన్న కాప్టెన్ (21y 86d)']")</f>
        <v>[ '7th అత్యుత్తమ ఇన్నింగ్స్ లో బౌలింగ్ విశ్లేషణలు (4/4)', '17 వ ఉత్తమ సమ్మె ఇన్నింగ్స్ లో రేటు (7.0)', '48 వ చెత్త కెరీర్ సగటు (30.82) బౌలింగ్', '41 వ చెత్త కెరీర్లో సమ్మె రేటు (53.0)' '6 వ అరంగేట్రంలోనే ఇన్నింగ్స్ లోని బెస్ట్ ఫిగర్స్ (4)', 'ఏడవ వికెట్కు 3 వ అత్యధిక భాగస్వామ్యం (94)', '6 వ పిన్న కాప్టెన్ (21y 86d)']</v>
      </c>
      <c r="G1789" s="2"/>
      <c r="H1789" s="2" t="str">
        <f>IFERROR(__xludf.DUMMYFUNCTION("IF(G1789&lt;&gt;"""", GOOGLETRANSLATE(G1789, ""en"", ""te""),"""")"),"")</f>
        <v/>
      </c>
      <c r="I1789" s="3"/>
    </row>
    <row r="1790" customHeight="1" spans="1:9">
      <c r="A1790" s="2" t="s">
        <v>1065</v>
      </c>
      <c r="B1790" s="2" t="str">
        <f>IFERROR(__xludf.DUMMYFUNCTION("IF(A1790&lt;&gt;"""", GOOGLETRANSLATE(A1790, ""en"", ""te""),"""")"),"[ 'తొలి పెయిర్', 'ఒక ఇన్నింగ్స్లో ద్వారా బ్యాట్ నిదర్శన (141 *)']")</f>
        <v>[ 'తొలి పెయిర్', 'ఒక ఇన్నింగ్స్లో ద్వారా బ్యాట్ నిదర్శన (141 *)']</v>
      </c>
      <c r="C1790" s="2" t="s">
        <v>1066</v>
      </c>
      <c r="D1790" s="2" t="str">
        <f>IFERROR(__xludf.DUMMYFUNCTION("IF(C1790&lt;&gt;"""", GOOGLETRANSLATE(C1790, ""en"", ""te""),"""")"),"[ '19 ఒక క్యాలెండర్ సంవత్సరంలో అత్యధిక వందలు (5)', 'మొదటి వికెట్కు 39 వ అత్యధిక భాగస్వామ్యం (243)', 'మూడో వికెట్కు 48 వ అత్యధిక భాగస్వామ్యం (250)', 'మోస్ట్ 44 వ-క్రీడాకారుని సిరీస్గా అవార్డులు (3) ']")</f>
        <v>[ '19 ఒక క్యాలెండర్ సంవత్సరంలో అత్యధిక వందలు (5)', 'మొదటి వికెట్కు 39 వ అత్యధిక భాగస్వామ్యం (243)', 'మూడో వికెట్కు 48 వ అత్యధిక భాగస్వామ్యం (250)', 'మోస్ట్ 44 వ-క్రీడాకారుని సిరీస్గా అవార్డులు (3) ']</v>
      </c>
      <c r="E1790" s="2"/>
      <c r="F1790" s="2" t="str">
        <f>IFERROR(__xludf.DUMMYFUNCTION("IF(E1790&lt;&gt;"""", GOOGLETRANSLATE(E1790, ""en"", ""te""),"""")"),"")</f>
        <v/>
      </c>
      <c r="G1790" s="2"/>
      <c r="H1790" s="2" t="str">
        <f>IFERROR(__xludf.DUMMYFUNCTION("IF(G1790&lt;&gt;"""", GOOGLETRANSLATE(G1790, ""en"", ""te""),"""")"),"")</f>
        <v/>
      </c>
      <c r="I1790" s="3"/>
    </row>
    <row r="1791" customHeight="1" spans="1:9">
      <c r="A1791" s="2"/>
      <c r="B1791" s="2" t="str">
        <f>IFERROR(__xludf.DUMMYFUNCTION("IF(A1791&lt;&gt;"""", GOOGLETRANSLATE(A1791, ""en"", ""te""),"""")"),"")</f>
        <v/>
      </c>
      <c r="C1791" s="2"/>
      <c r="D1791" s="2" t="str">
        <f>IFERROR(__xludf.DUMMYFUNCTION("IF(C1791&lt;&gt;"""", GOOGLETRANSLATE(C1791, ""en"", ""te""),"""")"),"")</f>
        <v/>
      </c>
      <c r="E1791" s="2"/>
      <c r="F1791" s="2" t="str">
        <f>IFERROR(__xludf.DUMMYFUNCTION("IF(E1791&lt;&gt;"""", GOOGLETRANSLATE(E1791, ""en"", ""te""),"""")"),"")</f>
        <v/>
      </c>
      <c r="G1791" s="2"/>
      <c r="H1791" s="2" t="str">
        <f>IFERROR(__xludf.DUMMYFUNCTION("IF(G1791&lt;&gt;"""", GOOGLETRANSLATE(G1791, ""en"", ""te""),"""")"),"")</f>
        <v/>
      </c>
      <c r="I1791" s="3"/>
    </row>
    <row r="1792" customHeight="1" spans="1:9">
      <c r="A1792" s="2"/>
      <c r="B1792" s="2" t="str">
        <f>IFERROR(__xludf.DUMMYFUNCTION("IF(A1792&lt;&gt;"""", GOOGLETRANSLATE(A1792, ""en"", ""te""),"""")"),"")</f>
        <v/>
      </c>
      <c r="C1792" s="2"/>
      <c r="D1792" s="2" t="str">
        <f>IFERROR(__xludf.DUMMYFUNCTION("IF(C1792&lt;&gt;"""", GOOGLETRANSLATE(C1792, ""en"", ""te""),"""")"),"")</f>
        <v/>
      </c>
      <c r="E1792" s="2"/>
      <c r="F1792" s="2" t="str">
        <f>IFERROR(__xludf.DUMMYFUNCTION("IF(E1792&lt;&gt;"""", GOOGLETRANSLATE(E1792, ""en"", ""te""),"""")"),"")</f>
        <v/>
      </c>
      <c r="G1792" s="2"/>
      <c r="H1792" s="2" t="str">
        <f>IFERROR(__xludf.DUMMYFUNCTION("IF(G1792&lt;&gt;"""", GOOGLETRANSLATE(G1792, ""en"", ""te""),"""")"),"")</f>
        <v/>
      </c>
      <c r="I1792" s="3"/>
    </row>
    <row r="1793" customHeight="1" spans="1:9">
      <c r="A1793" s="2"/>
      <c r="B1793" s="2" t="str">
        <f>IFERROR(__xludf.DUMMYFUNCTION("IF(A1793&lt;&gt;"""", GOOGLETRANSLATE(A1793, ""en"", ""te""),"""")"),"")</f>
        <v/>
      </c>
      <c r="C1793" s="2"/>
      <c r="D1793" s="2" t="str">
        <f>IFERROR(__xludf.DUMMYFUNCTION("IF(C1793&lt;&gt;"""", GOOGLETRANSLATE(C1793, ""en"", ""te""),"""")"),"")</f>
        <v/>
      </c>
      <c r="E1793" s="2"/>
      <c r="F1793" s="2" t="str">
        <f>IFERROR(__xludf.DUMMYFUNCTION("IF(E1793&lt;&gt;"""", GOOGLETRANSLATE(E1793, ""en"", ""te""),"""")"),"")</f>
        <v/>
      </c>
      <c r="G1793" s="2"/>
      <c r="H1793" s="2" t="str">
        <f>IFERROR(__xludf.DUMMYFUNCTION("IF(G1793&lt;&gt;"""", GOOGLETRANSLATE(G1793, ""en"", ""te""),"""")"),"")</f>
        <v/>
      </c>
      <c r="I1793" s="3"/>
    </row>
    <row r="1794" customHeight="1" spans="1:9">
      <c r="A1794" s="2"/>
      <c r="B1794" s="2" t="str">
        <f>IFERROR(__xludf.DUMMYFUNCTION("IF(A1794&lt;&gt;"""", GOOGLETRANSLATE(A1794, ""en"", ""te""),"""")"),"")</f>
        <v/>
      </c>
      <c r="C1794" s="2"/>
      <c r="D1794" s="2" t="str">
        <f>IFERROR(__xludf.DUMMYFUNCTION("IF(C1794&lt;&gt;"""", GOOGLETRANSLATE(C1794, ""en"", ""te""),"""")"),"")</f>
        <v/>
      </c>
      <c r="E1794" s="2"/>
      <c r="F1794" s="2" t="str">
        <f>IFERROR(__xludf.DUMMYFUNCTION("IF(E1794&lt;&gt;"""", GOOGLETRANSLATE(E1794, ""en"", ""te""),"""")"),"")</f>
        <v/>
      </c>
      <c r="G1794" s="2"/>
      <c r="H1794" s="2" t="str">
        <f>IFERROR(__xludf.DUMMYFUNCTION("IF(G1794&lt;&gt;"""", GOOGLETRANSLATE(G1794, ""en"", ""te""),"""")"),"")</f>
        <v/>
      </c>
      <c r="I1794" s="3"/>
    </row>
    <row r="1795" customHeight="1" spans="1:9">
      <c r="A1795" s="2" t="s">
        <v>1067</v>
      </c>
      <c r="B1795" s="2" t="str">
        <f>IFERROR(__xludf.DUMMYFUNCTION("IF(A1795&lt;&gt;"""", GOOGLETRANSLATE(A1795, ""en"", ""te""),"""")"),"[ '2nd అసాధారణ వికెట్లు (bal నిర్వహించింది)']")</f>
        <v>[ '2nd అసాధారణ వికెట్లు (bal నిర్వహించింది)']</v>
      </c>
      <c r="C1795" s="2" t="s">
        <v>1068</v>
      </c>
      <c r="D1795" s="2" t="str">
        <f>IFERROR(__xludf.DUMMYFUNCTION("IF(C1795&lt;&gt;"""", GOOGLETRANSLATE(C1795, ""en"", ""te""),"""")"),"[ 'వరుస (10) 42 వ అత్యధిక క్యాచ్లు' '2 వ అసాధారణ వికెట్లు (bal నిర్వహించింది)',]")</f>
        <v>[ 'వరుస (10) 42 వ అత్యధిక క్యాచ్లు' '2 వ అసాధారణ వికెట్లు (bal నిర్వహించింది)',]</v>
      </c>
      <c r="E1795" s="2"/>
      <c r="F1795" s="2" t="str">
        <f>IFERROR(__xludf.DUMMYFUNCTION("IF(E1795&lt;&gt;"""", GOOGLETRANSLATE(E1795, ""en"", ""te""),"""")"),"")</f>
        <v/>
      </c>
      <c r="G1795" s="2"/>
      <c r="H1795" s="2" t="str">
        <f>IFERROR(__xludf.DUMMYFUNCTION("IF(G1795&lt;&gt;"""", GOOGLETRANSLATE(G1795, ""en"", ""te""),"""")"),"")</f>
        <v/>
      </c>
      <c r="I1795" s="3"/>
    </row>
    <row r="1796" customHeight="1" spans="1:9">
      <c r="A1796" s="2"/>
      <c r="B1796" s="2" t="str">
        <f>IFERROR(__xludf.DUMMYFUNCTION("IF(A1796&lt;&gt;"""", GOOGLETRANSLATE(A1796, ""en"", ""te""),"""")"),"")</f>
        <v/>
      </c>
      <c r="C1796" s="2"/>
      <c r="D1796" s="2" t="str">
        <f>IFERROR(__xludf.DUMMYFUNCTION("IF(C1796&lt;&gt;"""", GOOGLETRANSLATE(C1796, ""en"", ""te""),"""")"),"")</f>
        <v/>
      </c>
      <c r="E1796" s="2"/>
      <c r="F1796" s="2" t="str">
        <f>IFERROR(__xludf.DUMMYFUNCTION("IF(E1796&lt;&gt;"""", GOOGLETRANSLATE(E1796, ""en"", ""te""),"""")"),"")</f>
        <v/>
      </c>
      <c r="G1796" s="2"/>
      <c r="H1796" s="2" t="str">
        <f>IFERROR(__xludf.DUMMYFUNCTION("IF(G1796&lt;&gt;"""", GOOGLETRANSLATE(G1796, ""en"", ""te""),"""")"),"")</f>
        <v/>
      </c>
      <c r="I1796" s="3"/>
    </row>
    <row r="1797" customHeight="1" spans="1:9">
      <c r="A1797" s="2"/>
      <c r="B1797" s="2" t="str">
        <f>IFERROR(__xludf.DUMMYFUNCTION("IF(A1797&lt;&gt;"""", GOOGLETRANSLATE(A1797, ""en"", ""te""),"""")"),"")</f>
        <v/>
      </c>
      <c r="C1797" s="2"/>
      <c r="D1797" s="2" t="str">
        <f>IFERROR(__xludf.DUMMYFUNCTION("IF(C1797&lt;&gt;"""", GOOGLETRANSLATE(C1797, ""en"", ""te""),"""")"),"")</f>
        <v/>
      </c>
      <c r="E1797" s="2"/>
      <c r="F1797" s="2" t="str">
        <f>IFERROR(__xludf.DUMMYFUNCTION("IF(E1797&lt;&gt;"""", GOOGLETRANSLATE(E1797, ""en"", ""te""),"""")"),"")</f>
        <v/>
      </c>
      <c r="G1797" s="2"/>
      <c r="H1797" s="2" t="str">
        <f>IFERROR(__xludf.DUMMYFUNCTION("IF(G1797&lt;&gt;"""", GOOGLETRANSLATE(G1797, ""en"", ""te""),"""")"),"")</f>
        <v/>
      </c>
      <c r="I1797" s="3"/>
    </row>
    <row r="1798" customHeight="1" spans="1:9">
      <c r="A1798" s="2"/>
      <c r="B1798" s="2" t="str">
        <f>IFERROR(__xludf.DUMMYFUNCTION("IF(A1798&lt;&gt;"""", GOOGLETRANSLATE(A1798, ""en"", ""te""),"""")"),"")</f>
        <v/>
      </c>
      <c r="C1798" s="2"/>
      <c r="D1798" s="2" t="str">
        <f>IFERROR(__xludf.DUMMYFUNCTION("IF(C1798&lt;&gt;"""", GOOGLETRANSLATE(C1798, ""en"", ""te""),"""")"),"")</f>
        <v/>
      </c>
      <c r="E1798" s="2"/>
      <c r="F1798" s="2" t="str">
        <f>IFERROR(__xludf.DUMMYFUNCTION("IF(E1798&lt;&gt;"""", GOOGLETRANSLATE(E1798, ""en"", ""te""),"""")"),"")</f>
        <v/>
      </c>
      <c r="G1798" s="2"/>
      <c r="H1798" s="2" t="str">
        <f>IFERROR(__xludf.DUMMYFUNCTION("IF(G1798&lt;&gt;"""", GOOGLETRANSLATE(G1798, ""en"", ""te""),"""")"),"")</f>
        <v/>
      </c>
      <c r="I1798" s="3"/>
    </row>
    <row r="1799" customHeight="1" spans="1:9">
      <c r="A1799" s="2"/>
      <c r="B1799" s="2" t="str">
        <f>IFERROR(__xludf.DUMMYFUNCTION("IF(A1799&lt;&gt;"""", GOOGLETRANSLATE(A1799, ""en"", ""te""),"""")"),"")</f>
        <v/>
      </c>
      <c r="C1799" s="2"/>
      <c r="D1799" s="2" t="str">
        <f>IFERROR(__xludf.DUMMYFUNCTION("IF(C1799&lt;&gt;"""", GOOGLETRANSLATE(C1799, ""en"", ""te""),"""")"),"")</f>
        <v/>
      </c>
      <c r="E1799" s="2"/>
      <c r="F1799" s="2" t="str">
        <f>IFERROR(__xludf.DUMMYFUNCTION("IF(E1799&lt;&gt;"""", GOOGLETRANSLATE(E1799, ""en"", ""te""),"""")"),"")</f>
        <v/>
      </c>
      <c r="G1799" s="2"/>
      <c r="H1799" s="2" t="str">
        <f>IFERROR(__xludf.DUMMYFUNCTION("IF(G1799&lt;&gt;"""", GOOGLETRANSLATE(G1799, ""en"", ""te""),"""")"),"")</f>
        <v/>
      </c>
      <c r="I1799" s="3"/>
    </row>
    <row r="1800" customHeight="1" spans="1:9">
      <c r="A1800" s="2"/>
      <c r="B1800" s="2" t="str">
        <f>IFERROR(__xludf.DUMMYFUNCTION("IF(A1800&lt;&gt;"""", GOOGLETRANSLATE(A1800, ""en"", ""te""),"""")"),"")</f>
        <v/>
      </c>
      <c r="C1800" s="2"/>
      <c r="D1800" s="2" t="str">
        <f>IFERROR(__xludf.DUMMYFUNCTION("IF(C1800&lt;&gt;"""", GOOGLETRANSLATE(C1800, ""en"", ""te""),"""")"),"")</f>
        <v/>
      </c>
      <c r="E1800" s="2"/>
      <c r="F1800" s="2" t="str">
        <f>IFERROR(__xludf.DUMMYFUNCTION("IF(E1800&lt;&gt;"""", GOOGLETRANSLATE(E1800, ""en"", ""te""),"""")"),"")</f>
        <v/>
      </c>
      <c r="G1800" s="2"/>
      <c r="H1800" s="2" t="str">
        <f>IFERROR(__xludf.DUMMYFUNCTION("IF(G1800&lt;&gt;"""", GOOGLETRANSLATE(G1800, ""en"", ""te""),"""")"),"")</f>
        <v/>
      </c>
      <c r="I1800" s="3"/>
    </row>
    <row r="1801" customHeight="1" spans="1:9">
      <c r="A1801" s="2" t="s">
        <v>1069</v>
      </c>
      <c r="B1801" s="2" t="str">
        <f>IFERROR(__xludf.DUMMYFUNCTION("IF(A1801&lt;&gt;"""", GOOGLETRANSLATE(A1801, ""en"", ""te""),"""")"),"[ 'జట్టు 3 వ వరుస మ్యాచ్లు (107)', 'హండ్రెడ్ తొలి (138)', 'హండ్రెడ్ మరియు ఒక మ్యాచ్లో ఒక డక్', '5 వ కెరీర్లో అత్యధిక క్యాచ్లు (181)', '1000 పరుగులు, 50 వికెట్లు మరియు 50 క్యాచ్లు ',' 5000 పరుగులు మరియు 50 ఫీల్డింగ్ వికెట్లు ఒక క్యాలెండర్ సంవత్సరంలో ',' 10"&amp;" వ అత్యధిక పరుగులు (1468) ',' 3 వ అత్యధిక వందలు వరుస (3) ',' వరుస ఇన్నింగ్స్లో 2 వ యాభైల్లో (6) ', 'బ్యాటింగ్ తెరవడం మరియు అదే మ్యాచ్ లో బౌలింగ్, కెరీర్ లో' 1000 పరుగులు, 50 వికెట్లు, 50 క్యాచ్లు ',' 5000 పరుగులు మరియు 50 ఫీల్డింగ్ వికెట్లు ',' వరుస ఇన్న"&amp;"ింగ్స్లో 10 వ యాభైల్లో (6) ',' 8 వ అత్యధిక క్యాచ్లు ( 289) ']")</f>
        <v>[ 'జట్టు 3 వ వరుస మ్యాచ్లు (107)', 'హండ్రెడ్ తొలి (138)', 'హండ్రెడ్ మరియు ఒక మ్యాచ్లో ఒక డక్', '5 వ కెరీర్లో అత్యధిక క్యాచ్లు (181)', '1000 పరుగులు, 50 వికెట్లు మరియు 50 క్యాచ్లు ',' 5000 పరుగులు మరియు 50 ఫీల్డింగ్ వికెట్లు ఒక క్యాలెండర్ సంవత్సరంలో ',' 10 వ అత్యధిక పరుగులు (1468) ',' 3 వ అత్యధిక వందలు వరుస (3) ',' వరుస ఇన్నింగ్స్లో 2 వ యాభైల్లో (6) ', 'బ్యాటింగ్ తెరవడం మరియు అదే మ్యాచ్ లో బౌలింగ్, కెరీర్ లో' 1000 పరుగులు, 50 వికెట్లు, 50 క్యాచ్లు ',' 5000 పరుగులు మరియు 50 ఫీల్డింగ్ వికెట్లు ',' వరుస ఇన్నింగ్స్లో 10 వ యాభైల్లో (6) ',' 8 వ అత్యధిక క్యాచ్లు ( 289) ']</v>
      </c>
      <c r="C1801" s="2" t="s">
        <v>1070</v>
      </c>
      <c r="D1801" s="2" t="str">
        <f>IFERROR(__xludf.DUMMYFUNCTION("IF(C1801&lt;&gt;"""", GOOGLETRANSLATE(C1801, ""en"", ""te""),"""")"),"[ '31 అత్యధిక కెరీర్ లో పరుగులు (8029)', '36 వ తొలి మ్యాచ్లో అత్యధిక పరుగులు (161)', 'ఒక వృత్తిలో 42 వ అత్యధిక వందలు (20)', '46 వ 99 (199, 299 etc) (99 పరుగుల ) ',' 20 వ అత్యంత అర్ధ కెరీర్లో (67) ',' వరుస మ్యాచ్లలో 26 యాభైల్లో (7) ',' ఒక డక్ లేకుండా 23 వ"&amp;"రుస ఇన్నింగ్స్ (63) ',' 27 వ కెరీర్ బాతులు (19) ',' ఒక సిరీస్లో 11 వ అత్యంత బాతులు (4) ',' 4 వ అత్యధిక వరుస బాతులు (4) ',' 49 వ కెరీర్ లో వచ్చిన ఎక్కువ సిక్స్ (41) ',' 42 వ కెరీర్ ఫోర్లు (844) ',' 5 వ కెరీర్లో అత్యధిక క్యాచ్లు ( ఒక మ్యాచ్లో 181) ',' 8 వ అ"&amp;"త్యధిక క్యాచ్లు (6) ',' 24th ఒక సిరీస్లో అత్యధిక క్యాచ్లు (11) ',' 22 వ కెరీర్ లో అత్యధిక మ్యాచ్లు (128) ',' ఒక జట్టు 3 వ వరుస మ్యాచ్లు (107) ']")</f>
        <v>[ '31 అత్యధిక కెరీర్ లో పరుగులు (8029)', '36 వ తొలి మ్యాచ్లో అత్యధిక పరుగులు (161)', 'ఒక వృత్తిలో 42 వ అత్యధిక వందలు (20)', '46 వ 99 (199, 299 etc) (99 పరుగుల ) ',' 20 వ అత్యంత అర్ధ కెరీర్లో (67) ',' వరుస మ్యాచ్లలో 26 యాభైల్లో (7) ',' ఒక డక్ లేకుండా 23 వరుస ఇన్నింగ్స్ (63) ',' 27 వ కెరీర్ బాతులు (19) ',' ఒక సిరీస్లో 11 వ అత్యంత బాతులు (4) ',' 4 వ అత్యధిక వరుస బాతులు (4) ',' 49 వ కెరీర్ లో వచ్చిన ఎక్కువ సిక్స్ (41) ',' 42 వ కెరీర్ ఫోర్లు (844) ',' 5 వ కెరీర్లో అత్యధిక క్యాచ్లు ( ఒక మ్యాచ్లో 181) ',' 8 వ అత్యధిక క్యాచ్లు (6) ',' 24th ఒక సిరీస్లో అత్యధిక క్యాచ్లు (11) ',' 22 వ కెరీర్ లో అత్యధిక మ్యాచ్లు (128) ',' ఒక జట్టు 3 వ వరుస మ్యాచ్లు (107) ']</v>
      </c>
      <c r="E1801" s="2" t="s">
        <v>1071</v>
      </c>
      <c r="F1801" s="2" t="str">
        <f>IFERROR(__xludf.DUMMYFUNCTION("IF(E1801&lt;&gt;"""", GOOGLETRANSLATE(E1801, ""en"", ""te""),"""")"),"[ '27 వ కెరీర్ లో పరుగులు (8500)', '42 వ ఇన్నింగ్స్ లో అత్యధిక పరుగులు (173)', 'వరుస 16 వ అత్యధిక పరుగులు (542)', '10th ఒక క్యాలెండర్ సంవత్సరంలో అత్యధిక పరుగులు (1468)', ' 23 వ ఒకే మైదానంలో పరుగులు (1309) ',' 17 వ ఒక వృత్తిలో అత్యధిక వందలు (18) ',' వరుస "&amp;"3 వ అత్యధిక వందలు (3) ',' 29th ఒక క్యాలెండర్ సంవత్సరంలో అత్యధిక వందలు (4) ',' కెరీర్లో కెరీర్లో వంద (35y 299d) ',' 24th స్కోర్ 31 అత్యంత వృద్ధ ఆటగాడు చాలా అర్ధ (68) ',' వరుస ఇన్నింగ్స్లో 2 వ యాభైల్లో (6) ',' 37 వ అత్యంత బాతులు (16) ',' 40 వ అత్యంత ఫోర్లు"&amp;" కెరీర్లో (651) ',' 45 వ 4000 పరుగులు (119) ',' 30 వ వేగంగా వేగంగా 5000 పరుగులు (141) ',' 19 వ 6000 పరుగులు (167) ',' 16 వ వేగంగా వేగంగా 7000 పరుగులు (198) ' , 'ఇన్నింగ్స్ లో 47 వ ఉత్తమ సమ్మె రేటు (7.2)', '22 వ కెరీర్ లో అత్యధిక క్యాచ్లు (108)', 'రెండవ వి"&amp;"కెట్కు 20 వ అత్యధిక భాగస్వామ్యం (219)', '' 8000 పరుగులు (223) వేగంగా 14 ' మూడో వికెట్కు 26 అత్యధిక భాగస్వామ్యం (207) ',' నాలుగవ వికెట్కు 40 వ అత్యధిక భాగస్వామ్యం (168) ',' 48 వ అత్యధిక కెరీర్ లో మ్యాచ్లు (244) ',' 28th చాలా ఆటగాడు వెలుపల -మ్యాచ్ అవార్డులు"&amp;" (21) ']")</f>
        <v>[ '27 వ కెరీర్ లో పరుగులు (8500)', '42 వ ఇన్నింగ్స్ లో అత్యధిక పరుగులు (173)', 'వరుస 16 వ అత్యధిక పరుగులు (542)', '10th ఒక క్యాలెండర్ సంవత్సరంలో అత్యధిక పరుగులు (1468)', ' 23 వ ఒకే మైదానంలో పరుగులు (1309) ',' 17 వ ఒక వృత్తిలో అత్యధిక వందలు (18) ',' వరుస 3 వ అత్యధిక వందలు (3) ',' 29th ఒక క్యాలెండర్ సంవత్సరంలో అత్యధిక వందలు (4) ',' కెరీర్లో కెరీర్లో వంద (35y 299d) ',' 24th స్కోర్ 31 అత్యంత వృద్ధ ఆటగాడు చాలా అర్ధ (68) ',' వరుస ఇన్నింగ్స్లో 2 వ యాభైల్లో (6) ',' 37 వ అత్యంత బాతులు (16) ',' 40 వ అత్యంత ఫోర్లు కెరీర్లో (651) ',' 45 వ 4000 పరుగులు (119) ',' 30 వ వేగంగా వేగంగా 5000 పరుగులు (141) ',' 19 వ 6000 పరుగులు (167) ',' 16 వ వేగంగా వేగంగా 7000 పరుగులు (198) ' , 'ఇన్నింగ్స్ లో 47 వ ఉత్తమ సమ్మె రేటు (7.2)', '22 వ కెరీర్ లో అత్యధిక క్యాచ్లు (108)', 'రెండవ వికెట్కు 20 వ అత్యధిక భాగస్వామ్యం (219)', '' 8000 పరుగులు (223) వేగంగా 14 ' మూడో వికెట్కు 26 అత్యధిక భాగస్వామ్యం (207) ',' నాలుగవ వికెట్కు 40 వ అత్యధిక భాగస్వామ్యం (168) ',' 48 వ అత్యధిక కెరీర్ లో మ్యాచ్లు (244) ',' 28th చాలా ఆటగాడు వెలుపల -మ్యాచ్ అవార్డులు (21) ']</v>
      </c>
      <c r="G1801" s="2"/>
      <c r="H1801" s="2" t="str">
        <f>IFERROR(__xludf.DUMMYFUNCTION("IF(G1801&lt;&gt;"""", GOOGLETRANSLATE(G1801, ""en"", ""te""),"""")"),"")</f>
        <v/>
      </c>
      <c r="I1801" s="3"/>
    </row>
    <row r="1802" customHeight="1" spans="1:9">
      <c r="A1802" s="2"/>
      <c r="B1802" s="2" t="str">
        <f>IFERROR(__xludf.DUMMYFUNCTION("IF(A1802&lt;&gt;"""", GOOGLETRANSLATE(A1802, ""en"", ""te""),"""")"),"")</f>
        <v/>
      </c>
      <c r="C1802" s="2"/>
      <c r="D1802" s="2" t="str">
        <f>IFERROR(__xludf.DUMMYFUNCTION("IF(C1802&lt;&gt;"""", GOOGLETRANSLATE(C1802, ""en"", ""te""),"""")"),"")</f>
        <v/>
      </c>
      <c r="E1802" s="2"/>
      <c r="F1802" s="2" t="str">
        <f>IFERROR(__xludf.DUMMYFUNCTION("IF(E1802&lt;&gt;"""", GOOGLETRANSLATE(E1802, ""en"", ""te""),"""")"),"")</f>
        <v/>
      </c>
      <c r="G1802" s="2"/>
      <c r="H1802" s="2" t="str">
        <f>IFERROR(__xludf.DUMMYFUNCTION("IF(G1802&lt;&gt;"""", GOOGLETRANSLATE(G1802, ""en"", ""te""),"""")"),"")</f>
        <v/>
      </c>
      <c r="I1802" s="3"/>
    </row>
    <row r="1803" customHeight="1" spans="1:9">
      <c r="A1803" s="2" t="s">
        <v>1072</v>
      </c>
      <c r="B1803" s="2" t="str">
        <f>IFERROR(__xludf.DUMMYFUNCTION("IF(A1803&lt;&gt;"""", GOOGLETRANSLATE(A1803, ""en"", ""te""),"""")"),"[ '9 వ చెత్త కెరీర్ బౌలింగ్ సరాసరి (అర్హత లేకుండా) (171.00)']")</f>
        <v>[ '9 వ చెత్త కెరీర్ బౌలింగ్ సరాసరి (అర్హత లేకుండా) (171.00)']</v>
      </c>
      <c r="C1803" s="2"/>
      <c r="D1803" s="2" t="str">
        <f>IFERROR(__xludf.DUMMYFUNCTION("IF(C1803&lt;&gt;"""", GOOGLETRANSLATE(C1803, ""en"", ""te""),"""")"),"")</f>
        <v/>
      </c>
      <c r="E1803" s="2" t="s">
        <v>1072</v>
      </c>
      <c r="F1803" s="2" t="str">
        <f>IFERROR(__xludf.DUMMYFUNCTION("IF(E1803&lt;&gt;"""", GOOGLETRANSLATE(E1803, ""en"", ""te""),"""")"),"[ '9 వ చెత్త కెరీర్ బౌలింగ్ సరాసరి (అర్హత లేకుండా) (171.00)']")</f>
        <v>[ '9 వ చెత్త కెరీర్ బౌలింగ్ సరాసరి (అర్హత లేకుండా) (171.00)']</v>
      </c>
      <c r="G1803" s="2"/>
      <c r="H1803" s="2" t="str">
        <f>IFERROR(__xludf.DUMMYFUNCTION("IF(G1803&lt;&gt;"""", GOOGLETRANSLATE(G1803, ""en"", ""te""),"""")"),"")</f>
        <v/>
      </c>
      <c r="I1803" s="3"/>
    </row>
    <row r="1804" customHeight="1" spans="1:9">
      <c r="A1804" s="2"/>
      <c r="B1804" s="2" t="str">
        <f>IFERROR(__xludf.DUMMYFUNCTION("IF(A1804&lt;&gt;"""", GOOGLETRANSLATE(A1804, ""en"", ""te""),"""")"),"")</f>
        <v/>
      </c>
      <c r="C1804" s="2"/>
      <c r="D1804" s="2" t="str">
        <f>IFERROR(__xludf.DUMMYFUNCTION("IF(C1804&lt;&gt;"""", GOOGLETRANSLATE(C1804, ""en"", ""te""),"""")"),"")</f>
        <v/>
      </c>
      <c r="E1804" s="2"/>
      <c r="F1804" s="2" t="str">
        <f>IFERROR(__xludf.DUMMYFUNCTION("IF(E1804&lt;&gt;"""", GOOGLETRANSLATE(E1804, ""en"", ""te""),"""")"),"")</f>
        <v/>
      </c>
      <c r="G1804" s="2"/>
      <c r="H1804" s="2" t="str">
        <f>IFERROR(__xludf.DUMMYFUNCTION("IF(G1804&lt;&gt;"""", GOOGLETRANSLATE(G1804, ""en"", ""te""),"""")"),"")</f>
        <v/>
      </c>
      <c r="I1804" s="3"/>
    </row>
    <row r="1805" customHeight="1" spans="1:9">
      <c r="A1805" s="2"/>
      <c r="B1805" s="2" t="str">
        <f>IFERROR(__xludf.DUMMYFUNCTION("IF(A1805&lt;&gt;"""", GOOGLETRANSLATE(A1805, ""en"", ""te""),"""")"),"")</f>
        <v/>
      </c>
      <c r="C1805" s="2"/>
      <c r="D1805" s="2" t="str">
        <f>IFERROR(__xludf.DUMMYFUNCTION("IF(C1805&lt;&gt;"""", GOOGLETRANSLATE(C1805, ""en"", ""te""),"""")"),"")</f>
        <v/>
      </c>
      <c r="E1805" s="2"/>
      <c r="F1805" s="2" t="str">
        <f>IFERROR(__xludf.DUMMYFUNCTION("IF(E1805&lt;&gt;"""", GOOGLETRANSLATE(E1805, ""en"", ""te""),"""")"),"")</f>
        <v/>
      </c>
      <c r="G1805" s="2"/>
      <c r="H1805" s="2" t="str">
        <f>IFERROR(__xludf.DUMMYFUNCTION("IF(G1805&lt;&gt;"""", GOOGLETRANSLATE(G1805, ""en"", ""te""),"""")"),"")</f>
        <v/>
      </c>
      <c r="I1805" s="3"/>
    </row>
    <row r="1806" customHeight="1" spans="1:9">
      <c r="A1806" s="2"/>
      <c r="B1806" s="2" t="str">
        <f>IFERROR(__xludf.DUMMYFUNCTION("IF(A1806&lt;&gt;"""", GOOGLETRANSLATE(A1806, ""en"", ""te""),"""")"),"")</f>
        <v/>
      </c>
      <c r="C1806" s="2"/>
      <c r="D1806" s="2" t="str">
        <f>IFERROR(__xludf.DUMMYFUNCTION("IF(C1806&lt;&gt;"""", GOOGLETRANSLATE(C1806, ""en"", ""te""),"""")"),"")</f>
        <v/>
      </c>
      <c r="E1806" s="2"/>
      <c r="F1806" s="2" t="str">
        <f>IFERROR(__xludf.DUMMYFUNCTION("IF(E1806&lt;&gt;"""", GOOGLETRANSLATE(E1806, ""en"", ""te""),"""")"),"")</f>
        <v/>
      </c>
      <c r="G1806" s="2"/>
      <c r="H1806" s="2" t="str">
        <f>IFERROR(__xludf.DUMMYFUNCTION("IF(G1806&lt;&gt;"""", GOOGLETRANSLATE(G1806, ""en"", ""te""),"""")"),"")</f>
        <v/>
      </c>
      <c r="I1806" s="3"/>
    </row>
    <row r="1807" customHeight="1" spans="1:9">
      <c r="A1807" s="2"/>
      <c r="B1807" s="2" t="str">
        <f>IFERROR(__xludf.DUMMYFUNCTION("IF(A1807&lt;&gt;"""", GOOGLETRANSLATE(A1807, ""en"", ""te""),"""")"),"")</f>
        <v/>
      </c>
      <c r="C1807" s="2"/>
      <c r="D1807" s="2" t="str">
        <f>IFERROR(__xludf.DUMMYFUNCTION("IF(C1807&lt;&gt;"""", GOOGLETRANSLATE(C1807, ""en"", ""te""),"""")"),"")</f>
        <v/>
      </c>
      <c r="E1807" s="2"/>
      <c r="F1807" s="2" t="str">
        <f>IFERROR(__xludf.DUMMYFUNCTION("IF(E1807&lt;&gt;"""", GOOGLETRANSLATE(E1807, ""en"", ""te""),"""")"),"")</f>
        <v/>
      </c>
      <c r="G1807" s="2"/>
      <c r="H1807" s="2" t="str">
        <f>IFERROR(__xludf.DUMMYFUNCTION("IF(G1807&lt;&gt;"""", GOOGLETRANSLATE(G1807, ""en"", ""te""),"""")"),"")</f>
        <v/>
      </c>
      <c r="I1807" s="3"/>
    </row>
    <row r="1808" customHeight="1" spans="1:9">
      <c r="A1808" s="2"/>
      <c r="B1808" s="2" t="str">
        <f>IFERROR(__xludf.DUMMYFUNCTION("IF(A1808&lt;&gt;"""", GOOGLETRANSLATE(A1808, ""en"", ""te""),"""")"),"")</f>
        <v/>
      </c>
      <c r="C1808" s="2"/>
      <c r="D1808" s="2" t="str">
        <f>IFERROR(__xludf.DUMMYFUNCTION("IF(C1808&lt;&gt;"""", GOOGLETRANSLATE(C1808, ""en"", ""te""),"""")"),"")</f>
        <v/>
      </c>
      <c r="E1808" s="2"/>
      <c r="F1808" s="2" t="str">
        <f>IFERROR(__xludf.DUMMYFUNCTION("IF(E1808&lt;&gt;"""", GOOGLETRANSLATE(E1808, ""en"", ""te""),"""")"),"")</f>
        <v/>
      </c>
      <c r="G1808" s="2"/>
      <c r="H1808" s="2" t="str">
        <f>IFERROR(__xludf.DUMMYFUNCTION("IF(G1808&lt;&gt;"""", GOOGLETRANSLATE(G1808, ""en"", ""te""),"""")"),"")</f>
        <v/>
      </c>
      <c r="I1808" s="3"/>
    </row>
    <row r="1809" customHeight="1" spans="1:9">
      <c r="A1809" s="2"/>
      <c r="B1809" s="2" t="str">
        <f>IFERROR(__xludf.DUMMYFUNCTION("IF(A1809&lt;&gt;"""", GOOGLETRANSLATE(A1809, ""en"", ""te""),"""")"),"")</f>
        <v/>
      </c>
      <c r="C1809" s="2"/>
      <c r="D1809" s="2" t="str">
        <f>IFERROR(__xludf.DUMMYFUNCTION("IF(C1809&lt;&gt;"""", GOOGLETRANSLATE(C1809, ""en"", ""te""),"""")"),"")</f>
        <v/>
      </c>
      <c r="E1809" s="2"/>
      <c r="F1809" s="2" t="str">
        <f>IFERROR(__xludf.DUMMYFUNCTION("IF(E1809&lt;&gt;"""", GOOGLETRANSLATE(E1809, ""en"", ""te""),"""")"),"")</f>
        <v/>
      </c>
      <c r="G1809" s="2"/>
      <c r="H1809" s="2" t="str">
        <f>IFERROR(__xludf.DUMMYFUNCTION("IF(G1809&lt;&gt;"""", GOOGLETRANSLATE(G1809, ""en"", ""te""),"""")"),"")</f>
        <v/>
      </c>
      <c r="I1809" s="3"/>
    </row>
    <row r="1810" customHeight="1" spans="1:9">
      <c r="A1810" s="2"/>
      <c r="B1810" s="2" t="str">
        <f>IFERROR(__xludf.DUMMYFUNCTION("IF(A1810&lt;&gt;"""", GOOGLETRANSLATE(A1810, ""en"", ""te""),"""")"),"")</f>
        <v/>
      </c>
      <c r="C1810" s="2"/>
      <c r="D1810" s="2" t="str">
        <f>IFERROR(__xludf.DUMMYFUNCTION("IF(C1810&lt;&gt;"""", GOOGLETRANSLATE(C1810, ""en"", ""te""),"""")"),"")</f>
        <v/>
      </c>
      <c r="E1810" s="2"/>
      <c r="F1810" s="2" t="str">
        <f>IFERROR(__xludf.DUMMYFUNCTION("IF(E1810&lt;&gt;"""", GOOGLETRANSLATE(E1810, ""en"", ""te""),"""")"),"")</f>
        <v/>
      </c>
      <c r="G1810" s="2"/>
      <c r="H1810" s="2" t="str">
        <f>IFERROR(__xludf.DUMMYFUNCTION("IF(G1810&lt;&gt;"""", GOOGLETRANSLATE(G1810, ""en"", ""te""),"""")"),"")</f>
        <v/>
      </c>
      <c r="I1810" s="3"/>
    </row>
    <row r="1811" customHeight="1" spans="1:9">
      <c r="A1811" s="2"/>
      <c r="B1811" s="2" t="str">
        <f>IFERROR(__xludf.DUMMYFUNCTION("IF(A1811&lt;&gt;"""", GOOGLETRANSLATE(A1811, ""en"", ""te""),"""")"),"")</f>
        <v/>
      </c>
      <c r="C1811" s="2"/>
      <c r="D1811" s="2" t="str">
        <f>IFERROR(__xludf.DUMMYFUNCTION("IF(C1811&lt;&gt;"""", GOOGLETRANSLATE(C1811, ""en"", ""te""),"""")"),"")</f>
        <v/>
      </c>
      <c r="E1811" s="2" t="s">
        <v>1073</v>
      </c>
      <c r="F1811" s="2" t="str">
        <f>IFERROR(__xludf.DUMMYFUNCTION("IF(E1811&lt;&gt;"""", GOOGLETRANSLATE(E1811, ""en"", ""te""),"""")"),"[ '45 వ ఉత్తమ కెరీర్ (14.00) (అర్హత లేకుండా) సగటు బౌలింగ్', '11 వ లాంగెస్ట్ క్రీడాకారులు (75y 47d) నివసించారు']")</f>
        <v>[ '45 వ ఉత్తమ కెరీర్ (14.00) (అర్హత లేకుండా) సగటు బౌలింగ్', '11 వ లాంగెస్ట్ క్రీడాకారులు (75y 47d) నివసించారు']</v>
      </c>
      <c r="G1811" s="2"/>
      <c r="H1811" s="2" t="str">
        <f>IFERROR(__xludf.DUMMYFUNCTION("IF(G1811&lt;&gt;"""", GOOGLETRANSLATE(G1811, ""en"", ""te""),"""")"),"")</f>
        <v/>
      </c>
      <c r="I1811" s="3"/>
    </row>
    <row r="1812" customHeight="1" spans="1:9">
      <c r="A1812" s="2" t="s">
        <v>1074</v>
      </c>
      <c r="B1812" s="2" t="str">
        <f>IFERROR(__xludf.DUMMYFUNCTION("IF(A1812&lt;&gt;"""", GOOGLETRANSLATE(A1812, ""en"", ""te""),"""")"),"[ 'కెరీర్లో 2 వ అత్యధిక మ్యాచ్లు (168)', '9 వ అత్యధిక మ్యాచ్లు కెప్టెన్గా (57)', 'ఒక మ్యాచ్లో ప్రతి ఇన్నింగ్స్లో హండ్రెడ్' '99 నాటౌట్ (199, 299 etc) (99 *)', '10 వ కెరీర్ లో చాలా అర్ధ (82)', 2 వ అత్యధిక భాగస్వామ్యం ఐదవ వికెట్కు '2nd అసాధారణ వికెట్లు (bal "&amp;"నిర్వహించింది)', '1000 పరుగులు, 50 వికెట్లు, 50 క్యాచ్లు', '5000 పరుగులు మరియు 50 ఫీల్డింగ్ వికెట్లు', ' (385) ',' ఒక సిరీస్లో 6 వ అత్యంత బాతులు (3) ',' 1000 పరుగులు మరియు 100 వికెట్లు ',' 1000 పరుగులు, 50 వికెట్లు, 50 క్యాచ్లు ',' 5000 పరుగులు మరియు 50 ఫ"&amp;"ీల్డింగ్ వికెట్లు ',' 8 వ అత్యంత తొంభైల కెరీర్ (11) ']")</f>
        <v>[ 'కెరీర్లో 2 వ అత్యధిక మ్యాచ్లు (168)', '9 వ అత్యధిక మ్యాచ్లు కెప్టెన్గా (57)', 'ఒక మ్యాచ్లో ప్రతి ఇన్నింగ్స్లో హండ్రెడ్' '99 నాటౌట్ (199, 299 etc) (99 *)', '10 వ కెరీర్ లో చాలా అర్ధ (82)', 2 వ అత్యధిక భాగస్వామ్యం ఐదవ వికెట్కు '2nd అసాధారణ వికెట్లు (bal నిర్వహించింది)', '1000 పరుగులు, 50 వికెట్లు, 50 క్యాచ్లు', '5000 పరుగులు మరియు 50 ఫీల్డింగ్ వికెట్లు', ' (385) ',' ఒక సిరీస్లో 6 వ అత్యంత బాతులు (3) ',' 1000 పరుగులు మరియు 100 వికెట్లు ',' 1000 పరుగులు, 50 వికెట్లు, 50 క్యాచ్లు ',' 5000 పరుగులు మరియు 50 ఫీల్డింగ్ వికెట్లు ',' 8 వ అత్యంత తొంభైల కెరీర్ (11) ']</v>
      </c>
      <c r="C1812" s="2" t="s">
        <v>1075</v>
      </c>
      <c r="D1812" s="2" t="str">
        <f>IFERROR(__xludf.DUMMYFUNCTION("IF(C1812&lt;&gt;"""", GOOGLETRANSLATE(C1812, ""en"", ""te""),"""")"),"[ '11 వ కెరీర్ లో అత్యధిక పరుగులు (10927)', '31 ఒకే మైదానంలో అత్యధిక పరుగులు (1284)', '37 వ అత్యధిక కెరీర్ బ్యాటింగ్ సగటు (51.06)', '11 వ ఒక వృత్తిలో అత్యధిక వందలు (32)', '6 వ ఒక జట్టు వ్యతిరేకంగా అత్యధిక వందలు (10) ',' 1 వ కెరీర్ తొంభైల (10) ',' 10 వ క"&amp;"ెరీర్ లో అత్యంత అర్ధ (82) ',' 16 వ కెరీర్ బాతులు (22) ',' 11 వ కెరీర్ ఫోర్లు ( 1175) ',' 2 వ అసాధారణ వికెట్లు (bal 7000 పరుగులు (174) కు 27 8000 పరుగులు (194) ',' 14 వ వేగవంతమైన 9000 పరుగులు (216) ',' 13 వ నిర్వహించింది) ',' 41 వ వేగవంతమైన ',' ఫాస్టెస్ట"&amp;"్ వేగవంతమైన వరకు 10000 పరుగులు (244) ',' 28th అత్యధిక క్యాచ్లు కెరీర్లో (112) ',' 22 వ అత్యధిక ఏ వికెట్కు (385) ',' ఐదవ వికెట్కు 2 వ అత్యధిక భాగస్వామ్యం (385) ',' 18 వ అత్యధిక కోసం భాగస్వామ్యంగా భాగస్వామ్యాలు తొమ్మిదవ వికెట్ (133) ',' కెరీర్ లో 2 వ అత్యధ"&amp;"ిక మ్యాచ్లు (168) ',' 7 వ అత్యంత ప్లేయర్ ఆఫ్ ది మ్యాచ్ అవార్డులు (14) ',' 9 వ అత్యంత ప్లేయర్ ఆఫ్ ది సిరీస్ అవార్డులు (6) ' '42 వ లాంగెస్ట్ కెరీర్లు (18y 11d)', 'కెప్టెన్ 9 వ అత్యధిక మ్యాచ్లు (57)', 'ఒక జట్టు కెప్టెన్గా 21 వ వరుస మ్యాచ్లు (30)', '46 వ విన్"&amp;"నింగ్ ఒక సిరీస్లో అన్ని టాస్ (4) ',' 39 వ ఓల్డెస్ట్ కాప్టెన్ (38y 218d) ']")</f>
        <v>[ '11 వ కెరీర్ లో అత్యధిక పరుగులు (10927)', '31 ఒకే మైదానంలో అత్యధిక పరుగులు (1284)', '37 వ అత్యధిక కెరీర్ బ్యాటింగ్ సగటు (51.06)', '11 వ ఒక వృత్తిలో అత్యధిక వందలు (32)', '6 వ ఒక జట్టు వ్యతిరేకంగా అత్యధిక వందలు (10) ',' 1 వ కెరీర్ తొంభైల (10) ',' 10 వ కెరీర్ లో అత్యంత అర్ధ (82) ',' 16 వ కెరీర్ బాతులు (22) ',' 11 వ కెరీర్ ఫోర్లు ( 1175) ',' 2 వ అసాధారణ వికెట్లు (bal 7000 పరుగులు (174) కు 27 8000 పరుగులు (194) ',' 14 వ వేగవంతమైన 9000 పరుగులు (216) ',' 13 వ నిర్వహించింది) ',' 41 వ వేగవంతమైన ',' ఫాస్టెస్ట్ వేగవంతమైన వరకు 10000 పరుగులు (244) ',' 28th అత్యధిక క్యాచ్లు కెరీర్లో (112) ',' 22 వ అత్యధిక ఏ వికెట్కు (385) ',' ఐదవ వికెట్కు 2 వ అత్యధిక భాగస్వామ్యం (385) ',' 18 వ అత్యధిక కోసం భాగస్వామ్యంగా భాగస్వామ్యాలు తొమ్మిదవ వికెట్ (133) ',' కెరీర్ లో 2 వ అత్యధిక మ్యాచ్లు (168) ',' 7 వ అత్యంత ప్లేయర్ ఆఫ్ ది మ్యాచ్ అవార్డులు (14) ',' 9 వ అత్యంత ప్లేయర్ ఆఫ్ ది సిరీస్ అవార్డులు (6) ' '42 వ లాంగెస్ట్ కెరీర్లు (18y 11d)', 'కెప్టెన్ 9 వ అత్యధిక మ్యాచ్లు (57)', 'ఒక జట్టు కెప్టెన్గా 21 వ వరుస మ్యాచ్లు (30)', '46 వ విన్నింగ్ ఒక సిరీస్లో అన్ని టాస్ (4) ',' 39 వ ఓల్డెస్ట్ కాప్టెన్ (38y 218d) ']</v>
      </c>
      <c r="E1812" s="2" t="s">
        <v>1076</v>
      </c>
      <c r="F1812" s="2" t="str">
        <f>IFERROR(__xludf.DUMMYFUNCTION("IF(E1812&lt;&gt;"""", GOOGLETRANSLATE(E1812, ""en"", ""te""),"""")"),"[ 'ఒకే మైదానంలో 37 వ అత్యధిక పరుగులు (1155)' '35 వ అత్యధిక కెరీర్ లో పరుగులు (7569)', 'ఒక సిరీస్లో ఒక కెప్టెన్తో 25 అత్యధిక పరుగులు (398)', 'వంద (35y స్కోర్ 45 వ అత్యంత వృద్ధ ఆటగాడు 75d) ',' 16 వ ఇన్నింగ్స్ తొలి డక్ ముందు (44) ',' ఒక డక్ లేకుండా 14 వరుస "&amp;"ఇన్నింగ్స్ (82) ',' 45 వ కెరీర్ బాతులు (15) ',' 6 వ ఒక సిరీస్లో అత్యధిక బాతులు (3) ',' ఒక కెప్టెన్తో 7000 పరుగులు వేగంగా 41 వ (271) ',' 42 వ కెరీర్ లో అత్యధిక వికెట్లు (195) ',' 26 ఒక ఇన్నింగ్స్ లోని బెస్ట్ ఫిగర్స్ (4) ',' 29th కెరీర్ (8883) లో బౌల్డ్ చాల"&amp;"ా బంతుల్లో ' '30 వ అత్యధిక పరుగులు కెరీర్ (6761) లో సాధించిన', '48 వ అత్యధిక వికెట్లు బౌల్డ్ తీసుకోకూడదు (44)', '45 వ అత్యధిక వికెట్లు తీసుకున్న ఆకర్షించింది (129)', '34 వ అత్యధిక వికెట్లు ఒక ఫీల్డర్ చేత క్యాచ్ తీసుకున్న (99)', ' కెరీర్లో 20 వ అత్యధిక క్య"&amp;"ాచ్లు (111) ',' 12 వ ఒక సిరీస్లో అత్యధిక క్యాచ్లు (9) ',' నాలుగవ వికెట్కు (189) ',' ఏడవ వికెట్కు 41 వ అత్యధిక భాగస్వామ్యం (102 *) కోసం 23 అత్యధిక భాగస్వామ్యం ',' అతని 15 వ అత్యధిక మ్యాచ్లు (325) ',' ఒక జట్టుకు 30 వ వరుస మ్యాచ్లు (87) ',' 28 వ అతి ప్లేయర్ "&amp;"ఆఫ్ ది మ్యాచ్ అవార్డులు ( 21) ',' 45 వ అత్యంత ప్లేయర్ ఆఫ్ ది సిరీస్ అవార్డులు (3) ',' 36 వ లాంగెస్ట్ కెరీర్లు (16y 25d) ',' 17 వ అత్యధిక మ్యాచ్లు కెప్టెన్గా (ఒక కెప్టెన్గా 106) ',' 16 వ వరుస మ్యాచ్లు జట్టు (49) ',' 44 వ ఓల్డెస్ట్ కాప్టెన్ (36y 246d) ']")</f>
        <v>[ 'ఒకే మైదానంలో 37 వ అత్యధిక పరుగులు (1155)' '35 వ అత్యధిక కెరీర్ లో పరుగులు (7569)', 'ఒక సిరీస్లో ఒక కెప్టెన్తో 25 అత్యధిక పరుగులు (398)', 'వంద (35y స్కోర్ 45 వ అత్యంత వృద్ధ ఆటగాడు 75d) ',' 16 వ ఇన్నింగ్స్ తొలి డక్ ముందు (44) ',' ఒక డక్ లేకుండా 14 వరుస ఇన్నింగ్స్ (82) ',' 45 వ కెరీర్ బాతులు (15) ',' 6 వ ఒక సిరీస్లో అత్యధిక బాతులు (3) ',' ఒక కెప్టెన్తో 7000 పరుగులు వేగంగా 41 వ (271) ',' 42 వ కెరీర్ లో అత్యధిక వికెట్లు (195) ',' 26 ఒక ఇన్నింగ్స్ లోని బెస్ట్ ఫిగర్స్ (4) ',' 29th కెరీర్ (8883) లో బౌల్డ్ చాలా బంతుల్లో ' '30 వ అత్యధిక పరుగులు కెరీర్ (6761) లో సాధించిన', '48 వ అత్యధిక వికెట్లు బౌల్డ్ తీసుకోకూడదు (44)', '45 వ అత్యధిక వికెట్లు తీసుకున్న ఆకర్షించింది (129)', '34 వ అత్యధిక వికెట్లు ఒక ఫీల్డర్ చేత క్యాచ్ తీసుకున్న (99)', ' కెరీర్లో 20 వ అత్యధిక క్యాచ్లు (111) ',' 12 వ ఒక సిరీస్లో అత్యధిక క్యాచ్లు (9) ',' నాలుగవ వికెట్కు (189) ',' ఏడవ వికెట్కు 41 వ అత్యధిక భాగస్వామ్యం (102 *) కోసం 23 అత్యధిక భాగస్వామ్యం ',' అతని 15 వ అత్యధిక మ్యాచ్లు (325) ',' ఒక జట్టుకు 30 వ వరుస మ్యాచ్లు (87) ',' 28 వ అతి ప్లేయర్ ఆఫ్ ది మ్యాచ్ అవార్డులు ( 21) ',' 45 వ అత్యంత ప్లేయర్ ఆఫ్ ది సిరీస్ అవార్డులు (3) ',' 36 వ లాంగెస్ట్ కెరీర్లు (16y 25d) ',' 17 వ అత్యధిక మ్యాచ్లు కెప్టెన్గా (ఒక కెప్టెన్గా 106) ',' 16 వ వరుస మ్యాచ్లు జట్టు (49) ',' 44 వ ఓల్డెస్ట్ కాప్టెన్ (36y 246d) ']</v>
      </c>
      <c r="G1812" s="2" t="s">
        <v>1077</v>
      </c>
      <c r="H1812" s="2" t="str">
        <f>IFERROR(__xludf.DUMMYFUNCTION("IF(G1812&lt;&gt;"""", GOOGLETRANSLATE(G1812, ""en"", ""te""),"""")"),"[ '16 వ అత్యంత బృందం (49) కెప్టెన్ గా వరుస మ్యాచ్లు']")</f>
        <v>[ '16 వ అత్యంత బృందం (49) కెప్టెన్ గా వరుస మ్యాచ్లు']</v>
      </c>
      <c r="I1812" s="3"/>
    </row>
    <row r="1813" customHeight="1" spans="1:9">
      <c r="A1813" s="2"/>
      <c r="B1813" s="2" t="str">
        <f>IFERROR(__xludf.DUMMYFUNCTION("IF(A1813&lt;&gt;"""", GOOGLETRANSLATE(A1813, ""en"", ""te""),"""")"),"")</f>
        <v/>
      </c>
      <c r="C1813" s="2"/>
      <c r="D1813" s="2" t="str">
        <f>IFERROR(__xludf.DUMMYFUNCTION("IF(C1813&lt;&gt;"""", GOOGLETRANSLATE(C1813, ""en"", ""te""),"""")"),"")</f>
        <v/>
      </c>
      <c r="E1813" s="2"/>
      <c r="F1813" s="2" t="str">
        <f>IFERROR(__xludf.DUMMYFUNCTION("IF(E1813&lt;&gt;"""", GOOGLETRANSLATE(E1813, ""en"", ""te""),"""")"),"")</f>
        <v/>
      </c>
      <c r="G1813" s="2"/>
      <c r="H1813" s="2" t="str">
        <f>IFERROR(__xludf.DUMMYFUNCTION("IF(G1813&lt;&gt;"""", GOOGLETRANSLATE(G1813, ""en"", ""te""),"""")"),"")</f>
        <v/>
      </c>
      <c r="I1813" s="3"/>
    </row>
    <row r="1814" customHeight="1" spans="1:9">
      <c r="A1814" s="2" t="s">
        <v>1078</v>
      </c>
      <c r="B1814" s="2" t="str">
        <f>IFERROR(__xludf.DUMMYFUNCTION("IF(A1814&lt;&gt;"""", GOOGLETRANSLATE(A1814, ""en"", ""te""),"""")"),"[ '10 వ బౌలర్ / ఫీల్డర్ కలయికలు (11)']")</f>
        <v>[ '10 వ బౌలర్ / ఫీల్డర్ కలయికలు (11)']</v>
      </c>
      <c r="C1814" s="2"/>
      <c r="D1814" s="2" t="str">
        <f>IFERROR(__xludf.DUMMYFUNCTION("IF(C1814&lt;&gt;"""", GOOGLETRANSLATE(C1814, ""en"", ""te""),"""")"),"")</f>
        <v/>
      </c>
      <c r="E1814" s="2" t="s">
        <v>1079</v>
      </c>
      <c r="F1814" s="2" t="str">
        <f>IFERROR(__xludf.DUMMYFUNCTION("IF(E1814&lt;&gt;"""", GOOGLETRANSLATE(E1814, ""en"", ""te""),"""")"),"[ '41 వ ఒక సిరీస్లో అత్యధిక వికెట్లు (17)']")</f>
        <v>[ '41 వ ఒక సిరీస్లో అత్యధిక వికెట్లు (17)']</v>
      </c>
      <c r="G1814" s="2" t="s">
        <v>1080</v>
      </c>
      <c r="H1814" s="2" t="str">
        <f>IFERROR(__xludf.DUMMYFUNCTION("IF(G1814&lt;&gt;"""", GOOGLETRANSLATE(G1814, ""en"", ""te""),"""")"),"[ '33 వ ఉత్తమ ఇన్నింగ్స్ లో సమ్మె రేటు (4.0)', '18 వ బౌలర్ / బ్యాట్స్ కలయికలు (4)', '10 వ బౌలర్ / ఫీల్డర్ కలయికలు (11)', '20 వ అత్యధిక వికెట్లు తీసుకున్న క్యాచ్ మరియు బౌల్డ్ (3)', ' 22 వ అత్యంత తీసుకోబడిన వికెట్ల స్టంప్డ్ (8) ']")</f>
        <v>[ '33 వ ఉత్తమ ఇన్నింగ్స్ లో సమ్మె రేటు (4.0)', '18 వ బౌలర్ / బ్యాట్స్ కలయికలు (4)', '10 వ బౌలర్ / ఫీల్డర్ కలయికలు (11)', '20 వ అత్యధిక వికెట్లు తీసుకున్న క్యాచ్ మరియు బౌల్డ్ (3)', ' 22 వ అత్యంత తీసుకోబడిన వికెట్ల స్టంప్డ్ (8) ']</v>
      </c>
      <c r="I1814" s="3"/>
    </row>
    <row r="1815" customHeight="1" spans="1:9">
      <c r="A1815" s="2" t="s">
        <v>1081</v>
      </c>
      <c r="B1815" s="2" t="str">
        <f>IFERROR(__xludf.DUMMYFUNCTION("IF(A1815&lt;&gt;"""", GOOGLETRANSLATE(A1815, ""en"", ""te""),"""")"),"[ 'ఒక ఇన్నింగ్స్ లో 5 వ ఉత్తమ సంఖ్యలు ఉన్నప్పుడు పరాజయం వైపు (8)', '2 వ ఉత్తమ కెరీర్ ఆర్థిక రేటు (3.25)']")</f>
        <v>[ 'ఒక ఇన్నింగ్స్ లో 5 వ ఉత్తమ సంఖ్యలు ఉన్నప్పుడు పరాజయం వైపు (8)', '2 వ ఉత్తమ కెరీర్ ఆర్థిక రేటు (3.25)']</v>
      </c>
      <c r="C1815" s="2" t="s">
        <v>1082</v>
      </c>
      <c r="D1815" s="2" t="str">
        <f>IFERROR(__xludf.DUMMYFUNCTION("IF(C1815&lt;&gt;"""", GOOGLETRANSLATE(C1815, ""en"", ""te""),"""")"),"[ '10 వ అత్యుత్తమ బౌలింగ్ ఇన్నింగ్స్ లో విశ్లేషించడం (6/15)', 'ఒక ఇన్నింగ్స్ లో 5 వ ఉత్తమ సంఖ్యలు ఉన్నప్పుడు పరాజయం వైపు (8)' 100 వికెట్లు, '48 వ వేగవంతమైన, '50 వికెట్లు (11) కు 41 వ వేగవంతమైన' (24) ',' తొమ్మిదవ వికెట్ (100) 50 వ అత్యధిక భాగస్వామ్యం ']")</f>
        <v>[ '10 వ అత్యుత్తమ బౌలింగ్ ఇన్నింగ్స్ లో విశ్లేషించడం (6/15)', 'ఒక ఇన్నింగ్స్ లో 5 వ ఉత్తమ సంఖ్యలు ఉన్నప్పుడు పరాజయం వైపు (8)' 100 వికెట్లు, '48 వ వేగవంతమైన, '50 వికెట్లు (11) కు 41 వ వేగవంతమైన' (24) ',' తొమ్మిదవ వికెట్ (100) 50 వ అత్యధిక భాగస్వామ్యం ']</v>
      </c>
      <c r="E1815" s="2" t="s">
        <v>1083</v>
      </c>
      <c r="F1815" s="2" t="str">
        <f>IFERROR(__xludf.DUMMYFUNCTION("IF(E1815&lt;&gt;"""", GOOGLETRANSLATE(E1815, ""en"", ""te""),"""")"),"[ '2 వ ఉత్తమ కెరీర్ ఆర్థిక రేటు (3.25)', '21 వ లాంగెస్ట్ క్రీడాకారులు నివసించారు (68y 16d) ']")</f>
        <v>[ '2 వ ఉత్తమ కెరీర్ ఆర్థిక రేటు (3.25)', '21 వ లాంగెస్ట్ క్రీడాకారులు నివసించారు (68y 16d) ']</v>
      </c>
      <c r="G1815" s="2"/>
      <c r="H1815" s="2" t="str">
        <f>IFERROR(__xludf.DUMMYFUNCTION("IF(G1815&lt;&gt;"""", GOOGLETRANSLATE(G1815, ""en"", ""te""),"""")"),"")</f>
        <v/>
      </c>
      <c r="I1815" s="3"/>
    </row>
    <row r="1816" customHeight="1" spans="1:9">
      <c r="A1816" s="2"/>
      <c r="B1816" s="2" t="str">
        <f>IFERROR(__xludf.DUMMYFUNCTION("IF(A1816&lt;&gt;"""", GOOGLETRANSLATE(A1816, ""en"", ""te""),"""")"),"")</f>
        <v/>
      </c>
      <c r="C1816" s="2"/>
      <c r="D1816" s="2" t="str">
        <f>IFERROR(__xludf.DUMMYFUNCTION("IF(C1816&lt;&gt;"""", GOOGLETRANSLATE(C1816, ""en"", ""te""),"""")"),"")</f>
        <v/>
      </c>
      <c r="E1816" s="2"/>
      <c r="F1816" s="2" t="str">
        <f>IFERROR(__xludf.DUMMYFUNCTION("IF(E1816&lt;&gt;"""", GOOGLETRANSLATE(E1816, ""en"", ""te""),"""")"),"")</f>
        <v/>
      </c>
      <c r="G1816" s="2"/>
      <c r="H1816" s="2" t="str">
        <f>IFERROR(__xludf.DUMMYFUNCTION("IF(G1816&lt;&gt;"""", GOOGLETRANSLATE(G1816, ""en"", ""te""),"""")"),"")</f>
        <v/>
      </c>
      <c r="I1816" s="3"/>
    </row>
    <row r="1817" customHeight="1" spans="1:9">
      <c r="A1817" s="2" t="s">
        <v>1084</v>
      </c>
      <c r="B1817" s="2" t="str">
        <f>IFERROR(__xludf.DUMMYFUNCTION("IF(A1817&lt;&gt;"""", GOOGLETRANSLATE(A1817, ""en"", ""te""),"""")"),"[ '3 వ అత్యంత ప్లేయర్ ఆఫ్ ది సిరీస్ అవార్డులు (8)', 'వంద (3154) లేకుండా ఒక వృత్తిలో 1st అత్యధిక పరుగులు' '5 వ కెరీర్ బాతులు (34)', '1st చాలా క్యాలెండర్ వికెట్లు సంవత్సరం (96) ',' 2 వ అత్యంత పది వికెట్లు లో ఒక మ్యాచ్ ఒక వృత్తిలో (10) ',' (40705) ',' 3 వ అత"&amp;"్యధిక కెరీర్ లో సాధించిన పరుగులు (17995) కెరీర్లో బౌల్డ్ 3 వ అత్యంత బంతుల్లో ', తీసుకువెళ్లారు 2 వ అత్యధిక వికెట్లు స్టంప్ (36) ',' 2nd 700 వికెట్లు (144) వేగంగా ',' 1000 పరుగులు మరియు 100 వికెట్లు ',' 1000 పరుగులు, 50 వికెట్లు, 50 క్యాచ్లు 'ఒక క్యాలెండర్"&amp;" సంవత్సరంలో,' 3 వ అత్యధిక వికెట్లు ( 62) ',' 1 వ వరుస నాలుగు వికెట్లు-ఇన్-ఒక-ఇన్నింగ్స్ (3) ',' 2 వ అత్యంత స్టంప్ వికెట్లు తీసుకున్నారు (50) ',' 5 వ 250 వికెట్లు (161) ',' 1000 పరుగులు మరియు 100 వికెట్లు వేగంగా ',' వంద (4172) ',' 9 వ లేకుండా 1000 పరుగులు,"&amp;" 50 వికెట్లు, 50 క్యాచ్లు ఒక వృత్తిలో ',' 1 వ అత్యధిక పరుగులు కెరీర్ బాతులు (44) ',' కెరీర్ లో 2 వ అత్యధిక వికెట్లు (1001) ', '3 వ అత్యంత ఐదు-వికెట్ల లో-ఒక-ఇన్నింగ్స్ కెరీర్లో (38)', 'కెరీర్ లో బౌల్డ్ 3 వ అత్యంత బంతుల్లో (51347)', '3 వ అత్యధిక కెరీర్ (255"&amp;"36) లో ఇవ్వబడిన పరుగులలో', '2 వ అత్యంత తీసుకోబడిన వికెట్ల స్టంప్డ్ (86) ']")</f>
        <v>[ '3 వ అత్యంత ప్లేయర్ ఆఫ్ ది సిరీస్ అవార్డులు (8)', 'వంద (3154) లేకుండా ఒక వృత్తిలో 1st అత్యధిక పరుగులు' '5 వ కెరీర్ బాతులు (34)', '1st చాలా క్యాలెండర్ వికెట్లు సంవత్సరం (96) ',' 2 వ అత్యంత పది వికెట్లు లో ఒక మ్యాచ్ ఒక వృత్తిలో (10) ',' (40705) ',' 3 వ అత్యధిక కెరీర్ లో సాధించిన పరుగులు (17995) కెరీర్లో బౌల్డ్ 3 వ అత్యంత బంతుల్లో ', తీసుకువెళ్లారు 2 వ అత్యధిక వికెట్లు స్టంప్ (36) ',' 2nd 700 వికెట్లు (144) వేగంగా ',' 1000 పరుగులు మరియు 100 వికెట్లు ',' 1000 పరుగులు, 50 వికెట్లు, 50 క్యాచ్లు 'ఒక క్యాలెండర్ సంవత్సరంలో,' 3 వ అత్యధిక వికెట్లు ( 62) ',' 1 వ వరుస నాలుగు వికెట్లు-ఇన్-ఒక-ఇన్నింగ్స్ (3) ',' 2 వ అత్యంత స్టంప్ వికెట్లు తీసుకున్నారు (50) ',' 5 వ 250 వికెట్లు (161) ',' 1000 పరుగులు మరియు 100 వికెట్లు వేగంగా ',' వంద (4172) ',' 9 వ లేకుండా 1000 పరుగులు, 50 వికెట్లు, 50 క్యాచ్లు ఒక వృత్తిలో ',' 1 వ అత్యధిక పరుగులు కెరీర్ బాతులు (44) ',' కెరీర్ లో 2 వ అత్యధిక వికెట్లు (1001) ', '3 వ అత్యంత ఐదు-వికెట్ల లో-ఒక-ఇన్నింగ్స్ కెరీర్లో (38)', 'కెరీర్ లో బౌల్డ్ 3 వ అత్యంత బంతుల్లో (51347)', '3 వ అత్యధిక కెరీర్ (25536) లో ఇవ్వబడిన పరుగులలో', '2 వ అత్యంత తీసుకోబడిన వికెట్ల స్టంప్డ్ (86) ']</v>
      </c>
      <c r="C1817" s="2" t="s">
        <v>1085</v>
      </c>
      <c r="D1817" s="2" t="str">
        <f>IFERROR(__xludf.DUMMYFUNCTION("IF(C1817&lt;&gt;"""", GOOGLETRANSLATE(C1817, ""en"", ""te""),"""")"),"[ 'వంద లేకుండా కెరీర్లో 1st అత్యధిక పరుగులు (3154)', '5 వ కెరీర్ బాతులు (34)', 'కెరీర్ లో 2 వ అత్యధిక వికెట్లు (708)', 'వరుస 7 వ అత్యధిక వికెట్లు (40)', 'ఒక క్యాలెండర్ సంవత్సరంలో 1st అత్యధిక వికెట్లు (96)', '6 వ అత్యుత్తమ బౌలింగ్ ఇన్నింగ్స్ (7/23) విశ్లేష"&amp;"ణలలో' 'ఒకే మైదానంలో 14 వ అత్యధిక వికెట్లు (68)', '24th ఒక ఇన్నింగ్స్ లోని బెస్ట్ ఫిగర్స్ ఉన్నప్పుడు పరాజయం వైపు (7) ',' 5 వ ఉత్తమ ఒక మ్యాచ్లో గణాంకాలు (12) ',' ఇన్నింగ్స్ లో 26 వ ఉత్తమ ఆర్థిక రేటు (0.53) ',' 2 వ అత్యంత పరాజయం వైపు అయిదు వికెట్లు-ఇన్-ఒక"&amp;"-ఇన్నింగ్స్ ఒక వృత్తిలో (37) ',' 2 వ అత్యంత పది వికెట్లు లో ఒక మ్యాచ్ ఒక వృత్తిలో (10) ',' 5 వ అత్యధిక వరుస ఐదు వికెట్ల లో-ఒక-ఇన్నింగ్స్ (4) ',' 4 వ అత్యధిక వరుస పది వికెట్లు లో ఒక మ్యాచ్ (2) ',' ఐదు వికెట్ల లో-ఒక-ఇన్నింగ్స్ తీసుకోవాలని 40 వ అత్యంత వృద్ధ "&amp;"ఆటగాడు (37y 104d) ',' పది వికెట్లు లో ఒక మ్యాచ్ తీసుకోవాలని 15 వ అత్యంత వృద్ధ ఆటగాడు (35y 360d) ',' 3 వ కెరీర్ లో బౌల్డ్ చాలా బంతుల్లో (40705) ',' 3 వ అత్యధిక కెరీర్ లో సాధించిన పరుగులు (17995) ',' 10 వ బౌలర్ / బ్యాటర్ కలయికలు (14) ',' 13 వ బౌలర్ / ఫీల్డర"&amp;"్ కలయికలు (59) ',' 3 వ అత్యంత వికెట్లు బౌల్డ్ తీసుకోకూడదు (116) ',' 2 వ అత్యంత తీసుకున్న ఆకర్షించింది (418) ',' 3 వ అత్యంత క్యాచ్ మరియు బౌల్డ్ తీసుకోబడిన వికెట్ల (21) ',' 2 వ అత్యంత ఫీల్డర్ చేత క్యాచ్ తీసుకోబడిన వికెట్ల (345) ',' 23 వ అత్యధిక వికెట్లు విక"&amp;"ెట్లు ఒక వికెట్ కీపర్ చే కాట్ తీసుకోకూడదు (73) ',' 3 వ అత్యంత తీసుకోబడిన వికెట్ల ఎల్బిడబ్ల్యు (138) ',' 2 వ అత్యధిక వికెట్లు స్టంప్ తీసుకోకూడదు (36) ',' 37 వ 100 వికెట్లు (23) ',' 10 వ వేగంగా 150 వికెట్లు వేగవంతమైన ( 31) ',' 9 వ వేగవంతమైన 200 వికెట్లు ("&amp;"42) ',' 9 వ వేగవంతమైన 250 వికెట్లు (55) ',' 7th 300 వికెట్లు (వేగంగా 63) ',' 12 వ 350 వికెట్లు (80) ',' 8 వ వేగవంతమైన వేగవంతమైన 400 వికెట్లు (92) ',' 4 వ అత్యంత వేగంగా 450 వికెట్లు (101) ',' 3 వ 500 వికెట్లు (108) ',' 600 వికెట్లు (126) వేగంగా 3 వ ',' "&amp;"700 వికెట్లు 2nd వేగంగా వేగంగా (144 ) ',' 18 వ అత్యధిక క్యాచ్లు కెరీర్లో (125) ',' పదవ వికెట్కు 45 వ అత్యధిక భాగస్వామ్యం (86) ',' 13 వ అత్యధిక మ్యాచ్లు కెరీర్లో (145) ',' 3 వ అత్యంత ప్లేయర్ ఆఫ్ ది మ్యాచ్ అవార్డులు ( 17) ',' 3 వ అత్యంత ప్లేయర్ ఆఫ్ ది సిరీస"&amp;"్ అవార్డులు (8) ']")</f>
        <v>[ 'వంద లేకుండా కెరీర్లో 1st అత్యధిక పరుగులు (3154)', '5 వ కెరీర్ బాతులు (34)', 'కెరీర్ లో 2 వ అత్యధిక వికెట్లు (708)', 'వరుస 7 వ అత్యధిక వికెట్లు (40)', 'ఒక క్యాలెండర్ సంవత్సరంలో 1st అత్యధిక వికెట్లు (96)', '6 వ అత్యుత్తమ బౌలింగ్ ఇన్నింగ్స్ (7/23) విశ్లేషణలలో' 'ఒకే మైదానంలో 14 వ అత్యధిక వికెట్లు (68)', '24th ఒక ఇన్నింగ్స్ లోని బెస్ట్ ఫిగర్స్ ఉన్నప్పుడు పరాజయం వైపు (7) ',' 5 వ ఉత్తమ ఒక మ్యాచ్లో గణాంకాలు (12) ',' ఇన్నింగ్స్ లో 26 వ ఉత్తమ ఆర్థిక రేటు (0.53) ',' 2 వ అత్యంత పరాజయం వైపు అయిదు వికెట్లు-ఇన్-ఒక-ఇన్నింగ్స్ ఒక వృత్తిలో (37) ',' 2 వ అత్యంత పది వికెట్లు లో ఒక మ్యాచ్ ఒక వృత్తిలో (10) ',' 5 వ అత్యధిక వరుస ఐదు వికెట్ల లో-ఒక-ఇన్నింగ్స్ (4) ',' 4 వ అత్యధిక వరుస పది వికెట్లు లో ఒక మ్యాచ్ (2) ',' ఐదు వికెట్ల లో-ఒక-ఇన్నింగ్స్ తీసుకోవాలని 40 వ అత్యంత వృద్ధ ఆటగాడు (37y 104d) ',' పది వికెట్లు లో ఒక మ్యాచ్ తీసుకోవాలని 15 వ అత్యంత వృద్ధ ఆటగాడు (35y 360d) ',' 3 వ కెరీర్ లో బౌల్డ్ చాలా బంతుల్లో (40705) ',' 3 వ అత్యధిక కెరీర్ లో సాధించిన పరుగులు (17995) ',' 10 వ బౌలర్ / బ్యాటర్ కలయికలు (14) ',' 13 వ బౌలర్ / ఫీల్డర్ కలయికలు (59) ',' 3 వ అత్యంత వికెట్లు బౌల్డ్ తీసుకోకూడదు (116) ',' 2 వ అత్యంత తీసుకున్న ఆకర్షించింది (418) ',' 3 వ అత్యంత క్యాచ్ మరియు బౌల్డ్ తీసుకోబడిన వికెట్ల (21) ',' 2 వ అత్యంత ఫీల్డర్ చేత క్యాచ్ తీసుకోబడిన వికెట్ల (345) ',' 23 వ అత్యధిక వికెట్లు వికెట్లు ఒక వికెట్ కీపర్ చే కాట్ తీసుకోకూడదు (73) ',' 3 వ అత్యంత తీసుకోబడిన వికెట్ల ఎల్బిడబ్ల్యు (138) ',' 2 వ అత్యధిక వికెట్లు స్టంప్ తీసుకోకూడదు (36) ',' 37 వ 100 వికెట్లు (23) ',' 10 వ వేగంగా 150 వికెట్లు వేగవంతమైన ( 31) ',' 9 వ వేగవంతమైన 200 వికెట్లు (42) ',' 9 వ వేగవంతమైన 250 వికెట్లు (55) ',' 7th 300 వికెట్లు (వేగంగా 63) ',' 12 వ 350 వికెట్లు (80) ',' 8 వ వేగవంతమైన వేగవంతమైన 400 వికెట్లు (92) ',' 4 వ అత్యంత వేగంగా 450 వికెట్లు (101) ',' 3 వ 500 వికెట్లు (108) ',' 600 వికెట్లు (126) వేగంగా 3 వ ',' 700 వికెట్లు 2nd వేగంగా వేగంగా (144 ) ',' 18 వ అత్యధిక క్యాచ్లు కెరీర్లో (125) ',' పదవ వికెట్కు 45 వ అత్యధిక భాగస్వామ్యం (86) ',' 13 వ అత్యధిక మ్యాచ్లు కెరీర్లో (145) ',' 3 వ అత్యంత ప్లేయర్ ఆఫ్ ది మ్యాచ్ అవార్డులు ( 17) ',' 3 వ అత్యంత ప్లేయర్ ఆఫ్ ది సిరీస్ అవార్డులు (8) ']</v>
      </c>
      <c r="E1817" s="2" t="s">
        <v>1086</v>
      </c>
      <c r="F1817" s="2" t="str">
        <f>IFERROR(__xludf.DUMMYFUNCTION("IF(E1817&lt;&gt;"""", GOOGLETRANSLATE(E1817, ""en"", ""te""),"""")"),"[ 'కెరీర్లో 14 వ అత్యధిక వికెట్లు (293)', 'వరుస 10 వ అత్యధిక వికెట్లు (22)', 'ఒక క్యాలెండర్ సంవత్సరంలో 3 వ అత్యధిక వికెట్లు (62)', 'ఒకే మైదానంలో 18 వ అత్యధిక వికెట్లు (46)', '10 వ అత్యంత నాలుగు వికెట్లు-ఇన్-ఒక-ఇన్నింగ్స్ కెరీర్లో (13)', '1 వ వరుస నాలుగు "&amp;"వికెట్లు-ఇన్-ఒక-ఇన్నింగ్స్ (3)' '(10642) కెరీర్లో బౌల్డ్ 22 మోస్ట్ బంతుల్లో', 'కెరీర్ లో సాధించిన 23 వ అత్యధిక పరుగులు (7541)', '25 వ బౌలర్ / బ్యాట్స్ కలయికలు (8)', '22 వ బౌలర్ / ఫీల్డర్ కలయికలు (34)', '38 వ అత్యధిక వికెట్లు తీసుకున్న బౌల్డ్ (49)', '30 వ "&amp;"అత్యధిక వికెట్లు తీసుకున్న క్యాచ్ (145) ',' 14 వ అత్యధిక వికెట్లు క్యాచ్ మరియు బౌల్డ్ తీసుకోకూడదు (13) ', '21 వ అత్యధిక వికెట్లు ఒక ఫీల్డర్ చేత క్యాచ్ తీసుకున్న (124)', '11 వ అత్యధిక వికెట్లు తీసుకున్న ఎల్బిడబ్ల్యు (48)', '2 వ అత్యంత తీసుకున్న స్టంప్డ్ వి"&amp;"కెట్లు (50) ',' 7 వ వేగవంతమైన 50 వికెట్లు (25) ',' 15 వ 100 వికెట్లు వేగంగా (60) ',' 12 వ 150 వికెట్లు (94) ',' 5 వ వేగంగా 200 వికెట్లు (125) వేగంగా ',' 5 వ వరుస 250 వికెట్లు (161) ',' 24 వ అత్యధిక క్యాచ్లు వేగంగా (8) ']")</f>
        <v>[ 'కెరీర్లో 14 వ అత్యధిక వికెట్లు (293)', 'వరుస 10 వ అత్యధిక వికెట్లు (22)', 'ఒక క్యాలెండర్ సంవత్సరంలో 3 వ అత్యధిక వికెట్లు (62)', 'ఒకే మైదానంలో 18 వ అత్యధిక వికెట్లు (46)', '10 వ అత్యంత నాలుగు వికెట్లు-ఇన్-ఒక-ఇన్నింగ్స్ కెరీర్లో (13)', '1 వ వరుస నాలుగు వికెట్లు-ఇన్-ఒక-ఇన్నింగ్స్ (3)' '(10642) కెరీర్లో బౌల్డ్ 22 మోస్ట్ బంతుల్లో', 'కెరీర్ లో సాధించిన 23 వ అత్యధిక పరుగులు (7541)', '25 వ బౌలర్ / బ్యాట్స్ కలయికలు (8)', '22 వ బౌలర్ / ఫీల్డర్ కలయికలు (34)', '38 వ అత్యధిక వికెట్లు తీసుకున్న బౌల్డ్ (49)', '30 వ అత్యధిక వికెట్లు తీసుకున్న క్యాచ్ (145) ',' 14 వ అత్యధిక వికెట్లు క్యాచ్ మరియు బౌల్డ్ తీసుకోకూడదు (13) ', '21 వ అత్యధిక వికెట్లు ఒక ఫీల్డర్ చేత క్యాచ్ తీసుకున్న (124)', '11 వ అత్యధిక వికెట్లు తీసుకున్న ఎల్బిడబ్ల్యు (48)', '2 వ అత్యంత తీసుకున్న స్టంప్డ్ వికెట్లు (50) ',' 7 వ వేగవంతమైన 50 వికెట్లు (25) ',' 15 వ 100 వికెట్లు వేగంగా (60) ',' 12 వ 150 వికెట్లు (94) ',' 5 వ వేగంగా 200 వికెట్లు (125) వేగంగా ',' 5 వ వరుస 250 వికెట్లు (161) ',' 24 వ అత్యధిక క్యాచ్లు వేగంగా (8) ']</v>
      </c>
      <c r="G1817" s="2"/>
      <c r="H1817" s="2" t="str">
        <f>IFERROR(__xludf.DUMMYFUNCTION("IF(G1817&lt;&gt;"""", GOOGLETRANSLATE(G1817, ""en"", ""te""),"""")"),"")</f>
        <v/>
      </c>
      <c r="I1817" s="3"/>
    </row>
    <row r="1818" customHeight="1" spans="1:9">
      <c r="A1818" s="2"/>
      <c r="B1818" s="2" t="str">
        <f>IFERROR(__xludf.DUMMYFUNCTION("IF(A1818&lt;&gt;"""", GOOGLETRANSLATE(A1818, ""en"", ""te""),"""")"),"")</f>
        <v/>
      </c>
      <c r="C1818" s="2"/>
      <c r="D1818" s="2" t="str">
        <f>IFERROR(__xludf.DUMMYFUNCTION("IF(C1818&lt;&gt;"""", GOOGLETRANSLATE(C1818, ""en"", ""te""),"""")"),"")</f>
        <v/>
      </c>
      <c r="E1818" s="2"/>
      <c r="F1818" s="2" t="str">
        <f>IFERROR(__xludf.DUMMYFUNCTION("IF(E1818&lt;&gt;"""", GOOGLETRANSLATE(E1818, ""en"", ""te""),"""")"),"")</f>
        <v/>
      </c>
      <c r="G1818" s="2"/>
      <c r="H1818" s="2" t="str">
        <f>IFERROR(__xludf.DUMMYFUNCTION("IF(G1818&lt;&gt;"""", GOOGLETRANSLATE(G1818, ""en"", ""te""),"""")"),"")</f>
        <v/>
      </c>
      <c r="I1818" s="3"/>
    </row>
    <row r="1819" customHeight="1" spans="1:9">
      <c r="A1819" s="2" t="s">
        <v>1087</v>
      </c>
      <c r="B1819" s="2" t="str">
        <f>IFERROR(__xludf.DUMMYFUNCTION("IF(A1819&lt;&gt;"""", GOOGLETRANSLATE(A1819, ""en"", ""te""),"""")"),"[ 'ఒక ఇన్నింగ్స్ లో 5 వ ఉత్తమ సంఖ్యలు ఉన్నప్పుడు పరాజయం వైపు (4)']")</f>
        <v>[ 'ఒక ఇన్నింగ్స్ లో 5 వ ఉత్తమ సంఖ్యలు ఉన్నప్పుడు పరాజయం వైపు (4)']</v>
      </c>
      <c r="C1819" s="2" t="s">
        <v>1088</v>
      </c>
      <c r="D1819" s="2" t="str">
        <f>IFERROR(__xludf.DUMMYFUNCTION("IF(C1819&lt;&gt;"""", GOOGLETRANSLATE(C1819, ""en"", ""te""),"""")"),"[ '38 వ చెత్త కెరీర్ (65.00) (అర్హత లేకుండా) సగటు బౌలింగ్', 'ఇన్నింగ్స్ లో 18 చెత్త సమ్మె రేటు (216.0)', '26 ఒక మ్యాచ్ (130) లో సాధించిన అత్యధిక పరుగులు']")</f>
        <v>[ '38 వ చెత్త కెరీర్ (65.00) (అర్హత లేకుండా) సగటు బౌలింగ్', 'ఇన్నింగ్స్ లో 18 చెత్త సమ్మె రేటు (216.0)', '26 ఒక మ్యాచ్ (130) లో సాధించిన అత్యధిక పరుగులు']</v>
      </c>
      <c r="E1819" s="2"/>
      <c r="F1819" s="2" t="str">
        <f>IFERROR(__xludf.DUMMYFUNCTION("IF(E1819&lt;&gt;"""", GOOGLETRANSLATE(E1819, ""en"", ""te""),"""")"),"")</f>
        <v/>
      </c>
      <c r="G1819" s="2" t="s">
        <v>1089</v>
      </c>
      <c r="H1819" s="2" t="str">
        <f>IFERROR(__xludf.DUMMYFUNCTION("IF(G1819&lt;&gt;"""", GOOGLETRANSLATE(G1819, ""en"", ""te""),"""")"),"[ '27 అత్యుత్తమ బౌలింగ్ ఇన్నింగ్స్ లో విశ్లేషించడం (1/2)', 'ఒక ఇన్నింగ్స్ లో 5 వ ఉత్తమ సంఖ్యలు ఉన్నప్పుడు పరాజయం వైపు (4)', '12 వ ఉత్తమ తొలి ఇన్నింగ్స్లో గణాంకాలు (3)']")</f>
        <v>[ '27 అత్యుత్తమ బౌలింగ్ ఇన్నింగ్స్ లో విశ్లేషించడం (1/2)', 'ఒక ఇన్నింగ్స్ లో 5 వ ఉత్తమ సంఖ్యలు ఉన్నప్పుడు పరాజయం వైపు (4)', '12 వ ఉత్తమ తొలి ఇన్నింగ్స్లో గణాంకాలు (3)']</v>
      </c>
      <c r="I1819" s="3"/>
    </row>
    <row r="1820" customHeight="1" spans="1:9">
      <c r="A1820" s="2" t="s">
        <v>1090</v>
      </c>
      <c r="B1820" s="2" t="str">
        <f>IFERROR(__xludf.DUMMYFUNCTION("IF(A1820&lt;&gt;"""", GOOGLETRANSLATE(A1820, ""en"", ""te""),"""")"),"[ 'ఇన్నింగ్స్ లో 2 వ అత్యధిక క్యాచ్లు (4)', 'తొలి హండ్రెడ్ (162)' 'రెండు దేశాలకు ప్రాతినిధ్యం', 'రెండు దేశాలకు ప్రాతినిధ్యం', 'కెరీర్ లో 1 వ అతి తక్కువ బాతులు', 'రెండు దేశాలకు ప్రాతినిధ్యం']")</f>
        <v>[ 'ఇన్నింగ్స్ లో 2 వ అత్యధిక క్యాచ్లు (4)', 'తొలి హండ్రెడ్ (162)' 'రెండు దేశాలకు ప్రాతినిధ్యం', 'రెండు దేశాలకు ప్రాతినిధ్యం', 'కెరీర్ లో 1 వ అతి తక్కువ బాతులు', 'రెండు దేశాలకు ప్రాతినిధ్యం']</v>
      </c>
      <c r="C1820" s="2" t="s">
        <v>1091</v>
      </c>
      <c r="D1820" s="2" t="str">
        <f>IFERROR(__xludf.DUMMYFUNCTION("IF(C1820&lt;&gt;"""", GOOGLETRANSLATE(C1820, ""en"", ""te""),"""")"),"[ '41 వ వేగవంతమైన 2000 పరుగులు (45)' '8 వ అత్యంత తొలి మ్యాచ్లో పరుగులు (208)', '33 వ వరుస అన్ని టాస్ గెలిచిన (3)']")</f>
        <v>[ '41 వ వేగవంతమైన 2000 పరుగులు (45)' '8 వ అత్యంత తొలి మ్యాచ్లో పరుగులు (208)', '33 వ వరుస అన్ని టాస్ గెలిచిన (3)']</v>
      </c>
      <c r="E1820" s="2" t="s">
        <v>1092</v>
      </c>
      <c r="F1820" s="2" t="str">
        <f>IFERROR(__xludf.DUMMYFUNCTION("IF(E1820&lt;&gt;"""", GOOGLETRANSLATE(E1820, ""en"", ""te""),"""")"),"[ '37 వ ఒక సిరీస్లో అత్యధిక పరుగులు (495)', 'ఒక కెప్టెన్ ద్వారా ఒక సిరీస్లో 43 వ అత్యధిక పరుగులు (342)', 'తొలి మ్యాచ్లో 35 వ అత్యధిక పరుగులు (79)', 'వరుస ఇన్నింగ్స్లో 11 వ యాభైల్లో (5)' '1st లేవు బాతులు కెరీర్ లో (105)', 'ఒక డక్ లేకుండా 3 వరుస ఇన్నింగ్స్"&amp;" (105 *)', 'ఫాస్టెస్ట్ 1000 పరుగులు 45 వ (29)', '2000 పరుగులు వేగంగా 32 వ (55)', '41 వ వేగవంతమైన 3000 పరుగులు ఇన్నింగ్స్ లో (88) ',' 2 వ అత్యధిక క్యాచ్లు (4) ',' 24th ఒక సిరీస్లో అత్యధిక క్యాచ్లు (8) ',' 24 వ అత్యంత ప్లేయర్ ఆఫ్ ది సిరీస్ అవార్డులు (4) ',"&amp;"' ప్రదర్శనల మధ్య 47 వ లాంగెస్ట్ వ్యవధిలో (6y 162d) ',' 32 వ వరుస మ్యాచ్లు ఒక జట్టు కెప్టెన్గా (36) ',' 39 వ ఓల్డెస్ట్ కాప్టెన్ (37y 44d) ',' కెప్టెన్సీ తొలి 41 వ ఓల్డెస్ట్ కాప్టెన్ (34y 165d) ']")</f>
        <v>[ '37 వ ఒక సిరీస్లో అత్యధిక పరుగులు (495)', 'ఒక కెప్టెన్ ద్వారా ఒక సిరీస్లో 43 వ అత్యధిక పరుగులు (342)', 'తొలి మ్యాచ్లో 35 వ అత్యధిక పరుగులు (79)', 'వరుస ఇన్నింగ్స్లో 11 వ యాభైల్లో (5)' '1st లేవు బాతులు కెరీర్ లో (105)', 'ఒక డక్ లేకుండా 3 వరుస ఇన్నింగ్స్ (105 *)', 'ఫాస్టెస్ట్ 1000 పరుగులు 45 వ (29)', '2000 పరుగులు వేగంగా 32 వ (55)', '41 వ వేగవంతమైన 3000 పరుగులు ఇన్నింగ్స్ లో (88) ',' 2 వ అత్యధిక క్యాచ్లు (4) ',' 24th ఒక సిరీస్లో అత్యధిక క్యాచ్లు (8) ',' 24 వ అత్యంత ప్లేయర్ ఆఫ్ ది సిరీస్ అవార్డులు (4) ',' ప్రదర్శనల మధ్య 47 వ లాంగెస్ట్ వ్యవధిలో (6y 162d) ',' 32 వ వరుస మ్యాచ్లు ఒక జట్టు కెప్టెన్గా (36) ',' 39 వ ఓల్డెస్ట్ కాప్టెన్ (37y 44d) ',' కెప్టెన్సీ తొలి 41 వ ఓల్డెస్ట్ కాప్టెన్ (34y 165d) ']</v>
      </c>
      <c r="G1820" s="2" t="s">
        <v>1093</v>
      </c>
      <c r="H1820" s="2" t="str">
        <f>IFERROR(__xludf.DUMMYFUNCTION("IF(G1820&lt;&gt;"""", GOOGLETRANSLATE(G1820, ""en"", ""te""),"""")"),"[ '31 మోస్ట్ బృందం (36) కెప్టెన్ గా వరుస మ్యాచ్లు']")</f>
        <v>[ '31 మోస్ట్ బృందం (36) కెప్టెన్ గా వరుస మ్యాచ్లు']</v>
      </c>
      <c r="I1820" s="3"/>
    </row>
    <row r="1821" customHeight="1" spans="1:9">
      <c r="A1821" s="2" t="s">
        <v>1094</v>
      </c>
      <c r="B1821" s="2" t="str">
        <f>IFERROR(__xludf.DUMMYFUNCTION("IF(A1821&lt;&gt;"""", GOOGLETRANSLATE(A1821, ""en"", ""te""),"""")"),"[ 'చాలా 5 వ ఇన్నింగ్స్ లో నడుస్తుంది (బ్యాటింగ్ స్థానం) (335 *)' ఇన్నింగ్స్ పూర్తి ద్వారా, 'హండ్రెడ్ ఒక మ్యాచ్లో ప్రతి ఇన్నింగ్స్లో', 'వరుస ఇన్నింగ్స్లో 7 వ యాభైల్లో (6)', 'వాహక బ్యాటింగ్ (123 * ) ',' 8 వ ఒక మ్యాచ్లో అత్యధిక క్యాచ్లు (6) ',' 5000 పరుగులు"&amp;" మరియు 50 ఫీల్డింగ్ వికెట్లు ',' రెండవ వికెట్కు 8 వ అత్యధిక భాగస్వామ్యం (361) ',' 6 వ పరాజయం వైపు ఒక మ్యాచ్లో అత్యధిక పరుగులు (173 ) ',' ఒక ఇన్నింగ్స్ లో ఒక క్యాలెండర్ సంవత్సరంలో 2 వ అత్యధిక వందలు (కెరీర్ 7) ',' 9 వ అతి తక్కువ బాతులు (63) ',' 4 వ అత్యంత "&amp;"ఫోర్లు (24) ',' 4 వ వేగవంతమైన 5000 పరుగులు (115) ', '5000 పరుగులు మరియు 50 ఫీల్డింగ్ వికెట్లు', 'రెండవ వికెట్కు 5 వ అత్యధిక భాగస్వామ్యం (260)', '6 వ అత్యంత ప్లేయర్ ఆఫ్ ది మ్యాచ్ అవార్డులు (9)', 'కెరీర్లో 8 వ అత్యధిక పరుగులు (2265)', ' 6 వ అత్యంత తొలి మ్య"&amp;"ాచ్లో కెరీర్లో వరుస ఇన్నింగ్స్లో (89) ',' 3 వ యాభైల్లో (3) ',' 8 వ అత్యంత ఫోర్లు పరుగులు (218) ',' ఒక ఇన్నింగ్స్లో పరుగుల 7 వ అత్యధిక శాతం (65.69) ',' 7th వేగవంతమైన 2000 పరుగులు (73) ',' 6 వ కెరీర్లో అత్యధిక క్యాచ్లు (44) ',' నాలుగవ వికెట్కు 1st అత్యధిక"&amp;" భాగస్వామ్యం (16 1) ',' వరుస ఇన్నింగ్స్లో 6 వ వందల (3) ',' ఒక డక్ లేకుండా 10 వ వరుస ఇన్నింగ్స్ (98) ']")</f>
        <v>[ 'చాలా 5 వ ఇన్నింగ్స్ లో నడుస్తుంది (బ్యాటింగ్ స్థానం) (335 *)' ఇన్నింగ్స్ పూర్తి ద్వారా, 'హండ్రెడ్ ఒక మ్యాచ్లో ప్రతి ఇన్నింగ్స్లో', 'వరుస ఇన్నింగ్స్లో 7 వ యాభైల్లో (6)', 'వాహక బ్యాటింగ్ (123 * ) ',' 8 వ ఒక మ్యాచ్లో అత్యధిక క్యాచ్లు (6) ',' 5000 పరుగులు మరియు 50 ఫీల్డింగ్ వికెట్లు ',' రెండవ వికెట్కు 8 వ అత్యధిక భాగస్వామ్యం (361) ',' 6 వ పరాజయం వైపు ఒక మ్యాచ్లో అత్యధిక పరుగులు (173 ) ',' ఒక ఇన్నింగ్స్ లో ఒక క్యాలెండర్ సంవత్సరంలో 2 వ అత్యధిక వందలు (కెరీర్ 7) ',' 9 వ అతి తక్కువ బాతులు (63) ',' 4 వ అత్యంత ఫోర్లు (24) ',' 4 వ వేగవంతమైన 5000 పరుగులు (115) ', '5000 పరుగులు మరియు 50 ఫీల్డింగ్ వికెట్లు', 'రెండవ వికెట్కు 5 వ అత్యధిక భాగస్వామ్యం (260)', '6 వ అత్యంత ప్లేయర్ ఆఫ్ ది మ్యాచ్ అవార్డులు (9)', 'కెరీర్లో 8 వ అత్యధిక పరుగులు (2265)', ' 6 వ అత్యంత తొలి మ్యాచ్లో కెరీర్లో వరుస ఇన్నింగ్స్లో (89) ',' 3 వ యాభైల్లో (3) ',' 8 వ అత్యంత ఫోర్లు పరుగులు (218) ',' ఒక ఇన్నింగ్స్లో పరుగుల 7 వ అత్యధిక శాతం (65.69) ',' 7th వేగవంతమైన 2000 పరుగులు (73) ',' 6 వ కెరీర్లో అత్యధిక క్యాచ్లు (44) ',' నాలుగవ వికెట్కు 1st అత్యధిక భాగస్వామ్యం (16 1) ',' వరుస ఇన్నింగ్స్లో 6 వ వందల (3) ',' ఒక డక్ లేకుండా 10 వ వరుస ఇన్నింగ్స్ (98) ']</v>
      </c>
      <c r="C1821" s="2" t="s">
        <v>1095</v>
      </c>
      <c r="D1821" s="2" t="str">
        <f>IFERROR(__xludf.DUMMYFUNCTION("IF(C1821&lt;&gt;"""", GOOGLETRANSLATE(C1821, ""en"", ""te""),"""")"),"[ 'ఒక మ్యాచ్లో 23 వ అత్యధిక పరుగులు (335)', 'ఇన్నింగ్స్ (335 *) 10 వ అత్యధిక పరుగులు' '45 వ కెరీర్ లో అత్యధిక పరుగులు (7311)', 'ఒక క్యాలెండర్ సంవత్సరంలో 33 వ అత్యధిక పరుగులు (1317)', 'ఇన్నింగ్స్ లో 5 వ అత్యధిక పరుగులు (బ్యాటింగ్ స్థానంలో ప్రకారం) (335 *)'"&amp;", 'ఒక రోజు లో 7 వ అత్యధిక పరుగులు (244)', 'ఇన్నింగ్స్ లో 16 వ అత్యధిక స్ట్రైక్ రేట్ (214.28)', '23 వ ఒక వృత్తిలో వందల ఒక వృత్తిలో (24) ',' 5 వ అత్యధిక ట్రిపుల్ సెంచరీలు (1) ',' 6 వ ఒక క్యాలెండర్ సంవత్సరంలో అత్యధిక వందలు (6) ',' వరుస ఇన్నింగ్స్లో 5 వ వందల"&amp;" (3) ',' 46 వ కెరీర్ అర్ధ (54 ) ',' వరుస ఇన్నింగ్స్లో 7 వ యాభైల్లో (6) వరుస మ్యాచ్లలో ',' 15 వ యాభైల్లో (8) ',' 31 ఎక్కువ సిక్స్ కెరీర్లో (56) ',' 41 వ అత్యంత ఫోర్లు కెరీర్లో (859) ',' 18 వ అత్యంత ఒక ఇన్నింగ్స్ లో ఫోర్లు (39) ',' 26 వ అధిక 3000 పరుగులు "&amp;"(66) ',' 17 వ 4000 వేగవంతమైన పరుగులు (84) ',' 28th వేగంగా ఒక ఇన్నింగ్స్ (162) ',' ఫాస్టెస్ట్ 30 లో ఫోర్లు, సిక్సర్లు నుండి పరుగులు 5000 పరుగులు (109) ',' ఫాస్టెస్ట్ 6000 పరుగులు (129) ',' 7000 పరుగులు (151) ',' 8 వ అత్యధిక క్యాచ్లు కు 22 వేగవంతమైన ఒక మ్"&amp;"యాచ్లో 24 (6) ',' 35 వ అత్యధిక ఏ WIC కోసం భాగస్వామ్యాలు Ket (361) ',' రెండవ వికెట్కు 8 వ అత్యధిక భాగస్వామ్యం (361) ',' ఒక జట్టుకు 48 వ వరుస మ్యాచ్లు (55) ',' 24 వ అత్యంత ప్లేయర్ ఆఫ్ ది సిరీస్ అవార్డులు (4) ']")</f>
        <v>[ 'ఒక మ్యాచ్లో 23 వ అత్యధిక పరుగులు (335)', 'ఇన్నింగ్స్ (335 *) 10 వ అత్యధిక పరుగులు' '45 వ కెరీర్ లో అత్యధిక పరుగులు (7311)', 'ఒక క్యాలెండర్ సంవత్సరంలో 33 వ అత్యధిక పరుగులు (1317)', 'ఇన్నింగ్స్ లో 5 వ అత్యధిక పరుగులు (బ్యాటింగ్ స్థానంలో ప్రకారం) (335 *)', 'ఒక రోజు లో 7 వ అత్యధిక పరుగులు (244)', 'ఇన్నింగ్స్ లో 16 వ అత్యధిక స్ట్రైక్ రేట్ (214.28)', '23 వ ఒక వృత్తిలో వందల ఒక వృత్తిలో (24) ',' 5 వ అత్యధిక ట్రిపుల్ సెంచరీలు (1) ',' 6 వ ఒక క్యాలెండర్ సంవత్సరంలో అత్యధిక వందలు (6) ',' వరుస ఇన్నింగ్స్లో 5 వ వందల (3) ',' 46 వ కెరీర్ అర్ధ (54 ) ',' వరుస ఇన్నింగ్స్లో 7 వ యాభైల్లో (6) వరుస మ్యాచ్లలో ',' 15 వ యాభైల్లో (8) ',' 31 ఎక్కువ సిక్స్ కెరీర్లో (56) ',' 41 వ అత్యంత ఫోర్లు కెరీర్లో (859) ',' 18 వ అత్యంత ఒక ఇన్నింగ్స్ లో ఫోర్లు (39) ',' 26 వ అధిక 3000 పరుగులు (66) ',' 17 వ 4000 వేగవంతమైన పరుగులు (84) ',' 28th వేగంగా ఒక ఇన్నింగ్స్ (162) ',' ఫాస్టెస్ట్ 30 లో ఫోర్లు, సిక్సర్లు నుండి పరుగులు 5000 పరుగులు (109) ',' ఫాస్టెస్ట్ 6000 పరుగులు (129) ',' 7000 పరుగులు (151) ',' 8 వ అత్యధిక క్యాచ్లు కు 22 వేగవంతమైన ఒక మ్యాచ్లో 24 (6) ',' 35 వ అత్యధిక ఏ WIC కోసం భాగస్వామ్యాలు Ket (361) ',' రెండవ వికెట్కు 8 వ అత్యధిక భాగస్వామ్యం (361) ',' ఒక జట్టుకు 48 వ వరుస మ్యాచ్లు (55) ',' 24 వ అత్యంత ప్లేయర్ ఆఫ్ ది సిరీస్ అవార్డులు (4) ']</v>
      </c>
      <c r="E1821" s="2" t="s">
        <v>1096</v>
      </c>
      <c r="F1821" s="2" t="str">
        <f>IFERROR(__xludf.DUMMYFUNCTION("IF(E1821&lt;&gt;"""", GOOGLETRANSLATE(E1821, ""en"", ""te""),"""")"),"[ '27 ఇన్నింగ్స్ (179) అత్యధిక పరుగులు' 'ఒక సిరీస్లో 6 వ అత్యధిక పరుగులు (647)', '16 వ ఒక క్యాలెండర్ సంవత్సరంలో అత్యధిక పరుగులు (1388)', '6 వ కోల్పోకుండా వైపు ఒక మ్యాచ్లో అత్యధిక పరుగులు ( 173) ',' 28th అత్యధిక కెరీర్ బ్యాటింగ్ సగటు (45.45) ',' 50 వ అత్య"&amp;"ధిక కెరీర్ సమ్మె రేటు (95.53) ',' 17 వ ఒక వృత్తిలో అత్యధిక వందలు (18) ',' వరుస 3 వ అత్యధిక వందలు (3) ', , '11 వ అత్యధిక తొలి వంద (163)', 'ఒక జట్టు (4) వ్యతిరేకంగా 39 వ అత్యధిక వందలు' 'వందవ మ్యాచ్లో 8 వ హండ్రెడ్ (124)', '19 వ వరుస' ఒక క్యాలెండర్ ఏడాది (7) "&amp;"2 వ అత్యధిక వందలు ' ఒక డక్ లేకుండా ఇన్నింగ్స్ (80 *) ',' కెరీర్లో 9 వ అతి తక్కువ బాతులు (63) ',' 4 వ ఇన్నింగ్స్ లో వచ్చిన ఎక్కువ ఫోర్లు (24) ',' ఇన్నింగ్స్ లో ఫోర్లు, సిక్సర్లు నుండి 38 వ అత్యధిక పరుగులు (106) ',' 19 ఒక ఇన్నింగ్స్లో పరుగుల అత్యధిక శాతం (5"&amp;"9.09) ',' 24 వ వేగవంతమైన 3000 పరుగులు (81) ',' 4 వ 4000 పరుగులు (93) ',' 5000 పరుగులు (115) ',' 8 వ అత్యధిక వేగంగా 4 వ వేగంగా ఏ వికెట్కు పార్టనర్ షిప్ (284) ',' మొదటి వికెట్కు 5 వ అత్యధిక భాగస్వామ్యం (284) రెండవ విక్ కోసం ',' 5 వ అత్యధిక భాగస్వామ్యం మరియ"&amp;"ు (260) ',' 46 వ అత్యంత ప్లేయర్ ఆఫ్ ది మ్యాచ్ అవార్డులు (17) ']")</f>
        <v>[ '27 ఇన్నింగ్స్ (179) అత్యధిక పరుగులు' 'ఒక సిరీస్లో 6 వ అత్యధిక పరుగులు (647)', '16 వ ఒక క్యాలెండర్ సంవత్సరంలో అత్యధిక పరుగులు (1388)', '6 వ కోల్పోకుండా వైపు ఒక మ్యాచ్లో అత్యధిక పరుగులు ( 173) ',' 28th అత్యధిక కెరీర్ బ్యాటింగ్ సగటు (45.45) ',' 50 వ అత్యధిక కెరీర్ సమ్మె రేటు (95.53) ',' 17 వ ఒక వృత్తిలో అత్యధిక వందలు (18) ',' వరుస 3 వ అత్యధిక వందలు (3) ', , '11 వ అత్యధిక తొలి వంద (163)', 'ఒక జట్టు (4) వ్యతిరేకంగా 39 వ అత్యధిక వందలు' 'వందవ మ్యాచ్లో 8 వ హండ్రెడ్ (124)', '19 వ వరుస' ఒక క్యాలెండర్ ఏడాది (7) 2 వ అత్యధిక వందలు ' ఒక డక్ లేకుండా ఇన్నింగ్స్ (80 *) ',' కెరీర్లో 9 వ అతి తక్కువ బాతులు (63) ',' 4 వ ఇన్నింగ్స్ లో వచ్చిన ఎక్కువ ఫోర్లు (24) ',' ఇన్నింగ్స్ లో ఫోర్లు, సిక్సర్లు నుండి 38 వ అత్యధిక పరుగులు (106) ',' 19 ఒక ఇన్నింగ్స్లో పరుగుల అత్యధిక శాతం (59.09) ',' 24 వ వేగవంతమైన 3000 పరుగులు (81) ',' 4 వ 4000 పరుగులు (93) ',' 5000 పరుగులు (115) ',' 8 వ అత్యధిక వేగంగా 4 వ వేగంగా ఏ వికెట్కు పార్టనర్ షిప్ (284) ',' మొదటి వికెట్కు 5 వ అత్యధిక భాగస్వామ్యం (284) రెండవ విక్ కోసం ',' 5 వ అత్యధిక భాగస్వామ్యం మరియు (260) ',' 46 వ అత్యంత ప్లేయర్ ఆఫ్ ది మ్యాచ్ అవార్డులు (17) ']</v>
      </c>
      <c r="G1821" s="2" t="s">
        <v>1097</v>
      </c>
      <c r="H1821" s="2" t="str">
        <f>IFERROR(__xludf.DUMMYFUNCTION("IF(G1821&lt;&gt;"""", GOOGLETRANSLATE(G1821, ""en"", ""te""),"""")"),"[ 'కెరీర్లో 8 వ అత్యధిక పరుగులు (2265)', '34 వ ఇన్నింగ్స్ లో అత్యధిక పరుగులు (బ్యాటింగ్ స్థానంలో ప్రకారం) (77)', '14 వ పరాజయం వైపు ఒక మ్యాచ్లో అత్యధిక పరుగులు (90 *)', '34 వ అత్యధిక కెరీర్ బ్యాటింగ్ సగటు (31.45) ',' 39 వ అత్యధిక కెరీర్ సమ్మె రేటు (139.72"&amp;") ',' తొలి మ్యాచ్లో 6 వ అత్యధిక పరుగులు (89) ',' కెరీర్ లో 3 వ అత్యంత అర్ధ (19) ',' వరుస ఇన్నింగ్స్లో 3 వ యాభైల్లో (3) ',' ఒక డక్ లేకుండా 13 వరుస ఇన్నింగ్స్ (48) ',' 13 వ అత్యంత బాతులు కెరీర్లో (6) ',' 10 వ ఎక్కువ సిక్స్ కెరీర్లో (89) ',' 8 వ అత్యంత ఫోర్"&amp;"లు కెరీర్లో (218) ',' 42 వ ఒక ఇన్నింగ్స్ లో వచ్చిన ఎక్కువ సిక్స్ (7) ',' 36 వ లాంగెస్ట్ వ్యక్తిగత ఇన్నింగ్స్ (బంతులతో) (62) ',' 7th ఒక ఇన్నింగ్స్లో పరుగుల అత్యధిక శాతం (65.69) ',' 16 వ 1000 పరుగులు (37) 'వేగంగా, '7th 2000 వరకు వేగంగా పరుగులు (73)', '6 వ క"&amp;"ెరీర్లో అత్యధిక క్యాచ్లు (44)', '15 వ అత్యంత ఇన్నింగ్స్ (3) లో క్యాచ్లు' 'ఏ వికెట్కు 12 వ అత్యధిక భాగస్వామ్యాల (161)', '4 వ అత్యధిక భాగస్వామ్యాలు వికెట్ (4 వ) ',' మొదటి వికెట్కు 41 వ అత్యధిక భాగస్వామ్యం (121) రెండవ వికెట్కు ',' 28th అత్యధిక భాగస్వామ్యం (1"&amp;" 17 *) ',' నాలుగవ వికెట్కు 1st అత్యధిక భాగస్వామ్యం (161) ',' 17 వ కెరీర్ లో అత్యధిక మ్యాచ్లు (81) ',' ఒక జట్టుకు 20 వ వరుస మ్యాచ్లు (39) ',' 6 వ అత్యంత ప్లేయర్ ఆఫ్ మ్యాచ్ అవార్డులు (9) ',' 44th లాంగెస్ట్ కెరీర్లు (11y 239d) ']")</f>
        <v>[ 'కెరీర్లో 8 వ అత్యధిక పరుగులు (2265)', '34 వ ఇన్నింగ్స్ లో అత్యధిక పరుగులు (బ్యాటింగ్ స్థానంలో ప్రకారం) (77)', '14 వ పరాజయం వైపు ఒక మ్యాచ్లో అత్యధిక పరుగులు (90 *)', '34 వ అత్యధిక కెరీర్ బ్యాటింగ్ సగటు (31.45) ',' 39 వ అత్యధిక కెరీర్ సమ్మె రేటు (139.72) ',' తొలి మ్యాచ్లో 6 వ అత్యధిక పరుగులు (89) ',' కెరీర్ లో 3 వ అత్యంత అర్ధ (19) ',' వరుస ఇన్నింగ్స్లో 3 వ యాభైల్లో (3) ',' ఒక డక్ లేకుండా 13 వరుస ఇన్నింగ్స్ (48) ',' 13 వ అత్యంత బాతులు కెరీర్లో (6) ',' 10 వ ఎక్కువ సిక్స్ కెరీర్లో (89) ',' 8 వ అత్యంత ఫోర్లు కెరీర్లో (218) ',' 42 వ ఒక ఇన్నింగ్స్ లో వచ్చిన ఎక్కువ సిక్స్ (7) ',' 36 వ లాంగెస్ట్ వ్యక్తిగత ఇన్నింగ్స్ (బంతులతో) (62) ',' 7th ఒక ఇన్నింగ్స్లో పరుగుల అత్యధిక శాతం (65.69) ',' 16 వ 1000 పరుగులు (37) 'వేగంగా, '7th 2000 వరకు వేగంగా పరుగులు (73)', '6 వ కెరీర్లో అత్యధిక క్యాచ్లు (44)', '15 వ అత్యంత ఇన్నింగ్స్ (3) లో క్యాచ్లు' 'ఏ వికెట్కు 12 వ అత్యధిక భాగస్వామ్యాల (161)', '4 వ అత్యధిక భాగస్వామ్యాలు వికెట్ (4 వ) ',' మొదటి వికెట్కు 41 వ అత్యధిక భాగస్వామ్యం (121) రెండవ వికెట్కు ',' 28th అత్యధిక భాగస్వామ్యం (1 17 *) ',' నాలుగవ వికెట్కు 1st అత్యధిక భాగస్వామ్యం (161) ',' 17 వ కెరీర్ లో అత్యధిక మ్యాచ్లు (81) ',' ఒక జట్టుకు 20 వ వరుస మ్యాచ్లు (39) ',' 6 వ అత్యంత ప్లేయర్ ఆఫ్ మ్యాచ్ అవార్డులు (9) ',' 44th లాంగెస్ట్ కెరీర్లు (11y 239d) ']</v>
      </c>
      <c r="I1821" s="3"/>
    </row>
    <row r="1822" customHeight="1" spans="1:9">
      <c r="A1822" s="2" t="s">
        <v>1098</v>
      </c>
      <c r="B1822" s="2" t="str">
        <f>IFERROR(__xludf.DUMMYFUNCTION("IF(A1822&lt;&gt;"""", GOOGLETRANSLATE(A1822, ""en"", ""te""),"""")"),"[ 'ప్రవేశం (103) పై వంద']")</f>
        <v>[ 'ప్రవేశం (103) పై వంద']</v>
      </c>
      <c r="C1822" s="2"/>
      <c r="D1822" s="2" t="str">
        <f>IFERROR(__xludf.DUMMYFUNCTION("IF(C1822&lt;&gt;"""", GOOGLETRANSLATE(C1822, ""en"", ""te""),"""")"),"")</f>
        <v/>
      </c>
      <c r="E1822" s="2"/>
      <c r="F1822" s="2" t="str">
        <f>IFERROR(__xludf.DUMMYFUNCTION("IF(E1822&lt;&gt;"""", GOOGLETRANSLATE(E1822, ""en"", ""te""),"""")"),"")</f>
        <v/>
      </c>
      <c r="G1822" s="2"/>
      <c r="H1822" s="2" t="str">
        <f>IFERROR(__xludf.DUMMYFUNCTION("IF(G1822&lt;&gt;"""", GOOGLETRANSLATE(G1822, ""en"", ""te""),"""")"),"")</f>
        <v/>
      </c>
      <c r="I1822" s="3"/>
    </row>
    <row r="1823" customHeight="1" spans="1:9">
      <c r="A1823" s="2" t="s">
        <v>1099</v>
      </c>
      <c r="B1823" s="2" t="str">
        <f>IFERROR(__xludf.DUMMYFUNCTION("IF(A1823&lt;&gt;"""", GOOGLETRANSLATE(A1823, ""en"", ""te""),"""")"),"[ '1st అత్యుత్తమ బౌలింగ్ ఇన్నింగ్స్ (1/0) విశ్లేషణలలో' '3 వ అత్యంత ఇన్నింగ్స్ లో నడుస్తుంది (బ్యాటింగ్ స్థానం) (85 *)', 'ఆరవ వికెట్కు 1st అత్యధిక భాగస్వామ్యం (101 *)']")</f>
        <v>[ '1st అత్యుత్తమ బౌలింగ్ ఇన్నింగ్స్ (1/0) విశ్లేషణలలో' '3 వ అత్యంత ఇన్నింగ్స్ లో నడుస్తుంది (బ్యాటింగ్ స్థానం) (85 *)', 'ఆరవ వికెట్కు 1st అత్యధిక భాగస్వామ్యం (101 *)']</v>
      </c>
      <c r="C1823" s="2"/>
      <c r="D1823" s="2" t="str">
        <f>IFERROR(__xludf.DUMMYFUNCTION("IF(C1823&lt;&gt;"""", GOOGLETRANSLATE(C1823, ""en"", ""te""),"""")"),"")</f>
        <v/>
      </c>
      <c r="E1823" s="2" t="s">
        <v>694</v>
      </c>
      <c r="F1823" s="2" t="str">
        <f>IFERROR(__xludf.DUMMYFUNCTION("IF(E1823&lt;&gt;"""", GOOGLETRANSLATE(E1823, ""en"", ""te""),"""")"),"[ '1st అత్యుత్తమ ఇన్నింగ్స్ (1/0) విశ్లేషణలలో బౌలింగ్']")</f>
        <v>[ '1st అత్యుత్తమ ఇన్నింగ్స్ (1/0) విశ్లేషణలలో బౌలింగ్']</v>
      </c>
      <c r="G1823" s="2" t="s">
        <v>1100</v>
      </c>
      <c r="H1823" s="2" t="str">
        <f>IFERROR(__xludf.DUMMYFUNCTION("IF(G1823&lt;&gt;"""", GOOGLETRANSLATE(G1823, ""en"", ""te""),"""")"),"[ '3 వ అత్యంత ఇన్నింగ్స్ లో నడుస్తుంది (బ్యాటింగ్ స్థానం) (85 *)', '24 వ అత్యధిక కెరీర్ బ్యాటింగ్ సగటు (32.80)', '21 వ అత్యంత ఇన్నింగ్స్ తొలి డక్ (23) ముందు ',' 49 వ కెరీర్ లో వచ్చిన ఎక్కువ సిక్స్ (44 ) ',' వికెట్ తేడాతో 49 వ అత్యధిక క్యాచ్లు కెరీర్లో (23"&amp;") ',' 6 వ అత్యధిక భాగస్వామ్యాల (6) ',' ఆరవ వికెట్కు 1st అత్యధిక భాగస్వామ్యం (101 *) ']")</f>
        <v>[ '3 వ అత్యంత ఇన్నింగ్స్ లో నడుస్తుంది (బ్యాటింగ్ స్థానం) (85 *)', '24 వ అత్యధిక కెరీర్ బ్యాటింగ్ సగటు (32.80)', '21 వ అత్యంత ఇన్నింగ్స్ తొలి డక్ (23) ముందు ',' 49 వ కెరీర్ లో వచ్చిన ఎక్కువ సిక్స్ (44 ) ',' వికెట్ తేడాతో 49 వ అత్యధిక క్యాచ్లు కెరీర్లో (23) ',' 6 వ అత్యధిక భాగస్వామ్యాల (6) ',' ఆరవ వికెట్కు 1st అత్యధిక భాగస్వామ్యం (101 *) ']</v>
      </c>
      <c r="I1823" s="3"/>
    </row>
    <row r="1824" customHeight="1" spans="1:9">
      <c r="A1824" s="2" t="s">
        <v>1101</v>
      </c>
      <c r="B1824" s="2" t="str">
        <f>IFERROR(__xludf.DUMMYFUNCTION("IF(A1824&lt;&gt;"""", GOOGLETRANSLATE(A1824, ""en"", ""te""),"""")"),"[ 'ఒక మ్యాచ్లో 8 వ అత్యధిక క్యాచ్లు (6)']")</f>
        <v>[ 'ఒక మ్యాచ్లో 8 వ అత్యధిక క్యాచ్లు (6)']</v>
      </c>
      <c r="C1824" s="2" t="s">
        <v>1102</v>
      </c>
      <c r="D1824" s="2" t="str">
        <f>IFERROR(__xludf.DUMMYFUNCTION("IF(C1824&lt;&gt;"""", GOOGLETRANSLATE(C1824, ""en"", ""te""),"""")"),"[ 'ఒక మ్యాచ్లో 8 వ అత్యధిక క్యాచ్లు (6)', '10th ఒక సిరీస్లో అత్యధిక క్యాచ్లు (12)']")</f>
        <v>[ 'ఒక మ్యాచ్లో 8 వ అత్యధిక క్యాచ్లు (6)', '10th ఒక సిరీస్లో అత్యధిక క్యాచ్లు (12)']</v>
      </c>
      <c r="E1824" s="2"/>
      <c r="F1824" s="2" t="str">
        <f>IFERROR(__xludf.DUMMYFUNCTION("IF(E1824&lt;&gt;"""", GOOGLETRANSLATE(E1824, ""en"", ""te""),"""")"),"")</f>
        <v/>
      </c>
      <c r="G1824" s="2"/>
      <c r="H1824" s="2" t="str">
        <f>IFERROR(__xludf.DUMMYFUNCTION("IF(G1824&lt;&gt;"""", GOOGLETRANSLATE(G1824, ""en"", ""te""),"""")"),"")</f>
        <v/>
      </c>
      <c r="I1824" s="3"/>
    </row>
    <row r="1825" customHeight="1" spans="1:9">
      <c r="A1825" s="2"/>
      <c r="B1825" s="2" t="str">
        <f>IFERROR(__xludf.DUMMYFUNCTION("IF(A1825&lt;&gt;"""", GOOGLETRANSLATE(A1825, ""en"", ""te""),"""")"),"")</f>
        <v/>
      </c>
      <c r="C1825" s="2" t="s">
        <v>1103</v>
      </c>
      <c r="D1825" s="2" t="str">
        <f>IFERROR(__xludf.DUMMYFUNCTION("IF(C1825&lt;&gt;"""", GOOGLETRANSLATE(C1825, ""en"", ""te""),"""")"),"[ 'ప్రవేశం (8) ఒక మ్యాచ్లో 33 వ బెస్ట్ ఫిగర్స్' '15 వ అత్యుత్తమ ఇన్నింగ్స్ లో విశ్లేషణలు బౌలింగ్ (5/14)',]")</f>
        <v>[ 'ప్రవేశం (8) ఒక మ్యాచ్లో 33 వ బెస్ట్ ఫిగర్స్' '15 వ అత్యుత్తమ ఇన్నింగ్స్ లో విశ్లేషణలు బౌలింగ్ (5/14)',]</v>
      </c>
      <c r="E1825" s="2"/>
      <c r="F1825" s="2" t="str">
        <f>IFERROR(__xludf.DUMMYFUNCTION("IF(E1825&lt;&gt;"""", GOOGLETRANSLATE(E1825, ""en"", ""te""),"""")"),"")</f>
        <v/>
      </c>
      <c r="G1825" s="2"/>
      <c r="H1825" s="2" t="str">
        <f>IFERROR(__xludf.DUMMYFUNCTION("IF(G1825&lt;&gt;"""", GOOGLETRANSLATE(G1825, ""en"", ""te""),"""")"),"")</f>
        <v/>
      </c>
      <c r="I1825" s="3"/>
    </row>
    <row r="1826" customHeight="1" spans="1:9">
      <c r="A1826" s="2" t="s">
        <v>1104</v>
      </c>
      <c r="B1826" s="2" t="str">
        <f>IFERROR(__xludf.DUMMYFUNCTION("IF(A1826&lt;&gt;"""", GOOGLETRANSLATE(A1826, ""en"", ""te""),"""")"),"[ 'ఇన్నింగ్స్ లో 1 వ అత్యధిక పరుగులు (92 *) (బ్యాటింగ్ స్థానం)', 'వరుస 8 వ అత్యధిక వికెట్లు (19)', '2 వ అత్యంత వికెట్కీపర్గా (11) పట్టుకుంటే తీసుకోబడిన వికెట్ల']")</f>
        <v>[ 'ఇన్నింగ్స్ లో 1 వ అత్యధిక పరుగులు (92 *) (బ్యాటింగ్ స్థానం)', 'వరుస 8 వ అత్యధిక వికెట్లు (19)', '2 వ అత్యంత వికెట్కీపర్గా (11) పట్టుకుంటే తీసుకోబడిన వికెట్ల']</v>
      </c>
      <c r="C1826" s="2" t="s">
        <v>1105</v>
      </c>
      <c r="D1826" s="2" t="str">
        <f>IFERROR(__xludf.DUMMYFUNCTION("IF(C1826&lt;&gt;"""", GOOGLETRANSLATE(C1826, ""en"", ""te""),"""")"),"[ 'ఇన్నింగ్స్ లో 1 వ అత్యధిక పరుగులు (బ్యాటింగ్ స్థానంలో ప్రకారం) (92 *)', 'కెరీర్లో 10 వ అత్యధిక వికెట్లు (48)', 'ఒక మ్యాచ్లో 11 వ బెస్ట్ ఫిగర్స్ (9)', '8 వ ఒక సిరీస్లో అత్యధిక వికెట్లు ( 19) ',' 26 ఒక క్యాలెండర్ సంవత్సరంలో అత్యధిక వికెట్లు (15) ',' 17 వ"&amp;" సగటు (18.33) ',' 15 వ ఉత్తమ కెరీర్ సమ్మె రేటు బౌలింగ్ ఉత్తమ కెరీర్ (58.5) ', '21 వ అరంగేట్రంలోనే మ్యాచ్లో ఉత్తమ బొమ్మలు (5 ) ',' 11 వ అత్యంత ఐదు-వికెట్ల లో-ఒక-ఇన్నింగ్స్ కెరీర్లో (2) ',' 12 వ కెరీర్ (2812) ',' 15 వ కెరీర్ లో సాధించిన అత్యధిక పరుగులు (880"&amp;") ',' 12 వ బౌలర్ బౌల్ అత్యంత బంతుల్లో / బ్యాట్స్ కలయికలు (4) ',' 3 వ బౌలర్ / ఫీల్డర్ కలయికలు (11) ',' 7 వ అత్యధిక వికెట్లు తీసుకున్న బౌల్డ్ (14) ',' 4 వ అత్యధిక వికెట్లు తీసుకున్న ఆకర్షించింది (28) ',' 12 వ అత్యధిక వికెట్లు తీసుకున్న ఫీల్డర్ చేత క్యాచ్ (1"&amp;"7) ',' 2 వ అత్యధిక వికెట్లు సాధించిన వికెట్కీపర్గా (11) పట్టుకుంటే తీసిన]")</f>
        <v>[ 'ఇన్నింగ్స్ లో 1 వ అత్యధిక పరుగులు (బ్యాటింగ్ స్థానంలో ప్రకారం) (92 *)', 'కెరీర్లో 10 వ అత్యధిక వికెట్లు (48)', 'ఒక మ్యాచ్లో 11 వ బెస్ట్ ఫిగర్స్ (9)', '8 వ ఒక సిరీస్లో అత్యధిక వికెట్లు ( 19) ',' 26 ఒక క్యాలెండర్ సంవత్సరంలో అత్యధిక వికెట్లు (15) ',' 17 వ సగటు (18.33) ',' 15 వ ఉత్తమ కెరీర్ సమ్మె రేటు బౌలింగ్ ఉత్తమ కెరీర్ (58.5) ', '21 వ అరంగేట్రంలోనే మ్యాచ్లో ఉత్తమ బొమ్మలు (5 ) ',' 11 వ అత్యంత ఐదు-వికెట్ల లో-ఒక-ఇన్నింగ్స్ కెరీర్లో (2) ',' 12 వ కెరీర్ (2812) ',' 15 వ కెరీర్ లో సాధించిన అత్యధిక పరుగులు (880) ',' 12 వ బౌలర్ బౌల్ అత్యంత బంతుల్లో / బ్యాట్స్ కలయికలు (4) ',' 3 వ బౌలర్ / ఫీల్డర్ కలయికలు (11) ',' 7 వ అత్యధిక వికెట్లు తీసుకున్న బౌల్డ్ (14) ',' 4 వ అత్యధిక వికెట్లు తీసుకున్న ఆకర్షించింది (28) ',' 12 వ అత్యధిక వికెట్లు తీసుకున్న ఫీల్డర్ చేత క్యాచ్ (17) ',' 2 వ అత్యధిక వికెట్లు సాధించిన వికెట్కీపర్గా (11) పట్టుకుంటే తీసిన]</v>
      </c>
      <c r="E1826" s="2"/>
      <c r="F1826" s="2" t="str">
        <f>IFERROR(__xludf.DUMMYFUNCTION("IF(E1826&lt;&gt;"""", GOOGLETRANSLATE(E1826, ""en"", ""te""),"""")"),"")</f>
        <v/>
      </c>
      <c r="G1826" s="2"/>
      <c r="H1826" s="2" t="str">
        <f>IFERROR(__xludf.DUMMYFUNCTION("IF(G1826&lt;&gt;"""", GOOGLETRANSLATE(G1826, ""en"", ""te""),"""")"),"")</f>
        <v/>
      </c>
      <c r="I1826" s="3"/>
    </row>
    <row r="1827" customHeight="1" spans="1:9">
      <c r="A1827" s="2"/>
      <c r="B1827" s="2" t="str">
        <f>IFERROR(__xludf.DUMMYFUNCTION("IF(A1827&lt;&gt;"""", GOOGLETRANSLATE(A1827, ""en"", ""te""),"""")"),"")</f>
        <v/>
      </c>
      <c r="C1827" s="2"/>
      <c r="D1827" s="2" t="str">
        <f>IFERROR(__xludf.DUMMYFUNCTION("IF(C1827&lt;&gt;"""", GOOGLETRANSLATE(C1827, ""en"", ""te""),"""")"),"")</f>
        <v/>
      </c>
      <c r="E1827" s="2" t="s">
        <v>1106</v>
      </c>
      <c r="F1827" s="2" t="str">
        <f>IFERROR(__xludf.DUMMYFUNCTION("IF(E1827&lt;&gt;"""", GOOGLETRANSLATE(E1827, ""en"", ""te""),"""")"),"[ '31 ఉత్తమ కెరీర్ బౌలింగ్ సరాసరి (23.25)', '43 వ అత్యంత ఐదు-వికెట్ల లో-ఒక-ఇన్నింగ్స్ కెరీర్లో (2)']")</f>
        <v>[ '31 ఉత్తమ కెరీర్ బౌలింగ్ సరాసరి (23.25)', '43 వ అత్యంత ఐదు-వికెట్ల లో-ఒక-ఇన్నింగ్స్ కెరీర్లో (2)']</v>
      </c>
      <c r="G1827" s="2"/>
      <c r="H1827" s="2" t="str">
        <f>IFERROR(__xludf.DUMMYFUNCTION("IF(G1827&lt;&gt;"""", GOOGLETRANSLATE(G1827, ""en"", ""te""),"""")"),"")</f>
        <v/>
      </c>
      <c r="I1827" s="3"/>
    </row>
    <row r="1828" customHeight="1" spans="1:9">
      <c r="A1828" s="2"/>
      <c r="B1828" s="2" t="str">
        <f>IFERROR(__xludf.DUMMYFUNCTION("IF(A1828&lt;&gt;"""", GOOGLETRANSLATE(A1828, ""en"", ""te""),"""")"),"")</f>
        <v/>
      </c>
      <c r="C1828" s="2"/>
      <c r="D1828" s="2" t="str">
        <f>IFERROR(__xludf.DUMMYFUNCTION("IF(C1828&lt;&gt;"""", GOOGLETRANSLATE(C1828, ""en"", ""te""),"""")"),"")</f>
        <v/>
      </c>
      <c r="E1828" s="2"/>
      <c r="F1828" s="2" t="str">
        <f>IFERROR(__xludf.DUMMYFUNCTION("IF(E1828&lt;&gt;"""", GOOGLETRANSLATE(E1828, ""en"", ""te""),"""")"),"")</f>
        <v/>
      </c>
      <c r="G1828" s="2"/>
      <c r="H1828" s="2" t="str">
        <f>IFERROR(__xludf.DUMMYFUNCTION("IF(G1828&lt;&gt;"""", GOOGLETRANSLATE(G1828, ""en"", ""te""),"""")"),"")</f>
        <v/>
      </c>
      <c r="I1828" s="3"/>
    </row>
    <row r="1829" customHeight="1" spans="1:9">
      <c r="A1829" s="2"/>
      <c r="B1829" s="2" t="str">
        <f>IFERROR(__xludf.DUMMYFUNCTION("IF(A1829&lt;&gt;"""", GOOGLETRANSLATE(A1829, ""en"", ""te""),"""")"),"")</f>
        <v/>
      </c>
      <c r="C1829" s="2"/>
      <c r="D1829" s="2" t="str">
        <f>IFERROR(__xludf.DUMMYFUNCTION("IF(C1829&lt;&gt;"""", GOOGLETRANSLATE(C1829, ""en"", ""te""),"""")"),"")</f>
        <v/>
      </c>
      <c r="E1829" s="2"/>
      <c r="F1829" s="2" t="str">
        <f>IFERROR(__xludf.DUMMYFUNCTION("IF(E1829&lt;&gt;"""", GOOGLETRANSLATE(E1829, ""en"", ""te""),"""")"),"")</f>
        <v/>
      </c>
      <c r="G1829" s="2"/>
      <c r="H1829" s="2" t="str">
        <f>IFERROR(__xludf.DUMMYFUNCTION("IF(G1829&lt;&gt;"""", GOOGLETRANSLATE(G1829, ""en"", ""te""),"""")"),"")</f>
        <v/>
      </c>
      <c r="I1829" s="3"/>
    </row>
    <row r="1830" customHeight="1" spans="1:9">
      <c r="A1830" s="2"/>
      <c r="B1830" s="2" t="str">
        <f>IFERROR(__xludf.DUMMYFUNCTION("IF(A1830&lt;&gt;"""", GOOGLETRANSLATE(A1830, ""en"", ""te""),"""")"),"")</f>
        <v/>
      </c>
      <c r="C1830" s="2"/>
      <c r="D1830" s="2" t="str">
        <f>IFERROR(__xludf.DUMMYFUNCTION("IF(C1830&lt;&gt;"""", GOOGLETRANSLATE(C1830, ""en"", ""te""),"""")"),"")</f>
        <v/>
      </c>
      <c r="E1830" s="2" t="s">
        <v>1107</v>
      </c>
      <c r="F1830" s="2" t="str">
        <f>IFERROR(__xludf.DUMMYFUNCTION("IF(E1830&lt;&gt;"""", GOOGLETRANSLATE(E1830, ""en"", ""te""),"""")"),"[ '23 వ ఉత్తమ కెరీర్ బౌలింగ్ సరాసరి (అర్హత లేకుండా) (11.00)']")</f>
        <v>[ '23 వ ఉత్తమ కెరీర్ బౌలింగ్ సరాసరి (అర్హత లేకుండా) (11.00)']</v>
      </c>
      <c r="G1830" s="2"/>
      <c r="H1830" s="2" t="str">
        <f>IFERROR(__xludf.DUMMYFUNCTION("IF(G1830&lt;&gt;"""", GOOGLETRANSLATE(G1830, ""en"", ""te""),"""")"),"")</f>
        <v/>
      </c>
      <c r="I1830" s="3"/>
    </row>
    <row r="1831" customHeight="1" spans="1:9">
      <c r="A1831" s="2" t="s">
        <v>399</v>
      </c>
      <c r="B1831" s="2" t="str">
        <f>IFERROR(__xludf.DUMMYFUNCTION("IF(A1831&lt;&gt;"""", GOOGLETRANSLATE(A1831, ""en"", ""te""),"""")"),"[ 'తొలి పెయిర్']")</f>
        <v>[ 'తొలి పెయిర్']</v>
      </c>
      <c r="C1831" s="2" t="s">
        <v>1108</v>
      </c>
      <c r="D1831" s="2" t="str">
        <f>IFERROR(__xludf.DUMMYFUNCTION("IF(C1831&lt;&gt;"""", GOOGLETRANSLATE(C1831, ""en"", ""te""),"""")"),"[ '38 వ వరుస మ్యాచ్లు ప్రదర్శనల మధ్య బృందం (58) కోసం తప్పిన' '48 వ అత్యంత వృద్ధ ఆటగాడు పది వికెట్లు లో ఒక మ్యాచ్ తీసుకోవాలని (32y 342d)',]")</f>
        <v>[ '38 వ వరుస మ్యాచ్లు ప్రదర్శనల మధ్య బృందం (58) కోసం తప్పిన' '48 వ అత్యంత వృద్ధ ఆటగాడు పది వికెట్లు లో ఒక మ్యాచ్ తీసుకోవాలని (32y 342d)',]</v>
      </c>
      <c r="E1831" s="2" t="s">
        <v>1109</v>
      </c>
      <c r="F1831" s="2" t="str">
        <f>IFERROR(__xludf.DUMMYFUNCTION("IF(E1831&lt;&gt;"""", GOOGLETRANSLATE(E1831, ""en"", ""te""),"""")"),"[ '16 వ ఉత్తమ కెరీర్ ఆర్థిక రేటు (3.55)']")</f>
        <v>[ '16 వ ఉత్తమ కెరీర్ ఆర్థిక రేటు (3.55)']</v>
      </c>
      <c r="G1831" s="2"/>
      <c r="H1831" s="2" t="str">
        <f>IFERROR(__xludf.DUMMYFUNCTION("IF(G1831&lt;&gt;"""", GOOGLETRANSLATE(G1831, ""en"", ""te""),"""")"),"")</f>
        <v/>
      </c>
      <c r="I1831" s="3"/>
    </row>
    <row r="1832" customHeight="1" spans="1:9">
      <c r="A1832" s="2"/>
      <c r="B1832" s="2" t="str">
        <f>IFERROR(__xludf.DUMMYFUNCTION("IF(A1832&lt;&gt;"""", GOOGLETRANSLATE(A1832, ""en"", ""te""),"""")"),"")</f>
        <v/>
      </c>
      <c r="C1832" s="2"/>
      <c r="D1832" s="2" t="str">
        <f>IFERROR(__xludf.DUMMYFUNCTION("IF(C1832&lt;&gt;"""", GOOGLETRANSLATE(C1832, ""en"", ""te""),"""")"),"")</f>
        <v/>
      </c>
      <c r="E1832" s="2"/>
      <c r="F1832" s="2" t="str">
        <f>IFERROR(__xludf.DUMMYFUNCTION("IF(E1832&lt;&gt;"""", GOOGLETRANSLATE(E1832, ""en"", ""te""),"""")"),"")</f>
        <v/>
      </c>
      <c r="G1832" s="2" t="s">
        <v>1110</v>
      </c>
      <c r="H1832" s="2" t="str">
        <f>IFERROR(__xludf.DUMMYFUNCTION("IF(G1832&lt;&gt;"""", GOOGLETRANSLATE(G1832, ""en"", ""te""),"""")"),"[ '46 వ అంపాయర్ (17) గా అత్యధిక మ్యాచ్లు']")</f>
        <v>[ '46 వ అంపాయర్ (17) గా అత్యధిక మ్యాచ్లు']</v>
      </c>
      <c r="I1832" s="3"/>
    </row>
    <row r="1833" customHeight="1" spans="1:9">
      <c r="A1833" s="2"/>
      <c r="B1833" s="2" t="str">
        <f>IFERROR(__xludf.DUMMYFUNCTION("IF(A1833&lt;&gt;"""", GOOGLETRANSLATE(A1833, ""en"", ""te""),"""")"),"")</f>
        <v/>
      </c>
      <c r="C1833" s="2" t="s">
        <v>1111</v>
      </c>
      <c r="D1833" s="2" t="str">
        <f>IFERROR(__xludf.DUMMYFUNCTION("IF(C1833&lt;&gt;"""", GOOGLETRANSLATE(C1833, ""en"", ""te""),"""")"),"[ 'తొలి ఇన్నింగ్స్లో 22 బెస్ట్ ఫిగర్స్ (6)', '33 వ అరంగేట్రంలోనే మ్యాచ్లో బెస్ట్ ఫిగర్స్ (8)', '20 వ అత్యంత బంతుల్లో ఒక మ్యాచ్ (656) లో బౌల్డ్']")</f>
        <v>[ 'తొలి ఇన్నింగ్స్లో 22 బెస్ట్ ఫిగర్స్ (6)', '33 వ అరంగేట్రంలోనే మ్యాచ్లో బెస్ట్ ఫిగర్స్ (8)', '20 వ అత్యంత బంతుల్లో ఒక మ్యాచ్ (656) లో బౌల్డ్']</v>
      </c>
      <c r="E1833" s="2"/>
      <c r="F1833" s="2" t="str">
        <f>IFERROR(__xludf.DUMMYFUNCTION("IF(E1833&lt;&gt;"""", GOOGLETRANSLATE(E1833, ""en"", ""te""),"""")"),"")</f>
        <v/>
      </c>
      <c r="G1833" s="2"/>
      <c r="H1833" s="2" t="str">
        <f>IFERROR(__xludf.DUMMYFUNCTION("IF(G1833&lt;&gt;"""", GOOGLETRANSLATE(G1833, ""en"", ""te""),"""")"),"")</f>
        <v/>
      </c>
      <c r="I1833" s="3"/>
    </row>
    <row r="1834" customHeight="1" spans="1:9">
      <c r="A1834" s="2" t="s">
        <v>1112</v>
      </c>
      <c r="B1834" s="2" t="str">
        <f>IFERROR(__xludf.DUMMYFUNCTION("IF(A1834&lt;&gt;"""", GOOGLETRANSLATE(A1834, ""en"", ""te""),"""")"),"[ '(73 *) ఒక ఇన్నింగ్స్లో ద్వారా బ్యాట్ వాహక']")</f>
        <v>[ '(73 *) ఒక ఇన్నింగ్స్లో ద్వారా బ్యాట్ వాహక']</v>
      </c>
      <c r="C1834" s="2" t="s">
        <v>1113</v>
      </c>
      <c r="D1834" s="2" t="str">
        <f>IFERROR(__xludf.DUMMYFUNCTION("IF(C1834&lt;&gt;"""", GOOGLETRANSLATE(C1834, ""en"", ""te""),"""")"),"[ '35 వ 1000 వేగవంతమైన పరుగులు (21)', 'రెండవ వికెట్కు 31 అత్యధిక భాగస్వామ్యం (274)', '33 వ వరుస బృందం (25) కెప్టెన్ గా మ్యాచ్లు' 'ఫాస్టెస్ట్ 2000 పరుగులు (45) కు 41 వ' ]")</f>
        <v>[ '35 వ 1000 వేగవంతమైన పరుగులు (21)', 'రెండవ వికెట్కు 31 అత్యధిక భాగస్వామ్యం (274)', '33 వ వరుస బృందం (25) కెప్టెన్ గా మ్యాచ్లు' 'ఫాస్టెస్ట్ 2000 పరుగులు (45) కు 41 వ' ]</v>
      </c>
      <c r="E1834" s="2"/>
      <c r="F1834" s="2" t="str">
        <f>IFERROR(__xludf.DUMMYFUNCTION("IF(E1834&lt;&gt;"""", GOOGLETRANSLATE(E1834, ""en"", ""te""),"""")"),"")</f>
        <v/>
      </c>
      <c r="G1834" s="2"/>
      <c r="H1834" s="2" t="str">
        <f>IFERROR(__xludf.DUMMYFUNCTION("IF(G1834&lt;&gt;"""", GOOGLETRANSLATE(G1834, ""en"", ""te""),"""")"),"")</f>
        <v/>
      </c>
      <c r="I1834" s="3"/>
    </row>
    <row r="1835" customHeight="1" spans="1:9">
      <c r="A1835" s="2"/>
      <c r="B1835" s="2" t="str">
        <f>IFERROR(__xludf.DUMMYFUNCTION("IF(A1835&lt;&gt;"""", GOOGLETRANSLATE(A1835, ""en"", ""te""),"""")"),"")</f>
        <v/>
      </c>
      <c r="C1835" s="2"/>
      <c r="D1835" s="2" t="str">
        <f>IFERROR(__xludf.DUMMYFUNCTION("IF(C1835&lt;&gt;"""", GOOGLETRANSLATE(C1835, ""en"", ""te""),"""")"),"")</f>
        <v/>
      </c>
      <c r="E1835" s="2"/>
      <c r="F1835" s="2" t="str">
        <f>IFERROR(__xludf.DUMMYFUNCTION("IF(E1835&lt;&gt;"""", GOOGLETRANSLATE(E1835, ""en"", ""te""),"""")"),"")</f>
        <v/>
      </c>
      <c r="G1835" s="2"/>
      <c r="H1835" s="2" t="str">
        <f>IFERROR(__xludf.DUMMYFUNCTION("IF(G1835&lt;&gt;"""", GOOGLETRANSLATE(G1835, ""en"", ""te""),"""")"),"")</f>
        <v/>
      </c>
      <c r="I1835" s="3"/>
    </row>
    <row r="1836" customHeight="1" spans="1:9">
      <c r="A1836" s="2"/>
      <c r="B1836" s="2" t="str">
        <f>IFERROR(__xludf.DUMMYFUNCTION("IF(A1836&lt;&gt;"""", GOOGLETRANSLATE(A1836, ""en"", ""te""),"""")"),"")</f>
        <v/>
      </c>
      <c r="C1836" s="2"/>
      <c r="D1836" s="2" t="str">
        <f>IFERROR(__xludf.DUMMYFUNCTION("IF(C1836&lt;&gt;"""", GOOGLETRANSLATE(C1836, ""en"", ""te""),"""")"),"")</f>
        <v/>
      </c>
      <c r="E1836" s="2"/>
      <c r="F1836" s="2" t="str">
        <f>IFERROR(__xludf.DUMMYFUNCTION("IF(E1836&lt;&gt;"""", GOOGLETRANSLATE(E1836, ""en"", ""te""),"""")"),"")</f>
        <v/>
      </c>
      <c r="G1836" s="2"/>
      <c r="H1836" s="2" t="str">
        <f>IFERROR(__xludf.DUMMYFUNCTION("IF(G1836&lt;&gt;"""", GOOGLETRANSLATE(G1836, ""en"", ""te""),"""")"),"")</f>
        <v/>
      </c>
      <c r="I1836" s="3"/>
    </row>
    <row r="1837" customHeight="1" spans="1:9">
      <c r="A1837" s="2" t="s">
        <v>175</v>
      </c>
      <c r="B1837" s="2" t="str">
        <f>IFERROR(__xludf.DUMMYFUNCTION("IF(A1837&lt;&gt;"""", GOOGLETRANSLATE(A1837, ""en"", ""te""),"""")"),"[ 'ఒక సిరీస్లో 6 వ అత్యంత బాతులు (3)']")</f>
        <v>[ 'ఒక సిరీస్లో 6 వ అత్యంత బాతులు (3)']</v>
      </c>
      <c r="C1837" s="2" t="s">
        <v>1114</v>
      </c>
      <c r="D1837" s="2" t="str">
        <f>IFERROR(__xludf.DUMMYFUNCTION("IF(C1837&lt;&gt;"""", GOOGLETRANSLATE(C1837, ""en"", ""te""),"""")"),"[ 'నాలుగో వికెట్కు (251) కోసం 45 వ అత్యధిక భాగస్వామ్యం']")</f>
        <v>[ 'నాలుగో వికెట్కు (251) కోసం 45 వ అత్యధిక భాగస్వామ్యం']</v>
      </c>
      <c r="E1837" s="2" t="s">
        <v>1115</v>
      </c>
      <c r="F1837" s="2" t="str">
        <f>IFERROR(__xludf.DUMMYFUNCTION("IF(E1837&lt;&gt;"""", GOOGLETRANSLATE(E1837, ""en"", ""te""),"""")"),"[ 'మొదటి డక్ ముందు 9 వ అత్యంత ఇన్నింగ్స్ (51)', '6 వ ఒక సిరీస్లో అత్యధిక బాతులు (3)', '18 వ లాంగెస్ట్ వ్యక్తిగత ఇన్నింగ్స్ (బంతులతో) (165)']")</f>
        <v>[ 'మొదటి డక్ ముందు 9 వ అత్యంత ఇన్నింగ్స్ (51)', '6 వ ఒక సిరీస్లో అత్యధిక బాతులు (3)', '18 వ లాంగెస్ట్ వ్యక్తిగత ఇన్నింగ్స్ (బంతులతో) (165)']</v>
      </c>
      <c r="G1837" s="2"/>
      <c r="H1837" s="2" t="str">
        <f>IFERROR(__xludf.DUMMYFUNCTION("IF(G1837&lt;&gt;"""", GOOGLETRANSLATE(G1837, ""en"", ""te""),"""")"),"")</f>
        <v/>
      </c>
      <c r="I1837" s="3"/>
    </row>
    <row r="1838" customHeight="1" spans="1:9">
      <c r="A1838" s="2"/>
      <c r="B1838" s="2" t="str">
        <f>IFERROR(__xludf.DUMMYFUNCTION("IF(A1838&lt;&gt;"""", GOOGLETRANSLATE(A1838, ""en"", ""te""),"""")"),"")</f>
        <v/>
      </c>
      <c r="C1838" s="2" t="s">
        <v>1116</v>
      </c>
      <c r="D1838" s="2" t="str">
        <f>IFERROR(__xludf.DUMMYFUNCTION("IF(C1838&lt;&gt;"""", GOOGLETRANSLATE(C1838, ""en"", ""te""),"""")"),"[ '13 వ ఒక సిరీస్లో అత్యధిక వికెట్లు (37)', '50 వ ఉత్తమ కెరీర్ సమ్మె రేటు (51.6)', '50 వికెట్లు 41 వ వేగవంతమైన (11)' '23 వ సగటు (21.12) బౌలింగ్ ఉత్తమ కెరీర్లో']")</f>
        <v>[ '13 వ ఒక సిరీస్లో అత్యధిక వికెట్లు (37)', '50 వ ఉత్తమ కెరీర్ సమ్మె రేటు (51.6)', '50 వికెట్లు 41 వ వేగవంతమైన (11)' '23 వ సగటు (21.12) బౌలింగ్ ఉత్తమ కెరీర్లో']</v>
      </c>
      <c r="E1838" s="2"/>
      <c r="F1838" s="2" t="str">
        <f>IFERROR(__xludf.DUMMYFUNCTION("IF(E1838&lt;&gt;"""", GOOGLETRANSLATE(E1838, ""en"", ""te""),"""")"),"")</f>
        <v/>
      </c>
      <c r="G1838" s="2"/>
      <c r="H1838" s="2" t="str">
        <f>IFERROR(__xludf.DUMMYFUNCTION("IF(G1838&lt;&gt;"""", GOOGLETRANSLATE(G1838, ""en"", ""te""),"""")"),"")</f>
        <v/>
      </c>
      <c r="I1838" s="3"/>
    </row>
    <row r="1839" customHeight="1" spans="1:9">
      <c r="A1839" s="2" t="s">
        <v>1117</v>
      </c>
      <c r="B1839" s="2" t="str">
        <f>IFERROR(__xludf.DUMMYFUNCTION("IF(A1839&lt;&gt;"""", GOOGLETRANSLATE(A1839, ""en"", ""te""),"""")"),"[ 'హండ్రెడ్ మరియు ఒక మ్యాచ్లో తొంభై', '1 వ అత్యుత్తమ బౌలింగ్ ఇన్నింగ్స్ లో విశ్లేషించడం (1/0)', ​​'ఇన్నింగ్స్ లో 6 వ ఉత్తమ సమ్మె రేటు (6.0)', 'ఒకే మ్యాచ్ లో బ్యాటింగ్ ప్రారంభించుటకు మరియు బౌలింగ్' '6 వ అత్యధిక వరుస బాతులు (3)', '3 వ అత్యంత ఫోర్లు, సిక్సర"&amp;"్లు నుండి ఒక ఇన్నింగ్స్ లో నడుస్తుంది (150)', '250 పరుగులు మరియు ఒక సిరీస్లో 10 వికెట్లు', '1000 పరుగులు, 50 వికెట్లు, 50 క్యాచ్లు', ' 5000 పరుగులు మరియు 50 ఫీల్డింగ్ వికెట్లు ',' రెండవ వికెట్కు 7 వ అత్యధిక భాగస్వామ్యం (252 *) ',' 6 వ అత్యంత ప్లేయర్ ఆఫ్ ద"&amp;"ి మ్యాచ్ అవార్డులు (9) ',' 1 వ పరాజయం వైపు ఒక మ్యాచ్లో అత్యధిక పరుగులు ( 124 *) ',' వరుస ఇన్నింగ్స్లో 3 వ యాభైల్లో (3) ',' 3 వ లాంగెస్ట్ వ్యక్తిగత ఇన్నింగ్స్ (బంతులతో) (71) ',' 8 వ ఒక ఇన్నింగ్స్ లోని బెస్ట్ ఫిగర్స్ ఉన్నప్పుడు పరాజయం వైపు (4) ']")</f>
        <v>[ 'హండ్రెడ్ మరియు ఒక మ్యాచ్లో తొంభై', '1 వ అత్యుత్తమ బౌలింగ్ ఇన్నింగ్స్ లో విశ్లేషించడం (1/0)', ​​'ఇన్నింగ్స్ లో 6 వ ఉత్తమ సమ్మె రేటు (6.0)', 'ఒకే మ్యాచ్ లో బ్యాటింగ్ ప్రారంభించుటకు మరియు బౌలింగ్' '6 వ అత్యధిక వరుస బాతులు (3)', '3 వ అత్యంత ఫోర్లు, సిక్సర్లు నుండి ఒక ఇన్నింగ్స్ లో నడుస్తుంది (150)', '250 పరుగులు మరియు ఒక సిరీస్లో 10 వికెట్లు', '1000 పరుగులు, 50 వికెట్లు, 50 క్యాచ్లు', ' 5000 పరుగులు మరియు 50 ఫీల్డింగ్ వికెట్లు ',' రెండవ వికెట్కు 7 వ అత్యధిక భాగస్వామ్యం (252 *) ',' 6 వ అత్యంత ప్లేయర్ ఆఫ్ ది మ్యాచ్ అవార్డులు (9) ',' 1 వ పరాజయం వైపు ఒక మ్యాచ్లో అత్యధిక పరుగులు ( 124 *) ',' వరుస ఇన్నింగ్స్లో 3 వ యాభైల్లో (3) ',' 3 వ లాంగెస్ట్ వ్యక్తిగత ఇన్నింగ్స్ (బంతులతో) (71) ',' 8 వ ఒక ఇన్నింగ్స్ లోని బెస్ట్ ఫిగర్స్ ఉన్నప్పుడు పరాజయం వైపు (4) ']</v>
      </c>
      <c r="C1839" s="2" t="s">
        <v>1118</v>
      </c>
      <c r="D1839" s="2" t="str">
        <f>IFERROR(__xludf.DUMMYFUNCTION("IF(C1839&lt;&gt;"""", GOOGLETRANSLATE(C1839, ""en"", ""te""),"""")"),"[ '1st అత్యుత్తమ బౌలింగ్ ఇన్నింగ్స్ లో విశ్లేషించడం (1/0)', ​​'ఇన్నింగ్స్ లో 6 వ ఉత్తమ సమ్మె రేటు (6.0)']")</f>
        <v>[ '1st అత్యుత్తమ బౌలింగ్ ఇన్నింగ్స్ లో విశ్లేషించడం (1/0)', ​​'ఇన్నింగ్స్ లో 6 వ ఉత్తమ సమ్మె రేటు (6.0)']</v>
      </c>
      <c r="E1839" s="2" t="s">
        <v>1119</v>
      </c>
      <c r="F1839" s="2" t="str">
        <f>IFERROR(__xludf.DUMMYFUNCTION("IF(E1839&lt;&gt;"""", GOOGLETRANSLATE(E1839, ""en"", ""te""),"""")"),"[ '(30) మొదటి డక్ ముందు 40 వ అత్యంత ఇన్నింగ్స్', '37 వ వరుస ఇన్నింగ్స్ 17 వ ఇన్నింగ్స్ లో అత్యధిక పరుగులు (185 *)', '15 వ ఇన్నింగ్స్ లో అత్యధిక పరుగులు (బ్యాటింగ్ స్థానంలో ప్రకారం) (185 *)', లేకుండా ఒక డక్ (67) ',' 6 వ అత్యధిక వరుస బాతులు (3) ', '21 వ కెర"&amp;"ీర్ లో వచ్చిన ఎక్కువ సిక్స్ (131)', '5 వ ఇన్నింగ్స్ లో వచ్చిన ఎక్కువ సిక్స్ (15)', '3 వ చాల వరకు ఒక లో ఫోర్లు, సిక్సర్లు నుండి నడుస్తుంది ఇన్నింగ్స్ (150) ',' ఫాస్టెస్ట్ 4000 పరుగులు (115) కు 37 వ ',' 5000 పరుగులు (144) ',' 48 వ అత్యధిక వికెట్లు తీసుకున్న"&amp;" ఆకర్షించింది (119) ',' 46 వ అత్యధిక వికెట్లు ఒక ఫీల్డర్ చేత క్యాచ్ తీసుకున్న వేగంగా 34 వ (87 ) ',' ఏ వికెట్కు 23 వ ఎత్తైన పార్టనర్ షిప్ (252 *) ',' రెండవ వికెట్ (252 *) కోసం 7 వ అత్యధిక భాగస్వామ్యం ',' మూడో వికెట్ (197 *) కోసం 36 వ అత్యధిక భాగస్వామ్యం '"&amp;",' కోసం 16 అత్యధిక భాగస్వామ్యం పదవ వికెట్ను (63) ',' 46 వ అత్యంత ప్లేయర్ ఆఫ్ ది మ్యాచ్ అవార్డులు (17) ',' 24 వ అత్యంత ప్లేయర్ ఆఫ్ ది సిరీస్ అవార్డులు (4) ']")</f>
        <v>[ '(30) మొదటి డక్ ముందు 40 వ అత్యంత ఇన్నింగ్స్', '37 వ వరుస ఇన్నింగ్స్ 17 వ ఇన్నింగ్స్ లో అత్యధిక పరుగులు (185 *)', '15 వ ఇన్నింగ్స్ లో అత్యధిక పరుగులు (బ్యాటింగ్ స్థానంలో ప్రకారం) (185 *)', లేకుండా ఒక డక్ (67) ',' 6 వ అత్యధిక వరుస బాతులు (3) ', '21 వ కెరీర్ లో వచ్చిన ఎక్కువ సిక్స్ (131)', '5 వ ఇన్నింగ్స్ లో వచ్చిన ఎక్కువ సిక్స్ (15)', '3 వ చాల వరకు ఒక లో ఫోర్లు, సిక్సర్లు నుండి నడుస్తుంది ఇన్నింగ్స్ (150) ',' ఫాస్టెస్ట్ 4000 పరుగులు (115) కు 37 వ ',' 5000 పరుగులు (144) ',' 48 వ అత్యధిక వికెట్లు తీసుకున్న ఆకర్షించింది (119) ',' 46 వ అత్యధిక వికెట్లు ఒక ఫీల్డర్ చేత క్యాచ్ తీసుకున్న వేగంగా 34 వ (87 ) ',' ఏ వికెట్కు 23 వ ఎత్తైన పార్టనర్ షిప్ (252 *) ',' రెండవ వికెట్ (252 *) కోసం 7 వ అత్యధిక భాగస్వామ్యం ',' మూడో వికెట్ (197 *) కోసం 36 వ అత్యధిక భాగస్వామ్యం ',' కోసం 16 అత్యధిక భాగస్వామ్యం పదవ వికెట్ను (63) ',' 46 వ అత్యంత ప్లేయర్ ఆఫ్ ది మ్యాచ్ అవార్డులు (17) ',' 24 వ అత్యంత ప్లేయర్ ఆఫ్ ది సిరీస్ అవార్డులు (4) ']</v>
      </c>
      <c r="G1839" s="2" t="s">
        <v>1120</v>
      </c>
      <c r="H1839" s="2" t="str">
        <f>IFERROR(__xludf.DUMMYFUNCTION("IF(G1839&lt;&gt;"""", GOOGLETRANSLATE(G1839, ""en"", ""te""),"""")"),"[ 'ఇన్నింగ్స్ లో 9 వ అత్యధిక పరుగులు (124 *)' '38 వ అత్యధిక కెరీర్ లో పరుగులు (1462)', '40 వ ఒక క్యాలెండర్ సంవత్సరంలో అత్యధిక పరుగులు (406)', '8 వ ఇన్నింగ్స్ లో అత్యధిక పరుగులు (బ్యాటింగ్ స్థానంలో ద్వారా) (124 *) ',' 1 వ పరాజయం వైపు (124 *) ఒక మ్యాచ్లో అ"&amp;"త్యధిక పరుగులు ',' 3 వ అత్యంత ఒక ఇన్నింగ్స్ లో ఒక నాయకుడు పరుగులు (124 *) ', '21 వ అత్యధిక కెరీర్ సమ్మె రేటు (145.32)', 'ఒక డక్ లేకుండా 49 వ వరుస ఇన్నింగ్స్ (30 *)' 'కెరీర్లో 20 వ అత్యంత అర్ధ (11)', 'వరుస ఇన్నింగ్స్లో 3 వ యాభైల్లో (3)', 'కెరీర్లో 32 వ అత"&amp;"ి తక్కువ బాతులు (18.66)', '12 వ అత్యంత కెరీర్లో కెరీర్లో సిక్సర్లు (83) ',' 48 వ అత్యంత ఫోర్లు (115) ',' 42 వ ఇన్నింగ్స్ లో వచ్చిన ఎక్కువ సిక్స్ (7) ',' ఇన్నింగ్స్ లో ఫోర్లు, సిక్సర్లు నుండి 40 వ అత్యధిక పరుగులు (76) ',' 3 వ లాంగెస్ట్ వ్యక్తిగత ఇన్నింగ్స్"&amp;" (బంతులతో) (71) ',' ఒక ఇన్నింగ్స్లో పరుగుల 11 వ అత్యధిక శాతం (62.94) ',' 13 వ 1000 పరుగులు (36) ',' 39 వ అత్యధిక వికెట్లు కెరీర్లో (48) ',' 43 వ వేగంగా ఒకే క్రీడా ఒక ఇన్నింగ్స్ లో (11) ',' 8 వ బెస్ట్ ఫిగర్స్ ఉన్నప్పుడు పరాజయం వైపు (4) ',' 46 వ చెత్త కెరీ"&amp;"ర్లో ఆర్థిక రేటు (7.65) ',' 37 వ న అత్యధిక వికెట్లు కెరీర్లో బౌల్డ్ అత్యంత బంతుల్లో (930) ',' 34 వ అత్యధిక పరుగులు కెరీర్ (1187) లో సాధించిన ',' 18 వ అత్యధిక వికెట్లు ఆకర్షించింది తీసుకున్న ఫీల్డర్ (31) ',' 13 వ అత్యంత పట్టుకుంటే తీసుకున్న (39) ',' 24 వ అ"&amp;"త్యధిక వికెట్లు వికెట్లు ఒక వికెట్ కీపర్ చే కాట్ తీసుకోకూడదు (8) ',' ఏ వికెట్కు 39 వ అత్యధిక భాగస్వామ్యాల (133) తొలి వికెట్కు ',' 20 వ అత్యధిక భాగస్వామ్యం (133) ',' రెండవ వికెట్కు 42 వ అత్యధిక భాగస్వామ్యం (108) ',' మూడో వికెట్కు 38 వ అత్యధిక భాగస్వామ్యం ("&amp;"98) ',' నాలుగవ వికెట్కు 34 వ అత్యధిక భాగస్వామ్యం (93) ',' 6 వ అత్యంత ప్లేయర్ ఆఫ్ ది మ్యాచ్ అవార్డులు (9) ',' కెప్టెన్సీ తొలి 50 వ ఓల్డెస్ట్ కాప్టెన్ (34y 228d) ']")</f>
        <v>[ 'ఇన్నింగ్స్ లో 9 వ అత్యధిక పరుగులు (124 *)' '38 వ అత్యధిక కెరీర్ లో పరుగులు (1462)', '40 వ ఒక క్యాలెండర్ సంవత్సరంలో అత్యధిక పరుగులు (406)', '8 వ ఇన్నింగ్స్ లో అత్యధిక పరుగులు (బ్యాటింగ్ స్థానంలో ద్వారా) (124 *) ',' 1 వ పరాజయం వైపు (124 *) ఒక మ్యాచ్లో అత్యధిక పరుగులు ',' 3 వ అత్యంత ఒక ఇన్నింగ్స్ లో ఒక నాయకుడు పరుగులు (124 *) ', '21 వ అత్యధిక కెరీర్ సమ్మె రేటు (145.32)', 'ఒక డక్ లేకుండా 49 వ వరుస ఇన్నింగ్స్ (30 *)' 'కెరీర్లో 20 వ అత్యంత అర్ధ (11)', 'వరుస ఇన్నింగ్స్లో 3 వ యాభైల్లో (3)', 'కెరీర్లో 32 వ అతి తక్కువ బాతులు (18.66)', '12 వ అత్యంత కెరీర్లో కెరీర్లో సిక్సర్లు (83) ',' 48 వ అత్యంత ఫోర్లు (115) ',' 42 వ ఇన్నింగ్స్ లో వచ్చిన ఎక్కువ సిక్స్ (7) ',' ఇన్నింగ్స్ లో ఫోర్లు, సిక్సర్లు నుండి 40 వ అత్యధిక పరుగులు (76) ',' 3 వ లాంగెస్ట్ వ్యక్తిగత ఇన్నింగ్స్ (బంతులతో) (71) ',' ఒక ఇన్నింగ్స్లో పరుగుల 11 వ అత్యధిక శాతం (62.94) ',' 13 వ 1000 పరుగులు (36) ',' 39 వ అత్యధిక వికెట్లు కెరీర్లో (48) ',' 43 వ వేగంగా ఒకే క్రీడా ఒక ఇన్నింగ్స్ లో (11) ',' 8 వ బెస్ట్ ఫిగర్స్ ఉన్నప్పుడు పరాజయం వైపు (4) ',' 46 వ చెత్త కెరీర్లో ఆర్థిక రేటు (7.65) ',' 37 వ న అత్యధిక వికెట్లు కెరీర్లో బౌల్డ్ అత్యంత బంతుల్లో (930) ',' 34 వ అత్యధిక పరుగులు కెరీర్ (1187) లో సాధించిన ',' 18 వ అత్యధిక వికెట్లు ఆకర్షించింది తీసుకున్న ఫీల్డర్ (31) ',' 13 వ అత్యంత పట్టుకుంటే తీసుకున్న (39) ',' 24 వ అత్యధిక వికెట్లు వికెట్లు ఒక వికెట్ కీపర్ చే కాట్ తీసుకోకూడదు (8) ',' ఏ వికెట్కు 39 వ అత్యధిక భాగస్వామ్యాల (133) తొలి వికెట్కు ',' 20 వ అత్యధిక భాగస్వామ్యం (133) ',' రెండవ వికెట్కు 42 వ అత్యధిక భాగస్వామ్యం (108) ',' మూడో వికెట్కు 38 వ అత్యధిక భాగస్వామ్యం (98) ',' నాలుగవ వికెట్కు 34 వ అత్యధిక భాగస్వామ్యం (93) ',' 6 వ అత్యంత ప్లేయర్ ఆఫ్ ది మ్యాచ్ అవార్డులు (9) ',' కెప్టెన్సీ తొలి 50 వ ఓల్డెస్ట్ కాప్టెన్ (34y 228d) ']</v>
      </c>
      <c r="I1839" s="3"/>
    </row>
    <row r="1840" customHeight="1" spans="1:9">
      <c r="A1840" s="2" t="s">
        <v>1121</v>
      </c>
      <c r="B1840" s="2" t="str">
        <f>IFERROR(__xludf.DUMMYFUNCTION("IF(A1840&lt;&gt;"""", GOOGLETRANSLATE(A1840, ""en"", ""te""),"""")"),"[ 'వరుస 9 వ అత్యధిక వికెట్లు (19)', '200 పరుగులు మరియు ఒక సిరీస్లో 10 వికెట్కీపింగ్ తొలగింపులకు', 'వికెట్ను కాపాడుకున్నాడు మరియు బ్యాటింగ్ తెరిచారు 9 వ కెప్టెన్ల (1)', '10 వ కెరీర్ లో బాతులు (29) ']")</f>
        <v>[ 'వరుస 9 వ అత్యధిక వికెట్లు (19)', '200 పరుగులు మరియు ఒక సిరీస్లో 10 వికెట్కీపింగ్ తొలగింపులకు', 'వికెట్ను కాపాడుకున్నాడు మరియు బ్యాటింగ్ తెరిచారు 9 వ కెప్టెన్ల (1)', '10 వ కెరీర్ లో బాతులు (29) ']</v>
      </c>
      <c r="C1840" s="2" t="s">
        <v>1122</v>
      </c>
      <c r="D1840" s="2" t="str">
        <f>IFERROR(__xludf.DUMMYFUNCTION("IF(C1840&lt;&gt;"""", GOOGLETRANSLATE(C1840, ""en"", ""te""),"""")"),"[ 'మొదటి డక్ ముందు 48 వ అత్యంత ఇన్నింగ్స్ (30)', 'తొమ్మిదవ వికెట్కు 47 వ అత్యధిక భాగస్వామ్యం (102)', '43 వ అత్యధిక కెరీర్ లో స్టంపింగ్లు (11)', '12 వ మ్యాచ్ లో అత్యంత స్టంపింగ్లు (3)']")</f>
        <v>[ 'మొదటి డక్ ముందు 48 వ అత్యంత ఇన్నింగ్స్ (30)', 'తొమ్మిదవ వికెట్కు 47 వ అత్యధిక భాగస్వామ్యం (102)', '43 వ అత్యధిక కెరీర్ లో స్టంపింగ్లు (11)', '12 వ మ్యాచ్ లో అత్యంత స్టంపింగ్లు (3)']</v>
      </c>
      <c r="E1840" s="2" t="s">
        <v>1123</v>
      </c>
      <c r="F1840" s="2" t="str">
        <f>IFERROR(__xludf.DUMMYFUNCTION("IF(E1840&lt;&gt;"""", GOOGLETRANSLATE(E1840, ""en"", ""te""),"""")"),"[ '17 వ ఇన్నింగ్స్ లో అత్యధిక పరుగులు (బ్యాటింగ్ స్థానంలో ప్రకారం) (100 *)', '29th ఒక సిరీస్లో అత్యధిక పరుగులు అత్యధిక వికెట్లు (341)', 'ఏడవ వికెట్కు 19 అత్యధిక భాగస్వామ్యం (112 *)', '24 వ ఒక సిరీస్లో ఎనిమిదవ వికెట్ (84 *) కోసం అత్యధిక భాగస్వామ్యం ',' 28t"&amp;"h కెరీర్లో అత్యధిక వికెట్లు (117) ',' 16 వ ఇన్నింగ్స్ లో అత్యధిక వికెట్లు (5) ',' 9 వ అత్యధిక వికెట్లు (19) ',' 26 వ అధిక కెరీర్లో క్యాచ్లు (108) ',' 11 వ అత్యంత వరుస ఇన్నింగ్స్ (5) ',' 11 వ అత్యధిక క్యాచ్లు లో క్యాచ్లు (17) ']")</f>
        <v>[ '17 వ ఇన్నింగ్స్ లో అత్యధిక పరుగులు (బ్యాటింగ్ స్థానంలో ప్రకారం) (100 *)', '29th ఒక సిరీస్లో అత్యధిక పరుగులు అత్యధిక వికెట్లు (341)', 'ఏడవ వికెట్కు 19 అత్యధిక భాగస్వామ్యం (112 *)', '24 వ ఒక సిరీస్లో ఎనిమిదవ వికెట్ (84 *) కోసం అత్యధిక భాగస్వామ్యం ',' 28th కెరీర్లో అత్యధిక వికెట్లు (117) ',' 16 వ ఇన్నింగ్స్ లో అత్యధిక వికెట్లు (5) ',' 9 వ అత్యధిక వికెట్లు (19) ',' 26 వ అధిక కెరీర్లో క్యాచ్లు (108) ',' 11 వ అత్యంత వరుస ఇన్నింగ్స్ (5) ',' 11 వ అత్యధిక క్యాచ్లు లో క్యాచ్లు (17) ']</v>
      </c>
      <c r="G1840" s="2" t="s">
        <v>1124</v>
      </c>
      <c r="H1840" s="2" t="str">
        <f>IFERROR(__xludf.DUMMYFUNCTION("IF(G1840&lt;&gt;"""", GOOGLETRANSLATE(G1840, ""en"", ""te""),"""")"),"[ '16 వ అత్యధిక వికెట్లు ఇన్నింగ్స్ లో పరుగులు (80)', '10 వ కెరీర్ లో బాతులు (29)', 'వికెట్ను కాపాడుకున్నాడు చేసిన 33 వ కెప్టెన్ల (1)', 'వికెట్ను కాపాడుకున్నాడు మరియు బ్యాటింగ్ తెరిచారు 9 వ కెప్టెన్ల (1) ',' 22 వ కెరీర్ లో అత్యధిక వికెట్లు (21) ',' 18 వ అ"&amp;"త్యధిక క్యాచ్లు కెరీర్లో (19) ',' 20 వ అత్యంత ఇన్నింగ్స్ లో సాధించిన బైస్ (6) ']")</f>
        <v>[ '16 వ అత్యధిక వికెట్లు ఇన్నింగ్స్ లో పరుగులు (80)', '10 వ కెరీర్ లో బాతులు (29)', 'వికెట్ను కాపాడుకున్నాడు చేసిన 33 వ కెప్టెన్ల (1)', 'వికెట్ను కాపాడుకున్నాడు మరియు బ్యాటింగ్ తెరిచారు 9 వ కెప్టెన్ల (1) ',' 22 వ కెరీర్ లో అత్యధిక వికెట్లు (21) ',' 18 వ అత్యధిక క్యాచ్లు కెరీర్లో (19) ',' 20 వ అత్యంత ఇన్నింగ్స్ లో సాధించిన బైస్ (6) ']</v>
      </c>
      <c r="I1840" s="3"/>
    </row>
    <row r="1841" customHeight="1" spans="1:9">
      <c r="A1841" s="2" t="s">
        <v>1125</v>
      </c>
      <c r="B1841" s="2" t="str">
        <f>IFERROR(__xludf.DUMMYFUNCTION("IF(A1841&lt;&gt;"""", GOOGLETRANSLATE(A1841, ""en"", ""te""),"""")"),"[ 'హండ్రెడ్ తొలి (155)', 'హండ్రెడ్ ఒక మ్యాచ్లో ప్రతి ఇన్నింగ్స్లో' '2 వ అత్యంత ఇన్నింగ్స్ లో (బ్యాటింగ్ స్థానం) పరుగులు (250)', 'వరుస ఇన్నింగ్స్లో 7 వ యాభైల్లో (6)', '5 వ వేగవంతమైన 2000 పరుగులు (35) ',' తొలి నుండి వరుస మ్యాచ్లలో 1st వందల (2) ',' వరుస ఇన"&amp;"్నింగ్స్లో 10 వ యాభైల్లో (6) ']")</f>
        <v>[ 'హండ్రెడ్ తొలి (155)', 'హండ్రెడ్ ఒక మ్యాచ్లో ప్రతి ఇన్నింగ్స్లో' '2 వ అత్యంత ఇన్నింగ్స్ లో (బ్యాటింగ్ స్థానం) పరుగులు (250)', 'వరుస ఇన్నింగ్స్లో 7 వ యాభైల్లో (6)', '5 వ వేగవంతమైన 2000 పరుగులు (35) ',' తొలి నుండి వరుస మ్యాచ్లలో 1st వందల (2) ',' వరుస ఇన్నింగ్స్లో 10 వ యాభైల్లో (6) ']</v>
      </c>
      <c r="C1841" s="2" t="s">
        <v>1126</v>
      </c>
      <c r="D1841" s="2" t="str">
        <f>IFERROR(__xludf.DUMMYFUNCTION("IF(C1841&lt;&gt;"""", GOOGLETRANSLATE(C1841, ""en"", ""te""),"""")"),"[ '16 వ మ్యాచ్ లో అత్యధిక పరుగులు (345)', '34 వ వరుస (699) అత్యధిక పరుగులు' 'ఇన్నింగ్స్ లో 2 వ అత్యధిక పరుగులు (బ్యాటింగ్ స్థానంలో ప్రకారం) (250)', '46 వ తొలి మ్యాచ్లో అత్యధిక పరుగులు ( ఒక సిరీస్లో 155) ',' 2 వ అత్యధిక వందలు (4) ',' 19 ఒక క్యాలెండర్ సంవత్"&amp;"సరంలో అత్యధిక వందలు (5) ',' వరుస పోటీలలో (3) ',' తొలి నుండి వరుస మ్యాచ్లలో 2 వ వందల 21 వందల (2 ) ',' వంద (19y 354d) ', '21 వ పిన్న ఆటగాడు డబుల్ సెంచరీ (23y 55d) స్కోర్', 'వరుస ఇన్నింగ్స్లో (స్కోర్ 20 పిన్న ఆటగాడు 7 యాభైల్లో 6)', 'ఒక లేకుండా 15 వరుస ఇన్ని"&amp;"ంగ్స్ డక్ (68) ',' 23 వ కెరీర్ లో అతి తక్కువ బాతులు (31.25) ',' 13 వ 1000 పరుగులు వేగంగా (18) ',' ఫాస్టెస్ట్ 2000 పరుగులు (35) ',' 41 వ వేగవంతమైన 3000 పరుగులు (68) 'కు 5 వ, '27th 4000 పరుగులు (89) వేగంగా', 'ఫాస్టెస్ట్ 46 వ 5000 పరుగులు (118)', 'ఏడవ వికెట"&amp;"్ (217) కోసం 14 అత్యధిక భాగస్వామ్యం']")</f>
        <v>[ '16 వ మ్యాచ్ లో అత్యధిక పరుగులు (345)', '34 వ వరుస (699) అత్యధిక పరుగులు' 'ఇన్నింగ్స్ లో 2 వ అత్యధిక పరుగులు (బ్యాటింగ్ స్థానంలో ప్రకారం) (250)', '46 వ తొలి మ్యాచ్లో అత్యధిక పరుగులు ( ఒక సిరీస్లో 155) ',' 2 వ అత్యధిక వందలు (4) ',' 19 ఒక క్యాలెండర్ సంవత్సరంలో అత్యధిక వందలు (5) ',' వరుస పోటీలలో (3) ',' తొలి నుండి వరుస మ్యాచ్లలో 2 వ వందల 21 వందల (2 ) ',' వంద (19y 354d) ', '21 వ పిన్న ఆటగాడు డబుల్ సెంచరీ (23y 55d) స్కోర్', 'వరుస ఇన్నింగ్స్లో (స్కోర్ 20 పిన్న ఆటగాడు 7 యాభైల్లో 6)', 'ఒక లేకుండా 15 వరుస ఇన్నింగ్స్ డక్ (68) ',' 23 వ కెరీర్ లో అతి తక్కువ బాతులు (31.25) ',' 13 వ 1000 పరుగులు వేగంగా (18) ',' ఫాస్టెస్ట్ 2000 పరుగులు (35) ',' 41 వ వేగవంతమైన 3000 పరుగులు (68) 'కు 5 వ, '27th 4000 పరుగులు (89) వేగంగా', 'ఫాస్టెస్ట్ 46 వ 5000 పరుగులు (118)', 'ఏడవ వికెట్ (217) కోసం 14 అత్యధిక భాగస్వామ్యం']</v>
      </c>
      <c r="E1841" s="2"/>
      <c r="F1841" s="2" t="str">
        <f>IFERROR(__xludf.DUMMYFUNCTION("IF(E1841&lt;&gt;"""", GOOGLETRANSLATE(E1841, ""en"", ""te""),"""")"),"")</f>
        <v/>
      </c>
      <c r="G1841" s="2"/>
      <c r="H1841" s="2" t="str">
        <f>IFERROR(__xludf.DUMMYFUNCTION("IF(G1841&lt;&gt;"""", GOOGLETRANSLATE(G1841, ""en"", ""te""),"""")"),"")</f>
        <v/>
      </c>
      <c r="I1841" s="3"/>
    </row>
    <row r="1842" customHeight="1" spans="1:9">
      <c r="A1842" s="2"/>
      <c r="B1842" s="2" t="str">
        <f>IFERROR(__xludf.DUMMYFUNCTION("IF(A1842&lt;&gt;"""", GOOGLETRANSLATE(A1842, ""en"", ""te""),"""")"),"")</f>
        <v/>
      </c>
      <c r="C1842" s="2"/>
      <c r="D1842" s="2" t="str">
        <f>IFERROR(__xludf.DUMMYFUNCTION("IF(C1842&lt;&gt;"""", GOOGLETRANSLATE(C1842, ""en"", ""te""),"""")"),"")</f>
        <v/>
      </c>
      <c r="E1842" s="2"/>
      <c r="F1842" s="2" t="str">
        <f>IFERROR(__xludf.DUMMYFUNCTION("IF(E1842&lt;&gt;"""", GOOGLETRANSLATE(E1842, ""en"", ""te""),"""")"),"")</f>
        <v/>
      </c>
      <c r="G1842" s="2"/>
      <c r="H1842" s="2" t="str">
        <f>IFERROR(__xludf.DUMMYFUNCTION("IF(G1842&lt;&gt;"""", GOOGLETRANSLATE(G1842, ""en"", ""te""),"""")"),"")</f>
        <v/>
      </c>
      <c r="I1842" s="3"/>
    </row>
    <row r="1843" customHeight="1" spans="1:9">
      <c r="A1843" s="2"/>
      <c r="B1843" s="2" t="str">
        <f>IFERROR(__xludf.DUMMYFUNCTION("IF(A1843&lt;&gt;"""", GOOGLETRANSLATE(A1843, ""en"", ""te""),"""")"),"")</f>
        <v/>
      </c>
      <c r="C1843" s="2"/>
      <c r="D1843" s="2" t="str">
        <f>IFERROR(__xludf.DUMMYFUNCTION("IF(C1843&lt;&gt;"""", GOOGLETRANSLATE(C1843, ""en"", ""te""),"""")"),"")</f>
        <v/>
      </c>
      <c r="E1843" s="2"/>
      <c r="F1843" s="2" t="str">
        <f>IFERROR(__xludf.DUMMYFUNCTION("IF(E1843&lt;&gt;"""", GOOGLETRANSLATE(E1843, ""en"", ""te""),"""")"),"")</f>
        <v/>
      </c>
      <c r="G1843" s="2"/>
      <c r="H1843" s="2" t="str">
        <f>IFERROR(__xludf.DUMMYFUNCTION("IF(G1843&lt;&gt;"""", GOOGLETRANSLATE(G1843, ""en"", ""te""),"""")"),"")</f>
        <v/>
      </c>
      <c r="I1843" s="3"/>
    </row>
    <row r="1844" customHeight="1" spans="1:9">
      <c r="A1844" s="2" t="s">
        <v>1127</v>
      </c>
      <c r="B1844" s="2" t="str">
        <f>IFERROR(__xludf.DUMMYFUNCTION("IF(A1844&lt;&gt;"""", GOOGLETRANSLATE(A1844, ""en"", ""te""),"""")"),"[ '6 వ చెత్త సమ్మె ఇన్నింగ్స్ లో రేటు (432.0)']")</f>
        <v>[ '6 వ చెత్త సమ్మె ఇన్నింగ్స్ లో రేటు (432.0)']</v>
      </c>
      <c r="C1844" s="2" t="s">
        <v>1128</v>
      </c>
      <c r="D1844" s="2" t="str">
        <f>IFERROR(__xludf.DUMMYFUNCTION("IF(C1844&lt;&gt;"""", GOOGLETRANSLATE(C1844, ""en"", ""te""),"""")"),"[ 'ఇన్నింగ్స్ లో 6 వ చెత్త సమ్మె రేటు (432.0)' '12 వ చెత్త కెరీర్ సగటు (190.00) (అర్హత లేకుండా) బౌలింగ్', '40 వ ఇన్నింగ్స్ (432) లో బౌల్డ్ చాలా బంతుల్లో']")</f>
        <v>[ 'ఇన్నింగ్స్ లో 6 వ చెత్త సమ్మె రేటు (432.0)' '12 వ చెత్త కెరీర్ సగటు (190.00) (అర్హత లేకుండా) బౌలింగ్', '40 వ ఇన్నింగ్స్ (432) లో బౌల్డ్ చాలా బంతుల్లో']</v>
      </c>
      <c r="E1844" s="2"/>
      <c r="F1844" s="2" t="str">
        <f>IFERROR(__xludf.DUMMYFUNCTION("IF(E1844&lt;&gt;"""", GOOGLETRANSLATE(E1844, ""en"", ""te""),"""")"),"")</f>
        <v/>
      </c>
      <c r="G1844" s="2"/>
      <c r="H1844" s="2" t="str">
        <f>IFERROR(__xludf.DUMMYFUNCTION("IF(G1844&lt;&gt;"""", GOOGLETRANSLATE(G1844, ""en"", ""te""),"""")"),"")</f>
        <v/>
      </c>
      <c r="I1844" s="3"/>
    </row>
    <row r="1845" customHeight="1" spans="1:9">
      <c r="A1845" s="2"/>
      <c r="B1845" s="2" t="str">
        <f>IFERROR(__xludf.DUMMYFUNCTION("IF(A1845&lt;&gt;"""", GOOGLETRANSLATE(A1845, ""en"", ""te""),"""")"),"")</f>
        <v/>
      </c>
      <c r="C1845" s="2"/>
      <c r="D1845" s="2" t="str">
        <f>IFERROR(__xludf.DUMMYFUNCTION("IF(C1845&lt;&gt;"""", GOOGLETRANSLATE(C1845, ""en"", ""te""),"""")"),"")</f>
        <v/>
      </c>
      <c r="E1845" s="2"/>
      <c r="F1845" s="2" t="str">
        <f>IFERROR(__xludf.DUMMYFUNCTION("IF(E1845&lt;&gt;"""", GOOGLETRANSLATE(E1845, ""en"", ""te""),"""")"),"")</f>
        <v/>
      </c>
      <c r="G1845" s="2"/>
      <c r="H1845" s="2" t="str">
        <f>IFERROR(__xludf.DUMMYFUNCTION("IF(G1845&lt;&gt;"""", GOOGLETRANSLATE(G1845, ""en"", ""te""),"""")"),"")</f>
        <v/>
      </c>
      <c r="I1845" s="3"/>
    </row>
    <row r="1846" customHeight="1" spans="1:9">
      <c r="A1846" s="2"/>
      <c r="B1846" s="2" t="str">
        <f>IFERROR(__xludf.DUMMYFUNCTION("IF(A1846&lt;&gt;"""", GOOGLETRANSLATE(A1846, ""en"", ""te""),"""")"),"")</f>
        <v/>
      </c>
      <c r="C1846" s="2"/>
      <c r="D1846" s="2" t="str">
        <f>IFERROR(__xludf.DUMMYFUNCTION("IF(C1846&lt;&gt;"""", GOOGLETRANSLATE(C1846, ""en"", ""te""),"""")"),"")</f>
        <v/>
      </c>
      <c r="E1846" s="2"/>
      <c r="F1846" s="2" t="str">
        <f>IFERROR(__xludf.DUMMYFUNCTION("IF(E1846&lt;&gt;"""", GOOGLETRANSLATE(E1846, ""en"", ""te""),"""")"),"")</f>
        <v/>
      </c>
      <c r="G1846" s="2"/>
      <c r="H1846" s="2" t="str">
        <f>IFERROR(__xludf.DUMMYFUNCTION("IF(G1846&lt;&gt;"""", GOOGLETRANSLATE(G1846, ""en"", ""te""),"""")"),"")</f>
        <v/>
      </c>
      <c r="I1846" s="3"/>
    </row>
    <row r="1847" customHeight="1" spans="1:9">
      <c r="A1847" s="2"/>
      <c r="B1847" s="2" t="str">
        <f>IFERROR(__xludf.DUMMYFUNCTION("IF(A1847&lt;&gt;"""", GOOGLETRANSLATE(A1847, ""en"", ""te""),"""")"),"")</f>
        <v/>
      </c>
      <c r="C1847" s="2"/>
      <c r="D1847" s="2" t="str">
        <f>IFERROR(__xludf.DUMMYFUNCTION("IF(C1847&lt;&gt;"""", GOOGLETRANSLATE(C1847, ""en"", ""te""),"""")"),"")</f>
        <v/>
      </c>
      <c r="E1847" s="2"/>
      <c r="F1847" s="2" t="str">
        <f>IFERROR(__xludf.DUMMYFUNCTION("IF(E1847&lt;&gt;"""", GOOGLETRANSLATE(E1847, ""en"", ""te""),"""")"),"")</f>
        <v/>
      </c>
      <c r="G1847" s="2"/>
      <c r="H1847" s="2" t="str">
        <f>IFERROR(__xludf.DUMMYFUNCTION("IF(G1847&lt;&gt;"""", GOOGLETRANSLATE(G1847, ""en"", ""te""),"""")"),"")</f>
        <v/>
      </c>
      <c r="I1847" s="3"/>
    </row>
    <row r="1848" customHeight="1" spans="1:9">
      <c r="A1848" s="2"/>
      <c r="B1848" s="2" t="str">
        <f>IFERROR(__xludf.DUMMYFUNCTION("IF(A1848&lt;&gt;"""", GOOGLETRANSLATE(A1848, ""en"", ""te""),"""")"),"")</f>
        <v/>
      </c>
      <c r="C1848" s="2"/>
      <c r="D1848" s="2" t="str">
        <f>IFERROR(__xludf.DUMMYFUNCTION("IF(C1848&lt;&gt;"""", GOOGLETRANSLATE(C1848, ""en"", ""te""),"""")"),"")</f>
        <v/>
      </c>
      <c r="E1848" s="2"/>
      <c r="F1848" s="2" t="str">
        <f>IFERROR(__xludf.DUMMYFUNCTION("IF(E1848&lt;&gt;"""", GOOGLETRANSLATE(E1848, ""en"", ""te""),"""")"),"")</f>
        <v/>
      </c>
      <c r="G1848" s="2"/>
      <c r="H1848" s="2" t="str">
        <f>IFERROR(__xludf.DUMMYFUNCTION("IF(G1848&lt;&gt;"""", GOOGLETRANSLATE(G1848, ""en"", ""te""),"""")"),"")</f>
        <v/>
      </c>
      <c r="I1848" s="3"/>
    </row>
    <row r="1849" customHeight="1" spans="1:9">
      <c r="A1849" s="2" t="s">
        <v>1129</v>
      </c>
      <c r="B1849" s="2" t="str">
        <f>IFERROR(__xludf.DUMMYFUNCTION("IF(A1849&lt;&gt;"""", GOOGLETRANSLATE(A1849, ""en"", ""te""),"""")"),"[ 'హండ్రెడ్ మరియు ఒక మ్యాచ్లో ఒక డక్', 'ఒక ఇన్నింగ్స్లో పరుగుల 10 వ అత్యధిక శాతం (61.11)']")</f>
        <v>[ 'హండ్రెడ్ మరియు ఒక మ్యాచ్లో ఒక డక్', 'ఒక ఇన్నింగ్స్లో పరుగుల 10 వ అత్యధిక శాతం (61.11)']</v>
      </c>
      <c r="C1849" s="2" t="s">
        <v>1130</v>
      </c>
      <c r="D1849" s="2" t="str">
        <f>IFERROR(__xludf.DUMMYFUNCTION("IF(C1849&lt;&gt;"""", GOOGLETRANSLATE(C1849, ""en"", ""te""),"""")"),"[ '20 వ లాంగెస్ట్ వ్యక్తిగత ఇన్నింగ్స్ (నిమిషాలు) (716)', '38 వ లాంగెస్ట్ వ్యక్తిగత ఇన్నింగ్స్ (బంతులతో) (517)', 'ఒక ఇన్నింగ్స్లో పరుగుల 10 వ అత్యధిక శాతం (61.11)', '25 వ అత్యధిక భాగస్వామ్యం ఏడవ వికెట్ (185) ']")</f>
        <v>[ '20 వ లాంగెస్ట్ వ్యక్తిగత ఇన్నింగ్స్ (నిమిషాలు) (716)', '38 వ లాంగెస్ట్ వ్యక్తిగత ఇన్నింగ్స్ (బంతులతో) (517)', 'ఒక ఇన్నింగ్స్లో పరుగుల 10 వ అత్యధిక శాతం (61.11)', '25 వ అత్యధిక భాగస్వామ్యం ఏడవ వికెట్ (185) ']</v>
      </c>
      <c r="E1849" s="2"/>
      <c r="F1849" s="2" t="str">
        <f>IFERROR(__xludf.DUMMYFUNCTION("IF(E1849&lt;&gt;"""", GOOGLETRANSLATE(E1849, ""en"", ""te""),"""")"),"")</f>
        <v/>
      </c>
      <c r="G1849" s="2"/>
      <c r="H1849" s="2" t="str">
        <f>IFERROR(__xludf.DUMMYFUNCTION("IF(G1849&lt;&gt;"""", GOOGLETRANSLATE(G1849, ""en"", ""te""),"""")"),"")</f>
        <v/>
      </c>
      <c r="I1849" s="3"/>
    </row>
    <row r="1850" customHeight="1" spans="1:9">
      <c r="A1850" s="2" t="s">
        <v>1131</v>
      </c>
      <c r="B1850" s="2" t="str">
        <f>IFERROR(__xludf.DUMMYFUNCTION("IF(A1850&lt;&gt;"""", GOOGLETRANSLATE(A1850, ""en"", ""te""),"""")"),"[ '1st చెత్త కెరీర్ బౌలింగ్ సరాసరి (అర్హత లేకుండా) (251.00)']")</f>
        <v>[ '1st చెత్త కెరీర్ బౌలింగ్ సరాసరి (అర్హత లేకుండా) (251.00)']</v>
      </c>
      <c r="C1850" s="2"/>
      <c r="D1850" s="2" t="str">
        <f>IFERROR(__xludf.DUMMYFUNCTION("IF(C1850&lt;&gt;"""", GOOGLETRANSLATE(C1850, ""en"", ""te""),"""")"),"")</f>
        <v/>
      </c>
      <c r="E1850" s="2" t="s">
        <v>1131</v>
      </c>
      <c r="F1850" s="2" t="str">
        <f>IFERROR(__xludf.DUMMYFUNCTION("IF(E1850&lt;&gt;"""", GOOGLETRANSLATE(E1850, ""en"", ""te""),"""")"),"[ '1st చెత్త కెరీర్ బౌలింగ్ సరాసరి (అర్హత లేకుండా) (251.00)']")</f>
        <v>[ '1st చెత్త కెరీర్ బౌలింగ్ సరాసరి (అర్హత లేకుండా) (251.00)']</v>
      </c>
      <c r="G1850" s="2"/>
      <c r="H1850" s="2" t="str">
        <f>IFERROR(__xludf.DUMMYFUNCTION("IF(G1850&lt;&gt;"""", GOOGLETRANSLATE(G1850, ""en"", ""te""),"""")"),"")</f>
        <v/>
      </c>
      <c r="I1850" s="3"/>
    </row>
    <row r="1851" customHeight="1" spans="1:9">
      <c r="A1851" s="2"/>
      <c r="B1851" s="2" t="str">
        <f>IFERROR(__xludf.DUMMYFUNCTION("IF(A1851&lt;&gt;"""", GOOGLETRANSLATE(A1851, ""en"", ""te""),"""")"),"")</f>
        <v/>
      </c>
      <c r="C1851" s="2"/>
      <c r="D1851" s="2" t="str">
        <f>IFERROR(__xludf.DUMMYFUNCTION("IF(C1851&lt;&gt;"""", GOOGLETRANSLATE(C1851, ""en"", ""te""),"""")"),"")</f>
        <v/>
      </c>
      <c r="E1851" s="2"/>
      <c r="F1851" s="2" t="str">
        <f>IFERROR(__xludf.DUMMYFUNCTION("IF(E1851&lt;&gt;"""", GOOGLETRANSLATE(E1851, ""en"", ""te""),"""")"),"")</f>
        <v/>
      </c>
      <c r="G1851" s="2"/>
      <c r="H1851" s="2" t="str">
        <f>IFERROR(__xludf.DUMMYFUNCTION("IF(G1851&lt;&gt;"""", GOOGLETRANSLATE(G1851, ""en"", ""te""),"""")"),"")</f>
        <v/>
      </c>
      <c r="I1851" s="3"/>
    </row>
    <row r="1852" customHeight="1" spans="1:9">
      <c r="A1852" s="2"/>
      <c r="B1852" s="2" t="str">
        <f>IFERROR(__xludf.DUMMYFUNCTION("IF(A1852&lt;&gt;"""", GOOGLETRANSLATE(A1852, ""en"", ""te""),"""")"),"")</f>
        <v/>
      </c>
      <c r="C1852" s="2" t="s">
        <v>1132</v>
      </c>
      <c r="D1852" s="2" t="str">
        <f>IFERROR(__xludf.DUMMYFUNCTION("IF(C1852&lt;&gt;"""", GOOGLETRANSLATE(C1852, ""en"", ""te""),"""")"),"[ '24 ఒక ఇన్నింగ్స్ లోని బెస్ట్ ఫిగర్స్ ఉన్నప్పుడు పరాజయం వైపు (7)', 'పది వికెట్ల లో ఒక మ్యాచ్ పడుతుంది 31 ఓల్డెస్ట్ ఆటగాడు (34y 119d)']")</f>
        <v>[ '24 ఒక ఇన్నింగ్స్ లోని బెస్ట్ ఫిగర్స్ ఉన్నప్పుడు పరాజయం వైపు (7)', 'పది వికెట్ల లో ఒక మ్యాచ్ పడుతుంది 31 ఓల్డెస్ట్ ఆటగాడు (34y 119d)']</v>
      </c>
      <c r="E1852" s="2" t="s">
        <v>1133</v>
      </c>
      <c r="F1852" s="2" t="str">
        <f>IFERROR(__xludf.DUMMYFUNCTION("IF(E1852&lt;&gt;"""", GOOGLETRANSLATE(E1852, ""en"", ""te""),"""")"),"[ '16 వ లాంగెస్ట్ నివసించారు క్రీడాకారులు (71y 203d)']")</f>
        <v>[ '16 వ లాంగెస్ట్ నివసించారు క్రీడాకారులు (71y 203d)']</v>
      </c>
      <c r="G1852" s="2"/>
      <c r="H1852" s="2" t="str">
        <f>IFERROR(__xludf.DUMMYFUNCTION("IF(G1852&lt;&gt;"""", GOOGLETRANSLATE(G1852, ""en"", ""te""),"""")"),"")</f>
        <v/>
      </c>
      <c r="I1852" s="3"/>
    </row>
    <row r="1853" customHeight="1" spans="1:9">
      <c r="A1853" s="2"/>
      <c r="B1853" s="2" t="str">
        <f>IFERROR(__xludf.DUMMYFUNCTION("IF(A1853&lt;&gt;"""", GOOGLETRANSLATE(A1853, ""en"", ""te""),"""")"),"")</f>
        <v/>
      </c>
      <c r="C1853" s="2"/>
      <c r="D1853" s="2" t="str">
        <f>IFERROR(__xludf.DUMMYFUNCTION("IF(C1853&lt;&gt;"""", GOOGLETRANSLATE(C1853, ""en"", ""te""),"""")"),"")</f>
        <v/>
      </c>
      <c r="E1853" s="2"/>
      <c r="F1853" s="2" t="str">
        <f>IFERROR(__xludf.DUMMYFUNCTION("IF(E1853&lt;&gt;"""", GOOGLETRANSLATE(E1853, ""en"", ""te""),"""")"),"")</f>
        <v/>
      </c>
      <c r="G1853" s="2"/>
      <c r="H1853" s="2" t="str">
        <f>IFERROR(__xludf.DUMMYFUNCTION("IF(G1853&lt;&gt;"""", GOOGLETRANSLATE(G1853, ""en"", ""te""),"""")"),"")</f>
        <v/>
      </c>
      <c r="I1853" s="3"/>
    </row>
    <row r="1854" customHeight="1" spans="1:9">
      <c r="A1854" s="2" t="s">
        <v>1134</v>
      </c>
      <c r="B1854" s="2" t="str">
        <f>IFERROR(__xludf.DUMMYFUNCTION("IF(A1854&lt;&gt;"""", GOOGLETRANSLATE(A1854, ""en"", ""te""),"""")"),"[ '4 వ ఎక్కువ (13 *) ఒక ఇన్నింగ్స్ లో నడుస్తుంది (బ్యాటింగ్ స్థానం)']")</f>
        <v>[ '4 వ ఎక్కువ (13 *) ఒక ఇన్నింగ్స్ లో నడుస్తుంది (బ్యాటింగ్ స్థానం)']</v>
      </c>
      <c r="C1854" s="2"/>
      <c r="D1854" s="2" t="str">
        <f>IFERROR(__xludf.DUMMYFUNCTION("IF(C1854&lt;&gt;"""", GOOGLETRANSLATE(C1854, ""en"", ""te""),"""")"),"")</f>
        <v/>
      </c>
      <c r="E1854" s="2"/>
      <c r="F1854" s="2" t="str">
        <f>IFERROR(__xludf.DUMMYFUNCTION("IF(E1854&lt;&gt;"""", GOOGLETRANSLATE(E1854, ""en"", ""te""),"""")"),"")</f>
        <v/>
      </c>
      <c r="G1854" s="2" t="s">
        <v>1135</v>
      </c>
      <c r="H1854" s="2" t="str">
        <f>IFERROR(__xludf.DUMMYFUNCTION("IF(G1854&lt;&gt;"""", GOOGLETRANSLATE(G1854, ""en"", ""te""),"""")"),"[ 'ఇన్నింగ్స్ లో 4 వ అత్యధిక పరుగులు (బ్యాటింగ్ స్థానంలో ప్రకారం) (13 *)', '36 వ ఉత్తమ కెరీర్ ఆర్థిక రేటు (6.92)', '45 వ బౌలర్ / ఫీల్డర్ కాంబినేషన్' 46 వ కెరీర్ (845) లో బౌల్డ్ చాలా బంతుల్లో '(6 ) ',' 32 వ అత్యధిక వికెట్లు తీసుకున్న ఎల్బిడబ్ల్యు (5) ',' 1"&amp;"3 వ అత్యధిక వికెట్లు తీసుకున్న స్టంప్ (6) ']")</f>
        <v>[ 'ఇన్నింగ్స్ లో 4 వ అత్యధిక పరుగులు (బ్యాటింగ్ స్థానంలో ప్రకారం) (13 *)', '36 వ ఉత్తమ కెరీర్ ఆర్థిక రేటు (6.92)', '45 వ బౌలర్ / ఫీల్డర్ కాంబినేషన్' 46 వ కెరీర్ (845) లో బౌల్డ్ చాలా బంతుల్లో '(6 ) ',' 32 వ అత్యధిక వికెట్లు తీసుకున్న ఎల్బిడబ్ల్యు (5) ',' 13 వ అత్యధిక వికెట్లు తీసుకున్న స్టంప్ (6) ']</v>
      </c>
      <c r="I1854" s="3"/>
    </row>
    <row r="1855" customHeight="1" spans="1:9">
      <c r="A1855" s="2"/>
      <c r="B1855" s="2" t="str">
        <f>IFERROR(__xludf.DUMMYFUNCTION("IF(A1855&lt;&gt;"""", GOOGLETRANSLATE(A1855, ""en"", ""te""),"""")"),"")</f>
        <v/>
      </c>
      <c r="C1855" s="2"/>
      <c r="D1855" s="2" t="str">
        <f>IFERROR(__xludf.DUMMYFUNCTION("IF(C1855&lt;&gt;"""", GOOGLETRANSLATE(C1855, ""en"", ""te""),"""")"),"")</f>
        <v/>
      </c>
      <c r="E1855" s="2" t="s">
        <v>1136</v>
      </c>
      <c r="F1855" s="2" t="str">
        <f>IFERROR(__xludf.DUMMYFUNCTION("IF(E1855&lt;&gt;"""", GOOGLETRANSLATE(E1855, ""en"", ""te""),"""")"),"[ '36 వ లాంగెస్ట్ ప్రదర్శనల మధ్య వ్యవధిలో (6y 282d)', '50 వ వరుస మ్యాచ్లు ఆడి మధ్య జట్టు (118) కోసం తప్పిన']")</f>
        <v>[ '36 వ లాంగెస్ట్ ప్రదర్శనల మధ్య వ్యవధిలో (6y 282d)', '50 వ వరుస మ్యాచ్లు ఆడి మధ్య జట్టు (118) కోసం తప్పిన']</v>
      </c>
      <c r="G1855" s="2"/>
      <c r="H1855" s="2" t="str">
        <f>IFERROR(__xludf.DUMMYFUNCTION("IF(G1855&lt;&gt;"""", GOOGLETRANSLATE(G1855, ""en"", ""te""),"""")"),"")</f>
        <v/>
      </c>
      <c r="I1855" s="3"/>
    </row>
    <row r="1856" customHeight="1" spans="1:9">
      <c r="A1856" s="2"/>
      <c r="B1856" s="2" t="str">
        <f>IFERROR(__xludf.DUMMYFUNCTION("IF(A1856&lt;&gt;"""", GOOGLETRANSLATE(A1856, ""en"", ""te""),"""")"),"")</f>
        <v/>
      </c>
      <c r="C1856" s="2"/>
      <c r="D1856" s="2" t="str">
        <f>IFERROR(__xludf.DUMMYFUNCTION("IF(C1856&lt;&gt;"""", GOOGLETRANSLATE(C1856, ""en"", ""te""),"""")"),"")</f>
        <v/>
      </c>
      <c r="E1856" s="2"/>
      <c r="F1856" s="2" t="str">
        <f>IFERROR(__xludf.DUMMYFUNCTION("IF(E1856&lt;&gt;"""", GOOGLETRANSLATE(E1856, ""en"", ""te""),"""")"),"")</f>
        <v/>
      </c>
      <c r="G1856" s="2"/>
      <c r="H1856" s="2" t="str">
        <f>IFERROR(__xludf.DUMMYFUNCTION("IF(G1856&lt;&gt;"""", GOOGLETRANSLATE(G1856, ""en"", ""te""),"""")"),"")</f>
        <v/>
      </c>
      <c r="I1856" s="3"/>
    </row>
    <row r="1857" customHeight="1" spans="1:9">
      <c r="A1857" s="2"/>
      <c r="B1857" s="2" t="str">
        <f>IFERROR(__xludf.DUMMYFUNCTION("IF(A1857&lt;&gt;"""", GOOGLETRANSLATE(A1857, ""en"", ""te""),"""")"),"")</f>
        <v/>
      </c>
      <c r="C1857" s="2"/>
      <c r="D1857" s="2" t="str">
        <f>IFERROR(__xludf.DUMMYFUNCTION("IF(C1857&lt;&gt;"""", GOOGLETRANSLATE(C1857, ""en"", ""te""),"""")"),"")</f>
        <v/>
      </c>
      <c r="E1857" s="2"/>
      <c r="F1857" s="2" t="str">
        <f>IFERROR(__xludf.DUMMYFUNCTION("IF(E1857&lt;&gt;"""", GOOGLETRANSLATE(E1857, ""en"", ""te""),"""")"),"")</f>
        <v/>
      </c>
      <c r="G1857" s="2"/>
      <c r="H1857" s="2" t="str">
        <f>IFERROR(__xludf.DUMMYFUNCTION("IF(G1857&lt;&gt;"""", GOOGLETRANSLATE(G1857, ""en"", ""te""),"""")"),"")</f>
        <v/>
      </c>
      <c r="I1857" s="3"/>
    </row>
    <row r="1858" customHeight="1" spans="1:9">
      <c r="A1858" s="2"/>
      <c r="B1858" s="2" t="str">
        <f>IFERROR(__xludf.DUMMYFUNCTION("IF(A1858&lt;&gt;"""", GOOGLETRANSLATE(A1858, ""en"", ""te""),"""")"),"")</f>
        <v/>
      </c>
      <c r="C1858" s="2"/>
      <c r="D1858" s="2" t="str">
        <f>IFERROR(__xludf.DUMMYFUNCTION("IF(C1858&lt;&gt;"""", GOOGLETRANSLATE(C1858, ""en"", ""te""),"""")"),"")</f>
        <v/>
      </c>
      <c r="E1858" s="2"/>
      <c r="F1858" s="2" t="str">
        <f>IFERROR(__xludf.DUMMYFUNCTION("IF(E1858&lt;&gt;"""", GOOGLETRANSLATE(E1858, ""en"", ""te""),"""")"),"")</f>
        <v/>
      </c>
      <c r="G1858" s="2"/>
      <c r="H1858" s="2" t="str">
        <f>IFERROR(__xludf.DUMMYFUNCTION("IF(G1858&lt;&gt;"""", GOOGLETRANSLATE(G1858, ""en"", ""te""),"""")"),"")</f>
        <v/>
      </c>
      <c r="I1858" s="3"/>
    </row>
    <row r="1859" customHeight="1" spans="1:9">
      <c r="A1859" s="2"/>
      <c r="B1859" s="2" t="str">
        <f>IFERROR(__xludf.DUMMYFUNCTION("IF(A1859&lt;&gt;"""", GOOGLETRANSLATE(A1859, ""en"", ""te""),"""")"),"")</f>
        <v/>
      </c>
      <c r="C1859" s="2"/>
      <c r="D1859" s="2" t="str">
        <f>IFERROR(__xludf.DUMMYFUNCTION("IF(C1859&lt;&gt;"""", GOOGLETRANSLATE(C1859, ""en"", ""te""),"""")"),"")</f>
        <v/>
      </c>
      <c r="E1859" s="2"/>
      <c r="F1859" s="2" t="str">
        <f>IFERROR(__xludf.DUMMYFUNCTION("IF(E1859&lt;&gt;"""", GOOGLETRANSLATE(E1859, ""en"", ""te""),"""")"),"")</f>
        <v/>
      </c>
      <c r="G1859" s="2"/>
      <c r="H1859" s="2" t="str">
        <f>IFERROR(__xludf.DUMMYFUNCTION("IF(G1859&lt;&gt;"""", GOOGLETRANSLATE(G1859, ""en"", ""te""),"""")"),"")</f>
        <v/>
      </c>
      <c r="I1859" s="3"/>
    </row>
    <row r="1860" customHeight="1" spans="1:9">
      <c r="A1860" s="2" t="s">
        <v>1137</v>
      </c>
      <c r="B1860" s="2" t="str">
        <f>IFERROR(__xludf.DUMMYFUNCTION("IF(A1860&lt;&gt;"""", GOOGLETRANSLATE(A1860, ""en"", ""te""),"""")"),"[ 'ఇన్నింగ్స్ లో 2 వ అత్యధిక పరుగులు (బ్యాటింగ్ స్థానంలో ప్రకారం) (143 *)', '6 వ అత్యధిక వరుస బాతులు (3)', ఒక ఇన్నింగ్స్ లో '9 వ ఉత్తమ సమ్మె ఇన్నింగ్స్ లో రేటు (5.2)', '2 వ అత్యధిక క్యాచ్లు ( 4) ',' 250 పరుగులు మరియు 1000 పరుగులు సిరీస్లో 10 వికెట్లు ',',"&amp;" 50 వికెట్లు, 50 క్యాచ్లు ',' 5000 పరుగులు మరియు 50 ఫీల్డింగ్ వికెట్లు ',' ఐదో వికెట్కు (220 5 వ అత్యధిక భాగస్వామ్యం) ']")</f>
        <v>[ 'ఇన్నింగ్స్ లో 2 వ అత్యధిక పరుగులు (బ్యాటింగ్ స్థానంలో ప్రకారం) (143 *)', '6 వ అత్యధిక వరుస బాతులు (3)', ఒక ఇన్నింగ్స్ లో '9 వ ఉత్తమ సమ్మె ఇన్నింగ్స్ లో రేటు (5.2)', '2 వ అత్యధిక క్యాచ్లు ( 4) ',' 250 పరుగులు మరియు 1000 పరుగులు సిరీస్లో 10 వికెట్లు ',', 50 వికెట్లు, 50 క్యాచ్లు ',' 5000 పరుగులు మరియు 50 ఫీల్డింగ్ వికెట్లు ',' ఐదో వికెట్కు (220 5 వ అత్యధిక భాగస్వామ్యం) ']</v>
      </c>
      <c r="C1860" s="2" t="s">
        <v>1138</v>
      </c>
      <c r="D1860" s="2" t="str">
        <f>IFERROR(__xludf.DUMMYFUNCTION("IF(C1860&lt;&gt;"""", GOOGLETRANSLATE(C1860, ""en"", ""te""),"""")"),"[ '36 వ ఇన్నింగ్స్ లో వచ్చిన ఎక్కువ సిక్స్ (6)', 'ఏడవ వికెట్ (173) కోసం 34 వ అత్యధిక భాగస్వామ్యం']")</f>
        <v>[ '36 వ ఇన్నింగ్స్ లో వచ్చిన ఎక్కువ సిక్స్ (6)', 'ఏడవ వికెట్ (173) కోసం 34 వ అత్యధిక భాగస్వామ్యం']</v>
      </c>
      <c r="E1860" s="2" t="s">
        <v>1139</v>
      </c>
      <c r="F1860" s="2" t="str">
        <f>IFERROR(__xludf.DUMMYFUNCTION("IF(E1860&lt;&gt;"""", GOOGLETRANSLATE(E1860, ""en"", ""te""),"""")"),"[ '2nd అత్యంత ఇన్నింగ్స్ లో నడుస్తుంది (బ్యాటింగ్ స్థానం) (143 *)' 'ఇన్నింగ్స్ లో 50 వ అత్యధిక స్ట్రైక్ రేట్ (261.53)', '28th అత్యధిక తొలి వంద (143 *)', 'వరుస ఇన్నింగ్స్లో 44 వ యాభైల్లో ( 4) ',' కెరీర్ లో 45 వ అత్యంత బాతులు (15) ',' 6 వ అత్యధిక వరుస బాత"&amp;"ులు (3) ',' 38 వ కెరీర్ లో వచ్చిన ఎక్కువ సిక్స్ (103) ',' 44 వ ఇన్నింగ్స్ లో వచ్చిన ఎక్కువ సిక్స్ (8) ',' 46 వ వేగవంతమైన 5000 పరుగులు (157) ',' ఇన్నింగ్స్ లో 9 వ ఉత్తమ సమ్మె రేటు (5.2) ',' 14 వ అత్యధిక వికెట్లు క్యాచ్ మరియు బౌల్డ్ తీసుకోకూడదు (13) ',' 49"&amp;" వ అత్యధిక కెరీర్ లో క్యాచ్లు (82) ',' 2 వ అత్యధిక క్యాచ్లు ఇన్నింగ్స్ వరుస (4) ',' 8 వ అత్యధిక క్యాచ్లు (10) ',' ఐదవ వికెట్కు 5 వ అత్యధిక భాగస్వామ్యం (220) ',' 28 వ అతి ప్లేయర్ ఆఫ్ ది మ్యాచ్ అవార్డులు (21) ',' 24 వ అత్యంత ప్లేయర్ ఆఫ్ ది సిరీస్ అవార్డులు "&amp;"(4) ']")</f>
        <v>[ '2nd అత్యంత ఇన్నింగ్స్ లో నడుస్తుంది (బ్యాటింగ్ స్థానం) (143 *)' 'ఇన్నింగ్స్ లో 50 వ అత్యధిక స్ట్రైక్ రేట్ (261.53)', '28th అత్యధిక తొలి వంద (143 *)', 'వరుస ఇన్నింగ్స్లో 44 వ యాభైల్లో ( 4) ',' కెరీర్ లో 45 వ అత్యంత బాతులు (15) ',' 6 వ అత్యధిక వరుస బాతులు (3) ',' 38 వ కెరీర్ లో వచ్చిన ఎక్కువ సిక్స్ (103) ',' 44 వ ఇన్నింగ్స్ లో వచ్చిన ఎక్కువ సిక్స్ (8) ',' 46 వ వేగవంతమైన 5000 పరుగులు (157) ',' ఇన్నింగ్స్ లో 9 వ ఉత్తమ సమ్మె రేటు (5.2) ',' 14 వ అత్యధిక వికెట్లు క్యాచ్ మరియు బౌల్డ్ తీసుకోకూడదు (13) ',' 49 వ అత్యధిక కెరీర్ లో క్యాచ్లు (82) ',' 2 వ అత్యధిక క్యాచ్లు ఇన్నింగ్స్ వరుస (4) ',' 8 వ అత్యధిక క్యాచ్లు (10) ',' ఐదవ వికెట్కు 5 వ అత్యధిక భాగస్వామ్యం (220) ',' 28 వ అతి ప్లేయర్ ఆఫ్ ది మ్యాచ్ అవార్డులు (21) ',' 24 వ అత్యంత ప్లేయర్ ఆఫ్ ది సిరీస్ అవార్డులు (4) ']</v>
      </c>
      <c r="G1860" s="2" t="s">
        <v>1140</v>
      </c>
      <c r="H1860" s="2" t="str">
        <f>IFERROR(__xludf.DUMMYFUNCTION("IF(G1860&lt;&gt;"""", GOOGLETRANSLATE(G1860, ""en"", ""te""),"""")"),"[ '22 వ ఇన్నింగ్స్ లో అత్యధిక పరుగులు (85 *) (బ్యాటింగ్ స్థానం)', 'ఆరవ వికెట్కు 35 వ అత్యధిక భాగస్వామ్యం (66 *)']")</f>
        <v>[ '22 వ ఇన్నింగ్స్ లో అత్యధిక పరుగులు (85 *) (బ్యాటింగ్ స్థానం)', 'ఆరవ వికెట్కు 35 వ అత్యధిక భాగస్వామ్యం (66 *)']</v>
      </c>
      <c r="I1860" s="3"/>
    </row>
    <row r="1861" customHeight="1" spans="1:9">
      <c r="A1861" s="2"/>
      <c r="B1861" s="2" t="str">
        <f>IFERROR(__xludf.DUMMYFUNCTION("IF(A1861&lt;&gt;"""", GOOGLETRANSLATE(A1861, ""en"", ""te""),"""")"),"")</f>
        <v/>
      </c>
      <c r="C1861" s="2"/>
      <c r="D1861" s="2" t="str">
        <f>IFERROR(__xludf.DUMMYFUNCTION("IF(C1861&lt;&gt;"""", GOOGLETRANSLATE(C1861, ""en"", ""te""),"""")"),"")</f>
        <v/>
      </c>
      <c r="E1861" s="2"/>
      <c r="F1861" s="2" t="str">
        <f>IFERROR(__xludf.DUMMYFUNCTION("IF(E1861&lt;&gt;"""", GOOGLETRANSLATE(E1861, ""en"", ""te""),"""")"),"")</f>
        <v/>
      </c>
      <c r="G1861" s="2"/>
      <c r="H1861" s="2" t="str">
        <f>IFERROR(__xludf.DUMMYFUNCTION("IF(G1861&lt;&gt;"""", GOOGLETRANSLATE(G1861, ""en"", ""te""),"""")"),"")</f>
        <v/>
      </c>
      <c r="I1861" s="3"/>
    </row>
    <row r="1862" customHeight="1" spans="1:9">
      <c r="A1862" s="2" t="s">
        <v>1141</v>
      </c>
      <c r="B1862" s="2" t="str">
        <f>IFERROR(__xludf.DUMMYFUNCTION("IF(A1862&lt;&gt;"""", GOOGLETRANSLATE(A1862, ""en"", ""te""),"""")"),"[ '1st అత్యధిక వికెట్లు తీసిన హిట్ వికెట్ (1)' '9 వ అత్యుత్తమ బౌలింగ్ (4/8) ఇన్నింగ్స్ విశ్లేషణలలో']")</f>
        <v>[ '1st అత్యధిక వికెట్లు తీసిన హిట్ వికెట్ (1)' '9 వ అత్యుత్తమ బౌలింగ్ (4/8) ఇన్నింగ్స్ విశ్లేషణలలో']</v>
      </c>
      <c r="C1862" s="2"/>
      <c r="D1862" s="2" t="str">
        <f>IFERROR(__xludf.DUMMYFUNCTION("IF(C1862&lt;&gt;"""", GOOGLETRANSLATE(C1862, ""en"", ""te""),"""")"),"")</f>
        <v/>
      </c>
      <c r="E1862" s="2"/>
      <c r="F1862" s="2" t="str">
        <f>IFERROR(__xludf.DUMMYFUNCTION("IF(E1862&lt;&gt;"""", GOOGLETRANSLATE(E1862, ""en"", ""te""),"""")"),"")</f>
        <v/>
      </c>
      <c r="G1862" s="2" t="s">
        <v>1142</v>
      </c>
      <c r="H1862" s="2" t="str">
        <f>IFERROR(__xludf.DUMMYFUNCTION("IF(G1862&lt;&gt;"""", GOOGLETRANSLATE(G1862, ""en"", ""te""),"""")"),"[ '11 వ ఒక క్యాలెండర్ సంవత్సరంలో అత్యధిక వికెట్లు (25)', '9 వ అత్యుత్తమ బౌలింగ్ ఇన్నింగ్స్ లో విశ్లేషించడం (4/8)', '1 వ అత్యధిక వికెట్లు తీసిన హిట్ వికెట్ (1)']")</f>
        <v>[ '11 వ ఒక క్యాలెండర్ సంవత్సరంలో అత్యధిక వికెట్లు (25)', '9 వ అత్యుత్తమ బౌలింగ్ ఇన్నింగ్స్ లో విశ్లేషించడం (4/8)', '1 వ అత్యధిక వికెట్లు తీసిన హిట్ వికెట్ (1)']</v>
      </c>
      <c r="I1862" s="3"/>
    </row>
    <row r="1863" customHeight="1" spans="1:9">
      <c r="A1863" s="2"/>
      <c r="B1863" s="2" t="str">
        <f>IFERROR(__xludf.DUMMYFUNCTION("IF(A1863&lt;&gt;"""", GOOGLETRANSLATE(A1863, ""en"", ""te""),"""")"),"")</f>
        <v/>
      </c>
      <c r="C1863" s="2"/>
      <c r="D1863" s="2" t="str">
        <f>IFERROR(__xludf.DUMMYFUNCTION("IF(C1863&lt;&gt;"""", GOOGLETRANSLATE(C1863, ""en"", ""te""),"""")"),"")</f>
        <v/>
      </c>
      <c r="E1863" s="2"/>
      <c r="F1863" s="2" t="str">
        <f>IFERROR(__xludf.DUMMYFUNCTION("IF(E1863&lt;&gt;"""", GOOGLETRANSLATE(E1863, ""en"", ""te""),"""")"),"")</f>
        <v/>
      </c>
      <c r="G1863" s="2"/>
      <c r="H1863" s="2" t="str">
        <f>IFERROR(__xludf.DUMMYFUNCTION("IF(G1863&lt;&gt;"""", GOOGLETRANSLATE(G1863, ""en"", ""te""),"""")"),"")</f>
        <v/>
      </c>
      <c r="I1863" s="3"/>
    </row>
    <row r="1864" customHeight="1" spans="1:9">
      <c r="A1864" s="2" t="s">
        <v>1143</v>
      </c>
      <c r="B1864" s="2" t="str">
        <f>IFERROR(__xludf.DUMMYFUNCTION("IF(A1864&lt;&gt;"""", GOOGLETRANSLATE(A1864, ""en"", ""te""),"""")"),"[ '1000 పరుగులు మరియు 100 వికెట్లు', '1st ఒక ఇన్నింగ్స్ లోని బెస్ట్ ఫిగర్స్ ఉన్నప్పుడు పరాజయం వైపు (6)', '8 వ ఉత్తమ కెరీర్ సమ్మె రేటు' 10 వ అత్యంత వంద (1596) లేకుండా ఒక వృత్తిలో పరుగులు '(26.8) ',' 2 వ వరుస ఐదు వికెట్ల లో-ఒక-ఇన్నింగ్స్ (2) ',' 1st 150 వి"&amp;"కెట్లు (77) ',' 1 వ అత్యధిక వికెట్లు తీసిన హిట్ వికెట్ (1) వేగంగా ']")</f>
        <v>[ '1000 పరుగులు మరియు 100 వికెట్లు', '1st ఒక ఇన్నింగ్స్ లోని బెస్ట్ ఫిగర్స్ ఉన్నప్పుడు పరాజయం వైపు (6)', '8 వ ఉత్తమ కెరీర్ సమ్మె రేటు' 10 వ అత్యంత వంద (1596) లేకుండా ఒక వృత్తిలో పరుగులు '(26.8) ',' 2 వ వరుస ఐదు వికెట్ల లో-ఒక-ఇన్నింగ్స్ (2) ',' 1st 150 వికెట్లు (77) ',' 1 వ అత్యధిక వికెట్లు తీసిన హిట్ వికెట్ (1) వేగంగా ']</v>
      </c>
      <c r="C1864" s="2" t="s">
        <v>1144</v>
      </c>
      <c r="D1864" s="2" t="str">
        <f>IFERROR(__xludf.DUMMYFUNCTION("IF(C1864&lt;&gt;"""", GOOGLETRANSLATE(C1864, ""en"", ""te""),"""")"),"[ 'వంద (1596) లేకుండా ఒక వృత్తిలో 10 వ అత్యధిక పరుగులు' '44 వ అత్యధిక సమ్మె ఇన్నింగ్స్ లో రేటు (175.00)', '45 వ కెరీర్ లో వచ్చిన ఎక్కువ సిక్స్ (43)', '19 వ ఇన్నింగ్స్ లో వచ్చిన ఎక్కువ సిక్స్ (7) ',' కెరీర్లో 44 వ అత్యధిక వికెట్లు (255) ',' 15 మ్యాచ్లో ఉత్"&amp;"తమ సంఖ్యలు ఉన్నప్పుడు పరాజయం వైపు (11) ',' 32 వ ఉత్తమ కెరీర్ సమ్మె రేటు (49.3) ',' 46 వ అత్యంత ఐదు-వికెట్ల in- ఒక కెరీర్ లో ఒక ఇన్నింగ్స్ (13) ',' 18 వ వరుస ఐదు వికెట్ల లో-ఒక-ఇన్నింగ్స్ (3) ',' 32 వ అత్యధిక వికెట్లు తీసుకున్న బౌల్డ్ (64) ',' 50 వ అత్యధిక"&amp;" వికెట్లు తీసుకున్న ఆకర్షించింది (152) ' , '31 అత్యధిక వికెట్లు సాధించిన వికెట్కీపర్గా (65) పట్టుకుంటే తీసిన' 200 వికెట్లు వేగంగా 39 వ (50) ', '21 వ 250 వికెట్లు వేగంగా (59)', 'పదవ వికెట్కు 42 వ అత్యధిక భాగస్వామ్యం (87)']")</f>
        <v>[ 'వంద (1596) లేకుండా ఒక వృత్తిలో 10 వ అత్యధిక పరుగులు' '44 వ అత్యధిక సమ్మె ఇన్నింగ్స్ లో రేటు (175.00)', '45 వ కెరీర్ లో వచ్చిన ఎక్కువ సిక్స్ (43)', '19 వ ఇన్నింగ్స్ లో వచ్చిన ఎక్కువ సిక్స్ (7) ',' కెరీర్లో 44 వ అత్యధిక వికెట్లు (255) ',' 15 మ్యాచ్లో ఉత్తమ సంఖ్యలు ఉన్నప్పుడు పరాజయం వైపు (11) ',' 32 వ ఉత్తమ కెరీర్ సమ్మె రేటు (49.3) ',' 46 వ అత్యంత ఐదు-వికెట్ల in- ఒక కెరీర్ లో ఒక ఇన్నింగ్స్ (13) ',' 18 వ వరుస ఐదు వికెట్ల లో-ఒక-ఇన్నింగ్స్ (3) ',' 32 వ అత్యధిక వికెట్లు తీసుకున్న బౌల్డ్ (64) ',' 50 వ అత్యధిక వికెట్లు తీసుకున్న ఆకర్షించింది (152) ' , '31 అత్యధిక వికెట్లు సాధించిన వికెట్కీపర్గా (65) పట్టుకుంటే తీసిన' 200 వికెట్లు వేగంగా 39 వ (50) ', '21 వ 250 వికెట్లు వేగంగా (59)', 'పదవ వికెట్కు 42 వ అత్యధిక భాగస్వామ్యం (87)']</v>
      </c>
      <c r="E1864" s="2" t="s">
        <v>1145</v>
      </c>
      <c r="F1864" s="2" t="str">
        <f>IFERROR(__xludf.DUMMYFUNCTION("IF(E1864&lt;&gt;"""", GOOGLETRANSLATE(E1864, ""en"", ""te""),"""")"),"[ '49 వ కెరీర్ లో అత్యధిక వికెట్లు (184)', '46 వ ఉత్తమ ఇన్నింగ్స్ లో సంఖ్యలు (6/28)', 'వరుస 1 వ అత్యధిక వికెట్లు (27)', '1 వ ఉత్తమ ఇన్నింగ్స్ లో సంఖ్యలు కోల్పోకుండా వైపు ఉన్నప్పుడు (6) ',' 28th ఉత్తమ కెరీర్ బౌలింగ్ సగటు (23.16) ',' 8 వ ఉత్తమ కెరీర్ సమ్మె"&amp;" రేటు (26.8) ',' ఇన్నింగ్స్ లో 41 వ ఉత్తమ సమ్మె రేటు (7.0) ',' 6 వ అత్యంత ఐదు-వికెట్ల లో-ఒక ఒక కెరీర్ (7) ',' 6 వ అత్యంత నాలుగు వికెట్లు-ఇన్-ఒక-ఇన్నింగ్స్ కెరీర్లో (18) ',' 2 వ వరుస ఐదు వికెట్ల లో-ఒక-ఇన్నింగ్స్ (2) ',' 13 వ లో -innings అత్యధిక వరుస నాలుగు"&amp;" వికెట్లు-ఇన్-ఒక-ఇన్నింగ్స్ (2) ',' ఐదు వికెట్ల లో-ఒక-ఇన్నింగ్స్ తీసుకోవాలని 45 వ పిన్న వయస్కుడిగా నిలిచాడు (22y 211d) ',' 17 వ అత్యధిక వికెట్లు బౌల్డ్ తీసుకున్న (72) ',' 32 వ వేగవంతమైన 50 వికెట్లు (29) ',' 2 వ అత్యంత వేగంగా 100 వికెట్లు (52) ',' 1st 150"&amp;" వికెట్లు (77) ',' 24 వ అత్యంత ప్లేయర్ ఆఫ్ ది సిరీస్ అవార్డులు (4) '] వేగంగా")</f>
        <v>[ '49 వ కెరీర్ లో అత్యధిక వికెట్లు (184)', '46 వ ఉత్తమ ఇన్నింగ్స్ లో సంఖ్యలు (6/28)', 'వరుస 1 వ అత్యధిక వికెట్లు (27)', '1 వ ఉత్తమ ఇన్నింగ్స్ లో సంఖ్యలు కోల్పోకుండా వైపు ఉన్నప్పుడు (6) ',' 28th ఉత్తమ కెరీర్ బౌలింగ్ సగటు (23.16) ',' 8 వ ఉత్తమ కెరీర్ సమ్మె రేటు (26.8) ',' ఇన్నింగ్స్ లో 41 వ ఉత్తమ సమ్మె రేటు (7.0) ',' 6 వ అత్యంత ఐదు-వికెట్ల లో-ఒక ఒక కెరీర్ (7) ',' 6 వ అత్యంత నాలుగు వికెట్లు-ఇన్-ఒక-ఇన్నింగ్స్ కెరీర్లో (18) ',' 2 వ వరుస ఐదు వికెట్ల లో-ఒక-ఇన్నింగ్స్ (2) ',' 13 వ లో -innings అత్యధిక వరుస నాలుగు వికెట్లు-ఇన్-ఒక-ఇన్నింగ్స్ (2) ',' ఐదు వికెట్ల లో-ఒక-ఇన్నింగ్స్ తీసుకోవాలని 45 వ పిన్న వయస్కుడిగా నిలిచాడు (22y 211d) ',' 17 వ అత్యధిక వికెట్లు బౌల్డ్ తీసుకున్న (72) ',' 32 వ వేగవంతమైన 50 వికెట్లు (29) ',' 2 వ అత్యంత వేగంగా 100 వికెట్లు (52) ',' 1st 150 వికెట్లు (77) ',' 24 వ అత్యంత ప్లేయర్ ఆఫ్ ది సిరీస్ అవార్డులు (4) '] వేగంగా</v>
      </c>
      <c r="G1864" s="2" t="s">
        <v>1146</v>
      </c>
      <c r="H1864" s="2" t="str">
        <f>IFERROR(__xludf.DUMMYFUNCTION("IF(G1864&lt;&gt;"""", GOOGLETRANSLATE(G1864, ""en"", ""te""),"""")"),"[ '41 వ కెరీర్ లో అత్యధిక వికెట్లు (47)', 'ఒకే మైదానంలో 43 వ అత్యధిక వికెట్లు (11)', '(6.95) 40 వ ఉత్తమ కెరీర్ ఆర్థిక రేటు', '31' 21 వ సగటు (19.38) బౌలింగ్ ఉత్తమ కెరీర్లో 'బెస్ట్ వృత్తి సమ్మె రేటు (16.7) ',' 8 వ అత్యధిక వికెట్లు బౌల్డ్ (18) ',' 24 వ అత్య"&amp;"ధిక వికెట్లు తీసుకున్న ఎల్బిడబ్ల్యు తీసుకున్న (6) ',' 1 వ అత్యధిక వికెట్లు తీసిన హిట్ వికెట్ (1) ']")</f>
        <v>[ '41 వ కెరీర్ లో అత్యధిక వికెట్లు (47)', 'ఒకే మైదానంలో 43 వ అత్యధిక వికెట్లు (11)', '(6.95) 40 వ ఉత్తమ కెరీర్ ఆర్థిక రేటు', '31' 21 వ సగటు (19.38) బౌలింగ్ ఉత్తమ కెరీర్లో 'బెస్ట్ వృత్తి సమ్మె రేటు (16.7) ',' 8 వ అత్యధిక వికెట్లు బౌల్డ్ (18) ',' 24 వ అత్యధిక వికెట్లు తీసుకున్న ఎల్బిడబ్ల్యు తీసుకున్న (6) ',' 1 వ అత్యధిక వికెట్లు తీసిన హిట్ వికెట్ (1) ']</v>
      </c>
      <c r="I1864" s="3"/>
    </row>
    <row r="1865" customHeight="1" spans="1:9">
      <c r="A1865" s="2"/>
      <c r="B1865" s="2" t="str">
        <f>IFERROR(__xludf.DUMMYFUNCTION("IF(A1865&lt;&gt;"""", GOOGLETRANSLATE(A1865, ""en"", ""te""),"""")"),"")</f>
        <v/>
      </c>
      <c r="C1865" s="2"/>
      <c r="D1865" s="2" t="str">
        <f>IFERROR(__xludf.DUMMYFUNCTION("IF(C1865&lt;&gt;"""", GOOGLETRANSLATE(C1865, ""en"", ""te""),"""")"),"")</f>
        <v/>
      </c>
      <c r="E1865" s="2"/>
      <c r="F1865" s="2" t="str">
        <f>IFERROR(__xludf.DUMMYFUNCTION("IF(E1865&lt;&gt;"""", GOOGLETRANSLATE(E1865, ""en"", ""te""),"""")"),"")</f>
        <v/>
      </c>
      <c r="G1865" s="2"/>
      <c r="H1865" s="2" t="str">
        <f>IFERROR(__xludf.DUMMYFUNCTION("IF(G1865&lt;&gt;"""", GOOGLETRANSLATE(G1865, ""en"", ""te""),"""")"),"")</f>
        <v/>
      </c>
      <c r="I1865" s="3"/>
    </row>
    <row r="1866" customHeight="1" spans="1:9">
      <c r="A1866" s="2"/>
      <c r="B1866" s="2" t="str">
        <f>IFERROR(__xludf.DUMMYFUNCTION("IF(A1866&lt;&gt;"""", GOOGLETRANSLATE(A1866, ""en"", ""te""),"""")"),"")</f>
        <v/>
      </c>
      <c r="C1866" s="2"/>
      <c r="D1866" s="2" t="str">
        <f>IFERROR(__xludf.DUMMYFUNCTION("IF(C1866&lt;&gt;"""", GOOGLETRANSLATE(C1866, ""en"", ""te""),"""")"),"")</f>
        <v/>
      </c>
      <c r="E1866" s="2"/>
      <c r="F1866" s="2" t="str">
        <f>IFERROR(__xludf.DUMMYFUNCTION("IF(E1866&lt;&gt;"""", GOOGLETRANSLATE(E1866, ""en"", ""te""),"""")"),"")</f>
        <v/>
      </c>
      <c r="G1866" s="2" t="s">
        <v>1147</v>
      </c>
      <c r="H1866" s="2" t="str">
        <f>IFERROR(__xludf.DUMMYFUNCTION("IF(G1866&lt;&gt;"""", GOOGLETRANSLATE(G1866, ""en"", ""te""),"""")"),"[ 'ఎనిమిదవ వికెట్కు 29 అత్యధిక భాగస్వామ్యం (25)', 'తొమ్మిదవ వికెట్కు 32 వ అత్యధిక భాగస్వామ్యం (17 *)']")</f>
        <v>[ 'ఎనిమిదవ వికెట్కు 29 అత్యధిక భాగస్వామ్యం (25)', 'తొమ్మిదవ వికెట్కు 32 వ అత్యధిక భాగస్వామ్యం (17 *)']</v>
      </c>
      <c r="I1866" s="3"/>
    </row>
    <row r="1867" customHeight="1" spans="1:9">
      <c r="A1867" s="2"/>
      <c r="B1867" s="2" t="str">
        <f>IFERROR(__xludf.DUMMYFUNCTION("IF(A1867&lt;&gt;"""", GOOGLETRANSLATE(A1867, ""en"", ""te""),"""")"),"")</f>
        <v/>
      </c>
      <c r="C1867" s="2"/>
      <c r="D1867" s="2" t="str">
        <f>IFERROR(__xludf.DUMMYFUNCTION("IF(C1867&lt;&gt;"""", GOOGLETRANSLATE(C1867, ""en"", ""te""),"""")"),"")</f>
        <v/>
      </c>
      <c r="E1867" s="2"/>
      <c r="F1867" s="2" t="str">
        <f>IFERROR(__xludf.DUMMYFUNCTION("IF(E1867&lt;&gt;"""", GOOGLETRANSLATE(E1867, ""en"", ""te""),"""")"),"")</f>
        <v/>
      </c>
      <c r="G1867" s="2"/>
      <c r="H1867" s="2" t="str">
        <f>IFERROR(__xludf.DUMMYFUNCTION("IF(G1867&lt;&gt;"""", GOOGLETRANSLATE(G1867, ""en"", ""te""),"""")"),"")</f>
        <v/>
      </c>
      <c r="I1867" s="3"/>
    </row>
    <row r="1868" customHeight="1" spans="1:9">
      <c r="A1868" s="2" t="s">
        <v>982</v>
      </c>
      <c r="B1868" s="2" t="str">
        <f>IFERROR(__xludf.DUMMYFUNCTION("IF(A1868&lt;&gt;"""", GOOGLETRANSLATE(A1868, ""en"", ""te""),"""")"),"[ '1000 పరుగులు మరియు 100 వికెట్లు']")</f>
        <v>[ '1000 పరుగులు మరియు 100 వికెట్లు']</v>
      </c>
      <c r="C1868" s="2" t="s">
        <v>1148</v>
      </c>
      <c r="D1868" s="2" t="str">
        <f>IFERROR(__xludf.DUMMYFUNCTION("IF(C1868&lt;&gt;"""", GOOGLETRANSLATE(C1868, ""en"", ""te""),"""")"),"[ '36 వ అత్యంత వంద (1164) లేకుండా ఒక వృత్తిలో పరుగులు' '39 వ కెరీర్ బాతులు (17)', '32 వ బౌలర్ / బ్యాటర్ కలయికలు (11)', '38 వ బౌలర్ / ఫీల్డర్ కలయికలు (42)', ' 36 వ అత్యధిక వికెట్లు ఒక వికెట్ కీపర్ చే కాట్ తీసుకోకూడదు (59) ']")</f>
        <v>[ '36 వ అత్యంత వంద (1164) లేకుండా ఒక వృత్తిలో పరుగులు' '39 వ కెరీర్ బాతులు (17)', '32 వ బౌలర్ / బ్యాటర్ కలయికలు (11)', '38 వ బౌలర్ / ఫీల్డర్ కలయికలు (42)', ' 36 వ అత్యధిక వికెట్లు ఒక వికెట్ కీపర్ చే కాట్ తీసుకోకూడదు (59) ']</v>
      </c>
      <c r="E1868" s="2" t="s">
        <v>1149</v>
      </c>
      <c r="F1868" s="2" t="str">
        <f>IFERROR(__xludf.DUMMYFUNCTION("IF(E1868&lt;&gt;"""", GOOGLETRANSLATE(E1868, ""en"", ""te""),"""")"),"[ '17 వ లాంగెస్ట్ ప్రదర్శనల మధ్య వ్యవధిలో (8y 68d)', '15 వ వరుస మ్యాచ్లు ఆడి మధ్య జట్టు (169) కోసం తప్పిన']")</f>
        <v>[ '17 వ లాంగెస్ట్ ప్రదర్శనల మధ్య వ్యవధిలో (8y 68d)', '15 వ వరుస మ్యాచ్లు ఆడి మధ్య జట్టు (169) కోసం తప్పిన']</v>
      </c>
      <c r="G1868" s="2"/>
      <c r="H1868" s="2" t="str">
        <f>IFERROR(__xludf.DUMMYFUNCTION("IF(G1868&lt;&gt;"""", GOOGLETRANSLATE(G1868, ""en"", ""te""),"""")"),"")</f>
        <v/>
      </c>
      <c r="I1868" s="3"/>
    </row>
    <row r="1869" customHeight="1" spans="1:9">
      <c r="A1869" s="2"/>
      <c r="B1869" s="2" t="str">
        <f>IFERROR(__xludf.DUMMYFUNCTION("IF(A1869&lt;&gt;"""", GOOGLETRANSLATE(A1869, ""en"", ""te""),"""")"),"")</f>
        <v/>
      </c>
      <c r="C1869" s="2"/>
      <c r="D1869" s="2" t="str">
        <f>IFERROR(__xludf.DUMMYFUNCTION("IF(C1869&lt;&gt;"""", GOOGLETRANSLATE(C1869, ""en"", ""te""),"""")"),"")</f>
        <v/>
      </c>
      <c r="E1869" s="2"/>
      <c r="F1869" s="2" t="str">
        <f>IFERROR(__xludf.DUMMYFUNCTION("IF(E1869&lt;&gt;"""", GOOGLETRANSLATE(E1869, ""en"", ""te""),"""")"),"")</f>
        <v/>
      </c>
      <c r="G1869" s="2"/>
      <c r="H1869" s="2" t="str">
        <f>IFERROR(__xludf.DUMMYFUNCTION("IF(G1869&lt;&gt;"""", GOOGLETRANSLATE(G1869, ""en"", ""te""),"""")"),"")</f>
        <v/>
      </c>
      <c r="I1869" s="3"/>
    </row>
    <row r="1870" customHeight="1" spans="1:9">
      <c r="A1870" s="2"/>
      <c r="B1870" s="2" t="str">
        <f>IFERROR(__xludf.DUMMYFUNCTION("IF(A1870&lt;&gt;"""", GOOGLETRANSLATE(A1870, ""en"", ""te""),"""")"),"")</f>
        <v/>
      </c>
      <c r="C1870" s="2"/>
      <c r="D1870" s="2" t="str">
        <f>IFERROR(__xludf.DUMMYFUNCTION("IF(C1870&lt;&gt;"""", GOOGLETRANSLATE(C1870, ""en"", ""te""),"""")"),"")</f>
        <v/>
      </c>
      <c r="E1870" s="2"/>
      <c r="F1870" s="2" t="str">
        <f>IFERROR(__xludf.DUMMYFUNCTION("IF(E1870&lt;&gt;"""", GOOGLETRANSLATE(E1870, ""en"", ""te""),"""")"),"")</f>
        <v/>
      </c>
      <c r="G1870" s="2"/>
      <c r="H1870" s="2" t="str">
        <f>IFERROR(__xludf.DUMMYFUNCTION("IF(G1870&lt;&gt;"""", GOOGLETRANSLATE(G1870, ""en"", ""te""),"""")"),"")</f>
        <v/>
      </c>
      <c r="I1870" s="3"/>
    </row>
    <row r="1871" customHeight="1" spans="1:9">
      <c r="A1871" s="2" t="s">
        <v>9</v>
      </c>
      <c r="B1871" s="2" t="str">
        <f>IFERROR(__xludf.DUMMYFUNCTION("IF(A1871&lt;&gt;"""", GOOGLETRANSLATE(A1871, ""en"", ""te""),"""")"),"[ 'హండ్రెడ్ మరియు ఒక మ్యాచ్లో ఒక డక్']")</f>
        <v>[ 'హండ్రెడ్ మరియు ఒక మ్యాచ్లో ఒక డక్']</v>
      </c>
      <c r="C1871" s="2"/>
      <c r="D1871" s="2" t="str">
        <f>IFERROR(__xludf.DUMMYFUNCTION("IF(C1871&lt;&gt;"""", GOOGLETRANSLATE(C1871, ""en"", ""te""),"""")"),"")</f>
        <v/>
      </c>
      <c r="E1871" s="2"/>
      <c r="F1871" s="2" t="str">
        <f>IFERROR(__xludf.DUMMYFUNCTION("IF(E1871&lt;&gt;"""", GOOGLETRANSLATE(E1871, ""en"", ""te""),"""")"),"")</f>
        <v/>
      </c>
      <c r="G1871" s="2"/>
      <c r="H1871" s="2" t="str">
        <f>IFERROR(__xludf.DUMMYFUNCTION("IF(G1871&lt;&gt;"""", GOOGLETRANSLATE(G1871, ""en"", ""te""),"""")"),"")</f>
        <v/>
      </c>
      <c r="I1871" s="3"/>
    </row>
    <row r="1872" customHeight="1" spans="1:9">
      <c r="A1872" s="2"/>
      <c r="B1872" s="2" t="str">
        <f>IFERROR(__xludf.DUMMYFUNCTION("IF(A1872&lt;&gt;"""", GOOGLETRANSLATE(A1872, ""en"", ""te""),"""")"),"")</f>
        <v/>
      </c>
      <c r="C1872" s="2"/>
      <c r="D1872" s="2" t="str">
        <f>IFERROR(__xludf.DUMMYFUNCTION("IF(C1872&lt;&gt;"""", GOOGLETRANSLATE(C1872, ""en"", ""te""),"""")"),"")</f>
        <v/>
      </c>
      <c r="E1872" s="2"/>
      <c r="F1872" s="2" t="str">
        <f>IFERROR(__xludf.DUMMYFUNCTION("IF(E1872&lt;&gt;"""", GOOGLETRANSLATE(E1872, ""en"", ""te""),"""")"),"")</f>
        <v/>
      </c>
      <c r="G1872" s="2"/>
      <c r="H1872" s="2" t="str">
        <f>IFERROR(__xludf.DUMMYFUNCTION("IF(G1872&lt;&gt;"""", GOOGLETRANSLATE(G1872, ""en"", ""te""),"""")"),"")</f>
        <v/>
      </c>
      <c r="I1872" s="3"/>
    </row>
    <row r="1873" customHeight="1" spans="1:9">
      <c r="A1873" s="2"/>
      <c r="B1873" s="2" t="str">
        <f>IFERROR(__xludf.DUMMYFUNCTION("IF(A1873&lt;&gt;"""", GOOGLETRANSLATE(A1873, ""en"", ""te""),"""")"),"")</f>
        <v/>
      </c>
      <c r="C1873" s="2"/>
      <c r="D1873" s="2" t="str">
        <f>IFERROR(__xludf.DUMMYFUNCTION("IF(C1873&lt;&gt;"""", GOOGLETRANSLATE(C1873, ""en"", ""te""),"""")"),"")</f>
        <v/>
      </c>
      <c r="E1873" s="2"/>
      <c r="F1873" s="2" t="str">
        <f>IFERROR(__xludf.DUMMYFUNCTION("IF(E1873&lt;&gt;"""", GOOGLETRANSLATE(E1873, ""en"", ""te""),"""")"),"")</f>
        <v/>
      </c>
      <c r="G1873" s="2"/>
      <c r="H1873" s="2" t="str">
        <f>IFERROR(__xludf.DUMMYFUNCTION("IF(G1873&lt;&gt;"""", GOOGLETRANSLATE(G1873, ""en"", ""te""),"""")"),"")</f>
        <v/>
      </c>
      <c r="I1873" s="3"/>
    </row>
    <row r="1874" customHeight="1" spans="1:9">
      <c r="A1874" s="2"/>
      <c r="B1874" s="2" t="str">
        <f>IFERROR(__xludf.DUMMYFUNCTION("IF(A1874&lt;&gt;"""", GOOGLETRANSLATE(A1874, ""en"", ""te""),"""")"),"")</f>
        <v/>
      </c>
      <c r="C1874" s="2"/>
      <c r="D1874" s="2" t="str">
        <f>IFERROR(__xludf.DUMMYFUNCTION("IF(C1874&lt;&gt;"""", GOOGLETRANSLATE(C1874, ""en"", ""te""),"""")"),"")</f>
        <v/>
      </c>
      <c r="E1874" s="2"/>
      <c r="F1874" s="2" t="str">
        <f>IFERROR(__xludf.DUMMYFUNCTION("IF(E1874&lt;&gt;"""", GOOGLETRANSLATE(E1874, ""en"", ""te""),"""")"),"")</f>
        <v/>
      </c>
      <c r="G1874" s="2"/>
      <c r="H1874" s="2" t="str">
        <f>IFERROR(__xludf.DUMMYFUNCTION("IF(G1874&lt;&gt;"""", GOOGLETRANSLATE(G1874, ""en"", ""te""),"""")"),"")</f>
        <v/>
      </c>
      <c r="I1874" s="3"/>
    </row>
    <row r="1875" customHeight="1" spans="1:9">
      <c r="A1875" s="2" t="s">
        <v>1150</v>
      </c>
      <c r="B1875" s="2" t="str">
        <f>IFERROR(__xludf.DUMMYFUNCTION("IF(A1875&lt;&gt;"""", GOOGLETRANSLATE(A1875, ""en"", ""te""),"""")"),"'ఇన్నింగ్స్ లో 7 వ అత్యధిక పరుగులు ఒక కెప్టెన్తో (311)' [ '8 వ ఓల్డెస్ట్ కాప్టెన్ (42y 89d)', 'హండ్రెడ్ ఒక మ్యాచ్లో ప్రతి ఇన్నింగ్స్లో', '3 వ లాంగెస్ట్ వ్యక్తిగత ఇన్నింగ్స్ (బంతులతో) (743)', 'ఒక సిరీస్లో 4 అత్యధిక క్యాచ్లు (13)', '1000 పరుగులు, 50 వికెట్ల"&amp;"ు, 50 క్యాచ్లు', '5 వ పురాతన దేశం ఆటగాళ్ళు (85y 118d)', '6 వ ఓల్డెస్ట్ కెప్టెన్లు కెప్టెన్సీ తొలి (42y 19d)']")</f>
        <v>'ఇన్నింగ్స్ లో 7 వ అత్యధిక పరుగులు ఒక కెప్టెన్తో (311)' [ '8 వ ఓల్డెస్ట్ కాప్టెన్ (42y 89d)', 'హండ్రెడ్ ఒక మ్యాచ్లో ప్రతి ఇన్నింగ్స్లో', '3 వ లాంగెస్ట్ వ్యక్తిగత ఇన్నింగ్స్ (బంతులతో) (743)', 'ఒక సిరీస్లో 4 అత్యధిక క్యాచ్లు (13)', '1000 పరుగులు, 50 వికెట్లు, 50 క్యాచ్లు', '5 వ పురాతన దేశం ఆటగాళ్ళు (85y 118d)', '6 వ ఓల్డెస్ట్ కెప్టెన్లు కెప్టెన్సీ తొలి (42y 19d)']</v>
      </c>
      <c r="C1875" s="2" t="s">
        <v>1151</v>
      </c>
      <c r="D1875" s="2" t="str">
        <f>IFERROR(__xludf.DUMMYFUNCTION("IF(C1875&lt;&gt;"""", GOOGLETRANSLATE(C1875, ""en"", ""te""),"""")"),"[ '23 వ ఇన్నింగ్స్ లో అత్యధిక పరుగులు (311)', '35 వ మ్యాచ్ లో అత్యధిక పరుగులు (315)', '21 వ ఒక క్యాలెండర్ సంవత్సరంలో అత్యధిక పరుగులు (1381) ',' 12 వ ఇన్నింగ్స్ లో అత్యధిక పరుగులు (బ్యాటింగ్ స్థానంలో ద్వారా) (311) ',' ఒక కెప్టెన్ ద్వారా ఒక సిరీస్లో 36 వ అత"&amp;"్యధిక పరుగులు (539) ',' ఒక కెప్టెన్తో ఇన్నింగ్స్ లో 7 వ అత్యధిక పరుగులు (311) ',' ఒక కెరీర్లో 27 వ అత్యధిక డబుల్ సెంచరీలు (3) ',' 5 వ ఒక వృత్తిలో అత్యధిక ట్రిపుల్ సెంచరీలు (1) ',' 2 వ అత్యధిక తొలి వంద (311) ',' 8 వ అత్యంత వృద్ధ ఆటగాడు ',' ఒక డక్ లేకుండా 4"&amp;"3 వ అత్యధిక వరుస ఇన్నింగ్స్ (54) ',' 12 వ వంద (359d 41y) స్కోర్ లాంగెస్ట్ వ్యక్తిగత ఇన్నింగ్స్ (నిమిషాలు) (762) ',' 3 వ లాంగెస్ట్ వ్యక్తిగత ఇన్నింగ్స్ (బంతులతో) (743) ',' 34 వ 4000 పరుగులు (90) ',' 29 వ అత్యధిక క్యాచ్లు కెరీర్లో (110) ',' 4 వ వేగంగా ఒక సి"&amp;"రీస్లో అత్యధిక క్యాచ్లు (13) ',' మొదటి వికెట్కు 38 వ అత్యధిక భాగస్వామ్యం (244) ',' ఐదవ వికెట్కు 48 వ అత్యధిక భాగస్వామ్యం (219) ',' 42 వ ఓల్డెస్ట్ క్రీడాకారులు (42y 89d) ',' 14 వ లాంగెస్ట్ కెరీర్లు (20y 131d) ',' ప్రదర్శనల మధ్య 32 వ లాంగెస్ట్ వ్యవధిలో (9y "&amp;"305d) ',' 19 వ వరుస మ్యాచ్లు ఒక టె కోసం తప్పిన ప్రదర్శనల మధ్య am (71) ',' 29th అత్యధిక మ్యాచ్లు కెప్టెన్గా (39) ',' 8 వ ఓల్డెస్ట్ కాప్టెన్ (42y 89d) ']")</f>
        <v>[ '23 వ ఇన్నింగ్స్ లో అత్యధిక పరుగులు (311)', '35 వ మ్యాచ్ లో అత్యధిక పరుగులు (315)', '21 వ ఒక క్యాలెండర్ సంవత్సరంలో అత్యధిక పరుగులు (1381) ',' 12 వ ఇన్నింగ్స్ లో అత్యధిక పరుగులు (బ్యాటింగ్ స్థానంలో ద్వారా) (311) ',' ఒక కెప్టెన్ ద్వారా ఒక సిరీస్లో 36 వ అత్యధిక పరుగులు (539) ',' ఒక కెప్టెన్తో ఇన్నింగ్స్ లో 7 వ అత్యధిక పరుగులు (311) ',' ఒక కెరీర్లో 27 వ అత్యధిక డబుల్ సెంచరీలు (3) ',' 5 వ ఒక వృత్తిలో అత్యధిక ట్రిపుల్ సెంచరీలు (1) ',' 2 వ అత్యధిక తొలి వంద (311) ',' 8 వ అత్యంత వృద్ధ ఆటగాడు ',' ఒక డక్ లేకుండా 43 వ అత్యధిక వరుస ఇన్నింగ్స్ (54) ',' 12 వ వంద (359d 41y) స్కోర్ లాంగెస్ట్ వ్యక్తిగత ఇన్నింగ్స్ (నిమిషాలు) (762) ',' 3 వ లాంగెస్ట్ వ్యక్తిగత ఇన్నింగ్స్ (బంతులతో) (743) ',' 34 వ 4000 పరుగులు (90) ',' 29 వ అత్యధిక క్యాచ్లు కెరీర్లో (110) ',' 4 వ వేగంగా ఒక సిరీస్లో అత్యధిక క్యాచ్లు (13) ',' మొదటి వికెట్కు 38 వ అత్యధిక భాగస్వామ్యం (244) ',' ఐదవ వికెట్కు 48 వ అత్యధిక భాగస్వామ్యం (219) ',' 42 వ ఓల్డెస్ట్ క్రీడాకారులు (42y 89d) ',' 14 వ లాంగెస్ట్ కెరీర్లు (20y 131d) ',' ప్రదర్శనల మధ్య 32 వ లాంగెస్ట్ వ్యవధిలో (9y 305d) ',' 19 వ వరుస మ్యాచ్లు ఒక టె కోసం తప్పిన ప్రదర్శనల మధ్య am (71) ',' 29th అత్యధిక మ్యాచ్లు కెప్టెన్గా (39) ',' 8 వ ఓల్డెస్ట్ కాప్టెన్ (42y 89d) ']</v>
      </c>
      <c r="E1875" s="2" t="s">
        <v>1152</v>
      </c>
      <c r="F1875" s="2" t="str">
        <f>IFERROR(__xludf.DUMMYFUNCTION("IF(E1875&lt;&gt;"""", GOOGLETRANSLATE(E1875, ""en"", ""te""),"""")"),"[ '12 వ ఓల్డెస్ట్ తొలి ఆటగాళ్ళు (42y 19d)', '19 వ ఓల్డెస్ట్ క్రీడాకారులు (42y 68d)', '5 వ పురాతన దేశం ఆటగాళ్ళు (85y 118d)', '7 వ ఓల్డెస్ట్ కాప్టెన్ (42y 68d)', 'కెప్టెన్సీ న 6 వ ఓల్డెస్ట్ కెప్టెన్లు ప్రవేశం (42y 19d) ']")</f>
        <v>[ '12 వ ఓల్డెస్ట్ తొలి ఆటగాళ్ళు (42y 19d)', '19 వ ఓల్డెస్ట్ క్రీడాకారులు (42y 68d)', '5 వ పురాతన దేశం ఆటగాళ్ళు (85y 118d)', '7 వ ఓల్డెస్ట్ కాప్టెన్ (42y 68d)', 'కెప్టెన్సీ న 6 వ ఓల్డెస్ట్ కెప్టెన్లు ప్రవేశం (42y 19d) ']</v>
      </c>
      <c r="G1875" s="2"/>
      <c r="H1875" s="2" t="str">
        <f>IFERROR(__xludf.DUMMYFUNCTION("IF(G1875&lt;&gt;"""", GOOGLETRANSLATE(G1875, ""en"", ""te""),"""")"),"")</f>
        <v/>
      </c>
      <c r="I1875" s="3"/>
    </row>
    <row r="1876" customHeight="1" spans="1:9">
      <c r="A1876" s="2" t="s">
        <v>1153</v>
      </c>
      <c r="B1876" s="2" t="str">
        <f>IFERROR(__xludf.DUMMYFUNCTION("IF(A1876&lt;&gt;"""", GOOGLETRANSLATE(A1876, ""en"", ""te""),"""")"),"[ 'ఒక కెప్టెన్ ద్వారా ఒక సిరీస్లో 9 వ అత్యధిక పరుగులు (687)', '3 వ అత్యధిక కెరీర్ బ్యాటింగ్ సగటు (61.80)', 'హండ్రెడ్ ఒక మ్యాచ్లో ప్రతి ఇన్నింగ్స్లో', 'ఒక మ్యాచ్ లో రెండు అజేయంగా అర్ధ', '1st వేగంగా 7000 పరుగులు (126) ',' 1 వ ఇన్నింగ్స్ లో అత్యధిక క్యాచ్లు "&amp;"(5) ',' ఒక కెప్టెన్తో 5000 పరుగులు మరియు 50 ఫీల్డింగ్ వికెట్లు ',' ఇన్నింగ్స్ లో 8 వ అత్యధిక పరుగులు (164) ',' 3 వ ఖండంలో మూడో కొరకు చేసిన భాగస్వామ్యం వికెట్ (242) ',' వరుస మ్యాచ్లలో 4 వ వందల (4) ',' వరుస ఇన్నింగ్స్లో 2 వ యాభైల్లో (7) ']")</f>
        <v>[ 'ఒక కెప్టెన్ ద్వారా ఒక సిరీస్లో 9 వ అత్యధిక పరుగులు (687)', '3 వ అత్యధిక కెరీర్ బ్యాటింగ్ సగటు (61.80)', 'హండ్రెడ్ ఒక మ్యాచ్లో ప్రతి ఇన్నింగ్స్లో', 'ఒక మ్యాచ్ లో రెండు అజేయంగా అర్ధ', '1st వేగంగా 7000 పరుగులు (126) ',' 1 వ ఇన్నింగ్స్ లో అత్యధిక క్యాచ్లు (5) ',' ఒక కెప్టెన్తో 5000 పరుగులు మరియు 50 ఫీల్డింగ్ వికెట్లు ',' ఇన్నింగ్స్ లో 8 వ అత్యధిక పరుగులు (164) ',' 3 వ ఖండంలో మూడో కొరకు చేసిన భాగస్వామ్యం వికెట్ (242) ',' వరుస మ్యాచ్లలో 4 వ వందల (4) ',' వరుస ఇన్నింగ్స్లో 2 వ యాభైల్లో (7) ']</v>
      </c>
      <c r="C1876" s="2" t="s">
        <v>1154</v>
      </c>
      <c r="D1876" s="2" t="str">
        <f>IFERROR(__xludf.DUMMYFUNCTION("IF(C1876&lt;&gt;"""", GOOGLETRANSLATE(C1876, ""en"", ""te""),"""")"),"[ '37 వ అత్యధిక కెరీర్ లో పరుగులు (7540)', 'వరుస 12 వ అత్యధిక పరుగులు (774)', '13 వ ఒక క్యాలెండర్ సంవత్సరంలో అత్యధిక పరుగులు (1474)', 'ఒక కెప్టెన్ ద్వారా ఒక సిరీస్లో 9 వ అత్యధిక పరుగులు (687) ',' ఒక కెప్టెన్తో ఇన్నింగ్స్ 27 వ అత్యధిక పరుగులు (239) ',' 3 వ"&amp;" అత్యధిక కెరీర్ బ్యాటింగ్ సగటు (61.80) ',' ఇన్నింగ్స్ లో 36 వ అత్యధిక స్ట్రైక్ రేట్ (180.00) ',' 17 వ అత్యంత జీవితంలో వందల (27 ) ',' ఒక కెరీర్లో 27 వ అత్యధిక డబుల్ సెంచరీలు (3) ',' వరుస 2 వ అత్యధిక వందలు (4) ',' 6 వ ఒక క్యాలెండర్ సంవత్సరంలో అత్యధిక వందలు"&amp;" (6) ',' 4 వ ఒక జట్టు వ్యతిరేకంగా అత్యధిక వందలు (11 ) ',' వరుస మ్యాచ్లలో 5 వ వందల (4) ',' 31 మోస్ట్ అర్ధ కెరీర్లో (58) ',' వరుస ఇన్నింగ్స్లో 7 వ యాభైల్లో (6) ',' వరుస మ్యాచ్లలో 26 యాభైల్లో (7) ',' 31 అతి తక్కువ కెరీర్లో బాతులు (27.8) ',' 45 వ కెరీర్ లో "&amp;"వచ్చిన ఎక్కువ సిక్స్ (43) ',' 44 వ అత్యంత ఫోర్లు కెరీర్లో (835) ',' 17 వ 3000 పరుగులు (63) ',' 12 వ 4000 పరుగులు వేగంగా (80) వేగంగా ',' 5000 పరుగులు వేగంగా 7 వ (97) ',' 2nd 6000 వేగంగా పరుగులు (111) ',' 7000 పరుగులు (126) ',' 19 వ అత్యధిక క్యాచ్లు కు 1 వ "&amp;"వేగవంతమైన కెరీర్లో (123) ',' 1 ఒక మ్యాచ్ (6) ',' 10th ఒక సిరీస్లో అత్యధిక క్యాచ్లు (12) ',' ఐదవ వికెట్కు 12 వ అత్యధిక భాగస్వామ్యం (301) ',' 39 వ లో ఒక ఇన్నింగ్స్ లో స్టంప్ అత్యధిక క్యాచ్లు (5) ',' 8 వ అత్యధిక క్యాచ్లు ఒక జట్టు వరుస మ్యాచ్లు (59) ',' 11 వ"&amp;" అత్యంత ప్లేయర్ ఆఫ్ ది మ్యాచ్ అవార్డులు (12) ',' 24 వ అత్యంత ప్లేయర్ ఆఫ్ ది సిరీస్ అవార్డులు (4) ',' 36 వ కెప్టెన్గా అత్యధిక మ్యాచ్లు ( 34) ',' 18 వ వరుస మ్యాచ్లు ఒక జట్టు కెప్టెన్గా (31) ',' 37 వ పిన్న కాప్టెన్ (25y 198d) ']")</f>
        <v>[ '37 వ అత్యధిక కెరీర్ లో పరుగులు (7540)', 'వరుస 12 వ అత్యధిక పరుగులు (774)', '13 వ ఒక క్యాలెండర్ సంవత్సరంలో అత్యధిక పరుగులు (1474)', 'ఒక కెప్టెన్ ద్వారా ఒక సిరీస్లో 9 వ అత్యధిక పరుగులు (687) ',' ఒక కెప్టెన్తో ఇన్నింగ్స్ 27 వ అత్యధిక పరుగులు (239) ',' 3 వ అత్యధిక కెరీర్ బ్యాటింగ్ సగటు (61.80) ',' ఇన్నింగ్స్ లో 36 వ అత్యధిక స్ట్రైక్ రేట్ (180.00) ',' 17 వ అత్యంత జీవితంలో వందల (27 ) ',' ఒక కెరీర్లో 27 వ అత్యధిక డబుల్ సెంచరీలు (3) ',' వరుస 2 వ అత్యధిక వందలు (4) ',' 6 వ ఒక క్యాలెండర్ సంవత్సరంలో అత్యధిక వందలు (6) ',' 4 వ ఒక జట్టు వ్యతిరేకంగా అత్యధిక వందలు (11 ) ',' వరుస మ్యాచ్లలో 5 వ వందల (4) ',' 31 మోస్ట్ అర్ధ కెరీర్లో (58) ',' వరుస ఇన్నింగ్స్లో 7 వ యాభైల్లో (6) ',' వరుస మ్యాచ్లలో 26 యాభైల్లో (7) ',' 31 అతి తక్కువ కెరీర్లో బాతులు (27.8) ',' 45 వ కెరీర్ లో వచ్చిన ఎక్కువ సిక్స్ (43) ',' 44 వ అత్యంత ఫోర్లు కెరీర్లో (835) ',' 17 వ 3000 పరుగులు (63) ',' 12 వ 4000 పరుగులు వేగంగా (80) వేగంగా ',' 5000 పరుగులు వేగంగా 7 వ (97) ',' 2nd 6000 వేగంగా పరుగులు (111) ',' 7000 పరుగులు (126) ',' 19 వ అత్యధిక క్యాచ్లు కు 1 వ వేగవంతమైన కెరీర్లో (123) ',' 1 ఒక మ్యాచ్ (6) ',' 10th ఒక సిరీస్లో అత్యధిక క్యాచ్లు (12) ',' ఐదవ వికెట్కు 12 వ అత్యధిక భాగస్వామ్యం (301) ',' 39 వ లో ఒక ఇన్నింగ్స్ లో స్టంప్ అత్యధిక క్యాచ్లు (5) ',' 8 వ అత్యధిక క్యాచ్లు ఒక జట్టు వరుస మ్యాచ్లు (59) ',' 11 వ అత్యంత ప్లేయర్ ఆఫ్ ది మ్యాచ్ అవార్డులు (12) ',' 24 వ అత్యంత ప్లేయర్ ఆఫ్ ది సిరీస్ అవార్డులు (4) ',' 36 వ కెప్టెన్గా అత్యధిక మ్యాచ్లు ( 34) ',' 18 వ వరుస మ్యాచ్లు ఒక జట్టు కెప్టెన్గా (31) ',' 37 వ పిన్న కాప్టెన్ (25y 198d) ']</v>
      </c>
      <c r="E1876" s="2" t="s">
        <v>1155</v>
      </c>
      <c r="F1876" s="2" t="str">
        <f>IFERROR(__xludf.DUMMYFUNCTION("IF(E1876&lt;&gt;"""", GOOGLETRANSLATE(E1876, ""en"", ""te""),"""")"),"[ 'ఇన్నింగ్స్ లో 9 వ అత్యధిక పరుగులు (బ్యాటింగ్ స్థానంలో ప్రకారం) (164)', 'ఒక కెప్టెన్తో 8 వ ఇన్నింగ్స్ లో అత్యధిక పరుగులు (164)', '38 వ అత్యధిక కెరీర్ బ్యాటింగ్ సగటు (43.34)', '41 వ అత్యంత ఒక లో వందల కెరీర్ (11) ',' 19 ఒక జట్టు వ్యతిరేకంగా అత్యధిక వందలు "&amp;"(5) ',' వరుస ఇన్నింగ్స్లో 11 వ యాభైల్లో (5) ',' 32 వ 2000 పరుగులు వేగంగా (55) ',' 16 వ 3000 పరుగులు (79) వేగంగా ' , '4000 పరుగులు (106) వేగంగా 16' '34 వ అత్యధిక భాగస్వామ్యాలు ఏ వికెట్కు (242)', 'మూడో వికెట్కు 3 వ అత్యధిక భాగస్వామ్యం (242)', 'ఏడవ వికెట్కు"&amp;" 43 వ అత్యధిక భాగస్వామ్యం (102)', 'ఎనిమిదవ వికెట్ (77 *) కోసం 40 వ అత్యధిక భాగస్వామ్యం', '45 వ అత్యంత ప్లేయర్ ఆఫ్ ది సిరీస్ అవార్డులు (3)']")</f>
        <v>[ 'ఇన్నింగ్స్ లో 9 వ అత్యధిక పరుగులు (బ్యాటింగ్ స్థానంలో ప్రకారం) (164)', 'ఒక కెప్టెన్తో 8 వ ఇన్నింగ్స్ లో అత్యధిక పరుగులు (164)', '38 వ అత్యధిక కెరీర్ బ్యాటింగ్ సగటు (43.34)', '41 వ అత్యంత ఒక లో వందల కెరీర్ (11) ',' 19 ఒక జట్టు వ్యతిరేకంగా అత్యధిక వందలు (5) ',' వరుస ఇన్నింగ్స్లో 11 వ యాభైల్లో (5) ',' 32 వ 2000 పరుగులు వేగంగా (55) ',' 16 వ 3000 పరుగులు (79) వేగంగా ' , '4000 పరుగులు (106) వేగంగా 16' '34 వ అత్యధిక భాగస్వామ్యాలు ఏ వికెట్కు (242)', 'మూడో వికెట్కు 3 వ అత్యధిక భాగస్వామ్యం (242)', 'ఏడవ వికెట్కు 43 వ అత్యధిక భాగస్వామ్యం (102)', 'ఎనిమిదవ వికెట్ (77 *) కోసం 40 వ అత్యధిక భాగస్వామ్యం', '45 వ అత్యంత ప్లేయర్ ఆఫ్ ది సిరీస్ అవార్డులు (3)']</v>
      </c>
      <c r="G1876" s="2" t="s">
        <v>1156</v>
      </c>
      <c r="H1876" s="2" t="str">
        <f>IFERROR(__xludf.DUMMYFUNCTION("IF(G1876&lt;&gt;"""", GOOGLETRANSLATE(G1876, ""en"", ""te""),"""")"),"[ '20 వ ఇన్నింగ్స్ లో అత్యధిక పరుగులు (బ్యాటింగ్ స్థానంలో ప్రకారం) (90)', '16 వ అత్యధిక పరుగులు పరాజయం వైపు ఒక మ్యాచ్లో (90)', 'ఒక కెప్టెన్తో ఇన్నింగ్స్ లో 19 అత్యధిక పరుగులు (90)', ' 36 వ అత్యంత డకౌట్ లేకుండా వరుసగా ఇన్నింగ్స్ (34 *) ',' 31 ఇన్నింగ్స్ ల"&amp;"ో వచ్చిన ఎక్కువ ఫోర్లు (11) ',' 32 వ కెరీర్ లో అత్యధిక క్యాచ్లు (29) ',' 15 వ ఇన్నింగ్స్ (3) ',' 20 వ అత్యధిక క్యాచ్లు మూడో వికెట్కు అత్యధిక భాగస్వామ్యం (112) ',' ఐదవ వికెట్కు 32 వ అత్యధిక భాగస్వామ్యం (74 *) ']")</f>
        <v>[ '20 వ ఇన్నింగ్స్ లో అత్యధిక పరుగులు (బ్యాటింగ్ స్థానంలో ప్రకారం) (90)', '16 వ అత్యధిక పరుగులు పరాజయం వైపు ఒక మ్యాచ్లో (90)', 'ఒక కెప్టెన్తో ఇన్నింగ్స్ లో 19 అత్యధిక పరుగులు (90)', ' 36 వ అత్యంత డకౌట్ లేకుండా వరుసగా ఇన్నింగ్స్ (34 *) ',' 31 ఇన్నింగ్స్ లో వచ్చిన ఎక్కువ ఫోర్లు (11) ',' 32 వ కెరీర్ లో అత్యధిక క్యాచ్లు (29) ',' 15 వ ఇన్నింగ్స్ (3) ',' 20 వ అత్యధిక క్యాచ్లు మూడో వికెట్కు అత్యధిక భాగస్వామ్యం (112) ',' ఐదవ వికెట్కు 32 వ అత్యధిక భాగస్వామ్యం (74 *) ']</v>
      </c>
      <c r="I1876" s="3"/>
    </row>
    <row r="1877" customHeight="1" spans="1:9">
      <c r="A1877" s="2" t="s">
        <v>1157</v>
      </c>
      <c r="B1877" s="2" t="str">
        <f>IFERROR(__xludf.DUMMYFUNCTION("IF(A1877&lt;&gt;"""", GOOGLETRANSLATE(A1877, ""en"", ""te""),"""")"),"[ 'కెరీర్లో 4 వ అత్యంత తొంభైల (9)', 'ఒక ఇన్నింగ్స్లో పరుగుల 2 వ అత్యధిక శాతం (66.84)']")</f>
        <v>[ 'కెరీర్లో 4 వ అత్యంత తొంభైల (9)', 'ఒక ఇన్నింగ్స్లో పరుగుల 2 వ అత్యధిక శాతం (66.84)']</v>
      </c>
      <c r="C1877" s="2" t="s">
        <v>1158</v>
      </c>
      <c r="D1877" s="2" t="str">
        <f>IFERROR(__xludf.DUMMYFUNCTION("IF(C1877&lt;&gt;"""", GOOGLETRANSLATE(C1877, ""en"", ""te""),"""")"),"[ '33 వ ఒక జట్టు వ్యతిరేకంగా అత్యధిక వందలు (7)', '4 వ అత్యంత తొంభైల కెరీర్లో (9)', '13 వ తొలి డక్ ముందు అత్యంత ఇన్నింగ్స్ (44' 46 వ 99 (199, 299 etc) (99) అవుటయ్యాడు ' ) ',' ఒక ఇన్నింగ్స్లో పరుగుల 2 వ అత్యధిక శాతం (66.84) ',' 17 వ 2000 వరకు వేగంగా పరుగుల"&amp;"ు (40) ',' 45 వ 3000 పరుగులు (వేగంగా 69) ',' 50th 5000 పరుగులు (120) వేగంగా ' '26 ఉత్తమ కెరీర్ బౌలింగ్ సరాసరి (అర్హత లేకుండా) (10.00)', 'తొలి వికెట్కు (269) కోసం 27 అత్యధిక భాగస్వామ్యం']")</f>
        <v>[ '33 వ ఒక జట్టు వ్యతిరేకంగా అత్యధిక వందలు (7)', '4 వ అత్యంత తొంభైల కెరీర్లో (9)', '13 వ తొలి డక్ ముందు అత్యంత ఇన్నింగ్స్ (44' 46 వ 99 (199, 299 etc) (99) అవుటయ్యాడు ' ) ',' ఒక ఇన్నింగ్స్లో పరుగుల 2 వ అత్యధిక శాతం (66.84) ',' 17 వ 2000 వరకు వేగంగా పరుగులు (40) ',' 45 వ 3000 పరుగులు (వేగంగా 69) ',' 50th 5000 పరుగులు (120) వేగంగా ' '26 ఉత్తమ కెరీర్ బౌలింగ్ సరాసరి (అర్హత లేకుండా) (10.00)', 'తొలి వికెట్కు (269) కోసం 27 అత్యధిక భాగస్వామ్యం']</v>
      </c>
      <c r="E1877" s="2" t="s">
        <v>1159</v>
      </c>
      <c r="F1877" s="2" t="str">
        <f>IFERROR(__xludf.DUMMYFUNCTION("IF(E1877&lt;&gt;"""", GOOGLETRANSLATE(E1877, ""en"", ""te""),"""")"),"[ '45 వ తొలి మ్యాచ్లో అత్యధిక పరుగులు (73)']")</f>
        <v>[ '45 వ తొలి మ్యాచ్లో అత్యధిక పరుగులు (73)']</v>
      </c>
      <c r="G1877" s="2"/>
      <c r="H1877" s="2" t="str">
        <f>IFERROR(__xludf.DUMMYFUNCTION("IF(G1877&lt;&gt;"""", GOOGLETRANSLATE(G1877, ""en"", ""te""),"""")"),"")</f>
        <v/>
      </c>
      <c r="I1877" s="3"/>
    </row>
    <row r="1878" customHeight="1" spans="1:9">
      <c r="A1878" s="2"/>
      <c r="B1878" s="2" t="str">
        <f>IFERROR(__xludf.DUMMYFUNCTION("IF(A1878&lt;&gt;"""", GOOGLETRANSLATE(A1878, ""en"", ""te""),"""")"),"")</f>
        <v/>
      </c>
      <c r="C1878" s="2"/>
      <c r="D1878" s="2" t="str">
        <f>IFERROR(__xludf.DUMMYFUNCTION("IF(C1878&lt;&gt;"""", GOOGLETRANSLATE(C1878, ""en"", ""te""),"""")"),"")</f>
        <v/>
      </c>
      <c r="E1878" s="2"/>
      <c r="F1878" s="2" t="str">
        <f>IFERROR(__xludf.DUMMYFUNCTION("IF(E1878&lt;&gt;"""", GOOGLETRANSLATE(E1878, ""en"", ""te""),"""")"),"")</f>
        <v/>
      </c>
      <c r="G1878" s="2"/>
      <c r="H1878" s="2" t="str">
        <f>IFERROR(__xludf.DUMMYFUNCTION("IF(G1878&lt;&gt;"""", GOOGLETRANSLATE(G1878, ""en"", ""te""),"""")"),"")</f>
        <v/>
      </c>
      <c r="I1878" s="3"/>
    </row>
    <row r="1879" customHeight="1" spans="1:9">
      <c r="A1879" s="2"/>
      <c r="B1879" s="2" t="str">
        <f>IFERROR(__xludf.DUMMYFUNCTION("IF(A1879&lt;&gt;"""", GOOGLETRANSLATE(A1879, ""en"", ""te""),"""")"),"")</f>
        <v/>
      </c>
      <c r="C1879" s="2"/>
      <c r="D1879" s="2" t="str">
        <f>IFERROR(__xludf.DUMMYFUNCTION("IF(C1879&lt;&gt;"""", GOOGLETRANSLATE(C1879, ""en"", ""te""),"""")"),"")</f>
        <v/>
      </c>
      <c r="E1879" s="2"/>
      <c r="F1879" s="2" t="str">
        <f>IFERROR(__xludf.DUMMYFUNCTION("IF(E1879&lt;&gt;"""", GOOGLETRANSLATE(E1879, ""en"", ""te""),"""")"),"")</f>
        <v/>
      </c>
      <c r="G1879" s="2"/>
      <c r="H1879" s="2" t="str">
        <f>IFERROR(__xludf.DUMMYFUNCTION("IF(G1879&lt;&gt;"""", GOOGLETRANSLATE(G1879, ""en"", ""te""),"""")"),"")</f>
        <v/>
      </c>
      <c r="I1879" s="3"/>
    </row>
    <row r="1880" customHeight="1" spans="1:9">
      <c r="A1880" s="2"/>
      <c r="B1880" s="2" t="str">
        <f>IFERROR(__xludf.DUMMYFUNCTION("IF(A1880&lt;&gt;"""", GOOGLETRANSLATE(A1880, ""en"", ""te""),"""")"),"")</f>
        <v/>
      </c>
      <c r="C1880" s="2"/>
      <c r="D1880" s="2" t="str">
        <f>IFERROR(__xludf.DUMMYFUNCTION("IF(C1880&lt;&gt;"""", GOOGLETRANSLATE(C1880, ""en"", ""te""),"""")"),"")</f>
        <v/>
      </c>
      <c r="E1880" s="2"/>
      <c r="F1880" s="2" t="str">
        <f>IFERROR(__xludf.DUMMYFUNCTION("IF(E1880&lt;&gt;"""", GOOGLETRANSLATE(E1880, ""en"", ""te""),"""")"),"")</f>
        <v/>
      </c>
      <c r="G1880" s="2"/>
      <c r="H1880" s="2" t="str">
        <f>IFERROR(__xludf.DUMMYFUNCTION("IF(G1880&lt;&gt;"""", GOOGLETRANSLATE(G1880, ""en"", ""te""),"""")"),"")</f>
        <v/>
      </c>
      <c r="I1880" s="3"/>
    </row>
    <row r="1881" customHeight="1" spans="1:9">
      <c r="A1881" s="2"/>
      <c r="B1881" s="2" t="str">
        <f>IFERROR(__xludf.DUMMYFUNCTION("IF(A1881&lt;&gt;"""", GOOGLETRANSLATE(A1881, ""en"", ""te""),"""")"),"")</f>
        <v/>
      </c>
      <c r="C1881" s="2"/>
      <c r="D1881" s="2" t="str">
        <f>IFERROR(__xludf.DUMMYFUNCTION("IF(C1881&lt;&gt;"""", GOOGLETRANSLATE(C1881, ""en"", ""te""),"""")"),"")</f>
        <v/>
      </c>
      <c r="E1881" s="2"/>
      <c r="F1881" s="2" t="str">
        <f>IFERROR(__xludf.DUMMYFUNCTION("IF(E1881&lt;&gt;"""", GOOGLETRANSLATE(E1881, ""en"", ""te""),"""")"),"")</f>
        <v/>
      </c>
      <c r="G1881" s="2"/>
      <c r="H1881" s="2" t="str">
        <f>IFERROR(__xludf.DUMMYFUNCTION("IF(G1881&lt;&gt;"""", GOOGLETRANSLATE(G1881, ""en"", ""te""),"""")"),"")</f>
        <v/>
      </c>
      <c r="I1881" s="3"/>
    </row>
    <row r="1882" customHeight="1" spans="1:9">
      <c r="A1882" s="2" t="s">
        <v>1160</v>
      </c>
      <c r="B1882" s="2" t="str">
        <f>IFERROR(__xludf.DUMMYFUNCTION("IF(A1882&lt;&gt;"""", GOOGLETRANSLATE(A1882, ""en"", ""te""),"""")"),"[ 'వరుస 3 వ అత్యధిక వికెట్లు (30)', 'ఇన్నింగ్స్ లో 5 వ ఉత్తమ సమ్మె రేటు (6.0)', '3 వ వరుస నాలుగు వికెట్లు-ఇన్-ఒక-ఇన్నింగ్స్ (2)', '7 వ అత్యధిక వరుస మ్యాచ్లు ఒక జట్టు (59 *) ',' కెరీర్ లో 6 వ అత్యధిక వికెట్లు (96) ',' 3 వ ఉత్తమ కెరీర్ సమ్మె రేటు (15.2) ','"&amp;" 1 వ వరుస నాలుగు వికెట్లు-ఇన్-ఒక-ఇన్నింగ్స్ (2) ',' 3 వ తీసుకున్న అత్యధిక వికెట్లు బౌల్డ్ (30) ']")</f>
        <v>[ 'వరుస 3 వ అత్యధిక వికెట్లు (30)', 'ఇన్నింగ్స్ లో 5 వ ఉత్తమ సమ్మె రేటు (6.0)', '3 వ వరుస నాలుగు వికెట్లు-ఇన్-ఒక-ఇన్నింగ్స్ (2)', '7 వ అత్యధిక వరుస మ్యాచ్లు ఒక జట్టు (59 *) ',' కెరీర్ లో 6 వ అత్యధిక వికెట్లు (96) ',' 3 వ ఉత్తమ కెరీర్ సమ్మె రేటు (15.2) ',' 1 వ వరుస నాలుగు వికెట్లు-ఇన్-ఒక-ఇన్నింగ్స్ (2) ',' 3 వ తీసుకున్న అత్యధిక వికెట్లు బౌల్డ్ (30) ']</v>
      </c>
      <c r="C1882" s="2"/>
      <c r="D1882" s="2" t="str">
        <f>IFERROR(__xludf.DUMMYFUNCTION("IF(C1882&lt;&gt;"""", GOOGLETRANSLATE(C1882, ""en"", ""te""),"""")"),"")</f>
        <v/>
      </c>
      <c r="E1882" s="2" t="s">
        <v>1161</v>
      </c>
      <c r="F1882" s="2" t="str">
        <f>IFERROR(__xludf.DUMMYFUNCTION("IF(E1882&lt;&gt;"""", GOOGLETRANSLATE(E1882, ""en"", ""te""),"""")"),"[ '21 వ కెరీర్ లో అత్యధిక వికెట్లు (99)', 'వరుస 3 వ అత్యధిక వికెట్లు (30)', 'ఒక క్యాలెండర్ సంవత్సరంలో 46 వ అత్యధిక వికెట్లు (21)', '45 వ ఒకే మైదానంలో అత్యధిక వికెట్లు (11)', '11 వ ఒక ఇన్నింగ్స్ లోని బెస్ట్ ఫిగర్స్ ఉన్నప్పుడు పరాజయం వైపు (4)', '11 వ ఉత్త"&amp;"మ కెరీర్ సమ్మె రేటు (31.0)', 'ఇన్నింగ్స్ లో 5 వ ఉత్తమ సమ్మె రేటు (6.0)', '35 వ చెత్త కెరీర్లో ఆర్థిక రేటు (4.22) ',' 15 వ అత్యంత నాలుగు వికెట్లు-ఇన్-ఒక-ఇన్నింగ్స్ కెరీర్లో (5) ',' 3 వ వరుస నాలుగు వికెట్లు-ఇన్-ఒక-ఇన్నింగ్స్ (2) ',' 38 వ కెరీర్ లో బౌల్డ్ చా"&amp;"లా బంతుల్లో (3071) ',' 29th కెరీర్లో సాధించిన అత్యధిక పరుగులు (2163) ',' 17 వ బౌలర్ / ఫీల్డర్ కలయికలు (15) ',' 13 వ అత్యధిక వికెట్లు తీసుకున్న బౌల్డ్ (29) ',' 22 వ అత్యధిక వికెట్లు తీసుకున్న ఆకర్షించింది (54) ',' 24 వ అత్యంత వికెట్లు ఒక ఫీల్డర్ చేత క్యాచ్"&amp;" తీసుకున్న (42) ',' 19 వ అత్యధిక వికెట్లు ఒక వికెట్ కీపర్ చే కాట్ తీసుకున్న (12) ',' 43 వ అత్యధిక వికెట్లు తీసుకున్న ఎల్బిడబ్ల్యు (11) ',' 47 వ ఒక సిరీస్లో అత్యధిక క్యాచ్లు (6) ']")</f>
        <v>[ '21 వ కెరీర్ లో అత్యధిక వికెట్లు (99)', 'వరుస 3 వ అత్యధిక వికెట్లు (30)', 'ఒక క్యాలెండర్ సంవత్సరంలో 46 వ అత్యధిక వికెట్లు (21)', '45 వ ఒకే మైదానంలో అత్యధిక వికెట్లు (11)', '11 వ ఒక ఇన్నింగ్స్ లోని బెస్ట్ ఫిగర్స్ ఉన్నప్పుడు పరాజయం వైపు (4)', '11 వ ఉత్తమ కెరీర్ సమ్మె రేటు (31.0)', 'ఇన్నింగ్స్ లో 5 వ ఉత్తమ సమ్మె రేటు (6.0)', '35 వ చెత్త కెరీర్లో ఆర్థిక రేటు (4.22) ',' 15 వ అత్యంత నాలుగు వికెట్లు-ఇన్-ఒక-ఇన్నింగ్స్ కెరీర్లో (5) ',' 3 వ వరుస నాలుగు వికెట్లు-ఇన్-ఒక-ఇన్నింగ్స్ (2) ',' 38 వ కెరీర్ లో బౌల్డ్ చాలా బంతుల్లో (3071) ',' 29th కెరీర్లో సాధించిన అత్యధిక పరుగులు (2163) ',' 17 వ బౌలర్ / ఫీల్డర్ కలయికలు (15) ',' 13 వ అత్యధిక వికెట్లు తీసుకున్న బౌల్డ్ (29) ',' 22 వ అత్యధిక వికెట్లు తీసుకున్న ఆకర్షించింది (54) ',' 24 వ అత్యంత వికెట్లు ఒక ఫీల్డర్ చేత క్యాచ్ తీసుకున్న (42) ',' 19 వ అత్యధిక వికెట్లు ఒక వికెట్ కీపర్ చే కాట్ తీసుకున్న (12) ',' 43 వ అత్యధిక వికెట్లు తీసుకున్న ఎల్బిడబ్ల్యు (11) ',' 47 వ ఒక సిరీస్లో అత్యధిక క్యాచ్లు (6) ']</v>
      </c>
      <c r="G1882" s="2" t="s">
        <v>1162</v>
      </c>
      <c r="H1882" s="2" t="str">
        <f>IFERROR(__xludf.DUMMYFUNCTION("IF(G1882&lt;&gt;"""", GOOGLETRANSLATE(G1882, ""en"", ""te""),"""")"),"[ 'కెరీర్లో 6 వ అత్యధిక వికెట్లు (96)', '7th ఒక క్యాలెండర్ సంవత్సరంలో అత్యధిక వికెట్లు (28)', '(15.2) 3 వ ఉత్తమ కెరీర్ సమ్మె రేటు', '32 వ,' 11 వ సగటు (15.35) బౌలింగ్ ఉత్తమ కెరీర్లో 'చెత్త వృత్తి ఆర్థిక రేటు (6.05) ',' ఇన్నింగ్స్ (13.66) ',' 4 వ అత్యంత నాల"&amp;"ుగు వికెట్లు-ఇన్-ఒక-ఇన్నింగ్స్ కెరీర్లో (3) ',' 1 వ వరుస నాలుగు వికెట్ల లో 50 వ చెత్త ఆర్థిక రేటు -an-ఇన్నింగ్స్ (2) ',' 15 వ కెరీర్ లో బౌల్డ్ చాలా బంతుల్లో (1461) ',' 14 వ కెరీర్ లో సాధించిన అత్యధిక పరుగులు (1474) ',' 18 వ బౌలర్ / బ్యాట్స్ కలయికలు (4) ',"&amp;"' 5 వ బౌలర్ / ఫీల్డర్ కాంబినేషన్ (12) ',' 3 వ అత్యంత బౌల్డ్ వికెట్లు తీసుకున్నారు (30) ',' 7 వ అత్యధిక వికెట్లు తీసుకున్న ఆకర్షించింది (55) ',' 8 వ అత్యధిక వికెట్లు ఒక ఫీల్డర్ చేత క్యాచ్ తీసుకున్న (48) ',' 12 వ అత్యధిక వికెట్లు ఒక వికెట్ కీపర్ చే కాట్ తీస"&amp;"ుకున్న (7) ',' 36 వ అత్యధిక వికెట్లు తీసుకున్న ఎల్బిడబ్ల్యు (6) ',' 43 వ అత్యధిక వికెట్లు కెరీర్లో తీసుకున్న స్టంప్ (5) ',' 48 వ అత్యధిక మ్యాచ్లు (73) ',' ఒక జట్టు 7 వ వరుస మ్యాచ్లు (59 *) ',' కెరీర్ (6) 27 వ పనికత్తెలయొద్ద ']")</f>
        <v>[ 'కెరీర్లో 6 వ అత్యధిక వికెట్లు (96)', '7th ఒక క్యాలెండర్ సంవత్సరంలో అత్యధిక వికెట్లు (28)', '(15.2) 3 వ ఉత్తమ కెరీర్ సమ్మె రేటు', '32 వ,' 11 వ సగటు (15.35) బౌలింగ్ ఉత్తమ కెరీర్లో 'చెత్త వృత్తి ఆర్థిక రేటు (6.05) ',' ఇన్నింగ్స్ (13.66) ',' 4 వ అత్యంత నాలుగు వికెట్లు-ఇన్-ఒక-ఇన్నింగ్స్ కెరీర్లో (3) ',' 1 వ వరుస నాలుగు వికెట్ల లో 50 వ చెత్త ఆర్థిక రేటు -an-ఇన్నింగ్స్ (2) ',' 15 వ కెరీర్ లో బౌల్డ్ చాలా బంతుల్లో (1461) ',' 14 వ కెరీర్ లో సాధించిన అత్యధిక పరుగులు (1474) ',' 18 వ బౌలర్ / బ్యాట్స్ కలయికలు (4) ',' 5 వ బౌలర్ / ఫీల్డర్ కాంబినేషన్ (12) ',' 3 వ అత్యంత బౌల్డ్ వికెట్లు తీసుకున్నారు (30) ',' 7 వ అత్యధిక వికెట్లు తీసుకున్న ఆకర్షించింది (55) ',' 8 వ అత్యధిక వికెట్లు ఒక ఫీల్డర్ చేత క్యాచ్ తీసుకున్న (48) ',' 12 వ అత్యధిక వికెట్లు ఒక వికెట్ కీపర్ చే కాట్ తీసుకున్న (7) ',' 36 వ అత్యధిక వికెట్లు తీసుకున్న ఎల్బిడబ్ల్యు (6) ',' 43 వ అత్యధిక వికెట్లు కెరీర్లో తీసుకున్న స్టంప్ (5) ',' 48 వ అత్యధిక మ్యాచ్లు (73) ',' ఒక జట్టు 7 వ వరుస మ్యాచ్లు (59 *) ',' కెరీర్ (6) 27 వ పనికత్తెలయొద్ద ']</v>
      </c>
      <c r="I1882" s="3"/>
    </row>
    <row r="1883" customHeight="1" spans="1:9">
      <c r="A1883" s="2" t="s">
        <v>732</v>
      </c>
      <c r="B1883" s="2" t="str">
        <f>IFERROR(__xludf.DUMMYFUNCTION("IF(A1883&lt;&gt;"""", GOOGLETRANSLATE(A1883, ""en"", ""te""),"""")"),"[ 'వరుస ఇన్నింగ్స్లో 3 వ యాభైల్లో (3)' 'బ్యాటింగ్ తెరవడం మరియు అదే మ్యాచ్ లో బౌలింగ్',]")</f>
        <v>[ 'వరుస ఇన్నింగ్స్లో 3 వ యాభైల్లో (3)' 'బ్యాటింగ్ తెరవడం మరియు అదే మ్యాచ్ లో బౌలింగ్',]</v>
      </c>
      <c r="C1883" s="2"/>
      <c r="D1883" s="2" t="str">
        <f>IFERROR(__xludf.DUMMYFUNCTION("IF(C1883&lt;&gt;"""", GOOGLETRANSLATE(C1883, ""en"", ""te""),"""")"),"")</f>
        <v/>
      </c>
      <c r="E1883" s="2"/>
      <c r="F1883" s="2" t="str">
        <f>IFERROR(__xludf.DUMMYFUNCTION("IF(E1883&lt;&gt;"""", GOOGLETRANSLATE(E1883, ""en"", ""te""),"""")"),"")</f>
        <v/>
      </c>
      <c r="G1883" s="2" t="s">
        <v>1163</v>
      </c>
      <c r="H1883" s="2" t="str">
        <f>IFERROR(__xludf.DUMMYFUNCTION("IF(G1883&lt;&gt;"""", GOOGLETRANSLATE(G1883, ""en"", ""te""),"""")"),"[ '19 పరాజయం వైపు ఒక మ్యాచ్లో అత్యధిక పరుగులు (89)', 'ఒక కెప్టెన్తో ఇన్నింగ్స్ లో 22 వ అత్యధిక పరుగులు (89)', ఏ వికెట్కు, '47 వ అత్యధిక భాగస్వామ్యాలు' వరుస ఇన్నింగ్స్ (3) 3 వ యాభైల్లో ' (131) ',' రెండవ వికెట్ (131) కోసం 14 అత్యధిక భాగస్వామ్యం ']")</f>
        <v>[ '19 పరాజయం వైపు ఒక మ్యాచ్లో అత్యధిక పరుగులు (89)', 'ఒక కెప్టెన్తో ఇన్నింగ్స్ లో 22 వ అత్యధిక పరుగులు (89)', ఏ వికెట్కు, '47 వ అత్యధిక భాగస్వామ్యాలు' వరుస ఇన్నింగ్స్ (3) 3 వ యాభైల్లో ' (131) ',' రెండవ వికెట్ (131) కోసం 14 అత్యధిక భాగస్వామ్యం ']</v>
      </c>
      <c r="I1883" s="3"/>
    </row>
    <row r="1884" customHeight="1" spans="1:9">
      <c r="A1884" s="2"/>
      <c r="B1884" s="2" t="str">
        <f>IFERROR(__xludf.DUMMYFUNCTION("IF(A1884&lt;&gt;"""", GOOGLETRANSLATE(A1884, ""en"", ""te""),"""")"),"")</f>
        <v/>
      </c>
      <c r="C1884" s="2"/>
      <c r="D1884" s="2" t="str">
        <f>IFERROR(__xludf.DUMMYFUNCTION("IF(C1884&lt;&gt;"""", GOOGLETRANSLATE(C1884, ""en"", ""te""),"""")"),"")</f>
        <v/>
      </c>
      <c r="E1884" s="2"/>
      <c r="F1884" s="2" t="str">
        <f>IFERROR(__xludf.DUMMYFUNCTION("IF(E1884&lt;&gt;"""", GOOGLETRANSLATE(E1884, ""en"", ""te""),"""")"),"")</f>
        <v/>
      </c>
      <c r="G1884" s="2"/>
      <c r="H1884" s="2" t="str">
        <f>IFERROR(__xludf.DUMMYFUNCTION("IF(G1884&lt;&gt;"""", GOOGLETRANSLATE(G1884, ""en"", ""te""),"""")"),"")</f>
        <v/>
      </c>
      <c r="I1884" s="3"/>
    </row>
    <row r="1885" customHeight="1" spans="1:9">
      <c r="A1885" s="2"/>
      <c r="B1885" s="2" t="str">
        <f>IFERROR(__xludf.DUMMYFUNCTION("IF(A1885&lt;&gt;"""", GOOGLETRANSLATE(A1885, ""en"", ""te""),"""")"),"")</f>
        <v/>
      </c>
      <c r="C1885" s="2"/>
      <c r="D1885" s="2" t="str">
        <f>IFERROR(__xludf.DUMMYFUNCTION("IF(C1885&lt;&gt;"""", GOOGLETRANSLATE(C1885, ""en"", ""te""),"""")"),"")</f>
        <v/>
      </c>
      <c r="E1885" s="2"/>
      <c r="F1885" s="2" t="str">
        <f>IFERROR(__xludf.DUMMYFUNCTION("IF(E1885&lt;&gt;"""", GOOGLETRANSLATE(E1885, ""en"", ""te""),"""")"),"")</f>
        <v/>
      </c>
      <c r="G1885" s="2"/>
      <c r="H1885" s="2" t="str">
        <f>IFERROR(__xludf.DUMMYFUNCTION("IF(G1885&lt;&gt;"""", GOOGLETRANSLATE(G1885, ""en"", ""te""),"""")"),"")</f>
        <v/>
      </c>
      <c r="I1885" s="3"/>
    </row>
    <row r="1886" customHeight="1" spans="1:9">
      <c r="A1886" s="2"/>
      <c r="B1886" s="2" t="str">
        <f>IFERROR(__xludf.DUMMYFUNCTION("IF(A1886&lt;&gt;"""", GOOGLETRANSLATE(A1886, ""en"", ""te""),"""")"),"")</f>
        <v/>
      </c>
      <c r="C1886" s="2"/>
      <c r="D1886" s="2" t="str">
        <f>IFERROR(__xludf.DUMMYFUNCTION("IF(C1886&lt;&gt;"""", GOOGLETRANSLATE(C1886, ""en"", ""te""),"""")"),"")</f>
        <v/>
      </c>
      <c r="E1886" s="2"/>
      <c r="F1886" s="2" t="str">
        <f>IFERROR(__xludf.DUMMYFUNCTION("IF(E1886&lt;&gt;"""", GOOGLETRANSLATE(E1886, ""en"", ""te""),"""")"),"")</f>
        <v/>
      </c>
      <c r="G1886" s="2"/>
      <c r="H1886" s="2" t="str">
        <f>IFERROR(__xludf.DUMMYFUNCTION("IF(G1886&lt;&gt;"""", GOOGLETRANSLATE(G1886, ""en"", ""te""),"""")"),"")</f>
        <v/>
      </c>
      <c r="I1886" s="3"/>
    </row>
    <row r="1887" customHeight="1" spans="1:9">
      <c r="A1887" s="2" t="s">
        <v>1164</v>
      </c>
      <c r="B1887" s="2" t="str">
        <f>IFERROR(__xludf.DUMMYFUNCTION("IF(A1887&lt;&gt;"""", GOOGLETRANSLATE(A1887, ""en"", ""te""),"""")"),"[ '2 వ భాగం (బ్యాటింగ్ స్థానంలో ద్వారా) ఒక ఇన్నింగ్స్ లో నడుస్తుంది (146 *)', '4 వ చెత్త కెరీర్లో ఆర్థిక రేటు (6.12)', 'ఏడవ వికెట్కు 1st అత్యధిక భాగస్వామ్యం (92)']")</f>
        <v>[ '2 వ భాగం (బ్యాటింగ్ స్థానంలో ద్వారా) ఒక ఇన్నింగ్స్ లో నడుస్తుంది (146 *)', '4 వ చెత్త కెరీర్లో ఆర్థిక రేటు (6.12)', 'ఏడవ వికెట్కు 1st అత్యధిక భాగస్వామ్యం (92)']</v>
      </c>
      <c r="C1887" s="2"/>
      <c r="D1887" s="2" t="str">
        <f>IFERROR(__xludf.DUMMYFUNCTION("IF(C1887&lt;&gt;"""", GOOGLETRANSLATE(C1887, ""en"", ""te""),"""")"),"")</f>
        <v/>
      </c>
      <c r="E1887" s="2" t="s">
        <v>1165</v>
      </c>
      <c r="F1887" s="2" t="str">
        <f>IFERROR(__xludf.DUMMYFUNCTION("IF(E1887&lt;&gt;"""", GOOGLETRANSLATE(E1887, ""en"", ""te""),"""")"),"[ 'ఇన్నింగ్స్ లో 2 వ అత్యధిక పరుగులు (బ్యాటింగ్ స్థానంలో ప్రకారం) (146 *)', '22 వ కోల్పోకుండా వైపు (146 *) ఒక మ్యాచ్లో అత్యధిక పరుగులు', '24 వ అత్యధిక తొలి వంద (146 *)', '13 వ అత్యంత ఒక ఇన్నింగ్స్ లో సిక్సర్లు (11) ',' 50 వ ఇన్నింగ్స్ లో ఫోర్లు, సిక్సర్ల"&amp;"ు నుండి అత్యధిక పరుగులు (102) ',' 4 వ చెత్త కెరీర్లో ఆర్థిక రేటు (6.12) ',' పదవ వికెట్కు 28 అత్యధిక భాగస్వామ్యం (54) ']")</f>
        <v>[ 'ఇన్నింగ్స్ లో 2 వ అత్యధిక పరుగులు (బ్యాటింగ్ స్థానంలో ప్రకారం) (146 *)', '22 వ కోల్పోకుండా వైపు (146 *) ఒక మ్యాచ్లో అత్యధిక పరుగులు', '24 వ అత్యధిక తొలి వంద (146 *)', '13 వ అత్యంత ఒక ఇన్నింగ్స్ లో సిక్సర్లు (11) ',' 50 వ ఇన్నింగ్స్ లో ఫోర్లు, సిక్సర్లు నుండి అత్యధిక పరుగులు (102) ',' 4 వ చెత్త కెరీర్లో ఆర్థిక రేటు (6.12) ',' పదవ వికెట్కు 28 అత్యధిక భాగస్వామ్యం (54) ']</v>
      </c>
      <c r="G1887" s="2" t="s">
        <v>1166</v>
      </c>
      <c r="H1887" s="2" t="str">
        <f>IFERROR(__xludf.DUMMYFUNCTION("IF(G1887&lt;&gt;"""", GOOGLETRANSLATE(G1887, ""en"", ""te""),"""")"),"[ '15 వ ఇన్నింగ్స్ లో అత్యధిక పరుగులు (బ్యాటింగ్ స్థానంలో ప్రకారం) (78)', 'వికెట్ తేడాతో 7 వ అత్యధిక భాగస్వామ్యాల (7)' '45 వ పరాజయం వైపు (78) ఒక మ్యాచ్లో అత్యధిక పరుగులు', '1 వ అత్యధిక కొరకు చేసిన భాగస్వామ్యం ఏడవ వికెట్ (92) ']")</f>
        <v>[ '15 వ ఇన్నింగ్స్ లో అత్యధిక పరుగులు (బ్యాటింగ్ స్థానంలో ప్రకారం) (78)', 'వికెట్ తేడాతో 7 వ అత్యధిక భాగస్వామ్యాల (7)' '45 వ పరాజయం వైపు (78) ఒక మ్యాచ్లో అత్యధిక పరుగులు', '1 వ అత్యధిక కొరకు చేసిన భాగస్వామ్యం ఏడవ వికెట్ (92) ']</v>
      </c>
      <c r="I1887" s="3"/>
    </row>
    <row r="1888" customHeight="1" spans="1:9">
      <c r="A1888" s="2"/>
      <c r="B1888" s="2" t="str">
        <f>IFERROR(__xludf.DUMMYFUNCTION("IF(A1888&lt;&gt;"""", GOOGLETRANSLATE(A1888, ""en"", ""te""),"""")"),"")</f>
        <v/>
      </c>
      <c r="C1888" s="2" t="s">
        <v>1167</v>
      </c>
      <c r="D1888" s="2" t="str">
        <f>IFERROR(__xludf.DUMMYFUNCTION("IF(C1888&lt;&gt;"""", GOOGLETRANSLATE(C1888, ""en"", ""te""),"""")"),"[, '13 వ ఉత్తమ కెరీర్ సమ్మె రేటు (45.1)', 'ఇన్నింగ్స్ లో 47 వ ఉత్తమ సమ్మె రేటు (9.4)', '17 వ' 47 వ ఉత్తమ కెరీర్ సగటు (22.73) బౌలింగ్ '' 11 వ వరుస (4) అత్యంత బాతులు ' 50 వికెట్లు ప్రవేశం (9) ',' 20 వ వేగంగా ఒక మ్యాచ్లో బెస్ట్ ఫిగర్స్ (10) ']")</f>
        <v>[, '13 వ ఉత్తమ కెరీర్ సమ్మె రేటు (45.1)', 'ఇన్నింగ్స్ లో 47 వ ఉత్తమ సమ్మె రేటు (9.4)', '17 వ' 47 వ ఉత్తమ కెరీర్ సగటు (22.73) బౌలింగ్ '' 11 వ వరుస (4) అత్యంత బాతులు ' 50 వికెట్లు ప్రవేశం (9) ',' 20 వ వేగంగా ఒక మ్యాచ్లో బెస్ట్ ఫిగర్స్ (10) ']</v>
      </c>
      <c r="E1888" s="2"/>
      <c r="F1888" s="2" t="str">
        <f>IFERROR(__xludf.DUMMYFUNCTION("IF(E1888&lt;&gt;"""", GOOGLETRANSLATE(E1888, ""en"", ""te""),"""")"),"")</f>
        <v/>
      </c>
      <c r="G1888" s="2"/>
      <c r="H1888" s="2" t="str">
        <f>IFERROR(__xludf.DUMMYFUNCTION("IF(G1888&lt;&gt;"""", GOOGLETRANSLATE(G1888, ""en"", ""te""),"""")"),"")</f>
        <v/>
      </c>
      <c r="I1888" s="3"/>
    </row>
    <row r="1889" customHeight="1" spans="1:9">
      <c r="A1889" s="2"/>
      <c r="B1889" s="2" t="str">
        <f>IFERROR(__xludf.DUMMYFUNCTION("IF(A1889&lt;&gt;"""", GOOGLETRANSLATE(A1889, ""en"", ""te""),"""")"),"")</f>
        <v/>
      </c>
      <c r="C1889" s="2"/>
      <c r="D1889" s="2" t="str">
        <f>IFERROR(__xludf.DUMMYFUNCTION("IF(C1889&lt;&gt;"""", GOOGLETRANSLATE(C1889, ""en"", ""te""),"""")"),"")</f>
        <v/>
      </c>
      <c r="E1889" s="2"/>
      <c r="F1889" s="2" t="str">
        <f>IFERROR(__xludf.DUMMYFUNCTION("IF(E1889&lt;&gt;"""", GOOGLETRANSLATE(E1889, ""en"", ""te""),"""")"),"")</f>
        <v/>
      </c>
      <c r="G1889" s="2"/>
      <c r="H1889" s="2" t="str">
        <f>IFERROR(__xludf.DUMMYFUNCTION("IF(G1889&lt;&gt;"""", GOOGLETRANSLATE(G1889, ""en"", ""te""),"""")"),"")</f>
        <v/>
      </c>
      <c r="I1889" s="3"/>
    </row>
    <row r="1890" customHeight="1" spans="1:9">
      <c r="A1890" s="2"/>
      <c r="B1890" s="2" t="str">
        <f>IFERROR(__xludf.DUMMYFUNCTION("IF(A1890&lt;&gt;"""", GOOGLETRANSLATE(A1890, ""en"", ""te""),"""")"),"")</f>
        <v/>
      </c>
      <c r="C1890" s="2" t="s">
        <v>1168</v>
      </c>
      <c r="D1890" s="2" t="str">
        <f>IFERROR(__xludf.DUMMYFUNCTION("IF(C1890&lt;&gt;"""", GOOGLETRANSLATE(C1890, ""en"", ""te""),"""")"),"[ 'మొదటి డక్ (37) ముందు 26 వ అధిక ఇన్నింగ్స్]")</f>
        <v>[ 'మొదటి డక్ (37) ముందు 26 వ అధిక ఇన్నింగ్స్]</v>
      </c>
      <c r="E1890" s="2"/>
      <c r="F1890" s="2" t="str">
        <f>IFERROR(__xludf.DUMMYFUNCTION("IF(E1890&lt;&gt;"""", GOOGLETRANSLATE(E1890, ""en"", ""te""),"""")"),"")</f>
        <v/>
      </c>
      <c r="G1890" s="2"/>
      <c r="H1890" s="2" t="str">
        <f>IFERROR(__xludf.DUMMYFUNCTION("IF(G1890&lt;&gt;"""", GOOGLETRANSLATE(G1890, ""en"", ""te""),"""")"),"")</f>
        <v/>
      </c>
      <c r="I1890" s="3"/>
    </row>
    <row r="1891" customHeight="1" spans="1:9">
      <c r="A1891" s="2" t="s">
        <v>399</v>
      </c>
      <c r="B1891" s="2" t="str">
        <f>IFERROR(__xludf.DUMMYFUNCTION("IF(A1891&lt;&gt;"""", GOOGLETRANSLATE(A1891, ""en"", ""te""),"""")"),"[ 'తొలి పెయిర్']")</f>
        <v>[ 'తొలి పెయిర్']</v>
      </c>
      <c r="C1891" s="2"/>
      <c r="D1891" s="2" t="str">
        <f>IFERROR(__xludf.DUMMYFUNCTION("IF(C1891&lt;&gt;"""", GOOGLETRANSLATE(C1891, ""en"", ""te""),"""")"),"")</f>
        <v/>
      </c>
      <c r="E1891" s="2"/>
      <c r="F1891" s="2" t="str">
        <f>IFERROR(__xludf.DUMMYFUNCTION("IF(E1891&lt;&gt;"""", GOOGLETRANSLATE(E1891, ""en"", ""te""),"""")"),"")</f>
        <v/>
      </c>
      <c r="G1891" s="2"/>
      <c r="H1891" s="2" t="str">
        <f>IFERROR(__xludf.DUMMYFUNCTION("IF(G1891&lt;&gt;"""", GOOGLETRANSLATE(G1891, ""en"", ""te""),"""")"),"")</f>
        <v/>
      </c>
      <c r="I1891" s="3"/>
    </row>
    <row r="1892" customHeight="1" spans="1:9">
      <c r="A1892" s="2"/>
      <c r="B1892" s="2" t="str">
        <f>IFERROR(__xludf.DUMMYFUNCTION("IF(A1892&lt;&gt;"""", GOOGLETRANSLATE(A1892, ""en"", ""te""),"""")"),"")</f>
        <v/>
      </c>
      <c r="C1892" s="2"/>
      <c r="D1892" s="2" t="str">
        <f>IFERROR(__xludf.DUMMYFUNCTION("IF(C1892&lt;&gt;"""", GOOGLETRANSLATE(C1892, ""en"", ""te""),"""")"),"")</f>
        <v/>
      </c>
      <c r="E1892" s="2" t="s">
        <v>1169</v>
      </c>
      <c r="F1892" s="2" t="str">
        <f>IFERROR(__xludf.DUMMYFUNCTION("IF(E1892&lt;&gt;"""", GOOGLETRANSLATE(E1892, ""en"", ""te""),"""")"),"[ '38 వ పిన్న ఆటగాడు వంద (21y 118d) స్కోర్']")</f>
        <v>[ '38 వ పిన్న ఆటగాడు వంద (21y 118d) స్కోర్']</v>
      </c>
      <c r="G1892" s="2"/>
      <c r="H1892" s="2" t="str">
        <f>IFERROR(__xludf.DUMMYFUNCTION("IF(G1892&lt;&gt;"""", GOOGLETRANSLATE(G1892, ""en"", ""te""),"""")"),"")</f>
        <v/>
      </c>
      <c r="I1892" s="3"/>
    </row>
    <row r="1893" customHeight="1" spans="1:9">
      <c r="A1893" s="2"/>
      <c r="B1893" s="2" t="str">
        <f>IFERROR(__xludf.DUMMYFUNCTION("IF(A1893&lt;&gt;"""", GOOGLETRANSLATE(A1893, ""en"", ""te""),"""")"),"")</f>
        <v/>
      </c>
      <c r="C1893" s="2"/>
      <c r="D1893" s="2" t="str">
        <f>IFERROR(__xludf.DUMMYFUNCTION("IF(C1893&lt;&gt;"""", GOOGLETRANSLATE(C1893, ""en"", ""te""),"""")"),"")</f>
        <v/>
      </c>
      <c r="E1893" s="2"/>
      <c r="F1893" s="2" t="str">
        <f>IFERROR(__xludf.DUMMYFUNCTION("IF(E1893&lt;&gt;"""", GOOGLETRANSLATE(E1893, ""en"", ""te""),"""")"),"")</f>
        <v/>
      </c>
      <c r="G1893" s="2"/>
      <c r="H1893" s="2" t="str">
        <f>IFERROR(__xludf.DUMMYFUNCTION("IF(G1893&lt;&gt;"""", GOOGLETRANSLATE(G1893, ""en"", ""te""),"""")"),"")</f>
        <v/>
      </c>
      <c r="I1893" s="3"/>
    </row>
    <row r="1894" customHeight="1" spans="1:9">
      <c r="A1894" s="2"/>
      <c r="B1894" s="2" t="str">
        <f>IFERROR(__xludf.DUMMYFUNCTION("IF(A1894&lt;&gt;"""", GOOGLETRANSLATE(A1894, ""en"", ""te""),"""")"),"")</f>
        <v/>
      </c>
      <c r="C1894" s="2"/>
      <c r="D1894" s="2" t="str">
        <f>IFERROR(__xludf.DUMMYFUNCTION("IF(C1894&lt;&gt;"""", GOOGLETRANSLATE(C1894, ""en"", ""te""),"""")"),"")</f>
        <v/>
      </c>
      <c r="E1894" s="2"/>
      <c r="F1894" s="2" t="str">
        <f>IFERROR(__xludf.DUMMYFUNCTION("IF(E1894&lt;&gt;"""", GOOGLETRANSLATE(E1894, ""en"", ""te""),"""")"),"")</f>
        <v/>
      </c>
      <c r="G1894" s="2"/>
      <c r="H1894" s="2" t="str">
        <f>IFERROR(__xludf.DUMMYFUNCTION("IF(G1894&lt;&gt;"""", GOOGLETRANSLATE(G1894, ""en"", ""te""),"""")"),"")</f>
        <v/>
      </c>
      <c r="I1894" s="3"/>
    </row>
    <row r="1895" customHeight="1" spans="1:9">
      <c r="A1895" s="2"/>
      <c r="B1895" s="2" t="str">
        <f>IFERROR(__xludf.DUMMYFUNCTION("IF(A1895&lt;&gt;"""", GOOGLETRANSLATE(A1895, ""en"", ""te""),"""")"),"")</f>
        <v/>
      </c>
      <c r="C1895" s="2"/>
      <c r="D1895" s="2" t="str">
        <f>IFERROR(__xludf.DUMMYFUNCTION("IF(C1895&lt;&gt;"""", GOOGLETRANSLATE(C1895, ""en"", ""te""),"""")"),"")</f>
        <v/>
      </c>
      <c r="E1895" s="2"/>
      <c r="F1895" s="2" t="str">
        <f>IFERROR(__xludf.DUMMYFUNCTION("IF(E1895&lt;&gt;"""", GOOGLETRANSLATE(E1895, ""en"", ""te""),"""")"),"")</f>
        <v/>
      </c>
      <c r="G1895" s="2" t="s">
        <v>1170</v>
      </c>
      <c r="H1895" s="2" t="str">
        <f>IFERROR(__xludf.DUMMYFUNCTION("IF(G1895&lt;&gt;"""", GOOGLETRANSLATE(G1895, ""en"", ""te""),"""")"),"[ '17 ఒక క్యాలెండర్ సంవత్సరంలో అత్యధిక పరుగులు (515)', '44 వ అత్యధిక కెరీర్ బ్యాటింగ్ సగటు (30.57)']")</f>
        <v>[ '17 ఒక క్యాలెండర్ సంవత్సరంలో అత్యధిక పరుగులు (515)', '44 వ అత్యధిక కెరీర్ బ్యాటింగ్ సగటు (30.57)']</v>
      </c>
      <c r="I1895" s="3"/>
    </row>
    <row r="1896" customHeight="1" spans="1:9">
      <c r="A1896" s="2"/>
      <c r="B1896" s="2" t="str">
        <f>IFERROR(__xludf.DUMMYFUNCTION("IF(A1896&lt;&gt;"""", GOOGLETRANSLATE(A1896, ""en"", ""te""),"""")"),"")</f>
        <v/>
      </c>
      <c r="C1896" s="2"/>
      <c r="D1896" s="2" t="str">
        <f>IFERROR(__xludf.DUMMYFUNCTION("IF(C1896&lt;&gt;"""", GOOGLETRANSLATE(C1896, ""en"", ""te""),"""")"),"")</f>
        <v/>
      </c>
      <c r="E1896" s="2"/>
      <c r="F1896" s="2" t="str">
        <f>IFERROR(__xludf.DUMMYFUNCTION("IF(E1896&lt;&gt;"""", GOOGLETRANSLATE(E1896, ""en"", ""te""),"""")"),"")</f>
        <v/>
      </c>
      <c r="G1896" s="2"/>
      <c r="H1896" s="2" t="str">
        <f>IFERROR(__xludf.DUMMYFUNCTION("IF(G1896&lt;&gt;"""", GOOGLETRANSLATE(G1896, ""en"", ""te""),"""")"),"")</f>
        <v/>
      </c>
      <c r="I1896" s="3"/>
    </row>
    <row r="1897" customHeight="1" spans="1:9">
      <c r="A1897" s="2"/>
      <c r="B1897" s="2" t="str">
        <f>IFERROR(__xludf.DUMMYFUNCTION("IF(A1897&lt;&gt;"""", GOOGLETRANSLATE(A1897, ""en"", ""te""),"""")"),"")</f>
        <v/>
      </c>
      <c r="C1897" s="2"/>
      <c r="D1897" s="2" t="str">
        <f>IFERROR(__xludf.DUMMYFUNCTION("IF(C1897&lt;&gt;"""", GOOGLETRANSLATE(C1897, ""en"", ""te""),"""")"),"")</f>
        <v/>
      </c>
      <c r="E1897" s="2"/>
      <c r="F1897" s="2" t="str">
        <f>IFERROR(__xludf.DUMMYFUNCTION("IF(E1897&lt;&gt;"""", GOOGLETRANSLATE(E1897, ""en"", ""te""),"""")"),"")</f>
        <v/>
      </c>
      <c r="G1897" s="2"/>
      <c r="H1897" s="2" t="str">
        <f>IFERROR(__xludf.DUMMYFUNCTION("IF(G1897&lt;&gt;"""", GOOGLETRANSLATE(G1897, ""en"", ""te""),"""")"),"")</f>
        <v/>
      </c>
      <c r="I1897" s="3"/>
    </row>
    <row r="1898" customHeight="1" spans="1:9">
      <c r="A1898" s="2"/>
      <c r="B1898" s="2" t="str">
        <f>IFERROR(__xludf.DUMMYFUNCTION("IF(A1898&lt;&gt;"""", GOOGLETRANSLATE(A1898, ""en"", ""te""),"""")"),"")</f>
        <v/>
      </c>
      <c r="C1898" s="2"/>
      <c r="D1898" s="2" t="str">
        <f>IFERROR(__xludf.DUMMYFUNCTION("IF(C1898&lt;&gt;"""", GOOGLETRANSLATE(C1898, ""en"", ""te""),"""")"),"")</f>
        <v/>
      </c>
      <c r="E1898" s="2" t="s">
        <v>1171</v>
      </c>
      <c r="F1898" s="2" t="str">
        <f>IFERROR(__xludf.DUMMYFUNCTION("IF(E1898&lt;&gt;"""", GOOGLETRANSLATE(E1898, ""en"", ""te""),"""")"),"[ '44 వ ఉత్తమ కెరీర్ బౌలింగ్ సరాసరి (అర్హత లేకుండా) (13.62)']")</f>
        <v>[ '44 వ ఉత్తమ కెరీర్ బౌలింగ్ సరాసరి (అర్హత లేకుండా) (13.62)']</v>
      </c>
      <c r="G1898" s="2"/>
      <c r="H1898" s="2" t="str">
        <f>IFERROR(__xludf.DUMMYFUNCTION("IF(G1898&lt;&gt;"""", GOOGLETRANSLATE(G1898, ""en"", ""te""),"""")"),"")</f>
        <v/>
      </c>
      <c r="I1898" s="3"/>
    </row>
    <row r="1899" customHeight="1" spans="1:9">
      <c r="A1899" s="2"/>
      <c r="B1899" s="2" t="str">
        <f>IFERROR(__xludf.DUMMYFUNCTION("IF(A1899&lt;&gt;"""", GOOGLETRANSLATE(A1899, ""en"", ""te""),"""")"),"")</f>
        <v/>
      </c>
      <c r="C1899" s="2"/>
      <c r="D1899" s="2" t="str">
        <f>IFERROR(__xludf.DUMMYFUNCTION("IF(C1899&lt;&gt;"""", GOOGLETRANSLATE(C1899, ""en"", ""te""),"""")"),"")</f>
        <v/>
      </c>
      <c r="E1899" s="2"/>
      <c r="F1899" s="2" t="str">
        <f>IFERROR(__xludf.DUMMYFUNCTION("IF(E1899&lt;&gt;"""", GOOGLETRANSLATE(E1899, ""en"", ""te""),"""")"),"")</f>
        <v/>
      </c>
      <c r="G1899" s="2"/>
      <c r="H1899" s="2" t="str">
        <f>IFERROR(__xludf.DUMMYFUNCTION("IF(G1899&lt;&gt;"""", GOOGLETRANSLATE(G1899, ""en"", ""te""),"""")"),"")</f>
        <v/>
      </c>
      <c r="I1899" s="3"/>
    </row>
    <row r="1900" customHeight="1" spans="1:9">
      <c r="A1900" s="2" t="s">
        <v>1172</v>
      </c>
      <c r="B1900" s="2" t="str">
        <f>IFERROR(__xludf.DUMMYFUNCTION("IF(A1900&lt;&gt;"""", GOOGLETRANSLATE(A1900, ""en"", ""te""),"""")"),"[ '1st పదకొండు సంఖ్య ఇన్నింగ్స్ లో టాప్ స్కోరింగ్ (50)', '10 వ ఉత్తమ కెరీర్ సమ్మె రేటు (44.5)', '50 వికెట్లు (8) 4 వ వేగవంతమైన']")</f>
        <v>[ '1st పదకొండు సంఖ్య ఇన్నింగ్స్ లో టాప్ స్కోరింగ్ (50)', '10 వ ఉత్తమ కెరీర్ సమ్మె రేటు (44.5)', '50 వికెట్లు (8) 4 వ వేగవంతమైన']</v>
      </c>
      <c r="C1900" s="2" t="s">
        <v>1173</v>
      </c>
      <c r="D1900" s="2" t="str">
        <f>IFERROR(__xludf.DUMMYFUNCTION("IF(C1900&lt;&gt;"""", GOOGLETRANSLATE(C1900, ""en"", ""te""),"""")"),"[ 'ఇన్నింగ్స్ లో 1 వ సంఖ్య పదకొండు టాప్ స్కోరింగ్ (50)' '18 వ అత్యంత ఇన్నింగ్స్ లో పరుగులు (బ్యాటింగ్ స్థానంలో ప్రకారం) (50)', 'ఒక మ్యాచ్లో 13 వ బెస్ట్ ఫిగర్స్ (14)', '24 వ ఉత్తమ ఒక లో సంఖ్యలు పరాజయం వైపు (7) ',' 15 వ పరాజయం వైపు ఒక మ్యాచ్ను ఉత్తమ బొమ్మ"&amp;"లు (11) ',' 10 వ ఉత్తమ కెరీర్ బౌలింగ్ చేస్తున్నప్పుడు సగటు (18.41) ',' 10 వ ఉత్తమ కెరీర్ సమ్మె రేటు (44.5) 'ఇన్నింగ్స్, '19 మోస్ట్ పది వికెట్లు లో ఒక మ్యాచ్ ఒక కెరీర్ (4)', '4 వ వేగవంతమైన 50 వికెట్లు (8)']")</f>
        <v>[ 'ఇన్నింగ్స్ లో 1 వ సంఖ్య పదకొండు టాప్ స్కోరింగ్ (50)' '18 వ అత్యంత ఇన్నింగ్స్ లో పరుగులు (బ్యాటింగ్ స్థానంలో ప్రకారం) (50)', 'ఒక మ్యాచ్లో 13 వ బెస్ట్ ఫిగర్స్ (14)', '24 వ ఉత్తమ ఒక లో సంఖ్యలు పరాజయం వైపు (7) ',' 15 వ పరాజయం వైపు ఒక మ్యాచ్ను ఉత్తమ బొమ్మలు (11) ',' 10 వ ఉత్తమ కెరీర్ బౌలింగ్ చేస్తున్నప్పుడు సగటు (18.41) ',' 10 వ ఉత్తమ కెరీర్ సమ్మె రేటు (44.5) 'ఇన్నింగ్స్, '19 మోస్ట్ పది వికెట్లు లో ఒక మ్యాచ్ ఒక కెరీర్ (4)', '4 వ వేగవంతమైన 50 వికెట్లు (8)']</v>
      </c>
      <c r="E1900" s="2"/>
      <c r="F1900" s="2" t="str">
        <f>IFERROR(__xludf.DUMMYFUNCTION("IF(E1900&lt;&gt;"""", GOOGLETRANSLATE(E1900, ""en"", ""te""),"""")"),"")</f>
        <v/>
      </c>
      <c r="G1900" s="2"/>
      <c r="H1900" s="2" t="str">
        <f>IFERROR(__xludf.DUMMYFUNCTION("IF(G1900&lt;&gt;"""", GOOGLETRANSLATE(G1900, ""en"", ""te""),"""")"),"")</f>
        <v/>
      </c>
      <c r="I1900" s="3"/>
    </row>
    <row r="1901" customHeight="1" spans="1:9">
      <c r="A1901" s="2" t="s">
        <v>1174</v>
      </c>
      <c r="B1901" s="2" t="str">
        <f>IFERROR(__xludf.DUMMYFUNCTION("IF(A1901&lt;&gt;"""", GOOGLETRANSLATE(A1901, ""en"", ""te""),"""")"),"[ '1st చాలా ఇన్నింగ్స్ లో నడుస్తుంది (బ్యాటింగ్ స్థానం) (42)']")</f>
        <v>[ '1st చాలా ఇన్నింగ్స్ లో నడుస్తుంది (బ్యాటింగ్ స్థానం) (42)']</v>
      </c>
      <c r="C1901" s="2" t="s">
        <v>1174</v>
      </c>
      <c r="D1901" s="2" t="str">
        <f>IFERROR(__xludf.DUMMYFUNCTION("IF(C1901&lt;&gt;"""", GOOGLETRANSLATE(C1901, ""en"", ""te""),"""")"),"[ '1st చాలా ఇన్నింగ్స్ లో నడుస్తుంది (బ్యాటింగ్ స్థానం) (42)']")</f>
        <v>[ '1st చాలా ఇన్నింగ్స్ లో నడుస్తుంది (బ్యాటింగ్ స్థానం) (42)']</v>
      </c>
      <c r="E1901" s="2" t="s">
        <v>1175</v>
      </c>
      <c r="F1901" s="2" t="str">
        <f>IFERROR(__xludf.DUMMYFUNCTION("IF(E1901&lt;&gt;"""", GOOGLETRANSLATE(E1901, ""en"", ""te""),"""")"),"[ 'ఇన్నింగ్స్ లో 9 వ అత్యధిక పరుగులు (27 *) (బ్యాటింగ్ స్థానం)', '18 వ వరుస మ్యాచ్లు ప్రదర్శనల మధ్య (43) జట్టు తప్పిన']")</f>
        <v>[ 'ఇన్నింగ్స్ లో 9 వ అత్యధిక పరుగులు (27 *) (బ్యాటింగ్ స్థానం)', '18 వ వరుస మ్యాచ్లు ప్రదర్శనల మధ్య (43) జట్టు తప్పిన']</v>
      </c>
      <c r="G1901" s="2"/>
      <c r="H1901" s="2" t="str">
        <f>IFERROR(__xludf.DUMMYFUNCTION("IF(G1901&lt;&gt;"""", GOOGLETRANSLATE(G1901, ""en"", ""te""),"""")"),"")</f>
        <v/>
      </c>
      <c r="I1901" s="3"/>
    </row>
    <row r="1902" customHeight="1" spans="1:9">
      <c r="A1902" s="2"/>
      <c r="B1902" s="2" t="str">
        <f>IFERROR(__xludf.DUMMYFUNCTION("IF(A1902&lt;&gt;"""", GOOGLETRANSLATE(A1902, ""en"", ""te""),"""")"),"")</f>
        <v/>
      </c>
      <c r="C1902" s="2"/>
      <c r="D1902" s="2" t="str">
        <f>IFERROR(__xludf.DUMMYFUNCTION("IF(C1902&lt;&gt;"""", GOOGLETRANSLATE(C1902, ""en"", ""te""),"""")"),"")</f>
        <v/>
      </c>
      <c r="E1902" s="2"/>
      <c r="F1902" s="2" t="str">
        <f>IFERROR(__xludf.DUMMYFUNCTION("IF(E1902&lt;&gt;"""", GOOGLETRANSLATE(E1902, ""en"", ""te""),"""")"),"")</f>
        <v/>
      </c>
      <c r="G1902" s="2"/>
      <c r="H1902" s="2" t="str">
        <f>IFERROR(__xludf.DUMMYFUNCTION("IF(G1902&lt;&gt;"""", GOOGLETRANSLATE(G1902, ""en"", ""te""),"""")"),"")</f>
        <v/>
      </c>
      <c r="I1902" s="3"/>
    </row>
    <row r="1903" customHeight="1" spans="1:9">
      <c r="A1903" s="2" t="s">
        <v>1176</v>
      </c>
      <c r="B1903" s="2" t="str">
        <f>IFERROR(__xludf.DUMMYFUNCTION("IF(A1903&lt;&gt;"""", GOOGLETRANSLATE(A1903, ""en"", ""te""),"""")"),"[ '10 వ ఇన్నింగ్స్ లో అత్యధిక పరుగులు (బ్యాటింగ్ స్థానంలో ప్రకారం) (41)']")</f>
        <v>[ '10 వ ఇన్నింగ్స్ లో అత్యధిక పరుగులు (బ్యాటింగ్ స్థానంలో ప్రకారం) (41)']</v>
      </c>
      <c r="C1903" s="2"/>
      <c r="D1903" s="2" t="str">
        <f>IFERROR(__xludf.DUMMYFUNCTION("IF(C1903&lt;&gt;"""", GOOGLETRANSLATE(C1903, ""en"", ""te""),"""")"),"")</f>
        <v/>
      </c>
      <c r="E1903" s="2"/>
      <c r="F1903" s="2" t="str">
        <f>IFERROR(__xludf.DUMMYFUNCTION("IF(E1903&lt;&gt;"""", GOOGLETRANSLATE(E1903, ""en"", ""te""),"""")"),"")</f>
        <v/>
      </c>
      <c r="G1903" s="2" t="s">
        <v>1176</v>
      </c>
      <c r="H1903" s="2" t="str">
        <f>IFERROR(__xludf.DUMMYFUNCTION("IF(G1903&lt;&gt;"""", GOOGLETRANSLATE(G1903, ""en"", ""te""),"""")"),"[ '10 వ ఇన్నింగ్స్ లో అత్యధిక పరుగులు (బ్యాటింగ్ స్థానంలో ప్రకారం) (41)']")</f>
        <v>[ '10 వ ఇన్నింగ్స్ లో అత్యధిక పరుగులు (బ్యాటింగ్ స్థానంలో ప్రకారం) (41)']</v>
      </c>
      <c r="I1903" s="3"/>
    </row>
    <row r="1904" customHeight="1" spans="1:9">
      <c r="A1904" s="2"/>
      <c r="B1904" s="2" t="str">
        <f>IFERROR(__xludf.DUMMYFUNCTION("IF(A1904&lt;&gt;"""", GOOGLETRANSLATE(A1904, ""en"", ""te""),"""")"),"")</f>
        <v/>
      </c>
      <c r="C1904" s="2"/>
      <c r="D1904" s="2" t="str">
        <f>IFERROR(__xludf.DUMMYFUNCTION("IF(C1904&lt;&gt;"""", GOOGLETRANSLATE(C1904, ""en"", ""te""),"""")"),"")</f>
        <v/>
      </c>
      <c r="E1904" s="2"/>
      <c r="F1904" s="2" t="str">
        <f>IFERROR(__xludf.DUMMYFUNCTION("IF(E1904&lt;&gt;"""", GOOGLETRANSLATE(E1904, ""en"", ""te""),"""")"),"")</f>
        <v/>
      </c>
      <c r="G1904" s="2"/>
      <c r="H1904" s="2" t="str">
        <f>IFERROR(__xludf.DUMMYFUNCTION("IF(G1904&lt;&gt;"""", GOOGLETRANSLATE(G1904, ""en"", ""te""),"""")"),"")</f>
        <v/>
      </c>
      <c r="I1904" s="3"/>
    </row>
    <row r="1905" customHeight="1" spans="1:9">
      <c r="A1905" s="2" t="s">
        <v>1177</v>
      </c>
      <c r="B1905" s="2" t="str">
        <f>IFERROR(__xludf.DUMMYFUNCTION("IF(A1905&lt;&gt;"""", GOOGLETRANSLATE(A1905, ""en"", ""te""),"""")"),"[ 'అత్యధిక వికెట్లు ఇన్నింగ్స్ లో 5 వ అత్యధిక పరుగులు (117)', 'హండ్రెడ్ తొలి (117)', 'వంద (19y 268d) స్కోర్ 4 వ పిన్న ఆటగాడు']")</f>
        <v>[ 'అత్యధిక వికెట్లు ఇన్నింగ్స్ లో 5 వ అత్యధిక పరుగులు (117)', 'హండ్రెడ్ తొలి (117)', 'వంద (19y 268d) స్కోర్ 4 వ పిన్న ఆటగాడు']</v>
      </c>
      <c r="C1905" s="2" t="s">
        <v>1178</v>
      </c>
      <c r="D1905" s="2" t="str">
        <f>IFERROR(__xludf.DUMMYFUNCTION("IF(C1905&lt;&gt;"""", GOOGLETRANSLATE(C1905, ""en"", ""te""),"""")"),"[ '12 వ అత్యంత వికెట్కీపర్ శ్రేణిలో పరుగులు (162)', 'అత్యధిక వికెట్లు ఇన్నింగ్స్ లో 5 వ అత్యధిక పరుగులు (117)', '34 వ అత్యధిక తొలి వంద' తొలి మ్యాచ్ (117) లో 14 వ అత్యధిక పరుగులు '(117 ) ',' వంద (19y స్కోర్ 4 వ పిన్న ఆటగాడు 268d) ',' ఆరవ వికెట్కు 17 అత్యధి"&amp;"క భాగస్వామ్యం (81) ']")</f>
        <v>[ '12 వ అత్యంత వికెట్కీపర్ శ్రేణిలో పరుగులు (162)', 'అత్యధిక వికెట్లు ఇన్నింగ్స్ లో 5 వ అత్యధిక పరుగులు (117)', '34 వ అత్యధిక తొలి వంద' తొలి మ్యాచ్ (117) లో 14 వ అత్యధిక పరుగులు '(117 ) ',' వంద (19y స్కోర్ 4 వ పిన్న ఆటగాడు 268d) ',' ఆరవ వికెట్కు 17 అత్యధిక భాగస్వామ్యం (81) ']</v>
      </c>
      <c r="E1905" s="2"/>
      <c r="F1905" s="2" t="str">
        <f>IFERROR(__xludf.DUMMYFUNCTION("IF(E1905&lt;&gt;"""", GOOGLETRANSLATE(E1905, ""en"", ""te""),"""")"),"")</f>
        <v/>
      </c>
      <c r="G1905" s="2"/>
      <c r="H1905" s="2" t="str">
        <f>IFERROR(__xludf.DUMMYFUNCTION("IF(G1905&lt;&gt;"""", GOOGLETRANSLATE(G1905, ""en"", ""te""),"""")"),"")</f>
        <v/>
      </c>
      <c r="I1905" s="3"/>
    </row>
    <row r="1906" customHeight="1" spans="1:9">
      <c r="A1906" s="2" t="s">
        <v>1179</v>
      </c>
      <c r="B1906" s="2" t="str">
        <f>IFERROR(__xludf.DUMMYFUNCTION("IF(A1906&lt;&gt;"""", GOOGLETRANSLATE(A1906, ""en"", ""te""),"""")"),"[ '7th చెత్త కెరీర్లో సమ్మె రేటు (154.7)' '1 వ అత్యుత్తమ బౌలింగ్ (1/0) ఇన్నింగ్స్ విశ్లేషణలలో']")</f>
        <v>[ '7th చెత్త కెరీర్లో సమ్మె రేటు (154.7)' '1 వ అత్యుత్తమ బౌలింగ్ (1/0) ఇన్నింగ్స్ విశ్లేషణలలో']</v>
      </c>
      <c r="C1906" s="2" t="s">
        <v>1180</v>
      </c>
      <c r="D1906" s="2" t="str">
        <f>IFERROR(__xludf.DUMMYFUNCTION("IF(C1906&lt;&gt;"""", GOOGLETRANSLATE(C1906, ""en"", ""te""),"""")"),"[ 'వరుస మ్యాచ్లలో 26 యాభైల్లో (7)', '1 వ అత్యుత్తమ బౌలింగ్ ఇన్నింగ్స్ లో విశ్లేషించడం (1/0)', ​​'7 వ చెత్త కెరీర్ బౌలింగ్ సరాసరి (66.73)', '7 వ చెత్త కెరీర్లో సమ్మె రేటు (154.7)']")</f>
        <v>[ 'వరుస మ్యాచ్లలో 26 యాభైల్లో (7)', '1 వ అత్యుత్తమ బౌలింగ్ ఇన్నింగ్స్ లో విశ్లేషించడం (1/0)', ​​'7 వ చెత్త కెరీర్ బౌలింగ్ సరాసరి (66.73)', '7 వ చెత్త కెరీర్లో సమ్మె రేటు (154.7)']</v>
      </c>
      <c r="E1906" s="2" t="s">
        <v>1181</v>
      </c>
      <c r="F1906" s="2" t="str">
        <f>IFERROR(__xludf.DUMMYFUNCTION("IF(E1906&lt;&gt;"""", GOOGLETRANSLATE(E1906, ""en"", ""te""),"""")"),"[ '17 వ పురాతన దేశం ఆటగాళ్ళు (80y 326d)']")</f>
        <v>[ '17 వ పురాతన దేశం ఆటగాళ్ళు (80y 326d)']</v>
      </c>
      <c r="G1906" s="2"/>
      <c r="H1906" s="2" t="str">
        <f>IFERROR(__xludf.DUMMYFUNCTION("IF(G1906&lt;&gt;"""", GOOGLETRANSLATE(G1906, ""en"", ""te""),"""")"),"")</f>
        <v/>
      </c>
      <c r="I1906" s="3"/>
    </row>
    <row r="1907" customHeight="1" spans="1:9">
      <c r="A1907" s="2" t="s">
        <v>1182</v>
      </c>
      <c r="B1907" s="2" t="str">
        <f>IFERROR(__xludf.DUMMYFUNCTION("IF(A1907&lt;&gt;"""", GOOGLETRANSLATE(A1907, ""en"", ""te""),"""")"),"[ 'ఇన్నింగ్స్ లో 6 వ అత్యధిక పరుగులు (బ్యాటింగ్ స్థానంలో ప్రకారం) (120 *)', 'ఐదవ వికెట్కు 2 వ అత్యధిక భాగస్వామ్యం (136)', '8 వ కెరీర్ లో అత్యధిక వికెట్లు (146)', '5 వ అత్యంత వృద్ధ ఆటగాడు రావడానికి తొలి అయిదు వికెట్లు-ఇన్-ఒక-ఇన్నింగ్స్ (30y 206d) ',' 4 వ క"&amp;"ెరీర్ (5964) లో బౌల్డ్ చాలా బంతుల్లో ',' 5 వ అత్యధిక కెరీర్ (3646) లో ఇవ్వబడిన పరుగులలో ',' 2 వ అత్యంత ఫీల్డర్ చేత క్యాచ్ తీసుకోబడిన వికెట్ల ( 80) ',' 10 వ కెరీర్ లో అత్యధిక క్యాచ్లు (49) ',' 1000 పరుగులు మరియు 100 వికెట్లు ',' 8 వ ఇన్నింగ్స్ లో అత్యధిక ప"&amp;"రుగులు (బ్యాటింగ్ స్థానంలో ప్రకారం) (46) ',' 2 వ బౌలర్ / బ్యాట్స్ కలయికలు (8) ' ]")</f>
        <v>[ 'ఇన్నింగ్స్ లో 6 వ అత్యధిక పరుగులు (బ్యాటింగ్ స్థానంలో ప్రకారం) (120 *)', 'ఐదవ వికెట్కు 2 వ అత్యధిక భాగస్వామ్యం (136)', '8 వ కెరీర్ లో అత్యధిక వికెట్లు (146)', '5 వ అత్యంత వృద్ధ ఆటగాడు రావడానికి తొలి అయిదు వికెట్లు-ఇన్-ఒక-ఇన్నింగ్స్ (30y 206d) ',' 4 వ కెరీర్ (5964) లో బౌల్డ్ చాలా బంతుల్లో ',' 5 వ అత్యధిక కెరీర్ (3646) లో ఇవ్వబడిన పరుగులలో ',' 2 వ అత్యంత ఫీల్డర్ చేత క్యాచ్ తీసుకోబడిన వికెట్ల ( 80) ',' 10 వ కెరీర్ లో అత్యధిక క్యాచ్లు (49) ',' 1000 పరుగులు మరియు 100 వికెట్లు ',' 8 వ ఇన్నింగ్స్ లో అత్యధిక పరుగులు (బ్యాటింగ్ స్థానంలో ప్రకారం) (46) ',' 2 వ బౌలర్ / బ్యాట్స్ కలయికలు (8) ' ]</v>
      </c>
      <c r="C1907" s="2" t="s">
        <v>1183</v>
      </c>
      <c r="D1907" s="2" t="str">
        <f>IFERROR(__xludf.DUMMYFUNCTION("IF(C1907&lt;&gt;"""", GOOGLETRANSLATE(C1907, ""en"", ""te""),"""")"),"[40 వ 'పరాజయం వైపు (100) ఒక మ్యాచ్లో 13 వ అత్యధిక పరుగులు' '46 వ అత్యంత ఇన్నింగ్స్ లో పరుగులు (120 *)', 'ఇన్నింగ్స్ లో 6 వ అత్యధిక పరుగులు (బ్యాటింగ్ స్థానంలో ప్రకారం) (120 *)', అత్యధిక కెరీర్ బ్యాటింగ్ సగటు (32.00) ',' 29th అత్యధిక తొలి వంద (120 *) ',' "&amp;"14 వ పిన్న ఆటగాడు కెరీర్లో వంద (23y 193d) ',' 39 వ స్కోర్ ఎక్కువ వికెట్లు (23) ',' 31 ఉత్తమ కెరీర్ బౌలింగ్ సగటు (20.95) ',' 28th ఉత్తమ కెరీర్ ఆర్థిక రేటు (1.65) ',' 12 వ బౌలర్ / బ్యాట్స్ కలయికలు (4) నాలుగో వికెట్కు (107) కోసం ',' 10 వ అత్యధిక భాగస్వామ్యం "&amp;"',' ఐదవ వికెట్కు 2 వ అత్యధిక భాగస్వామ్యం ( 136) ']")</f>
        <v>[40 వ 'పరాజయం వైపు (100) ఒక మ్యాచ్లో 13 వ అత్యధిక పరుగులు' '46 వ అత్యంత ఇన్నింగ్స్ లో పరుగులు (120 *)', 'ఇన్నింగ్స్ లో 6 వ అత్యధిక పరుగులు (బ్యాటింగ్ స్థానంలో ప్రకారం) (120 *)', అత్యధిక కెరీర్ బ్యాటింగ్ సగటు (32.00) ',' 29th అత్యధిక తొలి వంద (120 *) ',' 14 వ పిన్న ఆటగాడు కెరీర్లో వంద (23y 193d) ',' 39 వ స్కోర్ ఎక్కువ వికెట్లు (23) ',' 31 ఉత్తమ కెరీర్ బౌలింగ్ సగటు (20.95) ',' 28th ఉత్తమ కెరీర్ ఆర్థిక రేటు (1.65) ',' 12 వ బౌలర్ / బ్యాట్స్ కలయికలు (4) నాలుగో వికెట్కు (107) కోసం ',' 10 వ అత్యధిక భాగస్వామ్యం ',' ఐదవ వికెట్కు 2 వ అత్యధిక భాగస్వామ్యం ( 136) ']</v>
      </c>
      <c r="E1907" s="2" t="s">
        <v>1184</v>
      </c>
      <c r="F1907" s="2" t="str">
        <f>IFERROR(__xludf.DUMMYFUNCTION("IF(E1907&lt;&gt;"""", GOOGLETRANSLATE(E1907, ""en"", ""te""),"""")"),"[ '22 వ కెరీర్ లో అత్యధిక పరుగులు (2728)', '28th ఒకే మైదానంలో అత్యధిక పరుగులు (376)' లో '17 వ ఇన్నింగ్స్ లో అత్యధిక పరుగులు (బ్యాటింగ్ స్థానంలో ప్రకారం) (100 *)', '25 వ అత్యధిక వందలు వృత్తిగా (2) ',' 25 వ అత్యంత అర్ధ కెరీర్లో (18) ',' వరుస ఇన్నింగ్స్లో 1"&amp;"2 వ యాభైల్లో (4) ',' ఒక డక్ లేకుండా 30 వ వరుస ఇన్నింగ్స్ (35) ', '21 వ అత్యంత బాతులు కెరీర్లో (9)' '8 వ అత్యధిక వికెట్లు కెరీర్లో (146)', '21 వ ఒక క్యాలెండర్ సంవత్సరంలో అత్యధిక వికెట్లు (24) ',' 24th ఒకే మైదానంలో అత్యధిక వికెట్లు (13) ',' ఐదు వికెట్ల తే"&amp;"డాతో in- తీసుకోవాలని 9 వ అత్యంత వృద్ధ ఆటగాడు ఒక-ఇన్నింగ్స్ (30y 206d) ',' 5 వ అత్యంత వృద్ధ ఆటగాడు ఒక ఐదు మైడెన్-వికెట్ల లో-ఒక-ఇన్నింగ్స్ (30y 206d) ',' 4 వ కెరీర్ (5964) లో బౌల్డ్ చాలా బంతుల్లో ',' 5 వ అత్యంత పోగొట్టబడిన పరుగులను తీసుకోవాలని కెరీర్ (3646"&amp;") ',' 5 వ బౌలర్ / బ్యాట్స్ కలయికలు (7) ',' 13 వ బౌలర్ / ఫీల్డర్ కలయికలు (16) ',' 34 వ అత్యధిక వికెట్లు తీసుకున్న బౌల్డ్ (19) ',' 2 వ అత్యంత ఆకర్షించింది తీసుకోబడిన వికెట్ల (94) ', (5) 31 అత్యధిక వికెట్లు ఆకర్షించింది తీసుకున్న మరియు బౌల్డ్ ',' 2 వ అత్యంత "&amp;"ఫీల్డర్ చేత క్యాచ్ తీసుకోబడిన వికెట్ల (80) ',' 13 వ అత్యధిక వికెట్లు ఒక wicketkee పట్టుకుంటే తీసుకున్న శాతం (14) ',' 17 వ అత్యధిక వికెట్లు తీసుకున్న ఎల్బిడబ్ల్యు (18) ',' 8 వ అత్యధిక వికెట్లు కెరీర్లో తీసుకున్న స్టంప్ (15) ',' 10 వ అత్యధిక క్యాచ్లు (49) '"&amp;",' 47 వ ఒక సిరీస్లో అత్యధిక క్యాచ్లు (6) ' 'ఐదో వికెట్కు 33 వ అత్యధిక భాగస్వామ్యం (93)', 'ఆరవ వికెట్కు 18 అత్యధిక భాగస్వామ్యం (82)', 'ఎనిమిదవ వికెట్కు 37 వ అత్యధిక భాగస్వామ్యం (45)', '15 వ అత్యధిక కెరీర్ (125) లో మ్యాచ్లు' ]")</f>
        <v>[ '22 వ కెరీర్ లో అత్యధిక పరుగులు (2728)', '28th ఒకే మైదానంలో అత్యధిక పరుగులు (376)' లో '17 వ ఇన్నింగ్స్ లో అత్యధిక పరుగులు (బ్యాటింగ్ స్థానంలో ప్రకారం) (100 *)', '25 వ అత్యధిక వందలు వృత్తిగా (2) ',' 25 వ అత్యంత అర్ధ కెరీర్లో (18) ',' వరుస ఇన్నింగ్స్లో 12 వ యాభైల్లో (4) ',' ఒక డక్ లేకుండా 30 వ వరుస ఇన్నింగ్స్ (35) ', '21 వ అత్యంత బాతులు కెరీర్లో (9)' '8 వ అత్యధిక వికెట్లు కెరీర్లో (146)', '21 వ ఒక క్యాలెండర్ సంవత్సరంలో అత్యధిక వికెట్లు (24) ',' 24th ఒకే మైదానంలో అత్యధిక వికెట్లు (13) ',' ఐదు వికెట్ల తేడాతో in- తీసుకోవాలని 9 వ అత్యంత వృద్ధ ఆటగాడు ఒక-ఇన్నింగ్స్ (30y 206d) ',' 5 వ అత్యంత వృద్ధ ఆటగాడు ఒక ఐదు మైడెన్-వికెట్ల లో-ఒక-ఇన్నింగ్స్ (30y 206d) ',' 4 వ కెరీర్ (5964) లో బౌల్డ్ చాలా బంతుల్లో ',' 5 వ అత్యంత పోగొట్టబడిన పరుగులను తీసుకోవాలని కెరీర్ (3646) ',' 5 వ బౌలర్ / బ్యాట్స్ కలయికలు (7) ',' 13 వ బౌలర్ / ఫీల్డర్ కలయికలు (16) ',' 34 వ అత్యధిక వికెట్లు తీసుకున్న బౌల్డ్ (19) ',' 2 వ అత్యంత ఆకర్షించింది తీసుకోబడిన వికెట్ల (94) ', (5) 31 అత్యధిక వికెట్లు ఆకర్షించింది తీసుకున్న మరియు బౌల్డ్ ',' 2 వ అత్యంత ఫీల్డర్ చేత క్యాచ్ తీసుకోబడిన వికెట్ల (80) ',' 13 వ అత్యధిక వికెట్లు ఒక wicketkee పట్టుకుంటే తీసుకున్న శాతం (14) ',' 17 వ అత్యధిక వికెట్లు తీసుకున్న ఎల్బిడబ్ల్యు (18) ',' 8 వ అత్యధిక వికెట్లు కెరీర్లో తీసుకున్న స్టంప్ (15) ',' 10 వ అత్యధిక క్యాచ్లు (49) ',' 47 వ ఒక సిరీస్లో అత్యధిక క్యాచ్లు (6) ' 'ఐదో వికెట్కు 33 వ అత్యధిక భాగస్వామ్యం (93)', 'ఆరవ వికెట్కు 18 అత్యధిక భాగస్వామ్యం (82)', 'ఎనిమిదవ వికెట్కు 37 వ అత్యధిక భాగస్వామ్యం (45)', '15 వ అత్యధిక కెరీర్ (125) లో మ్యాచ్లు' ]</v>
      </c>
      <c r="G1907" s="2" t="s">
        <v>1185</v>
      </c>
      <c r="H1907" s="2" t="str">
        <f>IFERROR(__xludf.DUMMYFUNCTION("IF(G1907&lt;&gt;"""", GOOGLETRANSLATE(G1907, ""en"", ""te""),"""")"),"[ 'ఇన్నింగ్స్ లో 8 వ అత్యధిక పరుగులు (బ్యాటింగ్ స్థానంలో ప్రకారం) (46)', 'ఒక డక్ లేకుండా 49 వ వరుస ఇన్నింగ్స్ (26 *)', '26th అత్యధిక వికెట్లు కెరీర్లో (60)', '46 వ అత్యంత ఒక క్యాలెండర్ వికెట్లు సంవత్సరం (18) ',' 38 వ సగటు (19.35) ',' 35 వ ఉత్తమ కెరీర్ సమ్"&amp;"మె రేటు బౌలింగ్ ఉత్తమ కెరీర్ (19.9) ',' 27 వ కెరీర్ లో బౌల్డ్ చాలా బంతుల్లో (1196) ',' 24 వ కెరీర్ లో సాధించిన అత్యధిక పరుగులు (1161) ',' 2 వ బౌలర్ / బ్యాట్స్ కలయికలు (8) ', '21 వ బౌలర్ / ఫీల్డర్ కలయికలు (9)', '21 వ అత్యధిక వికెట్లు తీసుకున్న ఆకర్షించింది"&amp;" (38) ',' 20 వ అత్యధిక వికెట్లు ఆకర్షించింది తీసుకున్న మరియు బౌల్డ్ (3) ',' 20 వ ఎక్కువ వికెట్లు ఒక ఫీల్డర్ చేత క్యాచ్ తీసుకున్న (33) ',' 23 వ అత్యధిక వికెట్లు ఒక వికెట్ కీపర్ చే కాట్ తీసుకున్న (5) ',' 24 వ అత్యధిక వికెట్లు తీసుకున్న ఎల్బిడబ్ల్యు (7) ',' "&amp;"25 వ అత్యధిక వికెట్లు తీసుకున్న స్టంప్ (7) ',' 11 వ ఏడవ వికెట్కు అత్యధిక భాగస్వామ్యం (48) ',' ఎనిమిదవ వికెట్కు 36 వ అత్యధిక భాగస్వామ్యం (23) ']")</f>
        <v>[ 'ఇన్నింగ్స్ లో 8 వ అత్యధిక పరుగులు (బ్యాటింగ్ స్థానంలో ప్రకారం) (46)', 'ఒక డక్ లేకుండా 49 వ వరుస ఇన్నింగ్స్ (26 *)', '26th అత్యధిక వికెట్లు కెరీర్లో (60)', '46 వ అత్యంత ఒక క్యాలెండర్ వికెట్లు సంవత్సరం (18) ',' 38 వ సగటు (19.35) ',' 35 వ ఉత్తమ కెరీర్ సమ్మె రేటు బౌలింగ్ ఉత్తమ కెరీర్ (19.9) ',' 27 వ కెరీర్ లో బౌల్డ్ చాలా బంతుల్లో (1196) ',' 24 వ కెరీర్ లో సాధించిన అత్యధిక పరుగులు (1161) ',' 2 వ బౌలర్ / బ్యాట్స్ కలయికలు (8) ', '21 వ బౌలర్ / ఫీల్డర్ కలయికలు (9)', '21 వ అత్యధిక వికెట్లు తీసుకున్న ఆకర్షించింది (38) ',' 20 వ అత్యధిక వికెట్లు ఆకర్షించింది తీసుకున్న మరియు బౌల్డ్ (3) ',' 20 వ ఎక్కువ వికెట్లు ఒక ఫీల్డర్ చేత క్యాచ్ తీసుకున్న (33) ',' 23 వ అత్యధిక వికెట్లు ఒక వికెట్ కీపర్ చే కాట్ తీసుకున్న (5) ',' 24 వ అత్యధిక వికెట్లు తీసుకున్న ఎల్బిడబ్ల్యు (7) ',' 25 వ అత్యధిక వికెట్లు తీసుకున్న స్టంప్ (7) ',' 11 వ ఏడవ వికెట్కు అత్యధిక భాగస్వామ్యం (48) ',' ఎనిమిదవ వికెట్కు 36 వ అత్యధిక భాగస్వామ్యం (23) ']</v>
      </c>
      <c r="I1907" s="3"/>
    </row>
    <row r="1908" customHeight="1" spans="1:9">
      <c r="A1908" s="2"/>
      <c r="B1908" s="2" t="str">
        <f>IFERROR(__xludf.DUMMYFUNCTION("IF(A1908&lt;&gt;"""", GOOGLETRANSLATE(A1908, ""en"", ""te""),"""")"),"")</f>
        <v/>
      </c>
      <c r="C1908" s="2"/>
      <c r="D1908" s="2" t="str">
        <f>IFERROR(__xludf.DUMMYFUNCTION("IF(C1908&lt;&gt;"""", GOOGLETRANSLATE(C1908, ""en"", ""te""),"""")"),"")</f>
        <v/>
      </c>
      <c r="E1908" s="2" t="s">
        <v>1186</v>
      </c>
      <c r="F1908" s="2" t="str">
        <f>IFERROR(__xludf.DUMMYFUNCTION("IF(E1908&lt;&gt;"""", GOOGLETRANSLATE(E1908, ""en"", ""te""),"""")"),"[ '12 వ బౌలర్ / బ్యాట్స్ కలయికలు (6)' '23 వ పిన్న ఆటగాడు ఐదు వికెట్ల లో-ఒక-ఇన్నింగ్స్ (22y 230d) తీసుకోవాలని',]")</f>
        <v>[ '12 వ బౌలర్ / బ్యాట్స్ కలయికలు (6)' '23 వ పిన్న ఆటగాడు ఐదు వికెట్ల లో-ఒక-ఇన్నింగ్స్ (22y 230d) తీసుకోవాలని',]</v>
      </c>
      <c r="G1908" s="2"/>
      <c r="H1908" s="2" t="str">
        <f>IFERROR(__xludf.DUMMYFUNCTION("IF(G1908&lt;&gt;"""", GOOGLETRANSLATE(G1908, ""en"", ""te""),"""")"),"")</f>
        <v/>
      </c>
      <c r="I1908" s="3"/>
    </row>
    <row r="1909" customHeight="1" spans="1:9">
      <c r="A1909" s="2"/>
      <c r="B1909" s="2" t="str">
        <f>IFERROR(__xludf.DUMMYFUNCTION("IF(A1909&lt;&gt;"""", GOOGLETRANSLATE(A1909, ""en"", ""te""),"""")"),"")</f>
        <v/>
      </c>
      <c r="C1909" s="2"/>
      <c r="D1909" s="2" t="str">
        <f>IFERROR(__xludf.DUMMYFUNCTION("IF(C1909&lt;&gt;"""", GOOGLETRANSLATE(C1909, ""en"", ""te""),"""")"),"")</f>
        <v/>
      </c>
      <c r="E1909" s="2"/>
      <c r="F1909" s="2" t="str">
        <f>IFERROR(__xludf.DUMMYFUNCTION("IF(E1909&lt;&gt;"""", GOOGLETRANSLATE(E1909, ""en"", ""te""),"""")"),"")</f>
        <v/>
      </c>
      <c r="G1909" s="2"/>
      <c r="H1909" s="2" t="str">
        <f>IFERROR(__xludf.DUMMYFUNCTION("IF(G1909&lt;&gt;"""", GOOGLETRANSLATE(G1909, ""en"", ""te""),"""")"),"")</f>
        <v/>
      </c>
      <c r="I1909" s="3"/>
    </row>
    <row r="1910" customHeight="1" spans="1:9">
      <c r="A1910" s="2" t="s">
        <v>1187</v>
      </c>
      <c r="B1910" s="2" t="str">
        <f>IFERROR(__xludf.DUMMYFUNCTION("IF(A1910&lt;&gt;"""", GOOGLETRANSLATE(A1910, ""en"", ""te""),"""")"),"[ 'ఒక క్యాలెండర్ సంవత్సరంలో 1st అత్యధిక వికెట్లు (31)', '5 వ చెత్త కెరీర్లో ఆర్థిక రేటు (8.94)', 'చాలా 5 వ ఇన్నింగ్స్ లో (64) పోగొట్టబడిన పరుగులను']")</f>
        <v>[ 'ఒక క్యాలెండర్ సంవత్సరంలో 1st అత్యధిక వికెట్లు (31)', '5 వ చెత్త కెరీర్లో ఆర్థిక రేటు (8.94)', 'చాలా 5 వ ఇన్నింగ్స్ లో (64) పోగొట్టబడిన పరుగులను']</v>
      </c>
      <c r="C1910" s="2"/>
      <c r="D1910" s="2" t="str">
        <f>IFERROR(__xludf.DUMMYFUNCTION("IF(C1910&lt;&gt;"""", GOOGLETRANSLATE(C1910, ""en"", ""te""),"""")"),"")</f>
        <v/>
      </c>
      <c r="E1910" s="2" t="s">
        <v>1188</v>
      </c>
      <c r="F1910" s="2" t="str">
        <f>IFERROR(__xludf.DUMMYFUNCTION("IF(E1910&lt;&gt;"""", GOOGLETRANSLATE(E1910, ""en"", ""te""),"""")"),"[ '14 వ ఒక ఇన్నింగ్స్ లోని బెస్ట్ ఫిగర్స్ పరాజయం వైపు (5) ఉన్నప్పుడు', '37 వ చెత్త ఆర్థిక వ్యవస్థ ఇన్నింగ్స్లో రేటు (11.11)', '33 వ అత్యంత వృద్ధ ఆటగాడు ఐదు వికెట్ల లో-ఒక-ఇన్నింగ్స్ (31y కన్య తీసుకోవాలని 47d) ',' 12 వ అత్యధిక పరుగులు ఇన్నింగ్స్ లో సాధించి"&amp;"న (100) ']")</f>
        <v>[ '14 వ ఒక ఇన్నింగ్స్ లోని బెస్ట్ ఫిగర్స్ పరాజయం వైపు (5) ఉన్నప్పుడు', '37 వ చెత్త ఆర్థిక వ్యవస్థ ఇన్నింగ్స్లో రేటు (11.11)', '33 వ అత్యంత వృద్ధ ఆటగాడు ఐదు వికెట్ల లో-ఒక-ఇన్నింగ్స్ (31y కన్య తీసుకోవాలని 47d) ',' 12 వ అత్యధిక పరుగులు ఇన్నింగ్స్ లో సాధించిన (100) ']</v>
      </c>
      <c r="G1910" s="2" t="s">
        <v>1189</v>
      </c>
      <c r="H1910" s="2" t="str">
        <f>IFERROR(__xludf.DUMMYFUNCTION("IF(G1910&lt;&gt;"""", GOOGLETRANSLATE(G1910, ""en"", ""te""),"""")"),"[ 'ఒక క్యాలెండర్ సంవత్సరంలో 1st అత్యధిక వికెట్లు (31)', 'ఒకే మైదానంలో 30 వ అత్యధిక వికెట్లు (12)', '13 వ ఉత్తమ కెరీర్ సమ్మె రేటు (15.3)', '5 వ చెత్త కెరీర్లో ఆర్థిక రేటు (8.94)', ' 5 వ అత్యంత ఇన్నింగ్స్ లో సాధించిన పరుగులు (64) ',' 37 వ అత్యధిక వికెట్లు "&amp;"తీసుకున్న ఆకర్షించింది (33) ',' 39 వ అత్యధిక వికెట్లు ఒక ఫీల్డర్ చేత క్యాచ్ తీసుకున్న (27) ',' 33 వ అత్యధిక వికెట్లు ఒక వికెట్ కీపర్ చే కాట్ తీసుకోకూడదు (6) ' ]")</f>
        <v>[ 'ఒక క్యాలెండర్ సంవత్సరంలో 1st అత్యధిక వికెట్లు (31)', 'ఒకే మైదానంలో 30 వ అత్యధిక వికెట్లు (12)', '13 వ ఉత్తమ కెరీర్ సమ్మె రేటు (15.3)', '5 వ చెత్త కెరీర్లో ఆర్థిక రేటు (8.94)', ' 5 వ అత్యంత ఇన్నింగ్స్ లో సాధించిన పరుగులు (64) ',' 37 వ అత్యధిక వికెట్లు తీసుకున్న ఆకర్షించింది (33) ',' 39 వ అత్యధిక వికెట్లు ఒక ఫీల్డర్ చేత క్యాచ్ తీసుకున్న (27) ',' 33 వ అత్యధిక వికెట్లు ఒక వికెట్ కీపర్ చే కాట్ తీసుకోకూడదు (6) ' ]</v>
      </c>
      <c r="I1910" s="3"/>
    </row>
    <row r="1911" customHeight="1" spans="1:9">
      <c r="A1911" s="2" t="s">
        <v>1190</v>
      </c>
      <c r="B1911" s="2" t="str">
        <f>IFERROR(__xludf.DUMMYFUNCTION("IF(A1911&lt;&gt;"""", GOOGLETRANSLATE(A1911, ""en"", ""te""),"""")"),"[ 'ఒక మ్యాచ్లో 5 వ ఉత్తమ సంఖ్యలు ఉన్నప్పుడు పరాజయం వైపు (12)', 'ఇన్నింగ్స్ లో 5 వ ఉత్తమ సమ్మె రేటు (5.8)', '4 వ అత్యధిక వరుస పది వికెట్లు లో ఒక మ్యాచ్ (2)', ' 6 వ బౌలర్ / బ్యాటర్ కలయికలు (15) ',' బ్యాటింగ్ తెరవడం మరియు అదే మ్యాచ్ లో బౌలింగ్ ',' 6 వ అత్యధ"&amp;"ిక వరుస నాలుగు వికెట్లు-ఇన్-ఒక-ఇన్నింగ్స్ (5) ']")</f>
        <v>[ 'ఒక మ్యాచ్లో 5 వ ఉత్తమ సంఖ్యలు ఉన్నప్పుడు పరాజయం వైపు (12)', 'ఇన్నింగ్స్ లో 5 వ ఉత్తమ సమ్మె రేటు (5.8)', '4 వ అత్యధిక వరుస పది వికెట్లు లో ఒక మ్యాచ్ (2)', ' 6 వ బౌలర్ / బ్యాటర్ కలయికలు (15) ',' బ్యాటింగ్ తెరవడం మరియు అదే మ్యాచ్ లో బౌలింగ్ ',' 6 వ అత్యధిక వరుస నాలుగు వికెట్లు-ఇన్-ఒక-ఇన్నింగ్స్ (5) ']</v>
      </c>
      <c r="C1911" s="2" t="s">
        <v>1191</v>
      </c>
      <c r="D1911" s="2" t="str">
        <f>IFERROR(__xludf.DUMMYFUNCTION("IF(C1911&lt;&gt;"""", GOOGLETRANSLATE(C1911, ""en"", ""te""),"""")"),"[ '11 వ ఒక సిరీస్లో అత్యధిక బాతులు (4)', 'ఒక కెప్టెన్తో ఒక మ్యాచ్లో 35 వ బెస్ట్ ఫిగర్స్ (8)', 'ఒక ఇన్నింగ్స్ లో 5 వ బెస్ట్ ఫిగర్స్ కూడా ఓడిపోయింది వైపు (8)', '5 వ ఉత్తమ బొమ్మలు ఒక మ్యాచ్ ఉన్నప్పుడు పరాజయం వైపు (12) ',' 30 వ సగటు (21.78) ',' ఇన్నింగ్స్ ల"&amp;"ో 5 వ ఉత్తమ సమ్మె రేటు (5.8) ',' 29th చాలా పది వికెట్లు లో ఒక మ్యాచ్ బౌలింగ్ ఉత్తమ కెరీర్ కెరీర్ (3) ',' 4 వ అత్యధిక వరుస పది వికెట్లు లో ఒక మ్యాచ్ (2) ',' పది వికెట్లు లో ఒక మ్యాచ్ తీసుకోవాలని 21 వ అత్యంత వృద్ధ ఆటగాడు (35y 91d) ',' 22 వ అత్యంత బంతులను బౌ"&amp;"లింగ్ చేశాడు ఒక మ్యాచ్లో (654) ',' 6 వ బౌలర్ / బ్యాటర్ కలయికలు (15) ',' 7 వ అత్యధిక వికెట్లు వరుస లో తీసిన క్యాచ్ మరియు బౌల్డ్ (15) ',' 42 వ అత్యధిక క్యాచ్లు (10) ']")</f>
        <v>[ '11 వ ఒక సిరీస్లో అత్యధిక బాతులు (4)', 'ఒక కెప్టెన్తో ఒక మ్యాచ్లో 35 వ బెస్ట్ ఫిగర్స్ (8)', 'ఒక ఇన్నింగ్స్ లో 5 వ బెస్ట్ ఫిగర్స్ కూడా ఓడిపోయింది వైపు (8)', '5 వ ఉత్తమ బొమ్మలు ఒక మ్యాచ్ ఉన్నప్పుడు పరాజయం వైపు (12) ',' 30 వ సగటు (21.78) ',' ఇన్నింగ్స్ లో 5 వ ఉత్తమ సమ్మె రేటు (5.8) ',' 29th చాలా పది వికెట్లు లో ఒక మ్యాచ్ బౌలింగ్ ఉత్తమ కెరీర్ కెరీర్ (3) ',' 4 వ అత్యధిక వరుస పది వికెట్లు లో ఒక మ్యాచ్ (2) ',' పది వికెట్లు లో ఒక మ్యాచ్ తీసుకోవాలని 21 వ అత్యంత వృద్ధ ఆటగాడు (35y 91d) ',' 22 వ అత్యంత బంతులను బౌలింగ్ చేశాడు ఒక మ్యాచ్లో (654) ',' 6 వ బౌలర్ / బ్యాటర్ కలయికలు (15) ',' 7 వ అత్యధిక వికెట్లు వరుస లో తీసిన క్యాచ్ మరియు బౌల్డ్ (15) ',' 42 వ అత్యధిక క్యాచ్లు (10) ']</v>
      </c>
      <c r="E1911" s="2"/>
      <c r="F1911" s="2" t="str">
        <f>IFERROR(__xludf.DUMMYFUNCTION("IF(E1911&lt;&gt;"""", GOOGLETRANSLATE(E1911, ""en"", ""te""),"""")"),"")</f>
        <v/>
      </c>
      <c r="G1911" s="2"/>
      <c r="H1911" s="2" t="str">
        <f>IFERROR(__xludf.DUMMYFUNCTION("IF(G1911&lt;&gt;"""", GOOGLETRANSLATE(G1911, ""en"", ""te""),"""")"),"")</f>
        <v/>
      </c>
      <c r="I1911" s="3"/>
    </row>
    <row r="1912" customHeight="1" spans="1:9">
      <c r="A1912" s="2"/>
      <c r="B1912" s="2" t="str">
        <f>IFERROR(__xludf.DUMMYFUNCTION("IF(A1912&lt;&gt;"""", GOOGLETRANSLATE(A1912, ""en"", ""te""),"""")"),"")</f>
        <v/>
      </c>
      <c r="C1912" s="2"/>
      <c r="D1912" s="2" t="str">
        <f>IFERROR(__xludf.DUMMYFUNCTION("IF(C1912&lt;&gt;"""", GOOGLETRANSLATE(C1912, ""en"", ""te""),"""")"),"")</f>
        <v/>
      </c>
      <c r="E1912" s="2"/>
      <c r="F1912" s="2" t="str">
        <f>IFERROR(__xludf.DUMMYFUNCTION("IF(E1912&lt;&gt;"""", GOOGLETRANSLATE(E1912, ""en"", ""te""),"""")"),"")</f>
        <v/>
      </c>
      <c r="G1912" s="2"/>
      <c r="H1912" s="2" t="str">
        <f>IFERROR(__xludf.DUMMYFUNCTION("IF(G1912&lt;&gt;"""", GOOGLETRANSLATE(G1912, ""en"", ""te""),"""")"),"")</f>
        <v/>
      </c>
      <c r="I1912" s="3"/>
    </row>
    <row r="1913" customHeight="1" spans="1:9">
      <c r="A1913" s="2" t="s">
        <v>1192</v>
      </c>
      <c r="B1913" s="2" t="str">
        <f>IFERROR(__xludf.DUMMYFUNCTION("IF(A1913&lt;&gt;"""", GOOGLETRANSLATE(A1913, ""en"", ""te""),"""")"),"[ '1st అత్యుత్తమ ఇన్నింగ్స్ లో విశ్లేషణలు బౌలింగ్ (5/2)', 'ఇన్నింగ్స్ లో 1 వ ఉత్తమ సమ్మె రేటు (3.8)']")</f>
        <v>[ '1st అత్యుత్తమ ఇన్నింగ్స్ లో విశ్లేషణలు బౌలింగ్ (5/2)', 'ఇన్నింగ్స్ లో 1 వ ఉత్తమ సమ్మె రేటు (3.8)']</v>
      </c>
      <c r="C1913" s="2" t="s">
        <v>1193</v>
      </c>
      <c r="D1913" s="2" t="str">
        <f>IFERROR(__xludf.DUMMYFUNCTION("IF(C1913&lt;&gt;"""", GOOGLETRANSLATE(C1913, ""en"", ""te""),"""")"),"[ '1st అత్యుత్తమ ఇన్నింగ్స్ లో బౌలింగ్ విశ్లేషణలు (5/2)', '21 వ ఉత్తమ కెరీర్ సగటు (21.04) బౌలింగ్ ',' 13 వ ఉత్తమ కెరీర్ ఆర్థిక రేటు (1.88) ',' ఇన్నింగ్స్ లో 37 వ ఉత్తమ ఆర్థిక రేటు (0.60) ' 'ఇన్నింగ్స్ లో 1 వ ఉత్తమ సమ్మె రేటు (3.8)', 'పది వికెట్ల లో ఒక మ్య"&amp;"ాచ్ పడుతుంది 46 వ ఓల్డెస్ట్ ఆటగాడు (32y 355d)']")</f>
        <v>[ '1st అత్యుత్తమ ఇన్నింగ్స్ లో బౌలింగ్ విశ్లేషణలు (5/2)', '21 వ ఉత్తమ కెరీర్ సగటు (21.04) బౌలింగ్ ',' 13 వ ఉత్తమ కెరీర్ ఆర్థిక రేటు (1.88) ',' ఇన్నింగ్స్ లో 37 వ ఉత్తమ ఆర్థిక రేటు (0.60) ' 'ఇన్నింగ్స్ లో 1 వ ఉత్తమ సమ్మె రేటు (3.8)', 'పది వికెట్ల లో ఒక మ్యాచ్ పడుతుంది 46 వ ఓల్డెస్ట్ ఆటగాడు (32y 355d)']</v>
      </c>
      <c r="E1913" s="2"/>
      <c r="F1913" s="2" t="str">
        <f>IFERROR(__xludf.DUMMYFUNCTION("IF(E1913&lt;&gt;"""", GOOGLETRANSLATE(E1913, ""en"", ""te""),"""")"),"")</f>
        <v/>
      </c>
      <c r="G1913" s="2"/>
      <c r="H1913" s="2" t="str">
        <f>IFERROR(__xludf.DUMMYFUNCTION("IF(G1913&lt;&gt;"""", GOOGLETRANSLATE(G1913, ""en"", ""te""),"""")"),"")</f>
        <v/>
      </c>
      <c r="I1913" s="3"/>
    </row>
    <row r="1914" customHeight="1" spans="1:9">
      <c r="A1914" s="2" t="s">
        <v>1194</v>
      </c>
      <c r="B1914" s="2" t="str">
        <f>IFERROR(__xludf.DUMMYFUNCTION("IF(A1914&lt;&gt;"""", GOOGLETRANSLATE(A1914, ""en"", ""te""),"""")"),"[ 'ఒక కెప్టెన్తో ఒక మ్యాచ్లో 5 వ ఉత్తమ బొమ్మలు (7)', '10 వ చెత్త సమ్మె ఇన్నింగ్స్ లో రేటు (252.0)', 'తొలి మ్యాచ్లో 6 వ ఉత్తమ బొమ్మలు (7)', '3 వ భాగం ఒక లో ఇవ్వబడిన పరుగులలో మ్యాచ్ (171) ',' 2 వ బౌలర్ / బ్యాట్స్ కలయికలు (5) ',' 2 వ ఉత్తమ కెరీర్ ఆర్థిక రేటు"&amp;" (1.86) ']")</f>
        <v>[ 'ఒక కెప్టెన్తో ఒక మ్యాచ్లో 5 వ ఉత్తమ బొమ్మలు (7)', '10 వ చెత్త సమ్మె ఇన్నింగ్స్ లో రేటు (252.0)', 'తొలి మ్యాచ్లో 6 వ ఉత్తమ బొమ్మలు (7)', '3 వ భాగం ఒక లో ఇవ్వబడిన పరుగులలో మ్యాచ్ (171) ',' 2 వ బౌలర్ / బ్యాట్స్ కలయికలు (5) ',' 2 వ ఉత్తమ కెరీర్ ఆర్థిక రేటు (1.86) ']</v>
      </c>
      <c r="C1914" s="2" t="s">
        <v>1195</v>
      </c>
      <c r="D1914" s="2" t="str">
        <f>IFERROR(__xludf.DUMMYFUNCTION("IF(C1914&lt;&gt;"""", GOOGLETRANSLATE(C1914, ""en"", ""te""),"""")"),"[ '12 వ ఇన్నింగ్స్ లో అత్యధిక పరుగులు (బ్యాటింగ్ స్థానంలో ప్రకారం) (63)', '47 వ అత్యధిక కెరీర్ బ్యాటింగ్ సగటు (31.45)', '23 వ కెరీర్ లో అత్యధిక వికెట్లు (30)', '18 వ ఒక సిరీస్లో అత్యధిక వికెట్లు (16) ',' ఒక క్యాలెండర్ సంవత్సరంలో 19 అత్యధిక వికెట్లు (16) '"&amp;",' ఒక కెప్టెన్తో ఒక ఇన్నింగ్స్ లో 10 వ బెస్ట్ ఫిగర్స్ (4) ',' ఒక కెప్టెన్తో ఒక మ్యాచ్లో 5 వ ఉత్తమ బొమ్మలు (7) ',' 30 వ ఉత్తమ సమ్మె రేటు ఒక ఇన్నింగ్స్ లో (19.2) ',' ఇన్నింగ్స్ లో 20 వ చెత్త ఆర్థిక రేటు (4.33) ',' 10 వ చెత్త ఇన్నింగ్స్ లో సమ్మె రేటు (252.0)"&amp;" ',' 14 వ అరంగేట్రంలోనే ఇన్నింగ్స్ లోని బెస్ట్ ఫిగర్స్ (4) ',' 6 వ తొలి మ్యాచ్ లో బెస్ట్ ఫిగర్స్ (7) ',' 17 వ కెరీర్ లో బౌల్డ్ చాలా బంతుల్లో (2455) ',' 15 వ అత్యంత బంతుల్లో ఒక మ్యాచ్లో బౌల్డ్ (426) ',' 19 వ కెరీర్ లో సాధించిన అత్యధిక పరుగులు (784) ',' ఇన్"&amp;"నింగ్స్ (100) ',' 3 వ భాగం ఒక మ్యాచ్లో ఇవ్వబడిన పరుగులలో 19 మోస్ట్ ఇవ్వబడిన పరుగులలో (171) ',' 2 వ బౌలర్ / బ్యాట్స్ కలయికలు (5) ',' 12 వ అత్యధిక వికెట్లు బౌల్డ్ తీసుకోకూడదు (13) ',' 14 వ అత్యంత ఒక వికెట్ కీపర్ చే కాట్ తీసుకోబడిన వికెట్ల (5) ',' 13 వ పిన్న"&amp;" కాప్టెన్ (24y 196d) ']")</f>
        <v>[ '12 వ ఇన్నింగ్స్ లో అత్యధిక పరుగులు (బ్యాటింగ్ స్థానంలో ప్రకారం) (63)', '47 వ అత్యధిక కెరీర్ బ్యాటింగ్ సగటు (31.45)', '23 వ కెరీర్ లో అత్యధిక వికెట్లు (30)', '18 వ ఒక సిరీస్లో అత్యధిక వికెట్లు (16) ',' ఒక క్యాలెండర్ సంవత్సరంలో 19 అత్యధిక వికెట్లు (16) ',' ఒక కెప్టెన్తో ఒక ఇన్నింగ్స్ లో 10 వ బెస్ట్ ఫిగర్స్ (4) ',' ఒక కెప్టెన్తో ఒక మ్యాచ్లో 5 వ ఉత్తమ బొమ్మలు (7) ',' 30 వ ఉత్తమ సమ్మె రేటు ఒక ఇన్నింగ్స్ లో (19.2) ',' ఇన్నింగ్స్ లో 20 వ చెత్త ఆర్థిక రేటు (4.33) ',' 10 వ చెత్త ఇన్నింగ్స్ లో సమ్మె రేటు (252.0) ',' 14 వ అరంగేట్రంలోనే ఇన్నింగ్స్ లోని బెస్ట్ ఫిగర్స్ (4) ',' 6 వ తొలి మ్యాచ్ లో బెస్ట్ ఫిగర్స్ (7) ',' 17 వ కెరీర్ లో బౌల్డ్ చాలా బంతుల్లో (2455) ',' 15 వ అత్యంత బంతుల్లో ఒక మ్యాచ్లో బౌల్డ్ (426) ',' 19 వ కెరీర్ లో సాధించిన అత్యధిక పరుగులు (784) ',' ఇన్నింగ్స్ (100) ',' 3 వ భాగం ఒక మ్యాచ్లో ఇవ్వబడిన పరుగులలో 19 మోస్ట్ ఇవ్వబడిన పరుగులలో (171) ',' 2 వ బౌలర్ / బ్యాట్స్ కలయికలు (5) ',' 12 వ అత్యధిక వికెట్లు బౌల్డ్ తీసుకోకూడదు (13) ',' 14 వ అత్యంత ఒక వికెట్ కీపర్ చే కాట్ తీసుకోబడిన వికెట్ల (5) ',' 13 వ పిన్న కాప్టెన్ (24y 196d) ']</v>
      </c>
      <c r="E1914" s="2" t="s">
        <v>1196</v>
      </c>
      <c r="F1914" s="2" t="str">
        <f>IFERROR(__xludf.DUMMYFUNCTION("IF(E1914&lt;&gt;"""", GOOGLETRANSLATE(E1914, ""en"", ""te""),"""")"),"[ '41 వ అత్యంత కెప్టెన్ ద్వారా ఒక సిరీస్లో పరుగులు (239)', '9 వ ఉత్తమ కెరీర్ బౌలింగ్ సరాసరి (16.28)', '2 వ ఉత్తమ కెరీర్ ఆర్థిక రేటు (1.86)', 'ఇన్నింగ్స్ లో 19 ఉత్తమ ఆర్థిక రేటు (0.33)' '43 వ చెత్త కెరీర్లో సమ్మె రేటు (52.5)', '34 వ అత్యధిక వికెట్లు బౌల్డ్"&amp;" తీసుకున్న (19)', '23 వ లాంగెస్ట్ కెరీర్లు (15y 178d)', 'ప్రదర్శనల మధ్య 21 వ లాంగెస్ట్ వ్యవధిలో (6y 296d)']")</f>
        <v>[ '41 వ అత్యంత కెప్టెన్ ద్వారా ఒక సిరీస్లో పరుగులు (239)', '9 వ ఉత్తమ కెరీర్ బౌలింగ్ సరాసరి (16.28)', '2 వ ఉత్తమ కెరీర్ ఆర్థిక రేటు (1.86)', 'ఇన్నింగ్స్ లో 19 ఉత్తమ ఆర్థిక రేటు (0.33)' '43 వ చెత్త కెరీర్లో సమ్మె రేటు (52.5)', '34 వ అత్యధిక వికెట్లు బౌల్డ్ తీసుకున్న (19)', '23 వ లాంగెస్ట్ కెరీర్లు (15y 178d)', 'ప్రదర్శనల మధ్య 21 వ లాంగెస్ట్ వ్యవధిలో (6y 296d)']</v>
      </c>
      <c r="G1914" s="2"/>
      <c r="H1914" s="2" t="str">
        <f>IFERROR(__xludf.DUMMYFUNCTION("IF(G1914&lt;&gt;"""", GOOGLETRANSLATE(G1914, ""en"", ""te""),"""")"),"")</f>
        <v/>
      </c>
      <c r="I1914" s="3"/>
    </row>
    <row r="1915" customHeight="1" spans="1:9">
      <c r="A1915" s="2" t="s">
        <v>1197</v>
      </c>
      <c r="B1915" s="2" t="str">
        <f>IFERROR(__xludf.DUMMYFUNCTION("IF(A1915&lt;&gt;"""", GOOGLETRANSLATE(A1915, ""en"", ""te""),"""")"),"[ 'ఒక సిరీస్లో 6 వ అత్యధిక వికెట్లు (23)', '9 వ ఉత్తమ కెరీర్ సమ్మె రేటు (27.2)', '1 వ ఇన్నింగ్స్ లో వచ్చిన ఎక్కువ పనికత్తెలయొద్ద (2)', '1 వ అత్యధిక వికెట్లు తీసిన హిట్ వికెట్ (1)']")</f>
        <v>[ 'ఒక సిరీస్లో 6 వ అత్యధిక వికెట్లు (23)', '9 వ ఉత్తమ కెరీర్ సమ్మె రేటు (27.2)', '1 వ ఇన్నింగ్స్ లో వచ్చిన ఎక్కువ పనికత్తెలయొద్ద (2)', '1 వ అత్యధిక వికెట్లు తీసిన హిట్ వికెట్ (1)']</v>
      </c>
      <c r="C1915" s="2"/>
      <c r="D1915" s="2" t="str">
        <f>IFERROR(__xludf.DUMMYFUNCTION("IF(C1915&lt;&gt;"""", GOOGLETRANSLATE(C1915, ""en"", ""te""),"""")"),"")</f>
        <v/>
      </c>
      <c r="E1915" s="2" t="s">
        <v>1198</v>
      </c>
      <c r="F1915" s="2" t="str">
        <f>IFERROR(__xludf.DUMMYFUNCTION("IF(E1915&lt;&gt;"""", GOOGLETRANSLATE(E1915, ""en"", ""te""),"""")"),"[ 'ఒక సిరీస్లో 6 వ అత్యధిక వికెట్లు (23)', '50 వికెట్లు 24 వేగవంతమైన (28)' '37 వ ఉత్తమ కెరీర్ బౌలింగ్ సరాసరి (23.56)', '9 వ ఉత్తమ కెరీర్ సమ్మె రేటు (27.2)',]")</f>
        <v>[ 'ఒక సిరీస్లో 6 వ అత్యధిక వికెట్లు (23)', '50 వికెట్లు 24 వేగవంతమైన (28)' '37 వ ఉత్తమ కెరీర్ బౌలింగ్ సరాసరి (23.56)', '9 వ ఉత్తమ కెరీర్ సమ్మె రేటు (27.2)',]</v>
      </c>
      <c r="G1915" s="2" t="s">
        <v>1199</v>
      </c>
      <c r="H1915" s="2" t="str">
        <f>IFERROR(__xludf.DUMMYFUNCTION("IF(G1915&lt;&gt;"""", GOOGLETRANSLATE(G1915, ""en"", ""te""),"""")"),"[ '23 ఒక క్యాలెండర్ సంవత్సరంలో అత్యధిక వికెట్లు (22)', '48 వ అత్యధిక వికెట్లు తీసుకున్న బౌల్డ్ (10)', '1 వ అత్యధిక వికెట్లు తీసిన హిట్ వికెట్ (1)', '47 వ వరుస మ్యాచ్లు ఆడి మధ్య జట్టుకు దూరమయ్యాడు (37 ) ',' ఇన్నింగ్స్ లో ప్రదర్శనలు (5 సం 12D) ',' 1 వ అత్యం"&amp;"త పనికత్తెలయొద్ద మధ్య 50 వ లాంగెస్ట్ వ్యవధిలో (2) ']")</f>
        <v>[ '23 ఒక క్యాలెండర్ సంవత్సరంలో అత్యధిక వికెట్లు (22)', '48 వ అత్యధిక వికెట్లు తీసుకున్న బౌల్డ్ (10)', '1 వ అత్యధిక వికెట్లు తీసిన హిట్ వికెట్ (1)', '47 వ వరుస మ్యాచ్లు ఆడి మధ్య జట్టుకు దూరమయ్యాడు (37 ) ',' ఇన్నింగ్స్ లో ప్రదర్శనలు (5 సం 12D) ',' 1 వ అత్యంత పనికత్తెలయొద్ద మధ్య 50 వ లాంగెస్ట్ వ్యవధిలో (2) ']</v>
      </c>
      <c r="I1915" s="3"/>
    </row>
    <row r="1916" customHeight="1" spans="1:9">
      <c r="A1916" s="2"/>
      <c r="B1916" s="2" t="str">
        <f>IFERROR(__xludf.DUMMYFUNCTION("IF(A1916&lt;&gt;"""", GOOGLETRANSLATE(A1916, ""en"", ""te""),"""")"),"")</f>
        <v/>
      </c>
      <c r="C1916" s="2"/>
      <c r="D1916" s="2" t="str">
        <f>IFERROR(__xludf.DUMMYFUNCTION("IF(C1916&lt;&gt;"""", GOOGLETRANSLATE(C1916, ""en"", ""te""),"""")"),"")</f>
        <v/>
      </c>
      <c r="E1916" s="2"/>
      <c r="F1916" s="2" t="str">
        <f>IFERROR(__xludf.DUMMYFUNCTION("IF(E1916&lt;&gt;"""", GOOGLETRANSLATE(E1916, ""en"", ""te""),"""")"),"")</f>
        <v/>
      </c>
      <c r="G1916" s="2"/>
      <c r="H1916" s="2" t="str">
        <f>IFERROR(__xludf.DUMMYFUNCTION("IF(G1916&lt;&gt;"""", GOOGLETRANSLATE(G1916, ""en"", ""te""),"""")"),"")</f>
        <v/>
      </c>
      <c r="I1916" s="3"/>
    </row>
    <row r="1917" customHeight="1" spans="1:9">
      <c r="A1917" s="2"/>
      <c r="B1917" s="2" t="str">
        <f>IFERROR(__xludf.DUMMYFUNCTION("IF(A1917&lt;&gt;"""", GOOGLETRANSLATE(A1917, ""en"", ""te""),"""")"),"")</f>
        <v/>
      </c>
      <c r="C1917" s="2"/>
      <c r="D1917" s="2" t="str">
        <f>IFERROR(__xludf.DUMMYFUNCTION("IF(C1917&lt;&gt;"""", GOOGLETRANSLATE(C1917, ""en"", ""te""),"""")"),"")</f>
        <v/>
      </c>
      <c r="E1917" s="2"/>
      <c r="F1917" s="2" t="str">
        <f>IFERROR(__xludf.DUMMYFUNCTION("IF(E1917&lt;&gt;"""", GOOGLETRANSLATE(E1917, ""en"", ""te""),"""")"),"")</f>
        <v/>
      </c>
      <c r="G1917" s="2"/>
      <c r="H1917" s="2" t="str">
        <f>IFERROR(__xludf.DUMMYFUNCTION("IF(G1917&lt;&gt;"""", GOOGLETRANSLATE(G1917, ""en"", ""te""),"""")"),"")</f>
        <v/>
      </c>
      <c r="I1917" s="3"/>
    </row>
    <row r="1918" customHeight="1" spans="1:9">
      <c r="A1918" s="2"/>
      <c r="B1918" s="2" t="str">
        <f>IFERROR(__xludf.DUMMYFUNCTION("IF(A1918&lt;&gt;"""", GOOGLETRANSLATE(A1918, ""en"", ""te""),"""")"),"")</f>
        <v/>
      </c>
      <c r="C1918" s="2"/>
      <c r="D1918" s="2" t="str">
        <f>IFERROR(__xludf.DUMMYFUNCTION("IF(C1918&lt;&gt;"""", GOOGLETRANSLATE(C1918, ""en"", ""te""),"""")"),"")</f>
        <v/>
      </c>
      <c r="E1918" s="2"/>
      <c r="F1918" s="2" t="str">
        <f>IFERROR(__xludf.DUMMYFUNCTION("IF(E1918&lt;&gt;"""", GOOGLETRANSLATE(E1918, ""en"", ""te""),"""")"),"")</f>
        <v/>
      </c>
      <c r="G1918" s="2"/>
      <c r="H1918" s="2" t="str">
        <f>IFERROR(__xludf.DUMMYFUNCTION("IF(G1918&lt;&gt;"""", GOOGLETRANSLATE(G1918, ""en"", ""te""),"""")"),"")</f>
        <v/>
      </c>
      <c r="I1918" s="3"/>
    </row>
    <row r="1919" customHeight="1" spans="1:9">
      <c r="A1919" s="2"/>
      <c r="B1919" s="2" t="str">
        <f>IFERROR(__xludf.DUMMYFUNCTION("IF(A1919&lt;&gt;"""", GOOGLETRANSLATE(A1919, ""en"", ""te""),"""")"),"")</f>
        <v/>
      </c>
      <c r="C1919" s="2" t="s">
        <v>1200</v>
      </c>
      <c r="D1919" s="2" t="str">
        <f>IFERROR(__xludf.DUMMYFUNCTION("IF(C1919&lt;&gt;"""", GOOGLETRANSLATE(C1919, ""en"", ""te""),"""")"),"[ '33 వ ఒక సిరీస్లో అత్యధిక వికెట్లు (33)', '41 వ 50 వికెట్లు వేగంగా (11)', '100 వికెట్లు వేగంగా 27 వ (22)', '18 వ 150 వికెట్లు (34) వేగంగా', '43 వ వేగంగా 200 వికెట్లు (51) ']")</f>
        <v>[ '33 వ ఒక సిరీస్లో అత్యధిక వికెట్లు (33)', '41 వ 50 వికెట్లు వేగంగా (11)', '100 వికెట్లు వేగంగా 27 వ (22)', '18 వ 150 వికెట్లు (34) వేగంగా', '43 వ వేగంగా 200 వికెట్లు (51) ']</v>
      </c>
      <c r="E1919" s="2" t="s">
        <v>1201</v>
      </c>
      <c r="F1919" s="2" t="str">
        <f>IFERROR(__xludf.DUMMYFUNCTION("IF(E1919&lt;&gt;"""", GOOGLETRANSLATE(E1919, ""en"", ""te""),"""")"),"[ '33 వ ఒక సిరీస్లో అత్యధిక వికెట్లు (19)']")</f>
        <v>[ '33 వ ఒక సిరీస్లో అత్యధిక వికెట్లు (19)']</v>
      </c>
      <c r="G1919" s="2"/>
      <c r="H1919" s="2" t="str">
        <f>IFERROR(__xludf.DUMMYFUNCTION("IF(G1919&lt;&gt;"""", GOOGLETRANSLATE(G1919, ""en"", ""te""),"""")"),"")</f>
        <v/>
      </c>
      <c r="I1919" s="3"/>
    </row>
    <row r="1920" customHeight="1" spans="1:9">
      <c r="A1920" s="2" t="s">
        <v>1202</v>
      </c>
      <c r="B1920" s="2" t="str">
        <f>IFERROR(__xludf.DUMMYFUNCTION("IF(A1920&lt;&gt;"""", GOOGLETRANSLATE(A1920, ""en"", ""te""),"""")"),"[ 'హండ్రెడ్ మరియు ఒక మ్యాచ్లో తొంభై']")</f>
        <v>[ 'హండ్రెడ్ మరియు ఒక మ్యాచ్లో తొంభై']</v>
      </c>
      <c r="C1920" s="2"/>
      <c r="D1920" s="2" t="str">
        <f>IFERROR(__xludf.DUMMYFUNCTION("IF(C1920&lt;&gt;"""", GOOGLETRANSLATE(C1920, ""en"", ""te""),"""")"),"")</f>
        <v/>
      </c>
      <c r="E1920" s="2"/>
      <c r="F1920" s="2" t="str">
        <f>IFERROR(__xludf.DUMMYFUNCTION("IF(E1920&lt;&gt;"""", GOOGLETRANSLATE(E1920, ""en"", ""te""),"""")"),"")</f>
        <v/>
      </c>
      <c r="G1920" s="2"/>
      <c r="H1920" s="2" t="str">
        <f>IFERROR(__xludf.DUMMYFUNCTION("IF(G1920&lt;&gt;"""", GOOGLETRANSLATE(G1920, ""en"", ""te""),"""")"),"")</f>
        <v/>
      </c>
      <c r="I1920" s="3"/>
    </row>
    <row r="1921" customHeight="1" spans="1:9">
      <c r="A1921" s="2"/>
      <c r="B1921" s="2" t="str">
        <f>IFERROR(__xludf.DUMMYFUNCTION("IF(A1921&lt;&gt;"""", GOOGLETRANSLATE(A1921, ""en"", ""te""),"""")"),"")</f>
        <v/>
      </c>
      <c r="C1921" s="2"/>
      <c r="D1921" s="2" t="str">
        <f>IFERROR(__xludf.DUMMYFUNCTION("IF(C1921&lt;&gt;"""", GOOGLETRANSLATE(C1921, ""en"", ""te""),"""")"),"")</f>
        <v/>
      </c>
      <c r="E1921" s="2"/>
      <c r="F1921" s="2" t="str">
        <f>IFERROR(__xludf.DUMMYFUNCTION("IF(E1921&lt;&gt;"""", GOOGLETRANSLATE(E1921, ""en"", ""te""),"""")"),"")</f>
        <v/>
      </c>
      <c r="G1921" s="2"/>
      <c r="H1921" s="2" t="str">
        <f>IFERROR(__xludf.DUMMYFUNCTION("IF(G1921&lt;&gt;"""", GOOGLETRANSLATE(G1921, ""en"", ""te""),"""")"),"")</f>
        <v/>
      </c>
      <c r="I1921" s="3"/>
    </row>
    <row r="1922" customHeight="1" spans="1:9">
      <c r="A1922" s="2"/>
      <c r="B1922" s="2" t="str">
        <f>IFERROR(__xludf.DUMMYFUNCTION("IF(A1922&lt;&gt;"""", GOOGLETRANSLATE(A1922, ""en"", ""te""),"""")"),"")</f>
        <v/>
      </c>
      <c r="C1922" s="2"/>
      <c r="D1922" s="2" t="str">
        <f>IFERROR(__xludf.DUMMYFUNCTION("IF(C1922&lt;&gt;"""", GOOGLETRANSLATE(C1922, ""en"", ""te""),"""")"),"")</f>
        <v/>
      </c>
      <c r="E1922" s="2"/>
      <c r="F1922" s="2" t="str">
        <f>IFERROR(__xludf.DUMMYFUNCTION("IF(E1922&lt;&gt;"""", GOOGLETRANSLATE(E1922, ""en"", ""te""),"""")"),"")</f>
        <v/>
      </c>
      <c r="G1922" s="2"/>
      <c r="H1922" s="2" t="str">
        <f>IFERROR(__xludf.DUMMYFUNCTION("IF(G1922&lt;&gt;"""", GOOGLETRANSLATE(G1922, ""en"", ""te""),"""")"),"")</f>
        <v/>
      </c>
      <c r="I1922" s="3"/>
    </row>
    <row r="1923" customHeight="1" spans="1:9">
      <c r="A1923" s="2" t="s">
        <v>1203</v>
      </c>
      <c r="B1923" s="2" t="str">
        <f>IFERROR(__xludf.DUMMYFUNCTION("IF(A1923&lt;&gt;"""", GOOGLETRANSLATE(A1923, ""en"", ""te""),"""")"),"[ 'కెప్టెన్సీ తొలి 4 వ ఓల్డెస్ట్ కాప్టెన్ (39y 140d)', 'మొదటి డక్ ముందు (16) 4 వ అత్యంత ఇన్నింగ్స్' 4 వ అత్యుత్తమ బౌలింగ్ ఇన్నింగ్స్ లో విశ్లేషించడం (4/14) ', ఒక ఇన్నింగ్స్ లో' 10 వ ఉత్తమ ఆర్థిక రేటు ( 0.43) ',' 1 వ అత్యంత వృద్ధ ఆటగాడు ఒక ఐదు మైడెన్-వికె"&amp;"ట్ల లో-ఒక-ఇన్నింగ్స్ (39y 175d) ',' కెరీర్ (4304 లో బౌల్డ్ 2nd అత్యంత బంతుల్లో) ',' 6 వ అత్యధిక కెరీర్ (1040 లో ఇవ్వబడిన పరుగులలో తీసుకోవాలని) ' 'కెప్టెన్సీ ప్రవేశం (39y 181d) 6 వ ఓల్డెస్ట్ కెప్టెన్లు', '3 వ ఉత్తమ కెరీర్ ఆర్థిక రేటు (1.96)' '(3) ఇన్నింగ్స"&amp;"్ లో 1 వ అత్యధిక క్యాచ్లు', '2 వ అత్యంత తీసుకోబడిన వికెట్ల బౌల్డ్ (22)',]")</f>
        <v>[ 'కెప్టెన్సీ తొలి 4 వ ఓల్డెస్ట్ కాప్టెన్ (39y 140d)', 'మొదటి డక్ ముందు (16) 4 వ అత్యంత ఇన్నింగ్స్' 4 వ అత్యుత్తమ బౌలింగ్ ఇన్నింగ్స్ లో విశ్లేషించడం (4/14) ', ఒక ఇన్నింగ్స్ లో' 10 వ ఉత్తమ ఆర్థిక రేటు ( 0.43) ',' 1 వ అత్యంత వృద్ధ ఆటగాడు ఒక ఐదు మైడెన్-వికెట్ల లో-ఒక-ఇన్నింగ్స్ (39y 175d) ',' కెరీర్ (4304 లో బౌల్డ్ 2nd అత్యంత బంతుల్లో) ',' 6 వ అత్యధిక కెరీర్ (1040 లో ఇవ్వబడిన పరుగులలో తీసుకోవాలని) ' 'కెప్టెన్సీ ప్రవేశం (39y 181d) 6 వ ఓల్డెస్ట్ కెప్టెన్లు', '3 వ ఉత్తమ కెరీర్ ఆర్థిక రేటు (1.96)' '(3) ఇన్నింగ్స్ లో 1 వ అత్యధిక క్యాచ్లు', '2 వ అత్యంత తీసుకోబడిన వికెట్ల బౌల్డ్ (22)',]</v>
      </c>
      <c r="C1923" s="2" t="s">
        <v>1204</v>
      </c>
      <c r="D1923" s="2" t="str">
        <f>IFERROR(__xludf.DUMMYFUNCTION("IF(C1923&lt;&gt;"""", GOOGLETRANSLATE(C1923, ""en"", ""te""),"""")"),"[ '24 వ అతి తక్కువ కెరీర్ లో బాతులు (11)', '7 వ కెరీర్ లో అత్యధిక వికెట్లు (57)', 'మొదటి డక్ (16) ముందు 4 వ అత్యంత ఇన్నింగ్స్' 'ఒక మ్యాచ్లో 26 బెస్ట్ ఫిగర్స్ (8)', '12 వ అత్యంత వరుస వికెట్లు (18) ',' 4 వ అత్యుత్తమ బౌలింగ్ ఇన్నింగ్స్ లో ఒక నాయకుడు విశ్లేషణ"&amp;"లు (4/14) ',' 5 వ ఒక ఇన్నింగ్స్ లోని బెస్ట్ ఫిగర్స్ (5) ',' ఒక కెప్టెన్తో ఒక మ్యాచ్లో 11 వ బెస్ట్ ఫిగర్స్ ( 5) ',' 16 వ ఉత్తమ కెరీర్ బౌలింగ్ సరాసరి (18.24) ',' 10 వ ఉత్తమ కెరీర్ ఆర్థిక రేటు (1.44) ',' ఇన్నింగ్స్ లో 10 వ ఉత్తమ ఆర్థిక రేటు (0.43) ',' ఇన్నిం"&amp;"గ్స్ లో 27 చెత్త సమ్మె రేటు (210.0) ',' ఐదు వికెట్ల లో-ఒక-ఇన్నింగ్స్ తొలి తీసుకోవాలని (39y 175d) పడుతుంది 2 వ ఓల్డెస్ట్ ఆటగాడు ',' 1 వ ఓల్డెస్ట్ క్రీడాకారుడు ఐదు-వికెట్ల లో-ఒక-ఇన్నింగ్స్ (39y 175d) ',' 2 వ అత్యంత బంతుల్లో కెరీర్ (4304) లో బౌల్డ్ ',' 7 వ అ"&amp;"త్యంత బంతుల్లో ఒక మ్యాచ్లో బౌల్డ్ (466) ',' 6 వ అత్యధిక కెరీర్ (1040) లో ఇవ్వబడిన పరుగులలో ',' 2 వ బౌలర్ / బ్యాట్స్ కలయికలు (5) ',' 2 వ అత్యంత బౌల్డ్ తీసుకోబడిన వికెట్ల (22) ',' 4 వ అత్యధిక వికెట్లు తీసుకున్న ఆకర్షించింది (28) ',' 10 వ అత్యధిక వికెట్లు ఒక"&amp;" ఫీల్డర్ చేత క్యాచ్ తీసుకున్న (20) ',' 6 వ అత్యధిక వికెట్లు ఒక WIC పట్టుకుంటే తీసుకున్న ఒక మ్యాచ్లో కెరీర్లో ketkeeper (8) ',' 10 వ అత్యధిక క్యాచ్లు (12) ',' 1 వ ఇన్నింగ్స్ (3) ',' 2 వ అత్యధిక క్యాచ్లు లో అత్యధిక క్యాచ్లు (4) ',' 13 వ కెరీర్ లో అత్యధిక మ్"&amp;"యాచ్లు (16) ',' 22 వ ఓల్డెస్ట్ క్రీడాకారులు (39y 178d) ',' 30 వ లాంగెస్ట్ కెరీర్లు (12y 358d) ',' 5 వ ఓల్డెస్ట్ కాప్టెన్ (39y 178d) ',' కెప్టెన్సీ తొలి 4 వ ఓల్డెస్ట్ కాప్టెన్ (39y 140d) ']")</f>
        <v>[ '24 వ అతి తక్కువ కెరీర్ లో బాతులు (11)', '7 వ కెరీర్ లో అత్యధిక వికెట్లు (57)', 'మొదటి డక్ (16) ముందు 4 వ అత్యంత ఇన్నింగ్స్' 'ఒక మ్యాచ్లో 26 బెస్ట్ ఫిగర్స్ (8)', '12 వ అత్యంత వరుస వికెట్లు (18) ',' 4 వ అత్యుత్తమ బౌలింగ్ ఇన్నింగ్స్ లో ఒక నాయకుడు విశ్లేషణలు (4/14) ',' 5 వ ఒక ఇన్నింగ్స్ లోని బెస్ట్ ఫిగర్స్ (5) ',' ఒక కెప్టెన్తో ఒక మ్యాచ్లో 11 వ బెస్ట్ ఫిగర్స్ ( 5) ',' 16 వ ఉత్తమ కెరీర్ బౌలింగ్ సరాసరి (18.24) ',' 10 వ ఉత్తమ కెరీర్ ఆర్థిక రేటు (1.44) ',' ఇన్నింగ్స్ లో 10 వ ఉత్తమ ఆర్థిక రేటు (0.43) ',' ఇన్నింగ్స్ లో 27 చెత్త సమ్మె రేటు (210.0) ',' ఐదు వికెట్ల లో-ఒక-ఇన్నింగ్స్ తొలి తీసుకోవాలని (39y 175d) పడుతుంది 2 వ ఓల్డెస్ట్ ఆటగాడు ',' 1 వ ఓల్డెస్ట్ క్రీడాకారుడు ఐదు-వికెట్ల లో-ఒక-ఇన్నింగ్స్ (39y 175d) ',' 2 వ అత్యంత బంతుల్లో కెరీర్ (4304) లో బౌల్డ్ ',' 7 వ అత్యంత బంతుల్లో ఒక మ్యాచ్లో బౌల్డ్ (466) ',' 6 వ అత్యధిక కెరీర్ (1040) లో ఇవ్వబడిన పరుగులలో ',' 2 వ బౌలర్ / బ్యాట్స్ కలయికలు (5) ',' 2 వ అత్యంత బౌల్డ్ తీసుకోబడిన వికెట్ల (22) ',' 4 వ అత్యధిక వికెట్లు తీసుకున్న ఆకర్షించింది (28) ',' 10 వ అత్యధిక వికెట్లు ఒక ఫీల్డర్ చేత క్యాచ్ తీసుకున్న (20) ',' 6 వ అత్యధిక వికెట్లు ఒక WIC పట్టుకుంటే తీసుకున్న ఒక మ్యాచ్లో కెరీర్లో ketkeeper (8) ',' 10 వ అత్యధిక క్యాచ్లు (12) ',' 1 వ ఇన్నింగ్స్ (3) ',' 2 వ అత్యధిక క్యాచ్లు లో అత్యధిక క్యాచ్లు (4) ',' 13 వ కెరీర్ లో అత్యధిక మ్యాచ్లు (16) ',' 22 వ ఓల్డెస్ట్ క్రీడాకారులు (39y 178d) ',' 30 వ లాంగెస్ట్ కెరీర్లు (12y 358d) ',' 5 వ ఓల్డెస్ట్ కాప్టెన్ (39y 178d) ',' కెప్టెన్సీ తొలి 4 వ ఓల్డెస్ట్ కాప్టెన్ (39y 140d) ']</v>
      </c>
      <c r="E1923" s="2" t="s">
        <v>1205</v>
      </c>
      <c r="F1923" s="2" t="str">
        <f>IFERROR(__xludf.DUMMYFUNCTION("IF(E1923&lt;&gt;"""", GOOGLETRANSLATE(E1923, ""en"", ""te""),"""")"),"[ '3 వ ఉత్తమ కెరీర్ ఆర్థిక రేటు (1.96)' '30 వ ఉత్తమ కెరీర్ సగటు (18.66) బౌలింగ్', 'ఇన్నింగ్స్ లో 24 వ ఉత్తమ ఆర్థిక రేటు (0.36)', '28th చెత్త కెరీర్లో సమ్మె రేటు (57.0)', '23 వ ఓల్డెస్ట్ క్రీడాకారులు (39y 184d) ',' 7 వ ఓల్డెస్ట్ కాప్టెన్ (39y 184d) ',' 6 వ"&amp;" ఓల్డెస్ట్ కెప్టెన్లు కెప్టెన్సీ తొలి (39y 181d) ']")</f>
        <v>[ '3 వ ఉత్తమ కెరీర్ ఆర్థిక రేటు (1.96)' '30 వ ఉత్తమ కెరీర్ సగటు (18.66) బౌలింగ్', 'ఇన్నింగ్స్ లో 24 వ ఉత్తమ ఆర్థిక రేటు (0.36)', '28th చెత్త కెరీర్లో సమ్మె రేటు (57.0)', '23 వ ఓల్డెస్ట్ క్రీడాకారులు (39y 184d) ',' 7 వ ఓల్డెస్ట్ కాప్టెన్ (39y 184d) ',' 6 వ ఓల్డెస్ట్ కెప్టెన్లు కెప్టెన్సీ తొలి (39y 181d) ']</v>
      </c>
      <c r="G1923" s="2"/>
      <c r="H1923" s="2" t="str">
        <f>IFERROR(__xludf.DUMMYFUNCTION("IF(G1923&lt;&gt;"""", GOOGLETRANSLATE(G1923, ""en"", ""te""),"""")"),"")</f>
        <v/>
      </c>
      <c r="I1923" s="3"/>
    </row>
    <row r="1924" customHeight="1" spans="1:9">
      <c r="A1924" s="2"/>
      <c r="B1924" s="2" t="str">
        <f>IFERROR(__xludf.DUMMYFUNCTION("IF(A1924&lt;&gt;"""", GOOGLETRANSLATE(A1924, ""en"", ""te""),"""")"),"")</f>
        <v/>
      </c>
      <c r="C1924" s="2" t="s">
        <v>1206</v>
      </c>
      <c r="D1924" s="2" t="str">
        <f>IFERROR(__xludf.DUMMYFUNCTION("IF(C1924&lt;&gt;"""", GOOGLETRANSLATE(C1924, ""en"", ""te""),"""")"),"[ 'తొలి 34 వ ఓల్డెస్ట్ క్రీడాకారులు (37y 290d)']")</f>
        <v>[ 'తొలి 34 వ ఓల్డెస్ట్ క్రీడాకారులు (37y 290d)']</v>
      </c>
      <c r="E1924" s="2"/>
      <c r="F1924" s="2" t="str">
        <f>IFERROR(__xludf.DUMMYFUNCTION("IF(E1924&lt;&gt;"""", GOOGLETRANSLATE(E1924, ""en"", ""te""),"""")"),"")</f>
        <v/>
      </c>
      <c r="G1924" s="2"/>
      <c r="H1924" s="2" t="str">
        <f>IFERROR(__xludf.DUMMYFUNCTION("IF(G1924&lt;&gt;"""", GOOGLETRANSLATE(G1924, ""en"", ""te""),"""")"),"")</f>
        <v/>
      </c>
      <c r="I1924" s="3"/>
    </row>
    <row r="1925" customHeight="1" spans="1:9">
      <c r="A1925" s="2"/>
      <c r="B1925" s="2" t="str">
        <f>IFERROR(__xludf.DUMMYFUNCTION("IF(A1925&lt;&gt;"""", GOOGLETRANSLATE(A1925, ""en"", ""te""),"""")"),"")</f>
        <v/>
      </c>
      <c r="C1925" s="2" t="s">
        <v>1207</v>
      </c>
      <c r="D1925" s="2" t="str">
        <f>IFERROR(__xludf.DUMMYFUNCTION("IF(C1925&lt;&gt;"""", GOOGLETRANSLATE(C1925, ""en"", ""te""),"""")"),"[ '25 చెత్త కెరీర్ బౌలింగ్ సరాసరి (అర్హత లేకుండా) (165.00)']")</f>
        <v>[ '25 చెత్త కెరీర్ బౌలింగ్ సరాసరి (అర్హత లేకుండా) (165.00)']</v>
      </c>
      <c r="E1925" s="2"/>
      <c r="F1925" s="2" t="str">
        <f>IFERROR(__xludf.DUMMYFUNCTION("IF(E1925&lt;&gt;"""", GOOGLETRANSLATE(E1925, ""en"", ""te""),"""")"),"")</f>
        <v/>
      </c>
      <c r="G1925" s="2"/>
      <c r="H1925" s="2" t="str">
        <f>IFERROR(__xludf.DUMMYFUNCTION("IF(G1925&lt;&gt;"""", GOOGLETRANSLATE(G1925, ""en"", ""te""),"""")"),"")</f>
        <v/>
      </c>
      <c r="I1925" s="3"/>
    </row>
    <row r="1926" customHeight="1" spans="1:9">
      <c r="A1926" s="2" t="s">
        <v>1208</v>
      </c>
      <c r="B1926" s="2" t="str">
        <f>IFERROR(__xludf.DUMMYFUNCTION("IF(A1926&lt;&gt;"""", GOOGLETRANSLATE(A1926, ""en"", ""te""),"""")"),"[ 'పదవ వికెట్ను (127) కోసం 10 వ అత్యధిక భాగస్వామ్యం']")</f>
        <v>[ 'పదవ వికెట్ను (127) కోసం 10 వ అత్యధిక భాగస్వామ్యం']</v>
      </c>
      <c r="C1926" s="2" t="s">
        <v>1208</v>
      </c>
      <c r="D1926" s="2" t="str">
        <f>IFERROR(__xludf.DUMMYFUNCTION("IF(C1926&lt;&gt;"""", GOOGLETRANSLATE(C1926, ""en"", ""te""),"""")"),"[ 'పదవ వికెట్ను (127) కోసం 10 వ అత్యధిక భాగస్వామ్యం']")</f>
        <v>[ 'పదవ వికెట్ను (127) కోసం 10 వ అత్యధిక భాగస్వామ్యం']</v>
      </c>
      <c r="E1926" s="2"/>
      <c r="F1926" s="2" t="str">
        <f>IFERROR(__xludf.DUMMYFUNCTION("IF(E1926&lt;&gt;"""", GOOGLETRANSLATE(E1926, ""en"", ""te""),"""")"),"")</f>
        <v/>
      </c>
      <c r="G1926" s="2"/>
      <c r="H1926" s="2" t="str">
        <f>IFERROR(__xludf.DUMMYFUNCTION("IF(G1926&lt;&gt;"""", GOOGLETRANSLATE(G1926, ""en"", ""te""),"""")"),"")</f>
        <v/>
      </c>
      <c r="I1926" s="3"/>
    </row>
    <row r="1927" customHeight="1" spans="1:9">
      <c r="A1927" s="2"/>
      <c r="B1927" s="2" t="str">
        <f>IFERROR(__xludf.DUMMYFUNCTION("IF(A1927&lt;&gt;"""", GOOGLETRANSLATE(A1927, ""en"", ""te""),"""")"),"")</f>
        <v/>
      </c>
      <c r="C1927" s="2"/>
      <c r="D1927" s="2" t="str">
        <f>IFERROR(__xludf.DUMMYFUNCTION("IF(C1927&lt;&gt;"""", GOOGLETRANSLATE(C1927, ""en"", ""te""),"""")"),"")</f>
        <v/>
      </c>
      <c r="E1927" s="2"/>
      <c r="F1927" s="2" t="str">
        <f>IFERROR(__xludf.DUMMYFUNCTION("IF(E1927&lt;&gt;"""", GOOGLETRANSLATE(E1927, ""en"", ""te""),"""")"),"")</f>
        <v/>
      </c>
      <c r="G1927" s="2"/>
      <c r="H1927" s="2" t="str">
        <f>IFERROR(__xludf.DUMMYFUNCTION("IF(G1927&lt;&gt;"""", GOOGLETRANSLATE(G1927, ""en"", ""te""),"""")"),"")</f>
        <v/>
      </c>
      <c r="I1927" s="3"/>
    </row>
    <row r="1928" customHeight="1" spans="1:9">
      <c r="A1928" s="2"/>
      <c r="B1928" s="2" t="str">
        <f>IFERROR(__xludf.DUMMYFUNCTION("IF(A1928&lt;&gt;"""", GOOGLETRANSLATE(A1928, ""en"", ""te""),"""")"),"")</f>
        <v/>
      </c>
      <c r="C1928" s="2"/>
      <c r="D1928" s="2" t="str">
        <f>IFERROR(__xludf.DUMMYFUNCTION("IF(C1928&lt;&gt;"""", GOOGLETRANSLATE(C1928, ""en"", ""te""),"""")"),"")</f>
        <v/>
      </c>
      <c r="E1928" s="2"/>
      <c r="F1928" s="2" t="str">
        <f>IFERROR(__xludf.DUMMYFUNCTION("IF(E1928&lt;&gt;"""", GOOGLETRANSLATE(E1928, ""en"", ""te""),"""")"),"")</f>
        <v/>
      </c>
      <c r="G1928" s="2"/>
      <c r="H1928" s="2" t="str">
        <f>IFERROR(__xludf.DUMMYFUNCTION("IF(G1928&lt;&gt;"""", GOOGLETRANSLATE(G1928, ""en"", ""te""),"""")"),"")</f>
        <v/>
      </c>
      <c r="I1928" s="3"/>
    </row>
    <row r="1929" customHeight="1" spans="1:9">
      <c r="A1929" s="2" t="s">
        <v>1209</v>
      </c>
      <c r="B1929" s="2" t="str">
        <f>IFERROR(__xludf.DUMMYFUNCTION("IF(A1929&lt;&gt;"""", GOOGLETRANSLATE(A1929, ""en"", ""te""),"""")"),"[ '6 వ అత్యంత జట్టు కెప్టెన్గా వరుస మ్యాచ్లు (50)', 'ఒక మ్యాచ్లో 2nd అత్యధిక పరుగులు (426)', 'ఒక వృత్తిలో 5 వ అత్యధిక ట్రిపుల్ సెంచరీలు (1)', 'హండ్రెడ్ మరియు ఒక మ్యాచ్లో తొంభై' 'వరుస ఇన్నింగ్స్లో 7 వ యాభైల్లో (6)', 'ఒక కెప్టెన్తో పెయిర్', 'ఒక ఇన్నింగ్స్"&amp;"లో ద్వారా బ్యాట్ నిదర్శన (169 *)', '10 వ కెరీర్ లో అత్యధిక క్యాచ్లు (157)', '5000 పరుగులు మరియు 50 ఫీల్డింగ్ వికెట్లు ',' ఇన్నింగ్స్ లో 2 వ అత్యధిక క్యాచ్లు (4) వరుస ఇన్నింగ్స్లో ',' 10 వ యాభైల్లో (6) ']")</f>
        <v>[ '6 వ అత్యంత జట్టు కెప్టెన్గా వరుస మ్యాచ్లు (50)', 'ఒక మ్యాచ్లో 2nd అత్యధిక పరుగులు (426)', 'ఒక వృత్తిలో 5 వ అత్యధిక ట్రిపుల్ సెంచరీలు (1)', 'హండ్రెడ్ మరియు ఒక మ్యాచ్లో తొంభై' 'వరుస ఇన్నింగ్స్లో 7 వ యాభైల్లో (6)', 'ఒక కెప్టెన్తో పెయిర్', 'ఒక ఇన్నింగ్స్లో ద్వారా బ్యాట్ నిదర్శన (169 *)', '10 వ కెరీర్ లో అత్యధిక క్యాచ్లు (157)', '5000 పరుగులు మరియు 50 ఫీల్డింగ్ వికెట్లు ',' ఇన్నింగ్స్ లో 2 వ అత్యధిక క్యాచ్లు (4) వరుస ఇన్నింగ్స్లో ',' 10 వ యాభైల్లో (6) ']</v>
      </c>
      <c r="C1929" s="2" t="s">
        <v>1210</v>
      </c>
      <c r="D1929" s="2" t="str">
        <f>IFERROR(__xludf.DUMMYFUNCTION("IF(C1929&lt;&gt;"""", GOOGLETRANSLATE(C1929, ""en"", ""te""),"""")"),"[ '39 వ అత్యధిక కెరీర్ లో పరుగులు (7525)', '11 వ ఇన్నింగ్స్ లో అత్యధిక పరుగులు (334 *)', 'ఒక మ్యాచ్లో 2nd అత్యధిక పరుగులు (426)', '3 వ అత్యంత వరుస పరుగులు (839)', ' 6 వ అత్యంత ఇన్నింగ్స్ లో నడుస్తుంది (బ్యాటింగ్ స్థానం) ఒక రోజు లో (334 *) ',' 18 వ అత్యధిక"&amp;" పరుగులు (222) ',' 44th ఒక కెప్టెన్ ద్వారా ఒక సిరీస్లో అత్యధిక పరుగులు (513) ',' 3 వ చాల వరకు ఒక లో నడుస్తుంది ఒక కెప్టెన్తో ఇన్నింగ్స్ (334 *) ',' 47 వ ఒక వృత్తిలో అత్యధిక వందలు (19) ',' ఒక వృత్తిలో 5 వ అత్యధిక ట్రిపుల్ సెంచరీలు (1) ',' వరుస మ్యాచ్లలో 21"&amp;" వందల (3) ',' 29 వ అత్యధిక అర్ధ వృత్తి (59) ',' వరుస ఇన్నింగ్స్లో 7 వ యాభైల్లో (6) ',' వరుస మ్యాచ్లలో 26 యాభైల్లో (7) ',' 24 వ అత్యంత ఇన్నింగ్స్ ముందు మొదటి డక్ (38) ',' ఒక డక్ లేకుండా 34 వ వరుస ఇన్నింగ్స్ ( 58) ',' అతని 15 వ అతి తక్కువ బాతులు (37.2) ',"&amp;"' 18 వ లాంగెస్ట్ వ్యక్తిగత ఇన్నింగ్స్ (నిమిషాలు) (720) ',' 16 వ లాంగెస్ట్ వ్యక్తిగత ఇన్నింగ్స్ (బంతులతో) (564) ',' 13 వ 1000 పరుగులు వేగంగా ( 18) ',' 35 వ 2000 పరుగులు (వేగంగా 44) ',' 41 వ 3000 పరుగులు (వేగంగా 68) ',' 27th 4000 పరుగులు (89) ',' ఫాస్టెస్ట్"&amp;" 49 వ 5000 పరుగులు (119) ',' 4 వేగంగా 0th 7000 వేగంగా పరుగులు (173) ',' 10 వ కెరీర్ లో అత్యధిక క్యాచ్లు (157) ',' వరుస 24 వ అత్యధిక క్యాచ్లు (11) ',' మొదటి వికెట్కు 29 అత్యధిక భాగస్వామ్యం (260) ',' 28th అత్యధిక భాగస్వామ్యం రెండవ వికెట్కు కెప్టెన్ గా జట్టు"&amp;" కెప్టెన్గా (279) ',' 15 వ అత్యధిక మ్యాచ్లు (50) ',' 6 వ వరుస మ్యాచ్లు (50) ',' 44 వ వరుస (5) లో అన్ని టాస్ గెలిచి ']")</f>
        <v>[ '39 వ అత్యధిక కెరీర్ లో పరుగులు (7525)', '11 వ ఇన్నింగ్స్ లో అత్యధిక పరుగులు (334 *)', 'ఒక మ్యాచ్లో 2nd అత్యధిక పరుగులు (426)', '3 వ అత్యంత వరుస పరుగులు (839)', ' 6 వ అత్యంత ఇన్నింగ్స్ లో నడుస్తుంది (బ్యాటింగ్ స్థానం) ఒక రోజు లో (334 *) ',' 18 వ అత్యధిక పరుగులు (222) ',' 44th ఒక కెప్టెన్ ద్వారా ఒక సిరీస్లో అత్యధిక పరుగులు (513) ',' 3 వ చాల వరకు ఒక లో నడుస్తుంది ఒక కెప్టెన్తో ఇన్నింగ్స్ (334 *) ',' 47 వ ఒక వృత్తిలో అత్యధిక వందలు (19) ',' ఒక వృత్తిలో 5 వ అత్యధిక ట్రిపుల్ సెంచరీలు (1) ',' వరుస మ్యాచ్లలో 21 వందల (3) ',' 29 వ అత్యధిక అర్ధ వృత్తి (59) ',' వరుస ఇన్నింగ్స్లో 7 వ యాభైల్లో (6) ',' వరుస మ్యాచ్లలో 26 యాభైల్లో (7) ',' 24 వ అత్యంత ఇన్నింగ్స్ ముందు మొదటి డక్ (38) ',' ఒక డక్ లేకుండా 34 వ వరుస ఇన్నింగ్స్ ( 58) ',' అతని 15 వ అతి తక్కువ బాతులు (37.2) ',' 18 వ లాంగెస్ట్ వ్యక్తిగత ఇన్నింగ్స్ (నిమిషాలు) (720) ',' 16 వ లాంగెస్ట్ వ్యక్తిగత ఇన్నింగ్స్ (బంతులతో) (564) ',' 13 వ 1000 పరుగులు వేగంగా ( 18) ',' 35 వ 2000 పరుగులు (వేగంగా 44) ',' 41 వ 3000 పరుగులు (వేగంగా 68) ',' 27th 4000 పరుగులు (89) ',' ఫాస్టెస్ట్ 49 వ 5000 పరుగులు (119) ',' 4 వేగంగా 0th 7000 వేగంగా పరుగులు (173) ',' 10 వ కెరీర్ లో అత్యధిక క్యాచ్లు (157) ',' వరుస 24 వ అత్యధిక క్యాచ్లు (11) ',' మొదటి వికెట్కు 29 అత్యధిక భాగస్వామ్యం (260) ',' 28th అత్యధిక భాగస్వామ్యం రెండవ వికెట్కు కెప్టెన్ గా జట్టు కెప్టెన్గా (279) ',' 15 వ అత్యధిక మ్యాచ్లు (50) ',' 6 వ వరుస మ్యాచ్లు (50) ',' 44 వ వరుస (5) లో అన్ని టాస్ గెలిచి ']</v>
      </c>
      <c r="E1929" s="2" t="s">
        <v>1211</v>
      </c>
      <c r="F1929" s="2" t="str">
        <f>IFERROR(__xludf.DUMMYFUNCTION("IF(E1929&lt;&gt;"""", GOOGLETRANSLATE(E1929, ""en"", ""te""),"""")"),"[ '20 వ అత్యంత కెప్టెన్ ద్వారా ఒక సిరీస్లో పరుగులు (423)', 'వరుస 24 వ అత్యధిక క్యాచ్లు (8)' '49 వ అతి తక్కువ కెరీర్ లో బాతులు (27.5)', 'ఇన్నింగ్స్ (4) 2 వ అత్యధిక క్యాచ్లు' '41 వ అత్యధిక మ్యాచ్లు కెప్టెన్గా (67)', 'ఒక జట్టు కెప్టెన్గా 22 వ వరుస మ్యాచ్లు ("&amp;"42)', '27 వ వరుస అన్ని టాస్ గెలిచిన (5)']")</f>
        <v>[ '20 వ అత్యంత కెప్టెన్ ద్వారా ఒక సిరీస్లో పరుగులు (423)', 'వరుస 24 వ అత్యధిక క్యాచ్లు (8)' '49 వ అతి తక్కువ కెరీర్ లో బాతులు (27.5)', 'ఇన్నింగ్స్ (4) 2 వ అత్యధిక క్యాచ్లు' '41 వ అత్యధిక మ్యాచ్లు కెప్టెన్గా (67)', 'ఒక జట్టు కెప్టెన్గా 22 వ వరుస మ్యాచ్లు (42)', '27 వ వరుస అన్ని టాస్ గెలిచిన (5)']</v>
      </c>
      <c r="G1929" s="2" t="s">
        <v>1212</v>
      </c>
      <c r="H1929" s="2" t="str">
        <f>IFERROR(__xludf.DUMMYFUNCTION("IF(G1929&lt;&gt;"""", GOOGLETRANSLATE(G1929, ""en"", ""te""),"""")"),"[ 'బృందం (42) కెప్టెన్ గా 22 వ వరుస మ్యాచ్లు']")</f>
        <v>[ 'బృందం (42) కెప్టెన్ గా 22 వ వరుస మ్యాచ్లు']</v>
      </c>
      <c r="I1929" s="3"/>
    </row>
    <row r="1930" customHeight="1" spans="1:9">
      <c r="A1930" s="2"/>
      <c r="B1930" s="2" t="str">
        <f>IFERROR(__xludf.DUMMYFUNCTION("IF(A1930&lt;&gt;"""", GOOGLETRANSLATE(A1930, ""en"", ""te""),"""")"),"")</f>
        <v/>
      </c>
      <c r="C1930" s="2"/>
      <c r="D1930" s="2" t="str">
        <f>IFERROR(__xludf.DUMMYFUNCTION("IF(C1930&lt;&gt;"""", GOOGLETRANSLATE(C1930, ""en"", ""te""),"""")"),"")</f>
        <v/>
      </c>
      <c r="E1930" s="2"/>
      <c r="F1930" s="2" t="str">
        <f>IFERROR(__xludf.DUMMYFUNCTION("IF(E1930&lt;&gt;"""", GOOGLETRANSLATE(E1930, ""en"", ""te""),"""")"),"")</f>
        <v/>
      </c>
      <c r="G1930" s="2"/>
      <c r="H1930" s="2" t="str">
        <f>IFERROR(__xludf.DUMMYFUNCTION("IF(G1930&lt;&gt;"""", GOOGLETRANSLATE(G1930, ""en"", ""te""),"""")"),"")</f>
        <v/>
      </c>
      <c r="I1930" s="3"/>
    </row>
    <row r="1931" customHeight="1" spans="1:9">
      <c r="A1931" s="2" t="s">
        <v>352</v>
      </c>
      <c r="B1931" s="2" t="str">
        <f>IFERROR(__xludf.DUMMYFUNCTION("IF(A1931&lt;&gt;"""", GOOGLETRANSLATE(A1931, ""en"", ""te""),"""")"),"[ 'బ్యాటింగ్ ప్రారంభించుటకు మరియు అదే మ్యాచ్ లో బౌలింగ్']")</f>
        <v>[ 'బ్యాటింగ్ ప్రారంభించుటకు మరియు అదే మ్యాచ్ లో బౌలింగ్']</v>
      </c>
      <c r="C1931" s="2" t="s">
        <v>1213</v>
      </c>
      <c r="D1931" s="2" t="str">
        <f>IFERROR(__xludf.DUMMYFUNCTION("IF(C1931&lt;&gt;"""", GOOGLETRANSLATE(C1931, ""en"", ""te""),"""")"),"[ '49 వ ఒక సిరీస్లో అత్యధిక పరుగులు (661)', '14 వ అత్యధిక పరుగులు పరాజయం వైపు ఒక మ్యాచ్లో (242)' 'ఒక రోజు లో 30 వ అత్యధిక పరుగులు (208)', '14 వ ఒక లో పరుగులు అత్యధిక శాతం పూర్తి ఇన్నింగ్స్ (60.65) ']")</f>
        <v>[ '49 వ ఒక సిరీస్లో అత్యధిక పరుగులు (661)', '14 వ అత్యధిక పరుగులు పరాజయం వైపు ఒక మ్యాచ్లో (242)' 'ఒక రోజు లో 30 వ అత్యధిక పరుగులు (208)', '14 వ ఒక లో పరుగులు అత్యధిక శాతం పూర్తి ఇన్నింగ్స్ (60.65) ']</v>
      </c>
      <c r="E1931" s="2"/>
      <c r="F1931" s="2" t="str">
        <f>IFERROR(__xludf.DUMMYFUNCTION("IF(E1931&lt;&gt;"""", GOOGLETRANSLATE(E1931, ""en"", ""te""),"""")"),"")</f>
        <v/>
      </c>
      <c r="G1931" s="2"/>
      <c r="H1931" s="2" t="str">
        <f>IFERROR(__xludf.DUMMYFUNCTION("IF(G1931&lt;&gt;"""", GOOGLETRANSLATE(G1931, ""en"", ""te""),"""")"),"")</f>
        <v/>
      </c>
      <c r="I1931" s="3"/>
    </row>
    <row r="1932" customHeight="1" spans="1:9">
      <c r="A1932" s="2" t="s">
        <v>1214</v>
      </c>
      <c r="B1932" s="2" t="str">
        <f>IFERROR(__xludf.DUMMYFUNCTION("IF(A1932&lt;&gt;"""", GOOGLETRANSLATE(A1932, ""en"", ""te""),"""")"),"[ 'ఒక మ్యాచ్లో 5 వ ఉత్తమ గణాంకాలు పరాజయం వైపు (12) ఉన్నప్పుడు', '1 వ వరుస ఐదు వికెట్ల లో-ఒక-ఇన్నింగ్స్ (6)', '1st వేగవంతమైన' 6 వ ఉత్తమ కెరీర్ సగటు (16.53) బౌలింగ్ ' 50 వికెట్లు (6) ',' బ్యాటింగ్ 1st చాలా వరుసగా నాలుగు వికెట్లు-ఇన్-ఒక-ఇన్నింగ్స్ తెరవడం మ"&amp;"రియు అదే మ్యాచ్ లో బౌలింగ్ ',' (8) ']")</f>
        <v>[ 'ఒక మ్యాచ్లో 5 వ ఉత్తమ గణాంకాలు పరాజయం వైపు (12) ఉన్నప్పుడు', '1 వ వరుస ఐదు వికెట్ల లో-ఒక-ఇన్నింగ్స్ (6)', '1st వేగవంతమైన' 6 వ ఉత్తమ కెరీర్ సగటు (16.53) బౌలింగ్ ' 50 వికెట్లు (6) ',' బ్యాటింగ్ 1st చాలా వరుసగా నాలుగు వికెట్లు-ఇన్-ఒక-ఇన్నింగ్స్ తెరవడం మరియు అదే మ్యాచ్ లో బౌలింగ్ ',' (8) ']</v>
      </c>
      <c r="C1932" s="2" t="s">
        <v>1215</v>
      </c>
      <c r="D1932" s="2" t="str">
        <f>IFERROR(__xludf.DUMMYFUNCTION("IF(C1932&lt;&gt;"""", GOOGLETRANSLATE(C1932, ""en"", ""te""),"""")"),"[ '10 వ అత్యుత్తమ బౌలింగ్ ఇన్నింగ్స్ లో విశ్లేషించడం (6/15)', '24th ఒక ఇన్నింగ్స్ లోని బెస్ట్ ఫిగర్స్ ఉన్నప్పుడు పరాజయం వైపు (7)', '5 వ మ్యాచ్ లో బెస్ట్ ఫిగర్స్ ఉన్నప్పుడు పరాజయం వైపు (12)', '6 వ ఉత్తమ కెరీర్ సగటు (16.53) బౌలింగ్', '20 వ ఉత్తమ కెరీర్ ఆర"&amp;"్థిక రేటు (1.93)', '45 వ ఉత్తమ కెరీర్ సమ్మె రేటు (51.2)', 'తొలి ఇన్నింగ్స్లో 22 బెస్ట్ ఫిగర్స్ (6)', '33 వ ఉత్తమ తొలి మ్యాచ్ లో సంఖ్యలు (8) ',' 1 వ వరుస ఐదు వికెట్ల లో-ఒక-ఇన్నింగ్స్ (6) ',' 4 వ అత్యధిక వరుస పది వికెట్లు లో ఒక మ్యాచ్ (2) ',' 1st వేగంగా 50 "&amp;"వికెట్లు (6) ',' 100 వికెట్లు 2nd వేగవంతమైన (17) ']")</f>
        <v>[ '10 వ అత్యుత్తమ బౌలింగ్ ఇన్నింగ్స్ లో విశ్లేషించడం (6/15)', '24th ఒక ఇన్నింగ్స్ లోని బెస్ట్ ఫిగర్స్ ఉన్నప్పుడు పరాజయం వైపు (7)', '5 వ మ్యాచ్ లో బెస్ట్ ఫిగర్స్ ఉన్నప్పుడు పరాజయం వైపు (12)', '6 వ ఉత్తమ కెరీర్ సగటు (16.53) బౌలింగ్', '20 వ ఉత్తమ కెరీర్ ఆర్థిక రేటు (1.93)', '45 వ ఉత్తమ కెరీర్ సమ్మె రేటు (51.2)', 'తొలి ఇన్నింగ్స్లో 22 బెస్ట్ ఫిగర్స్ (6)', '33 వ ఉత్తమ తొలి మ్యాచ్ లో సంఖ్యలు (8) ',' 1 వ వరుస ఐదు వికెట్ల లో-ఒక-ఇన్నింగ్స్ (6) ',' 4 వ అత్యధిక వరుస పది వికెట్లు లో ఒక మ్యాచ్ (2) ',' 1st వేగంగా 50 వికెట్లు (6) ',' 100 వికెట్లు 2nd వేగవంతమైన (17) ']</v>
      </c>
      <c r="E1932" s="2"/>
      <c r="F1932" s="2" t="str">
        <f>IFERROR(__xludf.DUMMYFUNCTION("IF(E1932&lt;&gt;"""", GOOGLETRANSLATE(E1932, ""en"", ""te""),"""")"),"")</f>
        <v/>
      </c>
      <c r="G1932" s="2"/>
      <c r="H1932" s="2" t="str">
        <f>IFERROR(__xludf.DUMMYFUNCTION("IF(G1932&lt;&gt;"""", GOOGLETRANSLATE(G1932, ""en"", ""te""),"""")"),"")</f>
        <v/>
      </c>
      <c r="I1932" s="3"/>
    </row>
    <row r="1933" customHeight="1" spans="1:9">
      <c r="A1933" s="2"/>
      <c r="B1933" s="2" t="str">
        <f>IFERROR(__xludf.DUMMYFUNCTION("IF(A1933&lt;&gt;"""", GOOGLETRANSLATE(A1933, ""en"", ""te""),"""")"),"")</f>
        <v/>
      </c>
      <c r="C1933" s="2"/>
      <c r="D1933" s="2" t="str">
        <f>IFERROR(__xludf.DUMMYFUNCTION("IF(C1933&lt;&gt;"""", GOOGLETRANSLATE(C1933, ""en"", ""te""),"""")"),"")</f>
        <v/>
      </c>
      <c r="E1933" s="2"/>
      <c r="F1933" s="2" t="str">
        <f>IFERROR(__xludf.DUMMYFUNCTION("IF(E1933&lt;&gt;"""", GOOGLETRANSLATE(E1933, ""en"", ""te""),"""")"),"")</f>
        <v/>
      </c>
      <c r="G1933" s="2"/>
      <c r="H1933" s="2" t="str">
        <f>IFERROR(__xludf.DUMMYFUNCTION("IF(G1933&lt;&gt;"""", GOOGLETRANSLATE(G1933, ""en"", ""te""),"""")"),"")</f>
        <v/>
      </c>
      <c r="I1933" s="3"/>
    </row>
    <row r="1934" customHeight="1" spans="1:9">
      <c r="A1934" s="2"/>
      <c r="B1934" s="2" t="str">
        <f>IFERROR(__xludf.DUMMYFUNCTION("IF(A1934&lt;&gt;"""", GOOGLETRANSLATE(A1934, ""en"", ""te""),"""")"),"")</f>
        <v/>
      </c>
      <c r="C1934" s="2" t="s">
        <v>1216</v>
      </c>
      <c r="D1934" s="2" t="str">
        <f>IFERROR(__xludf.DUMMYFUNCTION("IF(C1934&lt;&gt;"""", GOOGLETRANSLATE(C1934, ""en"", ""te""),"""")"),"[ 'తొలి ఇన్నింగ్స్లో 22 బెస్ట్ ఫిగర్స్ (6)', '33 వ ప్రవేశం (8) ఒక మ్యాచ్లో బెస్ట్ ఫిగర్స్']")</f>
        <v>[ 'తొలి ఇన్నింగ్స్లో 22 బెస్ట్ ఫిగర్స్ (6)', '33 వ ప్రవేశం (8) ఒక మ్యాచ్లో బెస్ట్ ఫిగర్స్']</v>
      </c>
      <c r="E1934" s="2" t="s">
        <v>1217</v>
      </c>
      <c r="F1934" s="2" t="str">
        <f>IFERROR(__xludf.DUMMYFUNCTION("IF(E1934&lt;&gt;"""", GOOGLETRANSLATE(E1934, ""en"", ""te""),"""")"),"[ '35 వ అత్యధిక వికెట్లు ఆకర్షించింది తీసుకున్న మరియు బౌల్డ్ (10)']")</f>
        <v>[ '35 వ అత్యధిక వికెట్లు ఆకర్షించింది తీసుకున్న మరియు బౌల్డ్ (10)']</v>
      </c>
      <c r="G1934" s="2"/>
      <c r="H1934" s="2" t="str">
        <f>IFERROR(__xludf.DUMMYFUNCTION("IF(G1934&lt;&gt;"""", GOOGLETRANSLATE(G1934, ""en"", ""te""),"""")"),"")</f>
        <v/>
      </c>
      <c r="I1934" s="3"/>
    </row>
    <row r="1935" customHeight="1" spans="1:9">
      <c r="A1935" s="2"/>
      <c r="B1935" s="2" t="str">
        <f>IFERROR(__xludf.DUMMYFUNCTION("IF(A1935&lt;&gt;"""", GOOGLETRANSLATE(A1935, ""en"", ""te""),"""")"),"")</f>
        <v/>
      </c>
      <c r="C1935" s="2" t="s">
        <v>1218</v>
      </c>
      <c r="D1935" s="2" t="str">
        <f>IFERROR(__xludf.DUMMYFUNCTION("IF(C1935&lt;&gt;"""", GOOGLETRANSLATE(C1935, ""en"", ""te""),"""")"),"[ '35 వ మ్యాచ్ లో అత్యధిక వికెట్లు (8)', '47 వ ఒక సిరీస్లో అత్యధిక వికెట్లు (20)']")</f>
        <v>[ '35 వ మ్యాచ్ లో అత్యధిక వికెట్లు (8)', '47 వ ఒక సిరీస్లో అత్యధిక వికెట్లు (20)']</v>
      </c>
      <c r="E1935" s="2"/>
      <c r="F1935" s="2" t="str">
        <f>IFERROR(__xludf.DUMMYFUNCTION("IF(E1935&lt;&gt;"""", GOOGLETRANSLATE(E1935, ""en"", ""te""),"""")"),"")</f>
        <v/>
      </c>
      <c r="G1935" s="2"/>
      <c r="H1935" s="2" t="str">
        <f>IFERROR(__xludf.DUMMYFUNCTION("IF(G1935&lt;&gt;"""", GOOGLETRANSLATE(G1935, ""en"", ""te""),"""")"),"")</f>
        <v/>
      </c>
      <c r="I1935" s="3"/>
    </row>
    <row r="1936" customHeight="1" spans="1:9">
      <c r="A1936" s="2" t="s">
        <v>1219</v>
      </c>
      <c r="B1936" s="2" t="str">
        <f>IFERROR(__xludf.DUMMYFUNCTION("IF(A1936&lt;&gt;"""", GOOGLETRANSLATE(A1936, ""en"", ""te""),"""")"),"[ 'ఇన్నింగ్స్ లో 4 వ అత్యంత స్టంపింగ్లు (3)']")</f>
        <v>[ 'ఇన్నింగ్స్ లో 4 వ అత్యంత స్టంపింగ్లు (3)']</v>
      </c>
      <c r="C1936" s="2" t="s">
        <v>1220</v>
      </c>
      <c r="D1936" s="2" t="str">
        <f>IFERROR(__xludf.DUMMYFUNCTION("IF(C1936&lt;&gt;"""", GOOGLETRANSLATE(C1936, ""en"", ""te""),"""")"),"[ 'ఎనిమిదవ వికెట్కు 17 అత్యధిక భాగస్వామ్యం (154)', '47 వ ఒక సిరీస్లో అత్యధిక వికెట్లు (20)', '12 వ అత్యంత స్టంపింగ్లు ఒక మ్యాచ్లో (3)' '4 వ అత్యంత ఇన్నింగ్స్ (3) లో స్టంపింగ్లు']")</f>
        <v>[ 'ఎనిమిదవ వికెట్కు 17 అత్యధిక భాగస్వామ్యం (154)', '47 వ ఒక సిరీస్లో అత్యధిక వికెట్లు (20)', '12 వ అత్యంత స్టంపింగ్లు ఒక మ్యాచ్లో (3)' '4 వ అత్యంత ఇన్నింగ్స్ (3) లో స్టంపింగ్లు']</v>
      </c>
      <c r="E1936" s="2"/>
      <c r="F1936" s="2" t="str">
        <f>IFERROR(__xludf.DUMMYFUNCTION("IF(E1936&lt;&gt;"""", GOOGLETRANSLATE(E1936, ""en"", ""te""),"""")"),"")</f>
        <v/>
      </c>
      <c r="G1936" s="2"/>
      <c r="H1936" s="2" t="str">
        <f>IFERROR(__xludf.DUMMYFUNCTION("IF(G1936&lt;&gt;"""", GOOGLETRANSLATE(G1936, ""en"", ""te""),"""")"),"")</f>
        <v/>
      </c>
      <c r="I1936" s="3"/>
    </row>
    <row r="1937" customHeight="1" spans="1:9">
      <c r="A1937" s="2" t="s">
        <v>642</v>
      </c>
      <c r="B1937" s="2" t="str">
        <f>IFERROR(__xludf.DUMMYFUNCTION("IF(A1937&lt;&gt;"""", GOOGLETRANSLATE(A1937, ""en"", ""te""),"""")"),"[ 'హండ్రెడ్ మరియు ఒక మ్యాచ్లో ఒక డక్', 'బ్యాటింగ్ తెరవడం మరియు అదే మ్యాచ్ లో బౌలింగ్']")</f>
        <v>[ 'హండ్రెడ్ మరియు ఒక మ్యాచ్లో ఒక డక్', 'బ్యాటింగ్ తెరవడం మరియు అదే మ్యాచ్ లో బౌలింగ్']</v>
      </c>
      <c r="C1937" s="2" t="s">
        <v>1221</v>
      </c>
      <c r="D1937" s="2" t="str">
        <f>IFERROR(__xludf.DUMMYFUNCTION("IF(C1937&lt;&gt;"""", GOOGLETRANSLATE(C1937, ""en"", ""te""),"""")"),"[ '27 చెత్త ఇన్నింగ్స్ లో ఆర్థిక రేటు (6,66)']")</f>
        <v>[ '27 చెత్త ఇన్నింగ్స్ లో ఆర్థిక రేటు (6,66)']</v>
      </c>
      <c r="E1937" s="2"/>
      <c r="F1937" s="2" t="str">
        <f>IFERROR(__xludf.DUMMYFUNCTION("IF(E1937&lt;&gt;"""", GOOGLETRANSLATE(E1937, ""en"", ""te""),"""")"),"")</f>
        <v/>
      </c>
      <c r="G1937" s="2"/>
      <c r="H1937" s="2" t="str">
        <f>IFERROR(__xludf.DUMMYFUNCTION("IF(G1937&lt;&gt;"""", GOOGLETRANSLATE(G1937, ""en"", ""te""),"""")"),"")</f>
        <v/>
      </c>
      <c r="I1937" s="3"/>
    </row>
    <row r="1938" customHeight="1" spans="1:9">
      <c r="A1938" s="2"/>
      <c r="B1938" s="2" t="str">
        <f>IFERROR(__xludf.DUMMYFUNCTION("IF(A1938&lt;&gt;"""", GOOGLETRANSLATE(A1938, ""en"", ""te""),"""")"),"")</f>
        <v/>
      </c>
      <c r="C1938" s="2" t="s">
        <v>1222</v>
      </c>
      <c r="D1938" s="2" t="str">
        <f>IFERROR(__xludf.DUMMYFUNCTION("IF(C1938&lt;&gt;"""", GOOGLETRANSLATE(C1938, ""en"", ""te""),"""")"),"[40 వ చెత్త ఇన్నింగ్స్ లో సమ్మె రేటు (344.0) ']")</f>
        <v>[40 వ చెత్త ఇన్నింగ్స్ లో సమ్మె రేటు (344.0) ']</v>
      </c>
      <c r="E1938" s="2"/>
      <c r="F1938" s="2" t="str">
        <f>IFERROR(__xludf.DUMMYFUNCTION("IF(E1938&lt;&gt;"""", GOOGLETRANSLATE(E1938, ""en"", ""te""),"""")"),"")</f>
        <v/>
      </c>
      <c r="G1938" s="2"/>
      <c r="H1938" s="2" t="str">
        <f>IFERROR(__xludf.DUMMYFUNCTION("IF(G1938&lt;&gt;"""", GOOGLETRANSLATE(G1938, ""en"", ""te""),"""")"),"")</f>
        <v/>
      </c>
      <c r="I1938" s="3"/>
    </row>
    <row r="1939" customHeight="1" spans="1:9">
      <c r="A1939" s="2"/>
      <c r="B1939" s="2" t="str">
        <f>IFERROR(__xludf.DUMMYFUNCTION("IF(A1939&lt;&gt;"""", GOOGLETRANSLATE(A1939, ""en"", ""te""),"""")"),"")</f>
        <v/>
      </c>
      <c r="C1939" s="2"/>
      <c r="D1939" s="2" t="str">
        <f>IFERROR(__xludf.DUMMYFUNCTION("IF(C1939&lt;&gt;"""", GOOGLETRANSLATE(C1939, ""en"", ""te""),"""")"),"")</f>
        <v/>
      </c>
      <c r="E1939" s="2"/>
      <c r="F1939" s="2" t="str">
        <f>IFERROR(__xludf.DUMMYFUNCTION("IF(E1939&lt;&gt;"""", GOOGLETRANSLATE(E1939, ""en"", ""te""),"""")"),"")</f>
        <v/>
      </c>
      <c r="G1939" s="2"/>
      <c r="H1939" s="2" t="str">
        <f>IFERROR(__xludf.DUMMYFUNCTION("IF(G1939&lt;&gt;"""", GOOGLETRANSLATE(G1939, ""en"", ""te""),"""")"),"")</f>
        <v/>
      </c>
      <c r="I1939" s="3"/>
    </row>
    <row r="1940" customHeight="1" spans="1:9">
      <c r="A1940" s="2"/>
      <c r="B1940" s="2" t="str">
        <f>IFERROR(__xludf.DUMMYFUNCTION("IF(A1940&lt;&gt;"""", GOOGLETRANSLATE(A1940, ""en"", ""te""),"""")"),"")</f>
        <v/>
      </c>
      <c r="C1940" s="2"/>
      <c r="D1940" s="2" t="str">
        <f>IFERROR(__xludf.DUMMYFUNCTION("IF(C1940&lt;&gt;"""", GOOGLETRANSLATE(C1940, ""en"", ""te""),"""")"),"")</f>
        <v/>
      </c>
      <c r="E1940" s="2"/>
      <c r="F1940" s="2" t="str">
        <f>IFERROR(__xludf.DUMMYFUNCTION("IF(E1940&lt;&gt;"""", GOOGLETRANSLATE(E1940, ""en"", ""te""),"""")"),"")</f>
        <v/>
      </c>
      <c r="G1940" s="2"/>
      <c r="H1940" s="2" t="str">
        <f>IFERROR(__xludf.DUMMYFUNCTION("IF(G1940&lt;&gt;"""", GOOGLETRANSLATE(G1940, ""en"", ""te""),"""")"),"")</f>
        <v/>
      </c>
      <c r="I1940" s="3"/>
    </row>
    <row r="1941" customHeight="1" spans="1:9">
      <c r="A1941" s="2" t="s">
        <v>1223</v>
      </c>
      <c r="B1941" s="2" t="str">
        <f>IFERROR(__xludf.DUMMYFUNCTION("IF(A1941&lt;&gt;"""", GOOGLETRANSLATE(A1941, ""en"", ""te""),"""")"),"[ 'ఇన్నింగ్స్ లో 9 వ అత్యధిక పరుగులు (బ్యాటింగ్ స్థానంలో ప్రకారం) (239)', '2 వ అత్యధిక కెరీర్ బ్యాటింగ్ సగటు (61.87)', 'తొలి హండ్రెడ్ (130 *)', 'వరుస ఇన్నింగ్స్లో 5 వ వందల (3)', 'నాలుగవ వికెట్కు 1st అత్యధిక భాగస్వామ్యం (449)', 'కెరీర్లో 10 వ లేవు బాతులు ("&amp;"28)', '4 వ ఉత్తమ కెరీర్ బౌలింగ్ సరాసరి (అర్హత లేకుండా) (2.50)', 'వరుస ఇన్నింగ్స్లో 6 వ వందల (3)']")</f>
        <v>[ 'ఇన్నింగ్స్ లో 9 వ అత్యధిక పరుగులు (బ్యాటింగ్ స్థానంలో ప్రకారం) (239)', '2 వ అత్యధిక కెరీర్ బ్యాటింగ్ సగటు (61.87)', 'తొలి హండ్రెడ్ (130 *)', 'వరుస ఇన్నింగ్స్లో 5 వ వందల (3)', 'నాలుగవ వికెట్కు 1st అత్యధిక భాగస్వామ్యం (449)', 'కెరీర్లో 10 వ లేవు బాతులు (28)', '4 వ ఉత్తమ కెరీర్ బౌలింగ్ సరాసరి (అర్హత లేకుండా) (2.50)', 'వరుస ఇన్నింగ్స్లో 6 వ వందల (3)']</v>
      </c>
      <c r="C1941" s="2" t="s">
        <v>1224</v>
      </c>
      <c r="D1941" s="2" t="str">
        <f>IFERROR(__xludf.DUMMYFUNCTION("IF(C1941&lt;&gt;"""", GOOGLETRANSLATE(C1941, ""en"", ""te""),"""")"),"[ 'ఇన్నింగ్స్ లో 9 వ అత్యధిక పరుగులు (బ్యాటింగ్ స్థానంలో ప్రకారం) (239)', '2 వ అత్యధిక కెరీర్ బ్యాటింగ్ సగటు (61.87)', 'వరుస ఇన్నింగ్స్లో 5 వ వందల (3)', '20 వ ఓల్డెస్ట్ కన్య శతకాలను సాధించిన ఆటగాడు ( 35y 242d) ',' 13 వ ఏ వికెట్కు 1000 పరుగులు (18) ',' 6 వ"&amp;" అత్యధిక వాటా వేగవంతమైన (449) ',' వికెట్ (4 వ) 4 వ అత్యధిక భాగస్వామ్యాలు ',' నాలుగవ వికెట్కు 1st అత్యధిక భాగస్వామ్యం (449) ',' పదవ వికెట్కు 32 వ అత్యధిక భాగస్వామ్యం (97) ']")</f>
        <v>[ 'ఇన్నింగ్స్ లో 9 వ అత్యధిక పరుగులు (బ్యాటింగ్ స్థానంలో ప్రకారం) (239)', '2 వ అత్యధిక కెరీర్ బ్యాటింగ్ సగటు (61.87)', 'వరుస ఇన్నింగ్స్లో 5 వ వందల (3)', '20 వ ఓల్డెస్ట్ కన్య శతకాలను సాధించిన ఆటగాడు ( 35y 242d) ',' 13 వ ఏ వికెట్కు 1000 పరుగులు (18) ',' 6 వ అత్యధిక వాటా వేగవంతమైన (449) ',' వికెట్ (4 వ) 4 వ అత్యధిక భాగస్వామ్యాలు ',' నాలుగవ వికెట్కు 1st అత్యధిక భాగస్వామ్యం (449) ',' పదవ వికెట్కు 32 వ అత్యధిక భాగస్వామ్యం (97) ']</v>
      </c>
      <c r="E1941" s="2" t="s">
        <v>1225</v>
      </c>
      <c r="F1941" s="2" t="str">
        <f>IFERROR(__xludf.DUMMYFUNCTION("IF(E1941&lt;&gt;"""", GOOGLETRANSLATE(E1941, ""en"", ""te""),"""")"),"[ '27 అత్యధిక కెరీర్ బ్యాటింగ్ సగటు (45.78)', 'స్కోర్ 27 అత్యంత వృద్ధ ఆటగాడు తొలి వంద (33y 129d)', '10 వ లేవు బాతులు కెరీర్ లో (28)']")</f>
        <v>[ '27 అత్యధిక కెరీర్ బ్యాటింగ్ సగటు (45.78)', 'స్కోర్ 27 అత్యంత వృద్ధ ఆటగాడు తొలి వంద (33y 129d)', '10 వ లేవు బాతులు కెరీర్ లో (28)']</v>
      </c>
      <c r="G1941" s="2" t="s">
        <v>1226</v>
      </c>
      <c r="H1941" s="2" t="str">
        <f>IFERROR(__xludf.DUMMYFUNCTION("IF(G1941&lt;&gt;"""", GOOGLETRANSLATE(G1941, ""en"", ""te""),"""")"),"[ '4 వ ఉత్తమ కెరీర్ బౌలింగ్ సరాసరి (అర్హత లేకుండా) (2.50)']")</f>
        <v>[ '4 వ ఉత్తమ కెరీర్ బౌలింగ్ సరాసరి (అర్హత లేకుండా) (2.50)']</v>
      </c>
      <c r="I1941" s="3"/>
    </row>
    <row r="1942" customHeight="1" spans="1:9">
      <c r="A1942" s="2" t="s">
        <v>1227</v>
      </c>
      <c r="B1942" s="2" t="str">
        <f>IFERROR(__xludf.DUMMYFUNCTION("IF(A1942&lt;&gt;"""", GOOGLETRANSLATE(A1942, ""en"", ""te""),"""")"),"[ '2nd అత్యంత బంతుల్లో ఇన్నింగ్స్ (571) లో బౌల్డ్']")</f>
        <v>[ '2nd అత్యంత బంతుల్లో ఇన్నింగ్స్ (571) లో బౌల్డ్']</v>
      </c>
      <c r="C1942" s="2" t="s">
        <v>1228</v>
      </c>
      <c r="D1942" s="2" t="str">
        <f>IFERROR(__xludf.DUMMYFUNCTION("IF(C1942&lt;&gt;"""", GOOGLETRANSLATE(C1942, ""en"", ""te""),"""")"),"[ '28 ఉత్తమ కెరీర్ ఆర్థిక రేటు (1.96)', '20 వ చెత్త కెరీర్లో సమ్మె రేటు (127.0)', 'ఇన్నింగ్స్ (571) లో బౌల్డ్ 2nd అత్యంత బంతుల్లో']")</f>
        <v>[ '28 ఉత్తమ కెరీర్ ఆర్థిక రేటు (1.96)', '20 వ చెత్త కెరీర్లో సమ్మె రేటు (127.0)', 'ఇన్నింగ్స్ (571) లో బౌల్డ్ 2nd అత్యంత బంతుల్లో']</v>
      </c>
      <c r="E1942" s="2"/>
      <c r="F1942" s="2" t="str">
        <f>IFERROR(__xludf.DUMMYFUNCTION("IF(E1942&lt;&gt;"""", GOOGLETRANSLATE(E1942, ""en"", ""te""),"""")"),"")</f>
        <v/>
      </c>
      <c r="G1942" s="2"/>
      <c r="H1942" s="2" t="str">
        <f>IFERROR(__xludf.DUMMYFUNCTION("IF(G1942&lt;&gt;"""", GOOGLETRANSLATE(G1942, ""en"", ""te""),"""")"),"")</f>
        <v/>
      </c>
      <c r="I1942" s="3"/>
    </row>
    <row r="1943" customHeight="1" spans="1:9">
      <c r="A1943" s="2"/>
      <c r="B1943" s="2" t="str">
        <f>IFERROR(__xludf.DUMMYFUNCTION("IF(A1943&lt;&gt;"""", GOOGLETRANSLATE(A1943, ""en"", ""te""),"""")"),"")</f>
        <v/>
      </c>
      <c r="C1943" s="2"/>
      <c r="D1943" s="2" t="str">
        <f>IFERROR(__xludf.DUMMYFUNCTION("IF(C1943&lt;&gt;"""", GOOGLETRANSLATE(C1943, ""en"", ""te""),"""")"),"")</f>
        <v/>
      </c>
      <c r="E1943" s="2"/>
      <c r="F1943" s="2" t="str">
        <f>IFERROR(__xludf.DUMMYFUNCTION("IF(E1943&lt;&gt;"""", GOOGLETRANSLATE(E1943, ""en"", ""te""),"""")"),"")</f>
        <v/>
      </c>
      <c r="G1943" s="2"/>
      <c r="H1943" s="2" t="str">
        <f>IFERROR(__xludf.DUMMYFUNCTION("IF(G1943&lt;&gt;"""", GOOGLETRANSLATE(G1943, ""en"", ""te""),"""")"),"")</f>
        <v/>
      </c>
      <c r="I1943" s="3"/>
    </row>
    <row r="1944" customHeight="1" spans="1:9">
      <c r="A1944" s="2" t="s">
        <v>1229</v>
      </c>
      <c r="B1944" s="2" t="str">
        <f>IFERROR(__xludf.DUMMYFUNCTION("IF(A1944&lt;&gt;"""", GOOGLETRANSLATE(A1944, ""en"", ""te""),"""")"),"[ 'ఇన్నింగ్స్ లో 7 వ అత్యధిక పరుగులు (బ్యాటింగ్ స్థానంలో ప్రకారం) (73 *)', '10 వ కెరీర్ లో చాలా అర్ధ (12)', '1000 పరుగులు 6 వ వేగవంతమైన (40)']")</f>
        <v>[ 'ఇన్నింగ్స్ లో 7 వ అత్యధిక పరుగులు (బ్యాటింగ్ స్థానంలో ప్రకారం) (73 *)', '10 వ కెరీర్ లో చాలా అర్ధ (12)', '1000 పరుగులు 6 వ వేగవంతమైన (40)']</v>
      </c>
      <c r="C1944" s="2"/>
      <c r="D1944" s="2" t="str">
        <f>IFERROR(__xludf.DUMMYFUNCTION("IF(C1944&lt;&gt;"""", GOOGLETRANSLATE(C1944, ""en"", ""te""),"""")"),"")</f>
        <v/>
      </c>
      <c r="E1944" s="2"/>
      <c r="F1944" s="2" t="str">
        <f>IFERROR(__xludf.DUMMYFUNCTION("IF(E1944&lt;&gt;"""", GOOGLETRANSLATE(E1944, ""en"", ""te""),"""")"),"")</f>
        <v/>
      </c>
      <c r="G1944" s="2" t="s">
        <v>1230</v>
      </c>
      <c r="H1944" s="2" t="str">
        <f>IFERROR(__xludf.DUMMYFUNCTION("IF(G1944&lt;&gt;"""", GOOGLETRANSLATE(G1944, ""en"", ""te""),"""")"),"[ '23 వ కెరీర్ లో అత్యధిక పరుగులు (1369)', '34 వ ఇన్నింగ్స్ లో అత్యధిక పరుగులు (90 *)', '8 వ ఒక క్యాలెండర్ సంవత్సరంలో అత్యధిక పరుగులు (531)', '7 వ ఇన్నింగ్స్ లో అత్యధిక పరుగులు (బ్యాటింగ్ స్థానంలో ద్వారా) (73 *) ',' 42 వ ఒకే మైదానంలో అత్యధిక పరుగులు (181"&amp;") ',' 13 వ అత్యధిక కెరీర్ బ్యాటింగ్ సగటు (28.52) ',' 10 వ కెరీర్ లో చాలా అర్ధ (12) ',' 1000 పరుగులు వేగంగా 6 వ (40) ',' ఏ వికెట్కు 38 వ అత్యధిక భాగస్వామ్యాల (121) ',' మొదటి వికెట్కు 20 వ అత్యధిక భాగస్వామ్యం (121) ',' రెండవ వికెట్ (104) 20 అత్యధిక భాగస్వామ"&amp;"్యం ']")</f>
        <v>[ '23 వ కెరీర్ లో అత్యధిక పరుగులు (1369)', '34 వ ఇన్నింగ్స్ లో అత్యధిక పరుగులు (90 *)', '8 వ ఒక క్యాలెండర్ సంవత్సరంలో అత్యధిక పరుగులు (531)', '7 వ ఇన్నింగ్స్ లో అత్యధిక పరుగులు (బ్యాటింగ్ స్థానంలో ద్వారా) (73 *) ',' 42 వ ఒకే మైదానంలో అత్యధిక పరుగులు (181) ',' 13 వ అత్యధిక కెరీర్ బ్యాటింగ్ సగటు (28.52) ',' 10 వ కెరీర్ లో చాలా అర్ధ (12) ',' 1000 పరుగులు వేగంగా 6 వ (40) ',' ఏ వికెట్కు 38 వ అత్యధిక భాగస్వామ్యాల (121) ',' మొదటి వికెట్కు 20 వ అత్యధిక భాగస్వామ్యం (121) ',' రెండవ వికెట్ (104) 20 అత్యధిక భాగస్వామ్యం ']</v>
      </c>
      <c r="I1944" s="3"/>
    </row>
    <row r="1945" customHeight="1" spans="1:9">
      <c r="A1945" s="2" t="s">
        <v>1231</v>
      </c>
      <c r="B1945" s="2" t="str">
        <f>IFERROR(__xludf.DUMMYFUNCTION("IF(A1945&lt;&gt;"""", GOOGLETRANSLATE(A1945, ""en"", ""te""),"""")"),"[ '3 వ అత్యంత ఇన్నింగ్స్ లో నడుస్తుంది (బ్యాటింగ్ స్థానం) (40 *)']")</f>
        <v>[ '3 వ అత్యంత ఇన్నింగ్స్ లో నడుస్తుంది (బ్యాటింగ్ స్థానం) (40 *)']</v>
      </c>
      <c r="C1945" s="2"/>
      <c r="D1945" s="2" t="str">
        <f>IFERROR(__xludf.DUMMYFUNCTION("IF(C1945&lt;&gt;"""", GOOGLETRANSLATE(C1945, ""en"", ""te""),"""")"),"")</f>
        <v/>
      </c>
      <c r="E1945" s="2" t="s">
        <v>1232</v>
      </c>
      <c r="F1945" s="2" t="str">
        <f>IFERROR(__xludf.DUMMYFUNCTION("IF(E1945&lt;&gt;"""", GOOGLETRANSLATE(E1945, ""en"", ""te""),"""")"),"[ '24 వ ఉత్తమ కెరీర్ (10.62) (అర్హత లేకుండా) సగటు బౌలింగ్', 'ఐదు వికెట్ల లో-ఒక-ఇన్నింగ్స్ తీసుకోవాలని 42 వ పిన్న వయస్కుడిగా నిలిచాడు (22y 185d)']")</f>
        <v>[ '24 వ ఉత్తమ కెరీర్ (10.62) (అర్హత లేకుండా) సగటు బౌలింగ్', 'ఐదు వికెట్ల లో-ఒక-ఇన్నింగ్స్ తీసుకోవాలని 42 వ పిన్న వయస్కుడిగా నిలిచాడు (22y 185d)']</v>
      </c>
      <c r="G1945" s="2" t="s">
        <v>1233</v>
      </c>
      <c r="H1945" s="2" t="str">
        <f>IFERROR(__xludf.DUMMYFUNCTION("IF(G1945&lt;&gt;"""", GOOGLETRANSLATE(G1945, ""en"", ""te""),"""")"),"[ '38 వ ఉత్తమ కెరీర్ బౌలింగ్ సరాసరి (21.17)', '3 వ అత్యంత ఇన్నింగ్స్ లో (బ్యాటింగ్ స్థానం) పరుగులు (40 *)', '50 వ ఉత్తమ కెరీర్ ఆర్థిక రేటు (7.12)', '42 వ ఉత్తమ కెరీర్ సమ్మె రేటు (17.8) ',' 17 వ బౌలర్ / బ్యాట్స్ కలయికలు (3) ',' 12 వ బౌలర్ / ఫీల్డర్ కలయికలు"&amp;" (8) ',' 46 వ అత్యధిక వికెట్లు తీసుకున్న ఆకర్షించింది (31) ',' 22 వ అత్యధిక వికెట్లు సాధించిన వికెట్కీపర్గా (7) 'పట్టుకుంటే తీసుకున్న]")</f>
        <v>[ '38 వ ఉత్తమ కెరీర్ బౌలింగ్ సరాసరి (21.17)', '3 వ అత్యంత ఇన్నింగ్స్ లో (బ్యాటింగ్ స్థానం) పరుగులు (40 *)', '50 వ ఉత్తమ కెరీర్ ఆర్థిక రేటు (7.12)', '42 వ ఉత్తమ కెరీర్ సమ్మె రేటు (17.8) ',' 17 వ బౌలర్ / బ్యాట్స్ కలయికలు (3) ',' 12 వ బౌలర్ / ఫీల్డర్ కలయికలు (8) ',' 46 వ అత్యధిక వికెట్లు తీసుకున్న ఆకర్షించింది (31) ',' 22 వ అత్యధిక వికెట్లు సాధించిన వికెట్కీపర్గా (7) 'పట్టుకుంటే తీసుకున్న]</v>
      </c>
      <c r="I1945" s="3"/>
    </row>
    <row r="1946" customHeight="1" spans="1:9">
      <c r="A1946" s="2" t="s">
        <v>1234</v>
      </c>
      <c r="B1946" s="2" t="str">
        <f>IFERROR(__xludf.DUMMYFUNCTION("IF(A1946&lt;&gt;"""", GOOGLETRANSLATE(A1946, ""en"", ""te""),"""")"),"[ 'ఒక క్యాలెండర్ సంవత్సరంలో 4 వ అత్యధిక పరుగులు (443)', 'వరుస మ్యాచ్లలో 1st యాభైల్లో (5)', 'కెరీర్ లో 6 వ లేవు బాతులు (20)', '9 వ ఉత్తమ కెరీర్ ఆర్థిక రేటు (1.43)', '1st చాలా ఒక ఇన్నింగ్స్ లో క్యాచ్లు (3) ']")</f>
        <v>[ 'ఒక క్యాలెండర్ సంవత్సరంలో 4 వ అత్యధిక పరుగులు (443)', 'వరుస మ్యాచ్లలో 1st యాభైల్లో (5)', 'కెరీర్ లో 6 వ లేవు బాతులు (20)', '9 వ ఉత్తమ కెరీర్ ఆర్థిక రేటు (1.43)', '1st చాలా ఒక ఇన్నింగ్స్ లో క్యాచ్లు (3) ']</v>
      </c>
      <c r="C1946" s="2" t="s">
        <v>1235</v>
      </c>
      <c r="D1946" s="2" t="str">
        <f>IFERROR(__xludf.DUMMYFUNCTION("IF(C1946&lt;&gt;"""", GOOGLETRANSLATE(C1946, ""en"", ""te""),"""")"),"[ '17 వ కెరీర్ లో అత్యధిక పరుగులు (765)', '6 వ ఒక సిరీస్లో అత్యధిక పరుగులు (367)', '4 వ ఒక క్యాలెండర్ సంవత్సరంలో అత్యధిక పరుగులు (443)', '24 వ అత్యధిక కెరీర్ బ్యాటింగ్ సగటు (40.26)', '19 జీవితంలో అత్యధిక అర్ధ (5) ',' వరుస ఇన్నింగ్స్లో 5 వ యాభైల్లో (3) ',"&amp;"' వరుస మ్యాచ్లలో 1st యాభైల్లో (5) ',' కెరీర్ లో 6 వ లేవు బాతులు (20) ',' 10 వ అత్యధిక వరుస ఒక డక్ లేకుండా ఇన్నింగ్స్ (20 *) ',' 44 వ కెరీర్ లో అత్యధిక వికెట్లు (21) ',' 42 వ ఉత్తమ కెరీర్ బౌలింగ్ సరాసరి (23.42) ',' 9 వ ఉత్తమ కెరీర్ ఆర్థిక రేటు (1.43) ',' "&amp;"24th చెత్త కెరీర్లో సమ్మె రేటు (98.0) ', 'ఒక మ్యాచ్లో 2nd అత్యధిక క్యాచ్లు (4)' 'కెరీర్ (2058) లో బౌల్డ్ 28 మోస్ట్ బంతుల్లో', '10 వ కెరీర్ లో అత్యధిక క్యాచ్లు (12)', '1 వ ఇన్నింగ్స్ లో అత్యధిక క్యాచ్లు (3)', '12 వ అత్యంత వరుస క్యాచ్లు (6) ',' ఒక జట్టు 18 "&amp;"వ వరుస మ్యాచ్లు (13) ']")</f>
        <v>[ '17 వ కెరీర్ లో అత్యధిక పరుగులు (765)', '6 వ ఒక సిరీస్లో అత్యధిక పరుగులు (367)', '4 వ ఒక క్యాలెండర్ సంవత్సరంలో అత్యధిక పరుగులు (443)', '24 వ అత్యధిక కెరీర్ బ్యాటింగ్ సగటు (40.26)', '19 జీవితంలో అత్యధిక అర్ధ (5) ',' వరుస ఇన్నింగ్స్లో 5 వ యాభైల్లో (3) ',' వరుస మ్యాచ్లలో 1st యాభైల్లో (5) ',' కెరీర్ లో 6 వ లేవు బాతులు (20) ',' 10 వ అత్యధిక వరుస ఒక డక్ లేకుండా ఇన్నింగ్స్ (20 *) ',' 44 వ కెరీర్ లో అత్యధిక వికెట్లు (21) ',' 42 వ ఉత్తమ కెరీర్ బౌలింగ్ సరాసరి (23.42) ',' 9 వ ఉత్తమ కెరీర్ ఆర్థిక రేటు (1.43) ',' 24th చెత్త కెరీర్లో సమ్మె రేటు (98.0) ', 'ఒక మ్యాచ్లో 2nd అత్యధిక క్యాచ్లు (4)' 'కెరీర్ (2058) లో బౌల్డ్ 28 మోస్ట్ బంతుల్లో', '10 వ కెరీర్ లో అత్యధిక క్యాచ్లు (12)', '1 వ ఇన్నింగ్స్ లో అత్యధిక క్యాచ్లు (3)', '12 వ అత్యంత వరుస క్యాచ్లు (6) ',' ఒక జట్టు 18 వ వరుస మ్యాచ్లు (13) ']</v>
      </c>
      <c r="E1946" s="2"/>
      <c r="F1946" s="2" t="str">
        <f>IFERROR(__xludf.DUMMYFUNCTION("IF(E1946&lt;&gt;"""", GOOGLETRANSLATE(E1946, ""en"", ""te""),"""")"),"")</f>
        <v/>
      </c>
      <c r="G1946" s="2"/>
      <c r="H1946" s="2" t="str">
        <f>IFERROR(__xludf.DUMMYFUNCTION("IF(G1946&lt;&gt;"""", GOOGLETRANSLATE(G1946, ""en"", ""te""),"""")"),"")</f>
        <v/>
      </c>
      <c r="I1946" s="3"/>
    </row>
    <row r="1947" customHeight="1" spans="1:9">
      <c r="A1947" s="2"/>
      <c r="B1947" s="2" t="str">
        <f>IFERROR(__xludf.DUMMYFUNCTION("IF(A1947&lt;&gt;"""", GOOGLETRANSLATE(A1947, ""en"", ""te""),"""")"),"")</f>
        <v/>
      </c>
      <c r="C1947" s="2"/>
      <c r="D1947" s="2" t="str">
        <f>IFERROR(__xludf.DUMMYFUNCTION("IF(C1947&lt;&gt;"""", GOOGLETRANSLATE(C1947, ""en"", ""te""),"""")"),"")</f>
        <v/>
      </c>
      <c r="E1947" s="2"/>
      <c r="F1947" s="2" t="str">
        <f>IFERROR(__xludf.DUMMYFUNCTION("IF(E1947&lt;&gt;"""", GOOGLETRANSLATE(E1947, ""en"", ""te""),"""")"),"")</f>
        <v/>
      </c>
      <c r="G1947" s="2"/>
      <c r="H1947" s="2" t="str">
        <f>IFERROR(__xludf.DUMMYFUNCTION("IF(G1947&lt;&gt;"""", GOOGLETRANSLATE(G1947, ""en"", ""te""),"""")"),"")</f>
        <v/>
      </c>
      <c r="I1947" s="3"/>
    </row>
    <row r="1948" customHeight="1" spans="1:9">
      <c r="A1948" s="2"/>
      <c r="B1948" s="2" t="str">
        <f>IFERROR(__xludf.DUMMYFUNCTION("IF(A1948&lt;&gt;"""", GOOGLETRANSLATE(A1948, ""en"", ""te""),"""")"),"")</f>
        <v/>
      </c>
      <c r="C1948" s="2"/>
      <c r="D1948" s="2" t="str">
        <f>IFERROR(__xludf.DUMMYFUNCTION("IF(C1948&lt;&gt;"""", GOOGLETRANSLATE(C1948, ""en"", ""te""),"""")"),"")</f>
        <v/>
      </c>
      <c r="E1948" s="2"/>
      <c r="F1948" s="2" t="str">
        <f>IFERROR(__xludf.DUMMYFUNCTION("IF(E1948&lt;&gt;"""", GOOGLETRANSLATE(E1948, ""en"", ""te""),"""")"),"")</f>
        <v/>
      </c>
      <c r="G1948" s="2"/>
      <c r="H1948" s="2" t="str">
        <f>IFERROR(__xludf.DUMMYFUNCTION("IF(G1948&lt;&gt;"""", GOOGLETRANSLATE(G1948, ""en"", ""te""),"""")"),"")</f>
        <v/>
      </c>
      <c r="I1948" s="3"/>
    </row>
    <row r="1949" customHeight="1" spans="1:9">
      <c r="A1949" s="2"/>
      <c r="B1949" s="2" t="str">
        <f>IFERROR(__xludf.DUMMYFUNCTION("IF(A1949&lt;&gt;"""", GOOGLETRANSLATE(A1949, ""en"", ""te""),"""")"),"")</f>
        <v/>
      </c>
      <c r="C1949" s="2"/>
      <c r="D1949" s="2" t="str">
        <f>IFERROR(__xludf.DUMMYFUNCTION("IF(C1949&lt;&gt;"""", GOOGLETRANSLATE(C1949, ""en"", ""te""),"""")"),"")</f>
        <v/>
      </c>
      <c r="E1949" s="2"/>
      <c r="F1949" s="2" t="str">
        <f>IFERROR(__xludf.DUMMYFUNCTION("IF(E1949&lt;&gt;"""", GOOGLETRANSLATE(E1949, ""en"", ""te""),"""")"),"")</f>
        <v/>
      </c>
      <c r="G1949" s="2"/>
      <c r="H1949" s="2" t="str">
        <f>IFERROR(__xludf.DUMMYFUNCTION("IF(G1949&lt;&gt;"""", GOOGLETRANSLATE(G1949, ""en"", ""te""),"""")"),"")</f>
        <v/>
      </c>
      <c r="I1949" s="3"/>
    </row>
    <row r="1950" customHeight="1" spans="1:9">
      <c r="A1950" s="2" t="s">
        <v>153</v>
      </c>
      <c r="B1950" s="2" t="str">
        <f>IFERROR(__xludf.DUMMYFUNCTION("IF(A1950&lt;&gt;"""", GOOGLETRANSLATE(A1950, ""en"", ""te""),"""")"),"[ 'రెండు దేశాలకు ప్రాతినిధ్యం']")</f>
        <v>[ 'రెండు దేశాలకు ప్రాతినిధ్యం']</v>
      </c>
      <c r="C1950" s="2"/>
      <c r="D1950" s="2" t="str">
        <f>IFERROR(__xludf.DUMMYFUNCTION("IF(C1950&lt;&gt;"""", GOOGLETRANSLATE(C1950, ""en"", ""te""),"""")"),"")</f>
        <v/>
      </c>
      <c r="E1950" s="2"/>
      <c r="F1950" s="2" t="str">
        <f>IFERROR(__xludf.DUMMYFUNCTION("IF(E1950&lt;&gt;"""", GOOGLETRANSLATE(E1950, ""en"", ""te""),"""")"),"")</f>
        <v/>
      </c>
      <c r="G1950" s="2"/>
      <c r="H1950" s="2" t="str">
        <f>IFERROR(__xludf.DUMMYFUNCTION("IF(G1950&lt;&gt;"""", GOOGLETRANSLATE(G1950, ""en"", ""te""),"""")"),"")</f>
        <v/>
      </c>
      <c r="I1950" s="3"/>
    </row>
    <row r="1951" customHeight="1" spans="1:9">
      <c r="A1951" s="2"/>
      <c r="B1951" s="2" t="str">
        <f>IFERROR(__xludf.DUMMYFUNCTION("IF(A1951&lt;&gt;"""", GOOGLETRANSLATE(A1951, ""en"", ""te""),"""")"),"")</f>
        <v/>
      </c>
      <c r="C1951" s="2"/>
      <c r="D1951" s="2" t="str">
        <f>IFERROR(__xludf.DUMMYFUNCTION("IF(C1951&lt;&gt;"""", GOOGLETRANSLATE(C1951, ""en"", ""te""),"""")"),"")</f>
        <v/>
      </c>
      <c r="E1951" s="2"/>
      <c r="F1951" s="2" t="str">
        <f>IFERROR(__xludf.DUMMYFUNCTION("IF(E1951&lt;&gt;"""", GOOGLETRANSLATE(E1951, ""en"", ""te""),"""")"),"")</f>
        <v/>
      </c>
      <c r="G1951" s="2"/>
      <c r="H1951" s="2" t="str">
        <f>IFERROR(__xludf.DUMMYFUNCTION("IF(G1951&lt;&gt;"""", GOOGLETRANSLATE(G1951, ""en"", ""te""),"""")"),"")</f>
        <v/>
      </c>
      <c r="I1951" s="3"/>
    </row>
    <row r="1952" customHeight="1" spans="1:9">
      <c r="A1952" s="2" t="s">
        <v>1236</v>
      </c>
      <c r="B1952" s="2" t="str">
        <f>IFERROR(__xludf.DUMMYFUNCTION("IF(A1952&lt;&gt;"""", GOOGLETRANSLATE(A1952, ""en"", ""te""),"""")"),"[ '8 వ అత్యుత్తమ ఇన్నింగ్స్ (5/9) విశ్లేషణలలో బౌలింగ్']")</f>
        <v>[ '8 వ అత్యుత్తమ ఇన్నింగ్స్ (5/9) విశ్లేషణలలో బౌలింగ్']</v>
      </c>
      <c r="C1952" s="2" t="s">
        <v>1237</v>
      </c>
      <c r="D1952" s="2" t="str">
        <f>IFERROR(__xludf.DUMMYFUNCTION("IF(C1952&lt;&gt;"""", GOOGLETRANSLATE(C1952, ""en"", ""te""),"""")"),"[ '8 వ అత్యుత్తమ బౌలింగ్ ఇన్నింగ్స్ లో విశ్లేషించడం (5/9)', 'ఇన్నింగ్స్ లో 32 వ ఉత్తమ సమ్మె రేటు (8.2)']")</f>
        <v>[ '8 వ అత్యుత్తమ బౌలింగ్ ఇన్నింగ్స్ లో విశ్లేషించడం (5/9)', 'ఇన్నింగ్స్ లో 32 వ ఉత్తమ సమ్మె రేటు (8.2)']</v>
      </c>
      <c r="E1952" s="2" t="s">
        <v>1238</v>
      </c>
      <c r="F1952" s="2" t="str">
        <f>IFERROR(__xludf.DUMMYFUNCTION("IF(E1952&lt;&gt;"""", GOOGLETRANSLATE(E1952, ""en"", ""te""),"""")"),"[ '26 చెత్త కెరీర్లో సమ్మె రేటు (64.2)']")</f>
        <v>[ '26 చెత్త కెరీర్లో సమ్మె రేటు (64.2)']</v>
      </c>
      <c r="G1952" s="2"/>
      <c r="H1952" s="2" t="str">
        <f>IFERROR(__xludf.DUMMYFUNCTION("IF(G1952&lt;&gt;"""", GOOGLETRANSLATE(G1952, ""en"", ""te""),"""")"),"")</f>
        <v/>
      </c>
      <c r="I1952" s="3"/>
    </row>
    <row r="1953" customHeight="1" spans="1:9">
      <c r="A1953" s="2"/>
      <c r="B1953" s="2" t="str">
        <f>IFERROR(__xludf.DUMMYFUNCTION("IF(A1953&lt;&gt;"""", GOOGLETRANSLATE(A1953, ""en"", ""te""),"""")"),"")</f>
        <v/>
      </c>
      <c r="C1953" s="2" t="s">
        <v>1239</v>
      </c>
      <c r="D1953" s="2" t="str">
        <f>IFERROR(__xludf.DUMMYFUNCTION("IF(C1953&lt;&gt;"""", GOOGLETRANSLATE(C1953, ""en"", ""te""),"""")"),"[ '12 వ అత్యంత వృద్ధ ఆటగాడు పది వికెట్లు లో ఒక మ్యాచ్ తీసుకోవాలని (36y 313d)', 'తొలి తీసుకోవాలని 23 వ అత్యంత వృద్ధ ఆటగాడు ఐదు వికెట్ల లో-ఒక-ఇన్నింగ్స్ (36y 34d)']")</f>
        <v>[ '12 వ అత్యంత వృద్ధ ఆటగాడు పది వికెట్లు లో ఒక మ్యాచ్ తీసుకోవాలని (36y 313d)', 'తొలి తీసుకోవాలని 23 వ అత్యంత వృద్ధ ఆటగాడు ఐదు వికెట్ల లో-ఒక-ఇన్నింగ్స్ (36y 34d)']</v>
      </c>
      <c r="E1953" s="2"/>
      <c r="F1953" s="2" t="str">
        <f>IFERROR(__xludf.DUMMYFUNCTION("IF(E1953&lt;&gt;"""", GOOGLETRANSLATE(E1953, ""en"", ""te""),"""")"),"")</f>
        <v/>
      </c>
      <c r="G1953" s="2"/>
      <c r="H1953" s="2" t="str">
        <f>IFERROR(__xludf.DUMMYFUNCTION("IF(G1953&lt;&gt;"""", GOOGLETRANSLATE(G1953, ""en"", ""te""),"""")"),"")</f>
        <v/>
      </c>
      <c r="I1953" s="3"/>
    </row>
    <row r="1954" customHeight="1" spans="1:9">
      <c r="A1954" s="2" t="s">
        <v>1240</v>
      </c>
      <c r="B1954" s="2" t="str">
        <f>IFERROR(__xludf.DUMMYFUNCTION("IF(A1954&lt;&gt;"""", GOOGLETRANSLATE(A1954, ""en"", ""te""),"""")"),"[ 'వరుస 2 వ అత్యధిక వికెట్లు (28)', '4 వ కెరీర్లో అత్యధిక క్యాచ్లు (343)', '300 పరుగులు మరియు ఒక సిరీస్లో 15 వికెట్కీపింగ్ తొలగింపులకు', 'వరుస 3 వ అత్యధిక వికెట్లు (22)', '2nd ఒక సిరీస్లో అత్యధిక క్యాచ్లు (22) ',' 2 వ అత్యంత ఇన్నింగ్స్ (18) ',' 200 పరుగుల"&amp;"ు మరియు ఒక సిరీస్లో 10 వికెట్కీపింగ్ తొలగింపులకు ',' కెరీర్ లో 6 వ అత్యధిక వికెట్లు (479) ',' 6 వ అత్యధిక క్యాచ్లు సాధించింది బైస్ కెరీర్లో (463) ']")</f>
        <v>[ 'వరుస 2 వ అత్యధిక వికెట్లు (28)', '4 వ కెరీర్లో అత్యధిక క్యాచ్లు (343)', '300 పరుగులు మరియు ఒక సిరీస్లో 15 వికెట్కీపింగ్ తొలగింపులకు', 'వరుస 3 వ అత్యధిక వికెట్లు (22)', '2nd ఒక సిరీస్లో అత్యధిక క్యాచ్లు (22) ',' 2 వ అత్యంత ఇన్నింగ్స్ (18) ',' 200 పరుగులు మరియు ఒక సిరీస్లో 10 వికెట్కీపింగ్ తొలగింపులకు ',' కెరీర్ లో 6 వ అత్యధిక వికెట్లు (479) ',' 6 వ అత్యధిక క్యాచ్లు సాధించింది బైస్ కెరీర్లో (463) ']</v>
      </c>
      <c r="C1954" s="2" t="s">
        <v>1241</v>
      </c>
      <c r="D1954" s="2" t="str">
        <f>IFERROR(__xludf.DUMMYFUNCTION("IF(C1954&lt;&gt;"""", GOOGLETRANSLATE(C1954, ""en"", ""te""),"""")"),"[ '50 వ అత్యంత వికెట్కీపర్ శ్రేణిలో పరుగులు (313)', 'ఒక డక్ లేకుండా 43 వ వరుస ఇన్నింగ్స్ (54)', 'ఏడవ వికెట్కు 39 వ అత్యధిక భాగస్వామ్యం (168)' తొమ్మిదవ వికెట్కు, '44th అత్యధిక భాగస్వామ్యం కెరీర్లో (104) ',' 4 వ అత్యధిక వికెట్లు (355) ',' 5 వ ఇన్నింగ్స్ లో "&amp;"అత్యధిక వికెట్లు (6) ',' 8 వ మ్యాచ్ లో అత్యధిక వికెట్లు (9) ',' వరుస 2 వ అత్యధిక వికెట్లు (28) ',' 4 వ కెరీర్లో అత్యధిక క్యాచ్లు (343) ',' చాలా 5 వ ఒక మ్యాచ్లో ఇన్నింగ్స్ (6) ',' 8 వ అత్యధిక క్యాచ్లు లో క్యాచ్లు (9) ',' 8 వ ఒక సిరీస్లో అత్యధిక క్యాచ్లు (2"&amp;"8) ',' కెరీర్ (12) 37 వ అత్యంత స్టంపింగ్లు ']")</f>
        <v>[ '50 వ అత్యంత వికెట్కీపర్ శ్రేణిలో పరుగులు (313)', 'ఒక డక్ లేకుండా 43 వ వరుస ఇన్నింగ్స్ (54)', 'ఏడవ వికెట్కు 39 వ అత్యధిక భాగస్వామ్యం (168)' తొమ్మిదవ వికెట్కు, '44th అత్యధిక భాగస్వామ్యం కెరీర్లో (104) ',' 4 వ అత్యధిక వికెట్లు (355) ',' 5 వ ఇన్నింగ్స్ లో అత్యధిక వికెట్లు (6) ',' 8 వ మ్యాచ్ లో అత్యధిక వికెట్లు (9) ',' వరుస 2 వ అత్యధిక వికెట్లు (28) ',' 4 వ కెరీర్లో అత్యధిక క్యాచ్లు (343) ',' చాలా 5 వ ఒక మ్యాచ్లో ఇన్నింగ్స్ (6) ',' 8 వ అత్యధిక క్యాచ్లు లో క్యాచ్లు (9) ',' 8 వ ఒక సిరీస్లో అత్యధిక క్యాచ్లు (28) ',' కెరీర్ (12) 37 వ అత్యంత స్టంపింగ్లు ']</v>
      </c>
      <c r="E1954" s="2" t="s">
        <v>1242</v>
      </c>
      <c r="F1954" s="2" t="str">
        <f>IFERROR(__xludf.DUMMYFUNCTION("IF(E1954&lt;&gt;"""", GOOGLETRANSLATE(E1954, ""en"", ""te""),"""")"),"[ '27 కెరీర్లో అత్యధిక వికెట్లు (124)', '16 వ ఇన్నింగ్స్ (5) తొలగింపులకు' 'వరుస 3 వ అత్యధిక వికెట్లు (22)', '21 వ అత్యధిక క్యాచ్లు కెరీర్లో (120) ',' 11 వ అత్యంత వరుస ఇన్నింగ్స్ లో క్యాచ్లు (5) ',' 2 వ అత్యధిక క్యాచ్లు (22) ',' 2 వ అత్యంత ఇన్నింగ్స్ లో సా"&amp;"ధించిన బైస్ (18) ']")</f>
        <v>[ '27 కెరీర్లో అత్యధిక వికెట్లు (124)', '16 వ ఇన్నింగ్స్ (5) తొలగింపులకు' 'వరుస 3 వ అత్యధిక వికెట్లు (22)', '21 వ అత్యధిక క్యాచ్లు కెరీర్లో (120) ',' 11 వ అత్యంత వరుస ఇన్నింగ్స్ లో క్యాచ్లు (5) ',' 2 వ అత్యధిక క్యాచ్లు (22) ',' 2 వ అత్యంత ఇన్నింగ్స్ లో సాధించిన బైస్ (18) ']</v>
      </c>
      <c r="G1954" s="2"/>
      <c r="H1954" s="2" t="str">
        <f>IFERROR(__xludf.DUMMYFUNCTION("IF(G1954&lt;&gt;"""", GOOGLETRANSLATE(G1954, ""en"", ""te""),"""")"),"")</f>
        <v/>
      </c>
      <c r="I1954" s="3"/>
    </row>
    <row r="1955" customHeight="1" spans="1:9">
      <c r="A1955" s="2" t="s">
        <v>1243</v>
      </c>
      <c r="B1955" s="2" t="str">
        <f>IFERROR(__xludf.DUMMYFUNCTION("IF(A1955&lt;&gt;"""", GOOGLETRANSLATE(A1955, ""en"", ""te""),"""")"),"[ '6 వ అత్యధిక వరుస బాతులు (3)', '6 వ బౌలర్ / బ్యాట్స్ కలయికలు (10)']")</f>
        <v>[ '6 వ అత్యధిక వరుస బాతులు (3)', '6 వ బౌలర్ / బ్యాట్స్ కలయికలు (10)']</v>
      </c>
      <c r="C1955" s="2" t="s">
        <v>1244</v>
      </c>
      <c r="D1955" s="2" t="str">
        <f>IFERROR(__xludf.DUMMYFUNCTION("IF(C1955&lt;&gt;"""", GOOGLETRANSLATE(C1955, ""en"", ""te""),"""")"),"[ '38 వ కెరీర్ లో అత్యధిక వికెట్లు (291)', '44th ఒక సిరీస్లో అత్యధిక వికెట్లు (32)', '41 వ అత్యంత ఐదు-వికెట్ల లో-ఒక-ఇన్నింగ్స్ కెరీర్లో (14)', '39 వ పిన్న ఆటగాడు తీసుకోవాలని ఐదు వికెట్లు-ఇన్-ఒక-ఇన్నింగ్స్ (20y 74d) ',' 38 వ కెరీర్ లో బౌల్డ్ చాలా బంతుల్లో "&amp;"(16586) ',' 33 వ కెరీర్ లో సాధించిన అత్యధిక పరుగులు (8332) ',' 17 వ బౌలర్ / ఫీల్డర్ కలయికలు (55) ', '29 వ అత్యధిక తీసుకున్న క్యాచ్ (201) వికెట్స్', '31 అత్యధిక వికెట్లు తీసుకున్న చిక్కుకున్న ఫీల్డర్ (130)', '27th 150 వికెట్లు వేగంగా (35)' '24 వ అత్యధిక వి"&amp;"కెట్లు చిక్కుకున్న వికెట్కీపర్గా (71) తీసుకున్న', '39 వ 200 వికెట్లు (50) వేగంగా', 'ఫాస్టెస్ట్ 26 250 వికెట్లు (62)']")</f>
        <v>[ '38 వ కెరీర్ లో అత్యధిక వికెట్లు (291)', '44th ఒక సిరీస్లో అత్యధిక వికెట్లు (32)', '41 వ అత్యంత ఐదు-వికెట్ల లో-ఒక-ఇన్నింగ్స్ కెరీర్లో (14)', '39 వ పిన్న ఆటగాడు తీసుకోవాలని ఐదు వికెట్లు-ఇన్-ఒక-ఇన్నింగ్స్ (20y 74d) ',' 38 వ కెరీర్ లో బౌల్డ్ చాలా బంతుల్లో (16586) ',' 33 వ కెరీర్ లో సాధించిన అత్యధిక పరుగులు (8332) ',' 17 వ బౌలర్ / ఫీల్డర్ కలయికలు (55) ', '29 వ అత్యధిక తీసుకున్న క్యాచ్ (201) వికెట్స్', '31 అత్యధిక వికెట్లు తీసుకున్న చిక్కుకున్న ఫీల్డర్ (130)', '27th 150 వికెట్లు వేగంగా (35)' '24 వ అత్యధిక వికెట్లు చిక్కుకున్న వికెట్కీపర్గా (71) తీసుకున్న', '39 వ 200 వికెట్లు (50) వేగంగా', 'ఫాస్టెస్ట్ 26 250 వికెట్లు (62)']</v>
      </c>
      <c r="E1955" s="2" t="s">
        <v>1245</v>
      </c>
      <c r="F1955" s="2" t="str">
        <f>IFERROR(__xludf.DUMMYFUNCTION("IF(E1955&lt;&gt;"""", GOOGLETRANSLATE(E1955, ""en"", ""te""),"""")"),"[ '45 వ కెరీర్ బాతులు (15)', '6 వ అత్యధిక వరుస బాతులు (3)', '35 వ అత్యధిక వికెట్లు కెరీర్లో (203)', '16 వ వరుస వికెట్లు (21)', '21 వ అత్యంత న వికెట్లు ఒకే క్రీడా (43) ',' ఐదు వికెట్ల లో-ఒక-ఇన్నింగ్స్ 48 వ కెరీర్ లో బౌల్డ్ చాలా బంతుల్లో తీసుకోవాలని 43 వ పి"&amp;"న్న ఆటగాడు (22y 204d) ',' (7461) ',' 6 వ బౌలర్ / బ్యాట్స్ కలయికలు (10) ',' 28th అత్యధిక వికెట్లు బౌల్డ్ తీసుకున్న (55) ',' 43 వ అత్యధిక వికెట్లు తీసుకున్న ఆకర్షించింది (130) ',' 39 వ అత్యధిక వికెట్లు ఒక ఫీల్డర్ చేత క్యాచ్ తీసుకున్న (95) ',' 45 వ 100 వికెట"&amp;"్లు వేగంగా (69) ',' 21 వ వేగంగా 150 వికెట్లు (102) ',' ఫాస్టెస్ట్ 200 వికెట్లు 14 వ (136) ']")</f>
        <v>[ '45 వ కెరీర్ బాతులు (15)', '6 వ అత్యధిక వరుస బాతులు (3)', '35 వ అత్యధిక వికెట్లు కెరీర్లో (203)', '16 వ వరుస వికెట్లు (21)', '21 వ అత్యంత న వికెట్లు ఒకే క్రీడా (43) ',' ఐదు వికెట్ల లో-ఒక-ఇన్నింగ్స్ 48 వ కెరీర్ లో బౌల్డ్ చాలా బంతుల్లో తీసుకోవాలని 43 వ పిన్న ఆటగాడు (22y 204d) ',' (7461) ',' 6 వ బౌలర్ / బ్యాట్స్ కలయికలు (10) ',' 28th అత్యధిక వికెట్లు బౌల్డ్ తీసుకున్న (55) ',' 43 వ అత్యధిక వికెట్లు తీసుకున్న ఆకర్షించింది (130) ',' 39 వ అత్యధిక వికెట్లు ఒక ఫీల్డర్ చేత క్యాచ్ తీసుకున్న (95) ',' 45 వ 100 వికెట్లు వేగంగా (69) ',' 21 వ వేగంగా 150 వికెట్లు (102) ',' ఫాస్టెస్ట్ 200 వికెట్లు 14 వ (136) ']</v>
      </c>
      <c r="G1955" s="2"/>
      <c r="H1955" s="2" t="str">
        <f>IFERROR(__xludf.DUMMYFUNCTION("IF(G1955&lt;&gt;"""", GOOGLETRANSLATE(G1955, ""en"", ""te""),"""")"),"")</f>
        <v/>
      </c>
      <c r="I1955" s="3"/>
    </row>
    <row r="1956" customHeight="1" spans="1:9">
      <c r="A1956" s="2" t="s">
        <v>1246</v>
      </c>
      <c r="B1956" s="2" t="str">
        <f>IFERROR(__xludf.DUMMYFUNCTION("IF(A1956&lt;&gt;"""", GOOGLETRANSLATE(A1956, ""en"", ""te""),"""")"),"[ '(ప్రగతిశీల రికార్డు హోల్డర్) ఒక ఇన్నింగ్స్ లో 2 వ అత్యధిక పరుగులు (211)', 'రెండు దేశాలకు ప్రాతినిధ్యం', 'హండ్రెడ్ మరియు ఒక మ్యాచ్లో ఒక డక్', 'రెండు దేశాలకు ప్రాతినిధ్యం']")</f>
        <v>[ '(ప్రగతిశీల రికార్డు హోల్డర్) ఒక ఇన్నింగ్స్ లో 2 వ అత్యధిక పరుగులు (211)', 'రెండు దేశాలకు ప్రాతినిధ్యం', 'హండ్రెడ్ మరియు ఒక మ్యాచ్లో ఒక డక్', 'రెండు దేశాలకు ప్రాతినిధ్యం']</v>
      </c>
      <c r="C1956" s="2" t="s">
        <v>1247</v>
      </c>
      <c r="D1956" s="2" t="str">
        <f>IFERROR(__xludf.DUMMYFUNCTION("IF(C1956&lt;&gt;"""", GOOGLETRANSLATE(C1956, ""en"", ""te""),"""")"),"[ '2 వ భాగం (ప్రగతిశీల రికార్డు హోల్డర్) ఒక ఇన్నింగ్స్ లో నడుస్తుంది (211)', '30 వ లాంగెస్ట్ వ్యక్తిగత ఇన్నింగ్స్ (బంతులతో) (525)', 'పదవ వికెట్కు 41 వ అత్యధిక భాగస్వామ్యం (88)', '49 వ పిన్న కాప్టెన్ ( 25y 324d) ',' వికెట్ (1 ఉంచింది చేసిన 27 కెప్టెన్ల) ']")</f>
        <v>[ '2 వ భాగం (ప్రగతిశీల రికార్డు హోల్డర్) ఒక ఇన్నింగ్స్ లో నడుస్తుంది (211)', '30 వ లాంగెస్ట్ వ్యక్తిగత ఇన్నింగ్స్ (బంతులతో) (525)', 'పదవ వికెట్కు 41 వ అత్యధిక భాగస్వామ్యం (88)', '49 వ పిన్న కాప్టెన్ ( 25y 324d) ',' వికెట్ (1 ఉంచింది చేసిన 27 కెప్టెన్ల) ']</v>
      </c>
      <c r="E1956" s="2"/>
      <c r="F1956" s="2" t="str">
        <f>IFERROR(__xludf.DUMMYFUNCTION("IF(E1956&lt;&gt;"""", GOOGLETRANSLATE(E1956, ""en"", ""te""),"""")"),"")</f>
        <v/>
      </c>
      <c r="G1956" s="2"/>
      <c r="H1956" s="2" t="str">
        <f>IFERROR(__xludf.DUMMYFUNCTION("IF(G1956&lt;&gt;"""", GOOGLETRANSLATE(G1956, ""en"", ""te""),"""")"),"")</f>
        <v/>
      </c>
      <c r="I1956" s="3"/>
    </row>
    <row r="1957" customHeight="1" spans="1:9">
      <c r="A1957" s="2"/>
      <c r="B1957" s="2" t="str">
        <f>IFERROR(__xludf.DUMMYFUNCTION("IF(A1957&lt;&gt;"""", GOOGLETRANSLATE(A1957, ""en"", ""te""),"""")"),"")</f>
        <v/>
      </c>
      <c r="C1957" s="2"/>
      <c r="D1957" s="2" t="str">
        <f>IFERROR(__xludf.DUMMYFUNCTION("IF(C1957&lt;&gt;"""", GOOGLETRANSLATE(C1957, ""en"", ""te""),"""")"),"")</f>
        <v/>
      </c>
      <c r="E1957" s="2"/>
      <c r="F1957" s="2" t="str">
        <f>IFERROR(__xludf.DUMMYFUNCTION("IF(E1957&lt;&gt;"""", GOOGLETRANSLATE(E1957, ""en"", ""te""),"""")"),"")</f>
        <v/>
      </c>
      <c r="G1957" s="2"/>
      <c r="H1957" s="2" t="str">
        <f>IFERROR(__xludf.DUMMYFUNCTION("IF(G1957&lt;&gt;"""", GOOGLETRANSLATE(G1957, ""en"", ""te""),"""")"),"")</f>
        <v/>
      </c>
      <c r="I1957" s="3"/>
    </row>
    <row r="1958" customHeight="1" spans="1:9">
      <c r="A1958" s="2"/>
      <c r="B1958" s="2" t="str">
        <f>IFERROR(__xludf.DUMMYFUNCTION("IF(A1958&lt;&gt;"""", GOOGLETRANSLATE(A1958, ""en"", ""te""),"""")"),"")</f>
        <v/>
      </c>
      <c r="C1958" s="2"/>
      <c r="D1958" s="2" t="str">
        <f>IFERROR(__xludf.DUMMYFUNCTION("IF(C1958&lt;&gt;"""", GOOGLETRANSLATE(C1958, ""en"", ""te""),"""")"),"")</f>
        <v/>
      </c>
      <c r="E1958" s="2"/>
      <c r="F1958" s="2" t="str">
        <f>IFERROR(__xludf.DUMMYFUNCTION("IF(E1958&lt;&gt;"""", GOOGLETRANSLATE(E1958, ""en"", ""te""),"""")"),"")</f>
        <v/>
      </c>
      <c r="G1958" s="2"/>
      <c r="H1958" s="2" t="str">
        <f>IFERROR(__xludf.DUMMYFUNCTION("IF(G1958&lt;&gt;"""", GOOGLETRANSLATE(G1958, ""en"", ""te""),"""")"),"")</f>
        <v/>
      </c>
      <c r="I1958" s="3"/>
    </row>
    <row r="1959" customHeight="1" spans="1:9">
      <c r="A1959" s="2" t="s">
        <v>1248</v>
      </c>
      <c r="B1959" s="2" t="str">
        <f>IFERROR(__xludf.DUMMYFUNCTION("IF(A1959&lt;&gt;"""", GOOGLETRANSLATE(A1959, ""en"", ""te""),"""")"),"[ '1st ఉత్తమ కెరీర్ ఆర్థిక రేటు (1.11)']")</f>
        <v>[ '1st ఉత్తమ కెరీర్ ఆర్థిక రేటు (1.11)']</v>
      </c>
      <c r="C1959" s="2" t="s">
        <v>1249</v>
      </c>
      <c r="D1959" s="2" t="str">
        <f>IFERROR(__xludf.DUMMYFUNCTION("IF(C1959&lt;&gt;"""", GOOGLETRANSLATE(C1959, ""en"", ""te""),"""")"),"[ '2 వ ఉత్తమ కెరీర్ బౌలింగ్ సరాసరి (12.73)', '1 వ ఉత్తమ కెరీర్ ఆర్థిక రేటు (1.11)', '26 ఉత్తమ కెరీర్ సమ్మె రేటు (68.3)', '33 వ ఉత్తమ కెరీర్ (అర్హత లేకుండా) సగటు (12.73) బౌలింగ్']")</f>
        <v>[ '2 వ ఉత్తమ కెరీర్ బౌలింగ్ సరాసరి (12.73)', '1 వ ఉత్తమ కెరీర్ ఆర్థిక రేటు (1.11)', '26 ఉత్తమ కెరీర్ సమ్మె రేటు (68.3)', '33 వ ఉత్తమ కెరీర్ (అర్హత లేకుండా) సగటు (12.73) బౌలింగ్']</v>
      </c>
      <c r="E1959" s="2"/>
      <c r="F1959" s="2" t="str">
        <f>IFERROR(__xludf.DUMMYFUNCTION("IF(E1959&lt;&gt;"""", GOOGLETRANSLATE(E1959, ""en"", ""te""),"""")"),"")</f>
        <v/>
      </c>
      <c r="G1959" s="2"/>
      <c r="H1959" s="2" t="str">
        <f>IFERROR(__xludf.DUMMYFUNCTION("IF(G1959&lt;&gt;"""", GOOGLETRANSLATE(G1959, ""en"", ""te""),"""")"),"")</f>
        <v/>
      </c>
      <c r="I1959" s="3"/>
    </row>
    <row r="1960" customHeight="1" spans="1:9">
      <c r="A1960" s="2"/>
      <c r="B1960" s="2" t="str">
        <f>IFERROR(__xludf.DUMMYFUNCTION("IF(A1960&lt;&gt;"""", GOOGLETRANSLATE(A1960, ""en"", ""te""),"""")"),"")</f>
        <v/>
      </c>
      <c r="C1960" s="2"/>
      <c r="D1960" s="2" t="str">
        <f>IFERROR(__xludf.DUMMYFUNCTION("IF(C1960&lt;&gt;"""", GOOGLETRANSLATE(C1960, ""en"", ""te""),"""")"),"")</f>
        <v/>
      </c>
      <c r="E1960" s="2"/>
      <c r="F1960" s="2" t="str">
        <f>IFERROR(__xludf.DUMMYFUNCTION("IF(E1960&lt;&gt;"""", GOOGLETRANSLATE(E1960, ""en"", ""te""),"""")"),"")</f>
        <v/>
      </c>
      <c r="G1960" s="2"/>
      <c r="H1960" s="2" t="str">
        <f>IFERROR(__xludf.DUMMYFUNCTION("IF(G1960&lt;&gt;"""", GOOGLETRANSLATE(G1960, ""en"", ""te""),"""")"),"")</f>
        <v/>
      </c>
      <c r="I1960" s="3"/>
    </row>
    <row r="1961" customHeight="1" spans="1:9">
      <c r="A1961" s="2"/>
      <c r="B1961" s="2" t="str">
        <f>IFERROR(__xludf.DUMMYFUNCTION("IF(A1961&lt;&gt;"""", GOOGLETRANSLATE(A1961, ""en"", ""te""),"""")"),"")</f>
        <v/>
      </c>
      <c r="C1961" s="2"/>
      <c r="D1961" s="2" t="str">
        <f>IFERROR(__xludf.DUMMYFUNCTION("IF(C1961&lt;&gt;"""", GOOGLETRANSLATE(C1961, ""en"", ""te""),"""")"),"")</f>
        <v/>
      </c>
      <c r="E1961" s="2"/>
      <c r="F1961" s="2" t="str">
        <f>IFERROR(__xludf.DUMMYFUNCTION("IF(E1961&lt;&gt;"""", GOOGLETRANSLATE(E1961, ""en"", ""te""),"""")"),"")</f>
        <v/>
      </c>
      <c r="G1961" s="2"/>
      <c r="H1961" s="2" t="str">
        <f>IFERROR(__xludf.DUMMYFUNCTION("IF(G1961&lt;&gt;"""", GOOGLETRANSLATE(G1961, ""en"", ""te""),"""")"),"")</f>
        <v/>
      </c>
      <c r="I1961" s="3"/>
    </row>
    <row r="1962" customHeight="1" spans="1:9">
      <c r="A1962" s="2"/>
      <c r="B1962" s="2" t="str">
        <f>IFERROR(__xludf.DUMMYFUNCTION("IF(A1962&lt;&gt;"""", GOOGLETRANSLATE(A1962, ""en"", ""te""),"""")"),"")</f>
        <v/>
      </c>
      <c r="C1962" s="2"/>
      <c r="D1962" s="2" t="str">
        <f>IFERROR(__xludf.DUMMYFUNCTION("IF(C1962&lt;&gt;"""", GOOGLETRANSLATE(C1962, ""en"", ""te""),"""")"),"")</f>
        <v/>
      </c>
      <c r="E1962" s="2"/>
      <c r="F1962" s="2" t="str">
        <f>IFERROR(__xludf.DUMMYFUNCTION("IF(E1962&lt;&gt;"""", GOOGLETRANSLATE(E1962, ""en"", ""te""),"""")"),"")</f>
        <v/>
      </c>
      <c r="G1962" s="2"/>
      <c r="H1962" s="2" t="str">
        <f>IFERROR(__xludf.DUMMYFUNCTION("IF(G1962&lt;&gt;"""", GOOGLETRANSLATE(G1962, ""en"", ""te""),"""")"),"")</f>
        <v/>
      </c>
      <c r="I1962" s="3"/>
    </row>
    <row r="1963" customHeight="1" spans="1:9">
      <c r="A1963" s="2"/>
      <c r="B1963" s="2" t="str">
        <f>IFERROR(__xludf.DUMMYFUNCTION("IF(A1963&lt;&gt;"""", GOOGLETRANSLATE(A1963, ""en"", ""te""),"""")"),"")</f>
        <v/>
      </c>
      <c r="C1963" s="2"/>
      <c r="D1963" s="2" t="str">
        <f>IFERROR(__xludf.DUMMYFUNCTION("IF(C1963&lt;&gt;"""", GOOGLETRANSLATE(C1963, ""en"", ""te""),"""")"),"")</f>
        <v/>
      </c>
      <c r="E1963" s="2"/>
      <c r="F1963" s="2" t="str">
        <f>IFERROR(__xludf.DUMMYFUNCTION("IF(E1963&lt;&gt;"""", GOOGLETRANSLATE(E1963, ""en"", ""te""),"""")"),"")</f>
        <v/>
      </c>
      <c r="G1963" s="2"/>
      <c r="H1963" s="2" t="str">
        <f>IFERROR(__xludf.DUMMYFUNCTION("IF(G1963&lt;&gt;"""", GOOGLETRANSLATE(G1963, ""en"", ""te""),"""")"),"")</f>
        <v/>
      </c>
      <c r="I1963" s="3"/>
    </row>
    <row r="1964" customHeight="1" spans="1:9">
      <c r="A1964" s="2"/>
      <c r="B1964" s="2" t="str">
        <f>IFERROR(__xludf.DUMMYFUNCTION("IF(A1964&lt;&gt;"""", GOOGLETRANSLATE(A1964, ""en"", ""te""),"""")"),"")</f>
        <v/>
      </c>
      <c r="C1964" s="2"/>
      <c r="D1964" s="2" t="str">
        <f>IFERROR(__xludf.DUMMYFUNCTION("IF(C1964&lt;&gt;"""", GOOGLETRANSLATE(C1964, ""en"", ""te""),"""")"),"")</f>
        <v/>
      </c>
      <c r="E1964" s="2"/>
      <c r="F1964" s="2" t="str">
        <f>IFERROR(__xludf.DUMMYFUNCTION("IF(E1964&lt;&gt;"""", GOOGLETRANSLATE(E1964, ""en"", ""te""),"""")"),"")</f>
        <v/>
      </c>
      <c r="G1964" s="2" t="s">
        <v>933</v>
      </c>
      <c r="H1964" s="2" t="str">
        <f>IFERROR(__xludf.DUMMYFUNCTION("IF(G1964&lt;&gt;"""", GOOGLETRANSLATE(G1964, ""en"", ""te""),"""")"),"[ '15 వ ఇన్నింగ్స్ లో అత్యధిక క్యాచ్లు (3)']")</f>
        <v>[ '15 వ ఇన్నింగ్స్ లో అత్యధిక క్యాచ్లు (3)']</v>
      </c>
      <c r="I1964" s="3"/>
    </row>
    <row r="1965" customHeight="1" spans="1:9">
      <c r="A1965" s="2"/>
      <c r="B1965" s="2" t="str">
        <f>IFERROR(__xludf.DUMMYFUNCTION("IF(A1965&lt;&gt;"""", GOOGLETRANSLATE(A1965, ""en"", ""te""),"""")"),"")</f>
        <v/>
      </c>
      <c r="C1965" s="2"/>
      <c r="D1965" s="2" t="str">
        <f>IFERROR(__xludf.DUMMYFUNCTION("IF(C1965&lt;&gt;"""", GOOGLETRANSLATE(C1965, ""en"", ""te""),"""")"),"")</f>
        <v/>
      </c>
      <c r="E1965" s="2"/>
      <c r="F1965" s="2" t="str">
        <f>IFERROR(__xludf.DUMMYFUNCTION("IF(E1965&lt;&gt;"""", GOOGLETRANSLATE(E1965, ""en"", ""te""),"""")"),"")</f>
        <v/>
      </c>
      <c r="G1965" s="2"/>
      <c r="H1965" s="2" t="str">
        <f>IFERROR(__xludf.DUMMYFUNCTION("IF(G1965&lt;&gt;"""", GOOGLETRANSLATE(G1965, ""en"", ""te""),"""")"),"")</f>
        <v/>
      </c>
      <c r="I1965" s="3"/>
    </row>
    <row r="1966" customHeight="1" spans="1:9">
      <c r="A1966" s="2" t="s">
        <v>1250</v>
      </c>
      <c r="B1966" s="2" t="str">
        <f>IFERROR(__xludf.DUMMYFUNCTION("IF(A1966&lt;&gt;"""", GOOGLETRANSLATE(A1966, ""en"", ""te""),"""")"),"[ 'ఒక క్యాలెండర్ సంవత్సరంలో 6 వ అత్యధిక వందలు (6)', 'హండ్రెడ్ మరియు ఒక మ్యాచ్లో తొంభై', '1 వ అత్యుత్తమ బౌలింగ్ ఇన్నింగ్స్ లో విశ్లేషించడం (1/0)', ​​ఆరవ వికెట్కు '7th అత్యధిక భాగస్వామ్యం (317) ',' ఒక ఇన్నింగ్స్లో ద్వారా బ్యాట్ నిదర్శన (116 *) ',' 5000 పరు"&amp;"గులు మరియు 50 ఫీల్డింగ్ వికెట్లు ']")</f>
        <v>[ 'ఒక క్యాలెండర్ సంవత్సరంలో 6 వ అత్యధిక వందలు (6)', 'హండ్రెడ్ మరియు ఒక మ్యాచ్లో తొంభై', '1 వ అత్యుత్తమ బౌలింగ్ ఇన్నింగ్స్ లో విశ్లేషించడం (1/0)', ​​ఆరవ వికెట్కు '7th అత్యధిక భాగస్వామ్యం (317) ',' ఒక ఇన్నింగ్స్లో ద్వారా బ్యాట్ నిదర్శన (116 *) ',' 5000 పరుగులు మరియు 50 ఫీల్డింగ్ వికెట్లు ']</v>
      </c>
      <c r="C1966" s="2" t="s">
        <v>1251</v>
      </c>
      <c r="D1966" s="2" t="str">
        <f>IFERROR(__xludf.DUMMYFUNCTION("IF(C1966&lt;&gt;"""", GOOGLETRANSLATE(C1966, ""en"", ""te""),"""")"),"[ '26 ఒక క్యాలెండర్ సంవత్సరంలో అత్యధిక పరుగులు (1353)', 'ఒక క్యాలెండర్ సంవత్సరంలో 6 వ అత్యధిక వందలు (6)', '36 వ 4000 పరుగులు (91) వేగంగా', '1 వ అత్యుత్తమ బౌలింగ్ ఇన్నింగ్స్ లో విశ్లేషించడం (1/0 ) ',' ఆరవ వికెట్కు 7 వ అత్యధిక భాగస్వామ్యం (317) ',' 23 వ వరు"&amp;"స మ్యాచ్లు (ప్రదర్శనల మధ్య ఒక జట్టు 68 దూరమయ్యాడు) ']")</f>
        <v>[ '26 ఒక క్యాలెండర్ సంవత్సరంలో అత్యధిక పరుగులు (1353)', 'ఒక క్యాలెండర్ సంవత్సరంలో 6 వ అత్యధిక వందలు (6)', '36 వ 4000 పరుగులు (91) వేగంగా', '1 వ అత్యుత్తమ బౌలింగ్ ఇన్నింగ్స్ లో విశ్లేషించడం (1/0 ) ',' ఆరవ వికెట్కు 7 వ అత్యధిక భాగస్వామ్యం (317) ',' 23 వ వరుస మ్యాచ్లు (ప్రదర్శనల మధ్య ఒక జట్టు 68 దూరమయ్యాడు) ']</v>
      </c>
      <c r="E1966" s="2" t="s">
        <v>1252</v>
      </c>
      <c r="F1966" s="2" t="str">
        <f>IFERROR(__xludf.DUMMYFUNCTION("IF(E1966&lt;&gt;"""", GOOGLETRANSLATE(E1966, ""en"", ""te""),"""")"),"[ 'ఒక డక్ లేకుండా 22 వరుస ఇన్నింగ్స్ (75)', 'ఒక ఇన్నింగ్స్లో పరుగుల 9 వ అత్యధిక శాతం (60.73)']")</f>
        <v>[ 'ఒక డక్ లేకుండా 22 వరుస ఇన్నింగ్స్ (75)', 'ఒక ఇన్నింగ్స్లో పరుగుల 9 వ అత్యధిక శాతం (60.73)']</v>
      </c>
      <c r="G1966" s="2" t="s">
        <v>1253</v>
      </c>
      <c r="H1966" s="2" t="str">
        <f>IFERROR(__xludf.DUMMYFUNCTION("IF(G1966&lt;&gt;"""", GOOGLETRANSLATE(G1966, ""en"", ""te""),"""")"),"[ '50 వ ఇన్నింగ్స్ లో అత్యధిక పరుగులు (బ్యాటింగ్ స్థానంలో ప్రకారం) (96)', '28th పురాతన దేశం ఆటగాళ్ళు (49y 145d)']")</f>
        <v>[ '50 వ ఇన్నింగ్స్ లో అత్యధిక పరుగులు (బ్యాటింగ్ స్థానంలో ప్రకారం) (96)', '28th పురాతన దేశం ఆటగాళ్ళు (49y 145d)']</v>
      </c>
      <c r="I1966" s="3"/>
    </row>
    <row r="1967" customHeight="1" spans="1:9">
      <c r="A1967" s="2"/>
      <c r="B1967" s="2" t="str">
        <f>IFERROR(__xludf.DUMMYFUNCTION("IF(A1967&lt;&gt;"""", GOOGLETRANSLATE(A1967, ""en"", ""te""),"""")"),"")</f>
        <v/>
      </c>
      <c r="C1967" s="2"/>
      <c r="D1967" s="2" t="str">
        <f>IFERROR(__xludf.DUMMYFUNCTION("IF(C1967&lt;&gt;"""", GOOGLETRANSLATE(C1967, ""en"", ""te""),"""")"),"")</f>
        <v/>
      </c>
      <c r="E1967" s="2"/>
      <c r="F1967" s="2" t="str">
        <f>IFERROR(__xludf.DUMMYFUNCTION("IF(E1967&lt;&gt;"""", GOOGLETRANSLATE(E1967, ""en"", ""te""),"""")"),"")</f>
        <v/>
      </c>
      <c r="G1967" s="2"/>
      <c r="H1967" s="2" t="str">
        <f>IFERROR(__xludf.DUMMYFUNCTION("IF(G1967&lt;&gt;"""", GOOGLETRANSLATE(G1967, ""en"", ""te""),"""")"),"")</f>
        <v/>
      </c>
      <c r="I1967" s="3"/>
    </row>
    <row r="1968" customHeight="1" spans="1:9">
      <c r="A1968" s="2" t="s">
        <v>1254</v>
      </c>
      <c r="B1968" s="2" t="str">
        <f>IFERROR(__xludf.DUMMYFUNCTION("IF(A1968&lt;&gt;"""", GOOGLETRANSLATE(A1968, ""en"", ""te""),"""")"),"[ '2 వ సంఖ్య పదకొండు ఇన్నింగ్స్ లో టాప్ స్కోరింగ్ (16)']")</f>
        <v>[ '2 వ సంఖ్య పదకొండు ఇన్నింగ్స్ లో టాప్ స్కోరింగ్ (16)']</v>
      </c>
      <c r="C1968" s="2" t="s">
        <v>1254</v>
      </c>
      <c r="D1968" s="2" t="str">
        <f>IFERROR(__xludf.DUMMYFUNCTION("IF(C1968&lt;&gt;"""", GOOGLETRANSLATE(C1968, ""en"", ""te""),"""")"),"[ '2 వ సంఖ్య పదకొండు ఇన్నింగ్స్ లో టాప్ స్కోరింగ్ (16)']")</f>
        <v>[ '2 వ సంఖ్య పదకొండు ఇన్నింగ్స్ లో టాప్ స్కోరింగ్ (16)']</v>
      </c>
      <c r="E1968" s="2"/>
      <c r="F1968" s="2" t="str">
        <f>IFERROR(__xludf.DUMMYFUNCTION("IF(E1968&lt;&gt;"""", GOOGLETRANSLATE(E1968, ""en"", ""te""),"""")"),"")</f>
        <v/>
      </c>
      <c r="G1968" s="2"/>
      <c r="H1968" s="2" t="str">
        <f>IFERROR(__xludf.DUMMYFUNCTION("IF(G1968&lt;&gt;"""", GOOGLETRANSLATE(G1968, ""en"", ""te""),"""")"),"")</f>
        <v/>
      </c>
      <c r="I1968" s="3"/>
    </row>
    <row r="1969" customHeight="1" spans="1:9">
      <c r="A1969" s="2"/>
      <c r="B1969" s="2" t="str">
        <f>IFERROR(__xludf.DUMMYFUNCTION("IF(A1969&lt;&gt;"""", GOOGLETRANSLATE(A1969, ""en"", ""te""),"""")"),"")</f>
        <v/>
      </c>
      <c r="C1969" s="2" t="s">
        <v>1255</v>
      </c>
      <c r="D1969" s="2" t="str">
        <f>IFERROR(__xludf.DUMMYFUNCTION("IF(C1969&lt;&gt;"""", GOOGLETRANSLATE(C1969, ""en"", ""te""),"""")"),"[ '17 వ ఉత్తమ కెరీర్ బౌలింగ్ సరాసరి (అర్హత లేకుండా) (7.66)']")</f>
        <v>[ '17 వ ఉత్తమ కెరీర్ బౌలింగ్ సరాసరి (అర్హత లేకుండా) (7.66)']</v>
      </c>
      <c r="E1969" s="2"/>
      <c r="F1969" s="2" t="str">
        <f>IFERROR(__xludf.DUMMYFUNCTION("IF(E1969&lt;&gt;"""", GOOGLETRANSLATE(E1969, ""en"", ""te""),"""")"),"")</f>
        <v/>
      </c>
      <c r="G1969" s="2"/>
      <c r="H1969" s="2" t="str">
        <f>IFERROR(__xludf.DUMMYFUNCTION("IF(G1969&lt;&gt;"""", GOOGLETRANSLATE(G1969, ""en"", ""te""),"""")"),"")</f>
        <v/>
      </c>
      <c r="I1969" s="3"/>
    </row>
    <row r="1970" customHeight="1" spans="1:9">
      <c r="A1970" s="2"/>
      <c r="B1970" s="2" t="str">
        <f>IFERROR(__xludf.DUMMYFUNCTION("IF(A1970&lt;&gt;"""", GOOGLETRANSLATE(A1970, ""en"", ""te""),"""")"),"")</f>
        <v/>
      </c>
      <c r="C1970" s="2" t="s">
        <v>1256</v>
      </c>
      <c r="D1970" s="2" t="str">
        <f>IFERROR(__xludf.DUMMYFUNCTION("IF(C1970&lt;&gt;"""", GOOGLETRANSLATE(C1970, ""en"", ""te""),"""")"),"[ '45 వ ఉత్తమ కెరీర్ బౌలింగ్ సరాసరి (అర్హత లేకుండా) (12.83)']")</f>
        <v>[ '45 వ ఉత్తమ కెరీర్ బౌలింగ్ సరాసరి (అర్హత లేకుండా) (12.83)']</v>
      </c>
      <c r="E1970" s="2" t="s">
        <v>1257</v>
      </c>
      <c r="F1970" s="2" t="str">
        <f>IFERROR(__xludf.DUMMYFUNCTION("IF(E1970&lt;&gt;"""", GOOGLETRANSLATE(E1970, ""en"", ""te""),"""")"),"[ '36 వ ఉత్తమ ఇన్నింగ్స్ లో ఆర్థిక రేటు (0.90)']")</f>
        <v>[ '36 వ ఉత్తమ ఇన్నింగ్స్ లో ఆర్థిక రేటు (0.90)']</v>
      </c>
      <c r="G1970" s="2"/>
      <c r="H1970" s="2" t="str">
        <f>IFERROR(__xludf.DUMMYFUNCTION("IF(G1970&lt;&gt;"""", GOOGLETRANSLATE(G1970, ""en"", ""te""),"""")"),"")</f>
        <v/>
      </c>
      <c r="I1970" s="3"/>
    </row>
    <row r="1971" customHeight="1" spans="1:9">
      <c r="A1971" s="2"/>
      <c r="B1971" s="2" t="str">
        <f>IFERROR(__xludf.DUMMYFUNCTION("IF(A1971&lt;&gt;"""", GOOGLETRANSLATE(A1971, ""en"", ""te""),"""")"),"")</f>
        <v/>
      </c>
      <c r="C1971" s="2"/>
      <c r="D1971" s="2" t="str">
        <f>IFERROR(__xludf.DUMMYFUNCTION("IF(C1971&lt;&gt;"""", GOOGLETRANSLATE(C1971, ""en"", ""te""),"""")"),"")</f>
        <v/>
      </c>
      <c r="E1971" s="2"/>
      <c r="F1971" s="2" t="str">
        <f>IFERROR(__xludf.DUMMYFUNCTION("IF(E1971&lt;&gt;"""", GOOGLETRANSLATE(E1971, ""en"", ""te""),"""")"),"")</f>
        <v/>
      </c>
      <c r="G1971" s="2"/>
      <c r="H1971" s="2" t="str">
        <f>IFERROR(__xludf.DUMMYFUNCTION("IF(G1971&lt;&gt;"""", GOOGLETRANSLATE(G1971, ""en"", ""te""),"""")"),"")</f>
        <v/>
      </c>
      <c r="I1971" s="3"/>
    </row>
    <row r="1972" customHeight="1" spans="1:9">
      <c r="A1972" s="2" t="s">
        <v>1258</v>
      </c>
      <c r="B1972" s="2" t="str">
        <f>IFERROR(__xludf.DUMMYFUNCTION("IF(A1972&lt;&gt;"""", GOOGLETRANSLATE(A1972, ""en"", ""te""),"""")"),"[ '7th చెత్త సమ్మె ఇన్నింగ్స్ లో రేటు (264.0)']")</f>
        <v>[ '7th చెత్త సమ్మె ఇన్నింగ్స్ లో రేటు (264.0)']</v>
      </c>
      <c r="C1972" s="2" t="s">
        <v>1258</v>
      </c>
      <c r="D1972" s="2" t="str">
        <f>IFERROR(__xludf.DUMMYFUNCTION("IF(C1972&lt;&gt;"""", GOOGLETRANSLATE(C1972, ""en"", ""te""),"""")"),"[ '7th చెత్త సమ్మె ఇన్నింగ్స్ లో రేటు (264.0)']")</f>
        <v>[ '7th చెత్త సమ్మె ఇన్నింగ్స్ లో రేటు (264.0)']</v>
      </c>
      <c r="E1972" s="2"/>
      <c r="F1972" s="2" t="str">
        <f>IFERROR(__xludf.DUMMYFUNCTION("IF(E1972&lt;&gt;"""", GOOGLETRANSLATE(E1972, ""en"", ""te""),"""")"),"")</f>
        <v/>
      </c>
      <c r="G1972" s="2"/>
      <c r="H1972" s="2" t="str">
        <f>IFERROR(__xludf.DUMMYFUNCTION("IF(G1972&lt;&gt;"""", GOOGLETRANSLATE(G1972, ""en"", ""te""),"""")"),"")</f>
        <v/>
      </c>
      <c r="I1972" s="3"/>
    </row>
    <row r="1973" customHeight="1" spans="1:9">
      <c r="A1973" s="2" t="s">
        <v>349</v>
      </c>
      <c r="B1973" s="2" t="str">
        <f>IFERROR(__xludf.DUMMYFUNCTION("IF(A1973&lt;&gt;"""", GOOGLETRANSLATE(A1973, ""en"", ""te""),"""")"),"[ '99 పరుగుల 1st (మరియు 199, 299 etc) (99)']")</f>
        <v>[ '99 పరుగుల 1st (మరియు 199, 299 etc) (99)']</v>
      </c>
      <c r="C1973" s="2" t="s">
        <v>1259</v>
      </c>
      <c r="D1973" s="2" t="str">
        <f>IFERROR(__xludf.DUMMYFUNCTION("IF(C1973&lt;&gt;"""", GOOGLETRANSLATE(C1973, ""en"", ""te""),"""")"),"'12 వ కెరీర్ లో అతి తక్కువ బాతులు (41.5)' 'మొదటి డక్ (32) ముందు 42 వ అత్యంత ఇన్నింగ్స్' [ '99 పరుగుల 1st (మరియు 199, 299 etc) (99)', '35 వ 1000 పరుగులు వేగంగా (21) ',' రెండవ వికెట్కు 30 వ అత్యధిక భాగస్వామ్యం (275) ',' మూడో వికెట్కు 29 అత్యధిక భాగస్వామ్యం "&amp;"(295) ',' 38 వ లాంగెస్ట్ క్రీడాకారులు నివసించారు (92y 55d) ']")</f>
        <v>'12 వ కెరీర్ లో అతి తక్కువ బాతులు (41.5)' 'మొదటి డక్ (32) ముందు 42 వ అత్యంత ఇన్నింగ్స్' [ '99 పరుగుల 1st (మరియు 199, 299 etc) (99)', '35 వ 1000 పరుగులు వేగంగా (21) ',' రెండవ వికెట్కు 30 వ అత్యధిక భాగస్వామ్యం (275) ',' మూడో వికెట్కు 29 అత్యధిక భాగస్వామ్యం (295) ',' 38 వ లాంగెస్ట్ క్రీడాకారులు నివసించారు (92y 55d) ']</v>
      </c>
      <c r="E1973" s="2"/>
      <c r="F1973" s="2" t="str">
        <f>IFERROR(__xludf.DUMMYFUNCTION("IF(E1973&lt;&gt;"""", GOOGLETRANSLATE(E1973, ""en"", ""te""),"""")"),"")</f>
        <v/>
      </c>
      <c r="G1973" s="2"/>
      <c r="H1973" s="2" t="str">
        <f>IFERROR(__xludf.DUMMYFUNCTION("IF(G1973&lt;&gt;"""", GOOGLETRANSLATE(G1973, ""en"", ""te""),"""")"),"")</f>
        <v/>
      </c>
      <c r="I1973" s="3"/>
    </row>
    <row r="1974" customHeight="1" spans="1:9">
      <c r="A1974" s="2"/>
      <c r="B1974" s="2" t="str">
        <f>IFERROR(__xludf.DUMMYFUNCTION("IF(A1974&lt;&gt;"""", GOOGLETRANSLATE(A1974, ""en"", ""te""),"""")"),"")</f>
        <v/>
      </c>
      <c r="C1974" s="2"/>
      <c r="D1974" s="2" t="str">
        <f>IFERROR(__xludf.DUMMYFUNCTION("IF(C1974&lt;&gt;"""", GOOGLETRANSLATE(C1974, ""en"", ""te""),"""")"),"")</f>
        <v/>
      </c>
      <c r="E1974" s="2"/>
      <c r="F1974" s="2" t="str">
        <f>IFERROR(__xludf.DUMMYFUNCTION("IF(E1974&lt;&gt;"""", GOOGLETRANSLATE(E1974, ""en"", ""te""),"""")"),"")</f>
        <v/>
      </c>
      <c r="G1974" s="2"/>
      <c r="H1974" s="2" t="str">
        <f>IFERROR(__xludf.DUMMYFUNCTION("IF(G1974&lt;&gt;"""", GOOGLETRANSLATE(G1974, ""en"", ""te""),"""")"),"")</f>
        <v/>
      </c>
      <c r="I1974" s="3"/>
    </row>
    <row r="1975" customHeight="1" spans="1:9">
      <c r="A1975" s="2"/>
      <c r="B1975" s="2" t="str">
        <f>IFERROR(__xludf.DUMMYFUNCTION("IF(A1975&lt;&gt;"""", GOOGLETRANSLATE(A1975, ""en"", ""te""),"""")"),"")</f>
        <v/>
      </c>
      <c r="C1975" s="2"/>
      <c r="D1975" s="2" t="str">
        <f>IFERROR(__xludf.DUMMYFUNCTION("IF(C1975&lt;&gt;"""", GOOGLETRANSLATE(C1975, ""en"", ""te""),"""")"),"")</f>
        <v/>
      </c>
      <c r="E1975" s="2"/>
      <c r="F1975" s="2" t="str">
        <f>IFERROR(__xludf.DUMMYFUNCTION("IF(E1975&lt;&gt;"""", GOOGLETRANSLATE(E1975, ""en"", ""te""),"""")"),"")</f>
        <v/>
      </c>
      <c r="G1975" s="2"/>
      <c r="H1975" s="2" t="str">
        <f>IFERROR(__xludf.DUMMYFUNCTION("IF(G1975&lt;&gt;"""", GOOGLETRANSLATE(G1975, ""en"", ""te""),"""")"),"")</f>
        <v/>
      </c>
      <c r="I1975" s="3"/>
    </row>
    <row r="1976" customHeight="1" spans="1:9">
      <c r="A1976" s="2"/>
      <c r="B1976" s="2" t="str">
        <f>IFERROR(__xludf.DUMMYFUNCTION("IF(A1976&lt;&gt;"""", GOOGLETRANSLATE(A1976, ""en"", ""te""),"""")"),"")</f>
        <v/>
      </c>
      <c r="C1976" s="2"/>
      <c r="D1976" s="2" t="str">
        <f>IFERROR(__xludf.DUMMYFUNCTION("IF(C1976&lt;&gt;"""", GOOGLETRANSLATE(C1976, ""en"", ""te""),"""")"),"")</f>
        <v/>
      </c>
      <c r="E1976" s="2"/>
      <c r="F1976" s="2" t="str">
        <f>IFERROR(__xludf.DUMMYFUNCTION("IF(E1976&lt;&gt;"""", GOOGLETRANSLATE(E1976, ""en"", ""te""),"""")"),"")</f>
        <v/>
      </c>
      <c r="G1976" s="2"/>
      <c r="H1976" s="2" t="str">
        <f>IFERROR(__xludf.DUMMYFUNCTION("IF(G1976&lt;&gt;"""", GOOGLETRANSLATE(G1976, ""en"", ""te""),"""")"),"")</f>
        <v/>
      </c>
      <c r="I1976" s="3"/>
    </row>
    <row r="1977" customHeight="1" spans="1:9">
      <c r="A1977" s="2" t="s">
        <v>1260</v>
      </c>
      <c r="B1977" s="2" t="str">
        <f>IFERROR(__xludf.DUMMYFUNCTION("IF(A1977&lt;&gt;"""", GOOGLETRANSLATE(A1977, ""en"", ""te""),"""")"),"[ 'తొలి 3 వ తొంభై (90)']")</f>
        <v>[ 'తొలి 3 వ తొంభై (90)']</v>
      </c>
      <c r="C1977" s="2" t="s">
        <v>1260</v>
      </c>
      <c r="D1977" s="2" t="str">
        <f>IFERROR(__xludf.DUMMYFUNCTION("IF(C1977&lt;&gt;"""", GOOGLETRANSLATE(C1977, ""en"", ""te""),"""")"),"[ 'తొలి 3 వ తొంభై (90)']")</f>
        <v>[ 'తొలి 3 వ తొంభై (90)']</v>
      </c>
      <c r="E1977" s="2"/>
      <c r="F1977" s="2" t="str">
        <f>IFERROR(__xludf.DUMMYFUNCTION("IF(E1977&lt;&gt;"""", GOOGLETRANSLATE(E1977, ""en"", ""te""),"""")"),"")</f>
        <v/>
      </c>
      <c r="G1977" s="2"/>
      <c r="H1977" s="2" t="str">
        <f>IFERROR(__xludf.DUMMYFUNCTION("IF(G1977&lt;&gt;"""", GOOGLETRANSLATE(G1977, ""en"", ""te""),"""")"),"")</f>
        <v/>
      </c>
      <c r="I1977" s="3"/>
    </row>
    <row r="1978" customHeight="1" spans="1:9">
      <c r="A1978" s="2" t="s">
        <v>1261</v>
      </c>
      <c r="B1978" s="2" t="str">
        <f>IFERROR(__xludf.DUMMYFUNCTION("IF(A1978&lt;&gt;"""", GOOGLETRANSLATE(A1978, ""en"", ""te""),"""")"),"[ 'వరుస 1 వ అత్యధిక వికెట్లు (19)', '3 వ వరుస మ్యాచ్లు జట్టు (20)', '8 వ అత్యధిక వికెట్లు ఒక మ్యాచ్లో (6)', '1 వ అత్యధిక క్యాచ్లు వరుస (17)', 'కెరీర్ లో 2 వ పెద్ద స్టంపింగ్లు (12)', '3 వ అత్యంత ఇన్నింగ్స్ లో (4) క్యాచ్లు']")</f>
        <v>[ 'వరుస 1 వ అత్యధిక వికెట్లు (19)', '3 వ వరుస మ్యాచ్లు జట్టు (20)', '8 వ అత్యధిక వికెట్లు ఒక మ్యాచ్లో (6)', '1 వ అత్యధిక క్యాచ్లు వరుస (17)', 'కెరీర్ లో 2 వ పెద్ద స్టంపింగ్లు (12)', '3 వ అత్యంత ఇన్నింగ్స్ లో (4) క్యాచ్లు']</v>
      </c>
      <c r="C1978" s="2" t="s">
        <v>1262</v>
      </c>
      <c r="D1978" s="2" t="str">
        <f>IFERROR(__xludf.DUMMYFUNCTION("IF(C1978&lt;&gt;"""", GOOGLETRANSLATE(C1978, ""en"", ""te""),"""")"),"[ '13 వ ఇన్నింగ్స్ లో అత్యధిక పరుగులు (బ్యాటింగ్ స్థానంలో ప్రకారం) (34 *)', 'కెరీర్లో 24 వ అతి తక్కువ బాతులు (11)', 'కెరీర్ లో 6 వ అత్యధిక మ్యాచ్లు (20)', '3 వ వరుస మ్యాచ్లు జట్టు ( 20) ',' 1st కెరీర్లో అత్యధిక వికెట్లు (58) ',' ఇన్నింగ్స్ లో 3 వ అత్యధిక "&amp;"వికెట్లు (5) ',' 1st ఒక మ్యాచ్లో అత్యధిక వికెట్లు (9) ',' 1st ఒక సిరీస్లో అత్యధిక వికెట్లు (19) ' 'కెరీర్లో 1st అత్యధిక క్యాచ్లు (46)', 'ఇన్నింగ్స్ లో 2 వ అత్యధిక క్యాచ్లు (5)', '1st ఒక మ్యాచ్లో అత్యధిక క్యాచ్లు (8)', '1st ఒక సిరీస్లో అత్యధిక క్యాచ్లు (17"&amp;")', '2nd జీవితంలో అత్యధిక స్టంపింగ్లు (12) ',' 12 వ అత్యంత స్టంపింగ్లు వరుస (4) ']")</f>
        <v>[ '13 వ ఇన్నింగ్స్ లో అత్యధిక పరుగులు (బ్యాటింగ్ స్థానంలో ప్రకారం) (34 *)', 'కెరీర్లో 24 వ అతి తక్కువ బాతులు (11)', 'కెరీర్ లో 6 వ అత్యధిక మ్యాచ్లు (20)', '3 వ వరుస మ్యాచ్లు జట్టు ( 20) ',' 1st కెరీర్లో అత్యధిక వికెట్లు (58) ',' ఇన్నింగ్స్ లో 3 వ అత్యధిక వికెట్లు (5) ',' 1st ఒక మ్యాచ్లో అత్యధిక వికెట్లు (9) ',' 1st ఒక సిరీస్లో అత్యధిక వికెట్లు (19) ' 'కెరీర్లో 1st అత్యధిక క్యాచ్లు (46)', 'ఇన్నింగ్స్ లో 2 వ అత్యధిక క్యాచ్లు (5)', '1st ఒక మ్యాచ్లో అత్యధిక క్యాచ్లు (8)', '1st ఒక సిరీస్లో అత్యధిక క్యాచ్లు (17)', '2nd జీవితంలో అత్యధిక స్టంపింగ్లు (12) ',' 12 వ అత్యంత స్టంపింగ్లు వరుస (4) ']</v>
      </c>
      <c r="E1978" s="2" t="s">
        <v>1263</v>
      </c>
      <c r="F1978" s="2" t="str">
        <f>IFERROR(__xludf.DUMMYFUNCTION("IF(E1978&lt;&gt;"""", GOOGLETRANSLATE(E1978, ""en"", ""te""),"""")"),"[ 'వికెట్ను కాపాడుకున్నాడు చేసిన 17 వ కెప్టెన్ల (1)', 'కెప్టెన్సీ ప్రవేశం (33y 214d) 19 ఓల్డెస్ట్ కెప్టెన్లు', '16 వ అత్యధిక వికెట్లు కెరీర్లో (49)', '17 వ ఇన్నింగ్స్ లో అత్యధిక వికెట్లు (4)', ' కెరీర్లో 13 వ అత్యధిక క్యాచ్లు (35) ',' ఇన్నింగ్స్ లో 3 వ అత"&amp;"్యధిక క్యాచ్లు (4) ',' 22 వ కెరీర్ (14) అత్యంత స్టంపింగ్లు ']")</f>
        <v>[ 'వికెట్ను కాపాడుకున్నాడు చేసిన 17 వ కెప్టెన్ల (1)', 'కెప్టెన్సీ ప్రవేశం (33y 214d) 19 ఓల్డెస్ట్ కెప్టెన్లు', '16 వ అత్యధిక వికెట్లు కెరీర్లో (49)', '17 వ ఇన్నింగ్స్ లో అత్యధిక వికెట్లు (4)', ' కెరీర్లో 13 వ అత్యధిక క్యాచ్లు (35) ',' ఇన్నింగ్స్ లో 3 వ అత్యధిక క్యాచ్లు (4) ',' 22 వ కెరీర్ (14) అత్యంత స్టంపింగ్లు ']</v>
      </c>
      <c r="G1978" s="2"/>
      <c r="H1978" s="2" t="str">
        <f>IFERROR(__xludf.DUMMYFUNCTION("IF(G1978&lt;&gt;"""", GOOGLETRANSLATE(G1978, ""en"", ""te""),"""")"),"")</f>
        <v/>
      </c>
      <c r="I1978" s="3"/>
    </row>
    <row r="1979" customHeight="1" spans="1:9">
      <c r="A1979" s="2"/>
      <c r="B1979" s="2" t="str">
        <f>IFERROR(__xludf.DUMMYFUNCTION("IF(A1979&lt;&gt;"""", GOOGLETRANSLATE(A1979, ""en"", ""te""),"""")"),"")</f>
        <v/>
      </c>
      <c r="C1979" s="2"/>
      <c r="D1979" s="2" t="str">
        <f>IFERROR(__xludf.DUMMYFUNCTION("IF(C1979&lt;&gt;"""", GOOGLETRANSLATE(C1979, ""en"", ""te""),"""")"),"")</f>
        <v/>
      </c>
      <c r="E1979" s="2"/>
      <c r="F1979" s="2" t="str">
        <f>IFERROR(__xludf.DUMMYFUNCTION("IF(E1979&lt;&gt;"""", GOOGLETRANSLATE(E1979, ""en"", ""te""),"""")"),"")</f>
        <v/>
      </c>
      <c r="G1979" s="2"/>
      <c r="H1979" s="2" t="str">
        <f>IFERROR(__xludf.DUMMYFUNCTION("IF(G1979&lt;&gt;"""", GOOGLETRANSLATE(G1979, ""en"", ""te""),"""")"),"")</f>
        <v/>
      </c>
      <c r="I1979" s="3"/>
    </row>
    <row r="1980" customHeight="1" spans="1:9">
      <c r="A1980" s="2" t="s">
        <v>1264</v>
      </c>
      <c r="B1980" s="2" t="str">
        <f>IFERROR(__xludf.DUMMYFUNCTION("IF(A1980&lt;&gt;"""", GOOGLETRANSLATE(A1980, ""en"", ""te""),"""")"),"[ 'వరుస ఇన్నింగ్స్లో 5 వ వందల (3)', '1 వ 99 పరుగుల (199, 299 etc) (99)', 'కెరీర్ (55) 8 వ అతి తక్కువ బాతులు', 'బ్యాటింగ్ తెరవడం మరియు అదే మ్యాచ్ లో బౌలింగ్ ',' వరుస ఇన్నింగ్స్లో 6 వ వందల కెరీర్ (55) (3) ',' 9 వ అతి తక్కువ బాతులు ']")</f>
        <v>[ 'వరుస ఇన్నింగ్స్లో 5 వ వందల (3)', '1 వ 99 పరుగుల (199, 299 etc) (99)', 'కెరీర్ (55) 8 వ అతి తక్కువ బాతులు', 'బ్యాటింగ్ తెరవడం మరియు అదే మ్యాచ్ లో బౌలింగ్ ',' వరుస ఇన్నింగ్స్లో 6 వ వందల కెరీర్ (55) (3) ',' 9 వ అతి తక్కువ బాతులు ']</v>
      </c>
      <c r="C1980" s="2" t="s">
        <v>1265</v>
      </c>
      <c r="D1980" s="2" t="str">
        <f>IFERROR(__xludf.DUMMYFUNCTION("IF(C1980&lt;&gt;"""", GOOGLETRANSLATE(C1980, ""en"", ""te""),"""")"),"[ 'వరుస ఇన్నింగ్స్లో 5 వ వందల (3)', 'వరుస మ్యాచ్లలో 21 వందల (3)', 99 (199, 299 etc) కొట్టివేయబడింది 1st 18 వ అత్యంత వృద్ధ ఆటగాడు వంద (40y 27d) స్కోర్ ',' ( కెరీర్లో 99) ',' 8 వ అతి తక్కువ బాతులు (55) ',' పది వికెట్లు లో ఒక మ్యాచ్ (23y 4D) ',' 30 వ లాంగెస్"&amp;"ట్ కెరీర్లు (18y 248d) '] తీసుకోవాలని 36 వ పిన్న ఆటగాడు")</f>
        <v>[ 'వరుస ఇన్నింగ్స్లో 5 వ వందల (3)', 'వరుస మ్యాచ్లలో 21 వందల (3)', 99 (199, 299 etc) కొట్టివేయబడింది 1st 18 వ అత్యంత వృద్ధ ఆటగాడు వంద (40y 27d) స్కోర్ ',' ( కెరీర్లో 99) ',' 8 వ అతి తక్కువ బాతులు (55) ',' పది వికెట్లు లో ఒక మ్యాచ్ (23y 4D) ',' 30 వ లాంగెస్ట్ కెరీర్లు (18y 248d) '] తీసుకోవాలని 36 వ పిన్న ఆటగాడు</v>
      </c>
      <c r="E1980" s="2"/>
      <c r="F1980" s="2" t="str">
        <f>IFERROR(__xludf.DUMMYFUNCTION("IF(E1980&lt;&gt;"""", GOOGLETRANSLATE(E1980, ""en"", ""te""),"""")"),"")</f>
        <v/>
      </c>
      <c r="G1980" s="2"/>
      <c r="H1980" s="2" t="str">
        <f>IFERROR(__xludf.DUMMYFUNCTION("IF(G1980&lt;&gt;"""", GOOGLETRANSLATE(G1980, ""en"", ""te""),"""")"),"")</f>
        <v/>
      </c>
      <c r="I1980" s="3"/>
    </row>
    <row r="1981" customHeight="1" spans="1:9">
      <c r="A1981" s="2" t="s">
        <v>1266</v>
      </c>
      <c r="B1981" s="2" t="str">
        <f>IFERROR(__xludf.DUMMYFUNCTION("IF(A1981&lt;&gt;"""", GOOGLETRANSLATE(A1981, ""en"", ""te""),"""")"),"[ '7th వేగవంతమైన 200 వికెట్లు (41)']")</f>
        <v>[ '7th వేగవంతమైన 200 వికెట్లు (41)']</v>
      </c>
      <c r="C1981" s="2" t="s">
        <v>1267</v>
      </c>
      <c r="D1981" s="2" t="str">
        <f>IFERROR(__xludf.DUMMYFUNCTION("IF(C1981&lt;&gt;"""", GOOGLETRANSLATE(C1981, ""en"", ""te""),"""")"),"[ '35 వ ఒకే మైదానంలో అత్యధిక వికెట్లు (53)', '18 వ వరుస ఐదు వికెట్ల లో-ఒక-ఇన్నింగ్స్ (3)', '40 వ మ్యాచ్ లో సాధించిన అత్యధిక పరుగులు (260)', '46 వ అత్యధిక వికెట్లు తీసుకున్న ఒక ఫీల్డర్ చేత క్యాచ్ (107) ',' 13 వ అత్యధిక వికెట్లు స్టంప్ (15) ',' ఫాస్టెస్ట్ "&amp;"8 వ 50 వికెట్లు తీసుకున్న (9) ', '21 వ 100 వికెట్లు వేగంగా (21)', '10th 150 వికెట్లు వేగంగా (31 ) ',' 200 వికెట్లు వేగంగా 7 వ (41) ']")</f>
        <v>[ '35 వ ఒకే మైదానంలో అత్యధిక వికెట్లు (53)', '18 వ వరుస ఐదు వికెట్ల లో-ఒక-ఇన్నింగ్స్ (3)', '40 వ మ్యాచ్ లో సాధించిన అత్యధిక పరుగులు (260)', '46 వ అత్యధిక వికెట్లు తీసుకున్న ఒక ఫీల్డర్ చేత క్యాచ్ (107) ',' 13 వ అత్యధిక వికెట్లు స్టంప్ (15) ',' ఫాస్టెస్ట్ 8 వ 50 వికెట్లు తీసుకున్న (9) ', '21 వ 100 వికెట్లు వేగంగా (21)', '10th 150 వికెట్లు వేగంగా (31 ) ',' 200 వికెట్లు వేగంగా 7 వ (41) ']</v>
      </c>
      <c r="E1981" s="2" t="s">
        <v>549</v>
      </c>
      <c r="F1981" s="2" t="str">
        <f>IFERROR(__xludf.DUMMYFUNCTION("IF(E1981&lt;&gt;"""", GOOGLETRANSLATE(E1981, ""en"", ""te""),"""")"),"[ 'తొలి ఇన్నింగ్స్ 15 వ బెస్ట్ ఫిగర్స్ (4)']")</f>
        <v>[ 'తొలి ఇన్నింగ్స్ 15 వ బెస్ట్ ఫిగర్స్ (4)']</v>
      </c>
      <c r="G1981" s="2"/>
      <c r="H1981" s="2" t="str">
        <f>IFERROR(__xludf.DUMMYFUNCTION("IF(G1981&lt;&gt;"""", GOOGLETRANSLATE(G1981, ""en"", ""te""),"""")"),"")</f>
        <v/>
      </c>
      <c r="I1981" s="3"/>
    </row>
    <row r="1982" customHeight="1" spans="1:9">
      <c r="A1982" s="2"/>
      <c r="B1982" s="2" t="str">
        <f>IFERROR(__xludf.DUMMYFUNCTION("IF(A1982&lt;&gt;"""", GOOGLETRANSLATE(A1982, ""en"", ""te""),"""")"),"")</f>
        <v/>
      </c>
      <c r="C1982" s="2"/>
      <c r="D1982" s="2" t="str">
        <f>IFERROR(__xludf.DUMMYFUNCTION("IF(C1982&lt;&gt;"""", GOOGLETRANSLATE(C1982, ""en"", ""te""),"""")"),"")</f>
        <v/>
      </c>
      <c r="E1982" s="2"/>
      <c r="F1982" s="2" t="str">
        <f>IFERROR(__xludf.DUMMYFUNCTION("IF(E1982&lt;&gt;"""", GOOGLETRANSLATE(E1982, ""en"", ""te""),"""")"),"")</f>
        <v/>
      </c>
      <c r="G1982" s="2"/>
      <c r="H1982" s="2" t="str">
        <f>IFERROR(__xludf.DUMMYFUNCTION("IF(G1982&lt;&gt;"""", GOOGLETRANSLATE(G1982, ""en"", ""te""),"""")"),"")</f>
        <v/>
      </c>
      <c r="I1982" s="3"/>
    </row>
    <row r="1983" customHeight="1" spans="1:9">
      <c r="A1983" s="2"/>
      <c r="B1983" s="2" t="str">
        <f>IFERROR(__xludf.DUMMYFUNCTION("IF(A1983&lt;&gt;"""", GOOGLETRANSLATE(A1983, ""en"", ""te""),"""")"),"")</f>
        <v/>
      </c>
      <c r="C1983" s="2"/>
      <c r="D1983" s="2" t="str">
        <f>IFERROR(__xludf.DUMMYFUNCTION("IF(C1983&lt;&gt;"""", GOOGLETRANSLATE(C1983, ""en"", ""te""),"""")"),"")</f>
        <v/>
      </c>
      <c r="E1983" s="2"/>
      <c r="F1983" s="2" t="str">
        <f>IFERROR(__xludf.DUMMYFUNCTION("IF(E1983&lt;&gt;"""", GOOGLETRANSLATE(E1983, ""en"", ""te""),"""")"),"")</f>
        <v/>
      </c>
      <c r="G1983" s="2"/>
      <c r="H1983" s="2" t="str">
        <f>IFERROR(__xludf.DUMMYFUNCTION("IF(G1983&lt;&gt;"""", GOOGLETRANSLATE(G1983, ""en"", ""te""),"""")"),"")</f>
        <v/>
      </c>
      <c r="I1983" s="3"/>
    </row>
    <row r="1984" customHeight="1" spans="1:9">
      <c r="A1984" s="2" t="s">
        <v>9</v>
      </c>
      <c r="B1984" s="2" t="str">
        <f>IFERROR(__xludf.DUMMYFUNCTION("IF(A1984&lt;&gt;"""", GOOGLETRANSLATE(A1984, ""en"", ""te""),"""")"),"[ 'హండ్రెడ్ మరియు ఒక మ్యాచ్లో ఒక డక్']")</f>
        <v>[ 'హండ్రెడ్ మరియు ఒక మ్యాచ్లో ఒక డక్']</v>
      </c>
      <c r="C1984" s="2" t="s">
        <v>1268</v>
      </c>
      <c r="D1984" s="2" t="str">
        <f>IFERROR(__xludf.DUMMYFUNCTION("IF(C1984&lt;&gt;"""", GOOGLETRANSLATE(C1984, ""en"", ""te""),"""")"),"[ 'రెండవ వికెట్ (277) కోసం 29 అత్యధిక భాగస్వామ్యం']")</f>
        <v>[ 'రెండవ వికెట్ (277) కోసం 29 అత్యధిక భాగస్వామ్యం']</v>
      </c>
      <c r="E1984" s="2"/>
      <c r="F1984" s="2" t="str">
        <f>IFERROR(__xludf.DUMMYFUNCTION("IF(E1984&lt;&gt;"""", GOOGLETRANSLATE(E1984, ""en"", ""te""),"""")"),"")</f>
        <v/>
      </c>
      <c r="G1984" s="2"/>
      <c r="H1984" s="2" t="str">
        <f>IFERROR(__xludf.DUMMYFUNCTION("IF(G1984&lt;&gt;"""", GOOGLETRANSLATE(G1984, ""en"", ""te""),"""")"),"")</f>
        <v/>
      </c>
      <c r="I1984" s="3"/>
    </row>
    <row r="1985" customHeight="1" spans="1:9">
      <c r="A1985" s="2" t="s">
        <v>1269</v>
      </c>
      <c r="B1985" s="2" t="str">
        <f>IFERROR(__xludf.DUMMYFUNCTION("IF(A1985&lt;&gt;"""", GOOGLETRANSLATE(A1985, ""en"", ""te""),"""")"),"[ 'ఇన్నింగ్స్ లో 7 వ అత్యధిక పరుగులు (బ్యాటింగ్ స్థానంలో ప్రకారం) (61)', 'ఇన్నింగ్స్ లో 4 వ అత్యుత్తమ బౌలింగ్ విశ్లేషణలు (8/24)', '(5) వరుస 2 వ అత్యంత బాతులు', '8 వ అత్యంత ఐదు- వికెట్ల లో-ఒక-ఇన్నింగ్స్ కెరీర్లో (29) ',' 7 వ కెరీర్ లో బౌల్డ్ చాలా బంతుల్లో "&amp;"(29248) ',' 1 వ బౌలర్ / బ్యాటర్ కలయికలు (19) ',' 3 వ 450 వికెట్లు వేగంగా (100) ',' వరుస లో 1 వ అత్యధిక వికెట్లు (27) ',' 6 వ అత్యంత ఐదు-వికెట్ల లో-ఒక-ఇన్నింగ్స్ కెరీర్లో (7) ',' 9 వ కెరీర్ (12970) ',' 2 వ బౌలర్ / ఫీల్డర్ కాంబినేషన్ లో బౌల్డ్ చాలా బంతుల్లో"&amp;" ( 73) ',' 3 వ 300 వికెట్లు (వేగంగా 200) ',' 4 వ అత్యధిక వరుస బాతులు (4) ',' ఒక క్యాలెండర్ సంవత్సరంలో 4 వ అత్యధిక వికెట్లు (119) ',' 5 వ అత్యంత ఐదు-వికెట్ల లో-ఒక-ఇన్నింగ్స్ ఒక వృత్తిలో (36) ',' 6 వ కెరీర్ లో బౌల్డ్ చాలా బంతుల్లో (42266) ',' 10 వ కెరీర్ లో"&amp;" సాధించిన అత్యధిక పరుగులు (20656) ',' 1 వ అత్యధిక వికెట్లు ఒక వికెట్ కీపర్ చే కాట్ తీసుకోకూడదు (241) ']")</f>
        <v>[ 'ఇన్నింగ్స్ లో 7 వ అత్యధిక పరుగులు (బ్యాటింగ్ స్థానంలో ప్రకారం) (61)', 'ఇన్నింగ్స్ లో 4 వ అత్యుత్తమ బౌలింగ్ విశ్లేషణలు (8/24)', '(5) వరుస 2 వ అత్యంత బాతులు', '8 వ అత్యంత ఐదు- వికెట్ల లో-ఒక-ఇన్నింగ్స్ కెరీర్లో (29) ',' 7 వ కెరీర్ లో బౌల్డ్ చాలా బంతుల్లో (29248) ',' 1 వ బౌలర్ / బ్యాటర్ కలయికలు (19) ',' 3 వ 450 వికెట్లు వేగంగా (100) ',' వరుస లో 1 వ అత్యధిక వికెట్లు (27) ',' 6 వ అత్యంత ఐదు-వికెట్ల లో-ఒక-ఇన్నింగ్స్ కెరీర్లో (7) ',' 9 వ కెరీర్ (12970) ',' 2 వ బౌలర్ / ఫీల్డర్ కాంబినేషన్ లో బౌల్డ్ చాలా బంతుల్లో ( 73) ',' 3 వ 300 వికెట్లు (వేగంగా 200) ',' 4 వ అత్యధిక వరుస బాతులు (4) ',' ఒక క్యాలెండర్ సంవత్సరంలో 4 వ అత్యధిక వికెట్లు (119) ',' 5 వ అత్యంత ఐదు-వికెట్ల లో-ఒక-ఇన్నింగ్స్ ఒక వృత్తిలో (36) ',' 6 వ కెరీర్ లో బౌల్డ్ చాలా బంతుల్లో (42266) ',' 10 వ కెరీర్ లో సాధించిన అత్యధిక పరుగులు (20656) ',' 1 వ అత్యధిక వికెట్లు ఒక వికెట్ కీపర్ చే కాట్ తీసుకోకూడదు (241) ']</v>
      </c>
      <c r="C1985" s="2" t="s">
        <v>1270</v>
      </c>
      <c r="D1985" s="2" t="str">
        <f>IFERROR(__xludf.DUMMYFUNCTION("IF(C1985&lt;&gt;"""", GOOGLETRANSLATE(C1985, ""en"", ""te""),"""")"),"[ 'ఇన్నింగ్స్ లో 7 వ అత్యధిక పరుగులు (బ్యాటింగ్ స్థానంలో ప్రకారం) (61)', '4 వ అత్యంత బాతులు కెరీర్ లో (35)', 'వరుస 2nd అత్యంత బాతులు (5)', '4 వ అత్యధిక వరుస బాతులు (4)' , 'కెరీర్ లో 5 వ అత్యధిక వికెట్లు (563)', '23 వ ఉత్తమ ఇన్నింగ్స్ లో సంఖ్యలు (8/24)', '"&amp;"కెరీర్లో (3) 7 వ అత్యంత జతల' 'వరుస 16 వ అత్యధిక వికెట్లు (36)', ' ఒక క్యాలెండర్ సంవత్సరంలో 19 అత్యధిక వికెట్లు (68) ',' 4 వ అత్యుత్తమ బౌలింగ్ ఇన్నింగ్స్ లో విశ్లేషించడం (8/24) ',' ఒకే మైదానంలో 16 వ అత్యధిక వికెట్లు (65) ',' 24 వ ఉత్తమ ఇన్నింగ్స్ లో సంఖ్య"&amp;"లు ఉన్నప్పుడు వైపు కోల్పోకుండా (7) ',' 29th ఉత్తమ కెరీర్లో ఒక వృత్తిలో సగటు (21.64) ',' 8 వ అత్యంత ఐదు-వికెట్ల లో-ఒక-ఇన్నింగ్స్ బౌలింగ్ (29) ',' 29 వ అత్యధిక-ఇన్-పది-వికెట్లు ఒక మ్యాచ్ ఒక వృత్తిలో (3) ',' 18 వ వరుస ఐదు వికెట్ల లో-ఒక-ఇన్నింగ్స్ (3) ',' 7 "&amp;"వ అత్యంత బంతుల్లో (29248) ',' 11 వ కెరీర్ (12186) లో సాధించిన అత్యధిక పరుగులు కెరీర్లో బౌల్డ్ ', '1 వ బౌలర్ / బ్యాటర్ కలయికలు (19)', '2 వ బౌలర్ / ఫీల్డర్ కలయికలు (90)', '22 వ అత్యధిక వికెట్లు తీసుకున్న బౌల్డ్ (76)', '4 వ అత్యధిక వికెట్లు తీసుకున్న ఆకర్షిం"&amp;"చింది (373)', '8 వ అత్యధిక వికెట్లు ఆకర్షించింది తీసుకున్న ఒక ఫీల్డర్ చేత (221) ',' 2nd చాలా వికెట్ కీపర్ చే కాట్ తీసుకోబడిన వికెట్ల (152) ',' 5 వ అత్యధిక వికెట్లు తీసుకున్న ఎల్బిడబ్ల్యు (113) ',' 37 వ 100 వికెట్లు వేగంగా (23) ',' 18 వ 150 వికెట్లు వేగంగా"&amp;" (34) ',' 18 వ 200 వికెట్లు (45) 250 వికెట్లు ',' 9 వ వేగవంతమైన వేగంగా (55) ',' 9 వ 300 వికెట్లు (64) 350 వికెట్లు (74) ',' కు ',' 6 వ వేగవంతమైన వేగంగా 7 వ వేగవంతమైన 400 వికెట్లు (87) ',' 3 వ 450 వికెట్లు (100) ',' 4 వ వేగవంతమైన 500 వికెట్లు (110) ','"&amp;" 24 వ అత్యధిక మ్యాచ్లు కెరీర్లో (124) ',' 50 వ వరుస మ్యాచ్లు ఒక కోసం వేగంగా జట్టు (54) ',' 15 వ అత్యంత ప్లేయర్ ఆఫ్ ది మ్యాచ్ అవార్డులు (11) ',' 12 వ అత్యంత ప్లేయర్ ఆఫ్ ది సిరీస్ అవార్డులు (5) ']")</f>
        <v>[ 'ఇన్నింగ్స్ లో 7 వ అత్యధిక పరుగులు (బ్యాటింగ్ స్థానంలో ప్రకారం) (61)', '4 వ అత్యంత బాతులు కెరీర్ లో (35)', 'వరుస 2nd అత్యంత బాతులు (5)', '4 వ అత్యధిక వరుస బాతులు (4)' , 'కెరీర్ లో 5 వ అత్యధిక వికెట్లు (563)', '23 వ ఉత్తమ ఇన్నింగ్స్ లో సంఖ్యలు (8/24)', 'కెరీర్లో (3) 7 వ అత్యంత జతల' 'వరుస 16 వ అత్యధిక వికెట్లు (36)', ' ఒక క్యాలెండర్ సంవత్సరంలో 19 అత్యధిక వికెట్లు (68) ',' 4 వ అత్యుత్తమ బౌలింగ్ ఇన్నింగ్స్ లో విశ్లేషించడం (8/24) ',' ఒకే మైదానంలో 16 వ అత్యధిక వికెట్లు (65) ',' 24 వ ఉత్తమ ఇన్నింగ్స్ లో సంఖ్యలు ఉన్నప్పుడు వైపు కోల్పోకుండా (7) ',' 29th ఉత్తమ కెరీర్లో ఒక వృత్తిలో సగటు (21.64) ',' 8 వ అత్యంత ఐదు-వికెట్ల లో-ఒక-ఇన్నింగ్స్ బౌలింగ్ (29) ',' 29 వ అత్యధిక-ఇన్-పది-వికెట్లు ఒక మ్యాచ్ ఒక వృత్తిలో (3) ',' 18 వ వరుస ఐదు వికెట్ల లో-ఒక-ఇన్నింగ్స్ (3) ',' 7 వ అత్యంత బంతుల్లో (29248) ',' 11 వ కెరీర్ (12186) లో సాధించిన అత్యధిక పరుగులు కెరీర్లో బౌల్డ్ ', '1 వ బౌలర్ / బ్యాటర్ కలయికలు (19)', '2 వ బౌలర్ / ఫీల్డర్ కలయికలు (90)', '22 వ అత్యధిక వికెట్లు తీసుకున్న బౌల్డ్ (76)', '4 వ అత్యధిక వికెట్లు తీసుకున్న ఆకర్షించింది (373)', '8 వ అత్యధిక వికెట్లు ఆకర్షించింది తీసుకున్న ఒక ఫీల్డర్ చేత (221) ',' 2nd చాలా వికెట్ కీపర్ చే కాట్ తీసుకోబడిన వికెట్ల (152) ',' 5 వ అత్యధిక వికెట్లు తీసుకున్న ఎల్బిడబ్ల్యు (113) ',' 37 వ 100 వికెట్లు వేగంగా (23) ',' 18 వ 150 వికెట్లు వేగంగా (34) ',' 18 వ 200 వికెట్లు (45) 250 వికెట్లు ',' 9 వ వేగవంతమైన వేగంగా (55) ',' 9 వ 300 వికెట్లు (64) 350 వికెట్లు (74) ',' కు ',' 6 వ వేగవంతమైన వేగంగా 7 వ వేగవంతమైన 400 వికెట్లు (87) ',' 3 వ 450 వికెట్లు (100) ',' 4 వ వేగవంతమైన 500 వికెట్లు (110) ',' 24 వ అత్యధిక మ్యాచ్లు కెరీర్లో (124) ',' 50 వ వరుస మ్యాచ్లు ఒక కోసం వేగంగా జట్టు (54) ',' 15 వ అత్యంత ప్లేయర్ ఆఫ్ ది మ్యాచ్ అవార్డులు (11) ',' 12 వ అత్యంత ప్లేయర్ ఆఫ్ ది సిరీస్ అవార్డులు (5) ']</v>
      </c>
      <c r="E1985" s="2" t="s">
        <v>1271</v>
      </c>
      <c r="F1985" s="2" t="str">
        <f>IFERROR(__xludf.DUMMYFUNCTION("IF(E1985&lt;&gt;"""", GOOGLETRANSLATE(E1985, ""en"", ""te""),"""")"),"[ 'కెరీర్లో 7 వ అత్యధిక వికెట్లు (381)', '3 వ ఉత్తమ ఇన్నింగ్స్ లో సంఖ్యలు (7/15)', 'వరుస 1 వ అత్యధిక వికెట్లు (27)', '12 వ ఒక క్యాలెండర్ సంవత్సరంలో అత్యధిక వికెట్లు (52)' , '2 వ అత్యుత్తమ బౌలింగ్ ఇన్నింగ్స్ (7/15) విశ్లేషణలలో' 'ఒకే మైదానంలో 16 వ అత్యధిక "&amp;"వికెట్లు (50)', '17 వ ఉత్తమ కెరీర్ బౌలింగ్ సరాసరి (22.02)', '37 వ ఉత్తమ కెరీర్ ఆర్థిక రేటు (3.88)' 'ఇన్నింగ్స్ లో 16 వ ఉత్తమ ఆర్థిక రేటు (0.80)', 'ఇన్నింగ్స్ లో 12 వ ఉత్తమ సమ్మె రేటు (6.0)', '6 వ అత్యంత ఐదు-వికెట్ల లో-ఒక-ఇన్నింగ్స్ కెరీర్లో (7)', '9 వ అత్"&amp;"యంత నాలుగు వికెట్లు-ఇన్-ఒక-ఇన్నింగ్స్ కెరీర్లో (16) ',' 13 వ వరుస నాలుగు వికెట్లు-ఇన్-ఒక-ఇన్నింగ్స్ (2) ',' ఐదు వికెట్ల లో-ఒక-ఇన్నింగ్స్ తీసుకోవాలని 16 వ అత్యంత వృద్ధ ఆటగాడు (34y 363d) ',' కెరీర్ (12970) లో బౌల్డ్ 9 వ అత్యంత బంతుల్లో ',' 17 వ కెరీర్ (8391"&amp;") ',' 2 వ బౌలర్ / ఫీల్డర్ కాంబినేషన్ లో సాధించిన అత్యధిక పరుగులు (73) ',' 10 వ అత్యధిక వికెట్లు బౌల్డ్ తీసుకోకూడదు (87) ',' 4 వ అత్యధిక వికెట్లు తీసుకున్న ఆకర్షించింది (245) ',' చాలా 5 వ ఆకర్షించింది తీసుకోబడిన వికెట్ల ఉన్న ఫీల్డర్ (156) ',' 3 వ భాగం ఒక వ"&amp;"ికెట్ కీపర్ చే కాట్ తీసుకోబడిన వికెట్ల (89) ',' 11 వ అత్యంత WIC ద్వారా kets తీసుకున్న ఎల్బిడబ్ల్యు (48) ',' 26th వేగవంతమైన 150 వికెట్లు (104) ',' 10th 200 వికెట్లు (133) ',' 5 వ వేగంగా 250 వికెట్లు (161) ',' 3 వ 300 వికెట్లు వేగంగా (200) వేగంగా ',' కెరీర"&amp;"్ (250) 350 వికెట్లు (233) ',' 41 వ అత్యధిక మ్యాచ్లు వేగంగా 4 వ ']")</f>
        <v>[ 'కెరీర్లో 7 వ అత్యధిక వికెట్లు (381)', '3 వ ఉత్తమ ఇన్నింగ్స్ లో సంఖ్యలు (7/15)', 'వరుస 1 వ అత్యధిక వికెట్లు (27)', '12 వ ఒక క్యాలెండర్ సంవత్సరంలో అత్యధిక వికెట్లు (52)' , '2 వ అత్యుత్తమ బౌలింగ్ ఇన్నింగ్స్ (7/15) విశ్లేషణలలో' 'ఒకే మైదానంలో 16 వ అత్యధిక వికెట్లు (50)', '17 వ ఉత్తమ కెరీర్ బౌలింగ్ సరాసరి (22.02)', '37 వ ఉత్తమ కెరీర్ ఆర్థిక రేటు (3.88)' 'ఇన్నింగ్స్ లో 16 వ ఉత్తమ ఆర్థిక రేటు (0.80)', 'ఇన్నింగ్స్ లో 12 వ ఉత్తమ సమ్మె రేటు (6.0)', '6 వ అత్యంత ఐదు-వికెట్ల లో-ఒక-ఇన్నింగ్స్ కెరీర్లో (7)', '9 వ అత్యంత నాలుగు వికెట్లు-ఇన్-ఒక-ఇన్నింగ్స్ కెరీర్లో (16) ',' 13 వ వరుస నాలుగు వికెట్లు-ఇన్-ఒక-ఇన్నింగ్స్ (2) ',' ఐదు వికెట్ల లో-ఒక-ఇన్నింగ్స్ తీసుకోవాలని 16 వ అత్యంత వృద్ధ ఆటగాడు (34y 363d) ',' కెరీర్ (12970) లో బౌల్డ్ 9 వ అత్యంత బంతుల్లో ',' 17 వ కెరీర్ (8391) ',' 2 వ బౌలర్ / ఫీల్డర్ కాంబినేషన్ లో సాధించిన అత్యధిక పరుగులు (73) ',' 10 వ అత్యధిక వికెట్లు బౌల్డ్ తీసుకోకూడదు (87) ',' 4 వ అత్యధిక వికెట్లు తీసుకున్న ఆకర్షించింది (245) ',' చాలా 5 వ ఆకర్షించింది తీసుకోబడిన వికెట్ల ఉన్న ఫీల్డర్ (156) ',' 3 వ భాగం ఒక వికెట్ కీపర్ చే కాట్ తీసుకోబడిన వికెట్ల (89) ',' 11 వ అత్యంత WIC ద్వారా kets తీసుకున్న ఎల్బిడబ్ల్యు (48) ',' 26th వేగవంతమైన 150 వికెట్లు (104) ',' 10th 200 వికెట్లు (133) ',' 5 వ వేగంగా 250 వికెట్లు (161) ',' 3 వ 300 వికెట్లు వేగంగా (200) వేగంగా ',' కెరీర్ (250) 350 వికెట్లు (233) ',' 41 వ అత్యధిక మ్యాచ్లు వేగంగా 4 వ ']</v>
      </c>
      <c r="G1985" s="2" t="s">
        <v>1272</v>
      </c>
      <c r="H1985" s="2" t="str">
        <f>IFERROR(__xludf.DUMMYFUNCTION("IF(G1985&lt;&gt;"""", GOOGLETRANSLATE(G1985, ""en"", ""te""),"""")"),"[ '12 వ పురాతన దేశం ఆటగాళ్ళు (51y 34d)']")</f>
        <v>[ '12 వ పురాతన దేశం ఆటగాళ్ళు (51y 34d)']</v>
      </c>
      <c r="I1985" s="3"/>
    </row>
    <row r="1986" customHeight="1" spans="1:9">
      <c r="A1986" s="2"/>
      <c r="B1986" s="2" t="str">
        <f>IFERROR(__xludf.DUMMYFUNCTION("IF(A1986&lt;&gt;"""", GOOGLETRANSLATE(A1986, ""en"", ""te""),"""")"),"")</f>
        <v/>
      </c>
      <c r="C1986" s="2"/>
      <c r="D1986" s="2" t="str">
        <f>IFERROR(__xludf.DUMMYFUNCTION("IF(C1986&lt;&gt;"""", GOOGLETRANSLATE(C1986, ""en"", ""te""),"""")"),"")</f>
        <v/>
      </c>
      <c r="E1986" s="2"/>
      <c r="F1986" s="2" t="str">
        <f>IFERROR(__xludf.DUMMYFUNCTION("IF(E1986&lt;&gt;"""", GOOGLETRANSLATE(E1986, ""en"", ""te""),"""")"),"")</f>
        <v/>
      </c>
      <c r="G1986" s="2"/>
      <c r="H1986" s="2" t="str">
        <f>IFERROR(__xludf.DUMMYFUNCTION("IF(G1986&lt;&gt;"""", GOOGLETRANSLATE(G1986, ""en"", ""te""),"""")"),"")</f>
        <v/>
      </c>
      <c r="I1986" s="3"/>
    </row>
    <row r="1987" customHeight="1" spans="1:9">
      <c r="A1987" s="2"/>
      <c r="B1987" s="2" t="str">
        <f>IFERROR(__xludf.DUMMYFUNCTION("IF(A1987&lt;&gt;"""", GOOGLETRANSLATE(A1987, ""en"", ""te""),"""")"),"")</f>
        <v/>
      </c>
      <c r="C1987" s="2"/>
      <c r="D1987" s="2" t="str">
        <f>IFERROR(__xludf.DUMMYFUNCTION("IF(C1987&lt;&gt;"""", GOOGLETRANSLATE(C1987, ""en"", ""te""),"""")"),"")</f>
        <v/>
      </c>
      <c r="E1987" s="2"/>
      <c r="F1987" s="2" t="str">
        <f>IFERROR(__xludf.DUMMYFUNCTION("IF(E1987&lt;&gt;"""", GOOGLETRANSLATE(E1987, ""en"", ""te""),"""")"),"")</f>
        <v/>
      </c>
      <c r="G1987" s="2"/>
      <c r="H1987" s="2" t="str">
        <f>IFERROR(__xludf.DUMMYFUNCTION("IF(G1987&lt;&gt;"""", GOOGLETRANSLATE(G1987, ""en"", ""te""),"""")"),"")</f>
        <v/>
      </c>
      <c r="I1987" s="3"/>
    </row>
    <row r="1988" customHeight="1" spans="1:9">
      <c r="A1988" s="2"/>
      <c r="B1988" s="2" t="str">
        <f>IFERROR(__xludf.DUMMYFUNCTION("IF(A1988&lt;&gt;"""", GOOGLETRANSLATE(A1988, ""en"", ""te""),"""")"),"")</f>
        <v/>
      </c>
      <c r="C1988" s="2"/>
      <c r="D1988" s="2" t="str">
        <f>IFERROR(__xludf.DUMMYFUNCTION("IF(C1988&lt;&gt;"""", GOOGLETRANSLATE(C1988, ""en"", ""te""),"""")"),"")</f>
        <v/>
      </c>
      <c r="E1988" s="2"/>
      <c r="F1988" s="2" t="str">
        <f>IFERROR(__xludf.DUMMYFUNCTION("IF(E1988&lt;&gt;"""", GOOGLETRANSLATE(E1988, ""en"", ""te""),"""")"),"")</f>
        <v/>
      </c>
      <c r="G1988" s="2"/>
      <c r="H1988" s="2" t="str">
        <f>IFERROR(__xludf.DUMMYFUNCTION("IF(G1988&lt;&gt;"""", GOOGLETRANSLATE(G1988, ""en"", ""te""),"""")"),"")</f>
        <v/>
      </c>
      <c r="I1988" s="3"/>
    </row>
    <row r="1989" customHeight="1" spans="1:9">
      <c r="A1989" s="2" t="s">
        <v>1273</v>
      </c>
      <c r="B1989" s="2" t="str">
        <f>IFERROR(__xludf.DUMMYFUNCTION("IF(A1989&lt;&gt;"""", GOOGLETRANSLATE(A1989, ""en"", ""te""),"""")"),"[ '4 వ అత్యధిక వరుస పది వికెట్లు లో ఒక మ్యాచ్ (2)', '4 వ అత్యధిక పరుగులు ఒక మ్యాచ్లో సాధించిన (308)', '8 వ వేగవంతమైన 50 వికెట్లు' 8 వ అత్యధిక వికెట్లు స్టంప్ (18) తీసుకున్న '( 9) ']")</f>
        <v>[ '4 వ అత్యధిక వరుస పది వికెట్లు లో ఒక మ్యాచ్ (2)', '4 వ అత్యధిక పరుగులు ఒక మ్యాచ్లో సాధించిన (308)', '8 వ వేగవంతమైన 50 వికెట్లు' 8 వ అత్యధిక వికెట్లు స్టంప్ (18) తీసుకున్న '( 9) ']</v>
      </c>
      <c r="C1989" s="2" t="s">
        <v>1274</v>
      </c>
      <c r="D1989" s="2" t="str">
        <f>IFERROR(__xludf.DUMMYFUNCTION("IF(C1989&lt;&gt;"""", GOOGLETRANSLATE(C1989, ""en"", ""te""),"""")"),"[ '17 వ ఉత్తమ ఇన్నింగ్స్ లో సంఖ్యలు (9/121)', 'ఒక మ్యాచ్లో 25 బెస్ట్ ఫిగర్స్ (13)', '16 వ ఒక సిరీస్లో అత్యధిక వికెట్లు (36)', '4 వ అత్యధిక వరుస పది వికెట్లు లో ఒక మ్యాచ్ (2) ',' ఐదు వికెట్ల లో-ఒక-ఇన్నింగ్స్ తీసుకోవాలని 10 వ అత్యంత వృద్ధ ఆటగాడు (40y 223d) "&amp;"',' పది వికెట్లు లో ఒక మ్యాచ్ (35y 39d) తీసుకోవాలని 23 వ అత్యంత వృద్ధ ఆటగాడు ',' (18) ',' 8 వ వేగవంతమైన 32 వ అత్యంత వృద్ధ ఆటగాడు ఒక ఐదు మైడెన్-వికెట్ల లో-ఒక-ఇన్నింగ్స్ (35y 11d) ',' 4 వ చాలా మ్యాచ్లో సాధించిన పరుగులు (308) ',' 8 వ అత్యధిక వికెట్లు తీసుక"&amp;"ున్న స్టంప్ తీసుకోవాలని 50 వికెట్లు (9) ']")</f>
        <v>[ '17 వ ఉత్తమ ఇన్నింగ్స్ లో సంఖ్యలు (9/121)', 'ఒక మ్యాచ్లో 25 బెస్ట్ ఫిగర్స్ (13)', '16 వ ఒక సిరీస్లో అత్యధిక వికెట్లు (36)', '4 వ అత్యధిక వరుస పది వికెట్లు లో ఒక మ్యాచ్ (2) ',' ఐదు వికెట్ల లో-ఒక-ఇన్నింగ్స్ తీసుకోవాలని 10 వ అత్యంత వృద్ధ ఆటగాడు (40y 223d) ',' పది వికెట్లు లో ఒక మ్యాచ్ (35y 39d) తీసుకోవాలని 23 వ అత్యంత వృద్ధ ఆటగాడు ',' (18) ',' 8 వ వేగవంతమైన 32 వ అత్యంత వృద్ధ ఆటగాడు ఒక ఐదు మైడెన్-వికెట్ల లో-ఒక-ఇన్నింగ్స్ (35y 11d) ',' 4 వ చాలా మ్యాచ్లో సాధించిన పరుగులు (308) ',' 8 వ అత్యధిక వికెట్లు తీసుకున్న స్టంప్ తీసుకోవాలని 50 వికెట్లు (9) ']</v>
      </c>
      <c r="E1989" s="2"/>
      <c r="F1989" s="2" t="str">
        <f>IFERROR(__xludf.DUMMYFUNCTION("IF(E1989&lt;&gt;"""", GOOGLETRANSLATE(E1989, ""en"", ""te""),"""")"),"")</f>
        <v/>
      </c>
      <c r="G1989" s="2"/>
      <c r="H1989" s="2" t="str">
        <f>IFERROR(__xludf.DUMMYFUNCTION("IF(G1989&lt;&gt;"""", GOOGLETRANSLATE(G1989, ""en"", ""te""),"""")"),"")</f>
        <v/>
      </c>
      <c r="I1989" s="3"/>
    </row>
    <row r="1990" customHeight="1" spans="1:9">
      <c r="A1990" s="2" t="s">
        <v>1275</v>
      </c>
      <c r="B1990" s="2" t="str">
        <f>IFERROR(__xludf.DUMMYFUNCTION("IF(A1990&lt;&gt;"""", GOOGLETRANSLATE(A1990, ""en"", ""te""),"""")"),"[ 'ఒక మ్యాచ్లో 3 వ ఉత్తమ బొమ్మలు (16)', 'ప్రవేశం (16) ఒక మ్యాచ్లో 1st బెస్ట్ ఫిగర్స్']")</f>
        <v>[ 'ఒక మ్యాచ్లో 3 వ ఉత్తమ బొమ్మలు (16)', 'ప్రవేశం (16) ఒక మ్యాచ్లో 1st బెస్ట్ ఫిగర్స్']</v>
      </c>
      <c r="C1990" s="2" t="s">
        <v>1276</v>
      </c>
      <c r="D1990" s="2" t="str">
        <f>IFERROR(__xludf.DUMMYFUNCTION("IF(C1990&lt;&gt;"""", GOOGLETRANSLATE(C1990, ""en"", ""te""),"""")"),"[ '43 వ ఉత్తమ ఇన్నింగ్స్ లో సంఖ్యలు (8/53)', 'ఒక మ్యాచ్లో 3 వ ఉత్తమ బొమ్మలు (16)', 'తొలి ఇన్నింగ్స్లో 1st బెస్ట్ ఫిగర్స్ (8)', '1 వ ఉత్తమ తొలి మ్యాచ్లో గణాంకాలు (16) ']")</f>
        <v>[ '43 వ ఉత్తమ ఇన్నింగ్స్ లో సంఖ్యలు (8/53)', 'ఒక మ్యాచ్లో 3 వ ఉత్తమ బొమ్మలు (16)', 'తొలి ఇన్నింగ్స్లో 1st బెస్ట్ ఫిగర్స్ (8)', '1 వ ఉత్తమ తొలి మ్యాచ్లో గణాంకాలు (16) ']</v>
      </c>
      <c r="E1990" s="2"/>
      <c r="F1990" s="2" t="str">
        <f>IFERROR(__xludf.DUMMYFUNCTION("IF(E1990&lt;&gt;"""", GOOGLETRANSLATE(E1990, ""en"", ""te""),"""")"),"")</f>
        <v/>
      </c>
      <c r="G1990" s="2"/>
      <c r="H1990" s="2" t="str">
        <f>IFERROR(__xludf.DUMMYFUNCTION("IF(G1990&lt;&gt;"""", GOOGLETRANSLATE(G1990, ""en"", ""te""),"""")"),"")</f>
        <v/>
      </c>
      <c r="I1990" s="3"/>
    </row>
    <row r="1991" customHeight="1" spans="1:9">
      <c r="A1991" s="2"/>
      <c r="B1991" s="2" t="str">
        <f>IFERROR(__xludf.DUMMYFUNCTION("IF(A1991&lt;&gt;"""", GOOGLETRANSLATE(A1991, ""en"", ""te""),"""")"),"")</f>
        <v/>
      </c>
      <c r="C1991" s="2"/>
      <c r="D1991" s="2" t="str">
        <f>IFERROR(__xludf.DUMMYFUNCTION("IF(C1991&lt;&gt;"""", GOOGLETRANSLATE(C1991, ""en"", ""te""),"""")"),"")</f>
        <v/>
      </c>
      <c r="E1991" s="2"/>
      <c r="F1991" s="2" t="str">
        <f>IFERROR(__xludf.DUMMYFUNCTION("IF(E1991&lt;&gt;"""", GOOGLETRANSLATE(E1991, ""en"", ""te""),"""")"),"")</f>
        <v/>
      </c>
      <c r="G1991" s="2"/>
      <c r="H1991" s="2" t="str">
        <f>IFERROR(__xludf.DUMMYFUNCTION("IF(G1991&lt;&gt;"""", GOOGLETRANSLATE(G1991, ""en"", ""te""),"""")"),"")</f>
        <v/>
      </c>
      <c r="I1991" s="3"/>
    </row>
    <row r="1992" customHeight="1" spans="1:9">
      <c r="A1992" s="2"/>
      <c r="B1992" s="2" t="str">
        <f>IFERROR(__xludf.DUMMYFUNCTION("IF(A1992&lt;&gt;"""", GOOGLETRANSLATE(A1992, ""en"", ""te""),"""")"),"")</f>
        <v/>
      </c>
      <c r="C1992" s="2"/>
      <c r="D1992" s="2" t="str">
        <f>IFERROR(__xludf.DUMMYFUNCTION("IF(C1992&lt;&gt;"""", GOOGLETRANSLATE(C1992, ""en"", ""te""),"""")"),"")</f>
        <v/>
      </c>
      <c r="E1992" s="2"/>
      <c r="F1992" s="2" t="str">
        <f>IFERROR(__xludf.DUMMYFUNCTION("IF(E1992&lt;&gt;"""", GOOGLETRANSLATE(E1992, ""en"", ""te""),"""")"),"")</f>
        <v/>
      </c>
      <c r="G1992" s="2"/>
      <c r="H1992" s="2" t="str">
        <f>IFERROR(__xludf.DUMMYFUNCTION("IF(G1992&lt;&gt;"""", GOOGLETRANSLATE(G1992, ""en"", ""te""),"""")"),"")</f>
        <v/>
      </c>
      <c r="I1992" s="3"/>
    </row>
    <row r="1993" customHeight="1" spans="1:9">
      <c r="A1993" s="2"/>
      <c r="B1993" s="2" t="str">
        <f>IFERROR(__xludf.DUMMYFUNCTION("IF(A1993&lt;&gt;"""", GOOGLETRANSLATE(A1993, ""en"", ""te""),"""")"),"")</f>
        <v/>
      </c>
      <c r="C1993" s="2"/>
      <c r="D1993" s="2" t="str">
        <f>IFERROR(__xludf.DUMMYFUNCTION("IF(C1993&lt;&gt;"""", GOOGLETRANSLATE(C1993, ""en"", ""te""),"""")"),"")</f>
        <v/>
      </c>
      <c r="E1993" s="2"/>
      <c r="F1993" s="2" t="str">
        <f>IFERROR(__xludf.DUMMYFUNCTION("IF(E1993&lt;&gt;"""", GOOGLETRANSLATE(E1993, ""en"", ""te""),"""")"),"")</f>
        <v/>
      </c>
      <c r="G1993" s="2"/>
      <c r="H1993" s="2" t="str">
        <f>IFERROR(__xludf.DUMMYFUNCTION("IF(G1993&lt;&gt;"""", GOOGLETRANSLATE(G1993, ""en"", ""te""),"""")"),"")</f>
        <v/>
      </c>
      <c r="I1993" s="3"/>
    </row>
    <row r="1994" customHeight="1" spans="1:9">
      <c r="A1994" s="2"/>
      <c r="B1994" s="2" t="str">
        <f>IFERROR(__xludf.DUMMYFUNCTION("IF(A1994&lt;&gt;"""", GOOGLETRANSLATE(A1994, ""en"", ""te""),"""")"),"")</f>
        <v/>
      </c>
      <c r="C1994" s="2" t="s">
        <v>1277</v>
      </c>
      <c r="D1994" s="2" t="str">
        <f>IFERROR(__xludf.DUMMYFUNCTION("IF(C1994&lt;&gt;"""", GOOGLETRANSLATE(C1994, ""en"", ""te""),"""")"),"[ '33 వ అరంగేట్రంలోనే మ్యాచ్లో బెస్ట్ ఫిగర్స్ (8)', '48 వ పురాతన దేశం ఆటగాళ్ళు (86y 146d)']")</f>
        <v>[ '33 వ అరంగేట్రంలోనే మ్యాచ్లో బెస్ట్ ఫిగర్స్ (8)', '48 వ పురాతన దేశం ఆటగాళ్ళు (86y 146d)']</v>
      </c>
      <c r="E1994" s="2"/>
      <c r="F1994" s="2" t="str">
        <f>IFERROR(__xludf.DUMMYFUNCTION("IF(E1994&lt;&gt;"""", GOOGLETRANSLATE(E1994, ""en"", ""te""),"""")"),"")</f>
        <v/>
      </c>
      <c r="G1994" s="2"/>
      <c r="H1994" s="2" t="str">
        <f>IFERROR(__xludf.DUMMYFUNCTION("IF(G1994&lt;&gt;"""", GOOGLETRANSLATE(G1994, ""en"", ""te""),"""")"),"")</f>
        <v/>
      </c>
      <c r="I1994" s="3"/>
    </row>
    <row r="1995" customHeight="1" spans="1:9">
      <c r="A1995" s="2" t="s">
        <v>1278</v>
      </c>
      <c r="B1995" s="2" t="str">
        <f>IFERROR(__xludf.DUMMYFUNCTION("IF(A1995&lt;&gt;"""", GOOGLETRANSLATE(A1995, ""en"", ""te""),"""")"),"[ 'వరుస (3) 6 వ అత్యంత బాతులు' '1 వ అత్యుత్తమ బౌలింగ్ ఇన్నింగ్స్ లో విశ్లేషించడం (1/0)',]")</f>
        <v>[ 'వరుస (3) 6 వ అత్యంత బాతులు' '1 వ అత్యుత్తమ బౌలింగ్ ఇన్నింగ్స్ లో విశ్లేషించడం (1/0)',]</v>
      </c>
      <c r="C1995" s="2" t="s">
        <v>1279</v>
      </c>
      <c r="D1995" s="2" t="str">
        <f>IFERROR(__xludf.DUMMYFUNCTION("IF(C1995&lt;&gt;"""", GOOGLETRANSLATE(C1995, ""en"", ""te""),"""")"),"[ 'వరుస ఇన్నింగ్స్లో 32 వ యాభైల్లో (5)', 'కెరీర్లో 37 వ అతి తక్కువ బాతులు (26.5)', '1 వ అత్యుత్తమ బౌలింగ్ ఇన్నింగ్స్ లో విశ్లేషించడం (1/0)' '38 వ అత్యంత ఇన్నింగ్స్ తొలి డక్ (33) ముందు', '50th చెత్త కెరీర్ బౌలింగ్ సరాసరి (48.22)', '36 వ చెత్త సమ్మె రేటు ఇ"&amp;"న్నింగ్స్ లో (348.0)']")</f>
        <v>[ 'వరుస ఇన్నింగ్స్లో 32 వ యాభైల్లో (5)', 'కెరీర్లో 37 వ అతి తక్కువ బాతులు (26.5)', '1 వ అత్యుత్తమ బౌలింగ్ ఇన్నింగ్స్ లో విశ్లేషించడం (1/0)' '38 వ అత్యంత ఇన్నింగ్స్ తొలి డక్ (33) ముందు', '50th చెత్త కెరీర్ బౌలింగ్ సరాసరి (48.22)', '36 వ చెత్త సమ్మె రేటు ఇన్నింగ్స్ లో (348.0)']</v>
      </c>
      <c r="E1995" s="2" t="s">
        <v>1280</v>
      </c>
      <c r="F1995" s="2" t="str">
        <f>IFERROR(__xludf.DUMMYFUNCTION("IF(E1995&lt;&gt;"""", GOOGLETRANSLATE(E1995, ""en"", ""te""),"""")"),"[ 'ఒక సిరీస్లో 6 వ అత్యంత బాతులు (3)', '47 వ చెత్త ఆర్థిక వ్యవస్థ ఇన్నింగ్స్లో రేటు (10.80)']")</f>
        <v>[ 'ఒక సిరీస్లో 6 వ అత్యంత బాతులు (3)', '47 వ చెత్త ఆర్థిక వ్యవస్థ ఇన్నింగ్స్లో రేటు (10.80)']</v>
      </c>
      <c r="G1995" s="2"/>
      <c r="H1995" s="2" t="str">
        <f>IFERROR(__xludf.DUMMYFUNCTION("IF(G1995&lt;&gt;"""", GOOGLETRANSLATE(G1995, ""en"", ""te""),"""")"),"")</f>
        <v/>
      </c>
      <c r="I1995" s="3"/>
    </row>
    <row r="1996" customHeight="1" spans="1:9">
      <c r="A1996" s="2"/>
      <c r="B1996" s="2" t="str">
        <f>IFERROR(__xludf.DUMMYFUNCTION("IF(A1996&lt;&gt;"""", GOOGLETRANSLATE(A1996, ""en"", ""te""),"""")"),"")</f>
        <v/>
      </c>
      <c r="C1996" s="2"/>
      <c r="D1996" s="2" t="str">
        <f>IFERROR(__xludf.DUMMYFUNCTION("IF(C1996&lt;&gt;"""", GOOGLETRANSLATE(C1996, ""en"", ""te""),"""")"),"")</f>
        <v/>
      </c>
      <c r="E1996" s="2"/>
      <c r="F1996" s="2" t="str">
        <f>IFERROR(__xludf.DUMMYFUNCTION("IF(E1996&lt;&gt;"""", GOOGLETRANSLATE(E1996, ""en"", ""te""),"""")"),"")</f>
        <v/>
      </c>
      <c r="G1996" s="2"/>
      <c r="H1996" s="2" t="str">
        <f>IFERROR(__xludf.DUMMYFUNCTION("IF(G1996&lt;&gt;"""", GOOGLETRANSLATE(G1996, ""en"", ""te""),"""")"),"")</f>
        <v/>
      </c>
      <c r="I1996" s="3"/>
    </row>
    <row r="1997" customHeight="1" spans="1:9">
      <c r="A1997" s="2"/>
      <c r="B1997" s="2" t="str">
        <f>IFERROR(__xludf.DUMMYFUNCTION("IF(A1997&lt;&gt;"""", GOOGLETRANSLATE(A1997, ""en"", ""te""),"""")"),"")</f>
        <v/>
      </c>
      <c r="C1997" s="2"/>
      <c r="D1997" s="2" t="str">
        <f>IFERROR(__xludf.DUMMYFUNCTION("IF(C1997&lt;&gt;"""", GOOGLETRANSLATE(C1997, ""en"", ""te""),"""")"),"")</f>
        <v/>
      </c>
      <c r="E1997" s="2"/>
      <c r="F1997" s="2" t="str">
        <f>IFERROR(__xludf.DUMMYFUNCTION("IF(E1997&lt;&gt;"""", GOOGLETRANSLATE(E1997, ""en"", ""te""),"""")"),"")</f>
        <v/>
      </c>
      <c r="G1997" s="2"/>
      <c r="H1997" s="2" t="str">
        <f>IFERROR(__xludf.DUMMYFUNCTION("IF(G1997&lt;&gt;"""", GOOGLETRANSLATE(G1997, ""en"", ""te""),"""")"),"")</f>
        <v/>
      </c>
      <c r="I1997" s="3"/>
    </row>
    <row r="1998" customHeight="1" spans="1:9">
      <c r="A1998" s="2" t="s">
        <v>296</v>
      </c>
      <c r="B1998" s="2" t="str">
        <f>IFERROR(__xludf.DUMMYFUNCTION("IF(A1998&lt;&gt;"""", GOOGLETRANSLATE(A1998, ""en"", ""te""),"""")"),"[ 'ఒక మ్యాచ్లో ప్రతి ఇన్నింగ్స్లో హండ్రెడ్']")</f>
        <v>[ 'ఒక మ్యాచ్లో ప్రతి ఇన్నింగ్స్లో హండ్రెడ్']</v>
      </c>
      <c r="C1998" s="2"/>
      <c r="D1998" s="2" t="str">
        <f>IFERROR(__xludf.DUMMYFUNCTION("IF(C1998&lt;&gt;"""", GOOGLETRANSLATE(C1998, ""en"", ""te""),"""")"),"")</f>
        <v/>
      </c>
      <c r="E1998" s="2"/>
      <c r="F1998" s="2" t="str">
        <f>IFERROR(__xludf.DUMMYFUNCTION("IF(E1998&lt;&gt;"""", GOOGLETRANSLATE(E1998, ""en"", ""te""),"""")"),"")</f>
        <v/>
      </c>
      <c r="G1998" s="2"/>
      <c r="H1998" s="2" t="str">
        <f>IFERROR(__xludf.DUMMYFUNCTION("IF(G1998&lt;&gt;"""", GOOGLETRANSLATE(G1998, ""en"", ""te""),"""")"),"")</f>
        <v/>
      </c>
      <c r="I1998" s="3"/>
    </row>
    <row r="1999" customHeight="1" spans="1:9">
      <c r="A1999" s="2" t="s">
        <v>1281</v>
      </c>
      <c r="B1999" s="2" t="str">
        <f>IFERROR(__xludf.DUMMYFUNCTION("IF(A1999&lt;&gt;"""", GOOGLETRANSLATE(A1999, ""en"", ""te""),"""")"),"[ '1st అత్యధిక వికెట్లు తీసిన హిట్ వికెట్ (4)']")</f>
        <v>[ '1st అత్యధిక వికెట్లు తీసిన హిట్ వికెట్ (4)']</v>
      </c>
      <c r="C1999" s="2" t="s">
        <v>1282</v>
      </c>
      <c r="D1999" s="2" t="str">
        <f>IFERROR(__xludf.DUMMYFUNCTION("IF(C1999&lt;&gt;"""", GOOGLETRANSLATE(C1999, ""en"", ""te""),"""")"),"[ '50 వ కెరీర్ లో అత్యధిక వికెట్లు (246)', '15 క్యాలెండర్ సంవత్సరంలో అత్యధిక వికెట్లు (71)', '32 వ అత్యంత ఐదు-వికెట్ల లో-ఒక-ఇన్నింగ్స్ కెరీర్లో (16)', '29 వ అత్యధిక ten- వికెట్లు లో ఒక మ్యాచ్ ఒక వృత్తిలో (3) ',' ఐదు వికెట్ల లో-ఒక-ఇన్నింగ్స్ (19y 363d) ','"&amp;" 40 వ పిన్న ఆటగాడు పది వికెట్లు ఇన్ ఒక- తీసుకోవాలని తీసుకోవాలని 33 వ పిన్న ఆటగాడు మ్యాచ్ (23y 100d) ',' 33 వ కెరీర్ లో బౌల్డ్ చాలా బంతుల్లో (17681) ',' 47 వ కెరీర్ (7328) లో సాధించిన అత్యధిక పరుగులు ',' 26th అత్యధిక వికెట్లు బౌల్డ్ తీసుకోకూడదు (69) ',' 39"&amp;" వ అత్యధిక వికెట్లు ఒక పట్టుకుంటే తీసుకున్న వికెట్కీపర్గా (57) ',' 1 వ అత్యధిక వికెట్లు తీసిన హిట్ వికెట్ (4) ',' 37 వ 100 వికెట్లు వేగంగా (23) ',' 18 వ 150 వికెట్లు వేగంగా (34) ',' 200 వికెట్లు వేగంగా 21 (46) ' ]")</f>
        <v>[ '50 వ కెరీర్ లో అత్యధిక వికెట్లు (246)', '15 క్యాలెండర్ సంవత్సరంలో అత్యధిక వికెట్లు (71)', '32 వ అత్యంత ఐదు-వికెట్ల లో-ఒక-ఇన్నింగ్స్ కెరీర్లో (16)', '29 వ అత్యధిక ten- వికెట్లు లో ఒక మ్యాచ్ ఒక వృత్తిలో (3) ',' ఐదు వికెట్ల లో-ఒక-ఇన్నింగ్స్ (19y 363d) ',' 40 వ పిన్న ఆటగాడు పది వికెట్లు ఇన్ ఒక- తీసుకోవాలని తీసుకోవాలని 33 వ పిన్న ఆటగాడు మ్యాచ్ (23y 100d) ',' 33 వ కెరీర్ లో బౌల్డ్ చాలా బంతుల్లో (17681) ',' 47 వ కెరీర్ (7328) లో సాధించిన అత్యధిక పరుగులు ',' 26th అత్యధిక వికెట్లు బౌల్డ్ తీసుకోకూడదు (69) ',' 39 వ అత్యధిక వికెట్లు ఒక పట్టుకుంటే తీసుకున్న వికెట్కీపర్గా (57) ',' 1 వ అత్యధిక వికెట్లు తీసిన హిట్ వికెట్ (4) ',' 37 వ 100 వికెట్లు వేగంగా (23) ',' 18 వ 150 వికెట్లు వేగంగా (34) ',' 200 వికెట్లు వేగంగా 21 (46) ' ]</v>
      </c>
      <c r="E1999" s="2" t="s">
        <v>1283</v>
      </c>
      <c r="F1999" s="2" t="str">
        <f>IFERROR(__xludf.DUMMYFUNCTION("IF(E1999&lt;&gt;"""", GOOGLETRANSLATE(E1999, ""en"", ""te""),"""")"),"[ '25 వ ఉత్తమ కెరీర్ (11.00) (అర్హత లేకుండా) సగటు బౌలింగ్', '23 వ పురాతన దేశం ఆటగాళ్ళు (79y 342d)']")</f>
        <v>[ '25 వ ఉత్తమ కెరీర్ (11.00) (అర్హత లేకుండా) సగటు బౌలింగ్', '23 వ పురాతన దేశం ఆటగాళ్ళు (79y 342d)']</v>
      </c>
      <c r="G1999" s="2"/>
      <c r="H1999" s="2" t="str">
        <f>IFERROR(__xludf.DUMMYFUNCTION("IF(G1999&lt;&gt;"""", GOOGLETRANSLATE(G1999, ""en"", ""te""),"""")"),"")</f>
        <v/>
      </c>
      <c r="I1999" s="3"/>
    </row>
    <row r="2000" customHeight="1" spans="1:9">
      <c r="A2000" s="2" t="s">
        <v>1284</v>
      </c>
      <c r="B2000" s="2" t="str">
        <f>IFERROR(__xludf.DUMMYFUNCTION("IF(A2000&lt;&gt;"""", GOOGLETRANSLATE(A2000, ""en"", ""te""),"""")"),"[ 'ఇన్నింగ్స్ లో 5 వ అత్యధిక పరుగులు (బ్యాటింగ్ స్థానంలో ప్రకారం) (30 *)', '1 వ అత్యుత్తమ బౌలింగ్ ఇన్నింగ్స్ (3/0) విశ్లేషణలలో' 'ఇన్నింగ్స్ లో 4 వ అత్యధిక క్యాచ్లు (3)']")</f>
        <v>[ 'ఇన్నింగ్స్ లో 5 వ అత్యధిక పరుగులు (బ్యాటింగ్ స్థానంలో ప్రకారం) (30 *)', '1 వ అత్యుత్తమ బౌలింగ్ ఇన్నింగ్స్ (3/0) విశ్లేషణలలో' 'ఇన్నింగ్స్ లో 4 వ అత్యధిక క్యాచ్లు (3)']</v>
      </c>
      <c r="C2000" s="2"/>
      <c r="D2000" s="2" t="str">
        <f>IFERROR(__xludf.DUMMYFUNCTION("IF(C2000&lt;&gt;"""", GOOGLETRANSLATE(C2000, ""en"", ""te""),"""")"),"")</f>
        <v/>
      </c>
      <c r="E2000" s="2" t="s">
        <v>1285</v>
      </c>
      <c r="F2000" s="2" t="str">
        <f>IFERROR(__xludf.DUMMYFUNCTION("IF(E2000&lt;&gt;"""", GOOGLETRANSLATE(E2000, ""en"", ""te""),"""")"),"[ 'ఇన్నింగ్స్ లో 5 వ అత్యధిక పరుగులు (బ్యాటింగ్ స్థానంలో ప్రకారం) (30 *)', '46 వ ఒక క్యాలెండర్ సంవత్సరంలో అత్యధిక వికెట్లు (21)', '1 వ అత్యుత్తమ బౌలింగ్ ఇన్నింగ్స్ లో విశ్లేషించడం (3/0)', ​​'27 వ ఉత్తమ కెరీర్ బౌలింగ్ సరాసరి (18.47) ',' 36 వ ఉత్తమ కెరీర్ ఆ"&amp;"ర్థిక రేటు (2.81) ',' ఇన్నింగ్స్ లో 21 వ ఉత్తమ సమ్మె రేటు (7.5) ',' 38 వ అత్యంత నాలుగు వికెట్లు-ఇన్-ఒక-ఇన్నింగ్స్ కెరీర్లో (3) ',' 24 వ అత్యధిక వికెట్లు ఇన్నింగ్స్ లో క్యాచ్ తీసుకున్న మరియు వృత్తి లో బౌల్డ్ (6) ',' 42 వ అత్యధిక క్యాచ్లు (29) ',' 4 వ అత్యధ"&amp;"ిక క్యాచ్లు (3) ']")</f>
        <v>[ 'ఇన్నింగ్స్ లో 5 వ అత్యధిక పరుగులు (బ్యాటింగ్ స్థానంలో ప్రకారం) (30 *)', '46 వ ఒక క్యాలెండర్ సంవత్సరంలో అత్యధిక వికెట్లు (21)', '1 వ అత్యుత్తమ బౌలింగ్ ఇన్నింగ్స్ లో విశ్లేషించడం (3/0)', ​​'27 వ ఉత్తమ కెరీర్ బౌలింగ్ సరాసరి (18.47) ',' 36 వ ఉత్తమ కెరీర్ ఆర్థిక రేటు (2.81) ',' ఇన్నింగ్స్ లో 21 వ ఉత్తమ సమ్మె రేటు (7.5) ',' 38 వ అత్యంత నాలుగు వికెట్లు-ఇన్-ఒక-ఇన్నింగ్స్ కెరీర్లో (3) ',' 24 వ అత్యధిక వికెట్లు ఇన్నింగ్స్ లో క్యాచ్ తీసుకున్న మరియు వృత్తి లో బౌల్డ్ (6) ',' 42 వ అత్యధిక క్యాచ్లు (29) ',' 4 వ అత్యధిక క్యాచ్లు (3) ']</v>
      </c>
      <c r="G2000" s="2"/>
      <c r="H2000" s="2" t="str">
        <f>IFERROR(__xludf.DUMMYFUNCTION("IF(G2000&lt;&gt;"""", GOOGLETRANSLATE(G2000, ""en"", ""te""),"""")"),"")</f>
        <v/>
      </c>
      <c r="I2000" s="3"/>
    </row>
    <row r="2001" customHeight="1" spans="1:9">
      <c r="A2001" s="2" t="s">
        <v>694</v>
      </c>
      <c r="B2001" s="2" t="str">
        <f>IFERROR(__xludf.DUMMYFUNCTION("IF(A2001&lt;&gt;"""", GOOGLETRANSLATE(A2001, ""en"", ""te""),"""")"),"[ '1st అత్యుత్తమ ఇన్నింగ్స్ (1/0) విశ్లేషణలలో బౌలింగ్']")</f>
        <v>[ '1st అత్యుత్తమ ఇన్నింగ్స్ (1/0) విశ్లేషణలలో బౌలింగ్']</v>
      </c>
      <c r="C2001" s="2" t="s">
        <v>1286</v>
      </c>
      <c r="D2001" s="2" t="str">
        <f>IFERROR(__xludf.DUMMYFUNCTION("IF(C2001&lt;&gt;"""", GOOGLETRANSLATE(C2001, ""en"", ""te""),"""")"),"[ '1st అత్యుత్తమ బౌలింగ్ ఇన్నింగ్స్ లో విశ్లేషించడం (1/0)', ​​'25 వ అత్యధిక వికెట్లు తీసుకున్న స్టంప్ (10)']")</f>
        <v>[ '1st అత్యుత్తమ బౌలింగ్ ఇన్నింగ్స్ లో విశ్లేషించడం (1/0)', ​​'25 వ అత్యధిక వికెట్లు తీసుకున్న స్టంప్ (10)']</v>
      </c>
      <c r="E2001" s="2"/>
      <c r="F2001" s="2" t="str">
        <f>IFERROR(__xludf.DUMMYFUNCTION("IF(E2001&lt;&gt;"""", GOOGLETRANSLATE(E2001, ""en"", ""te""),"""")"),"")</f>
        <v/>
      </c>
      <c r="G2001" s="2"/>
      <c r="H2001" s="2" t="str">
        <f>IFERROR(__xludf.DUMMYFUNCTION("IF(G2001&lt;&gt;"""", GOOGLETRANSLATE(G2001, ""en"", ""te""),"""")"),"")</f>
        <v/>
      </c>
      <c r="I2001" s="3"/>
    </row>
    <row r="2002" customHeight="1" spans="1:9">
      <c r="A2002" s="2"/>
      <c r="B2002" s="2" t="str">
        <f>IFERROR(__xludf.DUMMYFUNCTION("IF(A2002&lt;&gt;"""", GOOGLETRANSLATE(A2002, ""en"", ""te""),"""")"),"")</f>
        <v/>
      </c>
      <c r="C2002" s="2" t="s">
        <v>1287</v>
      </c>
      <c r="D2002" s="2" t="str">
        <f>IFERROR(__xludf.DUMMYFUNCTION("IF(C2002&lt;&gt;"""", GOOGLETRANSLATE(C2002, ""en"", ""te""),"""")"),"[ '43 వ షార్టేస్ట్ క్రీడాకారులు (34y 330d) నివసించారు']")</f>
        <v>[ '43 వ షార్టేస్ట్ క్రీడాకారులు (34y 330d) నివసించారు']</v>
      </c>
      <c r="E2002" s="2"/>
      <c r="F2002" s="2" t="str">
        <f>IFERROR(__xludf.DUMMYFUNCTION("IF(E2002&lt;&gt;"""", GOOGLETRANSLATE(E2002, ""en"", ""te""),"""")"),"")</f>
        <v/>
      </c>
      <c r="G2002" s="2"/>
      <c r="H2002" s="2" t="str">
        <f>IFERROR(__xludf.DUMMYFUNCTION("IF(G2002&lt;&gt;"""", GOOGLETRANSLATE(G2002, ""en"", ""te""),"""")"),"")</f>
        <v/>
      </c>
      <c r="I2002" s="3"/>
    </row>
    <row r="2003" customHeight="1" spans="1:9">
      <c r="A2003" s="2"/>
      <c r="B2003" s="2" t="str">
        <f>IFERROR(__xludf.DUMMYFUNCTION("IF(A2003&lt;&gt;"""", GOOGLETRANSLATE(A2003, ""en"", ""te""),"""")"),"")</f>
        <v/>
      </c>
      <c r="C2003" s="2"/>
      <c r="D2003" s="2" t="str">
        <f>IFERROR(__xludf.DUMMYFUNCTION("IF(C2003&lt;&gt;"""", GOOGLETRANSLATE(C2003, ""en"", ""te""),"""")"),"")</f>
        <v/>
      </c>
      <c r="E2003" s="2" t="s">
        <v>1288</v>
      </c>
      <c r="F2003" s="2" t="str">
        <f>IFERROR(__xludf.DUMMYFUNCTION("IF(E2003&lt;&gt;"""", GOOGLETRANSLATE(E2003, ""en"", ""te""),"""")"),"[ '50 వ ఉత్తమ కెరీర్ బౌలింగ్ సరాసరి (24.37)', '27 వ ఉత్తమ కెరీర్ సమ్మె రేటు (30.5)', 'ఇన్నింగ్స్ లో 41 వ ఉత్తమ సమ్మె రేటు (7.0)', '43 వ అత్యంత ఐదు-వికెట్ల లో-ఒక-ఇన్నింగ్స్ లో వృత్తి (2) ',' 13 వ వరుస నాలుగు వికెట్లు-ఇన్-ఒక-ఇన్నింగ్స్ (2) ',' 17 వ 50 వికెట"&amp;"్లు (27) వేగంగా ']")</f>
        <v>[ '50 వ ఉత్తమ కెరీర్ బౌలింగ్ సరాసరి (24.37)', '27 వ ఉత్తమ కెరీర్ సమ్మె రేటు (30.5)', 'ఇన్నింగ్స్ లో 41 వ ఉత్తమ సమ్మె రేటు (7.0)', '43 వ అత్యంత ఐదు-వికెట్ల లో-ఒక-ఇన్నింగ్స్ లో వృత్తి (2) ',' 13 వ వరుస నాలుగు వికెట్లు-ఇన్-ఒక-ఇన్నింగ్స్ (2) ',' 17 వ 50 వికెట్లు (27) వేగంగా ']</v>
      </c>
      <c r="G2003" s="2"/>
      <c r="H2003" s="2" t="str">
        <f>IFERROR(__xludf.DUMMYFUNCTION("IF(G2003&lt;&gt;"""", GOOGLETRANSLATE(G2003, ""en"", ""te""),"""")"),"")</f>
        <v/>
      </c>
      <c r="I2003" s="3"/>
    </row>
    <row r="2004" customHeight="1" spans="1:9">
      <c r="A2004" s="2"/>
      <c r="B2004" s="2" t="str">
        <f>IFERROR(__xludf.DUMMYFUNCTION("IF(A2004&lt;&gt;"""", GOOGLETRANSLATE(A2004, ""en"", ""te""),"""")"),"")</f>
        <v/>
      </c>
      <c r="C2004" s="2" t="s">
        <v>1289</v>
      </c>
      <c r="D2004" s="2" t="str">
        <f>IFERROR(__xludf.DUMMYFUNCTION("IF(C2004&lt;&gt;"""", GOOGLETRANSLATE(C2004, ""en"", ""te""),"""")"),"[ 'ప్రదర్శనల మధ్య 35 వ లాంగెస్ట్ వ్యవధిలో (9y 104d)']")</f>
        <v>[ 'ప్రదర్శనల మధ్య 35 వ లాంగెస్ట్ వ్యవధిలో (9y 104d)']</v>
      </c>
      <c r="E2004" s="2"/>
      <c r="F2004" s="2" t="str">
        <f>IFERROR(__xludf.DUMMYFUNCTION("IF(E2004&lt;&gt;"""", GOOGLETRANSLATE(E2004, ""en"", ""te""),"""")"),"")</f>
        <v/>
      </c>
      <c r="G2004" s="2"/>
      <c r="H2004" s="2" t="str">
        <f>IFERROR(__xludf.DUMMYFUNCTION("IF(G2004&lt;&gt;"""", GOOGLETRANSLATE(G2004, ""en"", ""te""),"""")"),"")</f>
        <v/>
      </c>
      <c r="I2004" s="3"/>
    </row>
    <row r="2005" customHeight="1" spans="1:9">
      <c r="A2005" s="2" t="s">
        <v>1290</v>
      </c>
      <c r="B2005" s="2" t="str">
        <f>IFERROR(__xludf.DUMMYFUNCTION("IF(A2005&lt;&gt;"""", GOOGLETRANSLATE(A2005, ""en"", ""te""),"""")"),"[ '1st పరాజయం వైపు ఒక మ్యాచ్ (117 *) లో అత్యధిక పరుగులు', '2 వ అత్యధిక కెరీర్ బ్యాటింగ్ సగటు (36.13)', '10 వ కెరీర్ లో చాలా అర్ధ (12)', 'ఒక ఇన్నింగ్స్లో పరుగుల 5 వ అత్యధిక శాతం (65.73) ',' 5 వ 1000 వేగవంతమైన పరుగులు (39) ',' 3 వ ఇన్నింగ్స్ లో అత్యధిక క్"&amp;"యాచ్లు (3) మూడో వికెట్కు (115) కోసం ',' 8 వ అత్యధిక భాగస్వామ్యం ']")</f>
        <v>[ '1st పరాజయం వైపు ఒక మ్యాచ్ (117 *) లో అత్యధిక పరుగులు', '2 వ అత్యధిక కెరీర్ బ్యాటింగ్ సగటు (36.13)', '10 వ కెరీర్ లో చాలా అర్ధ (12)', 'ఒక ఇన్నింగ్స్లో పరుగుల 5 వ అత్యధిక శాతం (65.73) ',' 5 వ 1000 వేగవంతమైన పరుగులు (39) ',' 3 వ ఇన్నింగ్స్ లో అత్యధిక క్యాచ్లు (3) మూడో వికెట్కు (115) కోసం ',' 8 వ అత్యధిక భాగస్వామ్యం ']</v>
      </c>
      <c r="C2005" s="2"/>
      <c r="D2005" s="2" t="str">
        <f>IFERROR(__xludf.DUMMYFUNCTION("IF(C2005&lt;&gt;"""", GOOGLETRANSLATE(C2005, ""en"", ""te""),"""")"),"")</f>
        <v/>
      </c>
      <c r="E2005" s="2" t="s">
        <v>1291</v>
      </c>
      <c r="F2005" s="2" t="str">
        <f>IFERROR(__xludf.DUMMYFUNCTION("IF(E2005&lt;&gt;"""", GOOGLETRANSLATE(E2005, ""en"", ""te""),"""")"),"[ '21 వ పరాజయం వైపు ఒక మ్యాచ్లో అత్యధిక పరుగులు (100)', '25 వ అత్యధిక కెరీర్ బ్యాటింగ్ సగటు (39.00)', '26th తొలి మ్యాచ్లో అత్యధిక పరుగులు (53)', '23 వ పిన్న ఆటగాడు వంద (23y స్కోర్ 43D) ',' వరుస ఇన్నింగ్స్లో 12 వ యాభైల్లో (కెరీర్ 4) ',' 46 వ అతి తక్కువ బ"&amp;"ాతులు (18.5) ',' మొదటి వికెట్కు 21 అత్యధిక భాగస్వామ్యం (171) ',' ఏడవ వికెట్కు 37 వ అత్యధిక భాగస్వామ్యం (60 * ) ']")</f>
        <v>[ '21 వ పరాజయం వైపు ఒక మ్యాచ్లో అత్యధిక పరుగులు (100)', '25 వ అత్యధిక కెరీర్ బ్యాటింగ్ సగటు (39.00)', '26th తొలి మ్యాచ్లో అత్యధిక పరుగులు (53)', '23 వ పిన్న ఆటగాడు వంద (23y స్కోర్ 43D) ',' వరుస ఇన్నింగ్స్లో 12 వ యాభైల్లో (కెరీర్ 4) ',' 46 వ అతి తక్కువ బాతులు (18.5) ',' మొదటి వికెట్కు 21 అత్యధిక భాగస్వామ్యం (171) ',' ఏడవ వికెట్కు 37 వ అత్యధిక భాగస్వామ్యం (60 * ) ']</v>
      </c>
      <c r="G2005" s="2" t="s">
        <v>1292</v>
      </c>
      <c r="H2005" s="2" t="str">
        <f>IFERROR(__xludf.DUMMYFUNCTION("IF(G2005&lt;&gt;"""", GOOGLETRANSLATE(G2005, ""en"", ""te""),"""")"),"[ '21 వ కెరీర్ లో అత్యధిక పరుగులు (1554)', '7 వ ఇన్నింగ్స్ లో అత్యధిక పరుగులు (117 *)', '11 వ ఒక క్యాలెండర్ సంవత్సరంలో అత్యధిక పరుగులు (504)', '5 వ ఇన్నింగ్స్ లో అత్యధిక పరుగులు (బ్యాటింగ్ స్థానంలో ద్వారా) (117 *) ',' 1 వ పరాజయం వైపు (117 *) ఒక మ్యాచ్లో "&amp;"అత్యధిక పరుగులు ',' 3 వ అత్యంత ఒకే మైదానంలో పరుగులు (315) ',' 2 వ అత్యధిక కెరీర్ బ్యాటింగ్ సగటు (36.13) ',' 10 వ అత్యంత పరుగులు కెరీర్లో అర్ధ (12) ',' 28th చాలా ఇన్నింగ్స్ తొలి డక్ ముందు (16) ',' ఒక డక్ లేకుండా 29 వరుస ఇన్నింగ్స్ కెరీర్లో (33) ',' 34 వ అ"&amp;"తి తక్కువ బాతులు (18.33) ',' 5 వ అత్యధిక శాతం ఒక ఇన్నింగ్స్లో కెరీర్లో (65.73) ',' 5 వ 1000 వేగవంతమైన పరుగులు (39) ',' 30 వ అత్యధిక క్యాచ్లు లో (24) ',' ఇన్నింగ్స్ లో 3 వ అత్యధిక క్యాచ్లు (3) ',' 26th అత్యధిక ఏ వికెట్కు భాగస్వామ్యాలు (134) ',' రెండవ వికె"&amp;"ట్కు 8 వ అత్యధిక భాగస్వామ్యం (134) ',' మూడో వికెట్కు 8 వ అత్యధిక భాగస్వామ్యం (115) ',' ఒక జట్టుకు 36 వ వరుస మ్యాచ్లు (39 *) ']")</f>
        <v>[ '21 వ కెరీర్ లో అత్యధిక పరుగులు (1554)', '7 వ ఇన్నింగ్స్ లో అత్యధిక పరుగులు (117 *)', '11 వ ఒక క్యాలెండర్ సంవత్సరంలో అత్యధిక పరుగులు (504)', '5 వ ఇన్నింగ్స్ లో అత్యధిక పరుగులు (బ్యాటింగ్ స్థానంలో ద్వారా) (117 *) ',' 1 వ పరాజయం వైపు (117 *) ఒక మ్యాచ్లో అత్యధిక పరుగులు ',' 3 వ అత్యంత ఒకే మైదానంలో పరుగులు (315) ',' 2 వ అత్యధిక కెరీర్ బ్యాటింగ్ సగటు (36.13) ',' 10 వ అత్యంత పరుగులు కెరీర్లో అర్ధ (12) ',' 28th చాలా ఇన్నింగ్స్ తొలి డక్ ముందు (16) ',' ఒక డక్ లేకుండా 29 వరుస ఇన్నింగ్స్ కెరీర్లో (33) ',' 34 వ అతి తక్కువ బాతులు (18.33) ',' 5 వ అత్యధిక శాతం ఒక ఇన్నింగ్స్లో కెరీర్లో (65.73) ',' 5 వ 1000 వేగవంతమైన పరుగులు (39) ',' 30 వ అత్యధిక క్యాచ్లు లో (24) ',' ఇన్నింగ్స్ లో 3 వ అత్యధిక క్యాచ్లు (3) ',' 26th అత్యధిక ఏ వికెట్కు భాగస్వామ్యాలు (134) ',' రెండవ వికెట్కు 8 వ అత్యధిక భాగస్వామ్యం (134) ',' మూడో వికెట్కు 8 వ అత్యధిక భాగస్వామ్యం (115) ',' ఒక జట్టుకు 36 వ వరుస మ్యాచ్లు (39 *) ']</v>
      </c>
      <c r="I2005" s="3"/>
    </row>
    <row r="2006" customHeight="1" spans="1:9">
      <c r="A2006" s="2"/>
      <c r="B2006" s="2" t="str">
        <f>IFERROR(__xludf.DUMMYFUNCTION("IF(A2006&lt;&gt;"""", GOOGLETRANSLATE(A2006, ""en"", ""te""),"""")"),"")</f>
        <v/>
      </c>
      <c r="C2006" s="2"/>
      <c r="D2006" s="2" t="str">
        <f>IFERROR(__xludf.DUMMYFUNCTION("IF(C2006&lt;&gt;"""", GOOGLETRANSLATE(C2006, ""en"", ""te""),"""")"),"")</f>
        <v/>
      </c>
      <c r="E2006" s="2"/>
      <c r="F2006" s="2" t="str">
        <f>IFERROR(__xludf.DUMMYFUNCTION("IF(E2006&lt;&gt;"""", GOOGLETRANSLATE(E2006, ""en"", ""te""),"""")"),"")</f>
        <v/>
      </c>
      <c r="G2006" s="2"/>
      <c r="H2006" s="2" t="str">
        <f>IFERROR(__xludf.DUMMYFUNCTION("IF(G2006&lt;&gt;"""", GOOGLETRANSLATE(G2006, ""en"", ""te""),"""")"),"")</f>
        <v/>
      </c>
      <c r="I2006" s="3"/>
    </row>
    <row r="2007" customHeight="1" spans="1:9">
      <c r="A2007" s="2"/>
      <c r="B2007" s="2" t="str">
        <f>IFERROR(__xludf.DUMMYFUNCTION("IF(A2007&lt;&gt;"""", GOOGLETRANSLATE(A2007, ""en"", ""te""),"""")"),"")</f>
        <v/>
      </c>
      <c r="C2007" s="2"/>
      <c r="D2007" s="2" t="str">
        <f>IFERROR(__xludf.DUMMYFUNCTION("IF(C2007&lt;&gt;"""", GOOGLETRANSLATE(C2007, ""en"", ""te""),"""")"),"")</f>
        <v/>
      </c>
      <c r="E2007" s="2"/>
      <c r="F2007" s="2" t="str">
        <f>IFERROR(__xludf.DUMMYFUNCTION("IF(E2007&lt;&gt;"""", GOOGLETRANSLATE(E2007, ""en"", ""te""),"""")"),"")</f>
        <v/>
      </c>
      <c r="G2007" s="2"/>
      <c r="H2007" s="2" t="str">
        <f>IFERROR(__xludf.DUMMYFUNCTION("IF(G2007&lt;&gt;"""", GOOGLETRANSLATE(G2007, ""en"", ""te""),"""")"),"")</f>
        <v/>
      </c>
      <c r="I2007" s="3"/>
    </row>
    <row r="2008" customHeight="1" spans="1:9">
      <c r="A2008" s="2" t="s">
        <v>1293</v>
      </c>
      <c r="B2008" s="2" t="str">
        <f>IFERROR(__xludf.DUMMYFUNCTION("IF(A2008&lt;&gt;"""", GOOGLETRANSLATE(A2008, ""en"", ""te""),"""")"),"[ '3 వ చెత్త ఆర్థిక వ్యవస్థ ఇన్నింగ్స్లో రేటు (8.27)']")</f>
        <v>[ '3 వ చెత్త ఆర్థిక వ్యవస్థ ఇన్నింగ్స్లో రేటు (8.27)']</v>
      </c>
      <c r="C2008" s="2" t="s">
        <v>1294</v>
      </c>
      <c r="D2008" s="2" t="str">
        <f>IFERROR(__xludf.DUMMYFUNCTION("IF(C2008&lt;&gt;"""", GOOGLETRANSLATE(C2008, ""en"", ""te""),"""")"),"[ '3 వ చెత్త ఆర్థిక వ్యవస్థ ఇన్నింగ్స్లో రేటు (8.27)', 'తొలి 49 వ ఓల్డెస్ట్ క్రీడాకారులు (36y 359d)']")</f>
        <v>[ '3 వ చెత్త ఆర్థిక వ్యవస్థ ఇన్నింగ్స్లో రేటు (8.27)', 'తొలి 49 వ ఓల్డెస్ట్ క్రీడాకారులు (36y 359d)']</v>
      </c>
      <c r="E2008" s="2"/>
      <c r="F2008" s="2" t="str">
        <f>IFERROR(__xludf.DUMMYFUNCTION("IF(E2008&lt;&gt;"""", GOOGLETRANSLATE(E2008, ""en"", ""te""),"""")"),"")</f>
        <v/>
      </c>
      <c r="G2008" s="2"/>
      <c r="H2008" s="2" t="str">
        <f>IFERROR(__xludf.DUMMYFUNCTION("IF(G2008&lt;&gt;"""", GOOGLETRANSLATE(G2008, ""en"", ""te""),"""")"),"")</f>
        <v/>
      </c>
      <c r="I2008" s="3"/>
    </row>
    <row r="2009" customHeight="1" spans="1:9">
      <c r="A2009" s="2"/>
      <c r="B2009" s="2" t="str">
        <f>IFERROR(__xludf.DUMMYFUNCTION("IF(A2009&lt;&gt;"""", GOOGLETRANSLATE(A2009, ""en"", ""te""),"""")"),"")</f>
        <v/>
      </c>
      <c r="C2009" s="2"/>
      <c r="D2009" s="2" t="str">
        <f>IFERROR(__xludf.DUMMYFUNCTION("IF(C2009&lt;&gt;"""", GOOGLETRANSLATE(C2009, ""en"", ""te""),"""")"),"")</f>
        <v/>
      </c>
      <c r="E2009" s="2"/>
      <c r="F2009" s="2" t="str">
        <f>IFERROR(__xludf.DUMMYFUNCTION("IF(E2009&lt;&gt;"""", GOOGLETRANSLATE(E2009, ""en"", ""te""),"""")"),"")</f>
        <v/>
      </c>
      <c r="G2009" s="2"/>
      <c r="H2009" s="2" t="str">
        <f>IFERROR(__xludf.DUMMYFUNCTION("IF(G2009&lt;&gt;"""", GOOGLETRANSLATE(G2009, ""en"", ""te""),"""")"),"")</f>
        <v/>
      </c>
      <c r="I2009" s="3"/>
    </row>
    <row r="2010" customHeight="1" spans="1:9">
      <c r="A2010" s="2"/>
      <c r="B2010" s="2" t="str">
        <f>IFERROR(__xludf.DUMMYFUNCTION("IF(A2010&lt;&gt;"""", GOOGLETRANSLATE(A2010, ""en"", ""te""),"""")"),"")</f>
        <v/>
      </c>
      <c r="C2010" s="2"/>
      <c r="D2010" s="2" t="str">
        <f>IFERROR(__xludf.DUMMYFUNCTION("IF(C2010&lt;&gt;"""", GOOGLETRANSLATE(C2010, ""en"", ""te""),"""")"),"")</f>
        <v/>
      </c>
      <c r="E2010" s="2"/>
      <c r="F2010" s="2" t="str">
        <f>IFERROR(__xludf.DUMMYFUNCTION("IF(E2010&lt;&gt;"""", GOOGLETRANSLATE(E2010, ""en"", ""te""),"""")"),"")</f>
        <v/>
      </c>
      <c r="G2010" s="2"/>
      <c r="H2010" s="2" t="str">
        <f>IFERROR(__xludf.DUMMYFUNCTION("IF(G2010&lt;&gt;"""", GOOGLETRANSLATE(G2010, ""en"", ""te""),"""")"),"")</f>
        <v/>
      </c>
      <c r="I2010" s="3"/>
    </row>
    <row r="2011" customHeight="1" spans="1:9">
      <c r="A2011" s="2" t="s">
        <v>1295</v>
      </c>
      <c r="B2011" s="2" t="str">
        <f>IFERROR(__xludf.DUMMYFUNCTION("IF(A2011&lt;&gt;"""", GOOGLETRANSLATE(A2011, ""en"", ""te""),"""")"),"[ 'పదవ వికెట్కు 10 వ అత్యధిక భాగస్వామ్యం (41 *)']")</f>
        <v>[ 'పదవ వికెట్కు 10 వ అత్యధిక భాగస్వామ్యం (41 *)']</v>
      </c>
      <c r="C2011" s="2" t="s">
        <v>1296</v>
      </c>
      <c r="D2011" s="2" t="str">
        <f>IFERROR(__xludf.DUMMYFUNCTION("IF(C2011&lt;&gt;"""", GOOGLETRANSLATE(C2011, ""en"", ""te""),"""")"),"[ '26 ఉత్తమ కెరీర్ బౌలింగ్ సరాసరి (అర్హత లేకుండా) (11.20)']")</f>
        <v>[ '26 ఉత్తమ కెరీర్ బౌలింగ్ సరాసరి (అర్హత లేకుండా) (11.20)']</v>
      </c>
      <c r="E2011" s="2" t="s">
        <v>1297</v>
      </c>
      <c r="F2011" s="2" t="str">
        <f>IFERROR(__xludf.DUMMYFUNCTION("IF(E2011&lt;&gt;"""", GOOGLETRANSLATE(E2011, ""en"", ""te""),"""")"),"[ '19 ఒకే మైదానంలో అత్యధిక వికెట్లు (14)', '20 వ సగటు (17.52) బౌలింగ్ ఉత్తమ జీవితం' '36 వ ఉత్తమ కెరీర్ ఆర్థిక రేటు (2.81)', 'ఇన్నింగ్స్ లో 43 ఉత్తమ సమ్మె రేటు (9.0)', ' 38 వ అత్యంత నాలుగు వికెట్లు-ఇన్-ఒక-ఇన్నింగ్స్ కెరీర్లో (3) ',' పదవ వికెట్కు 10 వ అత్య"&amp;"ధిక భాగస్వామ్యం (41 *) ']")</f>
        <v>[ '19 ఒకే మైదానంలో అత్యధిక వికెట్లు (14)', '20 వ సగటు (17.52) బౌలింగ్ ఉత్తమ జీవితం' '36 వ ఉత్తమ కెరీర్ ఆర్థిక రేటు (2.81)', 'ఇన్నింగ్స్ లో 43 ఉత్తమ సమ్మె రేటు (9.0)', ' 38 వ అత్యంత నాలుగు వికెట్లు-ఇన్-ఒక-ఇన్నింగ్స్ కెరీర్లో (3) ',' పదవ వికెట్కు 10 వ అత్యధిక భాగస్వామ్యం (41 *) ']</v>
      </c>
      <c r="G2011" s="2"/>
      <c r="H2011" s="2" t="str">
        <f>IFERROR(__xludf.DUMMYFUNCTION("IF(G2011&lt;&gt;"""", GOOGLETRANSLATE(G2011, ""en"", ""te""),"""")"),"")</f>
        <v/>
      </c>
      <c r="I2011" s="3"/>
    </row>
    <row r="2012" customHeight="1" spans="1:9">
      <c r="A2012" s="2"/>
      <c r="B2012" s="2" t="str">
        <f>IFERROR(__xludf.DUMMYFUNCTION("IF(A2012&lt;&gt;"""", GOOGLETRANSLATE(A2012, ""en"", ""te""),"""")"),"")</f>
        <v/>
      </c>
      <c r="C2012" s="2"/>
      <c r="D2012" s="2" t="str">
        <f>IFERROR(__xludf.DUMMYFUNCTION("IF(C2012&lt;&gt;"""", GOOGLETRANSLATE(C2012, ""en"", ""te""),"""")"),"")</f>
        <v/>
      </c>
      <c r="E2012" s="2"/>
      <c r="F2012" s="2" t="str">
        <f>IFERROR(__xludf.DUMMYFUNCTION("IF(E2012&lt;&gt;"""", GOOGLETRANSLATE(E2012, ""en"", ""te""),"""")"),"")</f>
        <v/>
      </c>
      <c r="G2012" s="2"/>
      <c r="H2012" s="2" t="str">
        <f>IFERROR(__xludf.DUMMYFUNCTION("IF(G2012&lt;&gt;"""", GOOGLETRANSLATE(G2012, ""en"", ""te""),"""")"),"")</f>
        <v/>
      </c>
      <c r="I2012" s="3"/>
    </row>
    <row r="2013" customHeight="1" spans="1:9">
      <c r="A2013" s="2" t="s">
        <v>1298</v>
      </c>
      <c r="B2013" s="2" t="str">
        <f>IFERROR(__xludf.DUMMYFUNCTION("IF(A2013&lt;&gt;"""", GOOGLETRANSLATE(A2013, ""en"", ""te""),"""")"),"[ 'హండ్రెడ్ తొలి (141)', 'ఒక ఆటలో బదులు 6 వ అత్యధిక క్యాచ్లు (3)']")</f>
        <v>[ 'హండ్రెడ్ తొలి (141)', 'ఒక ఆటలో బదులు 6 వ అత్యధిక క్యాచ్లు (3)']</v>
      </c>
      <c r="C2013" s="2" t="s">
        <v>1299</v>
      </c>
      <c r="D2013" s="2" t="str">
        <f>IFERROR(__xludf.DUMMYFUNCTION("IF(C2013&lt;&gt;"""", GOOGLETRANSLATE(C2013, ""en"", ""te""),"""")"),"[ 'ఒక ఆటలో బదులు 6 వ అత్యధిక క్యాచ్లు (3)', 'నాలుగవ వికెట్కు 40 వ అత్యధిక భాగస్వామ్యం (258)', 'ఐదో వికెట్కు (233) కోసం 41 వ అత్యధిక భాగస్వామ్యం']")</f>
        <v>[ 'ఒక ఆటలో బదులు 6 వ అత్యధిక క్యాచ్లు (3)', 'నాలుగవ వికెట్కు 40 వ అత్యధిక భాగస్వామ్యం (258)', 'ఐదో వికెట్కు (233) కోసం 41 వ అత్యధిక భాగస్వామ్యం']</v>
      </c>
      <c r="E2013" s="2" t="s">
        <v>1300</v>
      </c>
      <c r="F2013" s="2" t="str">
        <f>IFERROR(__xludf.DUMMYFUNCTION("IF(E2013&lt;&gt;"""", GOOGLETRANSLATE(E2013, ""en"", ""te""),"""")"),"[ '31 తొలి మ్యాచ్లో అత్యధిక పరుగులు (81)', '24th 2000 పరుగులు వేగంగా (54)', '' ఫాస్టెస్ట్ 27 1000 పరుగులు (27) కు '' 40 వ అత్యంత వృద్ధ ఆటగాడు వంద (190d 35y) స్కోర్ ' 16 వ తొమ్మిదవ వికెట్కు అత్యధిక భాగస్వామ్యం (88) ']")</f>
        <v>[ '31 తొలి మ్యాచ్లో అత్యధిక పరుగులు (81)', '24th 2000 పరుగులు వేగంగా (54)', '' ఫాస్టెస్ట్ 27 1000 పరుగులు (27) కు '' 40 వ అత్యంత వృద్ధ ఆటగాడు వంద (190d 35y) స్కోర్ ' 16 వ తొమ్మిదవ వికెట్కు అత్యధిక భాగస్వామ్యం (88) ']</v>
      </c>
      <c r="G2013" s="2"/>
      <c r="H2013" s="2" t="str">
        <f>IFERROR(__xludf.DUMMYFUNCTION("IF(G2013&lt;&gt;"""", GOOGLETRANSLATE(G2013, ""en"", ""te""),"""")"),"")</f>
        <v/>
      </c>
      <c r="I2013" s="3"/>
    </row>
    <row r="2014" customHeight="1" spans="1:9">
      <c r="A2014" s="2"/>
      <c r="B2014" s="2" t="str">
        <f>IFERROR(__xludf.DUMMYFUNCTION("IF(A2014&lt;&gt;"""", GOOGLETRANSLATE(A2014, ""en"", ""te""),"""")"),"")</f>
        <v/>
      </c>
      <c r="C2014" s="2"/>
      <c r="D2014" s="2" t="str">
        <f>IFERROR(__xludf.DUMMYFUNCTION("IF(C2014&lt;&gt;"""", GOOGLETRANSLATE(C2014, ""en"", ""te""),"""")"),"")</f>
        <v/>
      </c>
      <c r="E2014" s="2"/>
      <c r="F2014" s="2" t="str">
        <f>IFERROR(__xludf.DUMMYFUNCTION("IF(E2014&lt;&gt;"""", GOOGLETRANSLATE(E2014, ""en"", ""te""),"""")"),"")</f>
        <v/>
      </c>
      <c r="G2014" s="2"/>
      <c r="H2014" s="2" t="str">
        <f>IFERROR(__xludf.DUMMYFUNCTION("IF(G2014&lt;&gt;"""", GOOGLETRANSLATE(G2014, ""en"", ""te""),"""")"),"")</f>
        <v/>
      </c>
      <c r="I2014" s="3"/>
    </row>
    <row r="2015" customHeight="1" spans="1:9">
      <c r="A2015" s="2" t="s">
        <v>1301</v>
      </c>
      <c r="B2015" s="2" t="str">
        <f>IFERROR(__xludf.DUMMYFUNCTION("IF(A2015&lt;&gt;"""", GOOGLETRANSLATE(A2015, ""en"", ""te""),"""")"),"[ 'ఇన్నింగ్స్ లో 3 వ అత్యధిక క్యాచ్లు (3)' '10 వ అత్యుత్తమ ఇన్నింగ్స్ లో విశ్లేషణలు బౌలింగ్ (2/2)',]")</f>
        <v>[ 'ఇన్నింగ్స్ లో 3 వ అత్యధిక క్యాచ్లు (3)' '10 వ అత్యుత్తమ ఇన్నింగ్స్ లో విశ్లేషణలు బౌలింగ్ (2/2)',]</v>
      </c>
      <c r="C2015" s="2" t="s">
        <v>1302</v>
      </c>
      <c r="D2015" s="2" t="str">
        <f>IFERROR(__xludf.DUMMYFUNCTION("IF(C2015&lt;&gt;"""", GOOGLETRANSLATE(C2015, ""en"", ""te""),"""")"),"[ 'తొలి ఇన్నింగ్స్లో 14 బెస్ట్ ఫిగర్స్ (4)']")</f>
        <v>[ 'తొలి ఇన్నింగ్స్లో 14 బెస్ట్ ఫిగర్స్ (4)']</v>
      </c>
      <c r="E2015" s="2" t="s">
        <v>1303</v>
      </c>
      <c r="F2015" s="2" t="str">
        <f>IFERROR(__xludf.DUMMYFUNCTION("IF(E2015&lt;&gt;"""", GOOGLETRANSLATE(E2015, ""en"", ""te""),"""")"),"[ '10 వ అత్యుత్తమ ఇన్నింగ్స్ లో విశ్లేషణలు బౌలింగ్ (2/2)', '13 వ ఉత్తమ కెరీర్ (అర్హత లేకుండా) సగటు బౌలింగ్ (9.83)']")</f>
        <v>[ '10 వ అత్యుత్తమ ఇన్నింగ్స్ లో విశ్లేషణలు బౌలింగ్ (2/2)', '13 వ ఉత్తమ కెరీర్ (అర్హత లేకుండా) సగటు బౌలింగ్ (9.83)']</v>
      </c>
      <c r="G2015" s="2" t="s">
        <v>1304</v>
      </c>
      <c r="H2015" s="2" t="str">
        <f>IFERROR(__xludf.DUMMYFUNCTION("IF(G2015&lt;&gt;"""", GOOGLETRANSLATE(G2015, ""en"", ""te""),"""")"),"[ '39 వ అత్యంత ఇన్నింగ్స్ (45) లో ఇవ్వబడిన పరుగులలో' '20 వ అత్యధిక వికెట్లు క్యాచ్ మరియు బౌల్డ్ తీసుకోకూడదు (3)', '(3) ఇన్నింగ్స్ లో 3 వ అత్యధిక క్యాచ్లు']")</f>
        <v>[ '39 వ అత్యంత ఇన్నింగ్స్ (45) లో ఇవ్వబడిన పరుగులలో' '20 వ అత్యధిక వికెట్లు క్యాచ్ మరియు బౌల్డ్ తీసుకోకూడదు (3)', '(3) ఇన్నింగ్స్ లో 3 వ అత్యధిక క్యాచ్లు']</v>
      </c>
      <c r="I2015" s="3"/>
    </row>
    <row r="2016" customHeight="1" spans="1:9">
      <c r="A2016" s="2" t="s">
        <v>789</v>
      </c>
      <c r="B2016" s="2" t="str">
        <f>IFERROR(__xludf.DUMMYFUNCTION("IF(A2016&lt;&gt;"""", GOOGLETRANSLATE(A2016, ""en"", ""te""),"""")"),"[ 'ఇన్నింగ్స్ లో 2 వ అత్యధిక క్యాచ్లు (4)']")</f>
        <v>[ 'ఇన్నింగ్స్ లో 2 వ అత్యధిక క్యాచ్లు (4)']</v>
      </c>
      <c r="C2016" s="2" t="s">
        <v>1305</v>
      </c>
      <c r="D2016" s="2" t="str">
        <f>IFERROR(__xludf.DUMMYFUNCTION("IF(C2016&lt;&gt;"""", GOOGLETRANSLATE(C2016, ""en"", ""te""),"""")"),"[ '14 వ ఇన్నింగ్స్ లో అత్యధిక పరుగులు (బ్యాటింగ్ స్థానంలో ప్రకారం) (181)']")</f>
        <v>[ '14 వ ఇన్నింగ్స్ లో అత్యధిక పరుగులు (బ్యాటింగ్ స్థానంలో ప్రకారం) (181)']</v>
      </c>
      <c r="E2016" s="2" t="s">
        <v>1306</v>
      </c>
      <c r="F2016" s="2" t="str">
        <f>IFERROR(__xludf.DUMMYFUNCTION("IF(E2016&lt;&gt;"""", GOOGLETRANSLATE(E2016, ""en"", ""te""),"""")"),"[ 'ఇన్నింగ్స్ లో 2 వ అత్యధిక క్యాచ్లు (4)', 'ఆరవ వికెట్ (126) కోసం 44 వ అత్యధిక భాగస్వామ్యం']")</f>
        <v>[ 'ఇన్నింగ్స్ లో 2 వ అత్యధిక క్యాచ్లు (4)', 'ఆరవ వికెట్ (126) కోసం 44 వ అత్యధిక భాగస్వామ్యం']</v>
      </c>
      <c r="G2016" s="2" t="s">
        <v>1307</v>
      </c>
      <c r="H2016" s="2" t="str">
        <f>IFERROR(__xludf.DUMMYFUNCTION("IF(G2016&lt;&gt;"""", GOOGLETRANSLATE(G2016, ""en"", ""te""),"""")"),"[ '44 వ అత్యంత ఇన్నింగ్స్ తొలి డక్ ముందు (16)', 'ఎనిమిదవ వికెట్ (35) కోసం 42 వ అత్యధిక భాగస్వామ్యం']")</f>
        <v>[ '44 వ అత్యంత ఇన్నింగ్స్ తొలి డక్ ముందు (16)', 'ఎనిమిదవ వికెట్ (35) కోసం 42 వ అత్యధిక భాగస్వామ్యం']</v>
      </c>
      <c r="I2016" s="3"/>
    </row>
    <row r="2017" customHeight="1" spans="1:9">
      <c r="A2017" s="2"/>
      <c r="B2017" s="2" t="str">
        <f>IFERROR(__xludf.DUMMYFUNCTION("IF(A2017&lt;&gt;"""", GOOGLETRANSLATE(A2017, ""en"", ""te""),"""")"),"")</f>
        <v/>
      </c>
      <c r="C2017" s="2"/>
      <c r="D2017" s="2" t="str">
        <f>IFERROR(__xludf.DUMMYFUNCTION("IF(C2017&lt;&gt;"""", GOOGLETRANSLATE(C2017, ""en"", ""te""),"""")"),"")</f>
        <v/>
      </c>
      <c r="E2017" s="2"/>
      <c r="F2017" s="2" t="str">
        <f>IFERROR(__xludf.DUMMYFUNCTION("IF(E2017&lt;&gt;"""", GOOGLETRANSLATE(E2017, ""en"", ""te""),"""")"),"")</f>
        <v/>
      </c>
      <c r="G2017" s="2"/>
      <c r="H2017" s="2" t="str">
        <f>IFERROR(__xludf.DUMMYFUNCTION("IF(G2017&lt;&gt;"""", GOOGLETRANSLATE(G2017, ""en"", ""te""),"""")"),"")</f>
        <v/>
      </c>
      <c r="I2017" s="3"/>
    </row>
    <row r="2018" customHeight="1" spans="1:9">
      <c r="A2018" s="2" t="s">
        <v>1308</v>
      </c>
      <c r="B2018" s="2" t="str">
        <f>IFERROR(__xludf.DUMMYFUNCTION("IF(A2018&lt;&gt;"""", GOOGLETRANSLATE(A2018, ""en"", ""te""),"""")"),"[ '5 వ ఉత్తమ కెరీర్ ఆర్థిక రేటు (1.37)']")</f>
        <v>[ '5 వ ఉత్తమ కెరీర్ ఆర్థిక రేటు (1.37)']</v>
      </c>
      <c r="C2018" s="2" t="s">
        <v>1309</v>
      </c>
      <c r="D2018" s="2" t="str">
        <f>IFERROR(__xludf.DUMMYFUNCTION("IF(C2018&lt;&gt;"""", GOOGLETRANSLATE(C2018, ""en"", ""te""),"""")"),"[ '5 వ ఉత్తమ కెరీర్ ఆర్థిక రేటు (1.37)' '13 వ ఉత్తమ కెరీర్ సగటు (17.94) బౌలింగ్', '13 వ ఉత్తమ ఆర్థిక వ్యవస్థ ఇన్నింగ్స్లో రేటు (0.46)', '18 వ అత్యధిక వికెట్లు బౌల్డ్ తీసుకోకూడదు (10)']")</f>
        <v>[ '5 వ ఉత్తమ కెరీర్ ఆర్థిక రేటు (1.37)' '13 వ ఉత్తమ కెరీర్ సగటు (17.94) బౌలింగ్', '13 వ ఉత్తమ ఆర్థిక వ్యవస్థ ఇన్నింగ్స్లో రేటు (0.46)', '18 వ అత్యధిక వికెట్లు బౌల్డ్ తీసుకోకూడదు (10)']</v>
      </c>
      <c r="E2018" s="2" t="s">
        <v>1310</v>
      </c>
      <c r="F2018" s="2" t="str">
        <f>IFERROR(__xludf.DUMMYFUNCTION("IF(E2018&lt;&gt;"""", GOOGLETRANSLATE(E2018, ""en"", ""te""),"""")"),"[ '4 వ ఉత్తమ కెరీర్ బౌలింగ్ సరాసరి (13.92)', '6 వ ఉత్తమ కెరీర్ ఆర్థిక రేటు (2.07)']")</f>
        <v>[ '4 వ ఉత్తమ కెరీర్ బౌలింగ్ సరాసరి (13.92)', '6 వ ఉత్తమ కెరీర్ ఆర్థిక రేటు (2.07)']</v>
      </c>
      <c r="G2018" s="2"/>
      <c r="H2018" s="2" t="str">
        <f>IFERROR(__xludf.DUMMYFUNCTION("IF(G2018&lt;&gt;"""", GOOGLETRANSLATE(G2018, ""en"", ""te""),"""")"),"")</f>
        <v/>
      </c>
      <c r="I2018" s="3"/>
    </row>
    <row r="2019" customHeight="1" spans="1:9">
      <c r="A2019" s="2" t="s">
        <v>1311</v>
      </c>
      <c r="B2019" s="2" t="str">
        <f>IFERROR(__xludf.DUMMYFUNCTION("IF(A2019&lt;&gt;"""", GOOGLETRANSLATE(A2019, ""en"", ""te""),"""")"),"[ '7th ఉత్తమ కెరీర్ ఆర్థిక రేటు (1.78)']")</f>
        <v>[ '7th ఉత్తమ కెరీర్ ఆర్థిక రేటు (1.78)']</v>
      </c>
      <c r="C2019" s="2" t="s">
        <v>1312</v>
      </c>
      <c r="D2019" s="2" t="str">
        <f>IFERROR(__xludf.DUMMYFUNCTION("IF(C2019&lt;&gt;"""", GOOGLETRANSLATE(C2019, ""en"", ""te""),"""")"),"[ '12 వ అత్యంత వంద (1507) లేకుండా ఒక వృత్తిలో పరుగులు' '7th ఉత్తమ కెరీర్ ఆర్థిక రేటు (1.78)', 'ఇన్నింగ్స్ లో 32 వ ఉత్తమ ఆర్థిక రేటు (0.58)', '33 వ చెత్త కెరీర్లో సమ్మె రేటు (115.8)' '27 వ బంతుల్లో ఒక మ్యాచ్ (642) లో బౌల్డ్']")</f>
        <v>[ '12 వ అత్యంత వంద (1507) లేకుండా ఒక వృత్తిలో పరుగులు' '7th ఉత్తమ కెరీర్ ఆర్థిక రేటు (1.78)', 'ఇన్నింగ్స్ లో 32 వ ఉత్తమ ఆర్థిక రేటు (0.58)', '33 వ చెత్త కెరీర్లో సమ్మె రేటు (115.8)' '27 వ బంతుల్లో ఒక మ్యాచ్ (642) లో బౌల్డ్']</v>
      </c>
      <c r="E2019" s="2"/>
      <c r="F2019" s="2" t="str">
        <f>IFERROR(__xludf.DUMMYFUNCTION("IF(E2019&lt;&gt;"""", GOOGLETRANSLATE(E2019, ""en"", ""te""),"""")"),"")</f>
        <v/>
      </c>
      <c r="G2019" s="2"/>
      <c r="H2019" s="2" t="str">
        <f>IFERROR(__xludf.DUMMYFUNCTION("IF(G2019&lt;&gt;"""", GOOGLETRANSLATE(G2019, ""en"", ""te""),"""")"),"")</f>
        <v/>
      </c>
      <c r="I2019" s="3"/>
    </row>
    <row r="2020" customHeight="1" spans="1:9">
      <c r="A2020" s="2"/>
      <c r="B2020" s="2" t="str">
        <f>IFERROR(__xludf.DUMMYFUNCTION("IF(A2020&lt;&gt;"""", GOOGLETRANSLATE(A2020, ""en"", ""te""),"""")"),"")</f>
        <v/>
      </c>
      <c r="C2020" s="2" t="s">
        <v>655</v>
      </c>
      <c r="D2020" s="2" t="str">
        <f>IFERROR(__xludf.DUMMYFUNCTION("IF(C2020&lt;&gt;"""", GOOGLETRANSLATE(C2020, ""en"", ""te""),"""")"),"[ '33 వ ప్రవేశం (8) ఒక మ్యాచ్లో బెస్ట్ ఫిగర్స్']")</f>
        <v>[ '33 వ ప్రవేశం (8) ఒక మ్యాచ్లో బెస్ట్ ఫిగర్స్']</v>
      </c>
      <c r="E2020" s="2"/>
      <c r="F2020" s="2" t="str">
        <f>IFERROR(__xludf.DUMMYFUNCTION("IF(E2020&lt;&gt;"""", GOOGLETRANSLATE(E2020, ""en"", ""te""),"""")"),"")</f>
        <v/>
      </c>
      <c r="G2020" s="2"/>
      <c r="H2020" s="2" t="str">
        <f>IFERROR(__xludf.DUMMYFUNCTION("IF(G2020&lt;&gt;"""", GOOGLETRANSLATE(G2020, ""en"", ""te""),"""")"),"")</f>
        <v/>
      </c>
      <c r="I2020" s="3"/>
    </row>
    <row r="2021" customHeight="1" spans="1:9">
      <c r="A2021" s="2"/>
      <c r="B2021" s="2" t="str">
        <f>IFERROR(__xludf.DUMMYFUNCTION("IF(A2021&lt;&gt;"""", GOOGLETRANSLATE(A2021, ""en"", ""te""),"""")"),"")</f>
        <v/>
      </c>
      <c r="C2021" s="2" t="s">
        <v>1313</v>
      </c>
      <c r="D2021" s="2" t="str">
        <f>IFERROR(__xludf.DUMMYFUNCTION("IF(C2021&lt;&gt;"""", GOOGLETRANSLATE(C2021, ""en"", ""te""),"""")"),"[ 'ఏడవ వికెట్ (163) కోసం 44 వ అత్యధిక భాగస్వామ్యం']")</f>
        <v>[ 'ఏడవ వికెట్ (163) కోసం 44 వ అత్యధిక భాగస్వామ్యం']</v>
      </c>
      <c r="E2021" s="2"/>
      <c r="F2021" s="2" t="str">
        <f>IFERROR(__xludf.DUMMYFUNCTION("IF(E2021&lt;&gt;"""", GOOGLETRANSLATE(E2021, ""en"", ""te""),"""")"),"")</f>
        <v/>
      </c>
      <c r="G2021" s="2"/>
      <c r="H2021" s="2" t="str">
        <f>IFERROR(__xludf.DUMMYFUNCTION("IF(G2021&lt;&gt;"""", GOOGLETRANSLATE(G2021, ""en"", ""te""),"""")"),"")</f>
        <v/>
      </c>
      <c r="I2021" s="3"/>
    </row>
    <row r="2022" customHeight="1" spans="1:9">
      <c r="A2022" s="2"/>
      <c r="B2022" s="2" t="str">
        <f>IFERROR(__xludf.DUMMYFUNCTION("IF(A2022&lt;&gt;"""", GOOGLETRANSLATE(A2022, ""en"", ""te""),"""")"),"")</f>
        <v/>
      </c>
      <c r="C2022" s="2"/>
      <c r="D2022" s="2" t="str">
        <f>IFERROR(__xludf.DUMMYFUNCTION("IF(C2022&lt;&gt;"""", GOOGLETRANSLATE(C2022, ""en"", ""te""),"""")"),"")</f>
        <v/>
      </c>
      <c r="E2022" s="2"/>
      <c r="F2022" s="2" t="str">
        <f>IFERROR(__xludf.DUMMYFUNCTION("IF(E2022&lt;&gt;"""", GOOGLETRANSLATE(E2022, ""en"", ""te""),"""")"),"")</f>
        <v/>
      </c>
      <c r="G2022" s="2"/>
      <c r="H2022" s="2" t="str">
        <f>IFERROR(__xludf.DUMMYFUNCTION("IF(G2022&lt;&gt;"""", GOOGLETRANSLATE(G2022, ""en"", ""te""),"""")"),"")</f>
        <v/>
      </c>
      <c r="I2022" s="3"/>
    </row>
    <row r="2023" customHeight="1" spans="1:9">
      <c r="A2023" s="2" t="s">
        <v>1314</v>
      </c>
      <c r="B2023" s="2" t="str">
        <f>IFERROR(__xludf.DUMMYFUNCTION("IF(A2023&lt;&gt;"""", GOOGLETRANSLATE(A2023, ""en"", ""te""),"""")"),"[ '99 పరుగుల 1st (మరియు 199, 299 etc) (99)', 'నూట ఒక ఇన్నింగ్స్ లో ఐదు వికెట్లు']")</f>
        <v>[ '99 పరుగుల 1st (మరియు 199, 299 etc) (99)', 'నూట ఒక ఇన్నింగ్స్ లో ఐదు వికెట్లు']</v>
      </c>
      <c r="C2023" s="2" t="s">
        <v>1315</v>
      </c>
      <c r="D2023" s="2" t="str">
        <f>IFERROR(__xludf.DUMMYFUNCTION("IF(C2023&lt;&gt;"""", GOOGLETRANSLATE(C2023, ""en"", ""te""),"""")"),"[ '99 పరుగుల 1st (మరియు 199, 299 etc) (99)', 'పది వికెట్లు లో ఒక మ్యాచ్ తీసుకోవాలని 14 వ అత్యంత వృద్ధ ఆటగాడు (36y 206d)', ఐదవ వికెట్కు '46 వ అత్యధిక భాగస్వామ్యం (220) ',' ఆరవ వికెట్ (206) కోసం 46 వ అత్యధిక భాగస్వామ్యం ']")</f>
        <v>[ '99 పరుగుల 1st (మరియు 199, 299 etc) (99)', 'పది వికెట్లు లో ఒక మ్యాచ్ తీసుకోవాలని 14 వ అత్యంత వృద్ధ ఆటగాడు (36y 206d)', ఐదవ వికెట్కు '46 వ అత్యధిక భాగస్వామ్యం (220) ',' ఆరవ వికెట్ (206) కోసం 46 వ అత్యధిక భాగస్వామ్యం ']</v>
      </c>
      <c r="E2023" s="2"/>
      <c r="F2023" s="2" t="str">
        <f>IFERROR(__xludf.DUMMYFUNCTION("IF(E2023&lt;&gt;"""", GOOGLETRANSLATE(E2023, ""en"", ""te""),"""")"),"")</f>
        <v/>
      </c>
      <c r="G2023" s="2"/>
      <c r="H2023" s="2" t="str">
        <f>IFERROR(__xludf.DUMMYFUNCTION("IF(G2023&lt;&gt;"""", GOOGLETRANSLATE(G2023, ""en"", ""te""),"""")"),"")</f>
        <v/>
      </c>
      <c r="I2023" s="3"/>
    </row>
    <row r="2024" customHeight="1" spans="1:9">
      <c r="A2024" s="2"/>
      <c r="B2024" s="2" t="str">
        <f>IFERROR(__xludf.DUMMYFUNCTION("IF(A2024&lt;&gt;"""", GOOGLETRANSLATE(A2024, ""en"", ""te""),"""")"),"")</f>
        <v/>
      </c>
      <c r="C2024" s="2"/>
      <c r="D2024" s="2" t="str">
        <f>IFERROR(__xludf.DUMMYFUNCTION("IF(C2024&lt;&gt;"""", GOOGLETRANSLATE(C2024, ""en"", ""te""),"""")"),"")</f>
        <v/>
      </c>
      <c r="E2024" s="2"/>
      <c r="F2024" s="2" t="str">
        <f>IFERROR(__xludf.DUMMYFUNCTION("IF(E2024&lt;&gt;"""", GOOGLETRANSLATE(E2024, ""en"", ""te""),"""")"),"")</f>
        <v/>
      </c>
      <c r="G2024" s="2"/>
      <c r="H2024" s="2" t="str">
        <f>IFERROR(__xludf.DUMMYFUNCTION("IF(G2024&lt;&gt;"""", GOOGLETRANSLATE(G2024, ""en"", ""te""),"""")"),"")</f>
        <v/>
      </c>
      <c r="I2024" s="3"/>
    </row>
    <row r="2025" customHeight="1" spans="1:9">
      <c r="A2025" s="2"/>
      <c r="B2025" s="2" t="str">
        <f>IFERROR(__xludf.DUMMYFUNCTION("IF(A2025&lt;&gt;"""", GOOGLETRANSLATE(A2025, ""en"", ""te""),"""")"),"")</f>
        <v/>
      </c>
      <c r="C2025" s="2"/>
      <c r="D2025" s="2" t="str">
        <f>IFERROR(__xludf.DUMMYFUNCTION("IF(C2025&lt;&gt;"""", GOOGLETRANSLATE(C2025, ""en"", ""te""),"""")"),"")</f>
        <v/>
      </c>
      <c r="E2025" s="2" t="s">
        <v>1316</v>
      </c>
      <c r="F2025" s="2" t="str">
        <f>IFERROR(__xludf.DUMMYFUNCTION("IF(E2025&lt;&gt;"""", GOOGLETRANSLATE(E2025, ""en"", ""te""),"""")"),"[ '15 వ ఇన్నింగ్స్ లో అత్యధిక పరుగులు (15 *) (బ్యాటింగ్ స్థానం)', '39 వ చెత్త కెరీర్ (అర్హత లేకుండా) సగటు బౌలింగ్ (72,50)']")</f>
        <v>[ '15 వ ఇన్నింగ్స్ లో అత్యధిక పరుగులు (15 *) (బ్యాటింగ్ స్థానం)', '39 వ చెత్త కెరీర్ (అర్హత లేకుండా) సగటు బౌలింగ్ (72,50)']</v>
      </c>
      <c r="G2025" s="2" t="s">
        <v>1317</v>
      </c>
      <c r="H2025" s="2" t="str">
        <f>IFERROR(__xludf.DUMMYFUNCTION("IF(G2025&lt;&gt;"""", GOOGLETRANSLATE(G2025, ""en"", ""te""),"""")"),"[ '42 వ చెత్త కెరీర్ (అర్హత లేకుండా) సగటు బౌలింగ్ (62.00)']")</f>
        <v>[ '42 వ చెత్త కెరీర్ (అర్హత లేకుండా) సగటు బౌలింగ్ (62.00)']</v>
      </c>
      <c r="I2025" s="3"/>
    </row>
    <row r="2026" customHeight="1" spans="1:9">
      <c r="A2026" s="2"/>
      <c r="B2026" s="2" t="str">
        <f>IFERROR(__xludf.DUMMYFUNCTION("IF(A2026&lt;&gt;"""", GOOGLETRANSLATE(A2026, ""en"", ""te""),"""")"),"")</f>
        <v/>
      </c>
      <c r="C2026" s="2"/>
      <c r="D2026" s="2" t="str">
        <f>IFERROR(__xludf.DUMMYFUNCTION("IF(C2026&lt;&gt;"""", GOOGLETRANSLATE(C2026, ""en"", ""te""),"""")"),"")</f>
        <v/>
      </c>
      <c r="E2026" s="2"/>
      <c r="F2026" s="2" t="str">
        <f>IFERROR(__xludf.DUMMYFUNCTION("IF(E2026&lt;&gt;"""", GOOGLETRANSLATE(E2026, ""en"", ""te""),"""")"),"")</f>
        <v/>
      </c>
      <c r="G2026" s="2"/>
      <c r="H2026" s="2" t="str">
        <f>IFERROR(__xludf.DUMMYFUNCTION("IF(G2026&lt;&gt;"""", GOOGLETRANSLATE(G2026, ""en"", ""te""),"""")"),"")</f>
        <v/>
      </c>
      <c r="I2026" s="3"/>
    </row>
    <row r="2027" customHeight="1" spans="1:9">
      <c r="A2027" s="2"/>
      <c r="B2027" s="2" t="str">
        <f>IFERROR(__xludf.DUMMYFUNCTION("IF(A2027&lt;&gt;"""", GOOGLETRANSLATE(A2027, ""en"", ""te""),"""")"),"")</f>
        <v/>
      </c>
      <c r="C2027" s="2"/>
      <c r="D2027" s="2" t="str">
        <f>IFERROR(__xludf.DUMMYFUNCTION("IF(C2027&lt;&gt;"""", GOOGLETRANSLATE(C2027, ""en"", ""te""),"""")"),"")</f>
        <v/>
      </c>
      <c r="E2027" s="2"/>
      <c r="F2027" s="2" t="str">
        <f>IFERROR(__xludf.DUMMYFUNCTION("IF(E2027&lt;&gt;"""", GOOGLETRANSLATE(E2027, ""en"", ""te""),"""")"),"")</f>
        <v/>
      </c>
      <c r="G2027" s="2"/>
      <c r="H2027" s="2" t="str">
        <f>IFERROR(__xludf.DUMMYFUNCTION("IF(G2027&lt;&gt;"""", GOOGLETRANSLATE(G2027, ""en"", ""te""),"""")"),"")</f>
        <v/>
      </c>
      <c r="I2027" s="3"/>
    </row>
    <row r="2028" customHeight="1" spans="1:9">
      <c r="A2028" s="2" t="s">
        <v>1318</v>
      </c>
      <c r="B2028" s="2" t="str">
        <f>IFERROR(__xludf.DUMMYFUNCTION("IF(A2028&lt;&gt;"""", GOOGLETRANSLATE(A2028, ""en"", ""te""),"""")"),"[ 'హండ్రెడ్ ఒక మ్యాచ్లో ప్రతి ఇన్నింగ్స్లో', '1 వ 99 (199, 299 etc) (99) అవుటయ్యాడు', '7th 2000 వరకు వేగంగా పరుగులు (36)', 'వరుస ఇన్నింగ్స్లో 6 వ వందల (3)']")</f>
        <v>[ 'హండ్రెడ్ ఒక మ్యాచ్లో ప్రతి ఇన్నింగ్స్లో', '1 వ 99 (199, 299 etc) (99) అవుటయ్యాడు', '7th 2000 వరకు వేగంగా పరుగులు (36)', 'వరుస ఇన్నింగ్స్లో 6 వ వందల (3)']</v>
      </c>
      <c r="C2028" s="2" t="s">
        <v>1319</v>
      </c>
      <c r="D2028" s="2" t="str">
        <f>IFERROR(__xludf.DUMMYFUNCTION("IF(C2028&lt;&gt;"""", GOOGLETRANSLATE(C2028, ""en"", ""te""),"""")"),"[ '36 వ ఒక సిరీస్లో అత్యధిక పరుగులు (696)', '15 వ ఒక జట్టు వ్యతిరేకంగా అత్యధిక వందలు (8)', '1 వ 99 పరుగుల' (3) వరుస ఇన్నింగ్స్లో 5 వ వందల '(మరియు 199, 299 etc) (99 ) ',' 22 వ 1000 పరుగులు (19) 2000 పరుగులు (36) 3000 పరుగులు (కు ',' 23 వ వేగంగా చేయడానికి '"&amp;",' 7 వ వేగవంతమైన వేగంగా 64) ',' రెండవ వికెట్కు 18 అత్యధిక భాగస్వామ్యం (301) ',' ఐదో వికెట్కు (223 *) కోసం 44 వ అత్యధిక భాగస్వామ్యం ',' 24th లాంగెస్ట్ క్రీడాకారులు నివసించారు (93y 215d) ']")</f>
        <v>[ '36 వ ఒక సిరీస్లో అత్యధిక పరుగులు (696)', '15 వ ఒక జట్టు వ్యతిరేకంగా అత్యధిక వందలు (8)', '1 వ 99 పరుగుల' (3) వరుస ఇన్నింగ్స్లో 5 వ వందల '(మరియు 199, 299 etc) (99 ) ',' 22 వ 1000 పరుగులు (19) 2000 పరుగులు (36) 3000 పరుగులు (కు ',' 23 వ వేగంగా చేయడానికి ',' 7 వ వేగవంతమైన వేగంగా 64) ',' రెండవ వికెట్కు 18 అత్యధిక భాగస్వామ్యం (301) ',' ఐదో వికెట్కు (223 *) కోసం 44 వ అత్యధిక భాగస్వామ్యం ',' 24th లాంగెస్ట్ క్రీడాకారులు నివసించారు (93y 215d) ']</v>
      </c>
      <c r="E2028" s="2"/>
      <c r="F2028" s="2" t="str">
        <f>IFERROR(__xludf.DUMMYFUNCTION("IF(E2028&lt;&gt;"""", GOOGLETRANSLATE(E2028, ""en"", ""te""),"""")"),"")</f>
        <v/>
      </c>
      <c r="G2028" s="2"/>
      <c r="H2028" s="2" t="str">
        <f>IFERROR(__xludf.DUMMYFUNCTION("IF(G2028&lt;&gt;"""", GOOGLETRANSLATE(G2028, ""en"", ""te""),"""")"),"")</f>
        <v/>
      </c>
      <c r="I2028" s="3"/>
    </row>
    <row r="2029" customHeight="1" spans="1:9">
      <c r="A2029" s="2" t="s">
        <v>1320</v>
      </c>
      <c r="B2029" s="2" t="str">
        <f>IFERROR(__xludf.DUMMYFUNCTION("IF(A2029&lt;&gt;"""", GOOGLETRANSLATE(A2029, ""en"", ""te""),"""")"),"[ 'తొలి మ్యాచ్లో 6 వ ఉత్తమ బొమ్మలు (7)', 'ఒక క్యాలెండర్ సంవత్సరంలో 3 వ అత్యధిక వికెట్లు (36)', '2 వ ఉత్తమ కెరీర్ సమ్మె రేటు (28.5)', '1 వ వరుస నాలుగు వికెట్లు-ఇన్-ఒక -innings (3) ',' 3 వ బౌలర్ / బ్యాట్స్ కలయికలు (8) ']")</f>
        <v>[ 'తొలి మ్యాచ్లో 6 వ ఉత్తమ బొమ్మలు (7)', 'ఒక క్యాలెండర్ సంవత్సరంలో 3 వ అత్యధిక వికెట్లు (36)', '2 వ ఉత్తమ కెరీర్ సమ్మె రేటు (28.5)', '1 వ వరుస నాలుగు వికెట్లు-ఇన్-ఒక -innings (3) ',' 3 వ బౌలర్ / బ్యాట్స్ కలయికలు (8) ']</v>
      </c>
      <c r="C2029" s="2" t="s">
        <v>1321</v>
      </c>
      <c r="D2029" s="2" t="str">
        <f>IFERROR(__xludf.DUMMYFUNCTION("IF(C2029&lt;&gt;"""", GOOGLETRANSLATE(C2029, ""en"", ""te""),"""")"),"[ '14 వ ఉత్తమ తొలి ఇన్నింగ్స్లో గణాంకాలు (4)', 'ప్రవేశం (7) ఒక మ్యాచ్లో 6 వ ఉత్తమ బొమ్మల]")</f>
        <v>[ '14 వ ఉత్తమ తొలి ఇన్నింగ్స్లో గణాంకాలు (4)', 'ప్రవేశం (7) ఒక మ్యాచ్లో 6 వ ఉత్తమ బొమ్మల]</v>
      </c>
      <c r="E2029" s="2" t="s">
        <v>1322</v>
      </c>
      <c r="F2029" s="2" t="str">
        <f>IFERROR(__xludf.DUMMYFUNCTION("IF(E2029&lt;&gt;"""", GOOGLETRANSLATE(E2029, ""en"", ""te""),"""")"),"[ '30 వ కెరీర్ లో అత్యధిక వికెట్లు (83)', '25 వ ఇన్నింగ్స్ లో బెస్ట్ ఫిగర్స్ (5/9)', '41 వ ఒక సిరీస్లో అత్యధిక వికెట్లు (17)', 'ఒక క్యాలెండర్ సంవత్సరంలో 3 వ అత్యధిక వికెట్లు (36)' '8 వ అత్యుత్తమ బౌలింగ్ ఇన్నింగ్స్ లో విశ్లేషించడం (5/9)', '33 వ ఒకే మైదానం"&amp;"లో అత్యధిక వికెట్లు (12)', '3 వ సగటు (13,85) బౌలింగ్ ఉత్తమ జీవితం' '45 వ ఉత్తమ కెరీర్ ఆర్థిక రేటు (2.91)' '2 వ ఉత్తమ కెరీర్ సమ్మె రేటు (28.5)', 'ఇన్నింగ్స్ లో 18 వ ఉత్తమ సమ్మె రేటు (7.2)', '7 వ అత్యంత ఐదు-వికెట్ల లో-ఒక-ఇన్నింగ్స్ కెరీర్లో (2)', '9 వ అత్యం"&amp;"త నాలుగు వికెట్ల లో-ఒక-ఇన్నింగ్స్ కెరీర్లో (6) ',' 1 వ వరుస నాలుగు వికెట్లు-ఇన్-ఒక-ఇన్నింగ్స్ (3) ',' 9 వ అత్యంత వృద్ధ ఆటగాడు తొలి తీసుకుని ఐదు-వికెట్ల లో-ఒక-ఇన్నింగ్స్ (29y 132d) ',' 3 వ బౌలర్ / బ్యాట్స్ కలయికలు (8) ',' 44 వ బౌలర్ / ఫీల్డర్ కలయికలు (10) "&amp;"',' 6 వ అత్యధిక వికెట్లు తీసుకున్న బౌల్డ్ (40) ',' 32 వ అత్యధిక వికెట్లు (10 వికెట్లు ఆకర్షించింది తీసుకున్న ) ',' 43 వ అత్యధిక వికెట్లు తీసుకున్న ఎల్బిడబ్ల్యు (11) ']")</f>
        <v>[ '30 వ కెరీర్ లో అత్యధిక వికెట్లు (83)', '25 వ ఇన్నింగ్స్ లో బెస్ట్ ఫిగర్స్ (5/9)', '41 వ ఒక సిరీస్లో అత్యధిక వికెట్లు (17)', 'ఒక క్యాలెండర్ సంవత్సరంలో 3 వ అత్యధిక వికెట్లు (36)' '8 వ అత్యుత్తమ బౌలింగ్ ఇన్నింగ్స్ లో విశ్లేషించడం (5/9)', '33 వ ఒకే మైదానంలో అత్యధిక వికెట్లు (12)', '3 వ సగటు (13,85) బౌలింగ్ ఉత్తమ జీవితం' '45 వ ఉత్తమ కెరీర్ ఆర్థిక రేటు (2.91)' '2 వ ఉత్తమ కెరీర్ సమ్మె రేటు (28.5)', 'ఇన్నింగ్స్ లో 18 వ ఉత్తమ సమ్మె రేటు (7.2)', '7 వ అత్యంత ఐదు-వికెట్ల లో-ఒక-ఇన్నింగ్స్ కెరీర్లో (2)', '9 వ అత్యంత నాలుగు వికెట్ల లో-ఒక-ఇన్నింగ్స్ కెరీర్లో (6) ',' 1 వ వరుస నాలుగు వికెట్లు-ఇన్-ఒక-ఇన్నింగ్స్ (3) ',' 9 వ అత్యంత వృద్ధ ఆటగాడు తొలి తీసుకుని ఐదు-వికెట్ల లో-ఒక-ఇన్నింగ్స్ (29y 132d) ',' 3 వ బౌలర్ / బ్యాట్స్ కలయికలు (8) ',' 44 వ బౌలర్ / ఫీల్డర్ కలయికలు (10) ',' 6 వ అత్యధిక వికెట్లు తీసుకున్న బౌల్డ్ (40) ',' 32 వ అత్యధిక వికెట్లు (10 వికెట్లు ఆకర్షించింది తీసుకున్న ) ',' 43 వ అత్యధిక వికెట్లు తీసుకున్న ఎల్బిడబ్ల్యు (11) ']</v>
      </c>
      <c r="G2029" s="2"/>
      <c r="H2029" s="2" t="str">
        <f>IFERROR(__xludf.DUMMYFUNCTION("IF(G2029&lt;&gt;"""", GOOGLETRANSLATE(G2029, ""en"", ""te""),"""")"),"")</f>
        <v/>
      </c>
      <c r="I2029" s="3"/>
    </row>
    <row r="2030" customHeight="1" spans="1:9">
      <c r="A2030" s="2"/>
      <c r="B2030" s="2" t="str">
        <f>IFERROR(__xludf.DUMMYFUNCTION("IF(A2030&lt;&gt;"""", GOOGLETRANSLATE(A2030, ""en"", ""te""),"""")"),"")</f>
        <v/>
      </c>
      <c r="C2030" s="2"/>
      <c r="D2030" s="2" t="str">
        <f>IFERROR(__xludf.DUMMYFUNCTION("IF(C2030&lt;&gt;"""", GOOGLETRANSLATE(C2030, ""en"", ""te""),"""")"),"")</f>
        <v/>
      </c>
      <c r="E2030" s="2"/>
      <c r="F2030" s="2" t="str">
        <f>IFERROR(__xludf.DUMMYFUNCTION("IF(E2030&lt;&gt;"""", GOOGLETRANSLATE(E2030, ""en"", ""te""),"""")"),"")</f>
        <v/>
      </c>
      <c r="G2030" s="2"/>
      <c r="H2030" s="2" t="str">
        <f>IFERROR(__xludf.DUMMYFUNCTION("IF(G2030&lt;&gt;"""", GOOGLETRANSLATE(G2030, ""en"", ""te""),"""")"),"")</f>
        <v/>
      </c>
      <c r="I2030" s="3"/>
    </row>
    <row r="2031" customHeight="1" spans="1:9">
      <c r="A2031" s="2" t="s">
        <v>399</v>
      </c>
      <c r="B2031" s="2" t="str">
        <f>IFERROR(__xludf.DUMMYFUNCTION("IF(A2031&lt;&gt;"""", GOOGLETRANSLATE(A2031, ""en"", ""te""),"""")"),"[ 'తొలి పెయిర్']")</f>
        <v>[ 'తొలి పెయిర్']</v>
      </c>
      <c r="C2031" s="2"/>
      <c r="D2031" s="2" t="str">
        <f>IFERROR(__xludf.DUMMYFUNCTION("IF(C2031&lt;&gt;"""", GOOGLETRANSLATE(C2031, ""en"", ""te""),"""")"),"")</f>
        <v/>
      </c>
      <c r="E2031" s="2"/>
      <c r="F2031" s="2" t="str">
        <f>IFERROR(__xludf.DUMMYFUNCTION("IF(E2031&lt;&gt;"""", GOOGLETRANSLATE(E2031, ""en"", ""te""),"""")"),"")</f>
        <v/>
      </c>
      <c r="G2031" s="2"/>
      <c r="H2031" s="2" t="str">
        <f>IFERROR(__xludf.DUMMYFUNCTION("IF(G2031&lt;&gt;"""", GOOGLETRANSLATE(G2031, ""en"", ""te""),"""")"),"")</f>
        <v/>
      </c>
      <c r="I2031" s="3"/>
    </row>
    <row r="2032" customHeight="1" spans="1:9">
      <c r="A2032" s="2"/>
      <c r="B2032" s="2" t="str">
        <f>IFERROR(__xludf.DUMMYFUNCTION("IF(A2032&lt;&gt;"""", GOOGLETRANSLATE(A2032, ""en"", ""te""),"""")"),"")</f>
        <v/>
      </c>
      <c r="C2032" s="2"/>
      <c r="D2032" s="2" t="str">
        <f>IFERROR(__xludf.DUMMYFUNCTION("IF(C2032&lt;&gt;"""", GOOGLETRANSLATE(C2032, ""en"", ""te""),"""")"),"")</f>
        <v/>
      </c>
      <c r="E2032" s="2"/>
      <c r="F2032" s="2" t="str">
        <f>IFERROR(__xludf.DUMMYFUNCTION("IF(E2032&lt;&gt;"""", GOOGLETRANSLATE(E2032, ""en"", ""te""),"""")"),"")</f>
        <v/>
      </c>
      <c r="G2032" s="2"/>
      <c r="H2032" s="2" t="str">
        <f>IFERROR(__xludf.DUMMYFUNCTION("IF(G2032&lt;&gt;"""", GOOGLETRANSLATE(G2032, ""en"", ""te""),"""")"),"")</f>
        <v/>
      </c>
      <c r="I2032" s="3"/>
    </row>
    <row r="2033" customHeight="1" spans="1:9">
      <c r="A2033" s="2"/>
      <c r="B2033" s="2" t="str">
        <f>IFERROR(__xludf.DUMMYFUNCTION("IF(A2033&lt;&gt;"""", GOOGLETRANSLATE(A2033, ""en"", ""te""),"""")"),"")</f>
        <v/>
      </c>
      <c r="C2033" s="2"/>
      <c r="D2033" s="2" t="str">
        <f>IFERROR(__xludf.DUMMYFUNCTION("IF(C2033&lt;&gt;"""", GOOGLETRANSLATE(C2033, ""en"", ""te""),"""")"),"")</f>
        <v/>
      </c>
      <c r="E2033" s="2"/>
      <c r="F2033" s="2" t="str">
        <f>IFERROR(__xludf.DUMMYFUNCTION("IF(E2033&lt;&gt;"""", GOOGLETRANSLATE(E2033, ""en"", ""te""),"""")"),"")</f>
        <v/>
      </c>
      <c r="G2033" s="2"/>
      <c r="H2033" s="2" t="str">
        <f>IFERROR(__xludf.DUMMYFUNCTION("IF(G2033&lt;&gt;"""", GOOGLETRANSLATE(G2033, ""en"", ""te""),"""")"),"")</f>
        <v/>
      </c>
      <c r="I2033" s="3"/>
    </row>
    <row r="2034" customHeight="1" spans="1:9">
      <c r="A2034" s="2"/>
      <c r="B2034" s="2" t="str">
        <f>IFERROR(__xludf.DUMMYFUNCTION("IF(A2034&lt;&gt;"""", GOOGLETRANSLATE(A2034, ""en"", ""te""),"""")"),"")</f>
        <v/>
      </c>
      <c r="C2034" s="2"/>
      <c r="D2034" s="2" t="str">
        <f>IFERROR(__xludf.DUMMYFUNCTION("IF(C2034&lt;&gt;"""", GOOGLETRANSLATE(C2034, ""en"", ""te""),"""")"),"")</f>
        <v/>
      </c>
      <c r="E2034" s="2"/>
      <c r="F2034" s="2" t="str">
        <f>IFERROR(__xludf.DUMMYFUNCTION("IF(E2034&lt;&gt;"""", GOOGLETRANSLATE(E2034, ""en"", ""te""),"""")"),"")</f>
        <v/>
      </c>
      <c r="G2034" s="2"/>
      <c r="H2034" s="2" t="str">
        <f>IFERROR(__xludf.DUMMYFUNCTION("IF(G2034&lt;&gt;"""", GOOGLETRANSLATE(G2034, ""en"", ""te""),"""")"),"")</f>
        <v/>
      </c>
      <c r="I2034" s="3"/>
    </row>
    <row r="2035" customHeight="1" spans="1:9">
      <c r="A2035" s="2"/>
      <c r="B2035" s="2" t="str">
        <f>IFERROR(__xludf.DUMMYFUNCTION("IF(A2035&lt;&gt;"""", GOOGLETRANSLATE(A2035, ""en"", ""te""),"""")"),"")</f>
        <v/>
      </c>
      <c r="C2035" s="2" t="s">
        <v>1323</v>
      </c>
      <c r="D2035" s="2" t="str">
        <f>IFERROR(__xludf.DUMMYFUNCTION("IF(C2035&lt;&gt;"""", GOOGLETRANSLATE(C2035, ""en"", ""te""),"""")"),"[ '47 వ షార్టేస్ట్ నివసించారు క్రీడాకారులు (35y 316d)']")</f>
        <v>[ '47 వ షార్టేస్ట్ నివసించారు క్రీడాకారులు (35y 316d)']</v>
      </c>
      <c r="E2035" s="2"/>
      <c r="F2035" s="2" t="str">
        <f>IFERROR(__xludf.DUMMYFUNCTION("IF(E2035&lt;&gt;"""", GOOGLETRANSLATE(E2035, ""en"", ""te""),"""")"),"")</f>
        <v/>
      </c>
      <c r="G2035" s="2"/>
      <c r="H2035" s="2" t="str">
        <f>IFERROR(__xludf.DUMMYFUNCTION("IF(G2035&lt;&gt;"""", GOOGLETRANSLATE(G2035, ""en"", ""te""),"""")"),"")</f>
        <v/>
      </c>
      <c r="I2035" s="3"/>
    </row>
    <row r="2036" customHeight="1" spans="1:9">
      <c r="A2036" s="2"/>
      <c r="B2036" s="2" t="str">
        <f>IFERROR(__xludf.DUMMYFUNCTION("IF(A2036&lt;&gt;"""", GOOGLETRANSLATE(A2036, ""en"", ""te""),"""")"),"")</f>
        <v/>
      </c>
      <c r="C2036" s="2"/>
      <c r="D2036" s="2" t="str">
        <f>IFERROR(__xludf.DUMMYFUNCTION("IF(C2036&lt;&gt;"""", GOOGLETRANSLATE(C2036, ""en"", ""te""),"""")"),"")</f>
        <v/>
      </c>
      <c r="E2036" s="2" t="s">
        <v>1324</v>
      </c>
      <c r="F2036" s="2" t="str">
        <f>IFERROR(__xludf.DUMMYFUNCTION("IF(E2036&lt;&gt;"""", GOOGLETRANSLATE(E2036, ""en"", ""te""),"""")"),"[ '20 వ చెత్త కెరీర్ బౌలింగ్ సరాసరి (అర్హత లేకుండా) (96.00)']")</f>
        <v>[ '20 వ చెత్త కెరీర్ బౌలింగ్ సరాసరి (అర్హత లేకుండా) (96.00)']</v>
      </c>
      <c r="G2036" s="2"/>
      <c r="H2036" s="2" t="str">
        <f>IFERROR(__xludf.DUMMYFUNCTION("IF(G2036&lt;&gt;"""", GOOGLETRANSLATE(G2036, ""en"", ""te""),"""")"),"")</f>
        <v/>
      </c>
      <c r="I2036" s="3"/>
    </row>
    <row r="2037" customHeight="1" spans="1:9">
      <c r="A2037" s="2" t="s">
        <v>1325</v>
      </c>
      <c r="B2037" s="2" t="str">
        <f>IFERROR(__xludf.DUMMYFUNCTION("IF(A2037&lt;&gt;"""", GOOGLETRANSLATE(A2037, ""en"", ""te""),"""")"),"[ 'బ్యాటింగ్ ప్రారంభించుటకు మరియు అదే మ్యాచ్ లో బౌలింగ్', '2 వ అత్యధిక కెరీర్ సమ్మె రేటు (125.43)', '2 వ అత్యధిక క్యాచ్లు ఒక ఇన్నింగ్స్ లో (4)', '1000 పరుగులు, 50 వికెట్లు, 50 క్యాచ్లు', '4 వ అత్యంత ప్లేయర్ ఆఫ్ ది సిరీస్ అవార్డులు (3) ',' 1 వ ఇన్నింగ్స్ ల"&amp;"ో అత్యధిక పరుగులు (బ్యాటింగ్ స్థానంలో ప్రకారం) (113 *) ',' 2 వ అత్యధిక కెరీర్ సమ్మె రేటు (158.92) ',' వరుస ఇన్నింగ్స్లో 3 వ యాభైల్లో (3 ) ',' కెరీర్ లో 5 వ అతి తక్కువ బాతులు (65) ',' ఇన్నింగ్స్ లో ఫోర్లు, సిక్సర్లు నుండి 4 వ అత్యధిక పరుగులు (110) ']")</f>
        <v>[ 'బ్యాటింగ్ ప్రారంభించుటకు మరియు అదే మ్యాచ్ లో బౌలింగ్', '2 వ అత్యధిక కెరీర్ సమ్మె రేటు (125.43)', '2 వ అత్యధిక క్యాచ్లు ఒక ఇన్నింగ్స్ లో (4)', '1000 పరుగులు, 50 వికెట్లు, 50 క్యాచ్లు', '4 వ అత్యంత ప్లేయర్ ఆఫ్ ది సిరీస్ అవార్డులు (3) ',' 1 వ ఇన్నింగ్స్ లో అత్యధిక పరుగులు (బ్యాటింగ్ స్థానంలో ప్రకారం) (113 *) ',' 2 వ అత్యధిక కెరీర్ సమ్మె రేటు (158.92) ',' వరుస ఇన్నింగ్స్లో 3 వ యాభైల్లో (3 ) ',' కెరీర్ లో 5 వ అతి తక్కువ బాతులు (65) ',' ఇన్నింగ్స్ లో ఫోర్లు, సిక్సర్లు నుండి 4 వ అత్యధిక పరుగులు (110) ']</v>
      </c>
      <c r="C2037" s="2"/>
      <c r="D2037" s="2" t="str">
        <f>IFERROR(__xludf.DUMMYFUNCTION("IF(C2037&lt;&gt;"""", GOOGLETRANSLATE(C2037, ""en"", ""te""),"""")"),"")</f>
        <v/>
      </c>
      <c r="E2037" s="2" t="s">
        <v>1326</v>
      </c>
      <c r="F2037" s="2" t="str">
        <f>IFERROR(__xludf.DUMMYFUNCTION("IF(E2037&lt;&gt;"""", GOOGLETRANSLATE(E2037, ""en"", ""te""),"""")"),"[ '12 వ ఇన్నింగ్స్ లో అత్యధిక పరుగులు (బ్యాటింగ్ స్థానంలో ప్రకారం) (108)', '2 వ అత్యధిక కెరీర్ సమ్మె రేటు (125.43)', 'ఇన్నింగ్స్ లో 7 వ అత్యధిక స్ట్రైక్ రేట్ (320.00)', '22 వ కెరీర్ తొంభైల (5 ) ',' 32 వ కెరీర్ లో వచ్చిన ఎక్కువ సిక్స్ (116) ',' 18 వ చెత్"&amp;"త కెరీర్లో ఒక ఇన్నింగ్స్ లో బౌలింగ్ సరాసరి (52.60) ',' 45 వ చెత్త కెరీర్లో ఆర్థిక రేటు (5.66) ',' 2 వ అత్యధిక క్యాచ్లు (4) ',' 24 వ ఒక సిరీస్లో అత్యధిక క్యాచ్లు (8) ',' ఐదవ వికెట్కు 24 అత్యధిక భాగస్వామ్యం (160) ',' ఆరవ వికెట్ (134) కోసం 26 అత్యధిక భాగస్వా"&amp;"మ్యం ']")</f>
        <v>[ '12 వ ఇన్నింగ్స్ లో అత్యధిక పరుగులు (బ్యాటింగ్ స్థానంలో ప్రకారం) (108)', '2 వ అత్యధిక కెరీర్ సమ్మె రేటు (125.43)', 'ఇన్నింగ్స్ లో 7 వ అత్యధిక స్ట్రైక్ రేట్ (320.00)', '22 వ కెరీర్ తొంభైల (5 ) ',' 32 వ కెరీర్ లో వచ్చిన ఎక్కువ సిక్స్ (116) ',' 18 వ చెత్త కెరీర్లో ఒక ఇన్నింగ్స్ లో బౌలింగ్ సరాసరి (52.60) ',' 45 వ చెత్త కెరీర్లో ఆర్థిక రేటు (5.66) ',' 2 వ అత్యధిక క్యాచ్లు (4) ',' 24 వ ఒక సిరీస్లో అత్యధిక క్యాచ్లు (8) ',' ఐదవ వికెట్కు 24 అత్యధిక భాగస్వామ్యం (160) ',' ఆరవ వికెట్ (134) కోసం 26 అత్యధిక భాగస్వామ్యం ']</v>
      </c>
      <c r="G2037" s="2" t="s">
        <v>1327</v>
      </c>
      <c r="H2037" s="2" t="str">
        <f>IFERROR(__xludf.DUMMYFUNCTION("IF(G2037&lt;&gt;"""", GOOGLETRANSLATE(G2037, ""en"", ""te""),"""")"),"[ '17 వ కెరీర్ లో అత్యధిక పరుగులు (1780)', 'ఇన్నింగ్స్ లో 4 వ అత్యధిక పరుగులు (145 *)', '18 వ ఒక క్యాలెండర్ సంవత్సరంలో అత్యధిక పరుగులు (506)', '1 వ ఇన్నింగ్స్ లో అత్యధిక పరుగులు (బ్యాటింగ్ స్థానంలో ద్వారా) కెరీర్లో (113 *) ',' 29th అత్యధిక కెరీర్ బ్యాటింగ"&amp;"్ సగటు (31.78) ',' 2 వ అత్యధిక కెరీర్ సమ్మె రేటు (158.92) ',' 17 వ అత్యంత అర్ధ (12) ',' వరుస ఇన్నింగ్స్లో 3 వ యాభైల్లో (3) ', 'మొదటి డక్ ముందు 38 వ అత్యంత ఇన్నింగ్స్ (18)', 'ఒక డక్ లేకుండా 16 వరుస ఇన్నింగ్స్ (46 *)', 'కెరీర్ లో 5 వ అతి తక్కువ బాతులు (65)"&amp;"', '7 వ ఎక్కువ సిక్స్ కెరీర్లో (93)', '22 వ జీవితంలో అత్యధిక ఫోర్లు (147) ',' 17 వ ఇన్నింగ్స్ లో వచ్చిన ఎక్కువ సిక్స్ (9) ',' 4 వ ఇన్నింగ్స్ లో వచ్చిన ఎక్కువ ఫోర్లు (14) ',' ఇన్నింగ్స్ లో ఫోర్లు, సిక్సర్లు నుండి 4 వ అత్యధిక పరుగులు (110) ',' 17 లాంగెస్ట్ "&amp;"వ్యక్తిగత ఇన్నింగ్స్ (బంతులతో) (65) ',' 48 వ ఒక ఇన్నింగ్స్లో పరుగుల అత్యధిక శాతం (55.13) ',' ఫాస్టెస్ట్ 13 వ 1000 పరుగులు (36) ',' 17 వ బౌలర్ / బ్యాట్స్ కలయికలు (3) ', ది '17 వ కెరీర్ లో అత్యధిక క్యాచ్లు (35)', 'మూడో వికెట్కు 27 అత్యధిక భాగస్వామ్యం (109)'"&amp;", '24 వ అత్యధిక నాలుగోది భాగస్వామ్యంతో వికెట్ (99 *) ఏడవ వికెట్కు ',' 18 వ అత్యధిక భాగస్వామ్యం (59) ',' 34 వ కెరీర్ లో అత్యధిక మ్యాచ్లు (72) ',' 28 వ అతి ప్లేయర్ ఆఫ్ ది మ్యాచ్ అవార్డులు (5) ',' 4 వ అత్యంత ప్లేయర్ ఆఫ్ ది సిరీస్ అవార్డులు (3) ']")</f>
        <v>[ '17 వ కెరీర్ లో అత్యధిక పరుగులు (1780)', 'ఇన్నింగ్స్ లో 4 వ అత్యధిక పరుగులు (145 *)', '18 వ ఒక క్యాలెండర్ సంవత్సరంలో అత్యధిక పరుగులు (506)', '1 వ ఇన్నింగ్స్ లో అత్యధిక పరుగులు (బ్యాటింగ్ స్థానంలో ద్వారా) కెరీర్లో (113 *) ',' 29th అత్యధిక కెరీర్ బ్యాటింగ్ సగటు (31.78) ',' 2 వ అత్యధిక కెరీర్ సమ్మె రేటు (158.92) ',' 17 వ అత్యంత అర్ధ (12) ',' వరుస ఇన్నింగ్స్లో 3 వ యాభైల్లో (3) ', 'మొదటి డక్ ముందు 38 వ అత్యంత ఇన్నింగ్స్ (18)', 'ఒక డక్ లేకుండా 16 వరుస ఇన్నింగ్స్ (46 *)', 'కెరీర్ లో 5 వ అతి తక్కువ బాతులు (65)', '7 వ ఎక్కువ సిక్స్ కెరీర్లో (93)', '22 వ జీవితంలో అత్యధిక ఫోర్లు (147) ',' 17 వ ఇన్నింగ్స్ లో వచ్చిన ఎక్కువ సిక్స్ (9) ',' 4 వ ఇన్నింగ్స్ లో వచ్చిన ఎక్కువ ఫోర్లు (14) ',' ఇన్నింగ్స్ లో ఫోర్లు, సిక్సర్లు నుండి 4 వ అత్యధిక పరుగులు (110) ',' 17 లాంగెస్ట్ వ్యక్తిగత ఇన్నింగ్స్ (బంతులతో) (65) ',' 48 వ ఒక ఇన్నింగ్స్లో పరుగుల అత్యధిక శాతం (55.13) ',' ఫాస్టెస్ట్ 13 వ 1000 పరుగులు (36) ',' 17 వ బౌలర్ / బ్యాట్స్ కలయికలు (3) ', ది '17 వ కెరీర్ లో అత్యధిక క్యాచ్లు (35)', 'మూడో వికెట్కు 27 అత్యధిక భాగస్వామ్యం (109)', '24 వ అత్యధిక నాలుగోది భాగస్వామ్యంతో వికెట్ (99 *) ఏడవ వికెట్కు ',' 18 వ అత్యధిక భాగస్వామ్యం (59) ',' 34 వ కెరీర్ లో అత్యధిక మ్యాచ్లు (72) ',' 28 వ అతి ప్లేయర్ ఆఫ్ ది మ్యాచ్ అవార్డులు (5) ',' 4 వ అత్యంత ప్లేయర్ ఆఫ్ ది సిరీస్ అవార్డులు (3) ']</v>
      </c>
      <c r="I2037" s="3"/>
    </row>
    <row r="2038" customHeight="1" spans="1:9">
      <c r="A2038" s="2"/>
      <c r="B2038" s="2" t="str">
        <f>IFERROR(__xludf.DUMMYFUNCTION("IF(A2038&lt;&gt;"""", GOOGLETRANSLATE(A2038, ""en"", ""te""),"""")"),"")</f>
        <v/>
      </c>
      <c r="C2038" s="2" t="s">
        <v>1328</v>
      </c>
      <c r="D2038" s="2" t="str">
        <f>IFERROR(__xludf.DUMMYFUNCTION("IF(C2038&lt;&gt;"""", GOOGLETRANSLATE(C2038, ""en"", ""te""),"""")"),"[ '50 వ ఇన్నింగ్స్ లో బెస్ట్ ఫిగర్స్ (8/59)', '18 వ వరుస ఐదు వికెట్ల లో-ఒక-ఇన్నింగ్స్ (3)', '41 వ 50 వికెట్లు (11) వేగంగా', '37 వ 100 వికెట్లు వేగంగా (23) ']")</f>
        <v>[ '50 వ ఇన్నింగ్స్ లో బెస్ట్ ఫిగర్స్ (8/59)', '18 వ వరుస ఐదు వికెట్ల లో-ఒక-ఇన్నింగ్స్ (3)', '41 వ 50 వికెట్లు (11) వేగంగా', '37 వ 100 వికెట్లు వేగంగా (23) ']</v>
      </c>
      <c r="E2038" s="2"/>
      <c r="F2038" s="2" t="str">
        <f>IFERROR(__xludf.DUMMYFUNCTION("IF(E2038&lt;&gt;"""", GOOGLETRANSLATE(E2038, ""en"", ""te""),"""")"),"")</f>
        <v/>
      </c>
      <c r="G2038" s="2"/>
      <c r="H2038" s="2" t="str">
        <f>IFERROR(__xludf.DUMMYFUNCTION("IF(G2038&lt;&gt;"""", GOOGLETRANSLATE(G2038, ""en"", ""te""),"""")"),"")</f>
        <v/>
      </c>
      <c r="I2038" s="3"/>
    </row>
    <row r="2039" customHeight="1" spans="1:9">
      <c r="A2039" s="2"/>
      <c r="B2039" s="2" t="str">
        <f>IFERROR(__xludf.DUMMYFUNCTION("IF(A2039&lt;&gt;"""", GOOGLETRANSLATE(A2039, ""en"", ""te""),"""")"),"")</f>
        <v/>
      </c>
      <c r="C2039" s="2"/>
      <c r="D2039" s="2" t="str">
        <f>IFERROR(__xludf.DUMMYFUNCTION("IF(C2039&lt;&gt;"""", GOOGLETRANSLATE(C2039, ""en"", ""te""),"""")"),"")</f>
        <v/>
      </c>
      <c r="E2039" s="2"/>
      <c r="F2039" s="2" t="str">
        <f>IFERROR(__xludf.DUMMYFUNCTION("IF(E2039&lt;&gt;"""", GOOGLETRANSLATE(E2039, ""en"", ""te""),"""")"),"")</f>
        <v/>
      </c>
      <c r="G2039" s="2"/>
      <c r="H2039" s="2" t="str">
        <f>IFERROR(__xludf.DUMMYFUNCTION("IF(G2039&lt;&gt;"""", GOOGLETRANSLATE(G2039, ""en"", ""te""),"""")"),"")</f>
        <v/>
      </c>
      <c r="I2039" s="3"/>
    </row>
    <row r="2040" customHeight="1" spans="1:9">
      <c r="A2040" s="2" t="s">
        <v>1329</v>
      </c>
      <c r="B2040" s="2" t="str">
        <f>IFERROR(__xludf.DUMMYFUNCTION("IF(A2040&lt;&gt;"""", GOOGLETRANSLATE(A2040, ""en"", ""te""),"""")"),"[ 'హండ్రెడ్ మరియు ఒక మ్యాచ్లో ఒక డక్', 'తొలి వికెట్కు (329) కోసం 10 వ అత్యధిక భాగస్వామ్యం']")</f>
        <v>[ 'హండ్రెడ్ మరియు ఒక మ్యాచ్లో ఒక డక్', 'తొలి వికెట్కు (329) కోసం 10 వ అత్యధిక భాగస్వామ్యం']</v>
      </c>
      <c r="C2040" s="2" t="s">
        <v>1330</v>
      </c>
      <c r="D2040" s="2" t="str">
        <f>IFERROR(__xludf.DUMMYFUNCTION("IF(C2040&lt;&gt;"""", GOOGLETRANSLATE(C2040, ""en"", ""te""),"""")"),"[ 'ఒక డక్ లేకుండా 26 వరుస ఇన్నింగ్స్ (62)', '24 వ అతి తక్కువ బాతులు కెరీర్ లో (31)', 'తొలి వికెట్కు (329) కోసం 10 వ అత్యధిక భాగస్వామ్యం']")</f>
        <v>[ 'ఒక డక్ లేకుండా 26 వరుస ఇన్నింగ్స్ (62)', '24 వ అతి తక్కువ బాతులు కెరీర్ లో (31)', 'తొలి వికెట్కు (329) కోసం 10 వ అత్యధిక భాగస్వామ్యం']</v>
      </c>
      <c r="E2040" s="2" t="s">
        <v>1331</v>
      </c>
      <c r="F2040" s="2" t="str">
        <f>IFERROR(__xludf.DUMMYFUNCTION("IF(E2040&lt;&gt;"""", GOOGLETRANSLATE(E2040, ""en"", ""te""),"""")"),"[40 వ కెరీర్ లో అతి తక్కువ బాతులు (28.75) ',' 28th లాంగెస్ట్ వ్యక్తిగత ఇన్నింగ్స్ (బంతులతో) (162) ',' 36 వ 1000 పరుగులు వేగంగా (28) ',' 48 వ 2000 పరుగులు (58) వేగంగా ',' 25 వ వేగవంతమైన 3000 పరుగులు (82) ',' ఫాస్టెస్ట్ 4000 పరుగులు (106) ',' మొదటి వికెట్క"&amp;"ు 30 వ అత్యధిక భాగస్వామ్యం (212) ',' 35 వ వరుస మ్యాచ్లు ఒక జట్టు కోసం 16 (80) ']")</f>
        <v>[40 వ కెరీర్ లో అతి తక్కువ బాతులు (28.75) ',' 28th లాంగెస్ట్ వ్యక్తిగత ఇన్నింగ్స్ (బంతులతో) (162) ',' 36 వ 1000 పరుగులు వేగంగా (28) ',' 48 వ 2000 పరుగులు (58) వేగంగా ',' 25 వ వేగవంతమైన 3000 పరుగులు (82) ',' ఫాస్టెస్ట్ 4000 పరుగులు (106) ',' మొదటి వికెట్కు 30 వ అత్యధిక భాగస్వామ్యం (212) ',' 35 వ వరుస మ్యాచ్లు ఒక జట్టు కోసం 16 (80) ']</v>
      </c>
      <c r="G2040" s="2"/>
      <c r="H2040" s="2" t="str">
        <f>IFERROR(__xludf.DUMMYFUNCTION("IF(G2040&lt;&gt;"""", GOOGLETRANSLATE(G2040, ""en"", ""te""),"""")"),"")</f>
        <v/>
      </c>
      <c r="I2040" s="3"/>
    </row>
    <row r="2041" customHeight="1" spans="1:9">
      <c r="A2041" s="2"/>
      <c r="B2041" s="2" t="str">
        <f>IFERROR(__xludf.DUMMYFUNCTION("IF(A2041&lt;&gt;"""", GOOGLETRANSLATE(A2041, ""en"", ""te""),"""")"),"")</f>
        <v/>
      </c>
      <c r="C2041" s="2"/>
      <c r="D2041" s="2" t="str">
        <f>IFERROR(__xludf.DUMMYFUNCTION("IF(C2041&lt;&gt;"""", GOOGLETRANSLATE(C2041, ""en"", ""te""),"""")"),"")</f>
        <v/>
      </c>
      <c r="E2041" s="2"/>
      <c r="F2041" s="2" t="str">
        <f>IFERROR(__xludf.DUMMYFUNCTION("IF(E2041&lt;&gt;"""", GOOGLETRANSLATE(E2041, ""en"", ""te""),"""")"),"")</f>
        <v/>
      </c>
      <c r="G2041" s="2"/>
      <c r="H2041" s="2" t="str">
        <f>IFERROR(__xludf.DUMMYFUNCTION("IF(G2041&lt;&gt;"""", GOOGLETRANSLATE(G2041, ""en"", ""te""),"""")"),"")</f>
        <v/>
      </c>
      <c r="I2041" s="3"/>
    </row>
    <row r="2042" customHeight="1" spans="1:9">
      <c r="A2042" s="2" t="s">
        <v>1332</v>
      </c>
      <c r="B2042" s="2" t="str">
        <f>IFERROR(__xludf.DUMMYFUNCTION("IF(A2042&lt;&gt;"""", GOOGLETRANSLATE(A2042, ""en"", ""te""),"""")"),"[ 'ఒక మ్యాచ్లో 9 వ బెస్ట్ ఫిగర్స్ ఉన్నప్పుడు పరాజయం వైపు (6)', '2 వ ఉత్తమ తొలి ఇన్నింగ్స్లో గణాంకాలు (5)']")</f>
        <v>[ 'ఒక మ్యాచ్లో 9 వ బెస్ట్ ఫిగర్స్ ఉన్నప్పుడు పరాజయం వైపు (6)', '2 వ ఉత్తమ తొలి ఇన్నింగ్స్లో గణాంకాలు (5)']</v>
      </c>
      <c r="C2042" s="2" t="s">
        <v>1333</v>
      </c>
      <c r="D2042" s="2" t="str">
        <f>IFERROR(__xludf.DUMMYFUNCTION("IF(C2042&lt;&gt;"""", GOOGLETRANSLATE(C2042, ""en"", ""te""),"""")"),"[ 'ఒక మ్యాచ్లో 9 వ బెస్ట్ ఫిగర్స్ పరాజయం వైపు (6) ఉన్నప్పుడు', '44 వ ఉత్తమ కెరీర్ బౌలింగ్ సరాసరి (అర్హత లేకుండా) (14.66)', 'ప్రవేశం (6) ఒక మ్యాచ్లో 15 వ బెస్ట్ ఫిగర్స్']")</f>
        <v>[ 'ఒక మ్యాచ్లో 9 వ బెస్ట్ ఫిగర్స్ పరాజయం వైపు (6) ఉన్నప్పుడు', '44 వ ఉత్తమ కెరీర్ బౌలింగ్ సరాసరి (అర్హత లేకుండా) (14.66)', 'ప్రవేశం (6) ఒక మ్యాచ్లో 15 వ బెస్ట్ ఫిగర్స్']</v>
      </c>
      <c r="E2042" s="2" t="s">
        <v>1334</v>
      </c>
      <c r="F2042" s="2" t="str">
        <f>IFERROR(__xludf.DUMMYFUNCTION("IF(E2042&lt;&gt;"""", GOOGLETRANSLATE(E2042, ""en"", ""te""),"""")"),"[ '30 వ ఇన్నింగ్స్ లో బెస్ట్ ఫిగర్స్ (5/14)', 'ఇన్నింగ్స్ లో 13 వ అత్యుత్తమ బౌలింగ్ విశ్లేషణలు (5/14)', '2 వ ఉత్తమ ప్రముఖులలో 23 సగటు (అర్హత లేకుండా) (11.00) బౌలింగ్ ఉత్తమ కెరీర్లో' ఒక తొలి ఇన్నింగ్స్ (5) ',' ఐదు వికెట్ల లో-ఒక-ఇన్నింగ్స్ తీసుకోవాలని 35 వ "&amp;"పిన్న వయస్కుడిగా నిలిచాడు (23y 307d) ']")</f>
        <v>[ '30 వ ఇన్నింగ్స్ లో బెస్ట్ ఫిగర్స్ (5/14)', 'ఇన్నింగ్స్ లో 13 వ అత్యుత్తమ బౌలింగ్ విశ్లేషణలు (5/14)', '2 వ ఉత్తమ ప్రముఖులలో 23 సగటు (అర్హత లేకుండా) (11.00) బౌలింగ్ ఉత్తమ కెరీర్లో' ఒక తొలి ఇన్నింగ్స్ (5) ',' ఐదు వికెట్ల లో-ఒక-ఇన్నింగ్స్ తీసుకోవాలని 35 వ పిన్న వయస్కుడిగా నిలిచాడు (23y 307d) ']</v>
      </c>
      <c r="G2042" s="2"/>
      <c r="H2042" s="2" t="str">
        <f>IFERROR(__xludf.DUMMYFUNCTION("IF(G2042&lt;&gt;"""", GOOGLETRANSLATE(G2042, ""en"", ""te""),"""")"),"")</f>
        <v/>
      </c>
      <c r="I2042" s="3"/>
    </row>
    <row r="2043" customHeight="1" spans="1:9">
      <c r="A2043" s="2"/>
      <c r="B2043" s="2" t="str">
        <f>IFERROR(__xludf.DUMMYFUNCTION("IF(A2043&lt;&gt;"""", GOOGLETRANSLATE(A2043, ""en"", ""te""),"""")"),"")</f>
        <v/>
      </c>
      <c r="C2043" s="2"/>
      <c r="D2043" s="2" t="str">
        <f>IFERROR(__xludf.DUMMYFUNCTION("IF(C2043&lt;&gt;"""", GOOGLETRANSLATE(C2043, ""en"", ""te""),"""")"),"")</f>
        <v/>
      </c>
      <c r="E2043" s="2"/>
      <c r="F2043" s="2" t="str">
        <f>IFERROR(__xludf.DUMMYFUNCTION("IF(E2043&lt;&gt;"""", GOOGLETRANSLATE(E2043, ""en"", ""te""),"""")"),"")</f>
        <v/>
      </c>
      <c r="G2043" s="2"/>
      <c r="H2043" s="2" t="str">
        <f>IFERROR(__xludf.DUMMYFUNCTION("IF(G2043&lt;&gt;"""", GOOGLETRANSLATE(G2043, ""en"", ""te""),"""")"),"")</f>
        <v/>
      </c>
      <c r="I2043" s="3"/>
    </row>
    <row r="2044" customHeight="1" spans="1:9">
      <c r="A2044" s="2"/>
      <c r="B2044" s="2" t="str">
        <f>IFERROR(__xludf.DUMMYFUNCTION("IF(A2044&lt;&gt;"""", GOOGLETRANSLATE(A2044, ""en"", ""te""),"""")"),"")</f>
        <v/>
      </c>
      <c r="C2044" s="2"/>
      <c r="D2044" s="2" t="str">
        <f>IFERROR(__xludf.DUMMYFUNCTION("IF(C2044&lt;&gt;"""", GOOGLETRANSLATE(C2044, ""en"", ""te""),"""")"),"")</f>
        <v/>
      </c>
      <c r="E2044" s="2"/>
      <c r="F2044" s="2" t="str">
        <f>IFERROR(__xludf.DUMMYFUNCTION("IF(E2044&lt;&gt;"""", GOOGLETRANSLATE(E2044, ""en"", ""te""),"""")"),"")</f>
        <v/>
      </c>
      <c r="G2044" s="2"/>
      <c r="H2044" s="2" t="str">
        <f>IFERROR(__xludf.DUMMYFUNCTION("IF(G2044&lt;&gt;"""", GOOGLETRANSLATE(G2044, ""en"", ""te""),"""")"),"")</f>
        <v/>
      </c>
      <c r="I2044" s="3"/>
    </row>
    <row r="2045" customHeight="1" spans="1:9">
      <c r="A2045" s="2"/>
      <c r="B2045" s="2" t="str">
        <f>IFERROR(__xludf.DUMMYFUNCTION("IF(A2045&lt;&gt;"""", GOOGLETRANSLATE(A2045, ""en"", ""te""),"""")"),"")</f>
        <v/>
      </c>
      <c r="C2045" s="2"/>
      <c r="D2045" s="2" t="str">
        <f>IFERROR(__xludf.DUMMYFUNCTION("IF(C2045&lt;&gt;"""", GOOGLETRANSLATE(C2045, ""en"", ""te""),"""")"),"")</f>
        <v/>
      </c>
      <c r="E2045" s="2"/>
      <c r="F2045" s="2" t="str">
        <f>IFERROR(__xludf.DUMMYFUNCTION("IF(E2045&lt;&gt;"""", GOOGLETRANSLATE(E2045, ""en"", ""te""),"""")"),"")</f>
        <v/>
      </c>
      <c r="G2045" s="2"/>
      <c r="H2045" s="2" t="str">
        <f>IFERROR(__xludf.DUMMYFUNCTION("IF(G2045&lt;&gt;"""", GOOGLETRANSLATE(G2045, ""en"", ""te""),"""")"),"")</f>
        <v/>
      </c>
      <c r="I2045" s="3"/>
    </row>
    <row r="2046" customHeight="1" spans="1:9">
      <c r="A2046" s="2" t="s">
        <v>749</v>
      </c>
      <c r="B2046" s="2" t="str">
        <f>IFERROR(__xludf.DUMMYFUNCTION("IF(A2046&lt;&gt;"""", GOOGLETRANSLATE(A2046, ""en"", ""te""),"""")"),"[ '6 వ అత్యధిక వరుస బాతులు (3)']")</f>
        <v>[ '6 వ అత్యధిక వరుస బాతులు (3)']</v>
      </c>
      <c r="C2046" s="2"/>
      <c r="D2046" s="2" t="str">
        <f>IFERROR(__xludf.DUMMYFUNCTION("IF(C2046&lt;&gt;"""", GOOGLETRANSLATE(C2046, ""en"", ""te""),"""")"),"")</f>
        <v/>
      </c>
      <c r="E2046" s="2" t="s">
        <v>1335</v>
      </c>
      <c r="F2046" s="2" t="str">
        <f>IFERROR(__xludf.DUMMYFUNCTION("IF(E2046&lt;&gt;"""", GOOGLETRANSLATE(E2046, ""en"", ""te""),"""")"),"[ 'ఒక సిరీస్లో 6 వ అత్యంత బాతులు (3)', '6 వ అత్యధిక వరుస బాతులు (3)']")</f>
        <v>[ 'ఒక సిరీస్లో 6 వ అత్యంత బాతులు (3)', '6 వ అత్యధిక వరుస బాతులు (3)']</v>
      </c>
      <c r="G2046" s="2"/>
      <c r="H2046" s="2" t="str">
        <f>IFERROR(__xludf.DUMMYFUNCTION("IF(G2046&lt;&gt;"""", GOOGLETRANSLATE(G2046, ""en"", ""te""),"""")"),"")</f>
        <v/>
      </c>
      <c r="I2046" s="3"/>
    </row>
    <row r="2047" customHeight="1" spans="1:9">
      <c r="A2047" s="2"/>
      <c r="B2047" s="2" t="str">
        <f>IFERROR(__xludf.DUMMYFUNCTION("IF(A2047&lt;&gt;"""", GOOGLETRANSLATE(A2047, ""en"", ""te""),"""")"),"")</f>
        <v/>
      </c>
      <c r="C2047" s="2"/>
      <c r="D2047" s="2" t="str">
        <f>IFERROR(__xludf.DUMMYFUNCTION("IF(C2047&lt;&gt;"""", GOOGLETRANSLATE(C2047, ""en"", ""te""),"""")"),"")</f>
        <v/>
      </c>
      <c r="E2047" s="2"/>
      <c r="F2047" s="2" t="str">
        <f>IFERROR(__xludf.DUMMYFUNCTION("IF(E2047&lt;&gt;"""", GOOGLETRANSLATE(E2047, ""en"", ""te""),"""")"),"")</f>
        <v/>
      </c>
      <c r="G2047" s="2"/>
      <c r="H2047" s="2" t="str">
        <f>IFERROR(__xludf.DUMMYFUNCTION("IF(G2047&lt;&gt;"""", GOOGLETRANSLATE(G2047, ""en"", ""te""),"""")"),"")</f>
        <v/>
      </c>
      <c r="I2047" s="3"/>
    </row>
    <row r="2048" customHeight="1" spans="1:9">
      <c r="A2048" s="2"/>
      <c r="B2048" s="2" t="str">
        <f>IFERROR(__xludf.DUMMYFUNCTION("IF(A2048&lt;&gt;"""", GOOGLETRANSLATE(A2048, ""en"", ""te""),"""")"),"")</f>
        <v/>
      </c>
      <c r="C2048" s="2" t="s">
        <v>1336</v>
      </c>
      <c r="D2048" s="2" t="str">
        <f>IFERROR(__xludf.DUMMYFUNCTION("IF(C2048&lt;&gt;"""", GOOGLETRANSLATE(C2048, ""en"", ""te""),"""")"),"[ '31 మోస్ట్ పరాజయం వైపు (219) ఒక మ్యాచ్లో పరుగులు' 'ఒక రోజు 25 వ అత్యధిక పరుగులు (213)', '42 వ ఒక సిరీస్లో అత్యధిక క్యాచ్లు (10)']")</f>
        <v>[ '31 మోస్ట్ పరాజయం వైపు (219) ఒక మ్యాచ్లో పరుగులు' 'ఒక రోజు 25 వ అత్యధిక పరుగులు (213)', '42 వ ఒక సిరీస్లో అత్యధిక క్యాచ్లు (10)']</v>
      </c>
      <c r="E2048" s="2"/>
      <c r="F2048" s="2" t="str">
        <f>IFERROR(__xludf.DUMMYFUNCTION("IF(E2048&lt;&gt;"""", GOOGLETRANSLATE(E2048, ""en"", ""te""),"""")"),"")</f>
        <v/>
      </c>
      <c r="G2048" s="2"/>
      <c r="H2048" s="2" t="str">
        <f>IFERROR(__xludf.DUMMYFUNCTION("IF(G2048&lt;&gt;"""", GOOGLETRANSLATE(G2048, ""en"", ""te""),"""")"),"")</f>
        <v/>
      </c>
      <c r="I2048" s="3"/>
    </row>
    <row r="2049" customHeight="1" spans="1:9">
      <c r="A2049" s="2"/>
      <c r="B2049" s="2" t="str">
        <f>IFERROR(__xludf.DUMMYFUNCTION("IF(A2049&lt;&gt;"""", GOOGLETRANSLATE(A2049, ""en"", ""te""),"""")"),"")</f>
        <v/>
      </c>
      <c r="C2049" s="2"/>
      <c r="D2049" s="2" t="str">
        <f>IFERROR(__xludf.DUMMYFUNCTION("IF(C2049&lt;&gt;"""", GOOGLETRANSLATE(C2049, ""en"", ""te""),"""")"),"")</f>
        <v/>
      </c>
      <c r="E2049" s="2"/>
      <c r="F2049" s="2" t="str">
        <f>IFERROR(__xludf.DUMMYFUNCTION("IF(E2049&lt;&gt;"""", GOOGLETRANSLATE(E2049, ""en"", ""te""),"""")"),"")</f>
        <v/>
      </c>
      <c r="G2049" s="2"/>
      <c r="H2049" s="2" t="str">
        <f>IFERROR(__xludf.DUMMYFUNCTION("IF(G2049&lt;&gt;"""", GOOGLETRANSLATE(G2049, ""en"", ""te""),"""")"),"")</f>
        <v/>
      </c>
      <c r="I2049" s="3"/>
    </row>
    <row r="2050" customHeight="1" spans="1:9">
      <c r="A2050" s="2"/>
      <c r="B2050" s="2" t="str">
        <f>IFERROR(__xludf.DUMMYFUNCTION("IF(A2050&lt;&gt;"""", GOOGLETRANSLATE(A2050, ""en"", ""te""),"""")"),"")</f>
        <v/>
      </c>
      <c r="C2050" s="2"/>
      <c r="D2050" s="2" t="str">
        <f>IFERROR(__xludf.DUMMYFUNCTION("IF(C2050&lt;&gt;"""", GOOGLETRANSLATE(C2050, ""en"", ""te""),"""")"),"")</f>
        <v/>
      </c>
      <c r="E2050" s="2"/>
      <c r="F2050" s="2" t="str">
        <f>IFERROR(__xludf.DUMMYFUNCTION("IF(E2050&lt;&gt;"""", GOOGLETRANSLATE(E2050, ""en"", ""te""),"""")"),"")</f>
        <v/>
      </c>
      <c r="G2050" s="2"/>
      <c r="H2050" s="2" t="str">
        <f>IFERROR(__xludf.DUMMYFUNCTION("IF(G2050&lt;&gt;"""", GOOGLETRANSLATE(G2050, ""en"", ""te""),"""")"),"")</f>
        <v/>
      </c>
      <c r="I2050" s="3"/>
    </row>
    <row r="2051" customHeight="1" spans="1:9">
      <c r="A2051" s="2"/>
      <c r="B2051" s="2" t="str">
        <f>IFERROR(__xludf.DUMMYFUNCTION("IF(A2051&lt;&gt;"""", GOOGLETRANSLATE(A2051, ""en"", ""te""),"""")"),"")</f>
        <v/>
      </c>
      <c r="C2051" s="2"/>
      <c r="D2051" s="2" t="str">
        <f>IFERROR(__xludf.DUMMYFUNCTION("IF(C2051&lt;&gt;"""", GOOGLETRANSLATE(C2051, ""en"", ""te""),"""")"),"")</f>
        <v/>
      </c>
      <c r="E2051" s="2"/>
      <c r="F2051" s="2" t="str">
        <f>IFERROR(__xludf.DUMMYFUNCTION("IF(E2051&lt;&gt;"""", GOOGLETRANSLATE(E2051, ""en"", ""te""),"""")"),"")</f>
        <v/>
      </c>
      <c r="G2051" s="2"/>
      <c r="H2051" s="2" t="str">
        <f>IFERROR(__xludf.DUMMYFUNCTION("IF(G2051&lt;&gt;"""", GOOGLETRANSLATE(G2051, ""en"", ""te""),"""")"),"")</f>
        <v/>
      </c>
      <c r="I2051" s="3"/>
    </row>
    <row r="2052" customHeight="1" spans="1:9">
      <c r="A2052" s="2"/>
      <c r="B2052" s="2" t="str">
        <f>IFERROR(__xludf.DUMMYFUNCTION("IF(A2052&lt;&gt;"""", GOOGLETRANSLATE(A2052, ""en"", ""te""),"""")"),"")</f>
        <v/>
      </c>
      <c r="C2052" s="2"/>
      <c r="D2052" s="2" t="str">
        <f>IFERROR(__xludf.DUMMYFUNCTION("IF(C2052&lt;&gt;"""", GOOGLETRANSLATE(C2052, ""en"", ""te""),"""")"),"")</f>
        <v/>
      </c>
      <c r="E2052" s="2"/>
      <c r="F2052" s="2" t="str">
        <f>IFERROR(__xludf.DUMMYFUNCTION("IF(E2052&lt;&gt;"""", GOOGLETRANSLATE(E2052, ""en"", ""te""),"""")"),"")</f>
        <v/>
      </c>
      <c r="G2052" s="2"/>
      <c r="H2052" s="2" t="str">
        <f>IFERROR(__xludf.DUMMYFUNCTION("IF(G2052&lt;&gt;"""", GOOGLETRANSLATE(G2052, ""en"", ""te""),"""")"),"")</f>
        <v/>
      </c>
      <c r="I2052" s="3"/>
    </row>
    <row r="2053" customHeight="1" spans="1:9">
      <c r="A2053" s="2" t="s">
        <v>1337</v>
      </c>
      <c r="B2053" s="2" t="str">
        <f>IFERROR(__xludf.DUMMYFUNCTION("IF(A2053&lt;&gt;"""", GOOGLETRANSLATE(A2053, ""en"", ""te""),"""")"),"[ 'రెండు దేశాలకు ప్రాతినిధ్యం' 'ఒక క్యాలెండర్ సంవత్సరంలో 7 వ అత్యధిక వికెట్లు (27)', '1 వ అత్యధిక వికెట్లు తీసిన హిట్ వికెట్ (1)', 'రెండు దేశాలకు ప్రాతినిధ్యం']")</f>
        <v>[ 'రెండు దేశాలకు ప్రాతినిధ్యం' 'ఒక క్యాలెండర్ సంవత్సరంలో 7 వ అత్యధిక వికెట్లు (27)', '1 వ అత్యధిక వికెట్లు తీసిన హిట్ వికెట్ (1)', 'రెండు దేశాలకు ప్రాతినిధ్యం']</v>
      </c>
      <c r="C2053" s="2"/>
      <c r="D2053" s="2" t="str">
        <f>IFERROR(__xludf.DUMMYFUNCTION("IF(C2053&lt;&gt;"""", GOOGLETRANSLATE(C2053, ""en"", ""te""),"""")"),"")</f>
        <v/>
      </c>
      <c r="E2053" s="2"/>
      <c r="F2053" s="2" t="str">
        <f>IFERROR(__xludf.DUMMYFUNCTION("IF(E2053&lt;&gt;"""", GOOGLETRANSLATE(E2053, ""en"", ""te""),"""")"),"")</f>
        <v/>
      </c>
      <c r="G2053" s="2" t="s">
        <v>1338</v>
      </c>
      <c r="H2053" s="2" t="str">
        <f>IFERROR(__xludf.DUMMYFUNCTION("IF(G2053&lt;&gt;"""", GOOGLETRANSLATE(G2053, ""en"", ""te""),"""")"),"[ 'ఒక క్యాలెండర్ సంవత్సరంలో 7 వ అత్యధిక వికెట్లు (27)', '1 వ అత్యధిక వికెట్లు తీసిన హిట్ వికెట్ (1)']")</f>
        <v>[ 'ఒక క్యాలెండర్ సంవత్సరంలో 7 వ అత్యధిక వికెట్లు (27)', '1 వ అత్యధిక వికెట్లు తీసిన హిట్ వికెట్ (1)']</v>
      </c>
      <c r="I2053" s="3"/>
    </row>
    <row r="2054" customHeight="1" spans="1:9">
      <c r="A2054" s="2" t="s">
        <v>1339</v>
      </c>
      <c r="B2054" s="2" t="str">
        <f>IFERROR(__xludf.DUMMYFUNCTION("IF(A2054&lt;&gt;"""", GOOGLETRANSLATE(A2054, ""en"", ""te""),"""")"),"[ 'ఇన్నింగ్స్ లో 1 వ అత్యధిక పరుగులు (81 *) (బ్యాటింగ్ స్థానం)', 'పదవ వికెట్కు 1st అత్యధిక భాగస్వామ్యం (119)', '5 వ అత్యుత్తమ బౌలింగ్ ఇన్నింగ్స్ లో విశ్లేషించడం (7/24)', '5 వ బౌలర్ / బ్యాట్స్ కలయికలు (7) ',' 4 వ ఇన్నింగ్స్ లో అత్యధిక క్యాచ్లు (3) ',' బ్యా"&amp;"టింగ్ తెరవడం మరియు అదే మ్యాచ్ లో బౌలింగ్ ',' 6 వ బౌలర్ / బ్యాట్స్ కలయికలు (5) ']")</f>
        <v>[ 'ఇన్నింగ్స్ లో 1 వ అత్యధిక పరుగులు (81 *) (బ్యాటింగ్ స్థానం)', 'పదవ వికెట్కు 1st అత్యధిక భాగస్వామ్యం (119)', '5 వ అత్యుత్తమ బౌలింగ్ ఇన్నింగ్స్ లో విశ్లేషించడం (7/24)', '5 వ బౌలర్ / బ్యాట్స్ కలయికలు (7) ',' 4 వ ఇన్నింగ్స్ లో అత్యధిక క్యాచ్లు (3) ',' బ్యాటింగ్ తెరవడం మరియు అదే మ్యాచ్ లో బౌలింగ్ ',' 6 వ బౌలర్ / బ్యాట్స్ కలయికలు (5) ']</v>
      </c>
      <c r="C2054" s="2" t="s">
        <v>1340</v>
      </c>
      <c r="D2054" s="2" t="str">
        <f>IFERROR(__xludf.DUMMYFUNCTION("IF(C2054&lt;&gt;"""", GOOGLETRANSLATE(C2054, ""en"", ""te""),"""")"),"[ '1st ఇన్నింగ్స్ లో అత్యధిక పరుగులు (బ్యాటింగ్ స్థానంలో ప్రకారం) (81 *)', '19 వ పరాజయం వైపు ఒక మ్యాచ్లో అత్యధిక పరుగులు (89)', '36 వ అత్యధిక కెరీర్ బ్యాటింగ్ సగటు (32.77)', '33 వ ఉత్తమ కెరీర్ ఆర్థిక రేటు (1.70) ',' 23 వ చెత్త కెరీర్లో సమ్మె రేటు (98.3) "&amp;"',' 10 వ అత్యధిక భాగస్వామ్యాలు వికెట్ (10 వ) ద్వారా ',' పదవ వికెట్ను (119) 1 వ అత్యధిక భాగస్వామ్యం ']")</f>
        <v>[ '1st ఇన్నింగ్స్ లో అత్యధిక పరుగులు (బ్యాటింగ్ స్థానంలో ప్రకారం) (81 *)', '19 వ పరాజయం వైపు ఒక మ్యాచ్లో అత్యధిక పరుగులు (89)', '36 వ అత్యధిక కెరీర్ బ్యాటింగ్ సగటు (32.77)', '33 వ ఉత్తమ కెరీర్ ఆర్థిక రేటు (1.70) ',' 23 వ చెత్త కెరీర్లో సమ్మె రేటు (98.3) ',' 10 వ అత్యధిక భాగస్వామ్యాలు వికెట్ (10 వ) ద్వారా ',' పదవ వికెట్ను (119) 1 వ అత్యధిక భాగస్వామ్యం ']</v>
      </c>
      <c r="E2054" s="2" t="s">
        <v>1341</v>
      </c>
      <c r="F2054" s="2" t="str">
        <f>IFERROR(__xludf.DUMMYFUNCTION("IF(E2054&lt;&gt;"""", GOOGLETRANSLATE(E2054, ""en"", ""te""),"""")"),"[ '39 వ కెరీర్ లో అత్యధిక పరుగులు (2047)', '38 వ ఒక క్యాలెండర్ సంవత్సరంలో అత్యధిక పరుగులు (558)', '40 వ అత్యధిక కెరీర్ బ్యాటింగ్ సగటు (34.11)', '38 వ అత్యధిక తొలి వంద (113 *)', '20 వ ఓల్డెస్ట్ కెరీర్లో తొలి వంద (33y 93d) ',' 35 వ అత్యంత అర్థ శతకాలు సాధించ"&amp;"ాడు వంద (33y 93d) స్కోర్ ఆటగాడు ',' 12 వ అత్యంత వృద్ధ ఆటగాడు (15) ',' 22 వ అత్యధిక వికెట్లు కెరీర్లో (98) ',' 5 వ ఒక ఇన్నింగ్స్ లోని బెస్ట్ ఫిగర్స్ (7/24) ', '21 వ ఒక క్యాలెండర్ సంవత్సరంలో అత్యధిక వికెట్లు (24)', '5 వ అత్యుత్తమ బౌలింగ్ ఇన్నింగ్స్ లో విశ్ల"&amp;"ేషించడం (7/24)', '33 వ ఒకే మైదానంలో అత్యధిక వికెట్లు (12 ) ',' ఇన్నింగ్స్ లో 45 వ ఉత్తమ ఆర్థిక రేటు (0.50) ',' ఇన్నింగ్స్ లో 13 వ ఉత్తమ సమ్మె రేటు (6.5) ',' 38 వ అత్యంత నాలుగు వికెట్లు-ఇన్-ఒక-ఇన్నింగ్స్ కెరీర్లో (3) ',' 12 వ కన్య తీసుకోవాలని అత్యంత వృద్ధ"&amp;" ఆటగాడు ఐదు వికెట్ల లో-ఒక-ఇన్నింగ్స్ (28y 259d) ',' కెరీర్ లో 24 వ (3632) లో బౌల్డ్ చాలా బంతుల్లో ',' 28th కెరీర్లో సాధించిన అత్యధిక పరుగులు (2170) ',' 30 వ అత్యధిక పరుగులు ఒక ఇన్నింగ్స్ లో సాధించిన (74) ',' 5 వ బౌలర్ / బ్యాట్స్ కలయికలు (7) ',' 44 వ బౌలర్"&amp;" / ఫీల్డర్ కలయికలు (10) ',' 25 వ అత్యధిక వికెట్లు తీసుకున్న గిన్నె (7) ',' 20 వ అత్యధిక వికెట్లు ఒక ఫీల్డర్ చేత క్యాచ్ తీసుకున్న ed (22) ',' 22 వ అత్యధిక వికెట్లు ఆకర్షించింది తీసుకున్న (54) ',' 16 వ అత్యధిక వికెట్లు ఆకర్షించింది తీసుకున్న మరియు బౌల్డ్ (4"&amp;"4) ',' 32 వ అత్యధిక వికెట్లు ఆకర్షించింది తీసుకున్న అత్యధిక వికెట్లు (10) ',' 36 వ అత్యధిక వికెట్లు తీసుకున్న ఎల్బిడబ్ల్యు (12) ',' 22 వ అత్యధిక వికెట్లు కెరీర్లో తీసుకున్న స్టంప్ (10) ',' 39 వ అత్యధిక క్యాచ్లు (31) ',' 4 వ ఇన్నింగ్స్ లో అత్యధిక క్యాచ్లు "&amp;"(3 ) ',' మొదటి వికెట్కు 28 అత్యధిక భాగస్వామ్యం (163 *) ']")</f>
        <v>[ '39 వ కెరీర్ లో అత్యధిక పరుగులు (2047)', '38 వ ఒక క్యాలెండర్ సంవత్సరంలో అత్యధిక పరుగులు (558)', '40 వ అత్యధిక కెరీర్ బ్యాటింగ్ సగటు (34.11)', '38 వ అత్యధిక తొలి వంద (113 *)', '20 వ ఓల్డెస్ట్ కెరీర్లో తొలి వంద (33y 93d) ',' 35 వ అత్యంత అర్థ శతకాలు సాధించాడు వంద (33y 93d) స్కోర్ ఆటగాడు ',' 12 వ అత్యంత వృద్ధ ఆటగాడు (15) ',' 22 వ అత్యధిక వికెట్లు కెరీర్లో (98) ',' 5 వ ఒక ఇన్నింగ్స్ లోని బెస్ట్ ఫిగర్స్ (7/24) ', '21 వ ఒక క్యాలెండర్ సంవత్సరంలో అత్యధిక వికెట్లు (24)', '5 వ అత్యుత్తమ బౌలింగ్ ఇన్నింగ్స్ లో విశ్లేషించడం (7/24)', '33 వ ఒకే మైదానంలో అత్యధిక వికెట్లు (12 ) ',' ఇన్నింగ్స్ లో 45 వ ఉత్తమ ఆర్థిక రేటు (0.50) ',' ఇన్నింగ్స్ లో 13 వ ఉత్తమ సమ్మె రేటు (6.5) ',' 38 వ అత్యంత నాలుగు వికెట్లు-ఇన్-ఒక-ఇన్నింగ్స్ కెరీర్లో (3) ',' 12 వ కన్య తీసుకోవాలని అత్యంత వృద్ధ ఆటగాడు ఐదు వికెట్ల లో-ఒక-ఇన్నింగ్స్ (28y 259d) ',' కెరీర్ లో 24 వ (3632) లో బౌల్డ్ చాలా బంతుల్లో ',' 28th కెరీర్లో సాధించిన అత్యధిక పరుగులు (2170) ',' 30 వ అత్యధిక పరుగులు ఒక ఇన్నింగ్స్ లో సాధించిన (74) ',' 5 వ బౌలర్ / బ్యాట్స్ కలయికలు (7) ',' 44 వ బౌలర్ / ఫీల్డర్ కలయికలు (10) ',' 25 వ అత్యధిక వికెట్లు తీసుకున్న గిన్నె (7) ',' 20 వ అత్యధిక వికెట్లు ఒక ఫీల్డర్ చేత క్యాచ్ తీసుకున్న ed (22) ',' 22 వ అత్యధిక వికెట్లు ఆకర్షించింది తీసుకున్న (54) ',' 16 వ అత్యధిక వికెట్లు ఆకర్షించింది తీసుకున్న మరియు బౌల్డ్ (44) ',' 32 వ అత్యధిక వికెట్లు ఆకర్షించింది తీసుకున్న అత్యధిక వికెట్లు (10) ',' 36 వ అత్యధిక వికెట్లు తీసుకున్న ఎల్బిడబ్ల్యు (12) ',' 22 వ అత్యధిక వికెట్లు కెరీర్లో తీసుకున్న స్టంప్ (10) ',' 39 వ అత్యధిక క్యాచ్లు (31) ',' 4 వ ఇన్నింగ్స్ లో అత్యధిక క్యాచ్లు (3 ) ',' మొదటి వికెట్కు 28 అత్యధిక భాగస్వామ్యం (163 *) ']</v>
      </c>
      <c r="G2054" s="2" t="s">
        <v>1342</v>
      </c>
      <c r="H2054" s="2" t="str">
        <f>IFERROR(__xludf.DUMMYFUNCTION("IF(G2054&lt;&gt;"""", GOOGLETRANSLATE(G2054, ""en"", ""te""),"""")"),"[ '34 వ కెరీర్ అర్ధ (3)', 'ఒక డక్ లేకుండా 35 వ వరుస ఇన్నింగ్స్ (31)', 'కెరీర్లో 36 వ అతి తక్కువ బాతులు (17.5)', '28th ఉత్తమ' 16 వ ఉత్తమ కెరీర్ సగటు (16.39) బౌలింగ్ ' వృత్తి ఆర్థిక రేటు (5.50) ',' 17 వ ఉత్తమ కెరీర్ సమ్మె రేటు (17.8) ',' 14 వ ఇన్నింగ్స్ లో "&amp;"సాధించిన అత్యధిక పరుగులు (52) ',' 6 వ బౌలర్ / బ్యాట్స్ కలయికలు (5) ',' 38 వ అత్యధిక వికెట్లు బౌల్డ్ తీసుకున్న ( 11) ',' 25 వ అత్యధిక వికెట్లు స్టంప్ తీసుకున్న (7) ']")</f>
        <v>[ '34 వ కెరీర్ అర్ధ (3)', 'ఒక డక్ లేకుండా 35 వ వరుస ఇన్నింగ్స్ (31)', 'కెరీర్లో 36 వ అతి తక్కువ బాతులు (17.5)', '28th ఉత్తమ' 16 వ ఉత్తమ కెరీర్ సగటు (16.39) బౌలింగ్ ' వృత్తి ఆర్థిక రేటు (5.50) ',' 17 వ ఉత్తమ కెరీర్ సమ్మె రేటు (17.8) ',' 14 వ ఇన్నింగ్స్ లో సాధించిన అత్యధిక పరుగులు (52) ',' 6 వ బౌలర్ / బ్యాట్స్ కలయికలు (5) ',' 38 వ అత్యధిక వికెట్లు బౌల్డ్ తీసుకున్న ( 11) ',' 25 వ అత్యధిక వికెట్లు స్టంప్ తీసుకున్న (7) ']</v>
      </c>
      <c r="I2054" s="3"/>
    </row>
    <row r="2055" customHeight="1" spans="1:9">
      <c r="A2055" s="2"/>
      <c r="B2055" s="2" t="str">
        <f>IFERROR(__xludf.DUMMYFUNCTION("IF(A2055&lt;&gt;"""", GOOGLETRANSLATE(A2055, ""en"", ""te""),"""")"),"")</f>
        <v/>
      </c>
      <c r="C2055" s="2"/>
      <c r="D2055" s="2" t="str">
        <f>IFERROR(__xludf.DUMMYFUNCTION("IF(C2055&lt;&gt;"""", GOOGLETRANSLATE(C2055, ""en"", ""te""),"""")"),"")</f>
        <v/>
      </c>
      <c r="E2055" s="2"/>
      <c r="F2055" s="2" t="str">
        <f>IFERROR(__xludf.DUMMYFUNCTION("IF(E2055&lt;&gt;"""", GOOGLETRANSLATE(E2055, ""en"", ""te""),"""")"),"")</f>
        <v/>
      </c>
      <c r="G2055" s="2"/>
      <c r="H2055" s="2" t="str">
        <f>IFERROR(__xludf.DUMMYFUNCTION("IF(G2055&lt;&gt;"""", GOOGLETRANSLATE(G2055, ""en"", ""te""),"""")"),"")</f>
        <v/>
      </c>
      <c r="I2055" s="3"/>
    </row>
    <row r="2056" customHeight="1" spans="1:9">
      <c r="A2056" s="2"/>
      <c r="B2056" s="2" t="str">
        <f>IFERROR(__xludf.DUMMYFUNCTION("IF(A2056&lt;&gt;"""", GOOGLETRANSLATE(A2056, ""en"", ""te""),"""")"),"")</f>
        <v/>
      </c>
      <c r="C2056" s="2"/>
      <c r="D2056" s="2" t="str">
        <f>IFERROR(__xludf.DUMMYFUNCTION("IF(C2056&lt;&gt;"""", GOOGLETRANSLATE(C2056, ""en"", ""te""),"""")"),"")</f>
        <v/>
      </c>
      <c r="E2056" s="2"/>
      <c r="F2056" s="2" t="str">
        <f>IFERROR(__xludf.DUMMYFUNCTION("IF(E2056&lt;&gt;"""", GOOGLETRANSLATE(E2056, ""en"", ""te""),"""")"),"")</f>
        <v/>
      </c>
      <c r="G2056" s="2"/>
      <c r="H2056" s="2" t="str">
        <f>IFERROR(__xludf.DUMMYFUNCTION("IF(G2056&lt;&gt;"""", GOOGLETRANSLATE(G2056, ""en"", ""te""),"""")"),"")</f>
        <v/>
      </c>
      <c r="I2056" s="3"/>
    </row>
    <row r="2057" customHeight="1" spans="1:9">
      <c r="A2057" s="2" t="s">
        <v>1343</v>
      </c>
      <c r="B2057" s="2" t="str">
        <f>IFERROR(__xludf.DUMMYFUNCTION("IF(A2057&lt;&gt;"""", GOOGLETRANSLATE(A2057, ""en"", ""te""),"""")"),"[ 'ప్రవేశం (117) పై వంద']")</f>
        <v>[ 'ప్రవేశం (117) పై వంద']</v>
      </c>
      <c r="C2057" s="2"/>
      <c r="D2057" s="2" t="str">
        <f>IFERROR(__xludf.DUMMYFUNCTION("IF(C2057&lt;&gt;"""", GOOGLETRANSLATE(C2057, ""en"", ""te""),"""")"),"")</f>
        <v/>
      </c>
      <c r="E2057" s="2"/>
      <c r="F2057" s="2" t="str">
        <f>IFERROR(__xludf.DUMMYFUNCTION("IF(E2057&lt;&gt;"""", GOOGLETRANSLATE(E2057, ""en"", ""te""),"""")"),"")</f>
        <v/>
      </c>
      <c r="G2057" s="2"/>
      <c r="H2057" s="2" t="str">
        <f>IFERROR(__xludf.DUMMYFUNCTION("IF(G2057&lt;&gt;"""", GOOGLETRANSLATE(G2057, ""en"", ""te""),"""")"),"")</f>
        <v/>
      </c>
      <c r="I2057" s="3"/>
    </row>
    <row r="2058" customHeight="1" spans="1:9">
      <c r="A2058" s="2"/>
      <c r="B2058" s="2" t="str">
        <f>IFERROR(__xludf.DUMMYFUNCTION("IF(A2058&lt;&gt;"""", GOOGLETRANSLATE(A2058, ""en"", ""te""),"""")"),"")</f>
        <v/>
      </c>
      <c r="C2058" s="2"/>
      <c r="D2058" s="2" t="str">
        <f>IFERROR(__xludf.DUMMYFUNCTION("IF(C2058&lt;&gt;"""", GOOGLETRANSLATE(C2058, ""en"", ""te""),"""")"),"")</f>
        <v/>
      </c>
      <c r="E2058" s="2"/>
      <c r="F2058" s="2" t="str">
        <f>IFERROR(__xludf.DUMMYFUNCTION("IF(E2058&lt;&gt;"""", GOOGLETRANSLATE(E2058, ""en"", ""te""),"""")"),"")</f>
        <v/>
      </c>
      <c r="G2058" s="2"/>
      <c r="H2058" s="2" t="str">
        <f>IFERROR(__xludf.DUMMYFUNCTION("IF(G2058&lt;&gt;"""", GOOGLETRANSLATE(G2058, ""en"", ""te""),"""")"),"")</f>
        <v/>
      </c>
      <c r="I2058" s="3"/>
    </row>
    <row r="2059" customHeight="1" spans="1:9">
      <c r="A2059" s="2"/>
      <c r="B2059" s="2" t="str">
        <f>IFERROR(__xludf.DUMMYFUNCTION("IF(A2059&lt;&gt;"""", GOOGLETRANSLATE(A2059, ""en"", ""te""),"""")"),"")</f>
        <v/>
      </c>
      <c r="C2059" s="2"/>
      <c r="D2059" s="2" t="str">
        <f>IFERROR(__xludf.DUMMYFUNCTION("IF(C2059&lt;&gt;"""", GOOGLETRANSLATE(C2059, ""en"", ""te""),"""")"),"")</f>
        <v/>
      </c>
      <c r="E2059" s="2"/>
      <c r="F2059" s="2" t="str">
        <f>IFERROR(__xludf.DUMMYFUNCTION("IF(E2059&lt;&gt;"""", GOOGLETRANSLATE(E2059, ""en"", ""te""),"""")"),"")</f>
        <v/>
      </c>
      <c r="G2059" s="2"/>
      <c r="H2059" s="2" t="str">
        <f>IFERROR(__xludf.DUMMYFUNCTION("IF(G2059&lt;&gt;"""", GOOGLETRANSLATE(G2059, ""en"", ""te""),"""")"),"")</f>
        <v/>
      </c>
      <c r="I2059" s="3"/>
    </row>
    <row r="2060" customHeight="1" spans="1:9">
      <c r="A2060" s="2"/>
      <c r="B2060" s="2" t="str">
        <f>IFERROR(__xludf.DUMMYFUNCTION("IF(A2060&lt;&gt;"""", GOOGLETRANSLATE(A2060, ""en"", ""te""),"""")"),"")</f>
        <v/>
      </c>
      <c r="C2060" s="2"/>
      <c r="D2060" s="2" t="str">
        <f>IFERROR(__xludf.DUMMYFUNCTION("IF(C2060&lt;&gt;"""", GOOGLETRANSLATE(C2060, ""en"", ""te""),"""")"),"")</f>
        <v/>
      </c>
      <c r="E2060" s="2"/>
      <c r="F2060" s="2" t="str">
        <f>IFERROR(__xludf.DUMMYFUNCTION("IF(E2060&lt;&gt;"""", GOOGLETRANSLATE(E2060, ""en"", ""te""),"""")"),"")</f>
        <v/>
      </c>
      <c r="G2060" s="2"/>
      <c r="H2060" s="2" t="str">
        <f>IFERROR(__xludf.DUMMYFUNCTION("IF(G2060&lt;&gt;"""", GOOGLETRANSLATE(G2060, ""en"", ""te""),"""")"),"")</f>
        <v/>
      </c>
      <c r="I2060" s="3"/>
    </row>
    <row r="2061" customHeight="1" spans="1:9">
      <c r="A2061" s="2"/>
      <c r="B2061" s="2" t="str">
        <f>IFERROR(__xludf.DUMMYFUNCTION("IF(A2061&lt;&gt;"""", GOOGLETRANSLATE(A2061, ""en"", ""te""),"""")"),"")</f>
        <v/>
      </c>
      <c r="C2061" s="2" t="s">
        <v>1344</v>
      </c>
      <c r="D2061" s="2" t="str">
        <f>IFERROR(__xludf.DUMMYFUNCTION("IF(C2061&lt;&gt;"""", GOOGLETRANSLATE(C2061, ""en"", ""te""),"""")"),"[ '43 వ ఉత్తమ కెరీర్ బౌలింగ్ సరాసరి (అర్హత లేకుండా) (12.60)']")</f>
        <v>[ '43 వ ఉత్తమ కెరీర్ బౌలింగ్ సరాసరి (అర్హత లేకుండా) (12.60)']</v>
      </c>
      <c r="E2061" s="2"/>
      <c r="F2061" s="2" t="str">
        <f>IFERROR(__xludf.DUMMYFUNCTION("IF(E2061&lt;&gt;"""", GOOGLETRANSLATE(E2061, ""en"", ""te""),"""")"),"")</f>
        <v/>
      </c>
      <c r="G2061" s="2"/>
      <c r="H2061" s="2" t="str">
        <f>IFERROR(__xludf.DUMMYFUNCTION("IF(G2061&lt;&gt;"""", GOOGLETRANSLATE(G2061, ""en"", ""te""),"""")"),"")</f>
        <v/>
      </c>
      <c r="I2061" s="3"/>
    </row>
    <row r="2062" customHeight="1" spans="1:9">
      <c r="A2062" s="2"/>
      <c r="B2062" s="2" t="str">
        <f>IFERROR(__xludf.DUMMYFUNCTION("IF(A2062&lt;&gt;"""", GOOGLETRANSLATE(A2062, ""en"", ""te""),"""")"),"")</f>
        <v/>
      </c>
      <c r="C2062" s="2"/>
      <c r="D2062" s="2" t="str">
        <f>IFERROR(__xludf.DUMMYFUNCTION("IF(C2062&lt;&gt;"""", GOOGLETRANSLATE(C2062, ""en"", ""te""),"""")"),"")</f>
        <v/>
      </c>
      <c r="E2062" s="2"/>
      <c r="F2062" s="2" t="str">
        <f>IFERROR(__xludf.DUMMYFUNCTION("IF(E2062&lt;&gt;"""", GOOGLETRANSLATE(E2062, ""en"", ""te""),"""")"),"")</f>
        <v/>
      </c>
      <c r="G2062" s="2"/>
      <c r="H2062" s="2" t="str">
        <f>IFERROR(__xludf.DUMMYFUNCTION("IF(G2062&lt;&gt;"""", GOOGLETRANSLATE(G2062, ""en"", ""te""),"""")"),"")</f>
        <v/>
      </c>
      <c r="I2062" s="3"/>
    </row>
    <row r="2063" customHeight="1" spans="1:9">
      <c r="A2063" s="2"/>
      <c r="B2063" s="2" t="str">
        <f>IFERROR(__xludf.DUMMYFUNCTION("IF(A2063&lt;&gt;"""", GOOGLETRANSLATE(A2063, ""en"", ""te""),"""")"),"")</f>
        <v/>
      </c>
      <c r="C2063" s="2"/>
      <c r="D2063" s="2" t="str">
        <f>IFERROR(__xludf.DUMMYFUNCTION("IF(C2063&lt;&gt;"""", GOOGLETRANSLATE(C2063, ""en"", ""te""),"""")"),"")</f>
        <v/>
      </c>
      <c r="E2063" s="2"/>
      <c r="F2063" s="2" t="str">
        <f>IFERROR(__xludf.DUMMYFUNCTION("IF(E2063&lt;&gt;"""", GOOGLETRANSLATE(E2063, ""en"", ""te""),"""")"),"")</f>
        <v/>
      </c>
      <c r="G2063" s="2"/>
      <c r="H2063" s="2" t="str">
        <f>IFERROR(__xludf.DUMMYFUNCTION("IF(G2063&lt;&gt;"""", GOOGLETRANSLATE(G2063, ""en"", ""te""),"""")"),"")</f>
        <v/>
      </c>
      <c r="I2063" s="3"/>
    </row>
    <row r="2064" customHeight="1" spans="1:9">
      <c r="A2064" s="2" t="s">
        <v>389</v>
      </c>
      <c r="B2064" s="2" t="str">
        <f>IFERROR(__xludf.DUMMYFUNCTION("IF(A2064&lt;&gt;"""", GOOGLETRANSLATE(A2064, ""en"", ""te""),"""")"),"[ '8 వ అత్యంత ఇన్నింగ్స్ లో సాధించిన బైస్ (8)']")</f>
        <v>[ '8 వ అత్యంత ఇన్నింగ్స్ లో సాధించిన బైస్ (8)']</v>
      </c>
      <c r="C2064" s="2"/>
      <c r="D2064" s="2" t="str">
        <f>IFERROR(__xludf.DUMMYFUNCTION("IF(C2064&lt;&gt;"""", GOOGLETRANSLATE(C2064, ""en"", ""te""),"""")"),"")</f>
        <v/>
      </c>
      <c r="E2064" s="2"/>
      <c r="F2064" s="2" t="str">
        <f>IFERROR(__xludf.DUMMYFUNCTION("IF(E2064&lt;&gt;"""", GOOGLETRANSLATE(E2064, ""en"", ""te""),"""")"),"")</f>
        <v/>
      </c>
      <c r="G2064" s="2" t="s">
        <v>389</v>
      </c>
      <c r="H2064" s="2" t="str">
        <f>IFERROR(__xludf.DUMMYFUNCTION("IF(G2064&lt;&gt;"""", GOOGLETRANSLATE(G2064, ""en"", ""te""),"""")"),"[ '8 వ అత్యంత ఇన్నింగ్స్ లో సాధించిన బైస్ (8)']")</f>
        <v>[ '8 వ అత్యంత ఇన్నింగ్స్ లో సాధించిన బైస్ (8)']</v>
      </c>
      <c r="I2064" s="3"/>
    </row>
    <row r="2065" customHeight="1" spans="1:9">
      <c r="A2065" s="2" t="s">
        <v>1345</v>
      </c>
      <c r="B2065" s="2" t="str">
        <f>IFERROR(__xludf.DUMMYFUNCTION("IF(A2065&lt;&gt;"""", GOOGLETRANSLATE(A2065, ""en"", ""te""),"""")"),"[ '2 వ అత్యుత్తమ బౌలింగ్ విశ్లేషణలు ఇన్నింగ్స్ లో (7/17)' '10 వ బౌలర్ / బ్యాటర్ కలయికలు (14)' '4 వ అన్ని టాస్ వరుస (5) విన్నింగ్', 'బ్యాటింగ్ తెరవడం మరియు అదే మ్యాచ్ లో బౌలింగ్ ']")</f>
        <v>[ '2 వ అత్యుత్తమ బౌలింగ్ విశ్లేషణలు ఇన్నింగ్స్ లో (7/17)' '10 వ బౌలర్ / బ్యాటర్ కలయికలు (14)' '4 వ అన్ని టాస్ వరుస (5) విన్నింగ్', 'బ్యాటింగ్ తెరవడం మరియు అదే మ్యాచ్ లో బౌలింగ్ ']</v>
      </c>
      <c r="C2065" s="2" t="s">
        <v>1346</v>
      </c>
      <c r="D2065" s="2" t="str">
        <f>IFERROR(__xludf.DUMMYFUNCTION("IF(C2065&lt;&gt;"""", GOOGLETRANSLATE(C2065, ""en"", ""te""),"""")"),"[ '25 వ మ్యాచ్ లో బెస్ట్ ఫిగర్స్ (13)', '44th ఒక సిరీస్లో అత్యధిక వికెట్లు (32)', ఒక నాయకుడు '2 వ అత్యుత్తమ బౌలింగ్ ఇన్నింగ్స్ లో విశ్లేషించడం (7/17)', '5 వ ఒక ఇన్నింగ్స్ లోని బెస్ట్ ఫిగర్స్ (7) ',' ఒక కెప్టెన్తో ఒక మ్యాచ్లో 35 వ బెస్ట్ ఫిగర్స్ (8) ',' 24"&amp;"th ఒక ఇన్నింగ్స్ లోని బెస్ట్ ఫిగర్స్ ఉన్నప్పుడు పరాజయం వైపు (7) ',' ఇన్నింగ్స్ లో 12 వ ఉత్తమ సమ్మె రేటు (6.5) ', 'తొలి ఇన్నింగ్స్లో 22 బెస్ట్ ఫిగర్స్ (6)', '10 వ బౌలర్ / బ్యాటర్ కలయికలు (14)', 'వరుస (5) లో అన్ని టాస్ గెలిచి 4 వ']")</f>
        <v>[ '25 వ మ్యాచ్ లో బెస్ట్ ఫిగర్స్ (13)', '44th ఒక సిరీస్లో అత్యధిక వికెట్లు (32)', ఒక నాయకుడు '2 వ అత్యుత్తమ బౌలింగ్ ఇన్నింగ్స్ లో విశ్లేషించడం (7/17)', '5 వ ఒక ఇన్నింగ్స్ లోని బెస్ట్ ఫిగర్స్ (7) ',' ఒక కెప్టెన్తో ఒక మ్యాచ్లో 35 వ బెస్ట్ ఫిగర్స్ (8) ',' 24th ఒక ఇన్నింగ్స్ లోని బెస్ట్ ఫిగర్స్ ఉన్నప్పుడు పరాజయం వైపు (7) ',' ఇన్నింగ్స్ లో 12 వ ఉత్తమ సమ్మె రేటు (6.5) ', 'తొలి ఇన్నింగ్స్లో 22 బెస్ట్ ఫిగర్స్ (6)', '10 వ బౌలర్ / బ్యాటర్ కలయికలు (14)', 'వరుస (5) లో అన్ని టాస్ గెలిచి 4 వ']</v>
      </c>
      <c r="E2065" s="2"/>
      <c r="F2065" s="2" t="str">
        <f>IFERROR(__xludf.DUMMYFUNCTION("IF(E2065&lt;&gt;"""", GOOGLETRANSLATE(E2065, ""en"", ""te""),"""")"),"")</f>
        <v/>
      </c>
      <c r="G2065" s="2"/>
      <c r="H2065" s="2" t="str">
        <f>IFERROR(__xludf.DUMMYFUNCTION("IF(G2065&lt;&gt;"""", GOOGLETRANSLATE(G2065, ""en"", ""te""),"""")"),"")</f>
        <v/>
      </c>
      <c r="I2065" s="3"/>
    </row>
    <row r="2066" customHeight="1" spans="1:9">
      <c r="A2066" s="2" t="s">
        <v>1347</v>
      </c>
      <c r="B2066" s="2" t="str">
        <f>IFERROR(__xludf.DUMMYFUNCTION("IF(A2066&lt;&gt;"""", GOOGLETRANSLATE(A2066, ""en"", ""te""),"""")"),"[ '6 వ అత్యంత బంతుల్లో ఇన్నింగ్స్ (510) లో బౌల్డ్']")</f>
        <v>[ '6 వ అత్యంత బంతుల్లో ఇన్నింగ్స్ (510) లో బౌల్డ్']</v>
      </c>
      <c r="C2066" s="2" t="s">
        <v>1348</v>
      </c>
      <c r="D2066" s="2" t="str">
        <f>IFERROR(__xludf.DUMMYFUNCTION("IF(C2066&lt;&gt;"""", GOOGLETRANSLATE(C2066, ""en"", ""te""),"""")"),"[ '15 వ అత్యుత్తమ ఇన్నింగ్స్ లో బౌలింగ్ విశ్లేషణలు (5/14)', '44 వ ఉత్తమ కెరీర్ బౌలింగ్ సరాసరి (22.59)', '21 వ ఉత్తమ కెరీర్ ఆర్థిక రేటు (1.94) ',' 29 వ అత్యధిక-ఇన్-పది-వికెట్లు ఒక మ్యాచ్ ఒక వృత్తిలో (3) ',' ఐదు వికెట్ల లో-ఒక-ఇన్నింగ్స్ ఇన్నింగ్స్ లో బౌల్డ్"&amp;" 6 వ అత్యంత బంతుల్లో తీసుకోవాలని 13 వ ఓల్డెస్ట్ ఆటగాడు (40y 99d) ',' (510) ',' 42 వ అత్యంత బంతుల్లో ఒక మ్యాచ్లో బౌల్డ్ (606) ',' 50 వికెట్లు వేగంగా 20 (10) ',' 13 వ 100 వికెట్లు వేగంగా (20) ']")</f>
        <v>[ '15 వ అత్యుత్తమ ఇన్నింగ్స్ లో బౌలింగ్ విశ్లేషణలు (5/14)', '44 వ ఉత్తమ కెరీర్ బౌలింగ్ సరాసరి (22.59)', '21 వ ఉత్తమ కెరీర్ ఆర్థిక రేటు (1.94) ',' 29 వ అత్యధిక-ఇన్-పది-వికెట్లు ఒక మ్యాచ్ ఒక వృత్తిలో (3) ',' ఐదు వికెట్ల లో-ఒక-ఇన్నింగ్స్ ఇన్నింగ్స్ లో బౌల్డ్ 6 వ అత్యంత బంతుల్లో తీసుకోవాలని 13 వ ఓల్డెస్ట్ ఆటగాడు (40y 99d) ',' (510) ',' 42 వ అత్యంత బంతుల్లో ఒక మ్యాచ్లో బౌల్డ్ (606) ',' 50 వికెట్లు వేగంగా 20 (10) ',' 13 వ 100 వికెట్లు వేగంగా (20) ']</v>
      </c>
      <c r="E2066" s="2"/>
      <c r="F2066" s="2" t="str">
        <f>IFERROR(__xludf.DUMMYFUNCTION("IF(E2066&lt;&gt;"""", GOOGLETRANSLATE(E2066, ""en"", ""te""),"""")"),"")</f>
        <v/>
      </c>
      <c r="G2066" s="2"/>
      <c r="H2066" s="2" t="str">
        <f>IFERROR(__xludf.DUMMYFUNCTION("IF(G2066&lt;&gt;"""", GOOGLETRANSLATE(G2066, ""en"", ""te""),"""")"),"")</f>
        <v/>
      </c>
      <c r="I2066" s="3"/>
    </row>
    <row r="2067" customHeight="1" spans="1:9">
      <c r="A2067" s="2"/>
      <c r="B2067" s="2" t="str">
        <f>IFERROR(__xludf.DUMMYFUNCTION("IF(A2067&lt;&gt;"""", GOOGLETRANSLATE(A2067, ""en"", ""te""),"""")"),"")</f>
        <v/>
      </c>
      <c r="C2067" s="2"/>
      <c r="D2067" s="2" t="str">
        <f>IFERROR(__xludf.DUMMYFUNCTION("IF(C2067&lt;&gt;"""", GOOGLETRANSLATE(C2067, ""en"", ""te""),"""")"),"")</f>
        <v/>
      </c>
      <c r="E2067" s="2"/>
      <c r="F2067" s="2" t="str">
        <f>IFERROR(__xludf.DUMMYFUNCTION("IF(E2067&lt;&gt;"""", GOOGLETRANSLATE(E2067, ""en"", ""te""),"""")"),"")</f>
        <v/>
      </c>
      <c r="G2067" s="2"/>
      <c r="H2067" s="2" t="str">
        <f>IFERROR(__xludf.DUMMYFUNCTION("IF(G2067&lt;&gt;"""", GOOGLETRANSLATE(G2067, ""en"", ""te""),"""")"),"")</f>
        <v/>
      </c>
      <c r="I2067" s="3"/>
    </row>
    <row r="2068" customHeight="1" spans="1:9">
      <c r="A2068" s="2"/>
      <c r="B2068" s="2" t="str">
        <f>IFERROR(__xludf.DUMMYFUNCTION("IF(A2068&lt;&gt;"""", GOOGLETRANSLATE(A2068, ""en"", ""te""),"""")"),"")</f>
        <v/>
      </c>
      <c r="C2068" s="2"/>
      <c r="D2068" s="2" t="str">
        <f>IFERROR(__xludf.DUMMYFUNCTION("IF(C2068&lt;&gt;"""", GOOGLETRANSLATE(C2068, ""en"", ""te""),"""")"),"")</f>
        <v/>
      </c>
      <c r="E2068" s="2"/>
      <c r="F2068" s="2" t="str">
        <f>IFERROR(__xludf.DUMMYFUNCTION("IF(E2068&lt;&gt;"""", GOOGLETRANSLATE(E2068, ""en"", ""te""),"""")"),"")</f>
        <v/>
      </c>
      <c r="G2068" s="2"/>
      <c r="H2068" s="2" t="str">
        <f>IFERROR(__xludf.DUMMYFUNCTION("IF(G2068&lt;&gt;"""", GOOGLETRANSLATE(G2068, ""en"", ""te""),"""")"),"")</f>
        <v/>
      </c>
      <c r="I2068" s="3"/>
    </row>
    <row r="2069" customHeight="1" spans="1:9">
      <c r="A2069" s="2" t="s">
        <v>1349</v>
      </c>
      <c r="B2069" s="2" t="str">
        <f>IFERROR(__xludf.DUMMYFUNCTION("IF(A2069&lt;&gt;"""", GOOGLETRANSLATE(A2069, ""en"", ""te""),"""")"),"[ '2nd అత్యంత ఆకర్షించింది వికెట్లు తీసుకున్న మరియు బౌల్డ్ (7)']")</f>
        <v>[ '2nd అత్యంత ఆకర్షించింది వికెట్లు తీసుకున్న మరియు బౌల్డ్ (7)']</v>
      </c>
      <c r="C2069" s="2" t="s">
        <v>1302</v>
      </c>
      <c r="D2069" s="2" t="str">
        <f>IFERROR(__xludf.DUMMYFUNCTION("IF(C2069&lt;&gt;"""", GOOGLETRANSLATE(C2069, ""en"", ""te""),"""")"),"[ 'తొలి ఇన్నింగ్స్లో 14 బెస్ట్ ఫిగర్స్ (4)']")</f>
        <v>[ 'తొలి ఇన్నింగ్స్లో 14 బెస్ట్ ఫిగర్స్ (4)']</v>
      </c>
      <c r="E2069" s="2" t="s">
        <v>1350</v>
      </c>
      <c r="F2069" s="2" t="str">
        <f>IFERROR(__xludf.DUMMYFUNCTION("IF(E2069&lt;&gt;"""", GOOGLETRANSLATE(E2069, ""en"", ""te""),"""")"),"[ '50 వ అత్యధిక వికెట్లు కెరీర్లో (68)', '50th చెత్త కెరీర్లో ఆర్థిక రేటు (4.02)', '45 వ కెరీర్ లో సాధించిన అత్యధిక పరుగులు (1739)', '27 వ' మొదటి డక్ (17) ముందు 29 వ అత్యధిక ఇన్నింగ్స్ వికెట్లు ఆకర్షించింది తీసుకోకూడదు (48) ',' 25 వ అత్యధిక వికెట్లు ఒక ఫీ"&amp;"ల్డర్ చేత క్యాచ్ తీసుకున్న (41) ',' తొమ్మిదవ వికెట్కు 46 వ అత్యధిక భాగస్వామ్యం (35) ']")</f>
        <v>[ '50 వ అత్యధిక వికెట్లు కెరీర్లో (68)', '50th చెత్త కెరీర్లో ఆర్థిక రేటు (4.02)', '45 వ కెరీర్ లో సాధించిన అత్యధిక పరుగులు (1739)', '27 వ' మొదటి డక్ (17) ముందు 29 వ అత్యధిక ఇన్నింగ్స్ వికెట్లు ఆకర్షించింది తీసుకోకూడదు (48) ',' 25 వ అత్యధిక వికెట్లు ఒక ఫీల్డర్ చేత క్యాచ్ తీసుకున్న (41) ',' తొమ్మిదవ వికెట్కు 46 వ అత్యధిక భాగస్వామ్యం (35) ']</v>
      </c>
      <c r="G2069" s="2" t="s">
        <v>1351</v>
      </c>
      <c r="H2069" s="2" t="str">
        <f>IFERROR(__xludf.DUMMYFUNCTION("IF(G2069&lt;&gt;"""", GOOGLETRANSLATE(G2069, ""en"", ""te""),"""")"),"[ '34 వ కెరీర్ బాతులు (5)', '42 వ అత్యధిక వికెట్లు కెరీర్లో (48)', '46 వ ఉత్తమ కెరీర్ ఆర్థిక రేటు (5.76)', '30 వ కెరీర్ లో బౌల్డ్ చాలా బంతుల్లో (1124)', '33 వ అత్యధిక పరుగులు కెరీర్లో సాధించిన (1080) ',' 35 వ అత్యధిక వికెట్లు తీసుకున్న ఆకర్షించింది (29) '"&amp;",' 2 వ అత్యంత క్యాచ్ మరియు బౌల్డ్ తీసుకోబడిన వికెట్ల (7) ',' 25 వ అత్యధిక వికెట్లు ఒక ఫీల్డర్ చేత క్యాచ్ తీసుకున్న (29) ',' 22 వ అత్యధిక వికెట్లు తీసుకున్న స్టంప్ (8) ',' 26th కెరీర్లో అత్యధిక క్యాచ్లు (25) ']")</f>
        <v>[ '34 వ కెరీర్ బాతులు (5)', '42 వ అత్యధిక వికెట్లు కెరీర్లో (48)', '46 వ ఉత్తమ కెరీర్ ఆర్థిక రేటు (5.76)', '30 వ కెరీర్ లో బౌల్డ్ చాలా బంతుల్లో (1124)', '33 వ అత్యధిక పరుగులు కెరీర్లో సాధించిన (1080) ',' 35 వ అత్యధిక వికెట్లు తీసుకున్న ఆకర్షించింది (29) ',' 2 వ అత్యంత క్యాచ్ మరియు బౌల్డ్ తీసుకోబడిన వికెట్ల (7) ',' 25 వ అత్యధిక వికెట్లు ఒక ఫీల్డర్ చేత క్యాచ్ తీసుకున్న (29) ',' 22 వ అత్యధిక వికెట్లు తీసుకున్న స్టంప్ (8) ',' 26th కెరీర్లో అత్యధిక క్యాచ్లు (25) ']</v>
      </c>
      <c r="I2069" s="3"/>
    </row>
    <row r="2070" customHeight="1" spans="1:9">
      <c r="A2070" s="2"/>
      <c r="B2070" s="2" t="str">
        <f>IFERROR(__xludf.DUMMYFUNCTION("IF(A2070&lt;&gt;"""", GOOGLETRANSLATE(A2070, ""en"", ""te""),"""")"),"")</f>
        <v/>
      </c>
      <c r="C2070" s="2" t="s">
        <v>1352</v>
      </c>
      <c r="D2070" s="2" t="str">
        <f>IFERROR(__xludf.DUMMYFUNCTION("IF(C2070&lt;&gt;"""", GOOGLETRANSLATE(C2070, ""en"", ""te""),"""")"),"[ '26 1000 వేగవంతమైన పరుగులు (20)', 'ఫాస్టెస్ట్ 2000 పరుగులు 41 వ (45)']")</f>
        <v>[ '26 1000 వేగవంతమైన పరుగులు (20)', 'ఫాస్టెస్ట్ 2000 పరుగులు 41 వ (45)']</v>
      </c>
      <c r="E2070" s="2"/>
      <c r="F2070" s="2" t="str">
        <f>IFERROR(__xludf.DUMMYFUNCTION("IF(E2070&lt;&gt;"""", GOOGLETRANSLATE(E2070, ""en"", ""te""),"""")"),"")</f>
        <v/>
      </c>
      <c r="G2070" s="2"/>
      <c r="H2070" s="2" t="str">
        <f>IFERROR(__xludf.DUMMYFUNCTION("IF(G2070&lt;&gt;"""", GOOGLETRANSLATE(G2070, ""en"", ""te""),"""")"),"")</f>
        <v/>
      </c>
      <c r="I2070" s="3"/>
    </row>
    <row r="2071" customHeight="1" spans="1:9">
      <c r="A2071" s="2"/>
      <c r="B2071" s="2" t="str">
        <f>IFERROR(__xludf.DUMMYFUNCTION("IF(A2071&lt;&gt;"""", GOOGLETRANSLATE(A2071, ""en"", ""te""),"""")"),"")</f>
        <v/>
      </c>
      <c r="C2071" s="2" t="s">
        <v>1353</v>
      </c>
      <c r="D2071" s="2" t="str">
        <f>IFERROR(__xludf.DUMMYFUNCTION("IF(C2071&lt;&gt;"""", GOOGLETRANSLATE(C2071, ""en"", ""te""),"""")"),"[ '50 వ అత్యంత బంతుల్లో ఇన్నింగ్స్ (424) లో బౌల్డ్']")</f>
        <v>[ '50 వ అత్యంత బంతుల్లో ఇన్నింగ్స్ (424) లో బౌల్డ్']</v>
      </c>
      <c r="E2071" s="2"/>
      <c r="F2071" s="2" t="str">
        <f>IFERROR(__xludf.DUMMYFUNCTION("IF(E2071&lt;&gt;"""", GOOGLETRANSLATE(E2071, ""en"", ""te""),"""")"),"")</f>
        <v/>
      </c>
      <c r="G2071" s="2"/>
      <c r="H2071" s="2" t="str">
        <f>IFERROR(__xludf.DUMMYFUNCTION("IF(G2071&lt;&gt;"""", GOOGLETRANSLATE(G2071, ""en"", ""te""),"""")"),"")</f>
        <v/>
      </c>
      <c r="I2071" s="3"/>
    </row>
    <row r="2072" customHeight="1" spans="1:9">
      <c r="A2072" s="2"/>
      <c r="B2072" s="2" t="str">
        <f>IFERROR(__xludf.DUMMYFUNCTION("IF(A2072&lt;&gt;"""", GOOGLETRANSLATE(A2072, ""en"", ""te""),"""")"),"")</f>
        <v/>
      </c>
      <c r="C2072" s="2"/>
      <c r="D2072" s="2" t="str">
        <f>IFERROR(__xludf.DUMMYFUNCTION("IF(C2072&lt;&gt;"""", GOOGLETRANSLATE(C2072, ""en"", ""te""),"""")"),"")</f>
        <v/>
      </c>
      <c r="E2072" s="2"/>
      <c r="F2072" s="2" t="str">
        <f>IFERROR(__xludf.DUMMYFUNCTION("IF(E2072&lt;&gt;"""", GOOGLETRANSLATE(E2072, ""en"", ""te""),"""")"),"")</f>
        <v/>
      </c>
      <c r="G2072" s="2"/>
      <c r="H2072" s="2" t="str">
        <f>IFERROR(__xludf.DUMMYFUNCTION("IF(G2072&lt;&gt;"""", GOOGLETRANSLATE(G2072, ""en"", ""te""),"""")"),"")</f>
        <v/>
      </c>
      <c r="I2072" s="3"/>
    </row>
    <row r="2073" customHeight="1" spans="1:9">
      <c r="A2073" s="2"/>
      <c r="B2073" s="2" t="str">
        <f>IFERROR(__xludf.DUMMYFUNCTION("IF(A2073&lt;&gt;"""", GOOGLETRANSLATE(A2073, ""en"", ""te""),"""")"),"")</f>
        <v/>
      </c>
      <c r="C2073" s="2"/>
      <c r="D2073" s="2" t="str">
        <f>IFERROR(__xludf.DUMMYFUNCTION("IF(C2073&lt;&gt;"""", GOOGLETRANSLATE(C2073, ""en"", ""te""),"""")"),"")</f>
        <v/>
      </c>
      <c r="E2073" s="2"/>
      <c r="F2073" s="2" t="str">
        <f>IFERROR(__xludf.DUMMYFUNCTION("IF(E2073&lt;&gt;"""", GOOGLETRANSLATE(E2073, ""en"", ""te""),"""")"),"")</f>
        <v/>
      </c>
      <c r="G2073" s="2"/>
      <c r="H2073" s="2" t="str">
        <f>IFERROR(__xludf.DUMMYFUNCTION("IF(G2073&lt;&gt;"""", GOOGLETRANSLATE(G2073, ""en"", ""te""),"""")"),"")</f>
        <v/>
      </c>
      <c r="I2073" s="3"/>
    </row>
    <row r="2074" customHeight="1" spans="1:9">
      <c r="A2074" s="2" t="s">
        <v>1354</v>
      </c>
      <c r="B2074" s="2" t="str">
        <f>IFERROR(__xludf.DUMMYFUNCTION("IF(A2074&lt;&gt;"""", GOOGLETRANSLATE(A2074, ""en"", ""te""),"""")"),"[ 'కెరీర్లో 1st చాలా స్టంపింగ్లు (52)']")</f>
        <v>[ 'కెరీర్లో 1st చాలా స్టంపింగ్లు (52)']</v>
      </c>
      <c r="C2074" s="2" t="s">
        <v>1355</v>
      </c>
      <c r="D2074" s="2" t="str">
        <f>IFERROR(__xludf.DUMMYFUNCTION("IF(C2074&lt;&gt;"""", GOOGLETRANSLATE(C2074, ""en"", ""te""),"""")"),"[ '(42y 175d) 37 వ ఓల్డెస్ట్ క్రీడాకారుల,' 17 వ వంద (1427) లేకుండా ఒక జీవితంలో అత్యధిక పరుగులు '' 37 వ కెరీర్ లో అత్యధిక వికెట్లు (130) ',' 1 వ అత్యంత స్టంపింగ్లు కెరీర్లో (52) ',' 2nd ఒక మ్యాచ్లో ఇన్నింగ్స్ (4) ',' 3 వ అత్యంత స్టంపింగ్లు అత్యంత స్టంపింగ్"&amp;"లు (4) ',' వరుస 3 వ అత్యంత స్టంపింగ్లు (8) ']")</f>
        <v>[ '(42y 175d) 37 వ ఓల్డెస్ట్ క్రీడాకారుల,' 17 వ వంద (1427) లేకుండా ఒక జీవితంలో అత్యధిక పరుగులు '' 37 వ కెరీర్ లో అత్యధిక వికెట్లు (130) ',' 1 వ అత్యంత స్టంపింగ్లు కెరీర్లో (52) ',' 2nd ఒక మ్యాచ్లో ఇన్నింగ్స్ (4) ',' 3 వ అత్యంత స్టంపింగ్లు అత్యంత స్టంపింగ్లు (4) ',' వరుస 3 వ అత్యంత స్టంపింగ్లు (8) ']</v>
      </c>
      <c r="E2074" s="2"/>
      <c r="F2074" s="2" t="str">
        <f>IFERROR(__xludf.DUMMYFUNCTION("IF(E2074&lt;&gt;"""", GOOGLETRANSLATE(E2074, ""en"", ""te""),"""")"),"")</f>
        <v/>
      </c>
      <c r="G2074" s="2"/>
      <c r="H2074" s="2" t="str">
        <f>IFERROR(__xludf.DUMMYFUNCTION("IF(G2074&lt;&gt;"""", GOOGLETRANSLATE(G2074, ""en"", ""te""),"""")"),"")</f>
        <v/>
      </c>
      <c r="I2074" s="3"/>
    </row>
    <row r="2075" customHeight="1" spans="1:9">
      <c r="A2075" s="2"/>
      <c r="B2075" s="2" t="str">
        <f>IFERROR(__xludf.DUMMYFUNCTION("IF(A2075&lt;&gt;"""", GOOGLETRANSLATE(A2075, ""en"", ""te""),"""")"),"")</f>
        <v/>
      </c>
      <c r="C2075" s="2" t="s">
        <v>655</v>
      </c>
      <c r="D2075" s="2" t="str">
        <f>IFERROR(__xludf.DUMMYFUNCTION("IF(C2075&lt;&gt;"""", GOOGLETRANSLATE(C2075, ""en"", ""te""),"""")"),"[ '33 వ ప్రవేశం (8) ఒక మ్యాచ్లో బెస్ట్ ఫిగర్స్']")</f>
        <v>[ '33 వ ప్రవేశం (8) ఒక మ్యాచ్లో బెస్ట్ ఫిగర్స్']</v>
      </c>
      <c r="E2075" s="2"/>
      <c r="F2075" s="2" t="str">
        <f>IFERROR(__xludf.DUMMYFUNCTION("IF(E2075&lt;&gt;"""", GOOGLETRANSLATE(E2075, ""en"", ""te""),"""")"),"")</f>
        <v/>
      </c>
      <c r="G2075" s="2"/>
      <c r="H2075" s="2" t="str">
        <f>IFERROR(__xludf.DUMMYFUNCTION("IF(G2075&lt;&gt;"""", GOOGLETRANSLATE(G2075, ""en"", ""te""),"""")"),"")</f>
        <v/>
      </c>
      <c r="I2075" s="3"/>
    </row>
    <row r="2076" customHeight="1" spans="1:9">
      <c r="A2076" s="2"/>
      <c r="B2076" s="2" t="str">
        <f>IFERROR(__xludf.DUMMYFUNCTION("IF(A2076&lt;&gt;"""", GOOGLETRANSLATE(A2076, ""en"", ""te""),"""")"),"")</f>
        <v/>
      </c>
      <c r="C2076" s="2"/>
      <c r="D2076" s="2" t="str">
        <f>IFERROR(__xludf.DUMMYFUNCTION("IF(C2076&lt;&gt;"""", GOOGLETRANSLATE(C2076, ""en"", ""te""),"""")"),"")</f>
        <v/>
      </c>
      <c r="E2076" s="2"/>
      <c r="F2076" s="2" t="str">
        <f>IFERROR(__xludf.DUMMYFUNCTION("IF(E2076&lt;&gt;"""", GOOGLETRANSLATE(E2076, ""en"", ""te""),"""")"),"")</f>
        <v/>
      </c>
      <c r="G2076" s="2"/>
      <c r="H2076" s="2" t="str">
        <f>IFERROR(__xludf.DUMMYFUNCTION("IF(G2076&lt;&gt;"""", GOOGLETRANSLATE(G2076, ""en"", ""te""),"""")"),"")</f>
        <v/>
      </c>
      <c r="I2076" s="3"/>
    </row>
    <row r="2077" customHeight="1" spans="1:9">
      <c r="A2077" s="2"/>
      <c r="B2077" s="2" t="str">
        <f>IFERROR(__xludf.DUMMYFUNCTION("IF(A2077&lt;&gt;"""", GOOGLETRANSLATE(A2077, ""en"", ""te""),"""")"),"")</f>
        <v/>
      </c>
      <c r="C2077" s="2" t="s">
        <v>1356</v>
      </c>
      <c r="D2077" s="2" t="str">
        <f>IFERROR(__xludf.DUMMYFUNCTION("IF(C2077&lt;&gt;"""", GOOGLETRANSLATE(C2077, ""en"", ""te""),"""")"),"[18 వ అత్యంత బంతుల్లో ఇన్నింగ్స్ లో బౌల్డ్ (462) ',' 36 వ అత్యధిక పరుగులు ఇన్నింగ్స్ లో సాధించిన (199) ']")</f>
        <v>[18 వ అత్యంత బంతుల్లో ఇన్నింగ్స్ లో బౌల్డ్ (462) ',' 36 వ అత్యధిక పరుగులు ఇన్నింగ్స్ లో సాధించిన (199) ']</v>
      </c>
      <c r="E2077" s="2"/>
      <c r="F2077" s="2" t="str">
        <f>IFERROR(__xludf.DUMMYFUNCTION("IF(E2077&lt;&gt;"""", GOOGLETRANSLATE(E2077, ""en"", ""te""),"""")"),"")</f>
        <v/>
      </c>
      <c r="G2077" s="2"/>
      <c r="H2077" s="2" t="str">
        <f>IFERROR(__xludf.DUMMYFUNCTION("IF(G2077&lt;&gt;"""", GOOGLETRANSLATE(G2077, ""en"", ""te""),"""")"),"")</f>
        <v/>
      </c>
      <c r="I2077" s="3"/>
    </row>
    <row r="2078" customHeight="1" spans="1:9">
      <c r="A2078" s="2"/>
      <c r="B2078" s="2" t="str">
        <f>IFERROR(__xludf.DUMMYFUNCTION("IF(A2078&lt;&gt;"""", GOOGLETRANSLATE(A2078, ""en"", ""te""),"""")"),"")</f>
        <v/>
      </c>
      <c r="C2078" s="2" t="s">
        <v>1357</v>
      </c>
      <c r="D2078" s="2" t="str">
        <f>IFERROR(__xludf.DUMMYFUNCTION("IF(C2078&lt;&gt;"""", GOOGLETRANSLATE(C2078, ""en"", ""te""),"""")"),"[ 'తొలి 42 వ ఓల్డెస్ట్ క్రీడాకారులు (37y 154d)']")</f>
        <v>[ 'తొలి 42 వ ఓల్డెస్ట్ క్రీడాకారులు (37y 154d)']</v>
      </c>
      <c r="E2078" s="2"/>
      <c r="F2078" s="2" t="str">
        <f>IFERROR(__xludf.DUMMYFUNCTION("IF(E2078&lt;&gt;"""", GOOGLETRANSLATE(E2078, ""en"", ""te""),"""")"),"")</f>
        <v/>
      </c>
      <c r="G2078" s="2"/>
      <c r="H2078" s="2" t="str">
        <f>IFERROR(__xludf.DUMMYFUNCTION("IF(G2078&lt;&gt;"""", GOOGLETRANSLATE(G2078, ""en"", ""te""),"""")"),"")</f>
        <v/>
      </c>
      <c r="I2078" s="3"/>
    </row>
    <row r="2079" customHeight="1" spans="1:9">
      <c r="A2079" s="2" t="s">
        <v>1358</v>
      </c>
      <c r="B2079" s="2" t="str">
        <f>IFERROR(__xludf.DUMMYFUNCTION("IF(A2079&lt;&gt;"""", GOOGLETRANSLATE(A2079, ""en"", ""te""),"""")"),"[ '3 వ వరుస నాలుగు వికెట్లు-ఇన్-ఒక-ఇన్నింగ్స్ (2)']")</f>
        <v>[ '3 వ వరుస నాలుగు వికెట్లు-ఇన్-ఒక-ఇన్నింగ్స్ (2)']</v>
      </c>
      <c r="C2079" s="2" t="s">
        <v>1359</v>
      </c>
      <c r="D2079" s="2" t="str">
        <f>IFERROR(__xludf.DUMMYFUNCTION("IF(C2079&lt;&gt;"""", GOOGLETRANSLATE(C2079, ""en"", ""te""),"""")"),"[ '39 వ ఉత్తమ కెరీర్ సగటు (13.78) (అర్హత లేకుండా) బౌలింగ్', 'ఒక ఇన్నింగ్స్ లో తొలి 14 బెస్ట్ ఫిగర్స్ (4)', '15 వ ప్రవేశం (6) ఒక మ్యాచ్లో బెస్ట్ ఫిగర్స్']")</f>
        <v>[ '39 వ ఉత్తమ కెరీర్ సగటు (13.78) (అర్హత లేకుండా) బౌలింగ్', 'ఒక ఇన్నింగ్స్ లో తొలి 14 బెస్ట్ ఫిగర్స్ (4)', '15 వ ప్రవేశం (6) ఒక మ్యాచ్లో బెస్ట్ ఫిగర్స్']</v>
      </c>
      <c r="E2079" s="2" t="s">
        <v>1360</v>
      </c>
      <c r="F2079" s="2" t="str">
        <f>IFERROR(__xludf.DUMMYFUNCTION("IF(E2079&lt;&gt;"""", GOOGLETRANSLATE(E2079, ""en"", ""te""),"""")"),"[ '11 వ ఒక ఇన్నింగ్స్ లోని బెస్ట్ ఫిగర్స్ ఉన్నప్పుడు పరాజయం వైపు (4)', '3 వ వరుస నాలుగు వికెట్లు-ఇన్-ఒక-ఇన్నింగ్స్ (2)']")</f>
        <v>[ '11 వ ఒక ఇన్నింగ్స్ లోని బెస్ట్ ఫిగర్స్ ఉన్నప్పుడు పరాజయం వైపు (4)', '3 వ వరుస నాలుగు వికెట్లు-ఇన్-ఒక-ఇన్నింగ్స్ (2)']</v>
      </c>
      <c r="G2079" s="2"/>
      <c r="H2079" s="2" t="str">
        <f>IFERROR(__xludf.DUMMYFUNCTION("IF(G2079&lt;&gt;"""", GOOGLETRANSLATE(G2079, ""en"", ""te""),"""")"),"")</f>
        <v/>
      </c>
      <c r="I2079" s="3"/>
    </row>
    <row r="2080" customHeight="1" spans="1:9">
      <c r="A2080" s="2" t="s">
        <v>982</v>
      </c>
      <c r="B2080" s="2" t="str">
        <f>IFERROR(__xludf.DUMMYFUNCTION("IF(A2080&lt;&gt;"""", GOOGLETRANSLATE(A2080, ""en"", ""te""),"""")"),"[ '1000 పరుగులు మరియు 100 వికెట్లు']")</f>
        <v>[ '1000 పరుగులు మరియు 100 వికెట్లు']</v>
      </c>
      <c r="C2080" s="2"/>
      <c r="D2080" s="2" t="str">
        <f>IFERROR(__xludf.DUMMYFUNCTION("IF(C2080&lt;&gt;"""", GOOGLETRANSLATE(C2080, ""en"", ""te""),"""")"),"")</f>
        <v/>
      </c>
      <c r="E2080" s="2" t="s">
        <v>1361</v>
      </c>
      <c r="F2080" s="2" t="str">
        <f>IFERROR(__xludf.DUMMYFUNCTION("IF(E2080&lt;&gt;"""", GOOGLETRANSLATE(E2080, ""en"", ""te""),"""")"),"[ '26 ఒక సిరీస్లో అత్యధిక వికెట్లు (20)', 'ఇన్నింగ్స్ లో 11 వ అత్యుత్తమ బౌలింగ్ విశ్లేషణలు (5/13)', 'ఇన్నింగ్స్ లో 47 వ ఉత్తమ సమ్మె రేటు (7.2)']")</f>
        <v>[ '26 ఒక సిరీస్లో అత్యధిక వికెట్లు (20)', 'ఇన్నింగ్స్ లో 11 వ అత్యుత్తమ బౌలింగ్ విశ్లేషణలు (5/13)', 'ఇన్నింగ్స్ లో 47 వ ఉత్తమ సమ్మె రేటు (7.2)']</v>
      </c>
      <c r="G2080" s="2"/>
      <c r="H2080" s="2" t="str">
        <f>IFERROR(__xludf.DUMMYFUNCTION("IF(G2080&lt;&gt;"""", GOOGLETRANSLATE(G2080, ""en"", ""te""),"""")"),"")</f>
        <v/>
      </c>
      <c r="I2080" s="3"/>
    </row>
    <row r="2081" customHeight="1" spans="1:9">
      <c r="A2081" s="2"/>
      <c r="B2081" s="2" t="str">
        <f>IFERROR(__xludf.DUMMYFUNCTION("IF(A2081&lt;&gt;"""", GOOGLETRANSLATE(A2081, ""en"", ""te""),"""")"),"")</f>
        <v/>
      </c>
      <c r="C2081" s="2"/>
      <c r="D2081" s="2" t="str">
        <f>IFERROR(__xludf.DUMMYFUNCTION("IF(C2081&lt;&gt;"""", GOOGLETRANSLATE(C2081, ""en"", ""te""),"""")"),"")</f>
        <v/>
      </c>
      <c r="E2081" s="2"/>
      <c r="F2081" s="2" t="str">
        <f>IFERROR(__xludf.DUMMYFUNCTION("IF(E2081&lt;&gt;"""", GOOGLETRANSLATE(E2081, ""en"", ""te""),"""")"),"")</f>
        <v/>
      </c>
      <c r="G2081" s="2"/>
      <c r="H2081" s="2" t="str">
        <f>IFERROR(__xludf.DUMMYFUNCTION("IF(G2081&lt;&gt;"""", GOOGLETRANSLATE(G2081, ""en"", ""te""),"""")"),"")</f>
        <v/>
      </c>
      <c r="I2081" s="3"/>
    </row>
    <row r="2082" customHeight="1" spans="1:9">
      <c r="A2082" s="2" t="s">
        <v>1362</v>
      </c>
      <c r="B2082" s="2" t="str">
        <f>IFERROR(__xludf.DUMMYFUNCTION("IF(A2082&lt;&gt;"""", GOOGLETRANSLATE(A2082, ""en"", ""te""),"""")"),"[ 'ఇన్నింగ్స్ లో 2 వ అత్యధిక పరుగులు (బ్యాటింగ్ స్థానంలో ప్రకారం) (104 *)', 'వరుస 1st చాలా బాతులు (3)', '2 వ అత్యుత్తమ బౌలింగ్ ఇన్నింగ్స్ లో విశ్లేషించడం (3/6)', '9 వ ఉత్తమ ఆర్థిక ఒక ఇన్నింగ్స్ లో రేటు (0.41) ',' 2 వ అత్యంత పది వికెట్లు లో ఒక మ్యాచ్ ఒక వృ"&amp;"త్తిలో (1) ',' బ్యాటింగ్ తెరవడం మరియు అదే మ్యాచ్ లో బౌలింగ్ ']")</f>
        <v>[ 'ఇన్నింగ్స్ లో 2 వ అత్యధిక పరుగులు (బ్యాటింగ్ స్థానంలో ప్రకారం) (104 *)', 'వరుస 1st చాలా బాతులు (3)', '2 వ అత్యుత్తమ బౌలింగ్ ఇన్నింగ్స్ లో విశ్లేషించడం (3/6)', '9 వ ఉత్తమ ఆర్థిక ఒక ఇన్నింగ్స్ లో రేటు (0.41) ',' 2 వ అత్యంత పది వికెట్లు లో ఒక మ్యాచ్ ఒక వృత్తిలో (1) ',' బ్యాటింగ్ తెరవడం మరియు అదే మ్యాచ్ లో బౌలింగ్ ']</v>
      </c>
      <c r="C2082" s="2" t="s">
        <v>1363</v>
      </c>
      <c r="D2082" s="2" t="str">
        <f>IFERROR(__xludf.DUMMYFUNCTION("IF(C2082&lt;&gt;"""", GOOGLETRANSLATE(C2082, ""en"", ""te""),"""")"),"[ 'ఇన్నింగ్స్ లో 2 వ అత్యధిక పరుగులు (బ్యాటింగ్ స్థానంలో ప్రకారం) (104 *)', '1st ఒక సిరీస్లో అత్యధిక బాతులు (3)', '2 వ అత్యంత 18 వ (90) పరాజయం వైపు ఒక మ్యాచ్లో అత్యధిక పరుగులు' కెరీర్లో జతల (1) ',' 30th చాలా మ్యాచ్లో కెరీర్లో వికెట్లు (26) ',' 29th ఒక ఇన"&amp;"్నింగ్స్ లోని బెస్ట్ ఫిగర్స్ (6/72) ',' 5 వ ఉత్తమ బొమ్మలు (10) ',' 18 వ అత్యధిక వికెట్లు లో వరుస (16) ',' ఒక క్యాలెండర్ సంవత్సరంలో 7 వ అత్యధిక వికెట్లు (21) ',' 2 వ అత్యుత్తమ బౌలింగ్ ఇన్నింగ్స్ లో విశ్లేషించడం (3/6) ',' ఒకే మైదానంలో 14 వ అత్యధిక వికెట్లు"&amp;" (10) ',' 15 వ ఒక ఇన్నింగ్స్ లోని బెస్ట్ ఫిగర్స్ ఉన్నప్పుడు పరాజయం వైపు (4) ',' 17 వ మ్యాచ్ లో బెస్ట్ ఫిగర్స్ ఉన్నప్పుడు పరాజయం వైపు (5) ',' 28th ఉత్తమ కెరీర్ సగటు (20.30) ',' 24 వ ఉత్తమ కెరీర్ సమ్మె రేటు బౌలింగ్ ( 66.3) ',' ఇన్నింగ్స్ లో 9 వ ఉత్తమ ఆర్థ"&amp;"ిక రేటు (0.41) ',' ఇన్నింగ్స్ లో 11 వ చెత్త సమ్మె రేటు (246.0) ',' 2 వ అత్యంత పది వికెట్లు లో ఒక మ్యాచ్ ఒక కెరీర్ (1) లో ', '12 వ అత్యధిక వికెట్లు తీసుకున్న ఎల్బిడబ్ల్యు (8)' '4 వ పిన్న ఆటగాడు పది వికెట్లు లో ఒక మ్యాచ్ (28y 266d) తీసుకోవాలని']")</f>
        <v>[ 'ఇన్నింగ్స్ లో 2 వ అత్యధిక పరుగులు (బ్యాటింగ్ స్థానంలో ప్రకారం) (104 *)', '1st ఒక సిరీస్లో అత్యధిక బాతులు (3)', '2 వ అత్యంత 18 వ (90) పరాజయం వైపు ఒక మ్యాచ్లో అత్యధిక పరుగులు' కెరీర్లో జతల (1) ',' 30th చాలా మ్యాచ్లో కెరీర్లో వికెట్లు (26) ',' 29th ఒక ఇన్నింగ్స్ లోని బెస్ట్ ఫిగర్స్ (6/72) ',' 5 వ ఉత్తమ బొమ్మలు (10) ',' 18 వ అత్యధిక వికెట్లు లో వరుస (16) ',' ఒక క్యాలెండర్ సంవత్సరంలో 7 వ అత్యధిక వికెట్లు (21) ',' 2 వ అత్యుత్తమ బౌలింగ్ ఇన్నింగ్స్ లో విశ్లేషించడం (3/6) ',' ఒకే మైదానంలో 14 వ అత్యధిక వికెట్లు (10) ',' 15 వ ఒక ఇన్నింగ్స్ లోని బెస్ట్ ఫిగర్స్ ఉన్నప్పుడు పరాజయం వైపు (4) ',' 17 వ మ్యాచ్ లో బెస్ట్ ఫిగర్స్ ఉన్నప్పుడు పరాజయం వైపు (5) ',' 28th ఉత్తమ కెరీర్ సగటు (20.30) ',' 24 వ ఉత్తమ కెరీర్ సమ్మె రేటు బౌలింగ్ ( 66.3) ',' ఇన్నింగ్స్ లో 9 వ ఉత్తమ ఆర్థిక రేటు (0.41) ',' ఇన్నింగ్స్ లో 11 వ చెత్త సమ్మె రేటు (246.0) ',' 2 వ అత్యంత పది వికెట్లు లో ఒక మ్యాచ్ ఒక కెరీర్ (1) లో ', '12 వ అత్యధిక వికెట్లు తీసుకున్న ఎల్బిడబ్ల్యు (8)' '4 వ పిన్న ఆటగాడు పది వికెట్లు లో ఒక మ్యాచ్ (28y 266d) తీసుకోవాలని']</v>
      </c>
      <c r="E2082" s="2" t="s">
        <v>1364</v>
      </c>
      <c r="F2082" s="2" t="str">
        <f>IFERROR(__xludf.DUMMYFUNCTION("IF(E2082&lt;&gt;"""", GOOGLETRANSLATE(E2082, ""en"", ""te""),"""")"),"[ '44 వ ఉత్తమ ఇన్నింగ్స్ లో ఆర్థిక రేటు (0.47)', 'తొలి ఇన్నింగ్స్ 15 వ బెస్ట్ ఫిగర్స్ (3)', 'ప్రదర్శనల మధ్య 11 వ లాంగెస్ట్ వ్యవధిలో (7y 164)']")</f>
        <v>[ '44 వ ఉత్తమ ఇన్నింగ్స్ లో ఆర్థిక రేటు (0.47)', 'తొలి ఇన్నింగ్స్ 15 వ బెస్ట్ ఫిగర్స్ (3)', 'ప్రదర్శనల మధ్య 11 వ లాంగెస్ట్ వ్యవధిలో (7y 164)']</v>
      </c>
      <c r="G2082" s="2"/>
      <c r="H2082" s="2" t="str">
        <f>IFERROR(__xludf.DUMMYFUNCTION("IF(G2082&lt;&gt;"""", GOOGLETRANSLATE(G2082, ""en"", ""te""),"""")"),"")</f>
        <v/>
      </c>
      <c r="I2082" s="3"/>
    </row>
    <row r="2083" customHeight="1" spans="1:9">
      <c r="A2083" s="2"/>
      <c r="B2083" s="2" t="str">
        <f>IFERROR(__xludf.DUMMYFUNCTION("IF(A2083&lt;&gt;"""", GOOGLETRANSLATE(A2083, ""en"", ""te""),"""")"),"")</f>
        <v/>
      </c>
      <c r="C2083" s="2"/>
      <c r="D2083" s="2" t="str">
        <f>IFERROR(__xludf.DUMMYFUNCTION("IF(C2083&lt;&gt;"""", GOOGLETRANSLATE(C2083, ""en"", ""te""),"""")"),"")</f>
        <v/>
      </c>
      <c r="E2083" s="2"/>
      <c r="F2083" s="2" t="str">
        <f>IFERROR(__xludf.DUMMYFUNCTION("IF(E2083&lt;&gt;"""", GOOGLETRANSLATE(E2083, ""en"", ""te""),"""")"),"")</f>
        <v/>
      </c>
      <c r="G2083" s="2"/>
      <c r="H2083" s="2" t="str">
        <f>IFERROR(__xludf.DUMMYFUNCTION("IF(G2083&lt;&gt;"""", GOOGLETRANSLATE(G2083, ""en"", ""te""),"""")"),"")</f>
        <v/>
      </c>
      <c r="I2083" s="3"/>
    </row>
    <row r="2084" customHeight="1" spans="1:9">
      <c r="A2084" s="2"/>
      <c r="B2084" s="2" t="str">
        <f>IFERROR(__xludf.DUMMYFUNCTION("IF(A2084&lt;&gt;"""", GOOGLETRANSLATE(A2084, ""en"", ""te""),"""")"),"")</f>
        <v/>
      </c>
      <c r="C2084" s="2" t="s">
        <v>1365</v>
      </c>
      <c r="D2084" s="2" t="str">
        <f>IFERROR(__xludf.DUMMYFUNCTION("IF(C2084&lt;&gt;"""", GOOGLETRANSLATE(C2084, ""en"", ""te""),"""")"),"[ 'ఎనిమిదవ వికెట్ (173) 11 వ అత్యధిక భాగస్వామ్యం']")</f>
        <v>[ 'ఎనిమిదవ వికెట్ (173) 11 వ అత్యధిక భాగస్వామ్యం']</v>
      </c>
      <c r="E2084" s="2"/>
      <c r="F2084" s="2" t="str">
        <f>IFERROR(__xludf.DUMMYFUNCTION("IF(E2084&lt;&gt;"""", GOOGLETRANSLATE(E2084, ""en"", ""te""),"""")"),"")</f>
        <v/>
      </c>
      <c r="G2084" s="2"/>
      <c r="H2084" s="2" t="str">
        <f>IFERROR(__xludf.DUMMYFUNCTION("IF(G2084&lt;&gt;"""", GOOGLETRANSLATE(G2084, ""en"", ""te""),"""")"),"")</f>
        <v/>
      </c>
      <c r="I2084" s="3"/>
    </row>
    <row r="2085" customHeight="1" spans="1:9">
      <c r="A2085" s="2" t="s">
        <v>1366</v>
      </c>
      <c r="B2085" s="2" t="str">
        <f>IFERROR(__xludf.DUMMYFUNCTION("IF(A2085&lt;&gt;"""", GOOGLETRANSLATE(A2085, ""en"", ""te""),"""")"),"[ 'కెరీర్లో 7 వ అత్యధిక వికెట్లు (22)', ఒక సిరీస్లో 'ఇన్నింగ్స్ లో 6 వ అత్యధిక పరుగులు (బ్యాటింగ్ స్థానంలో ప్రకారం) (80 *)', '(6) ఒక మ్యాచ్లో 3 వ అత్యధిక క్యాచ్లు', '1st చాలా బాతులు ( 3) ',' ఏడవ వికెట్కు 9 వ అత్యధిక భాగస్వామ్యం (89 *) ',' కెరీర్ లో 6 వ అత"&amp;"్యధిక వికెట్లు (99) ',' ఒక జట్టు 6 వ వరుస మ్యాచ్లు (67) ',' 3 వ ఇన్నింగ్స్ లో అత్యధిక క్యాచ్లు ( 4) ',' కెరీర్ (30 8 వ అత్యంత స్టంపింగ్లు) ']")</f>
        <v>[ 'కెరీర్లో 7 వ అత్యధిక వికెట్లు (22)', ఒక సిరీస్లో 'ఇన్నింగ్స్ లో 6 వ అత్యధిక పరుగులు (బ్యాటింగ్ స్థానంలో ప్రకారం) (80 *)', '(6) ఒక మ్యాచ్లో 3 వ అత్యధిక క్యాచ్లు', '1st చాలా బాతులు ( 3) ',' ఏడవ వికెట్కు 9 వ అత్యధిక భాగస్వామ్యం (89 *) ',' కెరీర్ లో 6 వ అత్యధిక వికెట్లు (99) ',' ఒక జట్టు 6 వ వరుస మ్యాచ్లు (67) ',' 3 వ ఇన్నింగ్స్ లో అత్యధిక క్యాచ్లు ( 4) ',' కెరీర్ (30 8 వ అత్యంత స్టంపింగ్లు) ']</v>
      </c>
      <c r="C2085" s="2" t="s">
        <v>1367</v>
      </c>
      <c r="D2085" s="2" t="str">
        <f>IFERROR(__xludf.DUMMYFUNCTION("IF(C2085&lt;&gt;"""", GOOGLETRANSLATE(C2085, ""en"", ""te""),"""")"),"[ 'ఇన్నింగ్స్ లో 6 వ అత్యధిక పరుగులు (80 *) (బ్యాటింగ్ స్థానం)' 'అత్యధిక వికెట్లు ఇన్నింగ్స్ లో 14 వ అత్యధిక పరుగులు (80 *)', '6 వ కెరీర్ బాతులు (4)', '1st చాలా బాతులు వరుస కెరీర్లో (3) ',' 2 వ అత్యంత జతల (1) ',' ఏడవ వికెట్ (89 *) 9 వ అత్యధిక భాగస్వామ్యం "&amp;"',' కెరీర్ లో 7 వ అత్యధిక వికెట్లు (22) ',' 10 వ చాల వరకు ఒక లో తొలగింపులకు ఇన్నింగ్స్ (4) ',' 8 వ మ్యాచ్ లో అత్యధిక వికెట్లు (6) ',' 16 వ ఒక సిరీస్లో అత్యధిక వికెట్లు (8) ',' కెరీర్ లో 3 వ అత్యధిక క్యాచ్లు (20) ',' ఇన్నింగ్స్ లో 3 వ అత్యధిక క్యాచ్లు (4 )"&amp;" ',' ఒక మ్యాచ్లో 3 వ అత్యధిక క్యాచ్లు (6) ',' 8 వ వరుస (8) ',' 11 వ అత్యధిక ఇన్నింగ్స్ బై (273 గూడా ఇవ్వకుండా మొత్తంగా అత్యధిక క్యాచ్లు) ']")</f>
        <v>[ 'ఇన్నింగ్స్ లో 6 వ అత్యధిక పరుగులు (80 *) (బ్యాటింగ్ స్థానం)' 'అత్యధిక వికెట్లు ఇన్నింగ్స్ లో 14 వ అత్యధిక పరుగులు (80 *)', '6 వ కెరీర్ బాతులు (4)', '1st చాలా బాతులు వరుస కెరీర్లో (3) ',' 2 వ అత్యంత జతల (1) ',' ఏడవ వికెట్ (89 *) 9 వ అత్యధిక భాగస్వామ్యం ',' కెరీర్ లో 7 వ అత్యధిక వికెట్లు (22) ',' 10 వ చాల వరకు ఒక లో తొలగింపులకు ఇన్నింగ్స్ (4) ',' 8 వ మ్యాచ్ లో అత్యధిక వికెట్లు (6) ',' 16 వ ఒక సిరీస్లో అత్యధిక వికెట్లు (8) ',' కెరీర్ లో 3 వ అత్యధిక క్యాచ్లు (20) ',' ఇన్నింగ్స్ లో 3 వ అత్యధిక క్యాచ్లు (4 ) ',' ఒక మ్యాచ్లో 3 వ అత్యధిక క్యాచ్లు (6) ',' 8 వ వరుస (8) ',' 11 వ అత్యధిక ఇన్నింగ్స్ బై (273 గూడా ఇవ్వకుండా మొత్తంగా అత్యధిక క్యాచ్లు) ']</v>
      </c>
      <c r="E2085" s="2" t="s">
        <v>1368</v>
      </c>
      <c r="F2085" s="2" t="str">
        <f>IFERROR(__xludf.DUMMYFUNCTION("IF(E2085&lt;&gt;"""", GOOGLETRANSLATE(E2085, ""en"", ""te""),"""")"),"[ 'జట్టు 6 వ వరుస మ్యాచ్లు (67)' 'ఇన్నింగ్స్ లో 17 వ అత్యధిక వికెట్లు (4)' '18 వ అత్యధిక తొమ్మిదవ వికెట్ (41 *) కొరకు చేసిన భాగస్వామ్యం', '6 వ కెరీర్ లో అత్యధిక వికెట్లు (99)', '14 వ ఒక సిరీస్లో అత్యధిక వికెట్లు (15)', '6 వ అత్యధిక క్యాచ్లు కెరీర్లో (69)'"&amp;", 'ఇన్నింగ్స్ లో 3 వ అత్యధిక క్యాచ్లు (4)', '11 వ ఒక సిరీస్లో అత్యధిక క్యాచ్లు (10)', '8 వ జీవితంలో అత్యధిక స్టంపింగ్లు (30) ',' 22 వ అత్యంత స్టంపింగ్లు వరుస (5) ']")</f>
        <v>[ 'జట్టు 6 వ వరుస మ్యాచ్లు (67)' 'ఇన్నింగ్స్ లో 17 వ అత్యధిక వికెట్లు (4)' '18 వ అత్యధిక తొమ్మిదవ వికెట్ (41 *) కొరకు చేసిన భాగస్వామ్యం', '6 వ కెరీర్ లో అత్యధిక వికెట్లు (99)', '14 వ ఒక సిరీస్లో అత్యధిక వికెట్లు (15)', '6 వ అత్యధిక క్యాచ్లు కెరీర్లో (69)', 'ఇన్నింగ్స్ లో 3 వ అత్యధిక క్యాచ్లు (4)', '11 వ ఒక సిరీస్లో అత్యధిక క్యాచ్లు (10)', '8 వ జీవితంలో అత్యధిక స్టంపింగ్లు (30) ',' 22 వ అత్యంత స్టంపింగ్లు వరుస (5) ']</v>
      </c>
      <c r="G2085" s="2"/>
      <c r="H2085" s="2" t="str">
        <f>IFERROR(__xludf.DUMMYFUNCTION("IF(G2085&lt;&gt;"""", GOOGLETRANSLATE(G2085, ""en"", ""te""),"""")"),"")</f>
        <v/>
      </c>
      <c r="I2085" s="3"/>
    </row>
    <row r="2086" customHeight="1" spans="1:9">
      <c r="A2086" s="2"/>
      <c r="B2086" s="2" t="str">
        <f>IFERROR(__xludf.DUMMYFUNCTION("IF(A2086&lt;&gt;"""", GOOGLETRANSLATE(A2086, ""en"", ""te""),"""")"),"")</f>
        <v/>
      </c>
      <c r="C2086" s="2"/>
      <c r="D2086" s="2" t="str">
        <f>IFERROR(__xludf.DUMMYFUNCTION("IF(C2086&lt;&gt;"""", GOOGLETRANSLATE(C2086, ""en"", ""te""),"""")"),"")</f>
        <v/>
      </c>
      <c r="E2086" s="2"/>
      <c r="F2086" s="2" t="str">
        <f>IFERROR(__xludf.DUMMYFUNCTION("IF(E2086&lt;&gt;"""", GOOGLETRANSLATE(E2086, ""en"", ""te""),"""")"),"")</f>
        <v/>
      </c>
      <c r="G2086" s="2"/>
      <c r="H2086" s="2" t="str">
        <f>IFERROR(__xludf.DUMMYFUNCTION("IF(G2086&lt;&gt;"""", GOOGLETRANSLATE(G2086, ""en"", ""te""),"""")"),"")</f>
        <v/>
      </c>
      <c r="I2086" s="3"/>
    </row>
    <row r="2087" customHeight="1" spans="1:9">
      <c r="A2087" s="2" t="s">
        <v>1369</v>
      </c>
      <c r="B2087" s="2" t="str">
        <f>IFERROR(__xludf.DUMMYFUNCTION("IF(A2087&lt;&gt;"""", GOOGLETRANSLATE(A2087, ""en"", ""te""),"""")"),"[ 'హండ్రెడ్ తొలి (159)', '200 పరుగులు మరియు ఒక సిరీస్లో 10 వికెట్కీపింగ్ తొలగింపులకు']")</f>
        <v>[ 'హండ్రెడ్ తొలి (159)', '200 పరుగులు మరియు ఒక సిరీస్లో 10 వికెట్కీపింగ్ తొలగింపులకు']</v>
      </c>
      <c r="C2087" s="2" t="s">
        <v>1370</v>
      </c>
      <c r="D2087" s="2" t="str">
        <f>IFERROR(__xludf.DUMMYFUNCTION("IF(C2087&lt;&gt;"""", GOOGLETRANSLATE(C2087, ""en"", ""te""),"""")"),"[ '28 మోస్ట్ వికెట్కీపర్ శ్రేణిలో పరుగులు (350)', '41 వ తొలి మ్యాచ్లో అత్యధిక పరుగులు (159)', 'రెండవ వికెట్ (259) కోసం 40 వ అత్యధిక భాగస్వామ్యం']")</f>
        <v>[ '28 మోస్ట్ వికెట్కీపర్ శ్రేణిలో పరుగులు (350)', '41 వ తొలి మ్యాచ్లో అత్యధిక పరుగులు (159)', 'రెండవ వికెట్ (259) కోసం 40 వ అత్యధిక భాగస్వామ్యం']</v>
      </c>
      <c r="E2087" s="2" t="s">
        <v>1371</v>
      </c>
      <c r="F2087" s="2" t="str">
        <f>IFERROR(__xludf.DUMMYFUNCTION("IF(E2087&lt;&gt;"""", GOOGLETRANSLATE(E2087, ""en"", ""te""),"""")"),"[ '30 వ అత్యంత వికెట్కీపర్ శ్రేణిలో పరుగులు (336)', '46 వ ఒక సిరీస్లో అత్యధిక వికెట్లు (14)']")</f>
        <v>[ '30 వ అత్యంత వికెట్కీపర్ శ్రేణిలో పరుగులు (336)', '46 వ ఒక సిరీస్లో అత్యధిక వికెట్లు (14)']</v>
      </c>
      <c r="G2087" s="2"/>
      <c r="H2087" s="2" t="str">
        <f>IFERROR(__xludf.DUMMYFUNCTION("IF(G2087&lt;&gt;"""", GOOGLETRANSLATE(G2087, ""en"", ""te""),"""")"),"")</f>
        <v/>
      </c>
      <c r="I2087" s="3"/>
    </row>
    <row r="2088" customHeight="1" spans="1:9">
      <c r="A2088" s="2"/>
      <c r="B2088" s="2" t="str">
        <f>IFERROR(__xludf.DUMMYFUNCTION("IF(A2088&lt;&gt;"""", GOOGLETRANSLATE(A2088, ""en"", ""te""),"""")"),"")</f>
        <v/>
      </c>
      <c r="C2088" s="2"/>
      <c r="D2088" s="2" t="str">
        <f>IFERROR(__xludf.DUMMYFUNCTION("IF(C2088&lt;&gt;"""", GOOGLETRANSLATE(C2088, ""en"", ""te""),"""")"),"")</f>
        <v/>
      </c>
      <c r="E2088" s="2"/>
      <c r="F2088" s="2" t="str">
        <f>IFERROR(__xludf.DUMMYFUNCTION("IF(E2088&lt;&gt;"""", GOOGLETRANSLATE(E2088, ""en"", ""te""),"""")"),"")</f>
        <v/>
      </c>
      <c r="G2088" s="2"/>
      <c r="H2088" s="2" t="str">
        <f>IFERROR(__xludf.DUMMYFUNCTION("IF(G2088&lt;&gt;"""", GOOGLETRANSLATE(G2088, ""en"", ""te""),"""")"),"")</f>
        <v/>
      </c>
      <c r="I2088" s="3"/>
    </row>
    <row r="2089" customHeight="1" spans="1:9">
      <c r="A2089" s="2"/>
      <c r="B2089" s="2" t="str">
        <f>IFERROR(__xludf.DUMMYFUNCTION("IF(A2089&lt;&gt;"""", GOOGLETRANSLATE(A2089, ""en"", ""te""),"""")"),"")</f>
        <v/>
      </c>
      <c r="C2089" s="2" t="s">
        <v>1372</v>
      </c>
      <c r="D2089" s="2" t="str">
        <f>IFERROR(__xludf.DUMMYFUNCTION("IF(C2089&lt;&gt;"""", GOOGLETRANSLATE(C2089, ""en"", ""te""),"""")"),"[ '29 ఉత్తమ కెరీర్ సమ్మె రేటు (48.9)']")</f>
        <v>[ '29 ఉత్తమ కెరీర్ సమ్మె రేటు (48.9)']</v>
      </c>
      <c r="E2089" s="2"/>
      <c r="F2089" s="2" t="str">
        <f>IFERROR(__xludf.DUMMYFUNCTION("IF(E2089&lt;&gt;"""", GOOGLETRANSLATE(E2089, ""en"", ""te""),"""")"),"")</f>
        <v/>
      </c>
      <c r="G2089" s="2"/>
      <c r="H2089" s="2" t="str">
        <f>IFERROR(__xludf.DUMMYFUNCTION("IF(G2089&lt;&gt;"""", GOOGLETRANSLATE(G2089, ""en"", ""te""),"""")"),"")</f>
        <v/>
      </c>
      <c r="I2089" s="3"/>
    </row>
    <row r="2090" customHeight="1" spans="1:9">
      <c r="A2090" s="2"/>
      <c r="B2090" s="2" t="str">
        <f>IFERROR(__xludf.DUMMYFUNCTION("IF(A2090&lt;&gt;"""", GOOGLETRANSLATE(A2090, ""en"", ""te""),"""")"),"")</f>
        <v/>
      </c>
      <c r="C2090" s="2"/>
      <c r="D2090" s="2" t="str">
        <f>IFERROR(__xludf.DUMMYFUNCTION("IF(C2090&lt;&gt;"""", GOOGLETRANSLATE(C2090, ""en"", ""te""),"""")"),"")</f>
        <v/>
      </c>
      <c r="E2090" s="2"/>
      <c r="F2090" s="2" t="str">
        <f>IFERROR(__xludf.DUMMYFUNCTION("IF(E2090&lt;&gt;"""", GOOGLETRANSLATE(E2090, ""en"", ""te""),"""")"),"")</f>
        <v/>
      </c>
      <c r="G2090" s="2"/>
      <c r="H2090" s="2" t="str">
        <f>IFERROR(__xludf.DUMMYFUNCTION("IF(G2090&lt;&gt;"""", GOOGLETRANSLATE(G2090, ""en"", ""te""),"""")"),"")</f>
        <v/>
      </c>
      <c r="I2090" s="3"/>
    </row>
    <row r="2091" customHeight="1" spans="1:9">
      <c r="A2091" s="2"/>
      <c r="B2091" s="2" t="str">
        <f>IFERROR(__xludf.DUMMYFUNCTION("IF(A2091&lt;&gt;"""", GOOGLETRANSLATE(A2091, ""en"", ""te""),"""")"),"")</f>
        <v/>
      </c>
      <c r="C2091" s="2"/>
      <c r="D2091" s="2" t="str">
        <f>IFERROR(__xludf.DUMMYFUNCTION("IF(C2091&lt;&gt;"""", GOOGLETRANSLATE(C2091, ""en"", ""te""),"""")"),"")</f>
        <v/>
      </c>
      <c r="E2091" s="2"/>
      <c r="F2091" s="2" t="str">
        <f>IFERROR(__xludf.DUMMYFUNCTION("IF(E2091&lt;&gt;"""", GOOGLETRANSLATE(E2091, ""en"", ""te""),"""")"),"")</f>
        <v/>
      </c>
      <c r="G2091" s="2"/>
      <c r="H2091" s="2" t="str">
        <f>IFERROR(__xludf.DUMMYFUNCTION("IF(G2091&lt;&gt;"""", GOOGLETRANSLATE(G2091, ""en"", ""te""),"""")"),"")</f>
        <v/>
      </c>
      <c r="I2091" s="3"/>
    </row>
    <row r="2092" customHeight="1" spans="1:9">
      <c r="A2092" s="2"/>
      <c r="B2092" s="2" t="str">
        <f>IFERROR(__xludf.DUMMYFUNCTION("IF(A2092&lt;&gt;"""", GOOGLETRANSLATE(A2092, ""en"", ""te""),"""")"),"")</f>
        <v/>
      </c>
      <c r="C2092" s="2"/>
      <c r="D2092" s="2" t="str">
        <f>IFERROR(__xludf.DUMMYFUNCTION("IF(C2092&lt;&gt;"""", GOOGLETRANSLATE(C2092, ""en"", ""te""),"""")"),"")</f>
        <v/>
      </c>
      <c r="E2092" s="2"/>
      <c r="F2092" s="2" t="str">
        <f>IFERROR(__xludf.DUMMYFUNCTION("IF(E2092&lt;&gt;"""", GOOGLETRANSLATE(E2092, ""en"", ""te""),"""")"),"")</f>
        <v/>
      </c>
      <c r="G2092" s="2"/>
      <c r="H2092" s="2" t="str">
        <f>IFERROR(__xludf.DUMMYFUNCTION("IF(G2092&lt;&gt;"""", GOOGLETRANSLATE(G2092, ""en"", ""te""),"""")"),"")</f>
        <v/>
      </c>
      <c r="I2092" s="3"/>
    </row>
    <row r="2093" customHeight="1" spans="1:9">
      <c r="A2093" s="2"/>
      <c r="B2093" s="2" t="str">
        <f>IFERROR(__xludf.DUMMYFUNCTION("IF(A2093&lt;&gt;"""", GOOGLETRANSLATE(A2093, ""en"", ""te""),"""")"),"")</f>
        <v/>
      </c>
      <c r="C2093" s="2"/>
      <c r="D2093" s="2" t="str">
        <f>IFERROR(__xludf.DUMMYFUNCTION("IF(C2093&lt;&gt;"""", GOOGLETRANSLATE(C2093, ""en"", ""te""),"""")"),"")</f>
        <v/>
      </c>
      <c r="E2093" s="2" t="s">
        <v>1373</v>
      </c>
      <c r="F2093" s="2" t="str">
        <f>IFERROR(__xludf.DUMMYFUNCTION("IF(E2093&lt;&gt;"""", GOOGLETRANSLATE(E2093, ""en"", ""te""),"""")"),"[ '44 వ ఒకే మైదానంలో అత్యధిక పరుగులు (289)', '25 వ ఒక వృత్తిలో అత్యధిక వందలు (2)', '21 వ పిన్న ఆటగాడు యొక్క 11 వ ఒక జట్టు (2) వ్యతిరేకంగా అత్యధిక వందలు 'వంద (22y 239d) స్కోర్ ',' కెరీర్ లో 21 వ అత్యంత బాతులు (9) ']")</f>
        <v>[ '44 వ ఒకే మైదానంలో అత్యధిక పరుగులు (289)', '25 వ ఒక వృత్తిలో అత్యధిక వందలు (2)', '21 వ పిన్న ఆటగాడు యొక్క 11 వ ఒక జట్టు (2) వ్యతిరేకంగా అత్యధిక వందలు 'వంద (22y 239d) స్కోర్ ',' కెరీర్ లో 21 వ అత్యంత బాతులు (9) ']</v>
      </c>
      <c r="G2093" s="2" t="s">
        <v>1374</v>
      </c>
      <c r="H2093" s="2" t="str">
        <f>IFERROR(__xludf.DUMMYFUNCTION("IF(G2093&lt;&gt;"""", GOOGLETRANSLATE(G2093, ""en"", ""te""),"""")"),"[ 'ఒక డక్ లేకుండా 42 వ వరుస ఇన్నింగ్స్ (28 *)', 'కెరీర్ (20) 25 వ అతి తక్కువ బాతులు']")</f>
        <v>[ 'ఒక డక్ లేకుండా 42 వ వరుస ఇన్నింగ్స్ (28 *)', 'కెరీర్ (20) 25 వ అతి తక్కువ బాతులు']</v>
      </c>
      <c r="I2093" s="3"/>
    </row>
    <row r="2094" customHeight="1" spans="1:9">
      <c r="A2094" s="2" t="s">
        <v>352</v>
      </c>
      <c r="B2094" s="2" t="str">
        <f>IFERROR(__xludf.DUMMYFUNCTION("IF(A2094&lt;&gt;"""", GOOGLETRANSLATE(A2094, ""en"", ""te""),"""")"),"[ 'బ్యాటింగ్ ప్రారంభించుటకు మరియు అదే మ్యాచ్ లో బౌలింగ్']")</f>
        <v>[ 'బ్యాటింగ్ ప్రారంభించుటకు మరియు అదే మ్యాచ్ లో బౌలింగ్']</v>
      </c>
      <c r="C2094" s="2" t="s">
        <v>1375</v>
      </c>
      <c r="D2094" s="2" t="str">
        <f>IFERROR(__xludf.DUMMYFUNCTION("IF(C2094&lt;&gt;"""", GOOGLETRANSLATE(C2094, ""en"", ""te""),"""")"),"[ '25 వ బౌలింగ్ సరాసరి (21.51) ఉత్తమ జీవితం' '50 వికెట్లు వేగంగా 20 (10)' '35 వ పిన్న ఆటగాడు పది వికెట్లు లో ఒక మ్యాచ్ తీసుకోవాలని (22y 360d)',]")</f>
        <v>[ '25 వ బౌలింగ్ సరాసరి (21.51) ఉత్తమ జీవితం' '50 వికెట్లు వేగంగా 20 (10)' '35 వ పిన్న ఆటగాడు పది వికెట్లు లో ఒక మ్యాచ్ తీసుకోవాలని (22y 360d)',]</v>
      </c>
      <c r="E2094" s="2"/>
      <c r="F2094" s="2" t="str">
        <f>IFERROR(__xludf.DUMMYFUNCTION("IF(E2094&lt;&gt;"""", GOOGLETRANSLATE(E2094, ""en"", ""te""),"""")"),"")</f>
        <v/>
      </c>
      <c r="G2094" s="2"/>
      <c r="H2094" s="2" t="str">
        <f>IFERROR(__xludf.DUMMYFUNCTION("IF(G2094&lt;&gt;"""", GOOGLETRANSLATE(G2094, ""en"", ""te""),"""")"),"")</f>
        <v/>
      </c>
      <c r="I2094" s="3"/>
    </row>
    <row r="2095" customHeight="1" spans="1:9">
      <c r="A2095" s="2"/>
      <c r="B2095" s="2" t="str">
        <f>IFERROR(__xludf.DUMMYFUNCTION("IF(A2095&lt;&gt;"""", GOOGLETRANSLATE(A2095, ""en"", ""te""),"""")"),"")</f>
        <v/>
      </c>
      <c r="C2095" s="2"/>
      <c r="D2095" s="2" t="str">
        <f>IFERROR(__xludf.DUMMYFUNCTION("IF(C2095&lt;&gt;"""", GOOGLETRANSLATE(C2095, ""en"", ""te""),"""")"),"")</f>
        <v/>
      </c>
      <c r="E2095" s="2"/>
      <c r="F2095" s="2" t="str">
        <f>IFERROR(__xludf.DUMMYFUNCTION("IF(E2095&lt;&gt;"""", GOOGLETRANSLATE(E2095, ""en"", ""te""),"""")"),"")</f>
        <v/>
      </c>
      <c r="G2095" s="2"/>
      <c r="H2095" s="2" t="str">
        <f>IFERROR(__xludf.DUMMYFUNCTION("IF(G2095&lt;&gt;"""", GOOGLETRANSLATE(G2095, ""en"", ""te""),"""")"),"")</f>
        <v/>
      </c>
      <c r="I2095" s="3"/>
    </row>
    <row r="2096" customHeight="1" spans="1:9">
      <c r="A2096" s="2"/>
      <c r="B2096" s="2" t="str">
        <f>IFERROR(__xludf.DUMMYFUNCTION("IF(A2096&lt;&gt;"""", GOOGLETRANSLATE(A2096, ""en"", ""te""),"""")"),"")</f>
        <v/>
      </c>
      <c r="C2096" s="2"/>
      <c r="D2096" s="2" t="str">
        <f>IFERROR(__xludf.DUMMYFUNCTION("IF(C2096&lt;&gt;"""", GOOGLETRANSLATE(C2096, ""en"", ""te""),"""")"),"")</f>
        <v/>
      </c>
      <c r="E2096" s="2"/>
      <c r="F2096" s="2" t="str">
        <f>IFERROR(__xludf.DUMMYFUNCTION("IF(E2096&lt;&gt;"""", GOOGLETRANSLATE(E2096, ""en"", ""te""),"""")"),"")</f>
        <v/>
      </c>
      <c r="G2096" s="2"/>
      <c r="H2096" s="2" t="str">
        <f>IFERROR(__xludf.DUMMYFUNCTION("IF(G2096&lt;&gt;"""", GOOGLETRANSLATE(G2096, ""en"", ""te""),"""")"),"")</f>
        <v/>
      </c>
      <c r="I2096" s="3"/>
    </row>
    <row r="2097" customHeight="1" spans="1:9">
      <c r="A2097" s="2"/>
      <c r="B2097" s="2" t="str">
        <f>IFERROR(__xludf.DUMMYFUNCTION("IF(A2097&lt;&gt;"""", GOOGLETRANSLATE(A2097, ""en"", ""te""),"""")"),"")</f>
        <v/>
      </c>
      <c r="C2097" s="2"/>
      <c r="D2097" s="2" t="str">
        <f>IFERROR(__xludf.DUMMYFUNCTION("IF(C2097&lt;&gt;"""", GOOGLETRANSLATE(C2097, ""en"", ""te""),"""")"),"")</f>
        <v/>
      </c>
      <c r="E2097" s="2"/>
      <c r="F2097" s="2" t="str">
        <f>IFERROR(__xludf.DUMMYFUNCTION("IF(E2097&lt;&gt;"""", GOOGLETRANSLATE(E2097, ""en"", ""te""),"""")"),"")</f>
        <v/>
      </c>
      <c r="G2097" s="2"/>
      <c r="H2097" s="2" t="str">
        <f>IFERROR(__xludf.DUMMYFUNCTION("IF(G2097&lt;&gt;"""", GOOGLETRANSLATE(G2097, ""en"", ""te""),"""")"),"")</f>
        <v/>
      </c>
      <c r="I2097" s="3"/>
    </row>
    <row r="2098" customHeight="1" spans="1:9">
      <c r="A2098" s="2" t="s">
        <v>1376</v>
      </c>
      <c r="B2098" s="2" t="str">
        <f>IFERROR(__xludf.DUMMYFUNCTION("IF(A2098&lt;&gt;"""", GOOGLETRANSLATE(A2098, ""en"", ""te""),"""")"),"[ 'కెరీర్లో 2 వ అత్యధిక మ్యాచ్లు (168)', 'బృందం (73) కెప్టెన్ గా 2nd వరుస మ్యాచ్లు', 'కెరీర్ లో 2 వ అత్యధిక పరుగులు (13378)', 'హండ్రెడ్ ఒక మ్యాచ్లో ప్రతి ఇన్నింగ్స్లో', 'హండ్రెడ్ మరియు ఒక మ్యాచ్లో తొంభై ',' కెరీర్ లో 2 వ పెద్ద అర్ధ (103) ',' హండ్రెడ్ మరి"&amp;"యు ఒక మ్యాచ్లో ఒక డక్ ',' కెరీర్లో 4 వ అత్యంత ఫోర్లు (1509) ',' 2 వ వేగవంతమైన వరకు 12000 పరుగులు (247) ' '1 వ అత్యుత్తమ బౌలింగ్ ఇన్నింగ్స్ లో విశ్లేషించడం (1/0)', ​​'4 వ కెరీర్లో అత్యధిక క్యాచ్లు (196)', '5000 పరుగులు మరియు 50 ఫీల్డింగ్ వికెట్లు', 'నాలుగ"&amp;"వ వికెట్కు 6 వ అత్యధిక భాగస్వామ్యం (386)', ' 4 వ అత్యంత ప్లేయర్ ఆఫ్ ది మ్యాచ్ అవార్డులు (32) ',' 1 వ కెప్టెన్గా (230) ',' 3 వ అత్యధిక కెరీర్ లో నడుస్తుంది అత్యధిక మ్యాచ్లు (13704) ',' ఒక వృత్తిలో 3 వ అత్యధిక వందలు (30) ',' కెరీర్లో 8 వ అత్యంత తొంభైల (6) "&amp;"',' కెరీర్ లో 3 వ అత్యంత అర్ధ (112) ',' 6 వ అత్యధిక వరుస బాతులు (3) ',' 4 వ కెరీర్ ఫోర్లు (1231) ',' 2nd 13000 పరుగులు వేగంగా (341 ) ',' కెరీర్ లో 2 వ అత్యధిక క్యాచ్లు (160) ',' 5000 పరుగులు మరియు 50 ఫీల్డింగ్ వికెట్లు ',' నాలుగవ వికెట్కు 4 వ అత్యధిక భాగస"&amp;"్వామ్యం (237) ',' ఒక ఇన్నింగ్స్ లో 1 వ అత్యధిక పరుగులు (ప్రగతిశీల రికార్డు హోల్డర్) (98 *) ',' తొలి మ్యాచ్ (98 *) లో 4 వ అత్యధిక పరుగులు ',' 7 వ ఇన్నింగ్స్ లో వచ్చిన ఎక్కువ ఫోర్లు (13) ',' 5 వ కెరీర్లో అత్యధిక మ్యాచ్లు (560 ) ',' 2 వ అత్యధిక మ్యాచ్లు కెప్"&amp;"టెన్గా (324) ',' ఒక క్యాలెండర్ ఏడాది (2833) లో 2 వ అత్యధిక పరుగులు ',' ఒక క్యాలెండర్ సంవత్సరంలో 2 వ అత్యధిక వందలు (11) ',' 4 వ అత్యంత తొంభైల కెరీర్లో (13) ' 'కెరీర్ లో 2 వ పెద్ద అర్ధ (217)', 'కెరీర్ లో 3 వ అత్యంత ఫోర్లు (2781)', 'కెరీర్ (364) లో 2 వ అత్య"&amp;"ధిక క్యాచ్లు']")</f>
        <v>[ 'కెరీర్లో 2 వ అత్యధిక మ్యాచ్లు (168)', 'బృందం (73) కెప్టెన్ గా 2nd వరుస మ్యాచ్లు', 'కెరీర్ లో 2 వ అత్యధిక పరుగులు (13378)', 'హండ్రెడ్ ఒక మ్యాచ్లో ప్రతి ఇన్నింగ్స్లో', 'హండ్రెడ్ మరియు ఒక మ్యాచ్లో తొంభై ',' కెరీర్ లో 2 వ పెద్ద అర్ధ (103) ',' హండ్రెడ్ మరియు ఒక మ్యాచ్లో ఒక డక్ ',' కెరీర్లో 4 వ అత్యంత ఫోర్లు (1509) ',' 2 వ వేగవంతమైన వరకు 12000 పరుగులు (247) ' '1 వ అత్యుత్తమ బౌలింగ్ ఇన్నింగ్స్ లో విశ్లేషించడం (1/0)', ​​'4 వ కెరీర్లో అత్యధిక క్యాచ్లు (196)', '5000 పరుగులు మరియు 50 ఫీల్డింగ్ వికెట్లు', 'నాలుగవ వికెట్కు 6 వ అత్యధిక భాగస్వామ్యం (386)', ' 4 వ అత్యంత ప్లేయర్ ఆఫ్ ది మ్యాచ్ అవార్డులు (32) ',' 1 వ కెప్టెన్గా (230) ',' 3 వ అత్యధిక కెరీర్ లో నడుస్తుంది అత్యధిక మ్యాచ్లు (13704) ',' ఒక వృత్తిలో 3 వ అత్యధిక వందలు (30) ',' కెరీర్లో 8 వ అత్యంత తొంభైల (6) ',' కెరీర్ లో 3 వ అత్యంత అర్ధ (112) ',' 6 వ అత్యధిక వరుస బాతులు (3) ',' 4 వ కెరీర్ ఫోర్లు (1231) ',' 2nd 13000 పరుగులు వేగంగా (341 ) ',' కెరీర్ లో 2 వ అత్యధిక క్యాచ్లు (160) ',' 5000 పరుగులు మరియు 50 ఫీల్డింగ్ వికెట్లు ',' నాలుగవ వికెట్కు 4 వ అత్యధిక భాగస్వామ్యం (237) ',' ఒక ఇన్నింగ్స్ లో 1 వ అత్యధిక పరుగులు (ప్రగతిశీల రికార్డు హోల్డర్) (98 *) ',' తొలి మ్యాచ్ (98 *) లో 4 వ అత్యధిక పరుగులు ',' 7 వ ఇన్నింగ్స్ లో వచ్చిన ఎక్కువ ఫోర్లు (13) ',' 5 వ కెరీర్లో అత్యధిక మ్యాచ్లు (560 ) ',' 2 వ అత్యధిక మ్యాచ్లు కెప్టెన్గా (324) ',' ఒక క్యాలెండర్ ఏడాది (2833) లో 2 వ అత్యధిక పరుగులు ',' ఒక క్యాలెండర్ సంవత్సరంలో 2 వ అత్యధిక వందలు (11) ',' 4 వ అత్యంత తొంభైల కెరీర్లో (13) ' 'కెరీర్ లో 2 వ పెద్ద అర్ధ (217)', 'కెరీర్ లో 3 వ అత్యంత ఫోర్లు (2781)', 'కెరీర్ (364) లో 2 వ అత్యధిక క్యాచ్లు']</v>
      </c>
      <c r="C2098" s="2" t="s">
        <v>1377</v>
      </c>
      <c r="D2098" s="2" t="str">
        <f>IFERROR(__xludf.DUMMYFUNCTION("IF(C2098&lt;&gt;"""", GOOGLETRANSLATE(C2098, ""en"", ""te""),"""")"),"[ 'కెరీర్లో 2 వ అత్యధిక పరుగులు (13378)', '31 ఒక సిరీస్లో అత్యధిక పరుగులు (706)', 'ఒక క్యాలెండర్ సంవత్సరంలో 7 వ అత్యధిక పరుగులు (1544)', '12 వ ఇన్నింగ్స్ లో అత్యధిక పరుగులు (బ్యాటింగ్ స్థానంలో ప్రకారం) ( 197) ',' 14 వ పరాజయం వైపు ఒక మ్యాచ్లో అత్యధిక పరుగ"&amp;"ులు (242) ',' 8 వ ఒకే మైదానంలో అత్యధిక పరుగులు (1743) ',' ఒక కెప్టెన్ ద్వారా ఒక సిరీస్లో 25 అత్యధిక పరుగులు (576) ',' 31 అత్యధిక కెరీర్ బ్యాటింగ్ సగటు (51.85) ',' ఒక వృత్తిలో 3 వ అత్యధిక వందలు (41) ',' వరుస (6) ',' 2 వ అత్యధిక డబుల్ వందల వృత్తిలో 7 వ అత్"&amp;"యధిక డబుల్ సెంచరీలు (2) ',' 2 వ అత్యంత ఒక క్యాలెండర్ సంవత్సరంలో వందల (7) ',' 15 వ ఒక జట్టు వ్యతిరేకంగా అత్యధిక వందలు (8) ',' వరుస మ్యాచ్లలో 21 వందల (3) ',' 6 వ హండ్రెడ్ వందవ మ్యాచ్లో (120) ',' 10 వ అత్యధిక కెరీర్ లో తొంభైల (6) ',' 24th తొంభై తొలి (96) '"&amp;",' కెరీర్ లో 2 వ పెద్ద అర్ధ (103) ',' వరుస ఇన్నింగ్స్లో 32 వ యాభైల్లో మొదటి డక్ ముందు (5) ',' 13 వ అత్యంత ఇన్నింగ్స్ (44) ',' 26 మోస్ట్ ఒక డక్ లేకుండా వరుసగా ఇన్నింగ్స్ (62) ',' 39 వ అత్యంత బాతులు కెరీర్ లో (17) ',' 15 వ ఎక్కువ సిక్స్ కెరీర్లో (73) ',' 4"&amp;" వ కెరీర్ ఫోర్లు (1509) ',' 5000 పరుగులు (110) ',' 14 వ వేగంగా 30 వ వేగవంతమైన 6000 పరుగులు (125) ',' 14 వ 7000 పరుగులు (145) ',' 8000 పరుగులు 9 వ వేగవంతమైన వేగంగా (165) ',' 3 వ 9000 పరుగులు (177) ',' 10000 పరుగులు (196) ',' 3 వ అత్యంత వేగంగా 4 వేగవంతమై"&amp;"న 11000 పరుగులు (222) కు ',' 2 వ వేగవంతమైన వరకు 12000 పరుగులు (247) ',' 13000 పరుగులు వేగంగా 3 వ వేగంగా ( 275) ',' 1 వ అత్యుత్తమ బౌలింగ్ ఇన్నింగ్స్ లో విశ్లేషించడం (1/0) ',' 4 వ అత్యధిక క్యాచ్లు కెరీర్లో (196) ',' 24th ఒక సిరీస్లో అత్యధిక క్యాచ్లు (ఏ విక"&amp;"ెట్కు 11) ', '21 వ అత్యధిక భాగస్వామ్యాల ( 386) ',' మూడో వికెట్కు 22 అత్యధిక భాగస్వామ్యం కెరీర్లో (315) ',' నాలుగవ వికెట్కు (386) 6 వ అత్యధిక భాగస్వామ్యం ',' 2 వ అత్యధిక మ్యాచ్లు (168) ',' ఒక జట్టు 18 వ వరుస మ్యాచ్లు ( 73) ',' చాలా 5 వ ప్లేయర్ ఆఫ్ ది మ్యాచ"&amp;"్ అవార్డులు (16) ',' 24 వ అత్యంత ప్లేయర్ ఆఫ్ ది సిరీస్ అవార్డులు కెప్టెన్గా (77) ',' 2 వ భాగం (4) ',' 4 వ అత్యధిక మ్యాచ్లు ఒక జట్టు కెప్టెన్గా వరుస మ్యాచ్లు (73) ',' 47 వ వరుస (3) లో అన్ని టాస్ గెలిచి ']")</f>
        <v>[ 'కెరీర్లో 2 వ అత్యధిక పరుగులు (13378)', '31 ఒక సిరీస్లో అత్యధిక పరుగులు (706)', 'ఒక క్యాలెండర్ సంవత్సరంలో 7 వ అత్యధిక పరుగులు (1544)', '12 వ ఇన్నింగ్స్ లో అత్యధిక పరుగులు (బ్యాటింగ్ స్థానంలో ప్రకారం) ( 197) ',' 14 వ పరాజయం వైపు ఒక మ్యాచ్లో అత్యధిక పరుగులు (242) ',' 8 వ ఒకే మైదానంలో అత్యధిక పరుగులు (1743) ',' ఒక కెప్టెన్ ద్వారా ఒక సిరీస్లో 25 అత్యధిక పరుగులు (576) ',' 31 అత్యధిక కెరీర్ బ్యాటింగ్ సగటు (51.85) ',' ఒక వృత్తిలో 3 వ అత్యధిక వందలు (41) ',' వరుస (6) ',' 2 వ అత్యధిక డబుల్ వందల వృత్తిలో 7 వ అత్యధిక డబుల్ సెంచరీలు (2) ',' 2 వ అత్యంత ఒక క్యాలెండర్ సంవత్సరంలో వందల (7) ',' 15 వ ఒక జట్టు వ్యతిరేకంగా అత్యధిక వందలు (8) ',' వరుస మ్యాచ్లలో 21 వందల (3) ',' 6 వ హండ్రెడ్ వందవ మ్యాచ్లో (120) ',' 10 వ అత్యధిక కెరీర్ లో తొంభైల (6) ',' 24th తొంభై తొలి (96) ',' కెరీర్ లో 2 వ పెద్ద అర్ధ (103) ',' వరుస ఇన్నింగ్స్లో 32 వ యాభైల్లో మొదటి డక్ ముందు (5) ',' 13 వ అత్యంత ఇన్నింగ్స్ (44) ',' 26 మోస్ట్ ఒక డక్ లేకుండా వరుసగా ఇన్నింగ్స్ (62) ',' 39 వ అత్యంత బాతులు కెరీర్ లో (17) ',' 15 వ ఎక్కువ సిక్స్ కెరీర్లో (73) ',' 4 వ కెరీర్ ఫోర్లు (1509) ',' 5000 పరుగులు (110) ',' 14 వ వేగంగా 30 వ వేగవంతమైన 6000 పరుగులు (125) ',' 14 వ 7000 పరుగులు (145) ',' 8000 పరుగులు 9 వ వేగవంతమైన వేగంగా (165) ',' 3 వ 9000 పరుగులు (177) ',' 10000 పరుగులు (196) ',' 3 వ అత్యంత వేగంగా 4 వేగవంతమైన 11000 పరుగులు (222) కు ',' 2 వ వేగవంతమైన వరకు 12000 పరుగులు (247) ',' 13000 పరుగులు వేగంగా 3 వ వేగంగా ( 275) ',' 1 వ అత్యుత్తమ బౌలింగ్ ఇన్నింగ్స్ లో విశ్లేషించడం (1/0) ',' 4 వ అత్యధిక క్యాచ్లు కెరీర్లో (196) ',' 24th ఒక సిరీస్లో అత్యధిక క్యాచ్లు (ఏ వికెట్కు 11) ', '21 వ అత్యధిక భాగస్వామ్యాల ( 386) ',' మూడో వికెట్కు 22 అత్యధిక భాగస్వామ్యం కెరీర్లో (315) ',' నాలుగవ వికెట్కు (386) 6 వ అత్యధిక భాగస్వామ్యం ',' 2 వ అత్యధిక మ్యాచ్లు (168) ',' ఒక జట్టు 18 వ వరుస మ్యాచ్లు ( 73) ',' చాలా 5 వ ప్లేయర్ ఆఫ్ ది మ్యాచ్ అవార్డులు (16) ',' 24 వ అత్యంత ప్లేయర్ ఆఫ్ ది సిరీస్ అవార్డులు కెప్టెన్గా (77) ',' 2 వ భాగం (4) ',' 4 వ అత్యధిక మ్యాచ్లు ఒక జట్టు కెప్టెన్గా వరుస మ్యాచ్లు (73) ',' 47 వ వరుస (3) లో అన్ని టాస్ గెలిచి ']</v>
      </c>
      <c r="E2098" s="2" t="s">
        <v>1378</v>
      </c>
      <c r="F2098" s="2" t="str">
        <f>IFERROR(__xludf.DUMMYFUNCTION("IF(E2098&lt;&gt;"""", GOOGLETRANSLATE(E2098, ""en"", ""te""),"""")"),"[ '3 వ అత్యధిక కెరీర్ లో నడుస్తుంది (13704)', '19 వ ఒక సిరీస్లో అత్యధిక పరుగులు (539)', '15 క్యాలెండర్ సంవత్సరంలో అత్యధిక పరుగులు (1424)', '9 వ ఇన్నింగ్స్ లో అత్యధిక పరుగులు (బ్యాటింగ్ స్థానంలో ప్రకారం) ( 164) ',' 9 వ పరాజయం వైపు ఒక మ్యాచ్లో అత్యధిక పరుగ"&amp;"ులు (164) ',' ఒకే మైదానంలో 8 వ అత్యధిక పరుగులు (2108) ',' ఒక కెప్టెన్ ద్వారా ఒక సిరీస్లో 6 వ అత్యధిక పరుగులు (539) ',' 8 వ ఒక కెప్టెన్తో ఇన్నింగ్స్ లో అత్యధిక పరుగులు (164) ',' 47 వ అత్యధిక కెరీర్ బ్యాటింగ్ సగటు (42.03) ',' ఒక వృత్తిలో 3 వ అత్యధిక వందలు "&amp;"(30) ',' 11 వ ఒక క్యాలెండర్ సంవత్సరంలో అత్యధిక వందలు (5) ',' ఒక జట్టు వ్యతిరేకంగా 10 వ అత్యధిక వందలు (6) ',' 29th పిన్న ఆటగాడు వంద (36y 95d) ',' 8 వ కెరీర్ తొంభైల స్కోర్ వంద (21y 21d) ',' 20 వ అత్యంత వృద్ధ ఆటగాడు స్కోర్ (6) ', 'కెరీర్ లో 3 వ అత్యంత అర్ధ "&amp;"(112)', 'వరుస ఇన్నింగ్స్లో 11 వ యాభైల్లో (5)', 'ఒక డక్ లేకుండా 34 వ వరుస ఇన్నింగ్స్ (69)', '13 వ కెరీర్ బాతులు (20)', '6 వ అత్యంత బాతులు వరుస (3) ',' 6 వ అత్యధిక వరుస బాతులు (3) ',' 12 వ కెరీర్ లో వచ్చిన ఎక్కువ సిక్స్ (162) ',' 4 వ అత్యంత ఫోర్లు కెరీర్లో"&amp;" (1231) ',' 31 మోస్ట్ ఆరు ఒక ఇన్నింగ్స్ లో ఎస్ (9) ',' ఇన్నింగ్స్ లో ఫోర్లు, సిక్సర్లు నుండి 38 వ అత్యధిక పరుగులు (106) ',' ఫాస్టెస్ట్ 2000 వరకు ఒక ఇన్నింగ్స్లో పరుగుల 26 అత్యధిక శాతం (57.74) ',' 48 వ పరుగులు (58) ' '36th 3000 పరుగులు (87) వేగంగా', '28th "&amp;"4000 పరుగులు (112) వేగంగా', '5000 పరుగులు (137) కు 22 వ వేగవంతమైన' '16 వ వేగంగా చేయడానికి 6000 పరుగులు (166)', '13 వ వేగవంతమైన 7000 పరుగులు (192) ',' 12 వ 8000 పరుగులు వేగంగా (220) ',' 7th 9000 పరుగులు వేగంగా (242) ',' 4 వ 10000 పరుగులు (266) ',' ఫాస్టె"&amp;"స్ట్ 3 వ 11000 పరుగులు (286) 'కు వేగవంతమైన, '3 వ అత్యంత వేగంగా చేయడానికి 12000 పరుగులు (314)', '2 వ వేగవంతమైన వరకు 13000 పరుగులు (341)', 'కెరీర్ లో 2 వ అత్యధిక క్యాచ్లు (160)', 'ఒక సిరీస్లో 4 అత్యధిక క్యాచ్లు (11)', '39 వ అత్యధిక కోసం భాగస్వామ్యాలు ఏ వి"&amp;"కెట్కు (237) ',' మూడో వికెట్ (234 *) కోసం 7 వ అత్యధిక భాగస్వామ్యం ',' నాలుగవ వికెట్కు 4 వ అత్యధిక భాగస్వామ్యం (237) ఐదో వికెట్కు (159) కోసం ',' 25 వ అత్యధిక భాగస్వామ్యం ',' 7 వ అత్యంత కెరీర్లో మ్యాచ్లు (375) ',' 4 వ అత్యంత ప్లేయర్ ఆఫ్ ది మ్యాచ్ అవార్డులు "&amp;"(32) ',' 6 వ అత్యంత ప్లేయర్ ఆఫ్ ది సిరీస్ అవార్డులు (7) ',' 26th లాంగెస్ట్ కెరీర్లు ( 17y 4D) ',' 1 వ కెప్టెన్గా అత్యధిక మ్యాచ్లు (230) ',' ఒక జట్టు కెప్టెన్గా 27 వరుస మ్యాచ్లు (38) ',' 37 వ ఓల్డెస్ట్ కాప్టెన్ (37y 62d) ']")</f>
        <v>[ '3 వ అత్యధిక కెరీర్ లో నడుస్తుంది (13704)', '19 వ ఒక సిరీస్లో అత్యధిక పరుగులు (539)', '15 క్యాలెండర్ సంవత్సరంలో అత్యధిక పరుగులు (1424)', '9 వ ఇన్నింగ్స్ లో అత్యధిక పరుగులు (బ్యాటింగ్ స్థానంలో ప్రకారం) ( 164) ',' 9 వ పరాజయం వైపు ఒక మ్యాచ్లో అత్యధిక పరుగులు (164) ',' ఒకే మైదానంలో 8 వ అత్యధిక పరుగులు (2108) ',' ఒక కెప్టెన్ ద్వారా ఒక సిరీస్లో 6 వ అత్యధిక పరుగులు (539) ',' 8 వ ఒక కెప్టెన్తో ఇన్నింగ్స్ లో అత్యధిక పరుగులు (164) ',' 47 వ అత్యధిక కెరీర్ బ్యాటింగ్ సగటు (42.03) ',' ఒక వృత్తిలో 3 వ అత్యధిక వందలు (30) ',' 11 వ ఒక క్యాలెండర్ సంవత్సరంలో అత్యధిక వందలు (5) ',' ఒక జట్టు వ్యతిరేకంగా 10 వ అత్యధిక వందలు (6) ',' 29th పిన్న ఆటగాడు వంద (36y 95d) ',' 8 వ కెరీర్ తొంభైల స్కోర్ వంద (21y 21d) ',' 20 వ అత్యంత వృద్ధ ఆటగాడు స్కోర్ (6) ', 'కెరీర్ లో 3 వ అత్యంత అర్ధ (112)', 'వరుస ఇన్నింగ్స్లో 11 వ యాభైల్లో (5)', 'ఒక డక్ లేకుండా 34 వ వరుస ఇన్నింగ్స్ (69)', '13 వ కెరీర్ బాతులు (20)', '6 వ అత్యంత బాతులు వరుస (3) ',' 6 వ అత్యధిక వరుస బాతులు (3) ',' 12 వ కెరీర్ లో వచ్చిన ఎక్కువ సిక్స్ (162) ',' 4 వ అత్యంత ఫోర్లు కెరీర్లో (1231) ',' 31 మోస్ట్ ఆరు ఒక ఇన్నింగ్స్ లో ఎస్ (9) ',' ఇన్నింగ్స్ లో ఫోర్లు, సిక్సర్లు నుండి 38 వ అత్యధిక పరుగులు (106) ',' ఫాస్టెస్ట్ 2000 వరకు ఒక ఇన్నింగ్స్లో పరుగుల 26 అత్యధిక శాతం (57.74) ',' 48 వ పరుగులు (58) ' '36th 3000 పరుగులు (87) వేగంగా', '28th 4000 పరుగులు (112) వేగంగా', '5000 పరుగులు (137) కు 22 వ వేగవంతమైన' '16 వ వేగంగా చేయడానికి 6000 పరుగులు (166)', '13 వ వేగవంతమైన 7000 పరుగులు (192) ',' 12 వ 8000 పరుగులు వేగంగా (220) ',' 7th 9000 పరుగులు వేగంగా (242) ',' 4 వ 10000 పరుగులు (266) ',' ఫాస్టెస్ట్ 3 వ 11000 పరుగులు (286) 'కు వేగవంతమైన, '3 వ అత్యంత వేగంగా చేయడానికి 12000 పరుగులు (314)', '2 వ వేగవంతమైన వరకు 13000 పరుగులు (341)', 'కెరీర్ లో 2 వ అత్యధిక క్యాచ్లు (160)', 'ఒక సిరీస్లో 4 అత్యధిక క్యాచ్లు (11)', '39 వ అత్యధిక కోసం భాగస్వామ్యాలు ఏ వికెట్కు (237) ',' మూడో వికెట్ (234 *) కోసం 7 వ అత్యధిక భాగస్వామ్యం ',' నాలుగవ వికెట్కు 4 వ అత్యధిక భాగస్వామ్యం (237) ఐదో వికెట్కు (159) కోసం ',' 25 వ అత్యధిక భాగస్వామ్యం ',' 7 వ అత్యంత కెరీర్లో మ్యాచ్లు (375) ',' 4 వ అత్యంత ప్లేయర్ ఆఫ్ ది మ్యాచ్ అవార్డులు (32) ',' 6 వ అత్యంత ప్లేయర్ ఆఫ్ ది సిరీస్ అవార్డులు (7) ',' 26th లాంగెస్ట్ కెరీర్లు ( 17y 4D) ',' 1 వ కెప్టెన్గా అత్యధిక మ్యాచ్లు (230) ',' ఒక జట్టు కెప్టెన్గా 27 వరుస మ్యాచ్లు (38) ',' 37 వ ఓల్డెస్ట్ కాప్టెన్ (37y 62d) ']</v>
      </c>
      <c r="G2098" s="2" t="s">
        <v>1379</v>
      </c>
      <c r="H2098" s="2" t="str">
        <f>IFERROR(__xludf.DUMMYFUNCTION("IF(G2098&lt;&gt;"""", GOOGLETRANSLATE(G2098, ""en"", ""te""),"""")"),"[ 'ఇన్నింగ్స్ లో 1 వ అత్యధిక పరుగులు (ప్రగతిశీల రికార్డు హోల్డర్) (98 *)', '9 వ ఇన్నింగ్స్ లో అత్యధిక పరుగులు (బ్యాటింగ్ స్థానంలో ప్రకారం) (98 *)', '11 వ ఒక కెప్టెన్తో ఇన్నింగ్స్ లో అత్యధిక పరుగులు (98 * ) ',' 4 వ తొలి మ్యాచ్లో అత్యధిక పరుగులు (98 *) ',' "&amp;"ఇన్నింగ్స్ లో 7 వ అత్యంత ఫోర్లు (13) ఐదో వికెట్కు ',' 16 వ అత్యధిక భాగస్వామ్యం (83) ',' ఆరవ వికెట్కు 13 వ అత్యధిక భాగస్వామ్యం ( 77 *) ',' 44 వ అత్యధిక మ్యాచ్లు కెప్టెన్గా (17) ',' ఒక జట్టు కెప్టెన్గా 26 వరుస మ్యాచ్లు (38) ']")</f>
        <v>[ 'ఇన్నింగ్స్ లో 1 వ అత్యధిక పరుగులు (ప్రగతిశీల రికార్డు హోల్డర్) (98 *)', '9 వ ఇన్నింగ్స్ లో అత్యధిక పరుగులు (బ్యాటింగ్ స్థానంలో ప్రకారం) (98 *)', '11 వ ఒక కెప్టెన్తో ఇన్నింగ్స్ లో అత్యధిక పరుగులు (98 * ) ',' 4 వ తొలి మ్యాచ్లో అత్యధిక పరుగులు (98 *) ',' ఇన్నింగ్స్ లో 7 వ అత్యంత ఫోర్లు (13) ఐదో వికెట్కు ',' 16 వ అత్యధిక భాగస్వామ్యం (83) ',' ఆరవ వికెట్కు 13 వ అత్యధిక భాగస్వామ్యం ( 77 *) ',' 44 వ అత్యధిక మ్యాచ్లు కెప్టెన్గా (17) ',' ఒక జట్టు కెప్టెన్గా 26 వరుస మ్యాచ్లు (38) ']</v>
      </c>
      <c r="I2098" s="3"/>
    </row>
    <row r="2099" customHeight="1" spans="1:9">
      <c r="A2099" s="2" t="s">
        <v>1380</v>
      </c>
      <c r="B2099" s="2" t="str">
        <f>IFERROR(__xludf.DUMMYFUNCTION("IF(A2099&lt;&gt;"""", GOOGLETRANSLATE(A2099, ""en"", ""te""),"""")"),"[ 'వరుస 5 వ అత్యధిక వికెట్లు (26)', '1st ఒక సిరీస్లో అత్యధిక క్యాచ్లు (63)', 'వికెట్ను కాపాడుకున్నాడు చేసిన 3 వ కెప్టెన్ల (23)', '200 పరుగులు మరియు ఒక సిరీస్లో 10 వికెట్కీపింగ్ తొలగింపులకు']")</f>
        <v>[ 'వరుస 5 వ అత్యధిక వికెట్లు (26)', '1st ఒక సిరీస్లో అత్యధిక క్యాచ్లు (63)', 'వికెట్ను కాపాడుకున్నాడు చేసిన 3 వ కెప్టెన్ల (23)', '200 పరుగులు మరియు ఒక సిరీస్లో 10 వికెట్కీపింగ్ తొలగింపులకు']</v>
      </c>
      <c r="C2099" s="2" t="s">
        <v>1381</v>
      </c>
      <c r="D2099" s="2" t="str">
        <f>IFERROR(__xludf.DUMMYFUNCTION("IF(C2099&lt;&gt;"""", GOOGLETRANSLATE(C2099, ""en"", ""te""),"""")"),"[ '11 వ అత్యంత లేకుండా కెరీర్లో పరుగులు వంద (1534)', '15 వ వరుస మ్యాచ్లు ప్రదర్శనల మధ్య బృందం (78) కోసం తప్పిన', '43 వ వరుస మ్యాచ్లు ఒక జట్టు కెప్టెన్ (23 *) గా', '3 వ వికెట్ (23) ఉంచింది చేసిన కెప్టెన్ల ',' 28th ఎక్కువ సార్లు అవుట్ కెరీర్లో (157) ',' 35 "&amp;"వ అత్యధిక వికెట్లు ఒక మ్యాచ్లో (8) ',' 5 వ ఒక సిరీస్లో అత్యధిక వికెట్లు (26) ',' 27 వ అత్యధిక క్యాచ్లు లో కెరీర్ (150) ',' 1st ఒక సిరీస్లో అత్యధిక క్యాచ్లు (63) ']")</f>
        <v>[ '11 వ అత్యంత లేకుండా కెరీర్లో పరుగులు వంద (1534)', '15 వ వరుస మ్యాచ్లు ప్రదర్శనల మధ్య బృందం (78) కోసం తప్పిన', '43 వ వరుస మ్యాచ్లు ఒక జట్టు కెప్టెన్ (23 *) గా', '3 వ వికెట్ (23) ఉంచింది చేసిన కెప్టెన్ల ',' 28th ఎక్కువ సార్లు అవుట్ కెరీర్లో (157) ',' 35 వ అత్యధిక వికెట్లు ఒక మ్యాచ్లో (8) ',' 5 వ ఒక సిరీస్లో అత్యధిక వికెట్లు (26) ',' 27 వ అత్యధిక క్యాచ్లు లో కెరీర్ (150) ',' 1st ఒక సిరీస్లో అత్యధిక క్యాచ్లు (63) ']</v>
      </c>
      <c r="E2099" s="2" t="s">
        <v>1382</v>
      </c>
      <c r="F2099" s="2" t="str">
        <f>IFERROR(__xludf.DUMMYFUNCTION("IF(E2099&lt;&gt;"""", GOOGLETRANSLATE(E2099, ""en"", ""te""),"""")"),"[ 'ప్రదర్శనల మధ్య 37 వ లాంగెస్ట్ వ్యవధిలో (6y 276d)', '30 వ వరుస మ్యాచ్లు ఆడి మధ్య జట్టుకు దూరమయ్యాడు (138)', 'వికెట్ను కాపాడుకున్నాడు చేసిన 23 కెప్టెన్ల (5)', '48 వ కెరీర్ లో అత్యధిక వికెట్లు (55) ',' 16 వ ఇన్నింగ్స్ లో అత్యధిక వికెట్లు (5) ',' 46 వ కెరీ"&amp;"ర్ లో అత్యధిక క్యాచ్లు (51) ',' 11 వ ఇన్నింగ్స్ లో అత్యధిక క్యాచ్లు (5) ']")</f>
        <v>[ 'ప్రదర్శనల మధ్య 37 వ లాంగెస్ట్ వ్యవధిలో (6y 276d)', '30 వ వరుస మ్యాచ్లు ఆడి మధ్య జట్టుకు దూరమయ్యాడు (138)', 'వికెట్ను కాపాడుకున్నాడు చేసిన 23 కెప్టెన్ల (5)', '48 వ కెరీర్ లో అత్యధిక వికెట్లు (55) ',' 16 వ ఇన్నింగ్స్ లో అత్యధిక వికెట్లు (5) ',' 46 వ కెరీర్ లో అత్యధిక క్యాచ్లు (51) ',' 11 వ ఇన్నింగ్స్ లో అత్యధిక క్యాచ్లు (5) ']</v>
      </c>
      <c r="G2099" s="2" t="s">
        <v>1383</v>
      </c>
      <c r="H2099" s="2" t="str">
        <f>IFERROR(__xludf.DUMMYFUNCTION("IF(G2099&lt;&gt;"""", GOOGLETRANSLATE(G2099, ""en"", ""te""),"""")"),"[ '20 వ వరుస మ్యాచ్లు ప్రదర్శనల మధ్య బృందం (49) కోసం తప్పిన' 'ప్రదర్శనల మధ్య 18 వ లాంగెస్ట్ వ్యవధిలో (6y 34d)', '36 వ కెరీర్ లో అత్యధిక క్యాచ్లు (11)', '13 వ ఇన్నింగ్స్ లో అత్యధిక క్యాచ్లు (3) ']")</f>
        <v>[ '20 వ వరుస మ్యాచ్లు ప్రదర్శనల మధ్య బృందం (49) కోసం తప్పిన' 'ప్రదర్శనల మధ్య 18 వ లాంగెస్ట్ వ్యవధిలో (6y 34d)', '36 వ కెరీర్ లో అత్యధిక క్యాచ్లు (11)', '13 వ ఇన్నింగ్స్ లో అత్యధిక క్యాచ్లు (3) ']</v>
      </c>
      <c r="I2099" s="3"/>
    </row>
    <row r="2100" customHeight="1" spans="1:9">
      <c r="A2100" s="2"/>
      <c r="B2100" s="2" t="str">
        <f>IFERROR(__xludf.DUMMYFUNCTION("IF(A2100&lt;&gt;"""", GOOGLETRANSLATE(A2100, ""en"", ""te""),"""")"),"")</f>
        <v/>
      </c>
      <c r="C2100" s="2"/>
      <c r="D2100" s="2" t="str">
        <f>IFERROR(__xludf.DUMMYFUNCTION("IF(C2100&lt;&gt;"""", GOOGLETRANSLATE(C2100, ""en"", ""te""),"""")"),"")</f>
        <v/>
      </c>
      <c r="E2100" s="2"/>
      <c r="F2100" s="2" t="str">
        <f>IFERROR(__xludf.DUMMYFUNCTION("IF(E2100&lt;&gt;"""", GOOGLETRANSLATE(E2100, ""en"", ""te""),"""")"),"")</f>
        <v/>
      </c>
      <c r="G2100" s="2"/>
      <c r="H2100" s="2" t="str">
        <f>IFERROR(__xludf.DUMMYFUNCTION("IF(G2100&lt;&gt;"""", GOOGLETRANSLATE(G2100, ""en"", ""te""),"""")"),"")</f>
        <v/>
      </c>
      <c r="I2100" s="3"/>
    </row>
    <row r="2101" customHeight="1" spans="1:9">
      <c r="A2101" s="2"/>
      <c r="B2101" s="2" t="str">
        <f>IFERROR(__xludf.DUMMYFUNCTION("IF(A2101&lt;&gt;"""", GOOGLETRANSLATE(A2101, ""en"", ""te""),"""")"),"")</f>
        <v/>
      </c>
      <c r="C2101" s="2"/>
      <c r="D2101" s="2" t="str">
        <f>IFERROR(__xludf.DUMMYFUNCTION("IF(C2101&lt;&gt;"""", GOOGLETRANSLATE(C2101, ""en"", ""te""),"""")"),"")</f>
        <v/>
      </c>
      <c r="E2101" s="2"/>
      <c r="F2101" s="2" t="str">
        <f>IFERROR(__xludf.DUMMYFUNCTION("IF(E2101&lt;&gt;"""", GOOGLETRANSLATE(E2101, ""en"", ""te""),"""")"),"")</f>
        <v/>
      </c>
      <c r="G2101" s="2"/>
      <c r="H2101" s="2" t="str">
        <f>IFERROR(__xludf.DUMMYFUNCTION("IF(G2101&lt;&gt;"""", GOOGLETRANSLATE(G2101, ""en"", ""te""),"""")"),"")</f>
        <v/>
      </c>
      <c r="I2101" s="3"/>
    </row>
    <row r="2102" customHeight="1" spans="1:9">
      <c r="A2102" s="2"/>
      <c r="B2102" s="2" t="str">
        <f>IFERROR(__xludf.DUMMYFUNCTION("IF(A2102&lt;&gt;"""", GOOGLETRANSLATE(A2102, ""en"", ""te""),"""")"),"")</f>
        <v/>
      </c>
      <c r="C2102" s="2"/>
      <c r="D2102" s="2" t="str">
        <f>IFERROR(__xludf.DUMMYFUNCTION("IF(C2102&lt;&gt;"""", GOOGLETRANSLATE(C2102, ""en"", ""te""),"""")"),"")</f>
        <v/>
      </c>
      <c r="E2102" s="2"/>
      <c r="F2102" s="2" t="str">
        <f>IFERROR(__xludf.DUMMYFUNCTION("IF(E2102&lt;&gt;"""", GOOGLETRANSLATE(E2102, ""en"", ""te""),"""")"),"")</f>
        <v/>
      </c>
      <c r="G2102" s="2"/>
      <c r="H2102" s="2" t="str">
        <f>IFERROR(__xludf.DUMMYFUNCTION("IF(G2102&lt;&gt;"""", GOOGLETRANSLATE(G2102, ""en"", ""te""),"""")"),"")</f>
        <v/>
      </c>
      <c r="I2102" s="3"/>
    </row>
    <row r="2103" customHeight="1" spans="1:9">
      <c r="A2103" s="2" t="s">
        <v>1384</v>
      </c>
      <c r="B2103" s="2" t="str">
        <f>IFERROR(__xludf.DUMMYFUNCTION("IF(A2103&lt;&gt;"""", GOOGLETRANSLATE(A2103, ""en"", ""te""),"""")"),"[ 'హండ్రెడ్ తొలి (110)', 'తొలి నుండి వరుస మ్యాచ్లలో 2 వ వందల (2)', 'రెండవ వికెట్ (451) కోసం 2 వ అత్యధిక భాగస్వామ్యం', 'ప్రవేశం (2) నుండి వరుస మ్యాచ్లలో 1st వందల]")</f>
        <v>[ 'హండ్రెడ్ తొలి (110)', 'తొలి నుండి వరుస మ్యాచ్లలో 2 వ వందల (2)', 'రెండవ వికెట్ (451) కోసం 2 వ అత్యధిక భాగస్వామ్యం', 'ప్రవేశం (2) నుండి వరుస మ్యాచ్లలో 1st వందల]</v>
      </c>
      <c r="C2103" s="2" t="s">
        <v>1385</v>
      </c>
      <c r="D2103" s="2" t="str">
        <f>IFERROR(__xludf.DUMMYFUNCTION("IF(C2103&lt;&gt;"""", GOOGLETRANSLATE(C2103, ""en"", ""te""),"""")"),"[ '36 వ రోజుకు లో అత్యధిక పరుగులు (205)', 'గత మ్యాచ్లో 10 వ హండ్రెడ్ (266)', 'తొలి నుండి వరుస మ్యాచ్లలో 2 వ వందల (2)' 'మొదటి డక్ ముందు 19 మోస్ట్ ఇన్నింగ్స్ (40)', ' ఏ వికెట్కు (451) 4 వ అత్యధిక భాగస్వామ్యాలు ',' రెండవ వికెట్కు 2 వ అత్యధిక భాగస్వామ్యం (451"&amp;") ',' నాలుగవ వికెట్కు (388) 5 వ అత్యధిక భాగస్వామ్యం ']")</f>
        <v>[ '36 వ రోజుకు లో అత్యధిక పరుగులు (205)', 'గత మ్యాచ్లో 10 వ హండ్రెడ్ (266)', 'తొలి నుండి వరుస మ్యాచ్లలో 2 వ వందల (2)' 'మొదటి డక్ ముందు 19 మోస్ట్ ఇన్నింగ్స్ (40)', ' ఏ వికెట్కు (451) 4 వ అత్యధిక భాగస్వామ్యాలు ',' రెండవ వికెట్కు 2 వ అత్యధిక భాగస్వామ్యం (451) ',' నాలుగవ వికెట్కు (388) 5 వ అత్యధిక భాగస్వామ్యం ']</v>
      </c>
      <c r="E2103" s="2"/>
      <c r="F2103" s="2" t="str">
        <f>IFERROR(__xludf.DUMMYFUNCTION("IF(E2103&lt;&gt;"""", GOOGLETRANSLATE(E2103, ""en"", ""te""),"""")"),"")</f>
        <v/>
      </c>
      <c r="G2103" s="2"/>
      <c r="H2103" s="2" t="str">
        <f>IFERROR(__xludf.DUMMYFUNCTION("IF(G2103&lt;&gt;"""", GOOGLETRANSLATE(G2103, ""en"", ""te""),"""")"),"")</f>
        <v/>
      </c>
      <c r="I2103" s="3"/>
    </row>
    <row r="2104" customHeight="1" spans="1:9">
      <c r="A2104" s="2"/>
      <c r="B2104" s="2" t="str">
        <f>IFERROR(__xludf.DUMMYFUNCTION("IF(A2104&lt;&gt;"""", GOOGLETRANSLATE(A2104, ""en"", ""te""),"""")"),"")</f>
        <v/>
      </c>
      <c r="C2104" s="2"/>
      <c r="D2104" s="2" t="str">
        <f>IFERROR(__xludf.DUMMYFUNCTION("IF(C2104&lt;&gt;"""", GOOGLETRANSLATE(C2104, ""en"", ""te""),"""")"),"")</f>
        <v/>
      </c>
      <c r="E2104" s="2"/>
      <c r="F2104" s="2" t="str">
        <f>IFERROR(__xludf.DUMMYFUNCTION("IF(E2104&lt;&gt;"""", GOOGLETRANSLATE(E2104, ""en"", ""te""),"""")"),"")</f>
        <v/>
      </c>
      <c r="G2104" s="2"/>
      <c r="H2104" s="2" t="str">
        <f>IFERROR(__xludf.DUMMYFUNCTION("IF(G2104&lt;&gt;"""", GOOGLETRANSLATE(G2104, ""en"", ""te""),"""")"),"")</f>
        <v/>
      </c>
      <c r="I2104" s="3"/>
    </row>
    <row r="2105" customHeight="1" spans="1:9">
      <c r="A2105" s="2"/>
      <c r="B2105" s="2" t="str">
        <f>IFERROR(__xludf.DUMMYFUNCTION("IF(A2105&lt;&gt;"""", GOOGLETRANSLATE(A2105, ""en"", ""te""),"""")"),"")</f>
        <v/>
      </c>
      <c r="C2105" s="2"/>
      <c r="D2105" s="2" t="str">
        <f>IFERROR(__xludf.DUMMYFUNCTION("IF(C2105&lt;&gt;"""", GOOGLETRANSLATE(C2105, ""en"", ""te""),"""")"),"")</f>
        <v/>
      </c>
      <c r="E2105" s="2"/>
      <c r="F2105" s="2" t="str">
        <f>IFERROR(__xludf.DUMMYFUNCTION("IF(E2105&lt;&gt;"""", GOOGLETRANSLATE(E2105, ""en"", ""te""),"""")"),"")</f>
        <v/>
      </c>
      <c r="G2105" s="2"/>
      <c r="H2105" s="2" t="str">
        <f>IFERROR(__xludf.DUMMYFUNCTION("IF(G2105&lt;&gt;"""", GOOGLETRANSLATE(G2105, ""en"", ""te""),"""")"),"")</f>
        <v/>
      </c>
      <c r="I2105" s="3"/>
    </row>
    <row r="2106" customHeight="1" spans="1:9">
      <c r="A2106" s="2"/>
      <c r="B2106" s="2" t="str">
        <f>IFERROR(__xludf.DUMMYFUNCTION("IF(A2106&lt;&gt;"""", GOOGLETRANSLATE(A2106, ""en"", ""te""),"""")"),"")</f>
        <v/>
      </c>
      <c r="C2106" s="2"/>
      <c r="D2106" s="2" t="str">
        <f>IFERROR(__xludf.DUMMYFUNCTION("IF(C2106&lt;&gt;"""", GOOGLETRANSLATE(C2106, ""en"", ""te""),"""")"),"")</f>
        <v/>
      </c>
      <c r="E2106" s="2"/>
      <c r="F2106" s="2" t="str">
        <f>IFERROR(__xludf.DUMMYFUNCTION("IF(E2106&lt;&gt;"""", GOOGLETRANSLATE(E2106, ""en"", ""te""),"""")"),"")</f>
        <v/>
      </c>
      <c r="G2106" s="2"/>
      <c r="H2106" s="2" t="str">
        <f>IFERROR(__xludf.DUMMYFUNCTION("IF(G2106&lt;&gt;"""", GOOGLETRANSLATE(G2106, ""en"", ""te""),"""")"),"")</f>
        <v/>
      </c>
      <c r="I2106" s="3"/>
    </row>
    <row r="2107" customHeight="1" spans="1:9">
      <c r="A2107" s="2" t="s">
        <v>1386</v>
      </c>
      <c r="B2107" s="2" t="str">
        <f>IFERROR(__xludf.DUMMYFUNCTION("IF(A2107&lt;&gt;"""", GOOGLETRANSLATE(A2107, ""en"", ""te""),"""")"),"[ 'ఇన్నింగ్స్ లో 2 వ అత్యధిక పరుగులు (బ్యాటింగ్ స్థానంలో ప్రకారం) (213 *)', '2 వ అత్యధిక కెరీర్ బ్యాటింగ్ సగటు (78.00)', 'వరుస మ్యాచ్లలో 1st వందల (2)', 'వరుస ఇన్నింగ్స్లో 5 వ యాభైల్లో (3) ',' 3 వ మ్యాచ్లో ఉత్తమ సంఖ్యలు ఉన్నప్పుడు పరాజయం వైపు (8) ',' 5 వ"&amp;" ఉత్తమ కెరీర్ సమ్మె రేటు (49.4) ',' 2 వ బౌలర్ / బ్యాట్స్ కలయికలు (5) ఏడవ వికెట్కు ',' 5 వ అత్యధిక భాగస్వామ్యం ( 103) ',' 3 వ అత్యంత వరుస పరుగులు (985) ',' 5 వ అత్యధిక కెరీర్ బ్యాటింగ్ సగటు (51.78) ',' ఒక క్యాలెండర్ సంవత్సరంలో 5 వ అత్యధిక వందలు (2) ',' 3 వ"&amp;" అత్యంత తొంభైల కెరీర్లో (4) ' 'వరుస ఇన్నింగ్స్లో 2 వ యాభైల్లో (6)', 'ఒక డక్ లేకుండా 6 వ అత్యధిక వరుస ఇన్నింగ్స్ (53 *)', 'ఇన్నింగ్స్ లో 4 వ అత్యుత్తమ బౌలింగ్ విశ్లేషణలు (7/22)', '5 వ అత్యంత ఐదు-వికెట్ల in- ఒక కెరీర్ లో ఒక ఇన్నింగ్స్ (3) ',' 3 వ అత్యధిక "&amp;"కెరీర్ (3724) లో ఇవ్వబడిన పరుగులలో ',' 3 వ అత్యంత తీసుకోబడిన వికెట్ల ఎల్బిడబ్ల్యు (39) ',' 8 వ ఒక సిరీస్లో అత్యధిక క్యాచ్లు (11) ',' 250 పరుగులు మరియు వరుస ఏడవ వికెట్కు ',' 9 వ అత్యధిక భాగస్వామ్యం (80) లో 10 వికెట్లు ',' 1 వ అత్యధిక మ్యాచ్లు కెరీర్లో (123"&amp;") ',' 2 nd కెరీర్లో అత్యధిక వికెట్లు (115) ',' తొలి ఇన్నింగ్స్లో 4 వ ఉత్తమ బొమ్మలు (4) ',' 2 వ అత్యంత నాలుగు వికెట్లు-ఇన్-ఒక-ఇన్నింగ్స్ కెరీర్లో (4) ',' 2 వ అత్యంత బంతుల్లో బౌల్డ్ కెరీర్లో కెరీర్ (2267) ',' 1 వ అత్యంత సాధించిన పరుగులు (2217) ',' 1 వ అత్యధ"&amp;"ిక వికెట్లు ఒక వికెట్ కీపర్ చే కాట్ తీసుకోకూడదు (20) ',' 8 వ కెరీర్ (37) లో అత్యధిక క్యాచ్లు ']")</f>
        <v>[ 'ఇన్నింగ్స్ లో 2 వ అత్యధిక పరుగులు (బ్యాటింగ్ స్థానంలో ప్రకారం) (213 *)', '2 వ అత్యధిక కెరీర్ బ్యాటింగ్ సగటు (78.00)', 'వరుస మ్యాచ్లలో 1st వందల (2)', 'వరుస ఇన్నింగ్స్లో 5 వ యాభైల్లో (3) ',' 3 వ మ్యాచ్లో ఉత్తమ సంఖ్యలు ఉన్నప్పుడు పరాజయం వైపు (8) ',' 5 వ ఉత్తమ కెరీర్ సమ్మె రేటు (49.4) ',' 2 వ బౌలర్ / బ్యాట్స్ కలయికలు (5) ఏడవ వికెట్కు ',' 5 వ అత్యధిక భాగస్వామ్యం ( 103) ',' 3 వ అత్యంత వరుస పరుగులు (985) ',' 5 వ అత్యధిక కెరీర్ బ్యాటింగ్ సగటు (51.78) ',' ఒక క్యాలెండర్ సంవత్సరంలో 5 వ అత్యధిక వందలు (2) ',' 3 వ అత్యంత తొంభైల కెరీర్లో (4) ' 'వరుస ఇన్నింగ్స్లో 2 వ యాభైల్లో (6)', 'ఒక డక్ లేకుండా 6 వ అత్యధిక వరుస ఇన్నింగ్స్ (53 *)', 'ఇన్నింగ్స్ లో 4 వ అత్యుత్తమ బౌలింగ్ విశ్లేషణలు (7/22)', '5 వ అత్యంత ఐదు-వికెట్ల in- ఒక కెరీర్ లో ఒక ఇన్నింగ్స్ (3) ',' 3 వ అత్యధిక కెరీర్ (3724) లో ఇవ్వబడిన పరుగులలో ',' 3 వ అత్యంత తీసుకోబడిన వికెట్ల ఎల్బిడబ్ల్యు (39) ',' 8 వ ఒక సిరీస్లో అత్యధిక క్యాచ్లు (11) ',' 250 పరుగులు మరియు వరుస ఏడవ వికెట్కు ',' 9 వ అత్యధిక భాగస్వామ్యం (80) లో 10 వికెట్లు ',' 1 వ అత్యధిక మ్యాచ్లు కెరీర్లో (123) ',' 2 nd కెరీర్లో అత్యధిక వికెట్లు (115) ',' తొలి ఇన్నింగ్స్లో 4 వ ఉత్తమ బొమ్మలు (4) ',' 2 వ అత్యంత నాలుగు వికెట్లు-ఇన్-ఒక-ఇన్నింగ్స్ కెరీర్లో (4) ',' 2 వ అత్యంత బంతుల్లో బౌల్డ్ కెరీర్లో కెరీర్ (2267) ',' 1 వ అత్యంత సాధించిన పరుగులు (2217) ',' 1 వ అత్యధిక వికెట్లు ఒక వికెట్ కీపర్ చే కాట్ తీసుకోకూడదు (20) ',' 8 వ కెరీర్ (37) లో అత్యధిక క్యాచ్లు ']</v>
      </c>
      <c r="C2107" s="2" t="s">
        <v>1387</v>
      </c>
      <c r="D2107" s="2" t="str">
        <f>IFERROR(__xludf.DUMMYFUNCTION("IF(C2107&lt;&gt;"""", GOOGLETRANSLATE(C2107, ""en"", ""te""),"""")"),"[ '25 వ కెరీర్ లో అత్యధిక పరుగులు (624)', '3 వ అత్యంత ఇన్నింగ్స్ లో నడుస్తుంది (213 *)' ఇన్నింగ్స్ లో ఒక మ్యాచ్ (213) లో 7 వ అత్యధిక పరుగులు ',' 2 వ అత్యధిక పరుగులు (బ్యాటింగ్ స్థానంలో ప్రకారం) ( 213 *) ',' 11 వ పరాజయం వైపు ఒక మ్యాచ్లో అత్యధిక పరుగులు (1"&amp;"02) ',' 2 వ అత్యధిక కెరీర్ బ్యాటింగ్ సగటు (78.00) ',' 14 వ హండ్రెడ్ గత మ్యాచ్లో (116) ',' 10th ఒక వృత్తిలో అత్యధిక వందలు (2) ',' ఒక వృత్తిలో 1st అత్యధిక డబుల్ సెంచరీలు (1) ',' ఒక జట్టుతో 3 వ అత్యధిక వందలు (2) ',' వరుస ఇన్నింగ్స్లో వరుస మ్యాచ్లలో (2) ',' 1"&amp;"st వందల 1 వ వందల (2) ',' 3 వ అత్యధిక తొలి వంద (213 *) ',' వరుస ఇన్నింగ్స్లో 5 వ యాభైల్లో (3) ', '21 వ కెరీర్ లో అత్యధిక వికెట్లు (31)', '17 వ ఇన్నింగ్స్ లో బెస్ట్ ఫిగర్స్ (6/32)', ' ఒక మ్యాచ్లో 11 వ బెస్ట్ ఫిగర్స్ (9) ',' 6 వ అత్యుత్తమ బౌలింగ్ ఇన్నింగ్స్"&amp;" లో విశ్లేషించడం (6/32) ',' 8 వ ఒక ఇన్నింగ్స్ లోని బెస్ట్ ఫిగర్స్ ఉన్నప్పుడు పరాజయం వైపు (5) ',' 3 వ ఉత్తమ ఒక మ్యాచ్లో గణాంకాలు పరాజయం వైపు (8) ',' 15 వ ఉత్తమ కెరీర్ సగటు (18.19) ',' 5 వ ఉత్తమ కెరీర్ సమ్మె రేటు బౌలింగ్ ఉన్నప్పుడు (49.4) ',' 8 వ ఉత్తమ సమ"&amp;"్మె ఇన్నింగ్స్ లో రేటు (13.0) ',' ఇన్నింగ్స్ లో 30 వ చెత్త ఆర్థిక రేటు (4.08) ',' 11 వ అత్యంత ఐదు-వికెట్ల లో-ఒక-ఇన్నింగ్స్ కెరీర్లో (2) ',' ఐదు వికెట్ల తేడాతో in- తీసుకోవాలని 16 వ పిన్న ఆటగాడు ఒక-ఇన్నింగ్స్ (23y 68d) ',' 2 వ బౌలర్ / బ్యాట్స్ కలయికలు (5) '"&amp;",' 10 వ అత్యధిక వికెట్లు ఆకర్షించింది అత్యధిక వికెట్లు తీసిన (6) ',' 5 వ అత్యధిక వికెట్లు తీసుకున్న ఎల్బిడబ్ల్యు (11) ', '21 వ అత్యధిక కోసం భాగస్వామ్యాలు ఏ వికెట్కు (162) ',' నాలుగవ వికెట్కు (162) ',' ఆరవ వికెట్కు 5 వ అత్యధిక భాగస్వామ్యం (102) ',' ఏడవ విక"&amp;"ెట్కు 5 వ అత్యధిక భాగస్వామ్యం (103) ',' 13 వ పిన్న క్రీడాకారులు కోసం 7 వ అత్యధిక భాగస్వామ్యం (17y 104d) ']")</f>
        <v>[ '25 వ కెరీర్ లో అత్యధిక పరుగులు (624)', '3 వ అత్యంత ఇన్నింగ్స్ లో నడుస్తుంది (213 *)' ఇన్నింగ్స్ లో ఒక మ్యాచ్ (213) లో 7 వ అత్యధిక పరుగులు ',' 2 వ అత్యధిక పరుగులు (బ్యాటింగ్ స్థానంలో ప్రకారం) ( 213 *) ',' 11 వ పరాజయం వైపు ఒక మ్యాచ్లో అత్యధిక పరుగులు (102) ',' 2 వ అత్యధిక కెరీర్ బ్యాటింగ్ సగటు (78.00) ',' 14 వ హండ్రెడ్ గత మ్యాచ్లో (116) ',' 10th ఒక వృత్తిలో అత్యధిక వందలు (2) ',' ఒక వృత్తిలో 1st అత్యధిక డబుల్ సెంచరీలు (1) ',' ఒక జట్టుతో 3 వ అత్యధిక వందలు (2) ',' వరుస ఇన్నింగ్స్లో వరుస మ్యాచ్లలో (2) ',' 1st వందల 1 వ వందల (2) ',' 3 వ అత్యధిక తొలి వంద (213 *) ',' వరుస ఇన్నింగ్స్లో 5 వ యాభైల్లో (3) ', '21 వ కెరీర్ లో అత్యధిక వికెట్లు (31)', '17 వ ఇన్నింగ్స్ లో బెస్ట్ ఫిగర్స్ (6/32)', ' ఒక మ్యాచ్లో 11 వ బెస్ట్ ఫిగర్స్ (9) ',' 6 వ అత్యుత్తమ బౌలింగ్ ఇన్నింగ్స్ లో విశ్లేషించడం (6/32) ',' 8 వ ఒక ఇన్నింగ్స్ లోని బెస్ట్ ఫిగర్స్ ఉన్నప్పుడు పరాజయం వైపు (5) ',' 3 వ ఉత్తమ ఒక మ్యాచ్లో గణాంకాలు పరాజయం వైపు (8) ',' 15 వ ఉత్తమ కెరీర్ సగటు (18.19) ',' 5 వ ఉత్తమ కెరీర్ సమ్మె రేటు బౌలింగ్ ఉన్నప్పుడు (49.4) ',' 8 వ ఉత్తమ సమ్మె ఇన్నింగ్స్ లో రేటు (13.0) ',' ఇన్నింగ్స్ లో 30 వ చెత్త ఆర్థిక రేటు (4.08) ',' 11 వ అత్యంత ఐదు-వికెట్ల లో-ఒక-ఇన్నింగ్స్ కెరీర్లో (2) ',' ఐదు వికెట్ల తేడాతో in- తీసుకోవాలని 16 వ పిన్న ఆటగాడు ఒక-ఇన్నింగ్స్ (23y 68d) ',' 2 వ బౌలర్ / బ్యాట్స్ కలయికలు (5) ',' 10 వ అత్యధిక వికెట్లు ఆకర్షించింది అత్యధిక వికెట్లు తీసిన (6) ',' 5 వ అత్యధిక వికెట్లు తీసుకున్న ఎల్బిడబ్ల్యు (11) ', '21 వ అత్యధిక కోసం భాగస్వామ్యాలు ఏ వికెట్కు (162) ',' నాలుగవ వికెట్కు (162) ',' ఆరవ వికెట్కు 5 వ అత్యధిక భాగస్వామ్యం (102) ',' ఏడవ వికెట్కు 5 వ అత్యధిక భాగస్వామ్యం (103) ',' 13 వ పిన్న క్రీడాకారులు కోసం 7 వ అత్యధిక భాగస్వామ్యం (17y 104d) ']</v>
      </c>
      <c r="E2107" s="2" t="s">
        <v>1388</v>
      </c>
      <c r="F2107" s="2" t="str">
        <f>IFERROR(__xludf.DUMMYFUNCTION("IF(E2107&lt;&gt;"""", GOOGLETRANSLATE(E2107, ""en"", ""te""),"""")"),"[ '14 వ కెరీర్ లో అత్యధిక పరుగులు (3107)', '3 వ అత్యంత వరుస పరుగులు (985)', 'ఒక క్యాలెండర్ సంవత్సరంలో 9 వ అత్యధిక పరుగులు (732)', '8 వ ఇన్నింగ్స్ లో అత్యధిక పరుగులు (బ్యాటింగ్ స్థానంలో ప్రకారం) ( 90 *) ',' ఒకే మైదానంలో 43 వ అత్యధిక పరుగులు (292) ',' 5 వ "&amp;"అత్యధిక కెరీర్ బ్యాటింగ్ సగటు (51.78) ',' 25 వ అత్యధిక వందలు ఒక వృత్తిలో (2) ',' 6 వ ఒక సిరీస్లో అత్యధిక సెంచరీలు (2 ) ',' 5 వ ఒక క్యాలెండర్ సంవత్సరంలో అత్యధిక వందలు (2) ',' 49 వ అత్యధిక తొలి వంద (107 *) ',' కెరీర్ లో 3 వ అత్యంత తొంభైల (4) ',' 9 వ అత్యంత"&amp;" అర్ధ కెరీర్లో (30) ',' వరుస ఇన్నింగ్స్లో 2 వ యాభైల్లో (6) ',' ఒక డక్ లేకుండా 6 వ అత్యధిక వరుస ఇన్నింగ్స్ (53 *) ',' కెరీర్లో 30 వ అతి తక్కువ బాతులు (23) ',' కెరీర్లో 4 వ అత్యధిక వికెట్లు (152) ',' 4 వ ఉత్తమ బొమ్మలు ఒక క్యాలెండర్ సంవత్సరంలో వరుస ఇన్నింగ్"&amp;"స్ (7/22) ',' 17 వ అత్యధిక వికెట్లు (23) ',' 46 వ అత్యధిక వికెట్లు (21) ',' 4 వ అత్యుత్తమ బౌలింగ్ ఇన్నింగ్స్ లో విశ్లేషించడం (7/22) 'లో, '26 ఉత్తమ కెరీర్ సమ్మె రేటు (33.8)', 'ఇన్నింగ్స్ లో 40 వ ఉత్తమ సమ్మె రేటు (8.5)', '26 చెత్త కెరీర్లో ఆర్థిక రేటు (4.34"&amp;")', '5 వ అత్యంత ఐదు-వికెట్ల లో-ఒక-ఇన్నింగ్స్ లో ఒక కెరీర్ (3) ',' 25 వ అత్యంత నాలుగు వికెట్లు-ఇన్-ఒక-ఇన్నింగ్స్ కెరీర్లో (4) ',' ఐదు వికెట్ల లో-ఒక-ఇన్నింగ్స్ (19y 106d) ',' 12 వ తీసుకోవాలని 9 వ పిన్న ఆటగాడు కెరీర్ (5146) లో బౌల్డ్ అత్యంత బంతుల్లో ',' 3 వ "&amp;"అత్యధిక కెరీర్ లో సాధించిన పరుగులు (3724) ',' 12 వ బౌలర్ / బ్యాట్స్ కలయికలు (6) ',' 27 వ బౌలర్ / ఫీల్డర్ కలయికలు (12) ',' 4 వ అత్యధిక వికెట్లు బౌల్డ్ తీసుకున్న (44) ',' 10 వ అత్యధిక వికెట్లు తీసుకున్న ఆకర్షించింది (69) ',' 12 వ అత్యధిక వికెట్లు ఒక ఫీల్డర్"&amp;" చేత క్యాచ్ తీసుకున్న (50) ',' 7 వ అత్యధిక వికెట్లు సాధించిన వికెట్కీపర్గా (19) ',' 3 వ అత్యంత తీసుకోబడిన వికెట్ల LBW ద్వారా ఆకర్షించింది తీసుకున్న (39) ',' 19 వ కెరీర్ లో అత్యధిక క్యాచ్లు (38) ',' 8 వ ఒక సిరీస్లో అత్యధిక క్యాచ్లు (11) ',' 39 వ అత్యధిక ఏ "&amp;"వికెట్కు పార్టనర్ షిప్ (180) ',' మూడో వికెట్కు 9 వ అత్యధిక భాగస్వామ్యం (180 ) ',' నాలుగవ వికెట్కు 19 అత్యధిక భాగస్వామ్యం (121) ',' ఐదవ వికెట్కు 27 అత్యధిక భాగస్వామ్యం (96) ',' ఆరవ వికెట్ (74 *) కోసం 26 అత్యధిక భాగస్వామ్యం ',' 9 వ అత్యధిక ఏడవ కోసం భాగస్వామ"&amp;"్యంతో వికెట్ (80) ',' తొమ్మిదవ వికెట్కు 30 వ అత్యధిక భాగస్వామ్యం (37) ',' 44 వ అత్యధిక భాగస్వామి పదవ వికెట్కు రవాణా (25 *) ',' 28th కెరీర్లో అత్యధిక మ్యాచ్లు (115) ',' 48 వ పిన్న క్రీడాకారులు (16y 261d) ',' 43 వ లాంగెస్ట్ కెరీర్లు (13y 262d) ']")</f>
        <v>[ '14 వ కెరీర్ లో అత్యధిక పరుగులు (3107)', '3 వ అత్యంత వరుస పరుగులు (985)', 'ఒక క్యాలెండర్ సంవత్సరంలో 9 వ అత్యధిక పరుగులు (732)', '8 వ ఇన్నింగ్స్ లో అత్యధిక పరుగులు (బ్యాటింగ్ స్థానంలో ప్రకారం) ( 90 *) ',' ఒకే మైదానంలో 43 వ అత్యధిక పరుగులు (292) ',' 5 వ అత్యధిక కెరీర్ బ్యాటింగ్ సగటు (51.78) ',' 25 వ అత్యధిక వందలు ఒక వృత్తిలో (2) ',' 6 వ ఒక సిరీస్లో అత్యధిక సెంచరీలు (2 ) ',' 5 వ ఒక క్యాలెండర్ సంవత్సరంలో అత్యధిక వందలు (2) ',' 49 వ అత్యధిక తొలి వంద (107 *) ',' కెరీర్ లో 3 వ అత్యంత తొంభైల (4) ',' 9 వ అత్యంత అర్ధ కెరీర్లో (30) ',' వరుస ఇన్నింగ్స్లో 2 వ యాభైల్లో (6) ',' ఒక డక్ లేకుండా 6 వ అత్యధిక వరుస ఇన్నింగ్స్ (53 *) ',' కెరీర్లో 30 వ అతి తక్కువ బాతులు (23) ',' కెరీర్లో 4 వ అత్యధిక వికెట్లు (152) ',' 4 వ ఉత్తమ బొమ్మలు ఒక క్యాలెండర్ సంవత్సరంలో వరుస ఇన్నింగ్స్ (7/22) ',' 17 వ అత్యధిక వికెట్లు (23) ',' 46 వ అత్యధిక వికెట్లు (21) ',' 4 వ అత్యుత్తమ బౌలింగ్ ఇన్నింగ్స్ లో విశ్లేషించడం (7/22) 'లో, '26 ఉత్తమ కెరీర్ సమ్మె రేటు (33.8)', 'ఇన్నింగ్స్ లో 40 వ ఉత్తమ సమ్మె రేటు (8.5)', '26 చెత్త కెరీర్లో ఆర్థిక రేటు (4.34)', '5 వ అత్యంత ఐదు-వికెట్ల లో-ఒక-ఇన్నింగ్స్ లో ఒక కెరీర్ (3) ',' 25 వ అత్యంత నాలుగు వికెట్లు-ఇన్-ఒక-ఇన్నింగ్స్ కెరీర్లో (4) ',' ఐదు వికెట్ల లో-ఒక-ఇన్నింగ్స్ (19y 106d) ',' 12 వ తీసుకోవాలని 9 వ పిన్న ఆటగాడు కెరీర్ (5146) లో బౌల్డ్ అత్యంత బంతుల్లో ',' 3 వ అత్యధిక కెరీర్ లో సాధించిన పరుగులు (3724) ',' 12 వ బౌలర్ / బ్యాట్స్ కలయికలు (6) ',' 27 వ బౌలర్ / ఫీల్డర్ కలయికలు (12) ',' 4 వ అత్యధిక వికెట్లు బౌల్డ్ తీసుకున్న (44) ',' 10 వ అత్యధిక వికెట్లు తీసుకున్న ఆకర్షించింది (69) ',' 12 వ అత్యధిక వికెట్లు ఒక ఫీల్డర్ చేత క్యాచ్ తీసుకున్న (50) ',' 7 వ అత్యధిక వికెట్లు సాధించిన వికెట్కీపర్గా (19) ',' 3 వ అత్యంత తీసుకోబడిన వికెట్ల LBW ద్వారా ఆకర్షించింది తీసుకున్న (39) ',' 19 వ కెరీర్ లో అత్యధిక క్యాచ్లు (38) ',' 8 వ ఒక సిరీస్లో అత్యధిక క్యాచ్లు (11) ',' 39 వ అత్యధిక ఏ వికెట్కు పార్టనర్ షిప్ (180) ',' మూడో వికెట్కు 9 వ అత్యధిక భాగస్వామ్యం (180 ) ',' నాలుగవ వికెట్కు 19 అత్యధిక భాగస్వామ్యం (121) ',' ఐదవ వికెట్కు 27 అత్యధిక భాగస్వామ్యం (96) ',' ఆరవ వికెట్ (74 *) కోసం 26 అత్యధిక భాగస్వామ్యం ',' 9 వ అత్యధిక ఏడవ కోసం భాగస్వామ్యంతో వికెట్ (80) ',' తొమ్మిదవ వికెట్కు 30 వ అత్యధిక భాగస్వామ్యం (37) ',' 44 వ అత్యధిక భాగస్వామి పదవ వికెట్కు రవాణా (25 *) ',' 28th కెరీర్లో అత్యధిక మ్యాచ్లు (115) ',' 48 వ పిన్న క్రీడాకారులు (16y 261d) ',' 43 వ లాంగెస్ట్ కెరీర్లు (13y 262d) ']</v>
      </c>
      <c r="G2107" s="2" t="s">
        <v>1389</v>
      </c>
      <c r="H2107" s="2" t="str">
        <f>IFERROR(__xludf.DUMMYFUNCTION("IF(G2107&lt;&gt;"""", GOOGLETRANSLATE(G2107, ""en"", ""te""),"""")"),"[ '26 కెరీర్లో అత్యధిక పరుగులు (1243)', '24 వ ఇన్నింగ్స్ లో అత్యధిక పరుగులు (బ్యాటింగ్ స్థానంలో ప్రకారం) (60 *)', '42 వ కోల్పోకుండా వైపు ఒక మ్యాచ్లో అత్యధిక పరుగులు (60 *)', '11 వ అత్యధిక కెరీర్ బ్యాటింగ్ సగటు (28.90) ',' 26th కెరీర్ అర్ధ (4) ',' ఒక డక్ "&amp;"లేకుండా 45 వ వరుస ఇన్నింగ్స్ (27) ',' 32 వ అతి తక్కువ కెరీర్ (18.5) బాతులు ',' కెరీర్ లో 2 వ అత్యధిక వికెట్లు ( 115) ',' 22 వ ఒక క్యాలెండర్ సంవత్సరంలో అత్యధిక వికెట్లు (20) ',' 16 వ అత్యుత్తమ బౌలింగ్ (2/2) ',' ఒకే మైదానంలో 11 వ అత్యధిక వికెట్లు (11) ',' "&amp;"37 వ ఉత్తమ కెరీర్ బౌలింగ్ ఇన్నింగ్స్ విశ్లేషణలలో సగటు (19.27) ',' 34 వ ఉత్తమ కెరీర్ సమ్మె రేటు (19.7) ',' 4 వ అరంగేట్రంలోనే ఇన్నింగ్స్ లోని బెస్ట్ ఫిగర్స్ (4) ',' 2 వ అత్యంత నాలుగు వికెట్లు-ఇన్-ఒక-ఇన్నింగ్స్ కెరీర్లో (4) ' , '1st కెరీర్లో సాధించిన (2217) "&amp;"అత్యధిక పరుగులు' '1 వ బౌలర్ / బ్యాట్స్ కలయికలు (9)', '10 వ బౌలర్ / ఫీల్డర్ కలయికలు (11)', '2 వ అత్యంత' కెరీర్ లో బౌల్డ్ (2267) 2 వ అత్యంత బంతుల్లో ' వికెట్లు బౌల్డ్ తీసుకోకూడదు (32) ',' 2 వ అత్యంత తీసుకున్న ఆకర్షించింది (75) ',' 2 వ అత్యంత ఫీల్డర్ చేత క్య"&amp;"ాచ్ తీసుకోబడిన వికెట్ల (55) ',' 1 వ అత్యధిక వికెట్లు వికెట్లు ఒక వికెట్ కీపర్ చే కాట్ తీసుకున్న (20) ',' 18 వ అత్యధిక వికెట్లు తీసుకున్న ఎల్బిడబ్ల్యు (8) ',' కెరీర్లో 8 వ అత్యధిక క్యాచ్లు (37) ',' మూడో వికెట్ (85 *) 30 వ అత్యధిక భాగస్వామ్యం ',' 24 వ అత్యధ"&amp;"ిక భాగస్వామ్యం ఐదవ వికెట్కు (62) ',' ఆరవ వికెట్ (55 *) ',' ఎనిమిదవ వికెట్కు 47 వ అత్యధిక భాగస్వామ్యం (21 *) 11 వ అత్యధిక భాగస్వామ్యం ',' 1st కెరీర్లో అత్యధిక మ్యాచ్లు (123) ',' 42 వ ఒక జట్టు వరుస మ్యాచ్లు (38) ',' 27 వ కెరీర్ పనికత్తెలయొద్ద (6) ']")</f>
        <v>[ '26 కెరీర్లో అత్యధిక పరుగులు (1243)', '24 వ ఇన్నింగ్స్ లో అత్యధిక పరుగులు (బ్యాటింగ్ స్థానంలో ప్రకారం) (60 *)', '42 వ కోల్పోకుండా వైపు ఒక మ్యాచ్లో అత్యధిక పరుగులు (60 *)', '11 వ అత్యధిక కెరీర్ బ్యాటింగ్ సగటు (28.90) ',' 26th కెరీర్ అర్ధ (4) ',' ఒక డక్ లేకుండా 45 వ వరుస ఇన్నింగ్స్ (27) ',' 32 వ అతి తక్కువ కెరీర్ (18.5) బాతులు ',' కెరీర్ లో 2 వ అత్యధిక వికెట్లు ( 115) ',' 22 వ ఒక క్యాలెండర్ సంవత్సరంలో అత్యధిక వికెట్లు (20) ',' 16 వ అత్యుత్తమ బౌలింగ్ (2/2) ',' ఒకే మైదానంలో 11 వ అత్యధిక వికెట్లు (11) ',' 37 వ ఉత్తమ కెరీర్ బౌలింగ్ ఇన్నింగ్స్ విశ్లేషణలలో సగటు (19.27) ',' 34 వ ఉత్తమ కెరీర్ సమ్మె రేటు (19.7) ',' 4 వ అరంగేట్రంలోనే ఇన్నింగ్స్ లోని బెస్ట్ ఫిగర్స్ (4) ',' 2 వ అత్యంత నాలుగు వికెట్లు-ఇన్-ఒక-ఇన్నింగ్స్ కెరీర్లో (4) ' , '1st కెరీర్లో సాధించిన (2217) అత్యధిక పరుగులు' '1 వ బౌలర్ / బ్యాట్స్ కలయికలు (9)', '10 వ బౌలర్ / ఫీల్డర్ కలయికలు (11)', '2 వ అత్యంత' కెరీర్ లో బౌల్డ్ (2267) 2 వ అత్యంత బంతుల్లో ' వికెట్లు బౌల్డ్ తీసుకోకూడదు (32) ',' 2 వ అత్యంత తీసుకున్న ఆకర్షించింది (75) ',' 2 వ అత్యంత ఫీల్డర్ చేత క్యాచ్ తీసుకోబడిన వికెట్ల (55) ',' 1 వ అత్యధిక వికెట్లు వికెట్లు ఒక వికెట్ కీపర్ చే కాట్ తీసుకున్న (20) ',' 18 వ అత్యధిక వికెట్లు తీసుకున్న ఎల్బిడబ్ల్యు (8) ',' కెరీర్లో 8 వ అత్యధిక క్యాచ్లు (37) ',' మూడో వికెట్ (85 *) 30 వ అత్యధిక భాగస్వామ్యం ',' 24 వ అత్యధిక భాగస్వామ్యం ఐదవ వికెట్కు (62) ',' ఆరవ వికెట్ (55 *) ',' ఎనిమిదవ వికెట్కు 47 వ అత్యధిక భాగస్వామ్యం (21 *) 11 వ అత్యధిక భాగస్వామ్యం ',' 1st కెరీర్లో అత్యధిక మ్యాచ్లు (123) ',' 42 వ ఒక జట్టు వరుస మ్యాచ్లు (38) ',' 27 వ కెరీర్ పనికత్తెలయొద్ద (6) ']</v>
      </c>
      <c r="I2107" s="3"/>
    </row>
    <row r="2108" customHeight="1" spans="1:9">
      <c r="A2108" s="2"/>
      <c r="B2108" s="2" t="str">
        <f>IFERROR(__xludf.DUMMYFUNCTION("IF(A2108&lt;&gt;"""", GOOGLETRANSLATE(A2108, ""en"", ""te""),"""")"),"")</f>
        <v/>
      </c>
      <c r="C2108" s="2" t="s">
        <v>1390</v>
      </c>
      <c r="D2108" s="2" t="str">
        <f>IFERROR(__xludf.DUMMYFUNCTION("IF(C2108&lt;&gt;"""", GOOGLETRANSLATE(C2108, ""en"", ""te""),"""")"),"[ '37 వ హండ్రెడ్ గత మ్యాచ్లో (114 *)']")</f>
        <v>[ '37 వ హండ్రెడ్ గత మ్యాచ్లో (114 *)']</v>
      </c>
      <c r="E2108" s="2"/>
      <c r="F2108" s="2" t="str">
        <f>IFERROR(__xludf.DUMMYFUNCTION("IF(E2108&lt;&gt;"""", GOOGLETRANSLATE(E2108, ""en"", ""te""),"""")"),"")</f>
        <v/>
      </c>
      <c r="G2108" s="2"/>
      <c r="H2108" s="2" t="str">
        <f>IFERROR(__xludf.DUMMYFUNCTION("IF(G2108&lt;&gt;"""", GOOGLETRANSLATE(G2108, ""en"", ""te""),"""")"),"")</f>
        <v/>
      </c>
      <c r="I2108" s="3"/>
    </row>
    <row r="2109" customHeight="1" spans="1:9">
      <c r="A2109" s="2"/>
      <c r="B2109" s="2" t="str">
        <f>IFERROR(__xludf.DUMMYFUNCTION("IF(A2109&lt;&gt;"""", GOOGLETRANSLATE(A2109, ""en"", ""te""),"""")"),"")</f>
        <v/>
      </c>
      <c r="C2109" s="2"/>
      <c r="D2109" s="2" t="str">
        <f>IFERROR(__xludf.DUMMYFUNCTION("IF(C2109&lt;&gt;"""", GOOGLETRANSLATE(C2109, ""en"", ""te""),"""")"),"")</f>
        <v/>
      </c>
      <c r="E2109" s="2" t="s">
        <v>1391</v>
      </c>
      <c r="F2109" s="2" t="str">
        <f>IFERROR(__xludf.DUMMYFUNCTION("IF(E2109&lt;&gt;"""", GOOGLETRANSLATE(E2109, ""en"", ""te""),"""")"),"[ '25 వ ఉత్తమ కెరీర్ బౌలింగ్ సరాసరి (అర్హత లేకుండా) (11.00)']")</f>
        <v>[ '25 వ ఉత్తమ కెరీర్ బౌలింగ్ సరాసరి (అర్హత లేకుండా) (11.00)']</v>
      </c>
      <c r="G2109" s="2"/>
      <c r="H2109" s="2" t="str">
        <f>IFERROR(__xludf.DUMMYFUNCTION("IF(G2109&lt;&gt;"""", GOOGLETRANSLATE(G2109, ""en"", ""te""),"""")"),"")</f>
        <v/>
      </c>
      <c r="I2109" s="3"/>
    </row>
    <row r="2110" customHeight="1" spans="1:9">
      <c r="A2110" s="2"/>
      <c r="B2110" s="2" t="str">
        <f>IFERROR(__xludf.DUMMYFUNCTION("IF(A2110&lt;&gt;"""", GOOGLETRANSLATE(A2110, ""en"", ""te""),"""")"),"")</f>
        <v/>
      </c>
      <c r="C2110" s="2"/>
      <c r="D2110" s="2" t="str">
        <f>IFERROR(__xludf.DUMMYFUNCTION("IF(C2110&lt;&gt;"""", GOOGLETRANSLATE(C2110, ""en"", ""te""),"""")"),"")</f>
        <v/>
      </c>
      <c r="E2110" s="2"/>
      <c r="F2110" s="2" t="str">
        <f>IFERROR(__xludf.DUMMYFUNCTION("IF(E2110&lt;&gt;"""", GOOGLETRANSLATE(E2110, ""en"", ""te""),"""")"),"")</f>
        <v/>
      </c>
      <c r="G2110" s="2"/>
      <c r="H2110" s="2" t="str">
        <f>IFERROR(__xludf.DUMMYFUNCTION("IF(G2110&lt;&gt;"""", GOOGLETRANSLATE(G2110, ""en"", ""te""),"""")"),"")</f>
        <v/>
      </c>
      <c r="I2110" s="3"/>
    </row>
    <row r="2111" customHeight="1" spans="1:9">
      <c r="A2111" s="2"/>
      <c r="B2111" s="2" t="str">
        <f>IFERROR(__xludf.DUMMYFUNCTION("IF(A2111&lt;&gt;"""", GOOGLETRANSLATE(A2111, ""en"", ""te""),"""")"),"")</f>
        <v/>
      </c>
      <c r="C2111" s="2" t="s">
        <v>1392</v>
      </c>
      <c r="D2111" s="2" t="str">
        <f>IFERROR(__xludf.DUMMYFUNCTION("IF(C2111&lt;&gt;"""", GOOGLETRANSLATE(C2111, ""en"", ""te""),"""")"),"[ '46 వ పురాతన దేశం ఆటగాళ్ళు (86y 192d)']")</f>
        <v>[ '46 వ పురాతన దేశం ఆటగాళ్ళు (86y 192d)']</v>
      </c>
      <c r="E2111" s="2"/>
      <c r="F2111" s="2" t="str">
        <f>IFERROR(__xludf.DUMMYFUNCTION("IF(E2111&lt;&gt;"""", GOOGLETRANSLATE(E2111, ""en"", ""te""),"""")"),"")</f>
        <v/>
      </c>
      <c r="G2111" s="2"/>
      <c r="H2111" s="2" t="str">
        <f>IFERROR(__xludf.DUMMYFUNCTION("IF(G2111&lt;&gt;"""", GOOGLETRANSLATE(G2111, ""en"", ""te""),"""")"),"")</f>
        <v/>
      </c>
      <c r="I2111" s="3"/>
    </row>
    <row r="2112" customHeight="1" spans="1:9">
      <c r="A2112" s="2"/>
      <c r="B2112" s="2" t="str">
        <f>IFERROR(__xludf.DUMMYFUNCTION("IF(A2112&lt;&gt;"""", GOOGLETRANSLATE(A2112, ""en"", ""te""),"""")"),"")</f>
        <v/>
      </c>
      <c r="C2112" s="2"/>
      <c r="D2112" s="2" t="str">
        <f>IFERROR(__xludf.DUMMYFUNCTION("IF(C2112&lt;&gt;"""", GOOGLETRANSLATE(C2112, ""en"", ""te""),"""")"),"")</f>
        <v/>
      </c>
      <c r="E2112" s="2"/>
      <c r="F2112" s="2" t="str">
        <f>IFERROR(__xludf.DUMMYFUNCTION("IF(E2112&lt;&gt;"""", GOOGLETRANSLATE(E2112, ""en"", ""te""),"""")"),"")</f>
        <v/>
      </c>
      <c r="G2112" s="2"/>
      <c r="H2112" s="2" t="str">
        <f>IFERROR(__xludf.DUMMYFUNCTION("IF(G2112&lt;&gt;"""", GOOGLETRANSLATE(G2112, ""en"", ""te""),"""")"),"")</f>
        <v/>
      </c>
      <c r="I2112" s="3"/>
    </row>
    <row r="2113" customHeight="1" spans="1:9">
      <c r="A2113" s="2"/>
      <c r="B2113" s="2" t="str">
        <f>IFERROR(__xludf.DUMMYFUNCTION("IF(A2113&lt;&gt;"""", GOOGLETRANSLATE(A2113, ""en"", ""te""),"""")"),"")</f>
        <v/>
      </c>
      <c r="C2113" s="2"/>
      <c r="D2113" s="2" t="str">
        <f>IFERROR(__xludf.DUMMYFUNCTION("IF(C2113&lt;&gt;"""", GOOGLETRANSLATE(C2113, ""en"", ""te""),"""")"),"")</f>
        <v/>
      </c>
      <c r="E2113" s="2"/>
      <c r="F2113" s="2" t="str">
        <f>IFERROR(__xludf.DUMMYFUNCTION("IF(E2113&lt;&gt;"""", GOOGLETRANSLATE(E2113, ""en"", ""te""),"""")"),"")</f>
        <v/>
      </c>
      <c r="G2113" s="2"/>
      <c r="H2113" s="2" t="str">
        <f>IFERROR(__xludf.DUMMYFUNCTION("IF(G2113&lt;&gt;"""", GOOGLETRANSLATE(G2113, ""en"", ""te""),"""")"),"")</f>
        <v/>
      </c>
      <c r="I2113" s="3"/>
    </row>
    <row r="2114" customHeight="1" spans="1:9">
      <c r="A2114" s="2"/>
      <c r="B2114" s="2" t="str">
        <f>IFERROR(__xludf.DUMMYFUNCTION("IF(A2114&lt;&gt;"""", GOOGLETRANSLATE(A2114, ""en"", ""te""),"""")"),"")</f>
        <v/>
      </c>
      <c r="C2114" s="2"/>
      <c r="D2114" s="2" t="str">
        <f>IFERROR(__xludf.DUMMYFUNCTION("IF(C2114&lt;&gt;"""", GOOGLETRANSLATE(C2114, ""en"", ""te""),"""")"),"")</f>
        <v/>
      </c>
      <c r="E2114" s="2"/>
      <c r="F2114" s="2" t="str">
        <f>IFERROR(__xludf.DUMMYFUNCTION("IF(E2114&lt;&gt;"""", GOOGLETRANSLATE(E2114, ""en"", ""te""),"""")"),"")</f>
        <v/>
      </c>
      <c r="G2114" s="2"/>
      <c r="H2114" s="2" t="str">
        <f>IFERROR(__xludf.DUMMYFUNCTION("IF(G2114&lt;&gt;"""", GOOGLETRANSLATE(G2114, ""en"", ""te""),"""")"),"")</f>
        <v/>
      </c>
      <c r="I2114" s="3"/>
    </row>
    <row r="2115" customHeight="1" spans="1:9">
      <c r="A2115" s="2" t="s">
        <v>1393</v>
      </c>
      <c r="B2115" s="2" t="str">
        <f>IFERROR(__xludf.DUMMYFUNCTION("IF(A2115&lt;&gt;"""", GOOGLETRANSLATE(A2115, ""en"", ""te""),"""")"),"[ '6 వ ఉత్తమ కెరీర్ బౌలింగ్ సరాసరి (20.11)']")</f>
        <v>[ '6 వ ఉత్తమ కెరీర్ బౌలింగ్ సరాసరి (20.11)']</v>
      </c>
      <c r="C2115" s="2" t="s">
        <v>1394</v>
      </c>
      <c r="D2115" s="2" t="str">
        <f>IFERROR(__xludf.DUMMYFUNCTION("IF(C2115&lt;&gt;"""", GOOGLETRANSLATE(C2115, ""en"", ""te""),"""")"),"[ '41 వ వేగంగా 50 వికెట్లు (11)']")</f>
        <v>[ '41 వ వేగంగా 50 వికెట్లు (11)']</v>
      </c>
      <c r="E2115" s="2" t="s">
        <v>1395</v>
      </c>
      <c r="F2115" s="2" t="str">
        <f>IFERROR(__xludf.DUMMYFUNCTION("IF(E2115&lt;&gt;"""", GOOGLETRANSLATE(E2115, ""en"", ""te""),"""")"),"[ '33 వ ఒక సిరీస్లో అత్యధిక వికెట్లు (19)', '43 వ ఒకే మైదానంలో అత్యధిక వికెట్లు (32)', '22 వ ఉత్తమ కెరీర్ సమ్మె రేటు (29.5)', '40 వ' 6 వ సగటు (20.11) బౌలింగ్ ఉత్తమ కెరీర్లో ' పురాతన ఆటగాడు ఒక కన్య తీసుకుని ఐదు-వికెట్ల లో-ఒక-ఇన్నింగ్స్ (30y 286d) ',' 11 వ"&amp;" 50 వికెట్లు వేగంగా (26) ']")</f>
        <v>[ '33 వ ఒక సిరీస్లో అత్యధిక వికెట్లు (19)', '43 వ ఒకే మైదానంలో అత్యధిక వికెట్లు (32)', '22 వ ఉత్తమ కెరీర్ సమ్మె రేటు (29.5)', '40 వ' 6 వ సగటు (20.11) బౌలింగ్ ఉత్తమ కెరీర్లో ' పురాతన ఆటగాడు ఒక కన్య తీసుకుని ఐదు-వికెట్ల లో-ఒక-ఇన్నింగ్స్ (30y 286d) ',' 11 వ 50 వికెట్లు వేగంగా (26) ']</v>
      </c>
      <c r="G2115" s="2"/>
      <c r="H2115" s="2" t="str">
        <f>IFERROR(__xludf.DUMMYFUNCTION("IF(G2115&lt;&gt;"""", GOOGLETRANSLATE(G2115, ""en"", ""te""),"""")"),"")</f>
        <v/>
      </c>
      <c r="I2115" s="3"/>
    </row>
    <row r="2116" customHeight="1" spans="1:9">
      <c r="A2116" s="2"/>
      <c r="B2116" s="2" t="str">
        <f>IFERROR(__xludf.DUMMYFUNCTION("IF(A2116&lt;&gt;"""", GOOGLETRANSLATE(A2116, ""en"", ""te""),"""")"),"")</f>
        <v/>
      </c>
      <c r="C2116" s="2"/>
      <c r="D2116" s="2" t="str">
        <f>IFERROR(__xludf.DUMMYFUNCTION("IF(C2116&lt;&gt;"""", GOOGLETRANSLATE(C2116, ""en"", ""te""),"""")"),"")</f>
        <v/>
      </c>
      <c r="E2116" s="2"/>
      <c r="F2116" s="2" t="str">
        <f>IFERROR(__xludf.DUMMYFUNCTION("IF(E2116&lt;&gt;"""", GOOGLETRANSLATE(E2116, ""en"", ""te""),"""")"),"")</f>
        <v/>
      </c>
      <c r="G2116" s="2"/>
      <c r="H2116" s="2" t="str">
        <f>IFERROR(__xludf.DUMMYFUNCTION("IF(G2116&lt;&gt;"""", GOOGLETRANSLATE(G2116, ""en"", ""te""),"""")"),"")</f>
        <v/>
      </c>
      <c r="I2116" s="3"/>
    </row>
    <row r="2117" customHeight="1" spans="1:9">
      <c r="A2117" s="2"/>
      <c r="B2117" s="2" t="str">
        <f>IFERROR(__xludf.DUMMYFUNCTION("IF(A2117&lt;&gt;"""", GOOGLETRANSLATE(A2117, ""en"", ""te""),"""")"),"")</f>
        <v/>
      </c>
      <c r="C2117" s="2"/>
      <c r="D2117" s="2" t="str">
        <f>IFERROR(__xludf.DUMMYFUNCTION("IF(C2117&lt;&gt;"""", GOOGLETRANSLATE(C2117, ""en"", ""te""),"""")"),"")</f>
        <v/>
      </c>
      <c r="E2117" s="2"/>
      <c r="F2117" s="2" t="str">
        <f>IFERROR(__xludf.DUMMYFUNCTION("IF(E2117&lt;&gt;"""", GOOGLETRANSLATE(E2117, ""en"", ""te""),"""")"),"")</f>
        <v/>
      </c>
      <c r="G2117" s="2"/>
      <c r="H2117" s="2" t="str">
        <f>IFERROR(__xludf.DUMMYFUNCTION("IF(G2117&lt;&gt;"""", GOOGLETRANSLATE(G2117, ""en"", ""te""),"""")"),"")</f>
        <v/>
      </c>
      <c r="I2117" s="3"/>
    </row>
    <row r="2118" customHeight="1" spans="1:9">
      <c r="A2118" s="2"/>
      <c r="B2118" s="2" t="str">
        <f>IFERROR(__xludf.DUMMYFUNCTION("IF(A2118&lt;&gt;"""", GOOGLETRANSLATE(A2118, ""en"", ""te""),"""")"),"")</f>
        <v/>
      </c>
      <c r="C2118" s="2"/>
      <c r="D2118" s="2" t="str">
        <f>IFERROR(__xludf.DUMMYFUNCTION("IF(C2118&lt;&gt;"""", GOOGLETRANSLATE(C2118, ""en"", ""te""),"""")"),"")</f>
        <v/>
      </c>
      <c r="E2118" s="2" t="s">
        <v>798</v>
      </c>
      <c r="F2118" s="2" t="str">
        <f>IFERROR(__xludf.DUMMYFUNCTION("IF(E2118&lt;&gt;"""", GOOGLETRANSLATE(E2118, ""en"", ""te""),"""")"),"[40 వ చెత్త కెరీర్లో ఆర్థిక రేటు (5.67) ']")</f>
        <v>[40 వ చెత్త కెరీర్లో ఆర్థిక రేటు (5.67) ']</v>
      </c>
      <c r="G2118" s="2" t="s">
        <v>1396</v>
      </c>
      <c r="H2118" s="2" t="str">
        <f>IFERROR(__xludf.DUMMYFUNCTION("IF(G2118&lt;&gt;"""", GOOGLETRANSLATE(G2118, ""en"", ""te""),"""")"),"[40 వ చెత్త కెరీర్లో ఆర్థిక రేటు (7.92) ',' 26th అత్యధిక పరుగులు ఇన్నింగ్స్ లో సాధించిన (59) ',' 45 వ బౌలర్ / ఫీల్డర్ కలయికలు (6) ']")</f>
        <v>[40 వ చెత్త కెరీర్లో ఆర్థిక రేటు (7.92) ',' 26th అత్యధిక పరుగులు ఇన్నింగ్స్ లో సాధించిన (59) ',' 45 వ బౌలర్ / ఫీల్డర్ కలయికలు (6) ']</v>
      </c>
      <c r="I2118" s="3"/>
    </row>
    <row r="2119" customHeight="1" spans="1:9">
      <c r="A2119" s="2"/>
      <c r="B2119" s="2" t="str">
        <f>IFERROR(__xludf.DUMMYFUNCTION("IF(A2119&lt;&gt;"""", GOOGLETRANSLATE(A2119, ""en"", ""te""),"""")"),"")</f>
        <v/>
      </c>
      <c r="C2119" s="2" t="s">
        <v>1397</v>
      </c>
      <c r="D2119" s="2" t="str">
        <f>IFERROR(__xludf.DUMMYFUNCTION("IF(C2119&lt;&gt;"""", GOOGLETRANSLATE(C2119, ""en"", ""te""),"""")"),"[ '24 వ వరుస మ్యాచ్లు ఆడి మధ్య జట్టుకు దూరమయ్యాడు (66)', '32 వ ఒక సిరీస్లో అత్యధిక వికెట్లు (22)', '29th ఒక సిరీస్లో అత్యధిక క్యాచ్లు (22)']")</f>
        <v>[ '24 వ వరుస మ్యాచ్లు ఆడి మధ్య జట్టుకు దూరమయ్యాడు (66)', '32 వ ఒక సిరీస్లో అత్యధిక వికెట్లు (22)', '29th ఒక సిరీస్లో అత్యధిక క్యాచ్లు (22)']</v>
      </c>
      <c r="E2119" s="2" t="s">
        <v>1398</v>
      </c>
      <c r="F2119" s="2" t="str">
        <f>IFERROR(__xludf.DUMMYFUNCTION("IF(E2119&lt;&gt;"""", GOOGLETRANSLATE(E2119, ""en"", ""te""),"""")"),"[ 'ప్రదర్శనల మధ్య 37 వ లాంగెస్ట్ వ్యవధిలో (6y 276d)']")</f>
        <v>[ 'ప్రదర్శనల మధ్య 37 వ లాంగెస్ట్ వ్యవధిలో (6y 276d)']</v>
      </c>
      <c r="G2119" s="2"/>
      <c r="H2119" s="2" t="str">
        <f>IFERROR(__xludf.DUMMYFUNCTION("IF(G2119&lt;&gt;"""", GOOGLETRANSLATE(G2119, ""en"", ""te""),"""")"),"")</f>
        <v/>
      </c>
      <c r="I2119" s="3"/>
    </row>
    <row r="2120" customHeight="1" spans="1:9">
      <c r="A2120" s="2"/>
      <c r="B2120" s="2" t="str">
        <f>IFERROR(__xludf.DUMMYFUNCTION("IF(A2120&lt;&gt;"""", GOOGLETRANSLATE(A2120, ""en"", ""te""),"""")"),"")</f>
        <v/>
      </c>
      <c r="C2120" s="2" t="s">
        <v>561</v>
      </c>
      <c r="D2120" s="2" t="str">
        <f>IFERROR(__xludf.DUMMYFUNCTION("IF(C2120&lt;&gt;"""", GOOGLETRANSLATE(C2120, ""en"", ""te""),"""")"),"[ 'పదవ వికెట్కు 48 వ అత్యధిక భాగస్వామ్యం (82)']")</f>
        <v>[ 'పదవ వికెట్కు 48 వ అత్యధిక భాగస్వామ్యం (82)']</v>
      </c>
      <c r="E2120" s="2"/>
      <c r="F2120" s="2" t="str">
        <f>IFERROR(__xludf.DUMMYFUNCTION("IF(E2120&lt;&gt;"""", GOOGLETRANSLATE(E2120, ""en"", ""te""),"""")"),"")</f>
        <v/>
      </c>
      <c r="G2120" s="2"/>
      <c r="H2120" s="2" t="str">
        <f>IFERROR(__xludf.DUMMYFUNCTION("IF(G2120&lt;&gt;"""", GOOGLETRANSLATE(G2120, ""en"", ""te""),"""")"),"")</f>
        <v/>
      </c>
      <c r="I2120" s="3"/>
    </row>
    <row r="2121" customHeight="1" spans="1:9">
      <c r="A2121" s="2"/>
      <c r="B2121" s="2" t="str">
        <f>IFERROR(__xludf.DUMMYFUNCTION("IF(A2121&lt;&gt;"""", GOOGLETRANSLATE(A2121, ""en"", ""te""),"""")"),"")</f>
        <v/>
      </c>
      <c r="C2121" s="2" t="s">
        <v>1399</v>
      </c>
      <c r="D2121" s="2" t="str">
        <f>IFERROR(__xludf.DUMMYFUNCTION("IF(C2121&lt;&gt;"""", GOOGLETRANSLATE(C2121, ""en"", ""te""),"""")"),"[ '45 వ పిన్న ఆటగాడు వంద (20y 281d) స్కోర్', 'కెరీర్ (20) 25 వ లేవు బాతులు']")</f>
        <v>[ '45 వ పిన్న ఆటగాడు వంద (20y 281d) స్కోర్', 'కెరీర్ (20) 25 వ లేవు బాతులు']</v>
      </c>
      <c r="E2121" s="2"/>
      <c r="F2121" s="2" t="str">
        <f>IFERROR(__xludf.DUMMYFUNCTION("IF(E2121&lt;&gt;"""", GOOGLETRANSLATE(E2121, ""en"", ""te""),"""")"),"")</f>
        <v/>
      </c>
      <c r="G2121" s="2"/>
      <c r="H2121" s="2" t="str">
        <f>IFERROR(__xludf.DUMMYFUNCTION("IF(G2121&lt;&gt;"""", GOOGLETRANSLATE(G2121, ""en"", ""te""),"""")"),"")</f>
        <v/>
      </c>
      <c r="I2121" s="3"/>
    </row>
    <row r="2122" customHeight="1" spans="1:9">
      <c r="A2122" s="2" t="s">
        <v>1400</v>
      </c>
      <c r="B2122" s="2" t="str">
        <f>IFERROR(__xludf.DUMMYFUNCTION("IF(A2122&lt;&gt;"""", GOOGLETRANSLATE(A2122, ""en"", ""te""),"""")"),"[ 'ఇన్నింగ్స్ లో 1 వ అత్యధిక పరుగులు (బ్యాటింగ్ స్థానంలో ప్రకారం) (209 *)', '7 వ అత్యధిక కెరీర్ బ్యాటింగ్ సగటు (55.66)', 'ఒక వృత్తిలో 1st అత్యధిక డబుల్ సెంచరీలు (1)' వరుస ఇన్నింగ్స్లో, '5 వ యాభైల్లో ( 3) ',' 9 వ అత్యధిక వికెట్లు తీసుకున్న ఎల్బిడబ్ల్యు (9"&amp;") ',' నాలుగవ వికెట్కు 1st అత్యధిక భాగస్వామ్యం కెరీర్లో (253) ',' 6 వ అత్యధిక మ్యాచ్లు (141) ',' 4 వ ఇన్నింగ్స్ లో అత్యధిక పరుగులు (బ్యాటింగ్ స్థానంలో ద్వారా ) (154 *) ',' 7 వ అత్యధిక కెరీర్ బ్యాటింగ్ సగటు (48.14) ',' వరుస ఇన్నింగ్స్లో 2 వ వందల (2) ',' 6 వ"&amp;" అత్యంత తొంభైల కెరీర్లో (3) ',' 3 వ అత్యంత అర్ధ కెరీర్లో (41) ' 'ఒక డక్ లేకుండా 1st వరుస ఇన్నింగ్స్ (104 *)', '1 వ అత్యుత్తమ బౌలింగ్ ఇన్నింగ్స్ లో విశ్లేషించడం (1/0)', ​​'1 వ కోసం అత్యధిక భాగస్వామ్యం' 7th అత్యధిక వికెట్లు సాధించిన వికెట్కీపర్గా (19) పట్ట"&amp;"ుకుంటే తీసిన మూడో వికెట్ (244) ',' ఇన్నింగ్స్ లో 2 వ అత్యధిక పరుగులు (ప్రగతిశీల రికార్డు హోల్డర్) (96 *) ',' ఇన్నింగ్స్ లో తొలి మ్యాచ్లో 1 వ అత్యధిక పరుగులు (96 *) ',' 3 వ అత్యధిక క్యాచ్లు (3) ', 'నాలుగవ వికెట్కు 1st అత్యధిక భాగస్వామ్యం (147 *)']")</f>
        <v>[ 'ఇన్నింగ్స్ లో 1 వ అత్యధిక పరుగులు (బ్యాటింగ్ స్థానంలో ప్రకారం) (209 *)', '7 వ అత్యధిక కెరీర్ బ్యాటింగ్ సగటు (55.66)', 'ఒక వృత్తిలో 1st అత్యధిక డబుల్ సెంచరీలు (1)' వరుస ఇన్నింగ్స్లో, '5 వ యాభైల్లో ( 3) ',' 9 వ అత్యధిక వికెట్లు తీసుకున్న ఎల్బిడబ్ల్యు (9) ',' నాలుగవ వికెట్కు 1st అత్యధిక భాగస్వామ్యం కెరీర్లో (253) ',' 6 వ అత్యధిక మ్యాచ్లు (141) ',' 4 వ ఇన్నింగ్స్ లో అత్యధిక పరుగులు (బ్యాటింగ్ స్థానంలో ద్వారా ) (154 *) ',' 7 వ అత్యధిక కెరీర్ బ్యాటింగ్ సగటు (48.14) ',' వరుస ఇన్నింగ్స్లో 2 వ వందల (2) ',' 6 వ అత్యంత తొంభైల కెరీర్లో (3) ',' 3 వ అత్యంత అర్ధ కెరీర్లో (41) ' 'ఒక డక్ లేకుండా 1st వరుస ఇన్నింగ్స్ (104 *)', '1 వ అత్యుత్తమ బౌలింగ్ ఇన్నింగ్స్ లో విశ్లేషించడం (1/0)', ​​'1 వ కోసం అత్యధిక భాగస్వామ్యం' 7th అత్యధిక వికెట్లు సాధించిన వికెట్కీపర్గా (19) పట్టుకుంటే తీసిన మూడో వికెట్ (244) ',' ఇన్నింగ్స్ లో 2 వ అత్యధిక పరుగులు (ప్రగతిశీల రికార్డు హోల్డర్) (96 *) ',' ఇన్నింగ్స్ లో తొలి మ్యాచ్లో 1 వ అత్యధిక పరుగులు (96 *) ',' 3 వ అత్యధిక క్యాచ్లు (3) ', 'నాలుగవ వికెట్కు 1st అత్యధిక భాగస్వామ్యం (147 *)']</v>
      </c>
      <c r="C2122" s="2" t="s">
        <v>1401</v>
      </c>
      <c r="D2122" s="2" t="str">
        <f>IFERROR(__xludf.DUMMYFUNCTION("IF(C2122&lt;&gt;"""", GOOGLETRANSLATE(C2122, ""en"", ""te""),"""")"),"[ '10 వ కెరీర్ లో అత్యధిక పరుగులు (1002)', 'ఇన్నింగ్స్ లో 4 వ అత్యధిక పరుగులు (209 *)', '8 వ ఇన్నింగ్స్ లో అత్యధిక పరుగులు (ప్రగతిశీల రికార్డు హోల్డర్) (209 *)', '3 వ భాగం ఒక మ్యాచ్లో నడుస్తుంది (218) ',' 16 వ ఒక సిరీస్లో అత్యధిక పరుగులు (327) ',' 19 ఒక క"&amp;"్యాలెండర్ సంవత్సరంలో అత్యధిక పరుగులు (327) ',' 1 వ ఇన్నింగ్స్ లో అత్యధిక పరుగులు (బ్యాటింగ్ స్థానంలో ప్రకారం) (209 *) ',' 7th అత్యధిక కెరీర్ బ్యాటింగ్ సగటు (55.66) ',' 10th ఒక వృత్తిలో అత్యధిక వందలు (2) ',' ఒక వృత్తిలో 1st అత్యధిక డబుల్ సెంచరీలు (1) ',' ఒ"&amp;"క జట్టుతో 3 వ అత్యధిక వందలు (2) ',' 10 వ అత్యధిక తొలి వందల (176 *) ',' 18 వ పిన్న ఆటగాడు వంద (23y 273d) ',' 11 వ అత్యంత అర్ధ కెరీర్లో (7) ',' వరుస ఇన్నింగ్స్లో 5 వ యాభైల్లో (3) ',' 41 వ ఉత్తమ కెరీర్ సగటు బౌలింగ్ స్కోర్ ( 23.35) ',' 39 వ ఉత్తమ కెరీర్ ఆర్థ"&amp;"ిక రేటు (1.77) ',' 9 వ అత్యధిక వికెట్లు తీసుకున్న ఎల్బిడబ్ల్యు (9) ',' ఏ వికెట్కు 3 వ అత్యధిక భాగస్వామ్యాల (253) ',' వికెట్ తేడాతో 4 వ అత్యధిక భాగస్వామ్యాల (4 వ) ',' మూడో వికెట్ (115) ',' నాలుగవ వికెట్కు 1st అత్యధిక భాగస్వామ్యం (253) ',' 13 వ వరుస matc కో"&amp;"సం 16 అత్యధిక భాగస్వామ్యం ఒక జట్టు hes (14) ',' 20 వ లాంగెస్ట్ కెరీర్లు (14y 135d) ',' కెప్టెన్సీ తొలి 20 వ ఓల్డెస్ట్ కాప్టెన్ (31y 89d) ']")</f>
        <v>[ '10 వ కెరీర్ లో అత్యధిక పరుగులు (1002)', 'ఇన్నింగ్స్ లో 4 వ అత్యధిక పరుగులు (209 *)', '8 వ ఇన్నింగ్స్ లో అత్యధిక పరుగులు (ప్రగతిశీల రికార్డు హోల్డర్) (209 *)', '3 వ భాగం ఒక మ్యాచ్లో నడుస్తుంది (218) ',' 16 వ ఒక సిరీస్లో అత్యధిక పరుగులు (327) ',' 19 ఒక క్యాలెండర్ సంవత్సరంలో అత్యధిక పరుగులు (327) ',' 1 వ ఇన్నింగ్స్ లో అత్యధిక పరుగులు (బ్యాటింగ్ స్థానంలో ప్రకారం) (209 *) ',' 7th అత్యధిక కెరీర్ బ్యాటింగ్ సగటు (55.66) ',' 10th ఒక వృత్తిలో అత్యధిక వందలు (2) ',' ఒక వృత్తిలో 1st అత్యధిక డబుల్ సెంచరీలు (1) ',' ఒక జట్టుతో 3 వ అత్యధిక వందలు (2) ',' 10 వ అత్యధిక తొలి వందల (176 *) ',' 18 వ పిన్న ఆటగాడు వంద (23y 273d) ',' 11 వ అత్యంత అర్ధ కెరీర్లో (7) ',' వరుస ఇన్నింగ్స్లో 5 వ యాభైల్లో (3) ',' 41 వ ఉత్తమ కెరీర్ సగటు బౌలింగ్ స్కోర్ ( 23.35) ',' 39 వ ఉత్తమ కెరీర్ ఆర్థిక రేటు (1.77) ',' 9 వ అత్యధిక వికెట్లు తీసుకున్న ఎల్బిడబ్ల్యు (9) ',' ఏ వికెట్కు 3 వ అత్యధిక భాగస్వామ్యాల (253) ',' వికెట్ తేడాతో 4 వ అత్యధిక భాగస్వామ్యాల (4 వ) ',' మూడో వికెట్ (115) ',' నాలుగవ వికెట్కు 1st అత్యధిక భాగస్వామ్యం (253) ',' 13 వ వరుస matc కోసం 16 అత్యధిక భాగస్వామ్యం ఒక జట్టు hes (14) ',' 20 వ లాంగెస్ట్ కెరీర్లు (14y 135d) ',' కెప్టెన్సీ తొలి 20 వ ఓల్డెస్ట్ కాప్టెన్ (31y 89d) ']</v>
      </c>
      <c r="E2122" s="2" t="s">
        <v>1402</v>
      </c>
      <c r="F2122" s="2" t="str">
        <f>IFERROR(__xludf.DUMMYFUNCTION("IF(E2122&lt;&gt;"""", GOOGLETRANSLATE(E2122, ""en"", ""te""),"""")"),"[ 'కెరీర్లో 4 వ అత్యధిక పరుగులు (4814)', '13 వ ఇన్నింగ్స్ (154 *) లో అత్యధిక పరుగులు' 'ఒక క్యాలెండర్ సంవత్సరంలో 14 వ అత్యధిక పరుగులు (682)', '4 వ ఇన్నింగ్స్ లో అత్యధిక పరుగులు (బ్యాటింగ్ స్థానంలో ద్వారా) (154 *) ',' ఒకే క్రీడా 5 వ అత్యధిక పరుగులు (709) ',"&amp;"' ఒక కెప్టెన్తో ఇన్నింగ్స్ లో 46 వ అత్యధిక పరుగులు (101) ',' 7 వ అత్యధిక కెరీర్ బ్యాటింగ్ సగటు (48.14) ',' 4 వ అత్యధిక వందలు ఒక కెరీర్ (8) ',' 6 వ అత్యధిక వందలు వరుస (2) ',' 5 వ ఒక క్యాలెండర్ సంవత్సరంలో అత్యధిక వందలు ఒకటి జట్టుతో (2) ',' 2 వ అత్యధిక వందలు"&amp;" (3) ',' వరుస ఇన్నింగ్స్లో 2 వ వందల (2) ',' 38 వ అత్యధిక తొలి వంద (113 *) ',' 18 వ పిన్న ఆటగాడు వంద (33y 353d) ',' 6 వ స్కోర్ కెరీర్ తొంభైల వంద (22y 94d) స్కోర్ ',' 12 వ అత్యంత వృద్ధ ఆటగాడు (3) ',' కెరీర్ లో 3 వ అత్యంత అర్ధ (41) ',' వరుస ఇన్నింగ్స్లో 5 వ"&amp;" యాభైల్లో (5) ',' ఒక డక్ లేకుండా 1st వరుస ఇన్నింగ్స్ (104 *) ',' కెరీర్లో 10 వ అతి తక్కువ బాతులు (33) ',' ఒక ఇన్నింగ్స్లో పరుగుల 21 అత్యధిక శాతం (54.60) ',' 29th కెరీర్లో అత్యధిక వికెట్లు (85) ',' 1 వ అత్యుత్తమ బౌలింగ్ విశ్లేషణలు ఒక ఇన్నింగ్స్ లో ఒక నాయక"&amp;"ుడు ఒక ఇన్నింగ్స్ లో (1/0) ',' 9 వ బెస్ట్ ఫిగర్స్ (4) ',' 15 వ అరంగేట్రంలోనే ఇన్నింగ్స్ లోని బెస్ట్ ఫిగర్స్ (3) ',' 31 కెరీర్ (3267) లో బౌల్డ్ చాలా బంతుల్లో ' '43 వ కెరీర్ లో సాధించిన అత్యధిక పరుగులు (1769)', '12 వ బౌలర్ / బ్యాట్స్ కలయికలు (6)', '9 వ బౌలర"&amp;"్ / ఫీల్డర్ కలయికలు (18)', '21 వ అత్యధిక వికెట్లు తీసుకున్న బౌల్డ్ (24) ',' 30 వ అత్యధిక వికెట్లు తీసుకున్న ఆకర్షించింది (47) ',' 7 వ అత్యధిక వికెట్లు ఒక వికెట్ కీపర్ చే కాట్ తీసుకున్న (19) ',' 43 వ అత్యధిక వికెట్లు తీసుకున్న ఎల్బిడబ్ల్యు (11) ',' ఏ వికెట"&amp;"్కు 8 వ అత్యధిక భాగస్వామ్యాలు వికెట్ తేడాతో (244) ',' 3 వ అత్యధిక భాగస్వామ్యాలు (3 వ) ',' మూడో వికెట్కు 1st అత్యధిక భాగస్వామ్యం (244) ',' నాలుగవ వికెట్కు 9 వ అత్యధిక భాగస్వామ్యం (144) ఏడవ వికెట్కు ',' 30 వ అత్యధిక భాగస్వామ్యం (63) ',' కెరీర్ లో 6 వ అత్యధి"&amp;"క మ్యాచ్లు (141) ',' 29th లాంగెస్ట్ కెరీర్లు (14y 141d) ',' 16 వ అత్యధిక మ్యాచ్లు కెప్టెన్గా (43) ',' ఒక జట్టు కెప్టెన్గా 12 వ వరుస మ్యాచ్లు (34) ']")</f>
        <v>[ 'కెరీర్లో 4 వ అత్యధిక పరుగులు (4814)', '13 వ ఇన్నింగ్స్ (154 *) లో అత్యధిక పరుగులు' 'ఒక క్యాలెండర్ సంవత్సరంలో 14 వ అత్యధిక పరుగులు (682)', '4 వ ఇన్నింగ్స్ లో అత్యధిక పరుగులు (బ్యాటింగ్ స్థానంలో ద్వారా) (154 *) ',' ఒకే క్రీడా 5 వ అత్యధిక పరుగులు (709) ',' ఒక కెప్టెన్తో ఇన్నింగ్స్ లో 46 వ అత్యధిక పరుగులు (101) ',' 7 వ అత్యధిక కెరీర్ బ్యాటింగ్ సగటు (48.14) ',' 4 వ అత్యధిక వందలు ఒక కెరీర్ (8) ',' 6 వ అత్యధిక వందలు వరుస (2) ',' 5 వ ఒక క్యాలెండర్ సంవత్సరంలో అత్యధిక వందలు ఒకటి జట్టుతో (2) ',' 2 వ అత్యధిక వందలు (3) ',' వరుస ఇన్నింగ్స్లో 2 వ వందల (2) ',' 38 వ అత్యధిక తొలి వంద (113 *) ',' 18 వ పిన్న ఆటగాడు వంద (33y 353d) ',' 6 వ స్కోర్ కెరీర్ తొంభైల వంద (22y 94d) స్కోర్ ',' 12 వ అత్యంత వృద్ధ ఆటగాడు (3) ',' కెరీర్ లో 3 వ అత్యంత అర్ధ (41) ',' వరుస ఇన్నింగ్స్లో 5 వ యాభైల్లో (5) ',' ఒక డక్ లేకుండా 1st వరుస ఇన్నింగ్స్ (104 *) ',' కెరీర్లో 10 వ అతి తక్కువ బాతులు (33) ',' ఒక ఇన్నింగ్స్లో పరుగుల 21 అత్యధిక శాతం (54.60) ',' 29th కెరీర్లో అత్యధిక వికెట్లు (85) ',' 1 వ అత్యుత్తమ బౌలింగ్ విశ్లేషణలు ఒక ఇన్నింగ్స్ లో ఒక నాయకుడు ఒక ఇన్నింగ్స్ లో (1/0) ',' 9 వ బెస్ట్ ఫిగర్స్ (4) ',' 15 వ అరంగేట్రంలోనే ఇన్నింగ్స్ లోని బెస్ట్ ఫిగర్స్ (3) ',' 31 కెరీర్ (3267) లో బౌల్డ్ చాలా బంతుల్లో ' '43 వ కెరీర్ లో సాధించిన అత్యధిక పరుగులు (1769)', '12 వ బౌలర్ / బ్యాట్స్ కలయికలు (6)', '9 వ బౌలర్ / ఫీల్డర్ కలయికలు (18)', '21 వ అత్యధిక వికెట్లు తీసుకున్న బౌల్డ్ (24) ',' 30 వ అత్యధిక వికెట్లు తీసుకున్న ఆకర్షించింది (47) ',' 7 వ అత్యధిక వికెట్లు ఒక వికెట్ కీపర్ చే కాట్ తీసుకున్న (19) ',' 43 వ అత్యధిక వికెట్లు తీసుకున్న ఎల్బిడబ్ల్యు (11) ',' ఏ వికెట్కు 8 వ అత్యధిక భాగస్వామ్యాలు వికెట్ తేడాతో (244) ',' 3 వ అత్యధిక భాగస్వామ్యాలు (3 వ) ',' మూడో వికెట్కు 1st అత్యధిక భాగస్వామ్యం (244) ',' నాలుగవ వికెట్కు 9 వ అత్యధిక భాగస్వామ్యం (144) ఏడవ వికెట్కు ',' 30 వ అత్యధిక భాగస్వామ్యం (63) ',' కెరీర్ లో 6 వ అత్యధిక మ్యాచ్లు (141) ',' 29th లాంగెస్ట్ కెరీర్లు (14y 141d) ',' 16 వ అత్యధిక మ్యాచ్లు కెప్టెన్గా (43) ',' ఒక జట్టు కెప్టెన్గా 12 వ వరుస మ్యాచ్లు (34) ']</v>
      </c>
      <c r="G2122" s="2" t="s">
        <v>1403</v>
      </c>
      <c r="H2122" s="2" t="str">
        <f>IFERROR(__xludf.DUMMYFUNCTION("IF(G2122&lt;&gt;"""", GOOGLETRANSLATE(G2122, ""en"", ""te""),"""")"),"[ '30 వ ఇన్నింగ్స్ లో అత్యధిక పరుగులు (96 *)', '2 వ ఇన్నింగ్స్ లో అత్యధిక పరుగులు (ప్రగతిశీల రికార్డు హోల్డర్) (96 *)', '6 వ ఇన్నింగ్స్ లో అత్యధిక పరుగులు (96 *) (బ్యాటింగ్ స్థానం)', 'ఒక కెప్టెన్తో ఇన్నింగ్స్ లో 32 వ అత్యధిక పరుగులు (71 *)', '1st తొలి మ్య"&amp;"ాచ్ (96 *) లో అత్యధిక పరుగులు', 'కెరీర్లో 17 వ లేవు బాతులు (12)', '3 వ ఇన్నింగ్స్ లో అత్యధిక క్యాచ్లు (3) ',' ఏ వికెట్కు 14 అత్యధిక భాగస్వామ్యాల (147 *) ',' వికెట్ తేడాతో 4 వ అత్యధిక భాగస్వామ్యాల (4 వ) ',' నాలుగవ వికెట్కు (147 *) 1 వ అత్యధిక భాగస్వామ్యం '"&amp;",' ఆరవ వికెట్కు 2 వ అత్యధిక భాగస్వామ్యం (68 ) ',' 35 వ అత్యధిక మ్యాచ్లు కెప్టెన్గా (13) ',' 15 వ ఓల్డెస్ట్ కాప్టెన్ (34y 210d) ',' కెప్టెన్సీ తొలి 28 ఓల్డెస్ట్ కాప్టెన్ (31y 331d) ']")</f>
        <v>[ '30 వ ఇన్నింగ్స్ లో అత్యధిక పరుగులు (96 *)', '2 వ ఇన్నింగ్స్ లో అత్యధిక పరుగులు (ప్రగతిశీల రికార్డు హోల్డర్) (96 *)', '6 వ ఇన్నింగ్స్ లో అత్యధిక పరుగులు (96 *) (బ్యాటింగ్ స్థానం)', 'ఒక కెప్టెన్తో ఇన్నింగ్స్ లో 32 వ అత్యధిక పరుగులు (71 *)', '1st తొలి మ్యాచ్ (96 *) లో అత్యధిక పరుగులు', 'కెరీర్లో 17 వ లేవు బాతులు (12)', '3 వ ఇన్నింగ్స్ లో అత్యధిక క్యాచ్లు (3) ',' ఏ వికెట్కు 14 అత్యధిక భాగస్వామ్యాల (147 *) ',' వికెట్ తేడాతో 4 వ అత్యధిక భాగస్వామ్యాల (4 వ) ',' నాలుగవ వికెట్కు (147 *) 1 వ అత్యధిక భాగస్వామ్యం ',' ఆరవ వికెట్కు 2 వ అత్యధిక భాగస్వామ్యం (68 ) ',' 35 వ అత్యధిక మ్యాచ్లు కెప్టెన్గా (13) ',' 15 వ ఓల్డెస్ట్ కాప్టెన్ (34y 210d) ',' కెప్టెన్సీ తొలి 28 ఓల్డెస్ట్ కాప్టెన్ (31y 331d) ']</v>
      </c>
      <c r="I2122" s="3"/>
    </row>
    <row r="2123" customHeight="1" spans="1:9">
      <c r="A2123" s="2"/>
      <c r="B2123" s="2" t="str">
        <f>IFERROR(__xludf.DUMMYFUNCTION("IF(A2123&lt;&gt;"""", GOOGLETRANSLATE(A2123, ""en"", ""te""),"""")"),"")</f>
        <v/>
      </c>
      <c r="C2123" s="2"/>
      <c r="D2123" s="2" t="str">
        <f>IFERROR(__xludf.DUMMYFUNCTION("IF(C2123&lt;&gt;"""", GOOGLETRANSLATE(C2123, ""en"", ""te""),"""")"),"")</f>
        <v/>
      </c>
      <c r="E2123" s="2"/>
      <c r="F2123" s="2" t="str">
        <f>IFERROR(__xludf.DUMMYFUNCTION("IF(E2123&lt;&gt;"""", GOOGLETRANSLATE(E2123, ""en"", ""te""),"""")"),"")</f>
        <v/>
      </c>
      <c r="G2123" s="2"/>
      <c r="H2123" s="2" t="str">
        <f>IFERROR(__xludf.DUMMYFUNCTION("IF(G2123&lt;&gt;"""", GOOGLETRANSLATE(G2123, ""en"", ""te""),"""")"),"")</f>
        <v/>
      </c>
      <c r="I2123" s="3"/>
    </row>
    <row r="2124" customHeight="1" spans="1:9">
      <c r="A2124" s="2"/>
      <c r="B2124" s="2" t="str">
        <f>IFERROR(__xludf.DUMMYFUNCTION("IF(A2124&lt;&gt;"""", GOOGLETRANSLATE(A2124, ""en"", ""te""),"""")"),"")</f>
        <v/>
      </c>
      <c r="C2124" s="2"/>
      <c r="D2124" s="2" t="str">
        <f>IFERROR(__xludf.DUMMYFUNCTION("IF(C2124&lt;&gt;"""", GOOGLETRANSLATE(C2124, ""en"", ""te""),"""")"),"")</f>
        <v/>
      </c>
      <c r="E2124" s="2"/>
      <c r="F2124" s="2" t="str">
        <f>IFERROR(__xludf.DUMMYFUNCTION("IF(E2124&lt;&gt;"""", GOOGLETRANSLATE(E2124, ""en"", ""te""),"""")"),"")</f>
        <v/>
      </c>
      <c r="G2124" s="2"/>
      <c r="H2124" s="2" t="str">
        <f>IFERROR(__xludf.DUMMYFUNCTION("IF(G2124&lt;&gt;"""", GOOGLETRANSLATE(G2124, ""en"", ""te""),"""")"),"")</f>
        <v/>
      </c>
      <c r="I2124" s="3"/>
    </row>
    <row r="2125" customHeight="1" spans="1:9">
      <c r="A2125" s="2" t="s">
        <v>1404</v>
      </c>
      <c r="B2125" s="2" t="str">
        <f>IFERROR(__xludf.DUMMYFUNCTION("IF(A2125&lt;&gt;"""", GOOGLETRANSLATE(A2125, ""en"", ""te""),"""")"),"[ 'కెరీర్లో 9 వ అతి తక్కువ బాతులు (53)']")</f>
        <v>[ 'కెరీర్లో 9 వ అతి తక్కువ బాతులు (53)']</v>
      </c>
      <c r="C2125" s="2" t="s">
        <v>1404</v>
      </c>
      <c r="D2125" s="2" t="str">
        <f>IFERROR(__xludf.DUMMYFUNCTION("IF(C2125&lt;&gt;"""", GOOGLETRANSLATE(C2125, ""en"", ""te""),"""")"),"[ 'కెరీర్లో 9 వ అతి తక్కువ బాతులు (53)']")</f>
        <v>[ 'కెరీర్లో 9 వ అతి తక్కువ బాతులు (53)']</v>
      </c>
      <c r="E2125" s="2"/>
      <c r="F2125" s="2" t="str">
        <f>IFERROR(__xludf.DUMMYFUNCTION("IF(E2125&lt;&gt;"""", GOOGLETRANSLATE(E2125, ""en"", ""te""),"""")"),"")</f>
        <v/>
      </c>
      <c r="G2125" s="2"/>
      <c r="H2125" s="2" t="str">
        <f>IFERROR(__xludf.DUMMYFUNCTION("IF(G2125&lt;&gt;"""", GOOGLETRANSLATE(G2125, ""en"", ""te""),"""")"),"")</f>
        <v/>
      </c>
      <c r="I2125" s="3"/>
    </row>
    <row r="2126" customHeight="1" spans="1:9">
      <c r="A2126" s="2"/>
      <c r="B2126" s="2" t="str">
        <f>IFERROR(__xludf.DUMMYFUNCTION("IF(A2126&lt;&gt;"""", GOOGLETRANSLATE(A2126, ""en"", ""te""),"""")"),"")</f>
        <v/>
      </c>
      <c r="C2126" s="2"/>
      <c r="D2126" s="2" t="str">
        <f>IFERROR(__xludf.DUMMYFUNCTION("IF(C2126&lt;&gt;"""", GOOGLETRANSLATE(C2126, ""en"", ""te""),"""")"),"")</f>
        <v/>
      </c>
      <c r="E2126" s="2"/>
      <c r="F2126" s="2" t="str">
        <f>IFERROR(__xludf.DUMMYFUNCTION("IF(E2126&lt;&gt;"""", GOOGLETRANSLATE(E2126, ""en"", ""te""),"""")"),"")</f>
        <v/>
      </c>
      <c r="G2126" s="2"/>
      <c r="H2126" s="2" t="str">
        <f>IFERROR(__xludf.DUMMYFUNCTION("IF(G2126&lt;&gt;"""", GOOGLETRANSLATE(G2126, ""en"", ""te""),"""")"),"")</f>
        <v/>
      </c>
      <c r="I2126" s="3"/>
    </row>
    <row r="2127" customHeight="1" spans="1:9">
      <c r="A2127" s="2"/>
      <c r="B2127" s="2" t="str">
        <f>IFERROR(__xludf.DUMMYFUNCTION("IF(A2127&lt;&gt;"""", GOOGLETRANSLATE(A2127, ""en"", ""te""),"""")"),"")</f>
        <v/>
      </c>
      <c r="C2127" s="2"/>
      <c r="D2127" s="2" t="str">
        <f>IFERROR(__xludf.DUMMYFUNCTION("IF(C2127&lt;&gt;"""", GOOGLETRANSLATE(C2127, ""en"", ""te""),"""")"),"")</f>
        <v/>
      </c>
      <c r="E2127" s="2"/>
      <c r="F2127" s="2" t="str">
        <f>IFERROR(__xludf.DUMMYFUNCTION("IF(E2127&lt;&gt;"""", GOOGLETRANSLATE(E2127, ""en"", ""te""),"""")"),"")</f>
        <v/>
      </c>
      <c r="G2127" s="2"/>
      <c r="H2127" s="2" t="str">
        <f>IFERROR(__xludf.DUMMYFUNCTION("IF(G2127&lt;&gt;"""", GOOGLETRANSLATE(G2127, ""en"", ""te""),"""")"),"")</f>
        <v/>
      </c>
      <c r="I2127" s="3"/>
    </row>
    <row r="2128" customHeight="1" spans="1:9">
      <c r="A2128" s="2"/>
      <c r="B2128" s="2" t="str">
        <f>IFERROR(__xludf.DUMMYFUNCTION("IF(A2128&lt;&gt;"""", GOOGLETRANSLATE(A2128, ""en"", ""te""),"""")"),"")</f>
        <v/>
      </c>
      <c r="C2128" s="2"/>
      <c r="D2128" s="2" t="str">
        <f>IFERROR(__xludf.DUMMYFUNCTION("IF(C2128&lt;&gt;"""", GOOGLETRANSLATE(C2128, ""en"", ""te""),"""")"),"")</f>
        <v/>
      </c>
      <c r="E2128" s="2"/>
      <c r="F2128" s="2" t="str">
        <f>IFERROR(__xludf.DUMMYFUNCTION("IF(E2128&lt;&gt;"""", GOOGLETRANSLATE(E2128, ""en"", ""te""),"""")"),"")</f>
        <v/>
      </c>
      <c r="G2128" s="2"/>
      <c r="H2128" s="2" t="str">
        <f>IFERROR(__xludf.DUMMYFUNCTION("IF(G2128&lt;&gt;"""", GOOGLETRANSLATE(G2128, ""en"", ""te""),"""")"),"")</f>
        <v/>
      </c>
      <c r="I2128" s="3"/>
    </row>
    <row r="2129" customHeight="1" spans="1:9">
      <c r="A2129" s="2" t="s">
        <v>1405</v>
      </c>
      <c r="B2129" s="2" t="str">
        <f>IFERROR(__xludf.DUMMYFUNCTION("IF(A2129&lt;&gt;"""", GOOGLETRANSLATE(A2129, ""en"", ""te""),"""")"),"[ '4 వ అత్యంత ఇన్నింగ్స్ లో నడుస్తుంది (బ్యాటింగ్ స్థానం) (201 *)', 'వరుస ఇన్నింగ్స్లో 7 వ యాభైల్లో (6)']")</f>
        <v>[ '4 వ అత్యంత ఇన్నింగ్స్ లో నడుస్తుంది (బ్యాటింగ్ స్థానం) (201 *)', 'వరుస ఇన్నింగ్స్లో 7 వ యాభైల్లో (6)']</v>
      </c>
      <c r="C2129" s="2" t="s">
        <v>1406</v>
      </c>
      <c r="D2129" s="2" t="str">
        <f>IFERROR(__xludf.DUMMYFUNCTION("IF(C2129&lt;&gt;"""", GOOGLETRANSLATE(C2129, ""en"", ""te""),"""")"),"[ 'ఇన్నింగ్స్ లో 4 వ అత్యధిక పరుగులు (బ్యాటింగ్ స్థానంలో ప్రకారం) (201 *)', '32 వ అత్యధిక కెరీర్ బ్యాటింగ్ సగటు (51.62)', 'వరుస ఇన్నింగ్స్లో 7 వ యాభైల్లో (6), తొమ్మిదవ వికెట్కు' 36 వ అత్యధిక భాగస్వామ్యం ( 108) ',' 26th ఓల్డెస్ట్ కాప్టెన్ (39y 220d) ',' క"&amp;"ెప్టెన్సీ తొలి 13 వ ఓల్డెస్ట్ కాప్టెన్ (39y 114d) ']")</f>
        <v>[ 'ఇన్నింగ్స్ లో 4 వ అత్యధిక పరుగులు (బ్యాటింగ్ స్థానంలో ప్రకారం) (201 *)', '32 వ అత్యధిక కెరీర్ బ్యాటింగ్ సగటు (51.62)', 'వరుస ఇన్నింగ్స్లో 7 వ యాభైల్లో (6), తొమ్మిదవ వికెట్కు' 36 వ అత్యధిక భాగస్వామ్యం ( 108) ',' 26th ఓల్డెస్ట్ కాప్టెన్ (39y 220d) ',' కెప్టెన్సీ తొలి 13 వ ఓల్డెస్ట్ కాప్టెన్ (39y 114d) ']</v>
      </c>
      <c r="E2129" s="2"/>
      <c r="F2129" s="2" t="str">
        <f>IFERROR(__xludf.DUMMYFUNCTION("IF(E2129&lt;&gt;"""", GOOGLETRANSLATE(E2129, ""en"", ""te""),"""")"),"")</f>
        <v/>
      </c>
      <c r="G2129" s="2"/>
      <c r="H2129" s="2" t="str">
        <f>IFERROR(__xludf.DUMMYFUNCTION("IF(G2129&lt;&gt;"""", GOOGLETRANSLATE(G2129, ""en"", ""te""),"""")"),"")</f>
        <v/>
      </c>
      <c r="I2129" s="3"/>
    </row>
    <row r="2130" customHeight="1" spans="1:9">
      <c r="A2130" s="2"/>
      <c r="B2130" s="2" t="str">
        <f>IFERROR(__xludf.DUMMYFUNCTION("IF(A2130&lt;&gt;"""", GOOGLETRANSLATE(A2130, ""en"", ""te""),"""")"),"")</f>
        <v/>
      </c>
      <c r="C2130" s="2"/>
      <c r="D2130" s="2" t="str">
        <f>IFERROR(__xludf.DUMMYFUNCTION("IF(C2130&lt;&gt;"""", GOOGLETRANSLATE(C2130, ""en"", ""te""),"""")"),"")</f>
        <v/>
      </c>
      <c r="E2130" s="2"/>
      <c r="F2130" s="2" t="str">
        <f>IFERROR(__xludf.DUMMYFUNCTION("IF(E2130&lt;&gt;"""", GOOGLETRANSLATE(E2130, ""en"", ""te""),"""")"),"")</f>
        <v/>
      </c>
      <c r="G2130" s="2"/>
      <c r="H2130" s="2" t="str">
        <f>IFERROR(__xludf.DUMMYFUNCTION("IF(G2130&lt;&gt;"""", GOOGLETRANSLATE(G2130, ""en"", ""te""),"""")"),"")</f>
        <v/>
      </c>
      <c r="I2130" s="3"/>
    </row>
    <row r="2131" customHeight="1" spans="1:9">
      <c r="A2131" s="2"/>
      <c r="B2131" s="2" t="str">
        <f>IFERROR(__xludf.DUMMYFUNCTION("IF(A2131&lt;&gt;"""", GOOGLETRANSLATE(A2131, ""en"", ""te""),"""")"),"")</f>
        <v/>
      </c>
      <c r="C2131" s="2"/>
      <c r="D2131" s="2" t="str">
        <f>IFERROR(__xludf.DUMMYFUNCTION("IF(C2131&lt;&gt;"""", GOOGLETRANSLATE(C2131, ""en"", ""te""),"""")"),"")</f>
        <v/>
      </c>
      <c r="E2131" s="2"/>
      <c r="F2131" s="2" t="str">
        <f>IFERROR(__xludf.DUMMYFUNCTION("IF(E2131&lt;&gt;"""", GOOGLETRANSLATE(E2131, ""en"", ""te""),"""")"),"")</f>
        <v/>
      </c>
      <c r="G2131" s="2"/>
      <c r="H2131" s="2" t="str">
        <f>IFERROR(__xludf.DUMMYFUNCTION("IF(G2131&lt;&gt;"""", GOOGLETRANSLATE(G2131, ""en"", ""te""),"""")"),"")</f>
        <v/>
      </c>
      <c r="I2131" s="3"/>
    </row>
    <row r="2132" customHeight="1" spans="1:9">
      <c r="A2132" s="2"/>
      <c r="B2132" s="2" t="str">
        <f>IFERROR(__xludf.DUMMYFUNCTION("IF(A2132&lt;&gt;"""", GOOGLETRANSLATE(A2132, ""en"", ""te""),"""")"),"")</f>
        <v/>
      </c>
      <c r="C2132" s="2"/>
      <c r="D2132" s="2" t="str">
        <f>IFERROR(__xludf.DUMMYFUNCTION("IF(C2132&lt;&gt;"""", GOOGLETRANSLATE(C2132, ""en"", ""te""),"""")"),"")</f>
        <v/>
      </c>
      <c r="E2132" s="2"/>
      <c r="F2132" s="2" t="str">
        <f>IFERROR(__xludf.DUMMYFUNCTION("IF(E2132&lt;&gt;"""", GOOGLETRANSLATE(E2132, ""en"", ""te""),"""")"),"")</f>
        <v/>
      </c>
      <c r="G2132" s="2"/>
      <c r="H2132" s="2" t="str">
        <f>IFERROR(__xludf.DUMMYFUNCTION("IF(G2132&lt;&gt;"""", GOOGLETRANSLATE(G2132, ""en"", ""te""),"""")"),"")</f>
        <v/>
      </c>
      <c r="I2132" s="3"/>
    </row>
    <row r="2133" customHeight="1" spans="1:9">
      <c r="A2133" s="2" t="s">
        <v>1407</v>
      </c>
      <c r="B2133" s="2" t="str">
        <f>IFERROR(__xludf.DUMMYFUNCTION("IF(A2133&lt;&gt;"""", GOOGLETRANSLATE(A2133, ""en"", ""te""),"""")"),"[ 'వరుస ఇన్నింగ్స్లో 5 వ యాభైల్లో (3)', '10 వ అత్యధిక క్యాచ్లు కెరీర్లో (12)', 'మూడో వికెట్కు 1st అత్యధిక భాగస్వామ్యం (309)', 'ఇన్నింగ్స్ లో 3 వ అత్యధిక పరుగులు (ప్రగతిశీల రికార్డు హోల్డర్) (143 *) ',' 2 వ అత్యధిక కెరీర్ బ్యాటింగ్ సగటు (57.44) ',' ఒక క్య"&amp;"ాలెండర్ సంవత్సరంలో 5 వ అత్యధిక వందలు (2) ',' వరుస ఇన్నింగ్స్లో 2 వ యాభైల్లో (6) ']")</f>
        <v>[ 'వరుస ఇన్నింగ్స్లో 5 వ యాభైల్లో (3)', '10 వ అత్యధిక క్యాచ్లు కెరీర్లో (12)', 'మూడో వికెట్కు 1st అత్యధిక భాగస్వామ్యం (309)', 'ఇన్నింగ్స్ లో 3 వ అత్యధిక పరుగులు (ప్రగతిశీల రికార్డు హోల్డర్) (143 *) ',' 2 వ అత్యధిక కెరీర్ బ్యాటింగ్ సగటు (57.44) ',' ఒక క్యాలెండర్ సంవత్సరంలో 5 వ అత్యధిక వందలు (2) ',' వరుస ఇన్నింగ్స్లో 2 వ యాభైల్లో (6) ']</v>
      </c>
      <c r="C2133" s="2" t="s">
        <v>1408</v>
      </c>
      <c r="D2133" s="2" t="str">
        <f>IFERROR(__xludf.DUMMYFUNCTION("IF(C2133&lt;&gt;"""", GOOGLETRANSLATE(C2133, ""en"", ""te""),"""")"),"[ '34 వ కెరీర్ లో అత్యధిక పరుగులు (510)', '26th అత్యధిక కెరీర్ బ్యాటింగ్ సగటు (39.23)', '40 వ అత్యధిక తొలి వంద (110 *)', 'వరుస ఇన్నింగ్స్లో 5 వ యాభైల్లో (3)', '15 వ లేవు బాతులు ఏ వికెట్కు వరుస (6) ',' 1 వ అత్యధిక భాగస్వామ్య కెరీర్లో కెరీర్ (15) ',' 10 వ "&amp;"అత్యధిక క్యాచ్లు (12) ',' 12 వ అత్యధిక క్యాచ్లు (309) ',' 3 వ అత్యధిక భాగస్వామ్యాలు వికెట్ తేడాతో (3 వ) ',' మూడో వికెట్ (309) 1 వ అత్యధిక భాగస్వామ్యం ']")</f>
        <v>[ '34 వ కెరీర్ లో అత్యధిక పరుగులు (510)', '26th అత్యధిక కెరీర్ బ్యాటింగ్ సగటు (39.23)', '40 వ అత్యధిక తొలి వంద (110 *)', 'వరుస ఇన్నింగ్స్లో 5 వ యాభైల్లో (3)', '15 వ లేవు బాతులు ఏ వికెట్కు వరుస (6) ',' 1 వ అత్యధిక భాగస్వామ్య కెరీర్లో కెరీర్ (15) ',' 10 వ అత్యధిక క్యాచ్లు (12) ',' 12 వ అత్యధిక క్యాచ్లు (309) ',' 3 వ అత్యధిక భాగస్వామ్యాలు వికెట్ తేడాతో (3 వ) ',' మూడో వికెట్ (309) 1 వ అత్యధిక భాగస్వామ్యం ']</v>
      </c>
      <c r="E2133" s="2" t="s">
        <v>1409</v>
      </c>
      <c r="F2133" s="2" t="str">
        <f>IFERROR(__xludf.DUMMYFUNCTION("IF(E2133&lt;&gt;"""", GOOGLETRANSLATE(E2133, ""en"", ""te""),"""")"),"[ '25 వ ఇన్నింగ్స్ లో అత్యధిక పరుగులు (143 *)', '3 వ భాగం (ప్రగతిశీల రికార్డు హోల్డర్) ఒక ఇన్నింగ్స్ లో నడుస్తుంది (143 *)', '46 వ అత్యధిక పరుగులు వరుస (448)', '15 వ చాల వరకు ఒక లో పరుగులు తొలి మ్యాచ్లో ఇన్నింగ్స్ (బ్యాటింగ్ స్థానంలో ప్రకారం) (143 *) ',' "&amp;"2 వ అత్యధిక కెరీర్ బ్యాటింగ్ సగటు (57.44) ',' 18 వ అత్యధిక పరుగులు (60) ',' 25 వ అత్యధిక వందలు ఒక వృత్తిలో (2) ',' 6 వ అత్యంత వరుస సెంచరీలు (2) ',' ఒక క్యాలెండర్ సంవత్సరంలో 5 వ అత్యధిక వందలు కెరీర్లో (2) ',' 6 వ అత్యధిక తొలి వంద (143 *) ',' 49 వ అత్యంత అర"&amp;"్ధ (10) ',' వరుస ఇన్నింగ్స్లో 2 వ యాభైల్లో (6) ',' 33 వ అత్యంత ఇన్నింగ్స్ తొలి డక్ ముందు (16) ',' ఒక ఇన్నింగ్స్లో పరుగులు 47 వ అత్యధిక శాతం (51.18) ']")</f>
        <v>[ '25 వ ఇన్నింగ్స్ లో అత్యధిక పరుగులు (143 *)', '3 వ భాగం (ప్రగతిశీల రికార్డు హోల్డర్) ఒక ఇన్నింగ్స్ లో నడుస్తుంది (143 *)', '46 వ అత్యధిక పరుగులు వరుస (448)', '15 వ చాల వరకు ఒక లో పరుగులు తొలి మ్యాచ్లో ఇన్నింగ్స్ (బ్యాటింగ్ స్థానంలో ప్రకారం) (143 *) ',' 2 వ అత్యధిక కెరీర్ బ్యాటింగ్ సగటు (57.44) ',' 18 వ అత్యధిక పరుగులు (60) ',' 25 వ అత్యధిక వందలు ఒక వృత్తిలో (2) ',' 6 వ అత్యంత వరుస సెంచరీలు (2) ',' ఒక క్యాలెండర్ సంవత్సరంలో 5 వ అత్యధిక వందలు కెరీర్లో (2) ',' 6 వ అత్యధిక తొలి వంద (143 *) ',' 49 వ అత్యంత అర్ధ (10) ',' వరుస ఇన్నింగ్స్లో 2 వ యాభైల్లో (6) ',' 33 వ అత్యంత ఇన్నింగ్స్ తొలి డక్ ముందు (16) ',' ఒక ఇన్నింగ్స్లో పరుగులు 47 వ అత్యధిక శాతం (51.18) ']</v>
      </c>
      <c r="G2133" s="2"/>
      <c r="H2133" s="2" t="str">
        <f>IFERROR(__xludf.DUMMYFUNCTION("IF(G2133&lt;&gt;"""", GOOGLETRANSLATE(G2133, ""en"", ""te""),"""")"),"")</f>
        <v/>
      </c>
      <c r="I2133" s="3"/>
    </row>
    <row r="2134" customHeight="1" spans="1:9">
      <c r="A2134" s="2"/>
      <c r="B2134" s="2" t="str">
        <f>IFERROR(__xludf.DUMMYFUNCTION("IF(A2134&lt;&gt;"""", GOOGLETRANSLATE(A2134, ""en"", ""te""),"""")"),"")</f>
        <v/>
      </c>
      <c r="C2134" s="2"/>
      <c r="D2134" s="2" t="str">
        <f>IFERROR(__xludf.DUMMYFUNCTION("IF(C2134&lt;&gt;"""", GOOGLETRANSLATE(C2134, ""en"", ""te""),"""")"),"")</f>
        <v/>
      </c>
      <c r="E2134" s="2"/>
      <c r="F2134" s="2" t="str">
        <f>IFERROR(__xludf.DUMMYFUNCTION("IF(E2134&lt;&gt;"""", GOOGLETRANSLATE(E2134, ""en"", ""te""),"""")"),"")</f>
        <v/>
      </c>
      <c r="G2134" s="2"/>
      <c r="H2134" s="2" t="str">
        <f>IFERROR(__xludf.DUMMYFUNCTION("IF(G2134&lt;&gt;"""", GOOGLETRANSLATE(G2134, ""en"", ""te""),"""")"),"")</f>
        <v/>
      </c>
      <c r="I2134" s="3"/>
    </row>
    <row r="2135" customHeight="1" spans="1:9">
      <c r="A2135" s="2" t="s">
        <v>1410</v>
      </c>
      <c r="B2135" s="2" t="str">
        <f>IFERROR(__xludf.DUMMYFUNCTION("IF(A2135&lt;&gt;"""", GOOGLETRANSLATE(A2135, ""en"", ""te""),"""")"),"[ 'కెప్టెన్సీ ప్రవేశం (41y 98d) లో 5 వ ఓల్డెస్ట్ కెప్టెన్లు', 'ఇన్నింగ్స్ లో 1 వ అత్యధిక క్యాచ్లు (5)']")</f>
        <v>[ 'కెప్టెన్సీ ప్రవేశం (41y 98d) లో 5 వ ఓల్డెస్ట్ కెప్టెన్లు', 'ఇన్నింగ్స్ లో 1 వ అత్యధిక క్యాచ్లు (5)']</v>
      </c>
      <c r="C2135" s="2" t="s">
        <v>1411</v>
      </c>
      <c r="D2135" s="2" t="str">
        <f>IFERROR(__xludf.DUMMYFUNCTION("IF(C2135&lt;&gt;"""", GOOGLETRANSLATE(C2135, ""en"", ""te""),"""")"),"[ 'ఇన్నింగ్స్ (5) లో 1 వ అత్యధిక క్యాచ్లు' 'ఒక మ్యాచ్లో 8 వ అత్యధిక క్యాచ్లు (6)', '12 వ ఓల్డెస్ట్ కాప్టెన్ (41y 178d)', 'కెప్టెన్సీ తొలి 5 వ ఓల్డెస్ట్ కాప్టెన్ (41y 98d)']")</f>
        <v>[ 'ఇన్నింగ్స్ (5) లో 1 వ అత్యధిక క్యాచ్లు' 'ఒక మ్యాచ్లో 8 వ అత్యధిక క్యాచ్లు (6)', '12 వ ఓల్డెస్ట్ కాప్టెన్ (41y 178d)', 'కెప్టెన్సీ తొలి 5 వ ఓల్డెస్ట్ కాప్టెన్ (41y 98d)']</v>
      </c>
      <c r="E2135" s="2"/>
      <c r="F2135" s="2" t="str">
        <f>IFERROR(__xludf.DUMMYFUNCTION("IF(E2135&lt;&gt;"""", GOOGLETRANSLATE(E2135, ""en"", ""te""),"""")"),"")</f>
        <v/>
      </c>
      <c r="G2135" s="2"/>
      <c r="H2135" s="2" t="str">
        <f>IFERROR(__xludf.DUMMYFUNCTION("IF(G2135&lt;&gt;"""", GOOGLETRANSLATE(G2135, ""en"", ""te""),"""")"),"")</f>
        <v/>
      </c>
      <c r="I2135" s="3"/>
    </row>
    <row r="2136" customHeight="1" spans="1:9">
      <c r="A2136" s="2"/>
      <c r="B2136" s="2" t="str">
        <f>IFERROR(__xludf.DUMMYFUNCTION("IF(A2136&lt;&gt;"""", GOOGLETRANSLATE(A2136, ""en"", ""te""),"""")"),"")</f>
        <v/>
      </c>
      <c r="C2136" s="2"/>
      <c r="D2136" s="2" t="str">
        <f>IFERROR(__xludf.DUMMYFUNCTION("IF(C2136&lt;&gt;"""", GOOGLETRANSLATE(C2136, ""en"", ""te""),"""")"),"")</f>
        <v/>
      </c>
      <c r="E2136" s="2" t="s">
        <v>1412</v>
      </c>
      <c r="F2136" s="2" t="str">
        <f>IFERROR(__xludf.DUMMYFUNCTION("IF(E2136&lt;&gt;"""", GOOGLETRANSLATE(E2136, ""en"", ""te""),"""")"),"[ '42 వ అత్యధిక పరుగులు ఇన్నింగ్స్ లో సాధించిన (92)']")</f>
        <v>[ '42 వ అత్యధిక పరుగులు ఇన్నింగ్స్ లో సాధించిన (92)']</v>
      </c>
      <c r="G2136" s="2" t="s">
        <v>1413</v>
      </c>
      <c r="H2136" s="2" t="str">
        <f>IFERROR(__xludf.DUMMYFUNCTION("IF(G2136&lt;&gt;"""", GOOGLETRANSLATE(G2136, ""en"", ""te""),"""")"),"[ 'పదవ వికెట్కు 15 అత్యధిక భాగస్వామ్యం (23)']")</f>
        <v>[ 'పదవ వికెట్కు 15 అత్యధిక భాగస్వామ్యం (23)']</v>
      </c>
      <c r="I2136" s="3"/>
    </row>
    <row r="2137" customHeight="1" spans="1:9">
      <c r="A2137" s="2"/>
      <c r="B2137" s="2" t="str">
        <f>IFERROR(__xludf.DUMMYFUNCTION("IF(A2137&lt;&gt;"""", GOOGLETRANSLATE(A2137, ""en"", ""te""),"""")"),"")</f>
        <v/>
      </c>
      <c r="C2137" s="2"/>
      <c r="D2137" s="2" t="str">
        <f>IFERROR(__xludf.DUMMYFUNCTION("IF(C2137&lt;&gt;"""", GOOGLETRANSLATE(C2137, ""en"", ""te""),"""")"),"")</f>
        <v/>
      </c>
      <c r="E2137" s="2"/>
      <c r="F2137" s="2" t="str">
        <f>IFERROR(__xludf.DUMMYFUNCTION("IF(E2137&lt;&gt;"""", GOOGLETRANSLATE(E2137, ""en"", ""te""),"""")"),"")</f>
        <v/>
      </c>
      <c r="G2137" s="2"/>
      <c r="H2137" s="2" t="str">
        <f>IFERROR(__xludf.DUMMYFUNCTION("IF(G2137&lt;&gt;"""", GOOGLETRANSLATE(G2137, ""en"", ""te""),"""")"),"")</f>
        <v/>
      </c>
      <c r="I2137" s="3"/>
    </row>
    <row r="2138" customHeight="1" spans="1:9">
      <c r="A2138" s="2"/>
      <c r="B2138" s="2" t="str">
        <f>IFERROR(__xludf.DUMMYFUNCTION("IF(A2138&lt;&gt;"""", GOOGLETRANSLATE(A2138, ""en"", ""te""),"""")"),"")</f>
        <v/>
      </c>
      <c r="C2138" s="2"/>
      <c r="D2138" s="2" t="str">
        <f>IFERROR(__xludf.DUMMYFUNCTION("IF(C2138&lt;&gt;"""", GOOGLETRANSLATE(C2138, ""en"", ""te""),"""")"),"")</f>
        <v/>
      </c>
      <c r="E2138" s="2"/>
      <c r="F2138" s="2" t="str">
        <f>IFERROR(__xludf.DUMMYFUNCTION("IF(E2138&lt;&gt;"""", GOOGLETRANSLATE(E2138, ""en"", ""te""),"""")"),"")</f>
        <v/>
      </c>
      <c r="G2138" s="2"/>
      <c r="H2138" s="2" t="str">
        <f>IFERROR(__xludf.DUMMYFUNCTION("IF(G2138&lt;&gt;"""", GOOGLETRANSLATE(G2138, ""en"", ""te""),"""")"),"")</f>
        <v/>
      </c>
      <c r="I2138" s="3"/>
    </row>
    <row r="2139" customHeight="1" spans="1:9">
      <c r="A2139" s="2"/>
      <c r="B2139" s="2" t="str">
        <f>IFERROR(__xludf.DUMMYFUNCTION("IF(A2139&lt;&gt;"""", GOOGLETRANSLATE(A2139, ""en"", ""te""),"""")"),"")</f>
        <v/>
      </c>
      <c r="C2139" s="2"/>
      <c r="D2139" s="2" t="str">
        <f>IFERROR(__xludf.DUMMYFUNCTION("IF(C2139&lt;&gt;"""", GOOGLETRANSLATE(C2139, ""en"", ""te""),"""")"),"")</f>
        <v/>
      </c>
      <c r="E2139" s="2"/>
      <c r="F2139" s="2" t="str">
        <f>IFERROR(__xludf.DUMMYFUNCTION("IF(E2139&lt;&gt;"""", GOOGLETRANSLATE(E2139, ""en"", ""te""),"""")"),"")</f>
        <v/>
      </c>
      <c r="G2139" s="2"/>
      <c r="H2139" s="2" t="str">
        <f>IFERROR(__xludf.DUMMYFUNCTION("IF(G2139&lt;&gt;"""", GOOGLETRANSLATE(G2139, ""en"", ""te""),"""")"),"")</f>
        <v/>
      </c>
      <c r="I2139" s="3"/>
    </row>
    <row r="2140" customHeight="1" spans="1:9">
      <c r="A2140" s="2"/>
      <c r="B2140" s="2" t="str">
        <f>IFERROR(__xludf.DUMMYFUNCTION("IF(A2140&lt;&gt;"""", GOOGLETRANSLATE(A2140, ""en"", ""te""),"""")"),"")</f>
        <v/>
      </c>
      <c r="C2140" s="2" t="s">
        <v>1414</v>
      </c>
      <c r="D2140" s="2" t="str">
        <f>IFERROR(__xludf.DUMMYFUNCTION("IF(C2140&lt;&gt;"""", GOOGLETRANSLATE(C2140, ""en"", ""te""),"""")"),"[ '11 వ వరుస మ్యాచ్లు ఆడి మధ్య జట్టు (6) కోసం తప్పిన']")</f>
        <v>[ '11 వ వరుస మ్యాచ్లు ఆడి మధ్య జట్టు (6) కోసం తప్పిన']</v>
      </c>
      <c r="E2140" s="2" t="s">
        <v>1415</v>
      </c>
      <c r="F2140" s="2" t="str">
        <f>IFERROR(__xludf.DUMMYFUNCTION("IF(E2140&lt;&gt;"""", GOOGLETRANSLATE(E2140, ""en"", ""te""),"""")"),"[ 'కెరీర్లో 20 వ నో బాతులు (18)']")</f>
        <v>[ 'కెరీర్లో 20 వ నో బాతులు (18)']</v>
      </c>
      <c r="G2140" s="2"/>
      <c r="H2140" s="2" t="str">
        <f>IFERROR(__xludf.DUMMYFUNCTION("IF(G2140&lt;&gt;"""", GOOGLETRANSLATE(G2140, ""en"", ""te""),"""")"),"")</f>
        <v/>
      </c>
      <c r="I2140" s="3"/>
    </row>
    <row r="2141" customHeight="1" spans="1:9">
      <c r="A2141" s="2"/>
      <c r="B2141" s="2" t="str">
        <f>IFERROR(__xludf.DUMMYFUNCTION("IF(A2141&lt;&gt;"""", GOOGLETRANSLATE(A2141, ""en"", ""te""),"""")"),"")</f>
        <v/>
      </c>
      <c r="C2141" s="2"/>
      <c r="D2141" s="2" t="str">
        <f>IFERROR(__xludf.DUMMYFUNCTION("IF(C2141&lt;&gt;"""", GOOGLETRANSLATE(C2141, ""en"", ""te""),"""")"),"")</f>
        <v/>
      </c>
      <c r="E2141" s="2"/>
      <c r="F2141" s="2" t="str">
        <f>IFERROR(__xludf.DUMMYFUNCTION("IF(E2141&lt;&gt;"""", GOOGLETRANSLATE(E2141, ""en"", ""te""),"""")"),"")</f>
        <v/>
      </c>
      <c r="G2141" s="2"/>
      <c r="H2141" s="2" t="str">
        <f>IFERROR(__xludf.DUMMYFUNCTION("IF(G2141&lt;&gt;"""", GOOGLETRANSLATE(G2141, ""en"", ""te""),"""")"),"")</f>
        <v/>
      </c>
      <c r="I2141" s="3"/>
    </row>
    <row r="2142" customHeight="1" spans="1:9">
      <c r="A2142" s="2"/>
      <c r="B2142" s="2" t="str">
        <f>IFERROR(__xludf.DUMMYFUNCTION("IF(A2142&lt;&gt;"""", GOOGLETRANSLATE(A2142, ""en"", ""te""),"""")"),"")</f>
        <v/>
      </c>
      <c r="C2142" s="2"/>
      <c r="D2142" s="2" t="str">
        <f>IFERROR(__xludf.DUMMYFUNCTION("IF(C2142&lt;&gt;"""", GOOGLETRANSLATE(C2142, ""en"", ""te""),"""")"),"")</f>
        <v/>
      </c>
      <c r="E2142" s="2"/>
      <c r="F2142" s="2" t="str">
        <f>IFERROR(__xludf.DUMMYFUNCTION("IF(E2142&lt;&gt;"""", GOOGLETRANSLATE(E2142, ""en"", ""te""),"""")"),"")</f>
        <v/>
      </c>
      <c r="G2142" s="2"/>
      <c r="H2142" s="2" t="str">
        <f>IFERROR(__xludf.DUMMYFUNCTION("IF(G2142&lt;&gt;"""", GOOGLETRANSLATE(G2142, ""en"", ""te""),"""")"),"")</f>
        <v/>
      </c>
      <c r="I2142" s="3"/>
    </row>
    <row r="2143" customHeight="1" spans="1:9">
      <c r="A2143" s="2"/>
      <c r="B2143" s="2" t="str">
        <f>IFERROR(__xludf.DUMMYFUNCTION("IF(A2143&lt;&gt;"""", GOOGLETRANSLATE(A2143, ""en"", ""te""),"""")"),"")</f>
        <v/>
      </c>
      <c r="C2143" s="2"/>
      <c r="D2143" s="2" t="str">
        <f>IFERROR(__xludf.DUMMYFUNCTION("IF(C2143&lt;&gt;"""", GOOGLETRANSLATE(C2143, ""en"", ""te""),"""")"),"")</f>
        <v/>
      </c>
      <c r="E2143" s="2"/>
      <c r="F2143" s="2" t="str">
        <f>IFERROR(__xludf.DUMMYFUNCTION("IF(E2143&lt;&gt;"""", GOOGLETRANSLATE(E2143, ""en"", ""te""),"""")"),"")</f>
        <v/>
      </c>
      <c r="G2143" s="2"/>
      <c r="H2143" s="2" t="str">
        <f>IFERROR(__xludf.DUMMYFUNCTION("IF(G2143&lt;&gt;"""", GOOGLETRANSLATE(G2143, ""en"", ""te""),"""")"),"")</f>
        <v/>
      </c>
      <c r="I2143" s="3"/>
    </row>
    <row r="2144" customHeight="1" spans="1:9">
      <c r="A2144" s="2"/>
      <c r="B2144" s="2" t="str">
        <f>IFERROR(__xludf.DUMMYFUNCTION("IF(A2144&lt;&gt;"""", GOOGLETRANSLATE(A2144, ""en"", ""te""),"""")"),"")</f>
        <v/>
      </c>
      <c r="C2144" s="2"/>
      <c r="D2144" s="2" t="str">
        <f>IFERROR(__xludf.DUMMYFUNCTION("IF(C2144&lt;&gt;"""", GOOGLETRANSLATE(C2144, ""en"", ""te""),"""")"),"")</f>
        <v/>
      </c>
      <c r="E2144" s="2"/>
      <c r="F2144" s="2" t="str">
        <f>IFERROR(__xludf.DUMMYFUNCTION("IF(E2144&lt;&gt;"""", GOOGLETRANSLATE(E2144, ""en"", ""te""),"""")"),"")</f>
        <v/>
      </c>
      <c r="G2144" s="2"/>
      <c r="H2144" s="2" t="str">
        <f>IFERROR(__xludf.DUMMYFUNCTION("IF(G2144&lt;&gt;"""", GOOGLETRANSLATE(G2144, ""en"", ""te""),"""")"),"")</f>
        <v/>
      </c>
      <c r="I2144" s="3"/>
    </row>
    <row r="2145" customHeight="1" spans="1:9">
      <c r="A2145" s="2" t="s">
        <v>1416</v>
      </c>
      <c r="B2145" s="2" t="str">
        <f>IFERROR(__xludf.DUMMYFUNCTION("IF(A2145&lt;&gt;"""", GOOGLETRANSLATE(A2145, ""en"", ""te""),"""")"),"[ '9 వ పురాతన దేశం ఆటగాళ్ళు (91y 249d)']")</f>
        <v>[ '9 వ పురాతన దేశం ఆటగాళ్ళు (91y 249d)']</v>
      </c>
      <c r="C2145" s="2" t="s">
        <v>1416</v>
      </c>
      <c r="D2145" s="2" t="str">
        <f>IFERROR(__xludf.DUMMYFUNCTION("IF(C2145&lt;&gt;"""", GOOGLETRANSLATE(C2145, ""en"", ""te""),"""")"),"[ '9 వ పురాతన దేశం ఆటగాళ్ళు (91y 249d)']")</f>
        <v>[ '9 వ పురాతన దేశం ఆటగాళ్ళు (91y 249d)']</v>
      </c>
      <c r="E2145" s="2"/>
      <c r="F2145" s="2" t="str">
        <f>IFERROR(__xludf.DUMMYFUNCTION("IF(E2145&lt;&gt;"""", GOOGLETRANSLATE(E2145, ""en"", ""te""),"""")"),"")</f>
        <v/>
      </c>
      <c r="G2145" s="2"/>
      <c r="H2145" s="2" t="str">
        <f>IFERROR(__xludf.DUMMYFUNCTION("IF(G2145&lt;&gt;"""", GOOGLETRANSLATE(G2145, ""en"", ""te""),"""")"),"")</f>
        <v/>
      </c>
      <c r="I2145" s="3"/>
    </row>
    <row r="2146" customHeight="1" spans="1:9">
      <c r="A2146" s="2"/>
      <c r="B2146" s="2" t="str">
        <f>IFERROR(__xludf.DUMMYFUNCTION("IF(A2146&lt;&gt;"""", GOOGLETRANSLATE(A2146, ""en"", ""te""),"""")"),"")</f>
        <v/>
      </c>
      <c r="C2146" s="2"/>
      <c r="D2146" s="2" t="str">
        <f>IFERROR(__xludf.DUMMYFUNCTION("IF(C2146&lt;&gt;"""", GOOGLETRANSLATE(C2146, ""en"", ""te""),"""")"),"")</f>
        <v/>
      </c>
      <c r="E2146" s="2"/>
      <c r="F2146" s="2" t="str">
        <f>IFERROR(__xludf.DUMMYFUNCTION("IF(E2146&lt;&gt;"""", GOOGLETRANSLATE(E2146, ""en"", ""te""),"""")"),"")</f>
        <v/>
      </c>
      <c r="G2146" s="2"/>
      <c r="H2146" s="2" t="str">
        <f>IFERROR(__xludf.DUMMYFUNCTION("IF(G2146&lt;&gt;"""", GOOGLETRANSLATE(G2146, ""en"", ""te""),"""")"),"")</f>
        <v/>
      </c>
      <c r="I2146" s="3"/>
    </row>
    <row r="2147" customHeight="1" spans="1:9">
      <c r="A2147" s="2"/>
      <c r="B2147" s="2" t="str">
        <f>IFERROR(__xludf.DUMMYFUNCTION("IF(A2147&lt;&gt;"""", GOOGLETRANSLATE(A2147, ""en"", ""te""),"""")"),"")</f>
        <v/>
      </c>
      <c r="C2147" s="2" t="s">
        <v>1417</v>
      </c>
      <c r="D2147" s="2" t="str">
        <f>IFERROR(__xludf.DUMMYFUNCTION("IF(C2147&lt;&gt;"""", GOOGLETRANSLATE(C2147, ""en"", ""te""),"""")"),"[ '43 వ పిన్న ఆటగాడు పది వికెట్లు లో ఒక మ్యాచ్ తీసుకోవాలని (23y 161d)']")</f>
        <v>[ '43 వ పిన్న ఆటగాడు పది వికెట్లు లో ఒక మ్యాచ్ తీసుకోవాలని (23y 161d)']</v>
      </c>
      <c r="E2147" s="2" t="s">
        <v>1418</v>
      </c>
      <c r="F2147" s="2" t="str">
        <f>IFERROR(__xludf.DUMMYFUNCTION("IF(E2147&lt;&gt;"""", GOOGLETRANSLATE(E2147, ""en"", ""te""),"""")"),"[ '33 వ ఒక సిరీస్లో అత్యధిక వికెట్లు (19)', '12 వ అత్యుత్తమ బౌలింగ్ ఇన్నింగ్స్ లో విశ్లేషించడం (2/3)', '46 వ ఉత్తమ కెరీర్ ఆర్థిక రేటు (3.94)' '21 వ సగటు (22.35) బౌలింగ్ ఉత్తమ జీవితం', 'ఒక ఇన్నింగ్స్ లో 15 వ బెస్ట్ ఫిగర్స్ తొలి (4)' '32 వ ఉత్తమ ఆర్థిక వ్యవ"&amp;"స్థ ఇన్నింగ్స్లో రేటు (0.87)', 'ఫాస్టెస్ట్ 50 వికెట్లు 32 వ (29)']")</f>
        <v>[ '33 వ ఒక సిరీస్లో అత్యధిక వికెట్లు (19)', '12 వ అత్యుత్తమ బౌలింగ్ ఇన్నింగ్స్ లో విశ్లేషించడం (2/3)', '46 వ ఉత్తమ కెరీర్ ఆర్థిక రేటు (3.94)' '21 వ సగటు (22.35) బౌలింగ్ ఉత్తమ జీవితం', 'ఒక ఇన్నింగ్స్ లో 15 వ బెస్ట్ ఫిగర్స్ తొలి (4)' '32 వ ఉత్తమ ఆర్థిక వ్యవస్థ ఇన్నింగ్స్లో రేటు (0.87)', 'ఫాస్టెస్ట్ 50 వికెట్లు 32 వ (29)']</v>
      </c>
      <c r="G2147" s="2"/>
      <c r="H2147" s="2" t="str">
        <f>IFERROR(__xludf.DUMMYFUNCTION("IF(G2147&lt;&gt;"""", GOOGLETRANSLATE(G2147, ""en"", ""te""),"""")"),"")</f>
        <v/>
      </c>
      <c r="I2147" s="3"/>
    </row>
    <row r="2148" customHeight="1" spans="1:9">
      <c r="A2148" s="2"/>
      <c r="B2148" s="2" t="str">
        <f>IFERROR(__xludf.DUMMYFUNCTION("IF(A2148&lt;&gt;"""", GOOGLETRANSLATE(A2148, ""en"", ""te""),"""")"),"")</f>
        <v/>
      </c>
      <c r="C2148" s="2"/>
      <c r="D2148" s="2" t="str">
        <f>IFERROR(__xludf.DUMMYFUNCTION("IF(C2148&lt;&gt;"""", GOOGLETRANSLATE(C2148, ""en"", ""te""),"""")"),"")</f>
        <v/>
      </c>
      <c r="E2148" s="2"/>
      <c r="F2148" s="2" t="str">
        <f>IFERROR(__xludf.DUMMYFUNCTION("IF(E2148&lt;&gt;"""", GOOGLETRANSLATE(E2148, ""en"", ""te""),"""")"),"")</f>
        <v/>
      </c>
      <c r="G2148" s="2"/>
      <c r="H2148" s="2" t="str">
        <f>IFERROR(__xludf.DUMMYFUNCTION("IF(G2148&lt;&gt;"""", GOOGLETRANSLATE(G2148, ""en"", ""te""),"""")"),"")</f>
        <v/>
      </c>
      <c r="I2148" s="3"/>
    </row>
    <row r="2149" customHeight="1" spans="1:9">
      <c r="A2149" s="2" t="s">
        <v>1419</v>
      </c>
      <c r="B2149" s="2" t="str">
        <f>IFERROR(__xludf.DUMMYFUNCTION("IF(A2149&lt;&gt;"""", GOOGLETRANSLATE(A2149, ""en"", ""te""),"""")"),"[ 'వరుస ఇన్నింగ్స్లో 1st యాభైల్లో (7)']")</f>
        <v>[ 'వరుస ఇన్నింగ్స్లో 1st యాభైల్లో (7)']</v>
      </c>
      <c r="C2149" s="2" t="s">
        <v>1420</v>
      </c>
      <c r="D2149" s="2" t="str">
        <f>IFERROR(__xludf.DUMMYFUNCTION("IF(C2149&lt;&gt;"""", GOOGLETRANSLATE(C2149, ""en"", ""te""),"""")"),"[ '17 వ అత్యంత వృద్ధ ఆటగాడు తొలి వంద (35y 343d) స్కోర్', 'వరుస ఇన్నింగ్స్లో 1st యాభైల్లో (7)', 'వరుస మ్యాచ్లలో 26 యాభైల్లో (7)', '11 వ అత్యంత ఇన్నింగ్స్ తొలి డక్ ముందు (45)', 'రెండవ వికెట్కు 26 అత్యధిక భాగస్వామ్యం (284)', '29th వరుస మ్యాచ్లు ప్రదర్శనల మ"&amp;"ధ్య బృందం (62) కోసం తప్పిన']")</f>
        <v>[ '17 వ అత్యంత వృద్ధ ఆటగాడు తొలి వంద (35y 343d) స్కోర్', 'వరుస ఇన్నింగ్స్లో 1st యాభైల్లో (7)', 'వరుస మ్యాచ్లలో 26 యాభైల్లో (7)', '11 వ అత్యంత ఇన్నింగ్స్ తొలి డక్ ముందు (45)', 'రెండవ వికెట్కు 26 అత్యధిక భాగస్వామ్యం (284)', '29th వరుస మ్యాచ్లు ప్రదర్శనల మధ్య బృందం (62) కోసం తప్పిన']</v>
      </c>
      <c r="E2149" s="2"/>
      <c r="F2149" s="2" t="str">
        <f>IFERROR(__xludf.DUMMYFUNCTION("IF(E2149&lt;&gt;"""", GOOGLETRANSLATE(E2149, ""en"", ""te""),"""")"),"")</f>
        <v/>
      </c>
      <c r="G2149" s="2"/>
      <c r="H2149" s="2" t="str">
        <f>IFERROR(__xludf.DUMMYFUNCTION("IF(G2149&lt;&gt;"""", GOOGLETRANSLATE(G2149, ""en"", ""te""),"""")"),"")</f>
        <v/>
      </c>
      <c r="I2149" s="3"/>
    </row>
    <row r="2150" customHeight="1" spans="1:9">
      <c r="A2150" s="2" t="s">
        <v>1421</v>
      </c>
      <c r="B2150" s="2" t="str">
        <f>IFERROR(__xludf.DUMMYFUNCTION("IF(A2150&lt;&gt;"""", GOOGLETRANSLATE(A2150, ""en"", ""te""),"""")"),"[ 'హండ్రెడ్ మరియు ఒక మ్యాచ్లో ఒక డక్', 'ఒక ఇన్నింగ్స్లో ద్వారా బ్యాట్ నిదర్శన (159 *)']")</f>
        <v>[ 'హండ్రెడ్ మరియు ఒక మ్యాచ్లో ఒక డక్', 'ఒక ఇన్నింగ్స్లో ద్వారా బ్యాట్ నిదర్శన (159 *)']</v>
      </c>
      <c r="C2150" s="2" t="s">
        <v>1422</v>
      </c>
      <c r="D2150" s="2" t="str">
        <f>IFERROR(__xludf.DUMMYFUNCTION("IF(C2150&lt;&gt;"""", GOOGLETRANSLATE(C2150, ""en"", ""te""),"""")"),"[ '24 వ హండ్రెడ్ గత మ్యాచ్లో (101)', '13 వ తొంభై తొలి (97)', '24th ఒక సిరీస్లో అత్యధిక క్యాచ్లు (11)', 'ఆరవ వికెట్ (219) కోసం 31 అత్యధిక భాగస్వామ్యం']")</f>
        <v>[ '24 వ హండ్రెడ్ గత మ్యాచ్లో (101)', '13 వ తొంభై తొలి (97)', '24th ఒక సిరీస్లో అత్యధిక క్యాచ్లు (11)', 'ఆరవ వికెట్ (219) కోసం 31 అత్యధిక భాగస్వామ్యం']</v>
      </c>
      <c r="E2150" s="2" t="s">
        <v>1423</v>
      </c>
      <c r="F2150" s="2" t="str">
        <f>IFERROR(__xludf.DUMMYFUNCTION("IF(E2150&lt;&gt;"""", GOOGLETRANSLATE(E2150, ""en"", ""te""),"""")"),"[ '20 వ పురాతన దేశం ఆటగాళ్ళు (80y 21d)']")</f>
        <v>[ '20 వ పురాతన దేశం ఆటగాళ్ళు (80y 21d)']</v>
      </c>
      <c r="G2150" s="2"/>
      <c r="H2150" s="2" t="str">
        <f>IFERROR(__xludf.DUMMYFUNCTION("IF(G2150&lt;&gt;"""", GOOGLETRANSLATE(G2150, ""en"", ""te""),"""")"),"")</f>
        <v/>
      </c>
      <c r="I2150" s="3"/>
    </row>
    <row r="2151" customHeight="1" spans="1:9">
      <c r="A2151" s="2"/>
      <c r="B2151" s="2" t="str">
        <f>IFERROR(__xludf.DUMMYFUNCTION("IF(A2151&lt;&gt;"""", GOOGLETRANSLATE(A2151, ""en"", ""te""),"""")"),"")</f>
        <v/>
      </c>
      <c r="C2151" s="2"/>
      <c r="D2151" s="2" t="str">
        <f>IFERROR(__xludf.DUMMYFUNCTION("IF(C2151&lt;&gt;"""", GOOGLETRANSLATE(C2151, ""en"", ""te""),"""")"),"")</f>
        <v/>
      </c>
      <c r="E2151" s="2"/>
      <c r="F2151" s="2" t="str">
        <f>IFERROR(__xludf.DUMMYFUNCTION("IF(E2151&lt;&gt;"""", GOOGLETRANSLATE(E2151, ""en"", ""te""),"""")"),"")</f>
        <v/>
      </c>
      <c r="G2151" s="2"/>
      <c r="H2151" s="2" t="str">
        <f>IFERROR(__xludf.DUMMYFUNCTION("IF(G2151&lt;&gt;"""", GOOGLETRANSLATE(G2151, ""en"", ""te""),"""")"),"")</f>
        <v/>
      </c>
      <c r="I2151" s="3"/>
    </row>
    <row r="2152" customHeight="1" spans="1:9">
      <c r="A2152" s="2" t="s">
        <v>1424</v>
      </c>
      <c r="B2152" s="2" t="str">
        <f>IFERROR(__xludf.DUMMYFUNCTION("IF(A2152&lt;&gt;"""", GOOGLETRANSLATE(A2152, ""en"", ""te""),"""")"),"[ 'ఎనిమిదవ వికెట్ (119) కోసం 2 వ అత్యధిక భాగస్వామ్యం']")</f>
        <v>[ 'ఎనిమిదవ వికెట్ (119) కోసం 2 వ అత్యధిక భాగస్వామ్యం']</v>
      </c>
      <c r="C2152" s="2" t="s">
        <v>1425</v>
      </c>
      <c r="D2152" s="2" t="str">
        <f>IFERROR(__xludf.DUMMYFUNCTION("IF(C2152&lt;&gt;"""", GOOGLETRANSLATE(C2152, ""en"", ""te""),"""")"),"[ '20 వ అంపాయర్ (51) గా అత్యధిక మ్యాచ్లు']")</f>
        <v>[ '20 వ అంపాయర్ (51) గా అత్యధిక మ్యాచ్లు']</v>
      </c>
      <c r="E2152" s="2" t="s">
        <v>1426</v>
      </c>
      <c r="F2152" s="2" t="str">
        <f>IFERROR(__xludf.DUMMYFUNCTION("IF(E2152&lt;&gt;"""", GOOGLETRANSLATE(E2152, ""en"", ""te""),"""")"),"[ '43 వ ఉత్తమ కెరీర్ ఎకానమీ రేట్ (3.92)', '44 వ బౌలర్ / ఫీల్డర్ కలయికలు (25)', 'ఎనిమిదవ వికెట్కు 2 వ అత్యధిక భాగస్వామ్యం (119)', '30 వ అంపైర్ గా అత్యధిక మ్యాచ్లు (71)']")</f>
        <v>[ '43 వ ఉత్తమ కెరీర్ ఎకానమీ రేట్ (3.92)', '44 వ బౌలర్ / ఫీల్డర్ కలయికలు (25)', 'ఎనిమిదవ వికెట్కు 2 వ అత్యధిక భాగస్వామ్యం (119)', '30 వ అంపైర్ గా అత్యధిక మ్యాచ్లు (71)']</v>
      </c>
      <c r="G2152" s="2" t="s">
        <v>1427</v>
      </c>
      <c r="H2152" s="2" t="str">
        <f>IFERROR(__xludf.DUMMYFUNCTION("IF(G2152&lt;&gt;"""", GOOGLETRANSLATE(G2152, ""en"", ""te""),"""")"),"[ '49 వ అంపాయర్ (16) గా అత్యధిక మ్యాచ్లు']")</f>
        <v>[ '49 వ అంపాయర్ (16) గా అత్యధిక మ్యాచ్లు']</v>
      </c>
      <c r="I2152" s="3"/>
    </row>
    <row r="2153" customHeight="1" spans="1:9">
      <c r="A2153" s="2"/>
      <c r="B2153" s="2" t="str">
        <f>IFERROR(__xludf.DUMMYFUNCTION("IF(A2153&lt;&gt;"""", GOOGLETRANSLATE(A2153, ""en"", ""te""),"""")"),"")</f>
        <v/>
      </c>
      <c r="C2153" s="2" t="s">
        <v>1428</v>
      </c>
      <c r="D2153" s="2" t="str">
        <f>IFERROR(__xludf.DUMMYFUNCTION("IF(C2153&lt;&gt;"""", GOOGLETRANSLATE(C2153, ""en"", ""te""),"""")"),"[ '25 వ మ్యాచ్ లో బెస్ట్ ఫిగర్స్ (13)']")</f>
        <v>[ '25 వ మ్యాచ్ లో బెస్ట్ ఫిగర్స్ (13)']</v>
      </c>
      <c r="E2153" s="2" t="s">
        <v>1429</v>
      </c>
      <c r="F2153" s="2" t="str">
        <f>IFERROR(__xludf.DUMMYFUNCTION("IF(E2153&lt;&gt;"""", GOOGLETRANSLATE(E2153, ""en"", ""te""),"""")"),"[ '49 వ పిన్న ఆటగాడు ఐదు వికెట్ల లో-ఒక-ఇన్నింగ్స్ తీసుకోవాలని (22y 318d)']")</f>
        <v>[ '49 వ పిన్న ఆటగాడు ఐదు వికెట్ల లో-ఒక-ఇన్నింగ్స్ తీసుకోవాలని (22y 318d)']</v>
      </c>
      <c r="G2153" s="2"/>
      <c r="H2153" s="2" t="str">
        <f>IFERROR(__xludf.DUMMYFUNCTION("IF(G2153&lt;&gt;"""", GOOGLETRANSLATE(G2153, ""en"", ""te""),"""")"),"")</f>
        <v/>
      </c>
      <c r="I2153" s="3"/>
    </row>
    <row r="2154" customHeight="1" spans="1:9">
      <c r="A2154" s="2"/>
      <c r="B2154" s="2" t="str">
        <f>IFERROR(__xludf.DUMMYFUNCTION("IF(A2154&lt;&gt;"""", GOOGLETRANSLATE(A2154, ""en"", ""te""),"""")"),"")</f>
        <v/>
      </c>
      <c r="C2154" s="2"/>
      <c r="D2154" s="2" t="str">
        <f>IFERROR(__xludf.DUMMYFUNCTION("IF(C2154&lt;&gt;"""", GOOGLETRANSLATE(C2154, ""en"", ""te""),"""")"),"")</f>
        <v/>
      </c>
      <c r="E2154" s="2"/>
      <c r="F2154" s="2" t="str">
        <f>IFERROR(__xludf.DUMMYFUNCTION("IF(E2154&lt;&gt;"""", GOOGLETRANSLATE(E2154, ""en"", ""te""),"""")"),"")</f>
        <v/>
      </c>
      <c r="G2154" s="2"/>
      <c r="H2154" s="2" t="str">
        <f>IFERROR(__xludf.DUMMYFUNCTION("IF(G2154&lt;&gt;"""", GOOGLETRANSLATE(G2154, ""en"", ""te""),"""")"),"")</f>
        <v/>
      </c>
      <c r="I2154" s="3"/>
    </row>
    <row r="2155" customHeight="1" spans="1:9">
      <c r="A2155" s="2"/>
      <c r="B2155" s="2" t="str">
        <f>IFERROR(__xludf.DUMMYFUNCTION("IF(A2155&lt;&gt;"""", GOOGLETRANSLATE(A2155, ""en"", ""te""),"""")"),"")</f>
        <v/>
      </c>
      <c r="C2155" s="2"/>
      <c r="D2155" s="2" t="str">
        <f>IFERROR(__xludf.DUMMYFUNCTION("IF(C2155&lt;&gt;"""", GOOGLETRANSLATE(C2155, ""en"", ""te""),"""")"),"")</f>
        <v/>
      </c>
      <c r="E2155" s="2"/>
      <c r="F2155" s="2" t="str">
        <f>IFERROR(__xludf.DUMMYFUNCTION("IF(E2155&lt;&gt;"""", GOOGLETRANSLATE(E2155, ""en"", ""te""),"""")"),"")</f>
        <v/>
      </c>
      <c r="G2155" s="2"/>
      <c r="H2155" s="2" t="str">
        <f>IFERROR(__xludf.DUMMYFUNCTION("IF(G2155&lt;&gt;"""", GOOGLETRANSLATE(G2155, ""en"", ""te""),"""")"),"")</f>
        <v/>
      </c>
      <c r="I2155" s="3"/>
    </row>
    <row r="2156" customHeight="1" spans="1:9">
      <c r="A2156" s="2"/>
      <c r="B2156" s="2" t="str">
        <f>IFERROR(__xludf.DUMMYFUNCTION("IF(A2156&lt;&gt;"""", GOOGLETRANSLATE(A2156, ""en"", ""te""),"""")"),"")</f>
        <v/>
      </c>
      <c r="C2156" s="2"/>
      <c r="D2156" s="2" t="str">
        <f>IFERROR(__xludf.DUMMYFUNCTION("IF(C2156&lt;&gt;"""", GOOGLETRANSLATE(C2156, ""en"", ""te""),"""")"),"")</f>
        <v/>
      </c>
      <c r="E2156" s="2"/>
      <c r="F2156" s="2" t="str">
        <f>IFERROR(__xludf.DUMMYFUNCTION("IF(E2156&lt;&gt;"""", GOOGLETRANSLATE(E2156, ""en"", ""te""),"""")"),"")</f>
        <v/>
      </c>
      <c r="G2156" s="2"/>
      <c r="H2156" s="2" t="str">
        <f>IFERROR(__xludf.DUMMYFUNCTION("IF(G2156&lt;&gt;"""", GOOGLETRANSLATE(G2156, ""en"", ""te""),"""")"),"")</f>
        <v/>
      </c>
      <c r="I2156" s="3"/>
    </row>
    <row r="2157" customHeight="1" spans="1:9">
      <c r="A2157" s="2" t="s">
        <v>1430</v>
      </c>
      <c r="B2157" s="2" t="str">
        <f>IFERROR(__xludf.DUMMYFUNCTION("IF(A2157&lt;&gt;"""", GOOGLETRANSLATE(A2157, ""en"", ""te""),"""")"),"[ 'ప్రవేశం (98) 4 న తొంభై' '9 వ అత్యంత వృద్ధ ఆటగాడు తొలి వంద (37y 351d) స్కోర్',]")</f>
        <v>[ 'ప్రవేశం (98) 4 న తొంభై' '9 వ అత్యంత వృద్ధ ఆటగాడు తొలి వంద (37y 351d) స్కోర్',]</v>
      </c>
      <c r="C2157" s="2" t="s">
        <v>1430</v>
      </c>
      <c r="D2157" s="2" t="str">
        <f>IFERROR(__xludf.DUMMYFUNCTION("IF(C2157&lt;&gt;"""", GOOGLETRANSLATE(C2157, ""en"", ""te""),"""")"),"[ 'ప్రవేశం (98) 4 న తొంభై' '9 వ అత్యంత వృద్ధ ఆటగాడు తొలి వంద (37y 351d) స్కోర్',]")</f>
        <v>[ 'ప్రవేశం (98) 4 న తొంభై' '9 వ అత్యంత వృద్ధ ఆటగాడు తొలి వంద (37y 351d) స్కోర్',]</v>
      </c>
      <c r="E2157" s="2"/>
      <c r="F2157" s="2" t="str">
        <f>IFERROR(__xludf.DUMMYFUNCTION("IF(E2157&lt;&gt;"""", GOOGLETRANSLATE(E2157, ""en"", ""te""),"""")"),"")</f>
        <v/>
      </c>
      <c r="G2157" s="2"/>
      <c r="H2157" s="2" t="str">
        <f>IFERROR(__xludf.DUMMYFUNCTION("IF(G2157&lt;&gt;"""", GOOGLETRANSLATE(G2157, ""en"", ""te""),"""")"),"")</f>
        <v/>
      </c>
      <c r="I2157" s="3"/>
    </row>
    <row r="2158" customHeight="1" spans="1:9">
      <c r="A2158" s="2"/>
      <c r="B2158" s="2" t="str">
        <f>IFERROR(__xludf.DUMMYFUNCTION("IF(A2158&lt;&gt;"""", GOOGLETRANSLATE(A2158, ""en"", ""te""),"""")"),"")</f>
        <v/>
      </c>
      <c r="C2158" s="2"/>
      <c r="D2158" s="2" t="str">
        <f>IFERROR(__xludf.DUMMYFUNCTION("IF(C2158&lt;&gt;"""", GOOGLETRANSLATE(C2158, ""en"", ""te""),"""")"),"")</f>
        <v/>
      </c>
      <c r="E2158" s="2"/>
      <c r="F2158" s="2" t="str">
        <f>IFERROR(__xludf.DUMMYFUNCTION("IF(E2158&lt;&gt;"""", GOOGLETRANSLATE(E2158, ""en"", ""te""),"""")"),"")</f>
        <v/>
      </c>
      <c r="G2158" s="2"/>
      <c r="H2158" s="2" t="str">
        <f>IFERROR(__xludf.DUMMYFUNCTION("IF(G2158&lt;&gt;"""", GOOGLETRANSLATE(G2158, ""en"", ""te""),"""")"),"")</f>
        <v/>
      </c>
      <c r="I2158" s="3"/>
    </row>
    <row r="2159" customHeight="1" spans="1:9">
      <c r="A2159" s="2"/>
      <c r="B2159" s="2" t="str">
        <f>IFERROR(__xludf.DUMMYFUNCTION("IF(A2159&lt;&gt;"""", GOOGLETRANSLATE(A2159, ""en"", ""te""),"""")"),"")</f>
        <v/>
      </c>
      <c r="C2159" s="2"/>
      <c r="D2159" s="2" t="str">
        <f>IFERROR(__xludf.DUMMYFUNCTION("IF(C2159&lt;&gt;"""", GOOGLETRANSLATE(C2159, ""en"", ""te""),"""")"),"")</f>
        <v/>
      </c>
      <c r="E2159" s="2"/>
      <c r="F2159" s="2" t="str">
        <f>IFERROR(__xludf.DUMMYFUNCTION("IF(E2159&lt;&gt;"""", GOOGLETRANSLATE(E2159, ""en"", ""te""),"""")"),"")</f>
        <v/>
      </c>
      <c r="G2159" s="2"/>
      <c r="H2159" s="2" t="str">
        <f>IFERROR(__xludf.DUMMYFUNCTION("IF(G2159&lt;&gt;"""", GOOGLETRANSLATE(G2159, ""en"", ""te""),"""")"),"")</f>
        <v/>
      </c>
      <c r="I2159" s="3"/>
    </row>
    <row r="2160" customHeight="1" spans="1:9">
      <c r="A2160" s="2"/>
      <c r="B2160" s="2" t="str">
        <f>IFERROR(__xludf.DUMMYFUNCTION("IF(A2160&lt;&gt;"""", GOOGLETRANSLATE(A2160, ""en"", ""te""),"""")"),"")</f>
        <v/>
      </c>
      <c r="C2160" s="2"/>
      <c r="D2160" s="2" t="str">
        <f>IFERROR(__xludf.DUMMYFUNCTION("IF(C2160&lt;&gt;"""", GOOGLETRANSLATE(C2160, ""en"", ""te""),"""")"),"")</f>
        <v/>
      </c>
      <c r="E2160" s="2"/>
      <c r="F2160" s="2" t="str">
        <f>IFERROR(__xludf.DUMMYFUNCTION("IF(E2160&lt;&gt;"""", GOOGLETRANSLATE(E2160, ""en"", ""te""),"""")"),"")</f>
        <v/>
      </c>
      <c r="G2160" s="2"/>
      <c r="H2160" s="2" t="str">
        <f>IFERROR(__xludf.DUMMYFUNCTION("IF(G2160&lt;&gt;"""", GOOGLETRANSLATE(G2160, ""en"", ""te""),"""")"),"")</f>
        <v/>
      </c>
      <c r="I2160" s="3"/>
    </row>
    <row r="2161" customHeight="1" spans="1:9">
      <c r="A2161" s="2"/>
      <c r="B2161" s="2" t="str">
        <f>IFERROR(__xludf.DUMMYFUNCTION("IF(A2161&lt;&gt;"""", GOOGLETRANSLATE(A2161, ""en"", ""te""),"""")"),"")</f>
        <v/>
      </c>
      <c r="C2161" s="2"/>
      <c r="D2161" s="2" t="str">
        <f>IFERROR(__xludf.DUMMYFUNCTION("IF(C2161&lt;&gt;"""", GOOGLETRANSLATE(C2161, ""en"", ""te""),"""")"),"")</f>
        <v/>
      </c>
      <c r="E2161" s="2"/>
      <c r="F2161" s="2" t="str">
        <f>IFERROR(__xludf.DUMMYFUNCTION("IF(E2161&lt;&gt;"""", GOOGLETRANSLATE(E2161, ""en"", ""te""),"""")"),"")</f>
        <v/>
      </c>
      <c r="G2161" s="2"/>
      <c r="H2161" s="2" t="str">
        <f>IFERROR(__xludf.DUMMYFUNCTION("IF(G2161&lt;&gt;"""", GOOGLETRANSLATE(G2161, ""en"", ""te""),"""")"),"")</f>
        <v/>
      </c>
      <c r="I2161" s="3"/>
    </row>
    <row r="2162" customHeight="1" spans="1:9">
      <c r="A2162" s="2" t="s">
        <v>1431</v>
      </c>
      <c r="B2162" s="2" t="str">
        <f>IFERROR(__xludf.DUMMYFUNCTION("IF(A2162&lt;&gt;"""", GOOGLETRANSLATE(A2162, ""en"", ""te""),"""")"),"[ '3 వ ఉత్తమ కెరీర్ బౌలింగ్ సరాసరి (అర్హత లేకుండా) (3.50)']")</f>
        <v>[ '3 వ ఉత్తమ కెరీర్ బౌలింగ్ సరాసరి (అర్హత లేకుండా) (3.50)']</v>
      </c>
      <c r="C2162" s="2" t="s">
        <v>1431</v>
      </c>
      <c r="D2162" s="2" t="str">
        <f>IFERROR(__xludf.DUMMYFUNCTION("IF(C2162&lt;&gt;"""", GOOGLETRANSLATE(C2162, ""en"", ""te""),"""")"),"[ '3 వ ఉత్తమ కెరీర్ బౌలింగ్ సరాసరి (అర్హత లేకుండా) (3.50)']")</f>
        <v>[ '3 వ ఉత్తమ కెరీర్ బౌలింగ్ సరాసరి (అర్హత లేకుండా) (3.50)']</v>
      </c>
      <c r="E2162" s="2" t="s">
        <v>1432</v>
      </c>
      <c r="F2162" s="2" t="str">
        <f>IFERROR(__xludf.DUMMYFUNCTION("IF(E2162&lt;&gt;"""", GOOGLETRANSLATE(E2162, ""en"", ""te""),"""")"),"[ '13 వ ఉత్తమ ఇన్నింగ్స్ లో ఆర్థిక రేటు (0.25)']")</f>
        <v>[ '13 వ ఉత్తమ ఇన్నింగ్స్ లో ఆర్థిక రేటు (0.25)']</v>
      </c>
      <c r="G2162" s="2"/>
      <c r="H2162" s="2" t="str">
        <f>IFERROR(__xludf.DUMMYFUNCTION("IF(G2162&lt;&gt;"""", GOOGLETRANSLATE(G2162, ""en"", ""te""),"""")"),"")</f>
        <v/>
      </c>
      <c r="I2162" s="3"/>
    </row>
    <row r="2163" customHeight="1" spans="1:9">
      <c r="A2163" s="2"/>
      <c r="B2163" s="2" t="str">
        <f>IFERROR(__xludf.DUMMYFUNCTION("IF(A2163&lt;&gt;"""", GOOGLETRANSLATE(A2163, ""en"", ""te""),"""")"),"")</f>
        <v/>
      </c>
      <c r="C2163" s="2"/>
      <c r="D2163" s="2" t="str">
        <f>IFERROR(__xludf.DUMMYFUNCTION("IF(C2163&lt;&gt;"""", GOOGLETRANSLATE(C2163, ""en"", ""te""),"""")"),"")</f>
        <v/>
      </c>
      <c r="E2163" s="2"/>
      <c r="F2163" s="2" t="str">
        <f>IFERROR(__xludf.DUMMYFUNCTION("IF(E2163&lt;&gt;"""", GOOGLETRANSLATE(E2163, ""en"", ""te""),"""")"),"")</f>
        <v/>
      </c>
      <c r="G2163" s="2"/>
      <c r="H2163" s="2" t="str">
        <f>IFERROR(__xludf.DUMMYFUNCTION("IF(G2163&lt;&gt;"""", GOOGLETRANSLATE(G2163, ""en"", ""te""),"""")"),"")</f>
        <v/>
      </c>
      <c r="I2163" s="3"/>
    </row>
    <row r="2164" customHeight="1" spans="1:9">
      <c r="A2164" s="2" t="s">
        <v>1433</v>
      </c>
      <c r="B2164" s="2" t="str">
        <f>IFERROR(__xludf.DUMMYFUNCTION("IF(A2164&lt;&gt;"""", GOOGLETRANSLATE(A2164, ""en"", ""te""),"""")"),"[ '3 వ చెత్త కెరీర్ బౌలింగ్ సరాసరి (అర్హత లేకుండా) (134.00)']")</f>
        <v>[ '3 వ చెత్త కెరీర్ బౌలింగ్ సరాసరి (అర్హత లేకుండా) (134.00)']</v>
      </c>
      <c r="C2164" s="2" t="s">
        <v>1433</v>
      </c>
      <c r="D2164" s="2" t="str">
        <f>IFERROR(__xludf.DUMMYFUNCTION("IF(C2164&lt;&gt;"""", GOOGLETRANSLATE(C2164, ""en"", ""te""),"""")"),"[ '3 వ చెత్త కెరీర్ బౌలింగ్ సరాసరి (అర్హత లేకుండా) (134.00)']")</f>
        <v>[ '3 వ చెత్త కెరీర్ బౌలింగ్ సరాసరి (అర్హత లేకుండా) (134.00)']</v>
      </c>
      <c r="E2164" s="2"/>
      <c r="F2164" s="2" t="str">
        <f>IFERROR(__xludf.DUMMYFUNCTION("IF(E2164&lt;&gt;"""", GOOGLETRANSLATE(E2164, ""en"", ""te""),"""")"),"")</f>
        <v/>
      </c>
      <c r="G2164" s="2"/>
      <c r="H2164" s="2" t="str">
        <f>IFERROR(__xludf.DUMMYFUNCTION("IF(G2164&lt;&gt;"""", GOOGLETRANSLATE(G2164, ""en"", ""te""),"""")"),"")</f>
        <v/>
      </c>
      <c r="I2164" s="3"/>
    </row>
    <row r="2165" customHeight="1" spans="1:9">
      <c r="A2165" s="2"/>
      <c r="B2165" s="2" t="str">
        <f>IFERROR(__xludf.DUMMYFUNCTION("IF(A2165&lt;&gt;"""", GOOGLETRANSLATE(A2165, ""en"", ""te""),"""")"),"")</f>
        <v/>
      </c>
      <c r="C2165" s="2"/>
      <c r="D2165" s="2" t="str">
        <f>IFERROR(__xludf.DUMMYFUNCTION("IF(C2165&lt;&gt;"""", GOOGLETRANSLATE(C2165, ""en"", ""te""),"""")"),"")</f>
        <v/>
      </c>
      <c r="E2165" s="2" t="s">
        <v>1434</v>
      </c>
      <c r="F2165" s="2" t="str">
        <f>IFERROR(__xludf.DUMMYFUNCTION("IF(E2165&lt;&gt;"""", GOOGLETRANSLATE(E2165, ""en"", ""te""),"""")"),"[ '22 వ ఉత్తమ ఇన్నింగ్స్ లో ఆర్థిక రేటు (0.83)', 'ఇన్నింగ్స్ లో 47 వ ఉత్తమ సమ్మె రేటు (7.2)']")</f>
        <v>[ '22 వ ఉత్తమ ఇన్నింగ్స్ లో ఆర్థిక రేటు (0.83)', 'ఇన్నింగ్స్ లో 47 వ ఉత్తమ సమ్మె రేటు (7.2)']</v>
      </c>
      <c r="G2165" s="2"/>
      <c r="H2165" s="2" t="str">
        <f>IFERROR(__xludf.DUMMYFUNCTION("IF(G2165&lt;&gt;"""", GOOGLETRANSLATE(G2165, ""en"", ""te""),"""")"),"")</f>
        <v/>
      </c>
      <c r="I2165" s="3"/>
    </row>
    <row r="2166" customHeight="1" spans="1:9">
      <c r="A2166" s="2" t="s">
        <v>1435</v>
      </c>
      <c r="B2166" s="2" t="str">
        <f>IFERROR(__xludf.DUMMYFUNCTION("IF(A2166&lt;&gt;"""", GOOGLETRANSLATE(A2166, ""en"", ""te""),"""")"),"[ 'ఇన్నింగ్స్ లో 9 వ అత్యధిక పరుగులు (బ్యాటింగ్ స్థానంలో ప్రకారం) (118 *)', '3 వ అత్యధిక కెరీర్ బ్యాటింగ్ సగటు (62.37)', 'హండ్రెడ్ తొలి (118 *)', '6 వ అరంగేట్రంలోనే ఇన్నింగ్స్ లోని బెస్ట్ ఫిగర్స్ ( 4) ']")</f>
        <v>[ 'ఇన్నింగ్స్ లో 9 వ అత్యధిక పరుగులు (బ్యాటింగ్ స్థానంలో ప్రకారం) (118 *)', '3 వ అత్యధిక కెరీర్ బ్యాటింగ్ సగటు (62.37)', 'హండ్రెడ్ తొలి (118 *)', '6 వ అరంగేట్రంలోనే ఇన్నింగ్స్ లోని బెస్ట్ ఫిగర్స్ ( 4) ']</v>
      </c>
      <c r="C2166" s="2" t="s">
        <v>1436</v>
      </c>
      <c r="D2166" s="2" t="str">
        <f>IFERROR(__xludf.DUMMYFUNCTION("IF(C2166&lt;&gt;"""", GOOGLETRANSLATE(C2166, ""en"", ""te""),"""")"),"[ 'ఇన్నింగ్స్ లో 9 వ అత్యధిక పరుగులు (బ్యాటింగ్ స్థానంలో ప్రకారం) (118 *)', '3 వ అత్యధిక కెరీర్ బ్యాటింగ్ సగటు (62.37)', '13 వ తొలి మ్యాచ్లో అత్యధిక పరుగులు (118)', '31 అత్యధిక తొలి వంద (118 * ) ']")</f>
        <v>[ 'ఇన్నింగ్స్ లో 9 వ అత్యధిక పరుగులు (బ్యాటింగ్ స్థానంలో ప్రకారం) (118 *)', '3 వ అత్యధిక కెరీర్ బ్యాటింగ్ సగటు (62.37)', '13 వ తొలి మ్యాచ్లో అత్యధిక పరుగులు (118)', '31 అత్యధిక తొలి వంద (118 * ) ']</v>
      </c>
      <c r="E2166" s="2" t="s">
        <v>1437</v>
      </c>
      <c r="F2166" s="2" t="str">
        <f>IFERROR(__xludf.DUMMYFUNCTION("IF(E2166&lt;&gt;"""", GOOGLETRANSLATE(E2166, ""en"", ""te""),"""")"),"[ 'తొలి ఇన్నింగ్స్లో 6 వ ఉత్తమ బొమ్మలు (4)']")</f>
        <v>[ 'తొలి ఇన్నింగ్స్లో 6 వ ఉత్తమ బొమ్మలు (4)']</v>
      </c>
      <c r="G2166" s="2"/>
      <c r="H2166" s="2" t="str">
        <f>IFERROR(__xludf.DUMMYFUNCTION("IF(G2166&lt;&gt;"""", GOOGLETRANSLATE(G2166, ""en"", ""te""),"""")"),"")</f>
        <v/>
      </c>
      <c r="I2166" s="3"/>
    </row>
    <row r="2167" customHeight="1" spans="1:9">
      <c r="A2167" s="2" t="s">
        <v>1438</v>
      </c>
      <c r="B2167" s="2" t="str">
        <f>IFERROR(__xludf.DUMMYFUNCTION("IF(A2167&lt;&gt;"""", GOOGLETRANSLATE(A2167, ""en"", ""te""),"""")"),"[ 'వరుస 5 వ అత్యధిక వికెట్లు (41)', '4 వ అత్యధిక వరుస పది వికెట్లు లో ఒక మ్యాచ్ (2)', 'ఫాస్టెస్ట్ 4 వ 50 వికెట్లు (8)', '10 వ అత్యధిక వికెట్లు వరుస ( 22) ',' 5 వ అత్యధిక వరుస ఐదు వికెట్ల లో-ఒక-ఇన్నింగ్స్ (4) ']")</f>
        <v>[ 'వరుస 5 వ అత్యధిక వికెట్లు (41)', '4 వ అత్యధిక వరుస పది వికెట్లు లో ఒక మ్యాచ్ (2)', 'ఫాస్టెస్ట్ 4 వ 50 వికెట్లు (8)', '10 వ అత్యధిక వికెట్లు వరుస ( 22) ',' 5 వ అత్యధిక వరుస ఐదు వికెట్ల లో-ఒక-ఇన్నింగ్స్ (4) ']</v>
      </c>
      <c r="C2167" s="2" t="s">
        <v>1439</v>
      </c>
      <c r="D2167" s="2" t="str">
        <f>IFERROR(__xludf.DUMMYFUNCTION("IF(C2167&lt;&gt;"""", GOOGLETRANSLATE(C2167, ""en"", ""te""),"""")"),"[ '15 వ ఇన్నింగ్స్ లో అత్యధిక పరుగులు (బ్యాటింగ్ స్థానంలో ప్రకారం) (52)', '11 వ ఒక సిరీస్లో అత్యధిక బాతులు (4)', 'వరుస 5 వ అత్యధిక వికెట్లు (41)', '40 వ ఉత్తమ ఒక మ్యాచ్ ఉన్నప్పుడు గణాంకాలు పరాజయం వైపు (10) ',' 22 వ ఉత్తమ తొలి ఇన్నింగ్స్లో గణాంకాలు (6) ',"&amp;"' 5 వ అత్యధిక వరుస ఐదు వికెట్ల లో-ఒక-ఇన్నింగ్స్ (4) ',' 4 వ అత్యధిక వరుస పది వికెట్ల లో -a మ్యాచ్ల (2) ',' 50 వికెట్లు వేగవంతమైన 4 వ (8) ']")</f>
        <v>[ '15 వ ఇన్నింగ్స్ లో అత్యధిక పరుగులు (బ్యాటింగ్ స్థానంలో ప్రకారం) (52)', '11 వ ఒక సిరీస్లో అత్యధిక బాతులు (4)', 'వరుస 5 వ అత్యధిక వికెట్లు (41)', '40 వ ఉత్తమ ఒక మ్యాచ్ ఉన్నప్పుడు గణాంకాలు పరాజయం వైపు (10) ',' 22 వ ఉత్తమ తొలి ఇన్నింగ్స్లో గణాంకాలు (6) ',' 5 వ అత్యధిక వరుస ఐదు వికెట్ల లో-ఒక-ఇన్నింగ్స్ (4) ',' 4 వ అత్యధిక వరుస పది వికెట్ల లో -a మ్యాచ్ల (2) ',' 50 వికెట్లు వేగవంతమైన 4 వ (8) ']</v>
      </c>
      <c r="E2167" s="2" t="s">
        <v>1440</v>
      </c>
      <c r="F2167" s="2" t="str">
        <f>IFERROR(__xludf.DUMMYFUNCTION("IF(E2167&lt;&gt;"""", GOOGLETRANSLATE(E2167, ""en"", ""te""),"""")"),"[ '10 వ ఒక సిరీస్లో అత్యధిక వికెట్లు (22)', '46 వ ఉత్తమ కెరీర్ ఆర్థిక రేటు (3.94)']")</f>
        <v>[ '10 వ ఒక సిరీస్లో అత్యధిక వికెట్లు (22)', '46 వ ఉత్తమ కెరీర్ ఆర్థిక రేటు (3.94)']</v>
      </c>
      <c r="G2167" s="2"/>
      <c r="H2167" s="2" t="str">
        <f>IFERROR(__xludf.DUMMYFUNCTION("IF(G2167&lt;&gt;"""", GOOGLETRANSLATE(G2167, ""en"", ""te""),"""")"),"")</f>
        <v/>
      </c>
      <c r="I2167" s="3"/>
    </row>
    <row r="2168" customHeight="1" spans="1:9">
      <c r="A2168" s="2"/>
      <c r="B2168" s="2" t="str">
        <f>IFERROR(__xludf.DUMMYFUNCTION("IF(A2168&lt;&gt;"""", GOOGLETRANSLATE(A2168, ""en"", ""te""),"""")"),"")</f>
        <v/>
      </c>
      <c r="C2168" s="2" t="s">
        <v>1441</v>
      </c>
      <c r="D2168" s="2" t="str">
        <f>IFERROR(__xludf.DUMMYFUNCTION("IF(C2168&lt;&gt;"""", GOOGLETRANSLATE(C2168, ""en"", ""te""),"""")"),"[ '24 ఒక ఇన్నింగ్స్ లోని బెస్ట్ ఫిగర్స్ ఉన్నప్పుడు పరాజయం వైపు (7)', 'పరాజయం వైపు 40 వ బెస్ట్ ఫిగర్స్ ఒక మ్యాచ్లో ఉన్నప్పుడు (10)']")</f>
        <v>[ '24 ఒక ఇన్నింగ్స్ లోని బెస్ట్ ఫిగర్స్ ఉన్నప్పుడు పరాజయం వైపు (7)', 'పరాజయం వైపు 40 వ బెస్ట్ ఫిగర్స్ ఒక మ్యాచ్లో ఉన్నప్పుడు (10)']</v>
      </c>
      <c r="E2168" s="2"/>
      <c r="F2168" s="2" t="str">
        <f>IFERROR(__xludf.DUMMYFUNCTION("IF(E2168&lt;&gt;"""", GOOGLETRANSLATE(E2168, ""en"", ""te""),"""")"),"")</f>
        <v/>
      </c>
      <c r="G2168" s="2"/>
      <c r="H2168" s="2" t="str">
        <f>IFERROR(__xludf.DUMMYFUNCTION("IF(G2168&lt;&gt;"""", GOOGLETRANSLATE(G2168, ""en"", ""te""),"""")"),"")</f>
        <v/>
      </c>
      <c r="I2168" s="3"/>
    </row>
    <row r="2169" customHeight="1" spans="1:9">
      <c r="A2169" s="2" t="s">
        <v>1442</v>
      </c>
      <c r="B2169" s="2" t="str">
        <f>IFERROR(__xludf.DUMMYFUNCTION("IF(A2169&lt;&gt;"""", GOOGLETRANSLATE(A2169, ""en"", ""te""),"""")"),"[ 'ఇన్నింగ్స్ లో 2 వ అత్యధిక పరుగులు (బ్యాటింగ్ స్థానంలో ప్రకారం) (98)', '6 వ తొంభై తొలి (98)', '1 వ అత్యుత్తమ బౌలింగ్ ఇన్నింగ్స్ లో విశ్లేషించడం (1/0)', ​​'9 వ అత్యంత ఇన్నింగ్స్ లో పరుగులు (బ్యాటింగ్ స్థానం) (89 *) ',' 3 వ అత్యంత ఇన్నింగ్స్ తొలి డక్ ముం"&amp;"దు (37) ',' 1 వ అత్యుత్తమ బౌలింగ్ ఇన్నింగ్స్ లో విశ్లేషించడం (1/0) ']")</f>
        <v>[ 'ఇన్నింగ్స్ లో 2 వ అత్యధిక పరుగులు (బ్యాటింగ్ స్థానంలో ప్రకారం) (98)', '6 వ తొంభై తొలి (98)', '1 వ అత్యుత్తమ బౌలింగ్ ఇన్నింగ్స్ లో విశ్లేషించడం (1/0)', ​​'9 వ అత్యంత ఇన్నింగ్స్ లో పరుగులు (బ్యాటింగ్ స్థానం) (89 *) ',' 3 వ అత్యంత ఇన్నింగ్స్ తొలి డక్ ముందు (37) ',' 1 వ అత్యుత్తమ బౌలింగ్ ఇన్నింగ్స్ లో విశ్లేషించడం (1/0) ']</v>
      </c>
      <c r="C2169" s="2" t="s">
        <v>1443</v>
      </c>
      <c r="D2169" s="2" t="str">
        <f>IFERROR(__xludf.DUMMYFUNCTION("IF(C2169&lt;&gt;"""", GOOGLETRANSLATE(C2169, ""en"", ""te""),"""")"),"[ 'ఇన్నింగ్స్ లో 2 వ అత్యధిక పరుగులు (బ్యాటింగ్ స్థానంలో ప్రకారం) (98)', '16 వ తొలి మ్యాచ్ (114) అత్యధిక పరుగులు' 'తొలి 6 వ తొంభై (98)', '1 వ అత్యుత్తమ బౌలింగ్ ఇన్నింగ్స్ లో విశ్లేషించడం (1 కెప్టెన్సీ తొలి / 0) ', '21 వ ఓల్డెస్ట్ కాప్టెన్ (30y 318d)']")</f>
        <v>[ 'ఇన్నింగ్స్ లో 2 వ అత్యధిక పరుగులు (బ్యాటింగ్ స్థానంలో ప్రకారం) (98)', '16 వ తొలి మ్యాచ్ (114) అత్యధిక పరుగులు' 'తొలి 6 వ తొంభై (98)', '1 వ అత్యుత్తమ బౌలింగ్ ఇన్నింగ్స్ లో విశ్లేషించడం (1 కెప్టెన్సీ తొలి / 0) ', '21 వ ఓల్డెస్ట్ కాప్టెన్ (30y 318d)']</v>
      </c>
      <c r="E2169" s="2" t="s">
        <v>1444</v>
      </c>
      <c r="F2169" s="2" t="str">
        <f>IFERROR(__xludf.DUMMYFUNCTION("IF(E2169&lt;&gt;"""", GOOGLETRANSLATE(E2169, ""en"", ""te""),"""")"),"[ '44 వ అత్యధిక కెరీర్ లో పరుగులు (1937)', 'వరుస 13 వ అత్యధిక పరుగులు (702)', '9 వ ఇన్నింగ్స్ లో అత్యధిక పరుగులు (బ్యాటింగ్ స్థానంలో ప్రకారం) (89 *)', '14 వ ఒకే మైదానంలో అత్యధిక పరుగులు (489) ',' 32 వ అత్యధిక కెరీర్ బ్యాటింగ్ సగటు (36.54) ',' 25 వ అత్యధి"&amp;"క తొలి వంద (118) ',' 22 వ అత్యంత వృద్ధ ఆటగాడు తొలి శతకాలను సాధించిన ',' 14 వ అత్యంత వృద్ధ ఆటగాడు వంద (285D 32y) స్కోర్ ( 32y 285D) ',' 31 కెరీర్ అర్ధ (16) ',' వరుస ఇన్నింగ్స్ (3) ',' 12 వ అత్యంత ఇన్నింగ్స్లో 28 యాభైల్లో మొదటి డక్ ముందు (26) ',' 26 ఒక సిర"&amp;"ీస్లో అత్యధిక క్యాచ్లు (7) ' 'తొలి వికెట్కు 31 అత్యధిక భాగస్వామ్యం (159)', 'ఏడవ వికెట్కు 46 వ అత్యధిక భాగస్వామ్యం (57)', 'ఎనిమిదవ వికెట్ (49 *) కోసం 22 అత్యధిక భాగస్వామ్యం', '44 వ వరుస మ్యాచ్లు బృందం కోసం తప్పిన కెప్టెన్సీ తొలి ప్రదర్శనలు (30) ',' 27 వ ఓల"&amp;"్డెస్ట్ ఇరు కెప్టెన్లు (30y 191d) ']")</f>
        <v>[ '44 వ అత్యధిక కెరీర్ లో పరుగులు (1937)', 'వరుస 13 వ అత్యధిక పరుగులు (702)', '9 వ ఇన్నింగ్స్ లో అత్యధిక పరుగులు (బ్యాటింగ్ స్థానంలో ప్రకారం) (89 *)', '14 వ ఒకే మైదానంలో అత్యధిక పరుగులు (489) ',' 32 వ అత్యధిక కెరీర్ బ్యాటింగ్ సగటు (36.54) ',' 25 వ అత్యధిక తొలి వంద (118) ',' 22 వ అత్యంత వృద్ధ ఆటగాడు తొలి శతకాలను సాధించిన ',' 14 వ అత్యంత వృద్ధ ఆటగాడు వంద (285D 32y) స్కోర్ ( 32y 285D) ',' 31 కెరీర్ అర్ధ (16) ',' వరుస ఇన్నింగ్స్ (3) ',' 12 వ అత్యంత ఇన్నింగ్స్లో 28 యాభైల్లో మొదటి డక్ ముందు (26) ',' 26 ఒక సిరీస్లో అత్యధిక క్యాచ్లు (7) ' 'తొలి వికెట్కు 31 అత్యధిక భాగస్వామ్యం (159)', 'ఏడవ వికెట్కు 46 వ అత్యధిక భాగస్వామ్యం (57)', 'ఎనిమిదవ వికెట్ (49 *) కోసం 22 అత్యధిక భాగస్వామ్యం', '44 వ వరుస మ్యాచ్లు బృందం కోసం తప్పిన కెప్టెన్సీ తొలి ప్రదర్శనలు (30) ',' 27 వ ఓల్డెస్ట్ ఇరు కెప్టెన్లు (30y 191d) ']</v>
      </c>
      <c r="G2169" s="2" t="s">
        <v>1445</v>
      </c>
      <c r="H2169" s="2" t="str">
        <f>IFERROR(__xludf.DUMMYFUNCTION("IF(G2169&lt;&gt;"""", GOOGLETRANSLATE(G2169, ""en"", ""te""),"""")"),"[ '50 వ అత్యధిక కెరీర్ లో పరుగులు (793)', 'ఇన్నింగ్స్ లో 2 వ అత్యధిక పరుగులు (బ్యాటింగ్ స్థానంలో ప్రకారం) (69 *)', 'పరాజయం వైపు ఒక మ్యాచ్లో 29 వ అత్యధిక పరుగులు (65)', '21 వ అత్యధిక కెరీర్ బ్యాటింగ్ సగటు (26.43) ',' 34 వ కెరీర్ అర్ధ (3) ',' 3 వ అత్యంత ఇన"&amp;"్నింగ్స్ తొలి డక్ ముందు (37) ',' ఒక డక్ లేకుండా 22 వరుస ఇన్నింగ్స్ (37) ',' 5 వ కెరీర్ లో అతి తక్కువ బాతులు ( 52) ',' 1 వ అత్యుత్తమ బౌలింగ్ ఇన్నింగ్స్ లో విశ్లేషించడం (1/0) ',' ఇన్నింగ్స్ లో 33 వ ఉత్తమ సమ్మె రేటు (4.0) ', '21 వ కెరీర్లో అత్యధిక క్యాచ్లు ("&amp;"27)', '48 వ కెరీర్ లో అత్యధిక మ్యాచ్లు ( ఒక జట్టు 73) ',' 22 వ వరుస మ్యాచ్లు (46 *) ',' కెప్టెన్సీ తొలి 37 వ ఓల్డెస్ట్ కాప్టెన్ (30y 326d) ']")</f>
        <v>[ '50 వ అత్యధిక కెరీర్ లో పరుగులు (793)', 'ఇన్నింగ్స్ లో 2 వ అత్యధిక పరుగులు (బ్యాటింగ్ స్థానంలో ప్రకారం) (69 *)', 'పరాజయం వైపు ఒక మ్యాచ్లో 29 వ అత్యధిక పరుగులు (65)', '21 వ అత్యధిక కెరీర్ బ్యాటింగ్ సగటు (26.43) ',' 34 వ కెరీర్ అర్ధ (3) ',' 3 వ అత్యంత ఇన్నింగ్స్ తొలి డక్ ముందు (37) ',' ఒక డక్ లేకుండా 22 వరుస ఇన్నింగ్స్ (37) ',' 5 వ కెరీర్ లో అతి తక్కువ బాతులు ( 52) ',' 1 వ అత్యుత్తమ బౌలింగ్ ఇన్నింగ్స్ లో విశ్లేషించడం (1/0) ',' ఇన్నింగ్స్ లో 33 వ ఉత్తమ సమ్మె రేటు (4.0) ', '21 వ కెరీర్లో అత్యధిక క్యాచ్లు (27)', '48 వ కెరీర్ లో అత్యధిక మ్యాచ్లు ( ఒక జట్టు 73) ',' 22 వ వరుస మ్యాచ్లు (46 *) ',' కెప్టెన్సీ తొలి 37 వ ఓల్డెస్ట్ కాప్టెన్ (30y 326d) ']</v>
      </c>
      <c r="I2169" s="3"/>
    </row>
    <row r="2170" customHeight="1" spans="1:9">
      <c r="A2170" s="2"/>
      <c r="B2170" s="2" t="str">
        <f>IFERROR(__xludf.DUMMYFUNCTION("IF(A2170&lt;&gt;"""", GOOGLETRANSLATE(A2170, ""en"", ""te""),"""")"),"")</f>
        <v/>
      </c>
      <c r="C2170" s="2"/>
      <c r="D2170" s="2" t="str">
        <f>IFERROR(__xludf.DUMMYFUNCTION("IF(C2170&lt;&gt;"""", GOOGLETRANSLATE(C2170, ""en"", ""te""),"""")"),"")</f>
        <v/>
      </c>
      <c r="E2170" s="2"/>
      <c r="F2170" s="2" t="str">
        <f>IFERROR(__xludf.DUMMYFUNCTION("IF(E2170&lt;&gt;"""", GOOGLETRANSLATE(E2170, ""en"", ""te""),"""")"),"")</f>
        <v/>
      </c>
      <c r="G2170" s="2"/>
      <c r="H2170" s="2" t="str">
        <f>IFERROR(__xludf.DUMMYFUNCTION("IF(G2170&lt;&gt;"""", GOOGLETRANSLATE(G2170, ""en"", ""te""),"""")"),"")</f>
        <v/>
      </c>
      <c r="I2170" s="3"/>
    </row>
    <row r="2171" customHeight="1" spans="1:9">
      <c r="A2171" s="2"/>
      <c r="B2171" s="2" t="str">
        <f>IFERROR(__xludf.DUMMYFUNCTION("IF(A2171&lt;&gt;"""", GOOGLETRANSLATE(A2171, ""en"", ""te""),"""")"),"")</f>
        <v/>
      </c>
      <c r="C2171" s="2"/>
      <c r="D2171" s="2" t="str">
        <f>IFERROR(__xludf.DUMMYFUNCTION("IF(C2171&lt;&gt;"""", GOOGLETRANSLATE(C2171, ""en"", ""te""),"""")"),"")</f>
        <v/>
      </c>
      <c r="E2171" s="2"/>
      <c r="F2171" s="2" t="str">
        <f>IFERROR(__xludf.DUMMYFUNCTION("IF(E2171&lt;&gt;"""", GOOGLETRANSLATE(E2171, ""en"", ""te""),"""")"),"")</f>
        <v/>
      </c>
      <c r="G2171" s="2"/>
      <c r="H2171" s="2" t="str">
        <f>IFERROR(__xludf.DUMMYFUNCTION("IF(G2171&lt;&gt;"""", GOOGLETRANSLATE(G2171, ""en"", ""te""),"""")"),"")</f>
        <v/>
      </c>
      <c r="I2171" s="3"/>
    </row>
    <row r="2172" customHeight="1" spans="1:9">
      <c r="A2172" s="2"/>
      <c r="B2172" s="2" t="str">
        <f>IFERROR(__xludf.DUMMYFUNCTION("IF(A2172&lt;&gt;"""", GOOGLETRANSLATE(A2172, ""en"", ""te""),"""")"),"")</f>
        <v/>
      </c>
      <c r="C2172" s="2"/>
      <c r="D2172" s="2" t="str">
        <f>IFERROR(__xludf.DUMMYFUNCTION("IF(C2172&lt;&gt;"""", GOOGLETRANSLATE(C2172, ""en"", ""te""),"""")"),"")</f>
        <v/>
      </c>
      <c r="E2172" s="2"/>
      <c r="F2172" s="2" t="str">
        <f>IFERROR(__xludf.DUMMYFUNCTION("IF(E2172&lt;&gt;"""", GOOGLETRANSLATE(E2172, ""en"", ""te""),"""")"),"")</f>
        <v/>
      </c>
      <c r="G2172" s="2"/>
      <c r="H2172" s="2" t="str">
        <f>IFERROR(__xludf.DUMMYFUNCTION("IF(G2172&lt;&gt;"""", GOOGLETRANSLATE(G2172, ""en"", ""te""),"""")"),"")</f>
        <v/>
      </c>
      <c r="I2172" s="3"/>
    </row>
    <row r="2173" customHeight="1" spans="1:9">
      <c r="A2173" s="2" t="s">
        <v>1446</v>
      </c>
      <c r="B2173" s="2" t="str">
        <f>IFERROR(__xludf.DUMMYFUNCTION("IF(A2173&lt;&gt;"""", GOOGLETRANSLATE(A2173, ""en"", ""te""),"""")"),"[ 'కెరీర్ (69) లో 4 వ అతి తక్కువ బాతులు' '9 వ (5) వరుస అన్ని టాస్ గెలిచి']")</f>
        <v>[ 'కెరీర్ (69) లో 4 వ అతి తక్కువ బాతులు' '9 వ (5) వరుస అన్ని టాస్ గెలిచి']</v>
      </c>
      <c r="C2173" s="2" t="s">
        <v>1447</v>
      </c>
      <c r="D2173" s="2" t="str">
        <f>IFERROR(__xludf.DUMMYFUNCTION("IF(C2173&lt;&gt;"""", GOOGLETRANSLATE(C2173, ""en"", ""te""),"""")"),"[ 'కెరీర్లో 4 వ అతి తక్కువ బాతులు (69)', '1000 పరుగులు (21) వేగంగా 35 వ' '41 వ వేగవంతమైన 2000 పరుగులు (45)', '9 వ విన్నింగ్ అన్ని టాస్' 30 వ వేగవంతమైన 3000 పరుగులు (66) కు ' వరుస (5) ',' 24 వ ఓల్డెస్ట్ కాప్టెన్ (39y 356d) ',' కెప్టెన్సీ తొలి 37 వ ఓల్డెస"&amp;"్ట్ కాప్టెన్ (36y 118d) ']")</f>
        <v>[ 'కెరీర్లో 4 వ అతి తక్కువ బాతులు (69)', '1000 పరుగులు (21) వేగంగా 35 వ' '41 వ వేగవంతమైన 2000 పరుగులు (45)', '9 వ విన్నింగ్ అన్ని టాస్' 30 వ వేగవంతమైన 3000 పరుగులు (66) కు ' వరుస (5) ',' 24 వ ఓల్డెస్ట్ కాప్టెన్ (39y 356d) ',' కెప్టెన్సీ తొలి 37 వ ఓల్డెస్ట్ కాప్టెన్ (36y 118d) ']</v>
      </c>
      <c r="E2173" s="2"/>
      <c r="F2173" s="2" t="str">
        <f>IFERROR(__xludf.DUMMYFUNCTION("IF(E2173&lt;&gt;"""", GOOGLETRANSLATE(E2173, ""en"", ""te""),"""")"),"")</f>
        <v/>
      </c>
      <c r="G2173" s="2"/>
      <c r="H2173" s="2" t="str">
        <f>IFERROR(__xludf.DUMMYFUNCTION("IF(G2173&lt;&gt;"""", GOOGLETRANSLATE(G2173, ""en"", ""te""),"""")"),"")</f>
        <v/>
      </c>
      <c r="I2173" s="3"/>
    </row>
    <row r="2174" customHeight="1" spans="1:9">
      <c r="A2174" s="2"/>
      <c r="B2174" s="2" t="str">
        <f>IFERROR(__xludf.DUMMYFUNCTION("IF(A2174&lt;&gt;"""", GOOGLETRANSLATE(A2174, ""en"", ""te""),"""")"),"")</f>
        <v/>
      </c>
      <c r="C2174" s="2"/>
      <c r="D2174" s="2" t="str">
        <f>IFERROR(__xludf.DUMMYFUNCTION("IF(C2174&lt;&gt;"""", GOOGLETRANSLATE(C2174, ""en"", ""te""),"""")"),"")</f>
        <v/>
      </c>
      <c r="E2174" s="2"/>
      <c r="F2174" s="2" t="str">
        <f>IFERROR(__xludf.DUMMYFUNCTION("IF(E2174&lt;&gt;"""", GOOGLETRANSLATE(E2174, ""en"", ""te""),"""")"),"")</f>
        <v/>
      </c>
      <c r="G2174" s="2"/>
      <c r="H2174" s="2" t="str">
        <f>IFERROR(__xludf.DUMMYFUNCTION("IF(G2174&lt;&gt;"""", GOOGLETRANSLATE(G2174, ""en"", ""te""),"""")"),"")</f>
        <v/>
      </c>
      <c r="I2174" s="3"/>
    </row>
    <row r="2175" customHeight="1" spans="1:9">
      <c r="A2175" s="2" t="s">
        <v>1448</v>
      </c>
      <c r="B2175" s="2" t="str">
        <f>IFERROR(__xludf.DUMMYFUNCTION("IF(A2175&lt;&gt;"""", GOOGLETRANSLATE(A2175, ""en"", ""te""),"""")"),"[ 'లో 99 కాదు (మరియు 199, 299 etc) (99 *)']")</f>
        <v>[ 'లో 99 కాదు (మరియు 199, 299 etc) (99 *)']</v>
      </c>
      <c r="C2175" s="2" t="s">
        <v>1449</v>
      </c>
      <c r="D2175" s="2" t="str">
        <f>IFERROR(__xludf.DUMMYFUNCTION("IF(C2175&lt;&gt;"""", GOOGLETRANSLATE(C2175, ""en"", ""te""),"""")"),"[ '32 వ అత్యధిక తొలి వంద (203 *)']")</f>
        <v>[ '32 వ అత్యధిక తొలి వంద (203 *)']</v>
      </c>
      <c r="E2175" s="2" t="s">
        <v>1450</v>
      </c>
      <c r="F2175" s="2" t="str">
        <f>IFERROR(__xludf.DUMMYFUNCTION("IF(E2175&lt;&gt;"""", GOOGLETRANSLATE(E2175, ""en"", ""te""),"""")"),"[ '38 వ అత్యంత వృద్ధ ఆటగాడు తొలి వంద (32y 79d) స్కోర్']")</f>
        <v>[ '38 వ అత్యంత వృద్ధ ఆటగాడు తొలి వంద (32y 79d) స్కోర్']</v>
      </c>
      <c r="G2175" s="2" t="s">
        <v>1451</v>
      </c>
      <c r="H2175" s="2" t="str">
        <f>IFERROR(__xludf.DUMMYFUNCTION("IF(G2175&lt;&gt;"""", GOOGLETRANSLATE(G2175, ""en"", ""te""),"""")"),"[ '14 వ వరుస మ్యాచ్లు ప్రదర్శనల మధ్య బృందం (51) కోసం తప్పిన' 'ప్రదర్శనల మధ్య 20 వ లాంగెస్ట్ వ్యవధిలో (5 సం 364d)']")</f>
        <v>[ '14 వ వరుస మ్యాచ్లు ప్రదర్శనల మధ్య బృందం (51) కోసం తప్పిన' 'ప్రదర్శనల మధ్య 20 వ లాంగెస్ట్ వ్యవధిలో (5 సం 364d)']</v>
      </c>
      <c r="I2175" s="3"/>
    </row>
    <row r="2176" customHeight="1" spans="1:9">
      <c r="A2176" s="2"/>
      <c r="B2176" s="2" t="str">
        <f>IFERROR(__xludf.DUMMYFUNCTION("IF(A2176&lt;&gt;"""", GOOGLETRANSLATE(A2176, ""en"", ""te""),"""")"),"")</f>
        <v/>
      </c>
      <c r="C2176" s="2"/>
      <c r="D2176" s="2" t="str">
        <f>IFERROR(__xludf.DUMMYFUNCTION("IF(C2176&lt;&gt;"""", GOOGLETRANSLATE(C2176, ""en"", ""te""),"""")"),"")</f>
        <v/>
      </c>
      <c r="E2176" s="2"/>
      <c r="F2176" s="2" t="str">
        <f>IFERROR(__xludf.DUMMYFUNCTION("IF(E2176&lt;&gt;"""", GOOGLETRANSLATE(E2176, ""en"", ""te""),"""")"),"")</f>
        <v/>
      </c>
      <c r="G2176" s="2"/>
      <c r="H2176" s="2" t="str">
        <f>IFERROR(__xludf.DUMMYFUNCTION("IF(G2176&lt;&gt;"""", GOOGLETRANSLATE(G2176, ""en"", ""te""),"""")"),"")</f>
        <v/>
      </c>
      <c r="I2176" s="3"/>
    </row>
    <row r="2177" customHeight="1" spans="1:9">
      <c r="A2177" s="2"/>
      <c r="B2177" s="2" t="str">
        <f>IFERROR(__xludf.DUMMYFUNCTION("IF(A2177&lt;&gt;"""", GOOGLETRANSLATE(A2177, ""en"", ""te""),"""")"),"")</f>
        <v/>
      </c>
      <c r="C2177" s="2"/>
      <c r="D2177" s="2" t="str">
        <f>IFERROR(__xludf.DUMMYFUNCTION("IF(C2177&lt;&gt;"""", GOOGLETRANSLATE(C2177, ""en"", ""te""),"""")"),"")</f>
        <v/>
      </c>
      <c r="E2177" s="2"/>
      <c r="F2177" s="2" t="str">
        <f>IFERROR(__xludf.DUMMYFUNCTION("IF(E2177&lt;&gt;"""", GOOGLETRANSLATE(E2177, ""en"", ""te""),"""")"),"")</f>
        <v/>
      </c>
      <c r="G2177" s="2"/>
      <c r="H2177" s="2" t="str">
        <f>IFERROR(__xludf.DUMMYFUNCTION("IF(G2177&lt;&gt;"""", GOOGLETRANSLATE(G2177, ""en"", ""te""),"""")"),"")</f>
        <v/>
      </c>
      <c r="I2177" s="3"/>
    </row>
    <row r="2178" customHeight="1" spans="1:9">
      <c r="A2178" s="2"/>
      <c r="B2178" s="2" t="str">
        <f>IFERROR(__xludf.DUMMYFUNCTION("IF(A2178&lt;&gt;"""", GOOGLETRANSLATE(A2178, ""en"", ""te""),"""")"),"")</f>
        <v/>
      </c>
      <c r="C2178" s="2"/>
      <c r="D2178" s="2" t="str">
        <f>IFERROR(__xludf.DUMMYFUNCTION("IF(C2178&lt;&gt;"""", GOOGLETRANSLATE(C2178, ""en"", ""te""),"""")"),"")</f>
        <v/>
      </c>
      <c r="E2178" s="2"/>
      <c r="F2178" s="2" t="str">
        <f>IFERROR(__xludf.DUMMYFUNCTION("IF(E2178&lt;&gt;"""", GOOGLETRANSLATE(E2178, ""en"", ""te""),"""")"),"")</f>
        <v/>
      </c>
      <c r="G2178" s="2"/>
      <c r="H2178" s="2" t="str">
        <f>IFERROR(__xludf.DUMMYFUNCTION("IF(G2178&lt;&gt;"""", GOOGLETRANSLATE(G2178, ""en"", ""te""),"""")"),"")</f>
        <v/>
      </c>
      <c r="I2178" s="3"/>
    </row>
    <row r="2179" customHeight="1" spans="1:9">
      <c r="A2179" s="2"/>
      <c r="B2179" s="2" t="str">
        <f>IFERROR(__xludf.DUMMYFUNCTION("IF(A2179&lt;&gt;"""", GOOGLETRANSLATE(A2179, ""en"", ""te""),"""")"),"")</f>
        <v/>
      </c>
      <c r="C2179" s="2"/>
      <c r="D2179" s="2" t="str">
        <f>IFERROR(__xludf.DUMMYFUNCTION("IF(C2179&lt;&gt;"""", GOOGLETRANSLATE(C2179, ""en"", ""te""),"""")"),"")</f>
        <v/>
      </c>
      <c r="E2179" s="2"/>
      <c r="F2179" s="2" t="str">
        <f>IFERROR(__xludf.DUMMYFUNCTION("IF(E2179&lt;&gt;"""", GOOGLETRANSLATE(E2179, ""en"", ""te""),"""")"),"")</f>
        <v/>
      </c>
      <c r="G2179" s="2"/>
      <c r="H2179" s="2" t="str">
        <f>IFERROR(__xludf.DUMMYFUNCTION("IF(G2179&lt;&gt;"""", GOOGLETRANSLATE(G2179, ""en"", ""te""),"""")"),"")</f>
        <v/>
      </c>
      <c r="I2179" s="3"/>
    </row>
    <row r="2180" customHeight="1" spans="1:9">
      <c r="A2180" s="2" t="s">
        <v>1067</v>
      </c>
      <c r="B2180" s="2" t="str">
        <f>IFERROR(__xludf.DUMMYFUNCTION("IF(A2180&lt;&gt;"""", GOOGLETRANSLATE(A2180, ""en"", ""te""),"""")"),"[ '2nd అసాధారణ వికెట్లు (bal నిర్వహించింది)']")</f>
        <v>[ '2nd అసాధారణ వికెట్లు (bal నిర్వహించింది)']</v>
      </c>
      <c r="C2180" s="2" t="s">
        <v>1452</v>
      </c>
      <c r="D2180" s="2" t="str">
        <f>IFERROR(__xludf.DUMMYFUNCTION("IF(C2180&lt;&gt;"""", GOOGLETRANSLATE(C2180, ""en"", ""te""),"""")"),"[ '2nd అసాధారణ వికెట్లు (bal నిర్వహించింది)', '47 వ వరుస మ్యాచ్లు ప్రదర్శనల మధ్య బృందం (53) కోసం తప్పిన']")</f>
        <v>[ '2nd అసాధారణ వికెట్లు (bal నిర్వహించింది)', '47 వ వరుస మ్యాచ్లు ప్రదర్శనల మధ్య బృందం (53) కోసం తప్పిన']</v>
      </c>
      <c r="E2180" s="2"/>
      <c r="F2180" s="2" t="str">
        <f>IFERROR(__xludf.DUMMYFUNCTION("IF(E2180&lt;&gt;"""", GOOGLETRANSLATE(E2180, ""en"", ""te""),"""")"),"")</f>
        <v/>
      </c>
      <c r="G2180" s="2"/>
      <c r="H2180" s="2" t="str">
        <f>IFERROR(__xludf.DUMMYFUNCTION("IF(G2180&lt;&gt;"""", GOOGLETRANSLATE(G2180, ""en"", ""te""),"""")"),"")</f>
        <v/>
      </c>
      <c r="I2180" s="3"/>
    </row>
    <row r="2181" customHeight="1" spans="1:9">
      <c r="A2181" s="2"/>
      <c r="B2181" s="2" t="str">
        <f>IFERROR(__xludf.DUMMYFUNCTION("IF(A2181&lt;&gt;"""", GOOGLETRANSLATE(A2181, ""en"", ""te""),"""")"),"")</f>
        <v/>
      </c>
      <c r="C2181" s="2"/>
      <c r="D2181" s="2" t="str">
        <f>IFERROR(__xludf.DUMMYFUNCTION("IF(C2181&lt;&gt;"""", GOOGLETRANSLATE(C2181, ""en"", ""te""),"""")"),"")</f>
        <v/>
      </c>
      <c r="E2181" s="2"/>
      <c r="F2181" s="2" t="str">
        <f>IFERROR(__xludf.DUMMYFUNCTION("IF(E2181&lt;&gt;"""", GOOGLETRANSLATE(E2181, ""en"", ""te""),"""")"),"")</f>
        <v/>
      </c>
      <c r="G2181" s="2"/>
      <c r="H2181" s="2" t="str">
        <f>IFERROR(__xludf.DUMMYFUNCTION("IF(G2181&lt;&gt;"""", GOOGLETRANSLATE(G2181, ""en"", ""te""),"""")"),"")</f>
        <v/>
      </c>
      <c r="I2181" s="3"/>
    </row>
    <row r="2182" customHeight="1" spans="1:9">
      <c r="A2182" s="2"/>
      <c r="B2182" s="2" t="str">
        <f>IFERROR(__xludf.DUMMYFUNCTION("IF(A2182&lt;&gt;"""", GOOGLETRANSLATE(A2182, ""en"", ""te""),"""")"),"")</f>
        <v/>
      </c>
      <c r="C2182" s="2"/>
      <c r="D2182" s="2" t="str">
        <f>IFERROR(__xludf.DUMMYFUNCTION("IF(C2182&lt;&gt;"""", GOOGLETRANSLATE(C2182, ""en"", ""te""),"""")"),"")</f>
        <v/>
      </c>
      <c r="E2182" s="2"/>
      <c r="F2182" s="2" t="str">
        <f>IFERROR(__xludf.DUMMYFUNCTION("IF(E2182&lt;&gt;"""", GOOGLETRANSLATE(E2182, ""en"", ""te""),"""")"),"")</f>
        <v/>
      </c>
      <c r="G2182" s="2"/>
      <c r="H2182" s="2" t="str">
        <f>IFERROR(__xludf.DUMMYFUNCTION("IF(G2182&lt;&gt;"""", GOOGLETRANSLATE(G2182, ""en"", ""te""),"""")"),"")</f>
        <v/>
      </c>
      <c r="I2182" s="3"/>
    </row>
    <row r="2183" customHeight="1" spans="1:9">
      <c r="A2183" s="2"/>
      <c r="B2183" s="2" t="str">
        <f>IFERROR(__xludf.DUMMYFUNCTION("IF(A2183&lt;&gt;"""", GOOGLETRANSLATE(A2183, ""en"", ""te""),"""")"),"")</f>
        <v/>
      </c>
      <c r="C2183" s="2"/>
      <c r="D2183" s="2" t="str">
        <f>IFERROR(__xludf.DUMMYFUNCTION("IF(C2183&lt;&gt;"""", GOOGLETRANSLATE(C2183, ""en"", ""te""),"""")"),"")</f>
        <v/>
      </c>
      <c r="E2183" s="2"/>
      <c r="F2183" s="2" t="str">
        <f>IFERROR(__xludf.DUMMYFUNCTION("IF(E2183&lt;&gt;"""", GOOGLETRANSLATE(E2183, ""en"", ""te""),"""")"),"")</f>
        <v/>
      </c>
      <c r="G2183" s="2"/>
      <c r="H2183" s="2" t="str">
        <f>IFERROR(__xludf.DUMMYFUNCTION("IF(G2183&lt;&gt;"""", GOOGLETRANSLATE(G2183, ""en"", ""te""),"""")"),"")</f>
        <v/>
      </c>
      <c r="I2183" s="3"/>
    </row>
    <row r="2184" customHeight="1" spans="1:9">
      <c r="A2184" s="2" t="s">
        <v>1453</v>
      </c>
      <c r="B2184" s="2" t="str">
        <f>IFERROR(__xludf.DUMMYFUNCTION("IF(A2184&lt;&gt;"""", GOOGLETRANSLATE(A2184, ""en"", ""te""),"""")"),"[ '3 వ అత్యధిక సమ్మె ఇన్నింగ్స్ లో రేటు (277.77)', '1 వ ఉత్తమ కెరీర్ సమ్మె రేటు (23.4)', '2 వ వరుస ఐదు వికెట్ల లో-ఒక-ఇన్నింగ్స్ (2)']")</f>
        <v>[ '3 వ అత్యధిక సమ్మె ఇన్నింగ్స్ లో రేటు (277.77)', '1 వ ఉత్తమ కెరీర్ సమ్మె రేటు (23.4)', '2 వ వరుస ఐదు వికెట్ల లో-ఒక-ఇన్నింగ్స్ (2)']</v>
      </c>
      <c r="C2184" s="2" t="s">
        <v>1454</v>
      </c>
      <c r="D2184" s="2" t="str">
        <f>IFERROR(__xludf.DUMMYFUNCTION("IF(C2184&lt;&gt;"""", GOOGLETRANSLATE(C2184, ""en"", ""te""),"""")"),"[ 'ఇన్నింగ్స్ లో 3 వ అత్యధిక స్ట్రైక్ రేట్ (277.77)', '24th ఒక ఇన్నింగ్స్ లోని బెస్ట్ ఫిగర్స్ ఉన్నప్పుడు పరాజయం వైపు (7)', '38 వ ఉత్తమ కెరీర్ సమ్మె రేటు (50.7)', '48 వ 100 వికెట్లు వేగంగా (24 ) ']")</f>
        <v>[ 'ఇన్నింగ్స్ లో 3 వ అత్యధిక స్ట్రైక్ రేట్ (277.77)', '24th ఒక ఇన్నింగ్స్ లోని బెస్ట్ ఫిగర్స్ ఉన్నప్పుడు పరాజయం వైపు (7)', '38 వ ఉత్తమ కెరీర్ సమ్మె రేటు (50.7)', '48 వ 100 వికెట్లు వేగంగా (24 ) ']</v>
      </c>
      <c r="E2184" s="2" t="s">
        <v>1455</v>
      </c>
      <c r="F2184" s="2" t="str">
        <f>IFERROR(__xludf.DUMMYFUNCTION("IF(E2184&lt;&gt;"""", GOOGLETRANSLATE(E2184, ""en"", ""te""),"""")"),"[ '3 వ ఉత్తమ కెరీర్ బౌలింగ్ సరాసరి (18.90)', '1 వ ఉత్తమ కెరీర్ సమ్మె రేటు (23.4)', '25 వ అత్యంత ఐదు-వికెట్ల లో-ఒక-ఇన్నింగ్స్ కెరీర్లో (3)', '2 వ వరుస ఐదు వికెట్లు -ఇన్-ఒక-ఇన్నింగ్స్ (2) ',' 13 వ వరుస నాలుగు వికెట్లు-ఇన్-ఒక-ఇన్నింగ్స్ (2) ',' 50 వ అత్యంత వ"&amp;"ృద్ధ ఆటగాడు తొలి తీసుకుని ఐదు-వికెట్ల లో-ఒక-ఇన్నింగ్స్ (30y 107d) ']")</f>
        <v>[ '3 వ ఉత్తమ కెరీర్ బౌలింగ్ సరాసరి (18.90)', '1 వ ఉత్తమ కెరీర్ సమ్మె రేటు (23.4)', '25 వ అత్యంత ఐదు-వికెట్ల లో-ఒక-ఇన్నింగ్స్ కెరీర్లో (3)', '2 వ వరుస ఐదు వికెట్లు -ఇన్-ఒక-ఇన్నింగ్స్ (2) ',' 13 వ వరుస నాలుగు వికెట్లు-ఇన్-ఒక-ఇన్నింగ్స్ (2) ',' 50 వ అత్యంత వృద్ధ ఆటగాడు తొలి తీసుకుని ఐదు-వికెట్ల లో-ఒక-ఇన్నింగ్స్ (30y 107d) ']</v>
      </c>
      <c r="G2184" s="2"/>
      <c r="H2184" s="2" t="str">
        <f>IFERROR(__xludf.DUMMYFUNCTION("IF(G2184&lt;&gt;"""", GOOGLETRANSLATE(G2184, ""en"", ""te""),"""")"),"")</f>
        <v/>
      </c>
      <c r="I2184" s="3"/>
    </row>
    <row r="2185" customHeight="1" spans="1:9">
      <c r="A2185" s="2"/>
      <c r="B2185" s="2" t="str">
        <f>IFERROR(__xludf.DUMMYFUNCTION("IF(A2185&lt;&gt;"""", GOOGLETRANSLATE(A2185, ""en"", ""te""),"""")"),"")</f>
        <v/>
      </c>
      <c r="C2185" s="2" t="s">
        <v>1456</v>
      </c>
      <c r="D2185" s="2" t="str">
        <f>IFERROR(__xludf.DUMMYFUNCTION("IF(C2185&lt;&gt;"""", GOOGLETRANSLATE(C2185, ""en"", ""te""),"""")"),"[ 'పదవ వికెట్కు 32 వ అత్యధిక భాగస్వామ్యం (97)']")</f>
        <v>[ 'పదవ వికెట్కు 32 వ అత్యధిక భాగస్వామ్యం (97)']</v>
      </c>
      <c r="E2185" s="2"/>
      <c r="F2185" s="2" t="str">
        <f>IFERROR(__xludf.DUMMYFUNCTION("IF(E2185&lt;&gt;"""", GOOGLETRANSLATE(E2185, ""en"", ""te""),"""")"),"")</f>
        <v/>
      </c>
      <c r="G2185" s="2"/>
      <c r="H2185" s="2" t="str">
        <f>IFERROR(__xludf.DUMMYFUNCTION("IF(G2185&lt;&gt;"""", GOOGLETRANSLATE(G2185, ""en"", ""te""),"""")"),"")</f>
        <v/>
      </c>
      <c r="I2185" s="3"/>
    </row>
    <row r="2186" customHeight="1" spans="1:9">
      <c r="A2186" s="2" t="s">
        <v>1457</v>
      </c>
      <c r="B2186" s="2" t="str">
        <f>IFERROR(__xludf.DUMMYFUNCTION("IF(A2186&lt;&gt;"""", GOOGLETRANSLATE(A2186, ""en"", ""te""),"""")"),"[ 'వరుస 1 వ అత్యధిక వికెట్లు (29)', '5 వ ఇన్నింగ్స్ లో అత్యధిక క్యాచ్లు (6)', 'ఒక వికెట్ కీపర్ సిరీస్లో 4 అత్యధిక పరుగులు (493)', '300 పరుగులు మరియు 15 వికెట్కీపింగ్ వరుస తొలగింపులకు ',' కెరీర్ లో (10) ',' 7 వ అత్యధిక వికెట్లు ఇన్నింగ్స్ లో వికెట్ను కాపాడ"&amp;"ుకున్నాడు మరియు బ్యాటింగ్ (2) ',' 4 వ అత్యంత సాధించిన బైస్ తెరిచిన చేసిన 4 వ కెప్టెన్ల (474) ',' 7 వ కెరీర్లో అత్యధిక క్యాచ్లు (449 ) ',' మొదటి డక్ ముందు చాలా 5 వ ఇన్నింగ్స్ (69) ']")</f>
        <v>[ 'వరుస 1 వ అత్యధిక వికెట్లు (29)', '5 వ ఇన్నింగ్స్ లో అత్యధిక క్యాచ్లు (6)', 'ఒక వికెట్ కీపర్ సిరీస్లో 4 అత్యధిక పరుగులు (493)', '300 పరుగులు మరియు 15 వికెట్కీపింగ్ వరుస తొలగింపులకు ',' కెరీర్ లో (10) ',' 7 వ అత్యధిక వికెట్లు ఇన్నింగ్స్ లో వికెట్ను కాపాడుకున్నాడు మరియు బ్యాటింగ్ (2) ',' 4 వ అత్యంత సాధించిన బైస్ తెరిచిన చేసిన 4 వ కెప్టెన్ల (474) ',' 7 వ కెరీర్లో అత్యధిక క్యాచ్లు (449 ) ',' మొదటి డక్ ముందు చాలా 5 వ ఇన్నింగ్స్ (69) ']</v>
      </c>
      <c r="C2186" s="2" t="s">
        <v>1458</v>
      </c>
      <c r="D2186" s="2" t="str">
        <f>IFERROR(__xludf.DUMMYFUNCTION("IF(C2186&lt;&gt;"""", GOOGLETRANSLATE(C2186, ""en"", ""te""),"""")"),"[ 'ఇన్నింగ్స్ లో 10 వ అత్యధిక పరుగులు (బ్యాటింగ్ స్థానంలో ప్రకారం) (169)', 'అత్యధిక వికెట్లు 4 వ ఒక సిరీస్లో అత్యధిక పరుగులు (493)', 'అత్యధిక వికెట్లు ఇన్నింగ్స్ లో 19 అత్యధిక పరుగులు (169)', '26 మొదటి డక్ ముందు అత్యంత ఇన్నింగ్స్ (37) ',' 33 వ కెరీర్ లో వ"&amp;"చ్చిన ఎక్కువ సిక్స్ (54) ',' 6 వ కెరీర్ లో అత్యధిక వికెట్లు (270) ',' 5 వ అత్యంత ఇన్నింగ్స్ లో వికెట్లు (6) ',' 8 వ అత్యంత ఒక లో తొలగింపులకు వరుస మ్యాచ్ (9) ',' 1 వ అత్యధిక వికెట్లు (29) ',' 6 వ కెరీర్లో అత్యధిక క్యాచ్లు (262) ',' 5 వ ఇన్నింగ్స్ మ్యాచ్ లో"&amp;" (6) ',' 8 వ అత్యధిక క్యాచ్లు లో అత్యధిక క్యాచ్లు (9 ) ',' 7th ఒక సిరీస్లో అత్యధిక క్యాచ్లు (29) ']")</f>
        <v>[ 'ఇన్నింగ్స్ లో 10 వ అత్యధిక పరుగులు (బ్యాటింగ్ స్థానంలో ప్రకారం) (169)', 'అత్యధిక వికెట్లు 4 వ ఒక సిరీస్లో అత్యధిక పరుగులు (493)', 'అత్యధిక వికెట్లు ఇన్నింగ్స్ లో 19 అత్యధిక పరుగులు (169)', '26 మొదటి డక్ ముందు అత్యంత ఇన్నింగ్స్ (37) ',' 33 వ కెరీర్ లో వచ్చిన ఎక్కువ సిక్స్ (54) ',' 6 వ కెరీర్ లో అత్యధిక వికెట్లు (270) ',' 5 వ అత్యంత ఇన్నింగ్స్ లో వికెట్లు (6) ',' 8 వ అత్యంత ఒక లో తొలగింపులకు వరుస మ్యాచ్ (9) ',' 1 వ అత్యధిక వికెట్లు (29) ',' 6 వ కెరీర్లో అత్యధిక క్యాచ్లు (262) ',' 5 వ ఇన్నింగ్స్ మ్యాచ్ లో (6) ',' 8 వ అత్యధిక క్యాచ్లు లో అత్యధిక క్యాచ్లు (9 ) ',' 7th ఒక సిరీస్లో అత్యధిక క్యాచ్లు (29) ']</v>
      </c>
      <c r="E2186" s="2" t="s">
        <v>1459</v>
      </c>
      <c r="F2186" s="2" t="str">
        <f>IFERROR(__xludf.DUMMYFUNCTION("IF(E2186&lt;&gt;"""", GOOGLETRANSLATE(E2186, ""en"", ""te""),"""")"),"[ '31 మోస్ట్ వికెట్కీపర్ శ్రేణిలో పరుగులు (332)', '31 అత్యధిక సమ్మె ఇన్నింగ్స్ లో రేటు (277.77)', '12 వ అత్యంత ఇన్నింగ్స్ తొలి డక్ ముందు (47)' కెరీర్ లో, '11 వ అతి తక్కువ బాతులు (57.5) ',' కెరీర్లో 16 వ అత్యధిక వికెట్లు (181) ',' 16 వ ఇన్నింగ్స్ లో అత్యధి"&amp;"క వికెట్లు (5) ',' 17 వ ఒక సిరీస్లో అత్యధిక వికెట్లు (17) ',' 13 వ అత్యధిక క్యాచ్లు కెరీర్లో (170) ',' 11 వ ఒక ఇన్నింగ్స్ లో అత్యధిక క్యాచ్లు (5) ',' 12 వ ఒక సిరీస్లో అత్యధిక క్యాచ్లు (16) ',' 35 వ కెరీర్ స్టంపింగ్లు (11) ',' 17 వ అత్యంత ఇన్నింగ్స్ లో సాధ"&amp;"ించిన బైస్ (11) ']")</f>
        <v>[ '31 మోస్ట్ వికెట్కీపర్ శ్రేణిలో పరుగులు (332)', '31 అత్యధిక సమ్మె ఇన్నింగ్స్ లో రేటు (277.77)', '12 వ అత్యంత ఇన్నింగ్స్ తొలి డక్ ముందు (47)' కెరీర్ లో, '11 వ అతి తక్కువ బాతులు (57.5) ',' కెరీర్లో 16 వ అత్యధిక వికెట్లు (181) ',' 16 వ ఇన్నింగ్స్ లో అత్యధిక వికెట్లు (5) ',' 17 వ ఒక సిరీస్లో అత్యధిక వికెట్లు (17) ',' 13 వ అత్యధిక క్యాచ్లు కెరీర్లో (170) ',' 11 వ ఒక ఇన్నింగ్స్ లో అత్యధిక క్యాచ్లు (5) ',' 12 వ ఒక సిరీస్లో అత్యధిక క్యాచ్లు (16) ',' 35 వ కెరీర్ స్టంపింగ్లు (11) ',' 17 వ అత్యంత ఇన్నింగ్స్ లో సాధించిన బైస్ (11) ']</v>
      </c>
      <c r="G2186" s="2" t="s">
        <v>1460</v>
      </c>
      <c r="H2186" s="2" t="str">
        <f>IFERROR(__xludf.DUMMYFUNCTION("IF(G2186&lt;&gt;"""", GOOGLETRANSLATE(G2186, ""en"", ""te""),"""")"),"[ 'ఆరవ వికెట్కు 36 వ అత్యధిక భాగస్వామ్యం (66)', 'వికెట్ (2) ఉంచింది చేసిన 29 కెప్టెన్ల', 'వికెట్ను కాపాడుకున్నాడు మరియు బ్యాటింగ్ తెరిచారు 4 వ కెప్టెన్ల (2)', '19 వ కెరీర్ లో అత్యధిక వికెట్లు (23 ) ',' కెరీర్లో 20 వ అత్యధిక క్యాచ్లు (17) ',' 13 వ ఇన్నింగ్"&amp;"స్ లో అత్యధిక క్యాచ్లు (3) ',' 17 వ కెరీర్ లో (6) ',' 4 వ అత్యంత ఇన్నింగ్స్ లో (సాధించిన 10 బైస్ చాలా స్టంపింగ్లు) ']")</f>
        <v>[ 'ఆరవ వికెట్కు 36 వ అత్యధిక భాగస్వామ్యం (66)', 'వికెట్ (2) ఉంచింది చేసిన 29 కెప్టెన్ల', 'వికెట్ను కాపాడుకున్నాడు మరియు బ్యాటింగ్ తెరిచారు 4 వ కెప్టెన్ల (2)', '19 వ కెరీర్ లో అత్యధిక వికెట్లు (23 ) ',' కెరీర్లో 20 వ అత్యధిక క్యాచ్లు (17) ',' 13 వ ఇన్నింగ్స్ లో అత్యధిక క్యాచ్లు (3) ',' 17 వ కెరీర్ లో (6) ',' 4 వ అత్యంత ఇన్నింగ్స్ లో (సాధించిన 10 బైస్ చాలా స్టంపింగ్లు) ']</v>
      </c>
      <c r="I2186" s="3"/>
    </row>
    <row r="2187" customHeight="1" spans="1:9">
      <c r="A2187" s="2"/>
      <c r="B2187" s="2" t="str">
        <f>IFERROR(__xludf.DUMMYFUNCTION("IF(A2187&lt;&gt;"""", GOOGLETRANSLATE(A2187, ""en"", ""te""),"""")"),"")</f>
        <v/>
      </c>
      <c r="C2187" s="2"/>
      <c r="D2187" s="2" t="str">
        <f>IFERROR(__xludf.DUMMYFUNCTION("IF(C2187&lt;&gt;"""", GOOGLETRANSLATE(C2187, ""en"", ""te""),"""")"),"")</f>
        <v/>
      </c>
      <c r="E2187" s="2"/>
      <c r="F2187" s="2" t="str">
        <f>IFERROR(__xludf.DUMMYFUNCTION("IF(E2187&lt;&gt;"""", GOOGLETRANSLATE(E2187, ""en"", ""te""),"""")"),"")</f>
        <v/>
      </c>
      <c r="G2187" s="2"/>
      <c r="H2187" s="2" t="str">
        <f>IFERROR(__xludf.DUMMYFUNCTION("IF(G2187&lt;&gt;"""", GOOGLETRANSLATE(G2187, ""en"", ""te""),"""")"),"")</f>
        <v/>
      </c>
      <c r="I2187" s="3"/>
    </row>
    <row r="2188" customHeight="1" spans="1:9">
      <c r="A2188" s="2"/>
      <c r="B2188" s="2" t="str">
        <f>IFERROR(__xludf.DUMMYFUNCTION("IF(A2188&lt;&gt;"""", GOOGLETRANSLATE(A2188, ""en"", ""te""),"""")"),"")</f>
        <v/>
      </c>
      <c r="C2188" s="2" t="s">
        <v>1461</v>
      </c>
      <c r="D2188" s="2" t="str">
        <f>IFERROR(__xludf.DUMMYFUNCTION("IF(C2188&lt;&gt;"""", GOOGLETRANSLATE(C2188, ""en"", ""te""),"""")"),"[ '44 వ ఒక సిరీస్లో అత్యధిక వికెట్లు (32)', '40 వ మ్యాచ్ లో బెస్ట్ ఫిగర్స్ కూడా ఓడిపోయింది వైపు (10)', '19 వ ఉత్తమ కెరీర్ సమ్మె రేటు (46.6)', '33 వ అరంగేట్రంలోనే మ్యాచ్లో ఉత్తమ బొమ్మలు (8) ']")</f>
        <v>[ '44 వ ఒక సిరీస్లో అత్యధిక వికెట్లు (32)', '40 వ మ్యాచ్ లో బెస్ట్ ఫిగర్స్ కూడా ఓడిపోయింది వైపు (10)', '19 వ ఉత్తమ కెరీర్ సమ్మె రేటు (46.6)', '33 వ అరంగేట్రంలోనే మ్యాచ్లో ఉత్తమ బొమ్మలు (8) ']</v>
      </c>
      <c r="E2188" s="2"/>
      <c r="F2188" s="2" t="str">
        <f>IFERROR(__xludf.DUMMYFUNCTION("IF(E2188&lt;&gt;"""", GOOGLETRANSLATE(E2188, ""en"", ""te""),"""")"),"")</f>
        <v/>
      </c>
      <c r="G2188" s="2"/>
      <c r="H2188" s="2" t="str">
        <f>IFERROR(__xludf.DUMMYFUNCTION("IF(G2188&lt;&gt;"""", GOOGLETRANSLATE(G2188, ""en"", ""te""),"""")"),"")</f>
        <v/>
      </c>
      <c r="I2188" s="3"/>
    </row>
    <row r="2189" customHeight="1" spans="1:9">
      <c r="A2189" s="2"/>
      <c r="B2189" s="2" t="str">
        <f>IFERROR(__xludf.DUMMYFUNCTION("IF(A2189&lt;&gt;"""", GOOGLETRANSLATE(A2189, ""en"", ""te""),"""")"),"")</f>
        <v/>
      </c>
      <c r="C2189" s="2"/>
      <c r="D2189" s="2" t="str">
        <f>IFERROR(__xludf.DUMMYFUNCTION("IF(C2189&lt;&gt;"""", GOOGLETRANSLATE(C2189, ""en"", ""te""),"""")"),"")</f>
        <v/>
      </c>
      <c r="E2189" s="2"/>
      <c r="F2189" s="2" t="str">
        <f>IFERROR(__xludf.DUMMYFUNCTION("IF(E2189&lt;&gt;"""", GOOGLETRANSLATE(E2189, ""en"", ""te""),"""")"),"")</f>
        <v/>
      </c>
      <c r="G2189" s="2"/>
      <c r="H2189" s="2" t="str">
        <f>IFERROR(__xludf.DUMMYFUNCTION("IF(G2189&lt;&gt;"""", GOOGLETRANSLATE(G2189, ""en"", ""te""),"""")"),"")</f>
        <v/>
      </c>
      <c r="I2189" s="3"/>
    </row>
    <row r="2190" customHeight="1" spans="1:9">
      <c r="A2190" s="2"/>
      <c r="B2190" s="2" t="str">
        <f>IFERROR(__xludf.DUMMYFUNCTION("IF(A2190&lt;&gt;"""", GOOGLETRANSLATE(A2190, ""en"", ""te""),"""")"),"")</f>
        <v/>
      </c>
      <c r="C2190" s="2"/>
      <c r="D2190" s="2" t="str">
        <f>IFERROR(__xludf.DUMMYFUNCTION("IF(C2190&lt;&gt;"""", GOOGLETRANSLATE(C2190, ""en"", ""te""),"""")"),"")</f>
        <v/>
      </c>
      <c r="E2190" s="2"/>
      <c r="F2190" s="2" t="str">
        <f>IFERROR(__xludf.DUMMYFUNCTION("IF(E2190&lt;&gt;"""", GOOGLETRANSLATE(E2190, ""en"", ""te""),"""")"),"")</f>
        <v/>
      </c>
      <c r="G2190" s="2"/>
      <c r="H2190" s="2" t="str">
        <f>IFERROR(__xludf.DUMMYFUNCTION("IF(G2190&lt;&gt;"""", GOOGLETRANSLATE(G2190, ""en"", ""te""),"""")"),"")</f>
        <v/>
      </c>
      <c r="I2190" s="3"/>
    </row>
    <row r="2191" customHeight="1" spans="1:9">
      <c r="A2191" s="2"/>
      <c r="B2191" s="2" t="str">
        <f>IFERROR(__xludf.DUMMYFUNCTION("IF(A2191&lt;&gt;"""", GOOGLETRANSLATE(A2191, ""en"", ""te""),"""")"),"")</f>
        <v/>
      </c>
      <c r="C2191" s="2"/>
      <c r="D2191" s="2" t="str">
        <f>IFERROR(__xludf.DUMMYFUNCTION("IF(C2191&lt;&gt;"""", GOOGLETRANSLATE(C2191, ""en"", ""te""),"""")"),"")</f>
        <v/>
      </c>
      <c r="E2191" s="2"/>
      <c r="F2191" s="2" t="str">
        <f>IFERROR(__xludf.DUMMYFUNCTION("IF(E2191&lt;&gt;"""", GOOGLETRANSLATE(E2191, ""en"", ""te""),"""")"),"")</f>
        <v/>
      </c>
      <c r="G2191" s="2"/>
      <c r="H2191" s="2" t="str">
        <f>IFERROR(__xludf.DUMMYFUNCTION("IF(G2191&lt;&gt;"""", GOOGLETRANSLATE(G2191, ""en"", ""te""),"""")"),"")</f>
        <v/>
      </c>
      <c r="I2191" s="3"/>
    </row>
    <row r="2192" customHeight="1" spans="1:9">
      <c r="A2192" s="2"/>
      <c r="B2192" s="2" t="str">
        <f>IFERROR(__xludf.DUMMYFUNCTION("IF(A2192&lt;&gt;"""", GOOGLETRANSLATE(A2192, ""en"", ""te""),"""")"),"")</f>
        <v/>
      </c>
      <c r="C2192" s="2" t="s">
        <v>1462</v>
      </c>
      <c r="D2192" s="2" t="str">
        <f>IFERROR(__xludf.DUMMYFUNCTION("IF(C2192&lt;&gt;"""", GOOGLETRANSLATE(C2192, ""en"", ""te""),"""")"),"[ '15 వ వరుస మ్యాచ్లు ప్రదర్శనల మధ్య (78) జట్టు తప్పిన']")</f>
        <v>[ '15 వ వరుస మ్యాచ్లు ప్రదర్శనల మధ్య (78) జట్టు తప్పిన']</v>
      </c>
      <c r="E2192" s="2" t="s">
        <v>1463</v>
      </c>
      <c r="F2192" s="2" t="str">
        <f>IFERROR(__xludf.DUMMYFUNCTION("IF(E2192&lt;&gt;"""", GOOGLETRANSLATE(E2192, ""en"", ""te""),"""")"),"[ '45 వ అత్యధిక ఇన్నింగ్స్ లో సమ్మె రేటు (266.66)', '16 వ అత్యధిక వికెట్లు వరుస (21)', 'ఇన్నింగ్స్ లో 47 వ ఉత్తమ సమ్మె రేటు (7.2)', '43 వ అత్యంత ఐదు-వికెట్ల ఇన్ an- ఒక వృత్తిలో ఇన్నింగ్స్ (2) ',' ఐదు వికెట్ల లో-ఒక-ఇన్నింగ్స్ తొలి తీసుకోవాలని తీసుకోవాలని 2"&amp;"0 వ అత్యంత వృద్ధ ఆటగాడు (33y 343d) ',' 19 వ అత్యంత వృద్ధ ఆటగాడు ఐదు వికెట్ల లో-ఒక-ఇన్నింగ్స్ (33y 14D ) ',' 25 వ అత్యధిక వికెట్లు ఆకర్షించింది తీసుకున్న మరియు బౌల్డ్ (11) ',' 31 అత్యధిక వికెట్లు తీసుకున్న ఎల్బిడబ్ల్యు (27) ',' 28th అత్యధిక వికెట్లు స్టంప్"&amp;" (12) ',' 41 వ వేగంగా 150 వికెట్లు (118) ',' తీసుకున్న 21 వ వరుస మ్యాచ్లు ఆడి మధ్య జట్టు (156) కోసం తప్పిన ']")</f>
        <v>[ '45 వ అత్యధిక ఇన్నింగ్స్ లో సమ్మె రేటు (266.66)', '16 వ అత్యధిక వికెట్లు వరుస (21)', 'ఇన్నింగ్స్ లో 47 వ ఉత్తమ సమ్మె రేటు (7.2)', '43 వ అత్యంత ఐదు-వికెట్ల ఇన్ an- ఒక వృత్తిలో ఇన్నింగ్స్ (2) ',' ఐదు వికెట్ల లో-ఒక-ఇన్నింగ్స్ తొలి తీసుకోవాలని తీసుకోవాలని 20 వ అత్యంత వృద్ధ ఆటగాడు (33y 343d) ',' 19 వ అత్యంత వృద్ధ ఆటగాడు ఐదు వికెట్ల లో-ఒక-ఇన్నింగ్స్ (33y 14D ) ',' 25 వ అత్యధిక వికెట్లు ఆకర్షించింది తీసుకున్న మరియు బౌల్డ్ (11) ',' 31 అత్యధిక వికెట్లు తీసుకున్న ఎల్బిడబ్ల్యు (27) ',' 28th అత్యధిక వికెట్లు స్టంప్ (12) ',' 41 వ వేగంగా 150 వికెట్లు (118) ',' తీసుకున్న 21 వ వరుస మ్యాచ్లు ఆడి మధ్య జట్టు (156) కోసం తప్పిన ']</v>
      </c>
      <c r="G2192" s="2" t="s">
        <v>1464</v>
      </c>
      <c r="H2192" s="2" t="str">
        <f>IFERROR(__xludf.DUMMYFUNCTION("IF(G2192&lt;&gt;"""", GOOGLETRANSLATE(G2192, ""en"", ""te""),"""")"),"[ '45 వ ఇన్నింగ్స్ లో అత్యధిక పరుగులు (బ్యాటింగ్ స్థానంలో ప్రకారం) (41)', 'ఏడవ వికెట్కు 20 వ అత్యధిక భాగస్వామ్యం (57)', '28th ఓల్డెస్ట్ క్రీడాకారులు (43y 45d)', '36 వ వరుస మ్యాచ్లు బృందం కోసం తప్పిన ప్రదర్శనల మధ్య (40) ',' ప్రదర్శనల మధ్య 48 వ లాంగెస్ట్ వ్"&amp;"యవధిలో (5 సం 23d) ',' 22 వ పురాతన దేశం ఆటగాళ్ళు (50y 37d) ']")</f>
        <v>[ '45 వ ఇన్నింగ్స్ లో అత్యధిక పరుగులు (బ్యాటింగ్ స్థానంలో ప్రకారం) (41)', 'ఏడవ వికెట్కు 20 వ అత్యధిక భాగస్వామ్యం (57)', '28th ఓల్డెస్ట్ క్రీడాకారులు (43y 45d)', '36 వ వరుస మ్యాచ్లు బృందం కోసం తప్పిన ప్రదర్శనల మధ్య (40) ',' ప్రదర్శనల మధ్య 48 వ లాంగెస్ట్ వ్యవధిలో (5 సం 23d) ',' 22 వ పురాతన దేశం ఆటగాళ్ళు (50y 37d) ']</v>
      </c>
      <c r="I2192" s="3"/>
    </row>
    <row r="2193" customHeight="1" spans="1:9">
      <c r="A2193" s="2"/>
      <c r="B2193" s="2" t="str">
        <f>IFERROR(__xludf.DUMMYFUNCTION("IF(A2193&lt;&gt;"""", GOOGLETRANSLATE(A2193, ""en"", ""te""),"""")"),"")</f>
        <v/>
      </c>
      <c r="C2193" s="2" t="s">
        <v>1465</v>
      </c>
      <c r="D2193" s="2" t="str">
        <f>IFERROR(__xludf.DUMMYFUNCTION("IF(C2193&lt;&gt;"""", GOOGLETRANSLATE(C2193, ""en"", ""te""),"""")"),"[ '44 వ పురాతన దేశం ఆటగాళ్ళు (86y 225d)']")</f>
        <v>[ '44 వ పురాతన దేశం ఆటగాళ్ళు (86y 225d)']</v>
      </c>
      <c r="E2193" s="2"/>
      <c r="F2193" s="2" t="str">
        <f>IFERROR(__xludf.DUMMYFUNCTION("IF(E2193&lt;&gt;"""", GOOGLETRANSLATE(E2193, ""en"", ""te""),"""")"),"")</f>
        <v/>
      </c>
      <c r="G2193" s="2"/>
      <c r="H2193" s="2" t="str">
        <f>IFERROR(__xludf.DUMMYFUNCTION("IF(G2193&lt;&gt;"""", GOOGLETRANSLATE(G2193, ""en"", ""te""),"""")"),"")</f>
        <v/>
      </c>
      <c r="I2193" s="3"/>
    </row>
    <row r="2194" customHeight="1" spans="1:9">
      <c r="A2194" s="2"/>
      <c r="B2194" s="2" t="str">
        <f>IFERROR(__xludf.DUMMYFUNCTION("IF(A2194&lt;&gt;"""", GOOGLETRANSLATE(A2194, ""en"", ""te""),"""")"),"")</f>
        <v/>
      </c>
      <c r="C2194" s="2" t="s">
        <v>1466</v>
      </c>
      <c r="D2194" s="2" t="str">
        <f>IFERROR(__xludf.DUMMYFUNCTION("IF(C2194&lt;&gt;"""", GOOGLETRANSLATE(C2194, ""en"", ""te""),"""")"),"[ '25 లాంగెస్ట్ నివసించారు క్రీడాకారులు (93y 206d)']")</f>
        <v>[ '25 లాంగెస్ట్ నివసించారు క్రీడాకారులు (93y 206d)']</v>
      </c>
      <c r="E2194" s="2"/>
      <c r="F2194" s="2" t="str">
        <f>IFERROR(__xludf.DUMMYFUNCTION("IF(E2194&lt;&gt;"""", GOOGLETRANSLATE(E2194, ""en"", ""te""),"""")"),"")</f>
        <v/>
      </c>
      <c r="G2194" s="2"/>
      <c r="H2194" s="2" t="str">
        <f>IFERROR(__xludf.DUMMYFUNCTION("IF(G2194&lt;&gt;"""", GOOGLETRANSLATE(G2194, ""en"", ""te""),"""")"),"")</f>
        <v/>
      </c>
      <c r="I2194" s="3"/>
    </row>
    <row r="2195" customHeight="1" spans="1:9">
      <c r="A2195" s="2"/>
      <c r="B2195" s="2" t="str">
        <f>IFERROR(__xludf.DUMMYFUNCTION("IF(A2195&lt;&gt;"""", GOOGLETRANSLATE(A2195, ""en"", ""te""),"""")"),"")</f>
        <v/>
      </c>
      <c r="C2195" s="2"/>
      <c r="D2195" s="2" t="str">
        <f>IFERROR(__xludf.DUMMYFUNCTION("IF(C2195&lt;&gt;"""", GOOGLETRANSLATE(C2195, ""en"", ""te""),"""")"),"")</f>
        <v/>
      </c>
      <c r="E2195" s="2"/>
      <c r="F2195" s="2" t="str">
        <f>IFERROR(__xludf.DUMMYFUNCTION("IF(E2195&lt;&gt;"""", GOOGLETRANSLATE(E2195, ""en"", ""te""),"""")"),"")</f>
        <v/>
      </c>
      <c r="G2195" s="2"/>
      <c r="H2195" s="2" t="str">
        <f>IFERROR(__xludf.DUMMYFUNCTION("IF(G2195&lt;&gt;"""", GOOGLETRANSLATE(G2195, ""en"", ""te""),"""")"),"")</f>
        <v/>
      </c>
      <c r="I2195" s="3"/>
    </row>
    <row r="2196" customHeight="1" spans="1:9">
      <c r="A2196" s="2" t="s">
        <v>1467</v>
      </c>
      <c r="B2196" s="2" t="str">
        <f>IFERROR(__xludf.DUMMYFUNCTION("IF(A2196&lt;&gt;"""", GOOGLETRANSLATE(A2196, ""en"", ""te""),"""")"),"[ 'ఒక క్యాలెండర్ సంవత్సరంలో 9 వ అత్యధిక వికెట్లు (24)']")</f>
        <v>[ 'ఒక క్యాలెండర్ సంవత్సరంలో 9 వ అత్యధిక వికెట్లు (24)']</v>
      </c>
      <c r="C2196" s="2"/>
      <c r="D2196" s="2" t="str">
        <f>IFERROR(__xludf.DUMMYFUNCTION("IF(C2196&lt;&gt;"""", GOOGLETRANSLATE(C2196, ""en"", ""te""),"""")"),"")</f>
        <v/>
      </c>
      <c r="E2196" s="2"/>
      <c r="F2196" s="2" t="str">
        <f>IFERROR(__xludf.DUMMYFUNCTION("IF(E2196&lt;&gt;"""", GOOGLETRANSLATE(E2196, ""en"", ""te""),"""")"),"")</f>
        <v/>
      </c>
      <c r="G2196" s="2" t="s">
        <v>1468</v>
      </c>
      <c r="H2196" s="2" t="str">
        <f>IFERROR(__xludf.DUMMYFUNCTION("IF(G2196&lt;&gt;"""", GOOGLETRANSLATE(G2196, ""en"", ""te""),"""")"),"[40 వ ఇన్నింగ్స్ లో బెస్ట్ ఫిగర్స్ (5/22) ',' ఒక క్యాలెండర్ సంవత్సరంలో 9 వ అత్యధిక వికెట్లు (24) ',' 44 వ అత్యుత్తమ బౌలింగ్ ఇన్నింగ్స్ లో విశ్లేషించడం (2/4) ',' 30 వ ఉత్తమ కెరీర్ సగటు బౌలింగ్ ( 18.33) ',' 26 ఉత్తమ కెరీర్ సమ్మె రేటు (18.7) ',' ఇన్నింగ్స్ ల"&amp;"ో 33 వ ఉత్తమ సమ్మె రేటు (4.0) ',' 13 వ అత్యంత నాలుగు వికెట్లు-ఇన్-ఒక-ఇన్నింగ్స్ కెరీర్లో (2) ',' 50 వ ఎక్కువ వికెట్లు ఆకర్షించింది తీసుకోకూడదు (24) ',' 45 వ అత్యధిక వికెట్లు ఒక ఫీల్డర్ (21) పట్టుకుంటే తీసిన]")</f>
        <v>[40 వ ఇన్నింగ్స్ లో బెస్ట్ ఫిగర్స్ (5/22) ',' ఒక క్యాలెండర్ సంవత్సరంలో 9 వ అత్యధిక వికెట్లు (24) ',' 44 వ అత్యుత్తమ బౌలింగ్ ఇన్నింగ్స్ లో విశ్లేషించడం (2/4) ',' 30 వ ఉత్తమ కెరీర్ సగటు బౌలింగ్ ( 18.33) ',' 26 ఉత్తమ కెరీర్ సమ్మె రేటు (18.7) ',' ఇన్నింగ్స్ లో 33 వ ఉత్తమ సమ్మె రేటు (4.0) ',' 13 వ అత్యంత నాలుగు వికెట్లు-ఇన్-ఒక-ఇన్నింగ్స్ కెరీర్లో (2) ',' 50 వ ఎక్కువ వికెట్లు ఆకర్షించింది తీసుకోకూడదు (24) ',' 45 వ అత్యధిక వికెట్లు ఒక ఫీల్డర్ (21) పట్టుకుంటే తీసిన]</v>
      </c>
      <c r="I2196" s="3"/>
    </row>
    <row r="2197" customHeight="1" spans="1:9">
      <c r="A2197" s="2"/>
      <c r="B2197" s="2" t="str">
        <f>IFERROR(__xludf.DUMMYFUNCTION("IF(A2197&lt;&gt;"""", GOOGLETRANSLATE(A2197, ""en"", ""te""),"""")"),"")</f>
        <v/>
      </c>
      <c r="C2197" s="2"/>
      <c r="D2197" s="2" t="str">
        <f>IFERROR(__xludf.DUMMYFUNCTION("IF(C2197&lt;&gt;"""", GOOGLETRANSLATE(C2197, ""en"", ""te""),"""")"),"")</f>
        <v/>
      </c>
      <c r="E2197" s="2"/>
      <c r="F2197" s="2" t="str">
        <f>IFERROR(__xludf.DUMMYFUNCTION("IF(E2197&lt;&gt;"""", GOOGLETRANSLATE(E2197, ""en"", ""te""),"""")"),"")</f>
        <v/>
      </c>
      <c r="G2197" s="2"/>
      <c r="H2197" s="2" t="str">
        <f>IFERROR(__xludf.DUMMYFUNCTION("IF(G2197&lt;&gt;"""", GOOGLETRANSLATE(G2197, ""en"", ""te""),"""")"),"")</f>
        <v/>
      </c>
      <c r="I2197" s="3"/>
    </row>
    <row r="2198" customHeight="1" spans="1:9">
      <c r="A2198" s="2"/>
      <c r="B2198" s="2" t="str">
        <f>IFERROR(__xludf.DUMMYFUNCTION("IF(A2198&lt;&gt;"""", GOOGLETRANSLATE(A2198, ""en"", ""te""),"""")"),"")</f>
        <v/>
      </c>
      <c r="C2198" s="2"/>
      <c r="D2198" s="2" t="str">
        <f>IFERROR(__xludf.DUMMYFUNCTION("IF(C2198&lt;&gt;"""", GOOGLETRANSLATE(C2198, ""en"", ""te""),"""")"),"")</f>
        <v/>
      </c>
      <c r="E2198" s="2"/>
      <c r="F2198" s="2" t="str">
        <f>IFERROR(__xludf.DUMMYFUNCTION("IF(E2198&lt;&gt;"""", GOOGLETRANSLATE(E2198, ""en"", ""te""),"""")"),"")</f>
        <v/>
      </c>
      <c r="G2198" s="2"/>
      <c r="H2198" s="2" t="str">
        <f>IFERROR(__xludf.DUMMYFUNCTION("IF(G2198&lt;&gt;"""", GOOGLETRANSLATE(G2198, ""en"", ""te""),"""")"),"")</f>
        <v/>
      </c>
      <c r="I2198" s="3"/>
    </row>
    <row r="2199" customHeight="1" spans="1:9">
      <c r="A2199" s="2" t="s">
        <v>1469</v>
      </c>
      <c r="B2199" s="2" t="str">
        <f>IFERROR(__xludf.DUMMYFUNCTION("IF(A2199&lt;&gt;"""", GOOGLETRANSLATE(A2199, ""en"", ""te""),"""")"),"[ '3 వ అత్యంత ఇన్నింగ్స్ లో నడుస్తుంది (బ్యాటింగ్ స్థానం) (160)', 'ఒక మ్యాచ్లో హండ్రెడ్ మరియు ఒక డక్' '1 వ 99 (199, 299 etc) (99) అవుటయ్యాడు',]")</f>
        <v>[ '3 వ అత్యంత ఇన్నింగ్స్ లో నడుస్తుంది (బ్యాటింగ్ స్థానం) (160)', 'ఒక మ్యాచ్లో హండ్రెడ్ మరియు ఒక డక్' '1 వ 99 (199, 299 etc) (99) అవుటయ్యాడు',]</v>
      </c>
      <c r="C2199" s="2" t="s">
        <v>1470</v>
      </c>
      <c r="D2199" s="2" t="str">
        <f>IFERROR(__xludf.DUMMYFUNCTION("IF(C2199&lt;&gt;"""", GOOGLETRANSLATE(C2199, ""en"", ""te""),"""")"),"[ 'వంద (20y 317d) సాధించటం 46 వ పిన్న ఆటగాడు' '3 వ అత్యంత ఇన్నింగ్స్ లో (బ్యాటింగ్ స్థానం) పరుగులు (160)', 'కెరీర్ లో 10 వ అత్యంత తొంభైల (6)', '1 వ 99 పరుగుల (మరియు 199, 299 etc) (99) ',' ఒక ఇన్నింగ్స్లో పరుగులు 31 అత్యధిక శాతం (58.20) ',' ఏడవ వికెట్ (16"&amp;"5 42 వ అత్యధిక భాగస్వామ్యం) ']")</f>
        <v>[ 'వంద (20y 317d) సాధించటం 46 వ పిన్న ఆటగాడు' '3 వ అత్యంత ఇన్నింగ్స్ లో (బ్యాటింగ్ స్థానం) పరుగులు (160)', 'కెరీర్ లో 10 వ అత్యంత తొంభైల (6)', '1 వ 99 పరుగుల (మరియు 199, 299 etc) (99) ',' ఒక ఇన్నింగ్స్లో పరుగులు 31 అత్యధిక శాతం (58.20) ',' ఏడవ వికెట్ (165 42 వ అత్యధిక భాగస్వామ్యం) ']</v>
      </c>
      <c r="E2199" s="2"/>
      <c r="F2199" s="2" t="str">
        <f>IFERROR(__xludf.DUMMYFUNCTION("IF(E2199&lt;&gt;"""", GOOGLETRANSLATE(E2199, ""en"", ""te""),"""")"),"")</f>
        <v/>
      </c>
      <c r="G2199" s="2"/>
      <c r="H2199" s="2" t="str">
        <f>IFERROR(__xludf.DUMMYFUNCTION("IF(G2199&lt;&gt;"""", GOOGLETRANSLATE(G2199, ""en"", ""te""),"""")"),"")</f>
        <v/>
      </c>
      <c r="I2199" s="3"/>
    </row>
    <row r="2200" customHeight="1" spans="1:9">
      <c r="A2200" s="2" t="s">
        <v>1471</v>
      </c>
      <c r="B2200" s="2" t="str">
        <f>IFERROR(__xludf.DUMMYFUNCTION("IF(A2200&lt;&gt;"""", GOOGLETRANSLATE(A2200, ""en"", ""te""),"""")"),"[ 'కెరీర్లో 10 వ అతి తక్కువ బాతులు (61)']")</f>
        <v>[ 'కెరీర్లో 10 వ అతి తక్కువ బాతులు (61)']</v>
      </c>
      <c r="C2200" s="2"/>
      <c r="D2200" s="2" t="str">
        <f>IFERROR(__xludf.DUMMYFUNCTION("IF(C2200&lt;&gt;"""", GOOGLETRANSLATE(C2200, ""en"", ""te""),"""")"),"")</f>
        <v/>
      </c>
      <c r="E2200" s="2" t="s">
        <v>1472</v>
      </c>
      <c r="F2200" s="2" t="str">
        <f>IFERROR(__xludf.DUMMYFUNCTION("IF(E2200&lt;&gt;"""", GOOGLETRANSLATE(E2200, ""en"", ""te""),"""")"),"[ '49 వ అత్యంత వంద (1326) లేకుండా ఒక వృత్తిలో పరుగులు' '10 వ కెరీర్ లో అతి తక్కువ బాతులు (61)', 'ఇన్నింగ్స్ లో 13 వ అత్యుత్తమ బౌలింగ్ విశ్లేషణలు (5/14)', '45 వ చెత్త ఆర్థిక వ్యవస్థ ఇన్నింగ్స్లో రేటు (10.83) ',' 28th అత్యంత వృద్ధ ఆటగాడు తొలి తీసుకుని ఐదు-వ"&amp;"ికెట్ల లో-ఒక-ఇన్నింగ్స్ (31y 236d) ',' పదవ వికెట్కు 49 వ అత్యధిక భాగస్వామ్యం (46) ']")</f>
        <v>[ '49 వ అత్యంత వంద (1326) లేకుండా ఒక వృత్తిలో పరుగులు' '10 వ కెరీర్ లో అతి తక్కువ బాతులు (61)', 'ఇన్నింగ్స్ లో 13 వ అత్యుత్తమ బౌలింగ్ విశ్లేషణలు (5/14)', '45 వ చెత్త ఆర్థిక వ్యవస్థ ఇన్నింగ్స్లో రేటు (10.83) ',' 28th అత్యంత వృద్ధ ఆటగాడు తొలి తీసుకుని ఐదు-వికెట్ల లో-ఒక-ఇన్నింగ్స్ (31y 236d) ',' పదవ వికెట్కు 49 వ అత్యధిక భాగస్వామ్యం (46) ']</v>
      </c>
      <c r="G2200" s="2"/>
      <c r="H2200" s="2" t="str">
        <f>IFERROR(__xludf.DUMMYFUNCTION("IF(G2200&lt;&gt;"""", GOOGLETRANSLATE(G2200, ""en"", ""te""),"""")"),"")</f>
        <v/>
      </c>
      <c r="I2200" s="3"/>
    </row>
    <row r="2201" customHeight="1" spans="1:9">
      <c r="A2201" s="2"/>
      <c r="B2201" s="2" t="str">
        <f>IFERROR(__xludf.DUMMYFUNCTION("IF(A2201&lt;&gt;"""", GOOGLETRANSLATE(A2201, ""en"", ""te""),"""")"),"")</f>
        <v/>
      </c>
      <c r="C2201" s="2"/>
      <c r="D2201" s="2" t="str">
        <f>IFERROR(__xludf.DUMMYFUNCTION("IF(C2201&lt;&gt;"""", GOOGLETRANSLATE(C2201, ""en"", ""te""),"""")"),"")</f>
        <v/>
      </c>
      <c r="E2201" s="2"/>
      <c r="F2201" s="2" t="str">
        <f>IFERROR(__xludf.DUMMYFUNCTION("IF(E2201&lt;&gt;"""", GOOGLETRANSLATE(E2201, ""en"", ""te""),"""")"),"")</f>
        <v/>
      </c>
      <c r="G2201" s="2"/>
      <c r="H2201" s="2" t="str">
        <f>IFERROR(__xludf.DUMMYFUNCTION("IF(G2201&lt;&gt;"""", GOOGLETRANSLATE(G2201, ""en"", ""te""),"""")"),"")</f>
        <v/>
      </c>
      <c r="I2201" s="3"/>
    </row>
    <row r="2202" customHeight="1" spans="1:9">
      <c r="A2202" s="2"/>
      <c r="B2202" s="2" t="str">
        <f>IFERROR(__xludf.DUMMYFUNCTION("IF(A2202&lt;&gt;"""", GOOGLETRANSLATE(A2202, ""en"", ""te""),"""")"),"")</f>
        <v/>
      </c>
      <c r="C2202" s="2"/>
      <c r="D2202" s="2" t="str">
        <f>IFERROR(__xludf.DUMMYFUNCTION("IF(C2202&lt;&gt;"""", GOOGLETRANSLATE(C2202, ""en"", ""te""),"""")"),"")</f>
        <v/>
      </c>
      <c r="E2202" s="2"/>
      <c r="F2202" s="2" t="str">
        <f>IFERROR(__xludf.DUMMYFUNCTION("IF(E2202&lt;&gt;"""", GOOGLETRANSLATE(E2202, ""en"", ""te""),"""")"),"")</f>
        <v/>
      </c>
      <c r="G2202" s="2"/>
      <c r="H2202" s="2" t="str">
        <f>IFERROR(__xludf.DUMMYFUNCTION("IF(G2202&lt;&gt;"""", GOOGLETRANSLATE(G2202, ""en"", ""te""),"""")"),"")</f>
        <v/>
      </c>
      <c r="I2202" s="3"/>
    </row>
    <row r="2203" customHeight="1" spans="1:9">
      <c r="A2203" s="2" t="s">
        <v>1473</v>
      </c>
      <c r="B2203" s="2" t="str">
        <f>IFERROR(__xludf.DUMMYFUNCTION("IF(A2203&lt;&gt;"""", GOOGLETRANSLATE(A2203, ""en"", ""te""),"""")"),"[ '(39y 34d) పది వికెట్లు లో ఒక మ్యాచ్ తీసుకోవాలని 6 వ అత్యంత వృద్ధ ఆటగాడు', '1 వ వరుస బాతులు (5)' '1 వ వరుస బాతులు (5)',]")</f>
        <v>[ '(39y 34d) పది వికెట్లు లో ఒక మ్యాచ్ తీసుకోవాలని 6 వ అత్యంత వృద్ధ ఆటగాడు', '1 వ వరుస బాతులు (5)' '1 వ వరుస బాతులు (5)',]</v>
      </c>
      <c r="C2203" s="2" t="s">
        <v>1474</v>
      </c>
      <c r="D2203" s="2" t="str">
        <f>IFERROR(__xludf.DUMMYFUNCTION("IF(C2203&lt;&gt;"""", GOOGLETRANSLATE(C2203, ""en"", ""te""),"""")"),"[ '1st వరుస బాతులు (5)', 'ఐదు వికెట్ల లో-ఒక-ఇన్నింగ్స్ తీసుకోవాలని 20 వ అత్యంత వృద్ధ ఆటగాడు (39y 34d)', 'పది వికెట్లు లో ఒక మ్యాచ్ (39y 34d తీసుకోవాలని 6 వ అత్యంత వృద్ధ ఆటగాడు ) ',' 10 వ కన్య తీసుకోవాలని అత్యంత వృద్ధ ఆటగాడు ఐదు వికెట్ల లో-ఒక-ఇన్నింగ్స్ (3"&amp;"8y 72d) ',' ప్రవేశం (38y -35 D 30 వ ఓల్డెస్ట్ క్రీడాకారులు) ']")</f>
        <v>[ '1st వరుస బాతులు (5)', 'ఐదు వికెట్ల లో-ఒక-ఇన్నింగ్స్ తీసుకోవాలని 20 వ అత్యంత వృద్ధ ఆటగాడు (39y 34d)', 'పది వికెట్లు లో ఒక మ్యాచ్ (39y 34d తీసుకోవాలని 6 వ అత్యంత వృద్ధ ఆటగాడు ) ',' 10 వ కన్య తీసుకోవాలని అత్యంత వృద్ధ ఆటగాడు ఐదు వికెట్ల లో-ఒక-ఇన్నింగ్స్ (38y 72d) ',' ప్రవేశం (38y -35 D 30 వ ఓల్డెస్ట్ క్రీడాకారులు) ']</v>
      </c>
      <c r="E2203" s="2" t="s">
        <v>1475</v>
      </c>
      <c r="F2203" s="2" t="str">
        <f>IFERROR(__xludf.DUMMYFUNCTION("IF(E2203&lt;&gt;"""", GOOGLETRANSLATE(E2203, ""en"", ""te""),"""")"),"[ '34 వ తొలి ఓల్డెస్ట్ క్రీడాకారులు (38y 88D)', '19 వ లాంగెస్ట్ క్రీడాకారులు నివసించారు (70y 333d)']")</f>
        <v>[ '34 వ తొలి ఓల్డెస్ట్ క్రీడాకారులు (38y 88D)', '19 వ లాంగెస్ట్ క్రీడాకారులు నివసించారు (70y 333d)']</v>
      </c>
      <c r="G2203" s="2"/>
      <c r="H2203" s="2" t="str">
        <f>IFERROR(__xludf.DUMMYFUNCTION("IF(G2203&lt;&gt;"""", GOOGLETRANSLATE(G2203, ""en"", ""te""),"""")"),"")</f>
        <v/>
      </c>
      <c r="I2203" s="3"/>
    </row>
    <row r="2204" customHeight="1" spans="1:9">
      <c r="A2204" s="2" t="s">
        <v>1476</v>
      </c>
      <c r="B2204" s="2" t="str">
        <f>IFERROR(__xludf.DUMMYFUNCTION("IF(A2204&lt;&gt;"""", GOOGLETRANSLATE(A2204, ""en"", ""te""),"""")"),"[ '10 వ అత్యధిక ఇన్నింగ్స్ లో సమ్మె రేటు (233.33)']")</f>
        <v>[ '10 వ అత్యధిక ఇన్నింగ్స్ లో సమ్మె రేటు (233.33)']</v>
      </c>
      <c r="C2204" s="2" t="s">
        <v>1476</v>
      </c>
      <c r="D2204" s="2" t="str">
        <f>IFERROR(__xludf.DUMMYFUNCTION("IF(C2204&lt;&gt;"""", GOOGLETRANSLATE(C2204, ""en"", ""te""),"""")"),"[ '10 వ అత్యధిక ఇన్నింగ్స్ లో సమ్మె రేటు (233.33)']")</f>
        <v>[ '10 వ అత్యధిక ఇన్నింగ్స్ లో సమ్మె రేటు (233.33)']</v>
      </c>
      <c r="E2204" s="2"/>
      <c r="F2204" s="2" t="str">
        <f>IFERROR(__xludf.DUMMYFUNCTION("IF(E2204&lt;&gt;"""", GOOGLETRANSLATE(E2204, ""en"", ""te""),"""")"),"")</f>
        <v/>
      </c>
      <c r="G2204" s="2"/>
      <c r="H2204" s="2" t="str">
        <f>IFERROR(__xludf.DUMMYFUNCTION("IF(G2204&lt;&gt;"""", GOOGLETRANSLATE(G2204, ""en"", ""te""),"""")"),"")</f>
        <v/>
      </c>
      <c r="I2204" s="3"/>
    </row>
    <row r="2205" customHeight="1" spans="1:9">
      <c r="A2205" s="2"/>
      <c r="B2205" s="2" t="str">
        <f>IFERROR(__xludf.DUMMYFUNCTION("IF(A2205&lt;&gt;"""", GOOGLETRANSLATE(A2205, ""en"", ""te""),"""")"),"")</f>
        <v/>
      </c>
      <c r="C2205" s="2" t="s">
        <v>1477</v>
      </c>
      <c r="D2205" s="2" t="str">
        <f>IFERROR(__xludf.DUMMYFUNCTION("IF(C2205&lt;&gt;"""", GOOGLETRANSLATE(C2205, ""en"", ""te""),"""")"),"[ '36 వ ఉత్తమ కెరీర్ (13.50) (అర్హత లేకుండా) సగటు బౌలింగ్', 'తొమ్మిదవ వికెట్కు 26 అత్యధిక భాగస్వామ్యం (44)']")</f>
        <v>[ '36 వ ఉత్తమ కెరీర్ (13.50) (అర్హత లేకుండా) సగటు బౌలింగ్', 'తొమ్మిదవ వికెట్కు 26 అత్యధిక భాగస్వామ్యం (44)']</v>
      </c>
      <c r="E2205" s="2" t="s">
        <v>832</v>
      </c>
      <c r="F2205" s="2" t="str">
        <f>IFERROR(__xludf.DUMMYFUNCTION("IF(E2205&lt;&gt;"""", GOOGLETRANSLATE(E2205, ""en"", ""te""),"""")"),"[ 'తొలి ఇన్నింగ్స్ 15 వ బెస్ట్ ఫిగర్స్ (3)']")</f>
        <v>[ 'తొలి ఇన్నింగ్స్ 15 వ బెస్ట్ ఫిగర్స్ (3)']</v>
      </c>
      <c r="G2205" s="2"/>
      <c r="H2205" s="2" t="str">
        <f>IFERROR(__xludf.DUMMYFUNCTION("IF(G2205&lt;&gt;"""", GOOGLETRANSLATE(G2205, ""en"", ""te""),"""")"),"")</f>
        <v/>
      </c>
      <c r="I2205" s="3"/>
    </row>
    <row r="2206" customHeight="1" spans="1:9">
      <c r="A2206" s="2"/>
      <c r="B2206" s="2" t="str">
        <f>IFERROR(__xludf.DUMMYFUNCTION("IF(A2206&lt;&gt;"""", GOOGLETRANSLATE(A2206, ""en"", ""te""),"""")"),"")</f>
        <v/>
      </c>
      <c r="C2206" s="2" t="s">
        <v>1478</v>
      </c>
      <c r="D2206" s="2" t="str">
        <f>IFERROR(__xludf.DUMMYFUNCTION("IF(C2206&lt;&gt;"""", GOOGLETRANSLATE(C2206, ""en"", ""te""),"""")"),"[ '13 వ చెత్త ఇన్నింగ్స్ లో ఆర్థిక రేటు (6.90)']")</f>
        <v>[ '13 వ చెత్త ఇన్నింగ్స్ లో ఆర్థిక రేటు (6.90)']</v>
      </c>
      <c r="E2206" s="2"/>
      <c r="F2206" s="2" t="str">
        <f>IFERROR(__xludf.DUMMYFUNCTION("IF(E2206&lt;&gt;"""", GOOGLETRANSLATE(E2206, ""en"", ""te""),"""")"),"")</f>
        <v/>
      </c>
      <c r="G2206" s="2"/>
      <c r="H2206" s="2" t="str">
        <f>IFERROR(__xludf.DUMMYFUNCTION("IF(G2206&lt;&gt;"""", GOOGLETRANSLATE(G2206, ""en"", ""te""),"""")"),"")</f>
        <v/>
      </c>
      <c r="I2206" s="3"/>
    </row>
    <row r="2207" customHeight="1" spans="1:9">
      <c r="A2207" s="2" t="s">
        <v>1118</v>
      </c>
      <c r="B2207" s="2" t="str">
        <f>IFERROR(__xludf.DUMMYFUNCTION("IF(A2207&lt;&gt;"""", GOOGLETRANSLATE(A2207, ""en"", ""te""),"""")"),"[ '1st అత్యుత్తమ బౌలింగ్ ఇన్నింగ్స్ లో విశ్లేషించడం (1/0)', ​​'ఇన్నింగ్స్ లో 6 వ ఉత్తమ సమ్మె రేటు (6.0)']")</f>
        <v>[ '1st అత్యుత్తమ బౌలింగ్ ఇన్నింగ్స్ లో విశ్లేషించడం (1/0)', ​​'ఇన్నింగ్స్ లో 6 వ ఉత్తమ సమ్మె రేటు (6.0)']</v>
      </c>
      <c r="C2207" s="2" t="s">
        <v>1479</v>
      </c>
      <c r="D2207" s="2" t="str">
        <f>IFERROR(__xludf.DUMMYFUNCTION("IF(C2207&lt;&gt;"""", GOOGLETRANSLATE(C2207, ""en"", ""te""),"""")"),"[ 'ఇన్నింగ్స్ లో 6 వ ఉత్తమ సమ్మె రేటు (6.0)', 'ఫాస్టెస్ట్ 47 వ 200 వికెట్లు' 34 వ అత్యధిక వికెట్లు చిక్కుకున్న వికెట్కీపర్గా (63) తీసుకున్న '' 1 వ అత్యుత్తమ బౌలింగ్ ఇన్నింగ్స్ (1/0) విశ్లేషణలలో '( 52) ']")</f>
        <v>[ 'ఇన్నింగ్స్ లో 6 వ ఉత్తమ సమ్మె రేటు (6.0)', 'ఫాస్టెస్ట్ 47 వ 200 వికెట్లు' 34 వ అత్యధిక వికెట్లు చిక్కుకున్న వికెట్కీపర్గా (63) తీసుకున్న '' 1 వ అత్యుత్తమ బౌలింగ్ ఇన్నింగ్స్ (1/0) విశ్లేషణలలో '( 52) ']</v>
      </c>
      <c r="E2207" s="2" t="s">
        <v>1480</v>
      </c>
      <c r="F2207" s="2" t="str">
        <f>IFERROR(__xludf.DUMMYFUNCTION("IF(E2207&lt;&gt;"""", GOOGLETRANSLATE(E2207, ""en"", ""te""),"""")"),"[ '14 వ ఒక ఇన్నింగ్స్ లోని బెస్ట్ ఫిగర్స్ ఉన్నప్పుడు పరాజయం వైపు (5)', '25 వ అత్యంత ఐదు-వికెట్ల లో-ఒక-ఇన్నింగ్స్ కెరీర్లో (3)']")</f>
        <v>[ '14 వ ఒక ఇన్నింగ్స్ లోని బెస్ట్ ఫిగర్స్ ఉన్నప్పుడు పరాజయం వైపు (5)', '25 వ అత్యంత ఐదు-వికెట్ల లో-ఒక-ఇన్నింగ్స్ కెరీర్లో (3)']</v>
      </c>
      <c r="G2207" s="2" t="s">
        <v>1481</v>
      </c>
      <c r="H2207" s="2" t="str">
        <f>IFERROR(__xludf.DUMMYFUNCTION("IF(G2207&lt;&gt;"""", GOOGLETRANSLATE(G2207, ""en"", ""te""),"""")"),"[ '38 వ వరుస మ్యాచ్లు ప్రదర్శనల మధ్య (39) జట్టుకు దూరమయ్యాడు']")</f>
        <v>[ '38 వ వరుస మ్యాచ్లు ప్రదర్శనల మధ్య (39) జట్టుకు దూరమయ్యాడు']</v>
      </c>
      <c r="I2207" s="3"/>
    </row>
    <row r="2208" customHeight="1" spans="1:9">
      <c r="A2208" s="2"/>
      <c r="B2208" s="2" t="str">
        <f>IFERROR(__xludf.DUMMYFUNCTION("IF(A2208&lt;&gt;"""", GOOGLETRANSLATE(A2208, ""en"", ""te""),"""")"),"")</f>
        <v/>
      </c>
      <c r="C2208" s="2"/>
      <c r="D2208" s="2" t="str">
        <f>IFERROR(__xludf.DUMMYFUNCTION("IF(C2208&lt;&gt;"""", GOOGLETRANSLATE(C2208, ""en"", ""te""),"""")"),"")</f>
        <v/>
      </c>
      <c r="E2208" s="2"/>
      <c r="F2208" s="2" t="str">
        <f>IFERROR(__xludf.DUMMYFUNCTION("IF(E2208&lt;&gt;"""", GOOGLETRANSLATE(E2208, ""en"", ""te""),"""")"),"")</f>
        <v/>
      </c>
      <c r="G2208" s="2" t="s">
        <v>1482</v>
      </c>
      <c r="H2208" s="2" t="str">
        <f>IFERROR(__xludf.DUMMYFUNCTION("IF(G2208&lt;&gt;"""", GOOGLETRANSLATE(G2208, ""en"", ""te""),"""")"),"[ 'కెరీర్లో 40 వ లేవు బాతులు (15)', 'మూడో వికెట్ (103) కోసం 33 వ అత్యధిక భాగస్వామ్యం']")</f>
        <v>[ 'కెరీర్లో 40 వ లేవు బాతులు (15)', 'మూడో వికెట్ (103) కోసం 33 వ అత్యధిక భాగస్వామ్యం']</v>
      </c>
      <c r="I2208" s="3"/>
    </row>
    <row r="2209" customHeight="1" spans="1:9">
      <c r="A2209" s="2"/>
      <c r="B2209" s="2" t="str">
        <f>IFERROR(__xludf.DUMMYFUNCTION("IF(A2209&lt;&gt;"""", GOOGLETRANSLATE(A2209, ""en"", ""te""),"""")"),"")</f>
        <v/>
      </c>
      <c r="C2209" s="2"/>
      <c r="D2209" s="2" t="str">
        <f>IFERROR(__xludf.DUMMYFUNCTION("IF(C2209&lt;&gt;"""", GOOGLETRANSLATE(C2209, ""en"", ""te""),"""")"),"")</f>
        <v/>
      </c>
      <c r="E2209" s="2"/>
      <c r="F2209" s="2" t="str">
        <f>IFERROR(__xludf.DUMMYFUNCTION("IF(E2209&lt;&gt;"""", GOOGLETRANSLATE(E2209, ""en"", ""te""),"""")"),"")</f>
        <v/>
      </c>
      <c r="G2209" s="2"/>
      <c r="H2209" s="2" t="str">
        <f>IFERROR(__xludf.DUMMYFUNCTION("IF(G2209&lt;&gt;"""", GOOGLETRANSLATE(G2209, ""en"", ""te""),"""")"),"")</f>
        <v/>
      </c>
      <c r="I2209" s="3"/>
    </row>
    <row r="2210" customHeight="1" spans="1:9">
      <c r="A2210" s="2" t="s">
        <v>352</v>
      </c>
      <c r="B2210" s="2" t="str">
        <f>IFERROR(__xludf.DUMMYFUNCTION("IF(A2210&lt;&gt;"""", GOOGLETRANSLATE(A2210, ""en"", ""te""),"""")"),"[ 'బ్యాటింగ్ ప్రారంభించుటకు మరియు అదే మ్యాచ్ లో బౌలింగ్']")</f>
        <v>[ 'బ్యాటింగ్ ప్రారంభించుటకు మరియు అదే మ్యాచ్ లో బౌలింగ్']</v>
      </c>
      <c r="C2210" s="2"/>
      <c r="D2210" s="2" t="str">
        <f>IFERROR(__xludf.DUMMYFUNCTION("IF(C2210&lt;&gt;"""", GOOGLETRANSLATE(C2210, ""en"", ""te""),"""")"),"")</f>
        <v/>
      </c>
      <c r="E2210" s="2"/>
      <c r="F2210" s="2" t="str">
        <f>IFERROR(__xludf.DUMMYFUNCTION("IF(E2210&lt;&gt;"""", GOOGLETRANSLATE(E2210, ""en"", ""te""),"""")"),"")</f>
        <v/>
      </c>
      <c r="G2210" s="2"/>
      <c r="H2210" s="2" t="str">
        <f>IFERROR(__xludf.DUMMYFUNCTION("IF(G2210&lt;&gt;"""", GOOGLETRANSLATE(G2210, ""en"", ""te""),"""")"),"")</f>
        <v/>
      </c>
      <c r="I2210" s="3"/>
    </row>
    <row r="2211" customHeight="1" spans="1:9">
      <c r="A2211" s="2"/>
      <c r="B2211" s="2" t="str">
        <f>IFERROR(__xludf.DUMMYFUNCTION("IF(A2211&lt;&gt;"""", GOOGLETRANSLATE(A2211, ""en"", ""te""),"""")"),"")</f>
        <v/>
      </c>
      <c r="C2211" s="2" t="s">
        <v>1483</v>
      </c>
      <c r="D2211" s="2" t="str">
        <f>IFERROR(__xludf.DUMMYFUNCTION("IF(C2211&lt;&gt;"""", GOOGLETRANSLATE(C2211, ""en"", ""te""),"""")"),"[ '13 వ ఇన్నింగ్స్ లో బౌల్డ్ చాలా బంతుల్లో (478)', '41 వ అత్యంత బంతుల్లో ఒక మ్యాచ్ (622) లో బౌల్డ్']")</f>
        <v>[ '13 వ ఇన్నింగ్స్ లో బౌల్డ్ చాలా బంతుల్లో (478)', '41 వ అత్యంత బంతుల్లో ఒక మ్యాచ్ (622) లో బౌల్డ్']</v>
      </c>
      <c r="E2211" s="2"/>
      <c r="F2211" s="2" t="str">
        <f>IFERROR(__xludf.DUMMYFUNCTION("IF(E2211&lt;&gt;"""", GOOGLETRANSLATE(E2211, ""en"", ""te""),"""")"),"")</f>
        <v/>
      </c>
      <c r="G2211" s="2"/>
      <c r="H2211" s="2" t="str">
        <f>IFERROR(__xludf.DUMMYFUNCTION("IF(G2211&lt;&gt;"""", GOOGLETRANSLATE(G2211, ""en"", ""te""),"""")"),"")</f>
        <v/>
      </c>
      <c r="I2211" s="3"/>
    </row>
    <row r="2212" customHeight="1" spans="1:9">
      <c r="A2212" s="2" t="s">
        <v>1484</v>
      </c>
      <c r="B2212" s="2" t="str">
        <f>IFERROR(__xludf.DUMMYFUNCTION("IF(A2212&lt;&gt;"""", GOOGLETRANSLATE(A2212, ""en"", ""te""),"""")"),"[ 'హండ్రెడ్ మరియు ఒక మ్యాచ్లో తొంభై', 'వరుస ఇన్నింగ్స్లో 7 వ యాభైల్లో (6)', 'హండ్రెడ్ మరియు ఒక మ్యాచ్లో ఒక డక్', '1 వ అత్యుత్తమ బౌలింగ్ ఒక విశ్లేషణలలో' ఫాస్టెస్ట్ 2000 పరుగులు (33) 3 వ ', ఇన్నింగ్స్ (1/0) ',' 5000 పరుగులు మరియు 50 ఫీల్డింగ్ వికెట్లు ','"&amp;" ఆరవ వికెట్కు 8 వ అత్యధిక భాగస్వామ్యం (307) ',' ఒక డక్ లేకుండా 8 వ వరుస ఇన్నింగ్స్ (88) ',' 5000 పరుగులు మరియు 50 ఫీల్డింగ్ వికెట్లు ',' ఆరవ వికెట్కు 6 వ అత్యధిక భాగస్వామ్యం (165) ',' 5 వ ఇన్నింగ్స్ లో అత్యధిక పరుగులు (బ్యాటింగ్ స్థానంలో ప్రకారం) (60 *) '"&amp;",' 10 వ అత్యధిక కెరీర్ బ్యాటింగ్ సగటు (37.94) ',' 5 వ అత్యధిక భాగస్వామ్యం ఏడవ వికెట్ (74) ']")</f>
        <v>[ 'హండ్రెడ్ మరియు ఒక మ్యాచ్లో తొంభై', 'వరుస ఇన్నింగ్స్లో 7 వ యాభైల్లో (6)', 'హండ్రెడ్ మరియు ఒక మ్యాచ్లో ఒక డక్', '1 వ అత్యుత్తమ బౌలింగ్ ఒక విశ్లేషణలలో' ఫాస్టెస్ట్ 2000 పరుగులు (33) 3 వ ', ఇన్నింగ్స్ (1/0) ',' 5000 పరుగులు మరియు 50 ఫీల్డింగ్ వికెట్లు ',' ఆరవ వికెట్కు 8 వ అత్యధిక భాగస్వామ్యం (307) ',' ఒక డక్ లేకుండా 8 వ వరుస ఇన్నింగ్స్ (88) ',' 5000 పరుగులు మరియు 50 ఫీల్డింగ్ వికెట్లు ',' ఆరవ వికెట్కు 6 వ అత్యధిక భాగస్వామ్యం (165) ',' 5 వ ఇన్నింగ్స్ లో అత్యధిక పరుగులు (బ్యాటింగ్ స్థానంలో ప్రకారం) (60 *) ',' 10 వ అత్యధిక కెరీర్ బ్యాటింగ్ సగటు (37.94) ',' 5 వ అత్యధిక భాగస్వామ్యం ఏడవ వికెట్ (74) ']</v>
      </c>
      <c r="C2212" s="2" t="s">
        <v>1485</v>
      </c>
      <c r="D2212" s="2" t="str">
        <f>IFERROR(__xludf.DUMMYFUNCTION("IF(C2212&lt;&gt;"""", GOOGLETRANSLATE(C2212, ""en"", ""te""),"""")"),"[ '34 వ అత్యధిక కెరీర్ బ్యాటింగ్ సగటు (51.52)', '47 వ ఒక వృత్తిలో అత్యధిక వందలు (19)', '20 వ కెరీర్ తొంభైల (5)', '38 వ అత్యంత ఇన్నింగ్స్ వరుస ఇన్నింగ్స్ (6) లో 7 వ యాభైల్లో' మొదటి డక్ (33) ',' ఫాస్టెస్ట్ 1000 పరుగులు 22 ముందు (19) ',' 3 వ 2000 పరుగులు వ"&amp;"ేగంగా (33) ',' 17 వ 3000 పరుగులు వేగంగా (63) ',' 42 వ 4000 పరుగులు వేగంగా (92) ',' 20th 5000 పరుగులు (107) ',' 6000 పరుగులు (132) ',' 1 వ అత్యుత్తమ బౌలింగ్ ఇన్నింగ్స్ లో విశ్లేషించడం (1/0) 28 వేగవంతమైన వేగంగా ',' ఆరవ వికెట్కు 8 వ అత్యధిక భాగస్వామ్యం (307"&amp;") ',' తొమ్మిదవ వికెట్కు 24 అత్యధిక భాగస్వామ్యం (123) ',' పదవ వికెట్కు 20 వ అత్యధిక భాగస్వామ్యం (107) ',' 14 వ వరుస బృందం (79) మ్యాచ్లు ']")</f>
        <v>[ '34 వ అత్యధిక కెరీర్ బ్యాటింగ్ సగటు (51.52)', '47 వ ఒక వృత్తిలో అత్యధిక వందలు (19)', '20 వ కెరీర్ తొంభైల (5)', '38 వ అత్యంత ఇన్నింగ్స్ వరుస ఇన్నింగ్స్ (6) లో 7 వ యాభైల్లో' మొదటి డక్ (33) ',' ఫాస్టెస్ట్ 1000 పరుగులు 22 ముందు (19) ',' 3 వ 2000 పరుగులు వేగంగా (33) ',' 17 వ 3000 పరుగులు వేగంగా (63) ',' 42 వ 4000 పరుగులు వేగంగా (92) ',' 20th 5000 పరుగులు (107) ',' 6000 పరుగులు (132) ',' 1 వ అత్యుత్తమ బౌలింగ్ ఇన్నింగ్స్ లో విశ్లేషించడం (1/0) 28 వేగవంతమైన వేగంగా ',' ఆరవ వికెట్కు 8 వ అత్యధిక భాగస్వామ్యం (307) ',' తొమ్మిదవ వికెట్కు 24 అత్యధిక భాగస్వామ్యం (123) ',' పదవ వికెట్కు 20 వ అత్యధిక భాగస్వామ్యం (107) ',' 14 వ వరుస బృందం (79) మ్యాచ్లు ']</v>
      </c>
      <c r="E2212" s="2" t="s">
        <v>1486</v>
      </c>
      <c r="F2212" s="2" t="str">
        <f>IFERROR(__xludf.DUMMYFUNCTION("IF(E2212&lt;&gt;"""", GOOGLETRANSLATE(E2212, ""en"", ""te""),"""")"),"'ఒక డక్ లేకుండా 8 వ వరుస ఇన్నింగ్స్ (88)', 'కెరీర్లో 12 వ అతి తక్కువ బాతులు (52.33)', 'వంద (35y 321d) సాధించటం 27 వ ఓల్డెస్ట్ ఆటగాడు' [ '19 అత్యధిక కెరీర్ బ్యాటింగ్ సగటు (48.15)', '27th 1000 పరుగులు (27) వేగంగా', '35 వ 3000 పరుగులు (86) వేగంగా', 'ఫాస్టెస్"&amp;"ట్ 28 4000 పరుగులు (112) కు' '32 వ వేగవంతమైన 5000 పరుగులు (142)', '36 వ చెత్త కెరీర్ సగటు బౌలింగ్ (117.50) (అర్హత లేకుండా) ',' 27 వ అత్యధిక క్యాచ్లు కెరీర్లో (105) ',' ఆరవ వికెట్కు 6 వ అత్యధిక భాగస్వామ్యం (165) ',' ఏడవ వికెట్కు 9 వ అత్యధిక భాగస్వామ్యం (1"&amp;"23) ',' 45 వ చాలా ఆటగాడు -of-సిరీస్ అవార్డులు (3) ']")</f>
        <v>'ఒక డక్ లేకుండా 8 వ వరుస ఇన్నింగ్స్ (88)', 'కెరీర్లో 12 వ అతి తక్కువ బాతులు (52.33)', 'వంద (35y 321d) సాధించటం 27 వ ఓల్డెస్ట్ ఆటగాడు' [ '19 అత్యధిక కెరీర్ బ్యాటింగ్ సగటు (48.15)', '27th 1000 పరుగులు (27) వేగంగా', '35 వ 3000 పరుగులు (86) వేగంగా', 'ఫాస్టెస్ట్ 28 4000 పరుగులు (112) కు' '32 వ వేగవంతమైన 5000 పరుగులు (142)', '36 వ చెత్త కెరీర్ సగటు బౌలింగ్ (117.50) (అర్హత లేకుండా) ',' 27 వ అత్యధిక క్యాచ్లు కెరీర్లో (105) ',' ఆరవ వికెట్కు 6 వ అత్యధిక భాగస్వామ్యం (165) ',' ఏడవ వికెట్కు 9 వ అత్యధిక భాగస్వామ్యం (123) ',' 45 వ చాలా ఆటగాడు -of-సిరీస్ అవార్డులు (3) ']</v>
      </c>
      <c r="G2212" s="2" t="s">
        <v>1487</v>
      </c>
      <c r="H2212" s="2" t="str">
        <f>IFERROR(__xludf.DUMMYFUNCTION("IF(G2212&lt;&gt;"""", GOOGLETRANSLATE(G2212, ""en"", ""te""),"""")"),"[ 'ఇన్నింగ్స్ లో 5 వ అత్యధిక పరుగులు (బ్యాటింగ్ స్థానంలో ప్రకారం) (60 *)', '10 వ అత్యధిక కెరీర్ బ్యాటింగ్ సగటు (37.94)', '15 వ ఇన్నింగ్స్ లో అత్యధిక క్యాచ్లు (3)', 'ఐదవ వికెట్కు 42 వ అత్యధిక భాగస్వామ్యం (69 *) ',' ఏడవ వికెట్కు 5 వ అత్యధిక భాగస్వామ్యం (74)"&amp;" ',' ఎనిమిదవ వికెట్ (53 *) కోసం 10 వ అత్యధిక భాగస్వామ్యం ']")</f>
        <v>[ 'ఇన్నింగ్స్ లో 5 వ అత్యధిక పరుగులు (బ్యాటింగ్ స్థానంలో ప్రకారం) (60 *)', '10 వ అత్యధిక కెరీర్ బ్యాటింగ్ సగటు (37.94)', '15 వ ఇన్నింగ్స్ లో అత్యధిక క్యాచ్లు (3)', 'ఐదవ వికెట్కు 42 వ అత్యధిక భాగస్వామ్యం (69 *) ',' ఏడవ వికెట్కు 5 వ అత్యధిక భాగస్వామ్యం (74) ',' ఎనిమిదవ వికెట్ (53 *) కోసం 10 వ అత్యధిక భాగస్వామ్యం ']</v>
      </c>
      <c r="I2212" s="3"/>
    </row>
    <row r="2213" customHeight="1" spans="1:9">
      <c r="A2213" s="2" t="s">
        <v>1488</v>
      </c>
      <c r="B2213" s="2" t="str">
        <f>IFERROR(__xludf.DUMMYFUNCTION("IF(A2213&lt;&gt;"""", GOOGLETRANSLATE(A2213, ""en"", ""te""),"""")"),"[ 'వరుస 3 వ అత్యధిక వికెట్లు (27)', '3 వ అత్యధిక క్యాచ్లు కెరీర్లో (366)', '7 వ అత్యంత స్టంపింగ్లు కెరీర్లో (29)', '300 పరుగులు మరియు ఒక సిరీస్లో 15 వికెట్కీపింగ్ తొలగింపులకు', '7 వ అత్యంత కెరీర్లో వికెట్లు (233) ',' 7 వ కెరీర్లో అత్యధిక క్యాచ్లు (194) ',"&amp;"' 1 వ ఇన్నింగ్స్ కెరీర్లో (3) ',' ఒక సిరీస్లో 6 వ అత్యంత బాతులు (3) ',' 5 వ అత్యధిక వికెట్లు అత్యంత స్టంపింగ్లు ( కెరీర్లో 628) ',' 4 వ అత్యధిక క్యాచ్లు (560) ',' కెరీర్లో 8 వ అత్యంత స్టంపింగ్లు (68) ']")</f>
        <v>[ 'వరుస 3 వ అత్యధిక వికెట్లు (27)', '3 వ అత్యధిక క్యాచ్లు కెరీర్లో (366)', '7 వ అత్యంత స్టంపింగ్లు కెరీర్లో (29)', '300 పరుగులు మరియు ఒక సిరీస్లో 15 వికెట్కీపింగ్ తొలగింపులకు', '7 వ అత్యంత కెరీర్లో వికెట్లు (233) ',' 7 వ కెరీర్లో అత్యధిక క్యాచ్లు (194) ',' 1 వ ఇన్నింగ్స్ కెరీర్లో (3) ',' ఒక సిరీస్లో 6 వ అత్యంత బాతులు (3) ',' 5 వ అత్యధిక వికెట్లు అత్యంత స్టంపింగ్లు ( కెరీర్లో 628) ',' 4 వ అత్యధిక క్యాచ్లు (560) ',' కెరీర్లో 8 వ అత్యంత స్టంపింగ్లు (68) ']</v>
      </c>
      <c r="C2213" s="2" t="s">
        <v>1489</v>
      </c>
      <c r="D2213" s="2" t="str">
        <f>IFERROR(__xludf.DUMMYFUNCTION("IF(C2213&lt;&gt;"""", GOOGLETRANSLATE(C2213, ""en"", ""te""),"""")"),"[ 'ఇన్నింగ్స్ లో 15 వ అత్యధిక పరుగులు (బ్యాటింగ్ స్థానంలో ప్రకారం) (161 *)', 'అత్యధిక వికెట్లు 25 ఒక సిరీస్లో అత్యధిక పరుగులు (356)', 'అత్యధిక వికెట్లు ఇన్నింగ్స్ 28 వ అత్యధిక పరుగులు (161 *)', '37 వ కెరీర్ బాతులు (18)', '29th అత్యధిక మ్యాచ్లు కెరీర్లో (1"&amp;"19)', 'ఒక జట్టు కోసం 29 వరుస మ్యాచ్లు (64)', '3 వ అత్యధిక వికెట్లు కెరీర్లో (395)', '5 వ అత్యధిక వికెట్లు ఒక ఇన్నింగ్స్ లో (6) ',' 8 వ మ్యాచ్ లో అత్యధిక వికెట్లు (9) ',' వరుస 3 వ అత్యధిక వికెట్లు (27) ',' 3 వ అత్యధిక కెరీర్ లో క్యాచ్లు (366) ',' చాలా 5 వ "&amp;"ఇన్నింగ్స్ లో క్యాచ్లు (6) ',' ఒక మ్యాచ్లో 8 వ అత్యధిక క్యాచ్లు (9) ',' 11 వ ఒక సిరీస్లో అత్యధిక క్యాచ్లు కెరీర్లో (25) ',' 7 వ అత్యంత స్టంపింగ్లు (29) ',' 18 వ ఒక సిరీస్లో అత్యధిక స్టంపింగ్లు (5) ']")</f>
        <v>[ 'ఇన్నింగ్స్ లో 15 వ అత్యధిక పరుగులు (బ్యాటింగ్ స్థానంలో ప్రకారం) (161 *)', 'అత్యధిక వికెట్లు 25 ఒక సిరీస్లో అత్యధిక పరుగులు (356)', 'అత్యధిక వికెట్లు ఇన్నింగ్స్ 28 వ అత్యధిక పరుగులు (161 *)', '37 వ కెరీర్ బాతులు (18)', '29th అత్యధిక మ్యాచ్లు కెరీర్లో (119)', 'ఒక జట్టు కోసం 29 వరుస మ్యాచ్లు (64)', '3 వ అత్యధిక వికెట్లు కెరీర్లో (395)', '5 వ అత్యధిక వికెట్లు ఒక ఇన్నింగ్స్ లో (6) ',' 8 వ మ్యాచ్ లో అత్యధిక వికెట్లు (9) ',' వరుస 3 వ అత్యధిక వికెట్లు (27) ',' 3 వ అత్యధిక కెరీర్ లో క్యాచ్లు (366) ',' చాలా 5 వ ఇన్నింగ్స్ లో క్యాచ్లు (6) ',' ఒక మ్యాచ్లో 8 వ అత్యధిక క్యాచ్లు (9) ',' 11 వ ఒక సిరీస్లో అత్యధిక క్యాచ్లు కెరీర్లో (25) ',' 7 వ అత్యంత స్టంపింగ్లు (29) ',' 18 వ ఒక సిరీస్లో అత్యధిక స్టంపింగ్లు (5) ']</v>
      </c>
      <c r="E2213" s="2" t="s">
        <v>1490</v>
      </c>
      <c r="F2213" s="2" t="str">
        <f>IFERROR(__xludf.DUMMYFUNCTION("IF(E2213&lt;&gt;"""", GOOGLETRANSLATE(E2213, ""en"", ""te""),"""")"),"[ '30 వ అత్యంత వంద (1764) లేకుండా ఒక వృత్తిలో పరుగులు' 'మొదటి డక్ ముందు 21 వ అత్యంత ఇన్నింగ్స్ (40)', '6 వ ఒక సిరీస్లో అత్యధిక బాతులు (3)', '26 వరుస అన్ని టాస్ గెలిచిన (4 ) ',' వరుస వికెట్ కెరీర్లో (8) ',' 7 వ అత్యధిక వికెట్లు (233) ',' 9 వ అత్యధిక వికెట్"&amp;"లు ఉంచింది చేసిన 20 వ కెప్టెన్ల (19) ',' 7 వ అత్యధిక క్యాచ్లు కెరీర్లో (194) ',' ఒక సిరీస్లో వరుస 12 వ అత్యధిక క్యాచ్లు (16) ',' 8 వ కెరీర్ స్టంపింగ్లు (39) ',' 1 వ ఇన్నింగ్స్ (3) ',' 7 వ అత్యంత స్టంపింగ్లు అత్యంత స్టంపింగ్లు (5) ']")</f>
        <v>[ '30 వ అత్యంత వంద (1764) లేకుండా ఒక వృత్తిలో పరుగులు' 'మొదటి డక్ ముందు 21 వ అత్యంత ఇన్నింగ్స్ (40)', '6 వ ఒక సిరీస్లో అత్యధిక బాతులు (3)', '26 వరుస అన్ని టాస్ గెలిచిన (4 ) ',' వరుస వికెట్ కెరీర్లో (8) ',' 7 వ అత్యధిక వికెట్లు (233) ',' 9 వ అత్యధిక వికెట్లు ఉంచింది చేసిన 20 వ కెప్టెన్ల (19) ',' 7 వ అత్యధిక క్యాచ్లు కెరీర్లో (194) ',' ఒక సిరీస్లో వరుస 12 వ అత్యధిక క్యాచ్లు (16) ',' 8 వ కెరీర్ స్టంపింగ్లు (39) ',' 1 వ ఇన్నింగ్స్ (3) ',' 7 వ అత్యంత స్టంపింగ్లు అత్యంత స్టంపింగ్లు (5) ']</v>
      </c>
      <c r="G2213" s="2"/>
      <c r="H2213" s="2" t="str">
        <f>IFERROR(__xludf.DUMMYFUNCTION("IF(G2213&lt;&gt;"""", GOOGLETRANSLATE(G2213, ""en"", ""te""),"""")"),"")</f>
        <v/>
      </c>
      <c r="I2213" s="3"/>
    </row>
    <row r="2214" customHeight="1" spans="1:9">
      <c r="A2214" s="2"/>
      <c r="B2214" s="2" t="str">
        <f>IFERROR(__xludf.DUMMYFUNCTION("IF(A2214&lt;&gt;"""", GOOGLETRANSLATE(A2214, ""en"", ""te""),"""")"),"")</f>
        <v/>
      </c>
      <c r="C2214" s="2"/>
      <c r="D2214" s="2" t="str">
        <f>IFERROR(__xludf.DUMMYFUNCTION("IF(C2214&lt;&gt;"""", GOOGLETRANSLATE(C2214, ""en"", ""te""),"""")"),"")</f>
        <v/>
      </c>
      <c r="E2214" s="2"/>
      <c r="F2214" s="2" t="str">
        <f>IFERROR(__xludf.DUMMYFUNCTION("IF(E2214&lt;&gt;"""", GOOGLETRANSLATE(E2214, ""en"", ""te""),"""")"),"")</f>
        <v/>
      </c>
      <c r="G2214" s="2"/>
      <c r="H2214" s="2" t="str">
        <f>IFERROR(__xludf.DUMMYFUNCTION("IF(G2214&lt;&gt;"""", GOOGLETRANSLATE(G2214, ""en"", ""te""),"""")"),"")</f>
        <v/>
      </c>
      <c r="I2214" s="3"/>
    </row>
    <row r="2215" customHeight="1" spans="1:9">
      <c r="A2215" s="2"/>
      <c r="B2215" s="2" t="str">
        <f>IFERROR(__xludf.DUMMYFUNCTION("IF(A2215&lt;&gt;"""", GOOGLETRANSLATE(A2215, ""en"", ""te""),"""")"),"")</f>
        <v/>
      </c>
      <c r="C2215" s="2" t="s">
        <v>1491</v>
      </c>
      <c r="D2215" s="2" t="str">
        <f>IFERROR(__xludf.DUMMYFUNCTION("IF(C2215&lt;&gt;"""", GOOGLETRANSLATE(C2215, ""en"", ""te""),"""")"),"[ '15 వ లాంగెస్ట్ నివసించారు క్రీడాకారులు (94y 119d)']")</f>
        <v>[ '15 వ లాంగెస్ట్ నివసించారు క్రీడాకారులు (94y 119d)']</v>
      </c>
      <c r="E2215" s="2"/>
      <c r="F2215" s="2" t="str">
        <f>IFERROR(__xludf.DUMMYFUNCTION("IF(E2215&lt;&gt;"""", GOOGLETRANSLATE(E2215, ""en"", ""te""),"""")"),"")</f>
        <v/>
      </c>
      <c r="G2215" s="2"/>
      <c r="H2215" s="2" t="str">
        <f>IFERROR(__xludf.DUMMYFUNCTION("IF(G2215&lt;&gt;"""", GOOGLETRANSLATE(G2215, ""en"", ""te""),"""")"),"")</f>
        <v/>
      </c>
      <c r="I2215" s="3"/>
    </row>
    <row r="2216" customHeight="1" spans="1:9">
      <c r="A2216" s="2" t="s">
        <v>1492</v>
      </c>
      <c r="B2216" s="2" t="str">
        <f>IFERROR(__xludf.DUMMYFUNCTION("IF(A2216&lt;&gt;"""", GOOGLETRANSLATE(A2216, ""en"", ""te""),"""")"),"[ '99 పరుగుల 1st (మరియు 199, 299 etc) (99)', 'ఐదు రోజుల మ్యాచ్లో ప్రతి రోజు బ్యాటింగ్', '3 వ వరుస అన్ని టాస్ గెలిచిన (3)']")</f>
        <v>[ '99 పరుగుల 1st (మరియు 199, 299 etc) (99)', 'ఐదు రోజుల మ్యాచ్లో ప్రతి రోజు బ్యాటింగ్', '3 వ వరుస అన్ని టాస్ గెలిచిన (3)']</v>
      </c>
      <c r="C2216" s="2" t="s">
        <v>1493</v>
      </c>
      <c r="D2216" s="2" t="str">
        <f>IFERROR(__xludf.DUMMYFUNCTION("IF(C2216&lt;&gt;"""", GOOGLETRANSLATE(C2216, ""en"", ""te""),"""")"),"[ '20 వ కెప్టెన్ ద్వారా ఒక సిరీస్లో అత్యధిక పరుగులు (594)', '1 వ 99 (199, 299 etc) తీసివేసిన (99)', '28th పిన్న కాప్టెన్ (25y 57d)']")</f>
        <v>[ '20 వ కెప్టెన్ ద్వారా ఒక సిరీస్లో అత్యధిక పరుగులు (594)', '1 వ 99 (199, 299 etc) తీసివేసిన (99)', '28th పిన్న కాప్టెన్ (25y 57d)']</v>
      </c>
      <c r="E2216" s="2" t="s">
        <v>1494</v>
      </c>
      <c r="F2216" s="2" t="str">
        <f>IFERROR(__xludf.DUMMYFUNCTION("IF(E2216&lt;&gt;"""", GOOGLETRANSLATE(E2216, ""en"", ""te""),"""")"),"[ '19 మోస్ట్ లేకుండా కెరీర్లో పరుగులు వంద (1968)', '3 వ వరుస అన్ని టాస్ గెలిచిన (3)', '50th పిన్న కాప్టెన్ (25y 134d)']")</f>
        <v>[ '19 మోస్ట్ లేకుండా కెరీర్లో పరుగులు వంద (1968)', '3 వ వరుస అన్ని టాస్ గెలిచిన (3)', '50th పిన్న కాప్టెన్ (25y 134d)']</v>
      </c>
      <c r="G2216" s="2"/>
      <c r="H2216" s="2" t="str">
        <f>IFERROR(__xludf.DUMMYFUNCTION("IF(G2216&lt;&gt;"""", GOOGLETRANSLATE(G2216, ""en"", ""te""),"""")"),"")</f>
        <v/>
      </c>
      <c r="I2216" s="3"/>
    </row>
    <row r="2217" customHeight="1" spans="1:9">
      <c r="A2217" s="2" t="s">
        <v>1495</v>
      </c>
      <c r="B2217" s="2" t="str">
        <f>IFERROR(__xludf.DUMMYFUNCTION("IF(A2217&lt;&gt;"""", GOOGLETRANSLATE(A2217, ""en"", ""te""),"""")"),"[ '4 వ పురాతన దేశం ఆటగాళ్ళు (92y 236d)', '4 వ అత్యధిక పరుగులు వరుస (834)', '2 వ అత్యధిక వందలు వరుస (4)', 'హండ్రెడ్ మరియు ఒక మ్యాచ్లో ఒక డక్', '4 వ వేగంగా 1000 పరుగులు (14) ',' 8 వ ఒక మ్యాచ్లో అత్యధిక క్యాచ్లు (6) ',' 5000 పరుగులు మరియు 50 ఫీల్డింగ్ వికెట్"&amp;"లు ',' వరుస మ్యాచ్లలో 4 వ వందల (4) ']")</f>
        <v>[ '4 వ పురాతన దేశం ఆటగాళ్ళు (92y 236d)', '4 వ అత్యధిక పరుగులు వరుస (834)', '2 వ అత్యధిక వందలు వరుస (4)', 'హండ్రెడ్ మరియు ఒక మ్యాచ్లో ఒక డక్', '4 వ వేగంగా 1000 పరుగులు (14) ',' 8 వ ఒక మ్యాచ్లో అత్యధిక క్యాచ్లు (6) ',' 5000 పరుగులు మరియు 50 ఫీల్డింగ్ వికెట్లు ',' వరుస మ్యాచ్లలో 4 వ వందల (4) ']</v>
      </c>
      <c r="C2217" s="2" t="s">
        <v>1496</v>
      </c>
      <c r="D2217" s="2" t="str">
        <f>IFERROR(__xludf.DUMMYFUNCTION("IF(C2217&lt;&gt;"""", GOOGLETRANSLATE(C2217, ""en"", ""te""),"""")"),"[ 'ఒక సిరీస్లో 4 అత్యధిక పరుగులు (834)', '48 వ పరాజయం వైపు ఒక మ్యాచ్లో అత్యధిక పరుగులు (212)' 'ఒక వృత్తిలో 38 వ అత్యధిక వందలు (21)', 'వరుస 2 వ అత్యధిక వందలు (4 ) ',' 15 వ ఒక జట్టు వ్యతిరేకంగా అత్యధిక వందలు (8) ',' వరుస మ్యాచ్లలో 5 వ వందల (4) ',' 12 వ పిన"&amp;"్న ఆటగాడు వంద (19y స్కోర్ 121d) ',' వరుస ఇన్నింగ్స్లో 32 వ యాభైల్లో (5) ' '16 వ ఇన్నింగ్స్ తొలి డక్ ముందు (41)', '2000 పరుగులు 11 వ వేగవంతమైన (37)' 'ఫాస్టెస్ట్ 1000 పరుగులు 4 (14)', '3000 పరుగులు 5 వ వేగవంతమైన (54)', '12 వ వేగంగా చేయడానికి 4000 పరుగులు"&amp;" (80) ',' ఫాస్టెస్ట్ 5000 పరుగులు (105) ',' 30 వ వేగంగా చేయడానికి 6000 పరుగులు (134) ',' ఒక మ్యాచ్లో ఇన్నింగ్స్ (0.61) ',' 8 వ అత్యధిక క్యాచ్లు లో 46 వ ఉత్తమ ఆర్థిక రేటు (14 6) ',' 42 వ ఒక సిరీస్లో అత్యధిక క్యాచ్లు (10) ',' 4 వ పురాతన దేశం ఆటగాళ్ళు (92y 2"&amp;"36d) ']")</f>
        <v>[ 'ఒక సిరీస్లో 4 అత్యధిక పరుగులు (834)', '48 వ పరాజయం వైపు ఒక మ్యాచ్లో అత్యధిక పరుగులు (212)' 'ఒక వృత్తిలో 38 వ అత్యధిక వందలు (21)', 'వరుస 2 వ అత్యధిక వందలు (4 ) ',' 15 వ ఒక జట్టు వ్యతిరేకంగా అత్యధిక వందలు (8) ',' వరుస మ్యాచ్లలో 5 వ వందల (4) ',' 12 వ పిన్న ఆటగాడు వంద (19y స్కోర్ 121d) ',' వరుస ఇన్నింగ్స్లో 32 వ యాభైల్లో (5) ' '16 వ ఇన్నింగ్స్ తొలి డక్ ముందు (41)', '2000 పరుగులు 11 వ వేగవంతమైన (37)' 'ఫాస్టెస్ట్ 1000 పరుగులు 4 (14)', '3000 పరుగులు 5 వ వేగవంతమైన (54)', '12 వ వేగంగా చేయడానికి 4000 పరుగులు (80) ',' ఫాస్టెస్ట్ 5000 పరుగులు (105) ',' 30 వ వేగంగా చేయడానికి 6000 పరుగులు (134) ',' ఒక మ్యాచ్లో ఇన్నింగ్స్ (0.61) ',' 8 వ అత్యధిక క్యాచ్లు లో 46 వ ఉత్తమ ఆర్థిక రేటు (14 6) ',' 42 వ ఒక సిరీస్లో అత్యధిక క్యాచ్లు (10) ',' 4 వ పురాతన దేశం ఆటగాళ్ళు (92y 236d) ']</v>
      </c>
      <c r="E2217" s="2"/>
      <c r="F2217" s="2" t="str">
        <f>IFERROR(__xludf.DUMMYFUNCTION("IF(E2217&lt;&gt;"""", GOOGLETRANSLATE(E2217, ""en"", ""te""),"""")"),"")</f>
        <v/>
      </c>
      <c r="G2217" s="2"/>
      <c r="H2217" s="2" t="str">
        <f>IFERROR(__xludf.DUMMYFUNCTION("IF(G2217&lt;&gt;"""", GOOGLETRANSLATE(G2217, ""en"", ""te""),"""")"),"")</f>
        <v/>
      </c>
      <c r="I2217" s="3"/>
    </row>
    <row r="2218" customHeight="1" spans="1:9">
      <c r="A2218" s="2" t="s">
        <v>1497</v>
      </c>
      <c r="B2218" s="2" t="str">
        <f>IFERROR(__xludf.DUMMYFUNCTION("IF(A2218&lt;&gt;"""", GOOGLETRANSLATE(A2218, ""en"", ""te""),"""")"),"[ 'ఒక మ్యాచ్లో 5 వ అత్యధిక క్యాచ్లు (5)', 'వరుస 3 వ అత్యధిక వికెట్లు (20)', '1st ఒక సిరీస్లో అత్యధిక క్యాచ్లు (17)', '1st ఒక వికెట్ కీపర్ సిరీస్లో అత్యధిక పరుగులు (1000) ',' 2nd ఒక సిరీస్లో అత్యధిక సెంచరీలు (3) ',' 200 పరుగులు మరియు ఒక సిరీస్లో 10 వికెట్క"&amp;"ీపింగ్ తొలగింపులకు ',' రెండవ వికెట్ కెరీర్లో (225) ',' 1 వ అత్యధిక వికెట్లు 4 వ అత్యధిక భాగస్వామ్యం (95) ', 'బృందం కోసం 1 వ వరుస మ్యాచ్లు (89 *)', '6 వ అత్యధిక వికెట్లు ఇన్నింగ్స్ లో (4)', '1st కెరీర్లో అత్యధిక క్యాచ్లు (44)', '1 వ కెరీర్ స్టంపింగ్లు (51)"&amp;"', '1st ఒక ఇన్నింగ్స్ లో సాధించిన అత్యంత బైలు (9) ',' అత్యధిక వికెట్లు ఇన్నింగ్స్ లో 1 వ అత్యధిక పరుగులు (148 *) ',' వరుస ఇన్నింగ్స్లో 3 వ యాభైల్లో (3) ',' కెరీర్ లో 3 వ అత్యంత బాతులు (10) ',' ఒక ఇన్నింగ్స్లో పరుగుల 7 వ అత్యధిక శాతం (65.48) ',' మొదటి వి"&amp;"కెట్కు 8 వ అత్యధిక భాగస్వామ్యం (151) ']")</f>
        <v>[ 'ఒక మ్యాచ్లో 5 వ అత్యధిక క్యాచ్లు (5)', 'వరుస 3 వ అత్యధిక వికెట్లు (20)', '1st ఒక సిరీస్లో అత్యధిక క్యాచ్లు (17)', '1st ఒక వికెట్ కీపర్ సిరీస్లో అత్యధిక పరుగులు (1000) ',' 2nd ఒక సిరీస్లో అత్యధిక సెంచరీలు (3) ',' 200 పరుగులు మరియు ఒక సిరీస్లో 10 వికెట్కీపింగ్ తొలగింపులకు ',' రెండవ వికెట్ కెరీర్లో (225) ',' 1 వ అత్యధిక వికెట్లు 4 వ అత్యధిక భాగస్వామ్యం (95) ', 'బృందం కోసం 1 వ వరుస మ్యాచ్లు (89 *)', '6 వ అత్యధిక వికెట్లు ఇన్నింగ్స్ లో (4)', '1st కెరీర్లో అత్యధిక క్యాచ్లు (44)', '1 వ కెరీర్ స్టంపింగ్లు (51)', '1st ఒక ఇన్నింగ్స్ లో సాధించిన అత్యంత బైలు (9) ',' అత్యధిక వికెట్లు ఇన్నింగ్స్ లో 1 వ అత్యధిక పరుగులు (148 *) ',' వరుస ఇన్నింగ్స్లో 3 వ యాభైల్లో (3) ',' కెరీర్ లో 3 వ అత్యంత బాతులు (10) ',' ఒక ఇన్నింగ్స్లో పరుగుల 7 వ అత్యధిక శాతం (65.48) ',' మొదటి వికెట్కు 8 వ అత్యధిక భాగస్వామ్యం (151) ']</v>
      </c>
      <c r="C2218" s="2" t="s">
        <v>1498</v>
      </c>
      <c r="D2218" s="2" t="str">
        <f>IFERROR(__xludf.DUMMYFUNCTION("IF(C2218&lt;&gt;"""", GOOGLETRANSLATE(C2218, ""en"", ""te""),"""")"),"[ 'ఇన్నింగ్స్ (3) 8 వ అత్యధిక క్యాచ్లు', '13 వ ఎక్కువ (5) ఒక మ్యాచ్లో తొలగింపులకు' 'ఒక మ్యాచ్లో 5 వ అత్యధిక క్యాచ్లు (5)']")</f>
        <v>[ 'ఇన్నింగ్స్ (3) 8 వ అత్యధిక క్యాచ్లు', '13 వ ఎక్కువ (5) ఒక మ్యాచ్లో తొలగింపులకు' 'ఒక మ్యాచ్లో 5 వ అత్యధిక క్యాచ్లు (5)']</v>
      </c>
      <c r="E2218" s="2" t="s">
        <v>1499</v>
      </c>
      <c r="F2218" s="2" t="str">
        <f>IFERROR(__xludf.DUMMYFUNCTION("IF(E2218&lt;&gt;"""", GOOGLETRANSLATE(E2218, ""en"", ""te""),"""")"),"[ 'వరుస 2 వ అత్యధిక పరుగులు (1000)' '46 వ అత్యధిక కెరీర్ లో పరుగులు (1927)', '47 వ ఇన్నింగ్స్ లో అత్యధిక పరుగులు (133)', '15 క్యాలెండర్ సంవత్సరంలో అత్యధిక పరుగులు (669)', ' 14 వ అత్యంత ఇన్నింగ్స్ లో నడుస్తుంది (బ్యాటింగ్ స్థానం) (63 *) ',' ఒకే క్రీడా (341"&amp;") ',' 1st ఒక వికెట్ కీపర్ సిరీస్లో అత్యధిక పరుగులు (1000) ',' 3 వ అత్యంత నడుస్తుంది 31 అత్యధిక పరుగులు అత్యధిక వికెట్లు ఇన్నింగ్స్ (133) ',' 41 వ అత్యధిక కెరీర్ బ్యాటింగ్ సగటు (33.80) ',' 19 ఒక వృత్తిలో అత్యధిక వందలు (3) ',' వరుస 2 వ అత్యధిక వందలు (3) ','"&amp;" 5 వ అత్యధిక వందలు లో ఒక క్యాలెండర్ ఏడాది (2) ',' 16 వ అత్యధిక తొలి వంద (133) ',' 35 వ కెరీర్ అర్ధ (15) ',' వరుస ఇన్నింగ్స్లో 12 వ యాభైల్లో (4) ',' ఒక డక్ లేకుండా 21 వరుస ఇన్నింగ్స్ (39 *) ',' 10th ఏ వికెట్కు అత్యధిక భాగస్వామ్యాల (225) ',' రెండవ వికెట్కు"&amp;" 4 వ అత్యధిక భాగస్వామ్యం (225) ',' తొమ్మిదవ వికెట్ (51 *) కోసం 8 వ అత్యధిక భాగస్వామ్యం ',' 24 వ వరుస ఒక మ్యాచ్ జట్టు (49 *) ',' 10 వ కెరీర్ లో అత్యధిక వికెట్లు (75) ',' 17 వ ఇన్నింగ్స్ లో అత్యధిక వికెట్లు (4) ',' 3 వ అత్యంత ఒక సిరీస్లో వరుస వికెట్లు (20) "&amp;"',' 9 వ కెరీర్లో అత్యధిక క్యాచ్లు (51) ', '21 వ ఇన్నింగ్స్ (3)', '1 వ అత్యధిక క్యాచ్లు లో అత్యధిక క్యాచ్లు (17)', '11 వ అత్యధిక కెరీర్ లో స్టంపింగ్లు (24) ']")</f>
        <v>[ 'వరుస 2 వ అత్యధిక పరుగులు (1000)' '46 వ అత్యధిక కెరీర్ లో పరుగులు (1927)', '47 వ ఇన్నింగ్స్ లో అత్యధిక పరుగులు (133)', '15 క్యాలెండర్ సంవత్సరంలో అత్యధిక పరుగులు (669)', ' 14 వ అత్యంత ఇన్నింగ్స్ లో నడుస్తుంది (బ్యాటింగ్ స్థానం) (63 *) ',' ఒకే క్రీడా (341) ',' 1st ఒక వికెట్ కీపర్ సిరీస్లో అత్యధిక పరుగులు (1000) ',' 3 వ అత్యంత నడుస్తుంది 31 అత్యధిక పరుగులు అత్యధిక వికెట్లు ఇన్నింగ్స్ (133) ',' 41 వ అత్యధిక కెరీర్ బ్యాటింగ్ సగటు (33.80) ',' 19 ఒక వృత్తిలో అత్యధిక వందలు (3) ',' వరుస 2 వ అత్యధిక వందలు (3) ',' 5 వ అత్యధిక వందలు లో ఒక క్యాలెండర్ ఏడాది (2) ',' 16 వ అత్యధిక తొలి వంద (133) ',' 35 వ కెరీర్ అర్ధ (15) ',' వరుస ఇన్నింగ్స్లో 12 వ యాభైల్లో (4) ',' ఒక డక్ లేకుండా 21 వరుస ఇన్నింగ్స్ (39 *) ',' 10th ఏ వికెట్కు అత్యధిక భాగస్వామ్యాల (225) ',' రెండవ వికెట్కు 4 వ అత్యధిక భాగస్వామ్యం (225) ',' తొమ్మిదవ వికెట్ (51 *) కోసం 8 వ అత్యధిక భాగస్వామ్యం ',' 24 వ వరుస ఒక మ్యాచ్ జట్టు (49 *) ',' 10 వ కెరీర్ లో అత్యధిక వికెట్లు (75) ',' 17 వ ఇన్నింగ్స్ లో అత్యధిక వికెట్లు (4) ',' 3 వ అత్యంత ఒక సిరీస్లో వరుస వికెట్లు (20) ',' 9 వ కెరీర్లో అత్యధిక క్యాచ్లు (51) ', '21 వ ఇన్నింగ్స్ (3)', '1 వ అత్యధిక క్యాచ్లు లో అత్యధిక క్యాచ్లు (17)', '11 వ అత్యధిక కెరీర్ లో స్టంపింగ్లు (24) ']</v>
      </c>
      <c r="G2218" s="2" t="s">
        <v>1500</v>
      </c>
      <c r="H2218" s="2" t="str">
        <f>IFERROR(__xludf.DUMMYFUNCTION("IF(G2218&lt;&gt;"""", GOOGLETRANSLATE(G2218, ""en"", ""te""),"""")"),"[ '11 వ కెరీర్ లో అత్యధిక పరుగులు (2121)', '1 వ ఇన్నింగ్స్ లో అత్యధిక పరుగులు (148 *)', 'ఇన్నింగ్స్ లో 8 వ అత్యధిక పరుగులు (ప్రగతిశీల రికార్డు హోల్డర్) (148 *)', '6 వ ఒక క్యాలెండర్ లో అత్యధిక పరుగులు సంవత్సరం (578) ',' 1 వ ఇన్నింగ్స్ లో అత్యధిక పరుగులు (బ"&amp;"్యాటింగ్ స్థానంలో ప్రకారం) (148 *) ',' ఒకే క్రీడా (243) ',' 1 వ అత్యధిక వికెట్లు ఇన్నింగ్స్ లో అత్యధిక పరుగులు (148 లో 9 వ అత్యధిక పరుగులు * ) ',' కెరీర్లో 8 వ అత్యంత అర్ధ (13) ',' ఒక డక్ లేకుండా వరుస ఇన్నింగ్స్లో (మొదటి డక్ ముందు 3) ',' 37 వ అత్యంత ఇన్ని"&amp;"ంగ్స్ (13) ',' 14 వ వరుస ఇన్నింగ్స్లో 3 వ యాభైల్లో (40) ', 'కెరీర్ లో 3 వ అత్యంత బాతులు (10)', 'ఒక ఇన్నింగ్స్లో పరుగుల 7 వ అత్యధిక శాతం (65.48)', '11 వ 2000 పరుగులు (97) వేగంగా' 'ఏ వికెట్కు 13 వ అత్యధిక భాగస్వామ్యాల (151)', ' తొలి వికెట్కు 8 వ అత్యధిక భా"&amp;"గస్వామ్యం (151) ',' రెండవ వికెట్కు 17 అత్యధిక భాగస్వామ్యం (109) ',' ఏడవ వికెట్కు 16 అత్యధిక భాగస్వామ్యం (44 *) ',' 3 వ అత్యధిక కెరీర్ లో పోటీలు (118) ', 'బృందం కోసం 1 వ వరుస మ్యాచ్లు (89 *)', '1st కెరీర్లో అత్యధిక వికెట్లు (95)', '6 వ అత్యంత dism ఒక ఇన్ని"&amp;"ంగ్స్ లో issals (4) ',' 1st కెరీర్లో అత్యధిక క్యాచ్లు (44) ',' 5 వ ఇన్నింగ్స్ లో అత్యధిక క్యాచ్లు (3) ',' 1 వ అత్యంత స్టంపింగ్లు కెరీర్లో (51) ',' 9 వ ఇన్నింగ్స్ లో వచ్చిన ఎక్కువ స్టంపింగ్లు (3) ',' 1 వ అత్యంత ఇన్నింగ్స్ లో సాధించిన బైస్ (9) ']")</f>
        <v>[ '11 వ కెరీర్ లో అత్యధిక పరుగులు (2121)', '1 వ ఇన్నింగ్స్ లో అత్యధిక పరుగులు (148 *)', 'ఇన్నింగ్స్ లో 8 వ అత్యధిక పరుగులు (ప్రగతిశీల రికార్డు హోల్డర్) (148 *)', '6 వ ఒక క్యాలెండర్ లో అత్యధిక పరుగులు సంవత్సరం (578) ',' 1 వ ఇన్నింగ్స్ లో అత్యధిక పరుగులు (బ్యాటింగ్ స్థానంలో ప్రకారం) (148 *) ',' ఒకే క్రీడా (243) ',' 1 వ అత్యధిక వికెట్లు ఇన్నింగ్స్ లో అత్యధిక పరుగులు (148 లో 9 వ అత్యధిక పరుగులు * ) ',' కెరీర్లో 8 వ అత్యంత అర్ధ (13) ',' ఒక డక్ లేకుండా వరుస ఇన్నింగ్స్లో (మొదటి డక్ ముందు 3) ',' 37 వ అత్యంత ఇన్నింగ్స్ (13) ',' 14 వ వరుస ఇన్నింగ్స్లో 3 వ యాభైల్లో (40) ', 'కెరీర్ లో 3 వ అత్యంత బాతులు (10)', 'ఒక ఇన్నింగ్స్లో పరుగుల 7 వ అత్యధిక శాతం (65.48)', '11 వ 2000 పరుగులు (97) వేగంగా' 'ఏ వికెట్కు 13 వ అత్యధిక భాగస్వామ్యాల (151)', ' తొలి వికెట్కు 8 వ అత్యధిక భాగస్వామ్యం (151) ',' రెండవ వికెట్కు 17 అత్యధిక భాగస్వామ్యం (109) ',' ఏడవ వికెట్కు 16 అత్యధిక భాగస్వామ్యం (44 *) ',' 3 వ అత్యధిక కెరీర్ లో పోటీలు (118) ', 'బృందం కోసం 1 వ వరుస మ్యాచ్లు (89 *)', '1st కెరీర్లో అత్యధిక వికెట్లు (95)', '6 వ అత్యంత dism ఒక ఇన్నింగ్స్ లో issals (4) ',' 1st కెరీర్లో అత్యధిక క్యాచ్లు (44) ',' 5 వ ఇన్నింగ్స్ లో అత్యధిక క్యాచ్లు (3) ',' 1 వ అత్యంత స్టంపింగ్లు కెరీర్లో (51) ',' 9 వ ఇన్నింగ్స్ లో వచ్చిన ఎక్కువ స్టంపింగ్లు (3) ',' 1 వ అత్యంత ఇన్నింగ్స్ లో సాధించిన బైస్ (9) ']</v>
      </c>
      <c r="I2218" s="3"/>
    </row>
    <row r="2219" customHeight="1" spans="1:9">
      <c r="A2219" s="2" t="s">
        <v>1501</v>
      </c>
      <c r="B2219" s="2" t="str">
        <f>IFERROR(__xludf.DUMMYFUNCTION("IF(A2219&lt;&gt;"""", GOOGLETRANSLATE(A2219, ""en"", ""te""),"""")"),"[ '9 వ ఎక్కువ (69 *) ఒక ఇన్నింగ్స్ లో నడుస్తుంది (బ్యాటింగ్ స్థానం)']")</f>
        <v>[ '9 వ ఎక్కువ (69 *) ఒక ఇన్నింగ్స్ లో నడుస్తుంది (బ్యాటింగ్ స్థానం)']</v>
      </c>
      <c r="C2219" s="2" t="s">
        <v>1502</v>
      </c>
      <c r="D2219" s="2" t="str">
        <f>IFERROR(__xludf.DUMMYFUNCTION("IF(C2219&lt;&gt;"""", GOOGLETRANSLATE(C2219, ""en"", ""te""),"""")"),"[ 'ఇన్నింగ్స్ లో 9 వ అత్యధిక పరుగులు (బ్యాటింగ్ స్థానంలో ప్రకారం) (69 *)', '43 వ అత్యధిక కెరీర్ బ్యాటింగ్ సగటు (31.90)', '19 చెత్త కెరీర్ బౌలింగ్ సరాసరి (అర్హత లేకుండా) (78.00)']")</f>
        <v>[ 'ఇన్నింగ్స్ లో 9 వ అత్యధిక పరుగులు (బ్యాటింగ్ స్థానంలో ప్రకారం) (69 *)', '43 వ అత్యధిక కెరీర్ బ్యాటింగ్ సగటు (31.90)', '19 చెత్త కెరీర్ బౌలింగ్ సరాసరి (అర్హత లేకుండా) (78.00)']</v>
      </c>
      <c r="E2219" s="2"/>
      <c r="F2219" s="2" t="str">
        <f>IFERROR(__xludf.DUMMYFUNCTION("IF(E2219&lt;&gt;"""", GOOGLETRANSLATE(E2219, ""en"", ""te""),"""")"),"")</f>
        <v/>
      </c>
      <c r="G2219" s="2"/>
      <c r="H2219" s="2" t="str">
        <f>IFERROR(__xludf.DUMMYFUNCTION("IF(G2219&lt;&gt;"""", GOOGLETRANSLATE(G2219, ""en"", ""te""),"""")"),"")</f>
        <v/>
      </c>
      <c r="I2219" s="3"/>
    </row>
    <row r="2220" customHeight="1" spans="1:9">
      <c r="A2220" s="2"/>
      <c r="B2220" s="2" t="str">
        <f>IFERROR(__xludf.DUMMYFUNCTION("IF(A2220&lt;&gt;"""", GOOGLETRANSLATE(A2220, ""en"", ""te""),"""")"),"")</f>
        <v/>
      </c>
      <c r="C2220" s="2"/>
      <c r="D2220" s="2" t="str">
        <f>IFERROR(__xludf.DUMMYFUNCTION("IF(C2220&lt;&gt;"""", GOOGLETRANSLATE(C2220, ""en"", ""te""),"""")"),"")</f>
        <v/>
      </c>
      <c r="E2220" s="2"/>
      <c r="F2220" s="2" t="str">
        <f>IFERROR(__xludf.DUMMYFUNCTION("IF(E2220&lt;&gt;"""", GOOGLETRANSLATE(E2220, ""en"", ""te""),"""")"),"")</f>
        <v/>
      </c>
      <c r="G2220" s="2"/>
      <c r="H2220" s="2" t="str">
        <f>IFERROR(__xludf.DUMMYFUNCTION("IF(G2220&lt;&gt;"""", GOOGLETRANSLATE(G2220, ""en"", ""te""),"""")"),"")</f>
        <v/>
      </c>
      <c r="I2220" s="3"/>
    </row>
    <row r="2221" customHeight="1" spans="1:9">
      <c r="A2221" s="2" t="s">
        <v>1503</v>
      </c>
      <c r="B2221" s="2" t="str">
        <f>IFERROR(__xludf.DUMMYFUNCTION("IF(A2221&lt;&gt;"""", GOOGLETRANSLATE(A2221, ""en"", ""te""),"""")"),"[ 'వరుస 1st చాలా బాతులు (6)', 'ఒక మ్యాచ్ రిఫరీ (173) 10 వ అత్యధిక మ్యాచ్లు']")</f>
        <v>[ 'వరుస 1st చాలా బాతులు (6)', 'ఒక మ్యాచ్ రిఫరీ (173) 10 వ అత్యధిక మ్యాచ్లు']</v>
      </c>
      <c r="C2221" s="2" t="s">
        <v>1504</v>
      </c>
      <c r="D2221" s="2" t="str">
        <f>IFERROR(__xludf.DUMMYFUNCTION("IF(C2221&lt;&gt;"""", GOOGLETRANSLATE(C2221, ""en"", ""te""),"""")"),"[ 'వరుస 1st చాలా బాతులు (6)', '7 వ కెరీర్ జతల (3)', '11 వ ఒక మ్యాచ్ రిఫరీ గా అత్యధిక మ్యాచ్లు (45)']")</f>
        <v>[ 'వరుస 1st చాలా బాతులు (6)', '7 వ కెరీర్ జతల (3)', '11 వ ఒక మ్యాచ్ రిఫరీ గా అత్యధిక మ్యాచ్లు (45)']</v>
      </c>
      <c r="E2221" s="2" t="s">
        <v>1505</v>
      </c>
      <c r="F2221" s="2" t="str">
        <f>IFERROR(__xludf.DUMMYFUNCTION("IF(E2221&lt;&gt;"""", GOOGLETRANSLATE(E2221, ""en"", ""te""),"""")"),"[ '12 వ ఒక మ్యాచ్ రిఫరీ (102) వంటి అత్యధిక మ్యాచ్లు']")</f>
        <v>[ '12 వ ఒక మ్యాచ్ రిఫరీ (102) వంటి అత్యధిక మ్యాచ్లు']</v>
      </c>
      <c r="G2221" s="2" t="s">
        <v>1506</v>
      </c>
      <c r="H2221" s="2" t="str">
        <f>IFERROR(__xludf.DUMMYFUNCTION("IF(G2221&lt;&gt;"""", GOOGLETRANSLATE(G2221, ""en"", ""te""),"""")"),"[ '13 వ ఒక మ్యాచ్ రిఫరీ గా అత్యధిక మ్యాచ్లు (26)']")</f>
        <v>[ '13 వ ఒక మ్యాచ్ రిఫరీ గా అత్యధిక మ్యాచ్లు (26)']</v>
      </c>
      <c r="I2221" s="3"/>
    </row>
    <row r="2222" customHeight="1" spans="1:9">
      <c r="A2222" s="2"/>
      <c r="B2222" s="2" t="str">
        <f>IFERROR(__xludf.DUMMYFUNCTION("IF(A2222&lt;&gt;"""", GOOGLETRANSLATE(A2222, ""en"", ""te""),"""")"),"")</f>
        <v/>
      </c>
      <c r="C2222" s="2" t="s">
        <v>1507</v>
      </c>
      <c r="D2222" s="2" t="str">
        <f>IFERROR(__xludf.DUMMYFUNCTION("IF(C2222&lt;&gt;"""", GOOGLETRANSLATE(C2222, ""en"", ""te""),"""")"),"[ '32 వ చెత్త కెరీర్ (అర్హత లేకుండా) సగటు బౌలింగ్ (153.00)']")</f>
        <v>[ '32 వ చెత్త కెరీర్ (అర్హత లేకుండా) సగటు బౌలింగ్ (153.00)']</v>
      </c>
      <c r="E2222" s="2" t="s">
        <v>1508</v>
      </c>
      <c r="F2222" s="2" t="str">
        <f>IFERROR(__xludf.DUMMYFUNCTION("IF(E2222&lt;&gt;"""", GOOGLETRANSLATE(E2222, ""en"", ""te""),"""")"),"[ '39 వ అత్యంత వృద్ధ ఆటగాడు తొలి తీసుకుని ఐదు-వికెట్ల లో-ఒక-ఇన్నింగ్స్ (30y 301d)']")</f>
        <v>[ '39 వ అత్యంత వృద్ధ ఆటగాడు తొలి తీసుకుని ఐదు-వికెట్ల లో-ఒక-ఇన్నింగ్స్ (30y 301d)']</v>
      </c>
      <c r="G2222" s="2"/>
      <c r="H2222" s="2" t="str">
        <f>IFERROR(__xludf.DUMMYFUNCTION("IF(G2222&lt;&gt;"""", GOOGLETRANSLATE(G2222, ""en"", ""te""),"""")"),"")</f>
        <v/>
      </c>
      <c r="I2222" s="3"/>
    </row>
    <row r="2223" customHeight="1" spans="1:9">
      <c r="A2223" s="2"/>
      <c r="B2223" s="2" t="str">
        <f>IFERROR(__xludf.DUMMYFUNCTION("IF(A2223&lt;&gt;"""", GOOGLETRANSLATE(A2223, ""en"", ""te""),"""")"),"")</f>
        <v/>
      </c>
      <c r="C2223" s="2"/>
      <c r="D2223" s="2" t="str">
        <f>IFERROR(__xludf.DUMMYFUNCTION("IF(C2223&lt;&gt;"""", GOOGLETRANSLATE(C2223, ""en"", ""te""),"""")"),"")</f>
        <v/>
      </c>
      <c r="E2223" s="2"/>
      <c r="F2223" s="2" t="str">
        <f>IFERROR(__xludf.DUMMYFUNCTION("IF(E2223&lt;&gt;"""", GOOGLETRANSLATE(E2223, ""en"", ""te""),"""")"),"")</f>
        <v/>
      </c>
      <c r="G2223" s="2"/>
      <c r="H2223" s="2" t="str">
        <f>IFERROR(__xludf.DUMMYFUNCTION("IF(G2223&lt;&gt;"""", GOOGLETRANSLATE(G2223, ""en"", ""te""),"""")"),"")</f>
        <v/>
      </c>
      <c r="I2223" s="3"/>
    </row>
    <row r="2224" customHeight="1" spans="1:9">
      <c r="A2224" s="2"/>
      <c r="B2224" s="2" t="str">
        <f>IFERROR(__xludf.DUMMYFUNCTION("IF(A2224&lt;&gt;"""", GOOGLETRANSLATE(A2224, ""en"", ""te""),"""")"),"")</f>
        <v/>
      </c>
      <c r="C2224" s="2" t="s">
        <v>1509</v>
      </c>
      <c r="D2224" s="2" t="str">
        <f>IFERROR(__xludf.DUMMYFUNCTION("IF(C2224&lt;&gt;"""", GOOGLETRANSLATE(C2224, ""en"", ""te""),"""")"),"[ '43 వ చెత్త కెరీర్ బౌలింగ్ సరాసరి (అర్హత లేకుండా) (134.00)', 'తొమ్మిదవ వికెట్ (100) 50 వ అత్యధిక భాగస్వామ్యం']")</f>
        <v>[ '43 వ చెత్త కెరీర్ బౌలింగ్ సరాసరి (అర్హత లేకుండా) (134.00)', 'తొమ్మిదవ వికెట్ (100) 50 వ అత్యధిక భాగస్వామ్యం']</v>
      </c>
      <c r="E2224" s="2"/>
      <c r="F2224" s="2" t="str">
        <f>IFERROR(__xludf.DUMMYFUNCTION("IF(E2224&lt;&gt;"""", GOOGLETRANSLATE(E2224, ""en"", ""te""),"""")"),"")</f>
        <v/>
      </c>
      <c r="G2224" s="2"/>
      <c r="H2224" s="2" t="str">
        <f>IFERROR(__xludf.DUMMYFUNCTION("IF(G2224&lt;&gt;"""", GOOGLETRANSLATE(G2224, ""en"", ""te""),"""")"),"")</f>
        <v/>
      </c>
      <c r="I2224" s="3"/>
    </row>
    <row r="2225" customHeight="1" spans="1:9">
      <c r="A2225" s="2" t="s">
        <v>1510</v>
      </c>
      <c r="B2225" s="2" t="str">
        <f>IFERROR(__xludf.DUMMYFUNCTION("IF(A2225&lt;&gt;"""", GOOGLETRANSLATE(A2225, ""en"", ""te""),"""")"),"[ '6 వ కెరీర్ (32) బాతులు']")</f>
        <v>[ '6 వ కెరీర్ (32) బాతులు']</v>
      </c>
      <c r="C2225" s="2"/>
      <c r="D2225" s="2" t="str">
        <f>IFERROR(__xludf.DUMMYFUNCTION("IF(C2225&lt;&gt;"""", GOOGLETRANSLATE(C2225, ""en"", ""te""),"""")"),"")</f>
        <v/>
      </c>
      <c r="E2225" s="2" t="s">
        <v>1511</v>
      </c>
      <c r="F2225" s="2" t="str">
        <f>IFERROR(__xludf.DUMMYFUNCTION("IF(E2225&lt;&gt;"""", GOOGLETRANSLATE(E2225, ""en"", ""te""),"""")"),"[ 'కెరీర్లో 6 వ లేవు బాతులు (32)', '25 వ వరుస మ్యాచ్లు ప్రదర్శనల మధ్య (149) ఒక జట్టు తప్పిన']")</f>
        <v>[ 'కెరీర్లో 6 వ లేవు బాతులు (32)', '25 వ వరుస మ్యాచ్లు ప్రదర్శనల మధ్య (149) ఒక జట్టు తప్పిన']</v>
      </c>
      <c r="G2225" s="2"/>
      <c r="H2225" s="2" t="str">
        <f>IFERROR(__xludf.DUMMYFUNCTION("IF(G2225&lt;&gt;"""", GOOGLETRANSLATE(G2225, ""en"", ""te""),"""")"),"")</f>
        <v/>
      </c>
      <c r="I2225" s="3"/>
    </row>
    <row r="2226" customHeight="1" spans="1:9">
      <c r="A2226" s="2"/>
      <c r="B2226" s="2" t="str">
        <f>IFERROR(__xludf.DUMMYFUNCTION("IF(A2226&lt;&gt;"""", GOOGLETRANSLATE(A2226, ""en"", ""te""),"""")"),"")</f>
        <v/>
      </c>
      <c r="C2226" s="2"/>
      <c r="D2226" s="2" t="str">
        <f>IFERROR(__xludf.DUMMYFUNCTION("IF(C2226&lt;&gt;"""", GOOGLETRANSLATE(C2226, ""en"", ""te""),"""")"),"")</f>
        <v/>
      </c>
      <c r="E2226" s="2"/>
      <c r="F2226" s="2" t="str">
        <f>IFERROR(__xludf.DUMMYFUNCTION("IF(E2226&lt;&gt;"""", GOOGLETRANSLATE(E2226, ""en"", ""te""),"""")"),"")</f>
        <v/>
      </c>
      <c r="G2226" s="2"/>
      <c r="H2226" s="2" t="str">
        <f>IFERROR(__xludf.DUMMYFUNCTION("IF(G2226&lt;&gt;"""", GOOGLETRANSLATE(G2226, ""en"", ""te""),"""")"),"")</f>
        <v/>
      </c>
      <c r="I2226" s="3"/>
    </row>
    <row r="2227" customHeight="1" spans="1:9">
      <c r="A2227" s="2"/>
      <c r="B2227" s="2" t="str">
        <f>IFERROR(__xludf.DUMMYFUNCTION("IF(A2227&lt;&gt;"""", GOOGLETRANSLATE(A2227, ""en"", ""te""),"""")"),"")</f>
        <v/>
      </c>
      <c r="C2227" s="2"/>
      <c r="D2227" s="2" t="str">
        <f>IFERROR(__xludf.DUMMYFUNCTION("IF(C2227&lt;&gt;"""", GOOGLETRANSLATE(C2227, ""en"", ""te""),"""")"),"")</f>
        <v/>
      </c>
      <c r="E2227" s="2"/>
      <c r="F2227" s="2" t="str">
        <f>IFERROR(__xludf.DUMMYFUNCTION("IF(E2227&lt;&gt;"""", GOOGLETRANSLATE(E2227, ""en"", ""te""),"""")"),"")</f>
        <v/>
      </c>
      <c r="G2227" s="2"/>
      <c r="H2227" s="2" t="str">
        <f>IFERROR(__xludf.DUMMYFUNCTION("IF(G2227&lt;&gt;"""", GOOGLETRANSLATE(G2227, ""en"", ""te""),"""")"),"")</f>
        <v/>
      </c>
      <c r="I2227" s="3"/>
    </row>
    <row r="2228" customHeight="1" spans="1:9">
      <c r="A2228" s="2" t="s">
        <v>1512</v>
      </c>
      <c r="B2228" s="2" t="str">
        <f>IFERROR(__xludf.DUMMYFUNCTION("IF(A2228&lt;&gt;"""", GOOGLETRANSLATE(A2228, ""en"", ""te""),"""")"),"[ '10 వ ఇన్నింగ్స్ లో అత్యధిక పరుగులు (బ్యాటింగ్ స్థానంలో ప్రకారం) (144)', '5 వ అత్యధిక కెరీర్ బ్యాటింగ్ సగటు (58.61)', 'హండ్రెడ్ తొలి (126)' 'ఒక వృత్తిలో 10 వ అత్యధిక వందలు (2)', 'కెరీర్ (34) 9 వ అతి తక్కువ బాతులు']")</f>
        <v>[ '10 వ ఇన్నింగ్స్ లో అత్యధిక పరుగులు (బ్యాటింగ్ స్థానంలో ప్రకారం) (144)', '5 వ అత్యధిక కెరీర్ బ్యాటింగ్ సగటు (58.61)', 'హండ్రెడ్ తొలి (126)' 'ఒక వృత్తిలో 10 వ అత్యధిక వందలు (2)', 'కెరీర్ (34) 9 వ అతి తక్కువ బాతులు']</v>
      </c>
      <c r="C2228" s="2" t="s">
        <v>1513</v>
      </c>
      <c r="D2228" s="2" t="str">
        <f>IFERROR(__xludf.DUMMYFUNCTION("IF(C2228&lt;&gt;"""", GOOGLETRANSLATE(C2228, ""en"", ""te""),"""")"),"[18 వ కెరీర్ లో అత్యధిక పరుగులు (762) ',' 24 వ ఇన్నింగ్స్ లో అత్యధిక పరుగులు (144) ',' 13 వ ఒక సిరీస్లో అత్యధిక పరుగులు (339) ',' 15 క్యాలెండర్ సంవత్సరంలో అత్యధిక పరుగులు (339) ',' 10 వ ఎక్కువ (బ్యాటింగ్ స్థానంలో ద్వారా) ఒక ఇన్నింగ్స్ లో నడుస్తుంది (144) "&amp;"',' 5 వ అత్యధిక కెరీర్ బ్యాటింగ్ సగటు (58.61) ',' 11 వ తొలి మ్యాచ్లో అత్యధిక పరుగులు (126) ',' 10th ఒక వృత్తిలో అత్యధిక వందలు (2) ' , '25 వ అత్యధిక తొలి వంద (126)', '14 వ కెరీర్ అర్ధ (6)', 'కెరీర్ (15) 15 వ లేవు బాతులు']")</f>
        <v>[18 వ కెరీర్ లో అత్యధిక పరుగులు (762) ',' 24 వ ఇన్నింగ్స్ లో అత్యధిక పరుగులు (144) ',' 13 వ ఒక సిరీస్లో అత్యధిక పరుగులు (339) ',' 15 క్యాలెండర్ సంవత్సరంలో అత్యధిక పరుగులు (339) ',' 10 వ ఎక్కువ (బ్యాటింగ్ స్థానంలో ద్వారా) ఒక ఇన్నింగ్స్ లో నడుస్తుంది (144) ',' 5 వ అత్యధిక కెరీర్ బ్యాటింగ్ సగటు (58.61) ',' 11 వ తొలి మ్యాచ్లో అత్యధిక పరుగులు (126) ',' 10th ఒక వృత్తిలో అత్యధిక వందలు (2) ' , '25 వ అత్యధిక తొలి వంద (126)', '14 వ కెరీర్ అర్ధ (6)', 'కెరీర్ (15) 15 వ లేవు బాతులు']</v>
      </c>
      <c r="E2228" s="2" t="s">
        <v>1514</v>
      </c>
      <c r="F2228" s="2" t="str">
        <f>IFERROR(__xludf.DUMMYFUNCTION("IF(E2228&lt;&gt;"""", GOOGLETRANSLATE(E2228, ""en"", ""te""),"""")"),"[ '43 వ అత్యంత వంద (913) లేకుండా ఒక వృత్తిలో పరుగులు', '32 వ తొలి మ్యాచ్లో అత్యధిక పరుగులు (50)', 'వరుస ఇన్నింగ్స్లో 28 యాభైల్లో (3)', 'కెరీర్ (34) 9 వ అతి తక్కువ బాతులు']")</f>
        <v>[ '43 వ అత్యంత వంద (913) లేకుండా ఒక వృత్తిలో పరుగులు', '32 వ తొలి మ్యాచ్లో అత్యధిక పరుగులు (50)', 'వరుస ఇన్నింగ్స్లో 28 యాభైల్లో (3)', 'కెరీర్ (34) 9 వ అతి తక్కువ బాతులు']</v>
      </c>
      <c r="G2228" s="2"/>
      <c r="H2228" s="2" t="str">
        <f>IFERROR(__xludf.DUMMYFUNCTION("IF(G2228&lt;&gt;"""", GOOGLETRANSLATE(G2228, ""en"", ""te""),"""")"),"")</f>
        <v/>
      </c>
      <c r="I2228" s="3"/>
    </row>
    <row r="2229" customHeight="1" spans="1:9">
      <c r="A2229" s="2"/>
      <c r="B2229" s="2" t="str">
        <f>IFERROR(__xludf.DUMMYFUNCTION("IF(A2229&lt;&gt;"""", GOOGLETRANSLATE(A2229, ""en"", ""te""),"""")"),"")</f>
        <v/>
      </c>
      <c r="C2229" s="2"/>
      <c r="D2229" s="2" t="str">
        <f>IFERROR(__xludf.DUMMYFUNCTION("IF(C2229&lt;&gt;"""", GOOGLETRANSLATE(C2229, ""en"", ""te""),"""")"),"")</f>
        <v/>
      </c>
      <c r="E2229" s="2"/>
      <c r="F2229" s="2" t="str">
        <f>IFERROR(__xludf.DUMMYFUNCTION("IF(E2229&lt;&gt;"""", GOOGLETRANSLATE(E2229, ""en"", ""te""),"""")"),"")</f>
        <v/>
      </c>
      <c r="G2229" s="2"/>
      <c r="H2229" s="2" t="str">
        <f>IFERROR(__xludf.DUMMYFUNCTION("IF(G2229&lt;&gt;"""", GOOGLETRANSLATE(G2229, ""en"", ""te""),"""")"),"")</f>
        <v/>
      </c>
      <c r="I2229" s="3"/>
    </row>
    <row r="2230" customHeight="1" spans="1:9">
      <c r="A2230" s="2"/>
      <c r="B2230" s="2" t="str">
        <f>IFERROR(__xludf.DUMMYFUNCTION("IF(A2230&lt;&gt;"""", GOOGLETRANSLATE(A2230, ""en"", ""te""),"""")"),"")</f>
        <v/>
      </c>
      <c r="C2230" s="2"/>
      <c r="D2230" s="2" t="str">
        <f>IFERROR(__xludf.DUMMYFUNCTION("IF(C2230&lt;&gt;"""", GOOGLETRANSLATE(C2230, ""en"", ""te""),"""")"),"")</f>
        <v/>
      </c>
      <c r="E2230" s="2"/>
      <c r="F2230" s="2" t="str">
        <f>IFERROR(__xludf.DUMMYFUNCTION("IF(E2230&lt;&gt;"""", GOOGLETRANSLATE(E2230, ""en"", ""te""),"""")"),"")</f>
        <v/>
      </c>
      <c r="G2230" s="2"/>
      <c r="H2230" s="2" t="str">
        <f>IFERROR(__xludf.DUMMYFUNCTION("IF(G2230&lt;&gt;"""", GOOGLETRANSLATE(G2230, ""en"", ""te""),"""")"),"")</f>
        <v/>
      </c>
      <c r="I2230" s="3"/>
    </row>
    <row r="2231" customHeight="1" spans="1:9">
      <c r="A2231" s="2"/>
      <c r="B2231" s="2" t="str">
        <f>IFERROR(__xludf.DUMMYFUNCTION("IF(A2231&lt;&gt;"""", GOOGLETRANSLATE(A2231, ""en"", ""te""),"""")"),"")</f>
        <v/>
      </c>
      <c r="C2231" s="2"/>
      <c r="D2231" s="2" t="str">
        <f>IFERROR(__xludf.DUMMYFUNCTION("IF(C2231&lt;&gt;"""", GOOGLETRANSLATE(C2231, ""en"", ""te""),"""")"),"")</f>
        <v/>
      </c>
      <c r="E2231" s="2"/>
      <c r="F2231" s="2" t="str">
        <f>IFERROR(__xludf.DUMMYFUNCTION("IF(E2231&lt;&gt;"""", GOOGLETRANSLATE(E2231, ""en"", ""te""),"""")"),"")</f>
        <v/>
      </c>
      <c r="G2231" s="2"/>
      <c r="H2231" s="2" t="str">
        <f>IFERROR(__xludf.DUMMYFUNCTION("IF(G2231&lt;&gt;"""", GOOGLETRANSLATE(G2231, ""en"", ""te""),"""")"),"")</f>
        <v/>
      </c>
      <c r="I2231" s="3"/>
    </row>
    <row r="2232" customHeight="1" spans="1:9">
      <c r="A2232" s="2" t="s">
        <v>1515</v>
      </c>
      <c r="B2232" s="2" t="str">
        <f>IFERROR(__xludf.DUMMYFUNCTION("IF(A2232&lt;&gt;"""", GOOGLETRANSLATE(A2232, ""en"", ""te""),"""")"),"[ 'ఇన్నింగ్స్ లో 6 వ అత్యధిక పరుగులు (బ్యాటింగ్ స్థానంలో ప్రకారం) (57)', '6 వ అత్యుత్తమ బౌలింగ్ ఇన్నింగ్స్ లో విశ్లేషించడం (3/9)']")</f>
        <v>[ 'ఇన్నింగ్స్ లో 6 వ అత్యధిక పరుగులు (బ్యాటింగ్ స్థానంలో ప్రకారం) (57)', '6 వ అత్యుత్తమ బౌలింగ్ ఇన్నింగ్స్ లో విశ్లేషించడం (3/9)']</v>
      </c>
      <c r="C2232" s="2" t="s">
        <v>1516</v>
      </c>
      <c r="D2232" s="2" t="str">
        <f>IFERROR(__xludf.DUMMYFUNCTION("IF(C2232&lt;&gt;"""", GOOGLETRANSLATE(C2232, ""en"", ""te""),"""")"),"[ 'ఇన్నింగ్స్ లో 6 వ అత్యధిక పరుగులు (బ్యాటింగ్ స్థానంలో ప్రకారం) (57)', '6 వ అత్యుత్తమ బౌలింగ్ ఇన్నింగ్స్ లో విశ్లేషించడం (3/9)', 'తొమ్మిదవ వికెట్కు 23 అత్యధిక భాగస్వామ్యం (45)']")</f>
        <v>[ 'ఇన్నింగ్స్ లో 6 వ అత్యధిక పరుగులు (బ్యాటింగ్ స్థానంలో ప్రకారం) (57)', '6 వ అత్యుత్తమ బౌలింగ్ ఇన్నింగ్స్ లో విశ్లేషించడం (3/9)', 'తొమ్మిదవ వికెట్కు 23 అత్యధిక భాగస్వామ్యం (45)']</v>
      </c>
      <c r="E2232" s="2" t="s">
        <v>1517</v>
      </c>
      <c r="F2232" s="2" t="str">
        <f>IFERROR(__xludf.DUMMYFUNCTION("IF(E2232&lt;&gt;"""", GOOGLETRANSLATE(E2232, ""en"", ""te""),"""")"),"[ '50 వ ఉత్తమ కెరీర్ ఆర్థిక రేటు (2.98)', '34 వ కెరీర్ లో బౌల్డ్ చాలా బంతుల్లో (3161)', '33 వ బౌలర్ / ఫీల్డర్ కలయికలు (11)', '48 వ అత్యధిక వికెట్లు తీసుకున్న బౌల్డ్ (16)', '36 వ అత్యధిక వికెట్లు తీసుకున్న ఎల్బిడబ్ల్యు (12) ',' 40 వ అత్యంత బృందం వరుసగా మ్య"&amp;"ాచ్లు (40) ']")</f>
        <v>[ '50 వ ఉత్తమ కెరీర్ ఆర్థిక రేటు (2.98)', '34 వ కెరీర్ లో బౌల్డ్ చాలా బంతుల్లో (3161)', '33 వ బౌలర్ / ఫీల్డర్ కలయికలు (11)', '48 వ అత్యధిక వికెట్లు తీసుకున్న బౌల్డ్ (16)', '36 వ అత్యధిక వికెట్లు తీసుకున్న ఎల్బిడబ్ల్యు (12) ',' 40 వ అత్యంత బృందం వరుసగా మ్యాచ్లు (40) ']</v>
      </c>
      <c r="G2232" s="2"/>
      <c r="H2232" s="2" t="str">
        <f>IFERROR(__xludf.DUMMYFUNCTION("IF(G2232&lt;&gt;"""", GOOGLETRANSLATE(G2232, ""en"", ""te""),"""")"),"")</f>
        <v/>
      </c>
      <c r="I2232" s="3"/>
    </row>
    <row r="2233" customHeight="1" spans="1:9">
      <c r="A2233" s="2"/>
      <c r="B2233" s="2" t="str">
        <f>IFERROR(__xludf.DUMMYFUNCTION("IF(A2233&lt;&gt;"""", GOOGLETRANSLATE(A2233, ""en"", ""te""),"""")"),"")</f>
        <v/>
      </c>
      <c r="C2233" s="2"/>
      <c r="D2233" s="2" t="str">
        <f>IFERROR(__xludf.DUMMYFUNCTION("IF(C2233&lt;&gt;"""", GOOGLETRANSLATE(C2233, ""en"", ""te""),"""")"),"")</f>
        <v/>
      </c>
      <c r="E2233" s="2"/>
      <c r="F2233" s="2" t="str">
        <f>IFERROR(__xludf.DUMMYFUNCTION("IF(E2233&lt;&gt;"""", GOOGLETRANSLATE(E2233, ""en"", ""te""),"""")"),"")</f>
        <v/>
      </c>
      <c r="G2233" s="2"/>
      <c r="H2233" s="2" t="str">
        <f>IFERROR(__xludf.DUMMYFUNCTION("IF(G2233&lt;&gt;"""", GOOGLETRANSLATE(G2233, ""en"", ""te""),"""")"),"")</f>
        <v/>
      </c>
      <c r="I2233" s="3"/>
    </row>
    <row r="2234" customHeight="1" spans="1:9">
      <c r="A2234" s="2" t="s">
        <v>1518</v>
      </c>
      <c r="B2234" s="2" t="str">
        <f>IFERROR(__xludf.DUMMYFUNCTION("IF(A2234&lt;&gt;"""", GOOGLETRANSLATE(A2234, ""en"", ""te""),"""")"),"[ '10 వ అత్యుత్తమ ఇన్నింగ్స్ (7/25) విశ్లేషణలలో బౌలింగ్']")</f>
        <v>[ '10 వ అత్యుత్తమ ఇన్నింగ్స్ (7/25) విశ్లేషణలలో బౌలింగ్']</v>
      </c>
      <c r="C2234" s="2" t="s">
        <v>1519</v>
      </c>
      <c r="D2234" s="2" t="str">
        <f>IFERROR(__xludf.DUMMYFUNCTION("IF(C2234&lt;&gt;"""", GOOGLETRANSLATE(C2234, ""en"", ""te""),"""")"),"[ 'ఒక ఇన్నింగ్స్ లో 24 వ బెస్ట్ ఫిగర్స్ పరాజయం వైపు (7) ఉన్నప్పుడు' '10 వ అత్యుత్తమ ఇన్నింగ్స్ లో విశ్లేషణలు బౌలింగ్ (7/25)', '13 వ షార్టేస్ట్ క్రీడాకారులు (27y 56d) నివసించారు']")</f>
        <v>[ 'ఒక ఇన్నింగ్స్ లో 24 వ బెస్ట్ ఫిగర్స్ పరాజయం వైపు (7) ఉన్నప్పుడు' '10 వ అత్యుత్తమ ఇన్నింగ్స్ లో విశ్లేషణలు బౌలింగ్ (7/25)', '13 వ షార్టేస్ట్ క్రీడాకారులు (27y 56d) నివసించారు']</v>
      </c>
      <c r="E2234" s="2"/>
      <c r="F2234" s="2" t="str">
        <f>IFERROR(__xludf.DUMMYFUNCTION("IF(E2234&lt;&gt;"""", GOOGLETRANSLATE(E2234, ""en"", ""te""),"""")"),"")</f>
        <v/>
      </c>
      <c r="G2234" s="2"/>
      <c r="H2234" s="2" t="str">
        <f>IFERROR(__xludf.DUMMYFUNCTION("IF(G2234&lt;&gt;"""", GOOGLETRANSLATE(G2234, ""en"", ""te""),"""")"),"")</f>
        <v/>
      </c>
      <c r="I2234" s="3"/>
    </row>
    <row r="2235" customHeight="1" spans="1:9">
      <c r="A2235" s="2"/>
      <c r="B2235" s="2" t="str">
        <f>IFERROR(__xludf.DUMMYFUNCTION("IF(A2235&lt;&gt;"""", GOOGLETRANSLATE(A2235, ""en"", ""te""),"""")"),"")</f>
        <v/>
      </c>
      <c r="C2235" s="2"/>
      <c r="D2235" s="2" t="str">
        <f>IFERROR(__xludf.DUMMYFUNCTION("IF(C2235&lt;&gt;"""", GOOGLETRANSLATE(C2235, ""en"", ""te""),"""")"),"")</f>
        <v/>
      </c>
      <c r="E2235" s="2"/>
      <c r="F2235" s="2" t="str">
        <f>IFERROR(__xludf.DUMMYFUNCTION("IF(E2235&lt;&gt;"""", GOOGLETRANSLATE(E2235, ""en"", ""te""),"""")"),"")</f>
        <v/>
      </c>
      <c r="G2235" s="2"/>
      <c r="H2235" s="2" t="str">
        <f>IFERROR(__xludf.DUMMYFUNCTION("IF(G2235&lt;&gt;"""", GOOGLETRANSLATE(G2235, ""en"", ""te""),"""")"),"")</f>
        <v/>
      </c>
      <c r="I2235" s="3"/>
    </row>
    <row r="2236" customHeight="1" spans="1:9">
      <c r="A2236" s="2"/>
      <c r="B2236" s="2" t="str">
        <f>IFERROR(__xludf.DUMMYFUNCTION("IF(A2236&lt;&gt;"""", GOOGLETRANSLATE(A2236, ""en"", ""te""),"""")"),"")</f>
        <v/>
      </c>
      <c r="C2236" s="2"/>
      <c r="D2236" s="2" t="str">
        <f>IFERROR(__xludf.DUMMYFUNCTION("IF(C2236&lt;&gt;"""", GOOGLETRANSLATE(C2236, ""en"", ""te""),"""")"),"")</f>
        <v/>
      </c>
      <c r="E2236" s="2"/>
      <c r="F2236" s="2" t="str">
        <f>IFERROR(__xludf.DUMMYFUNCTION("IF(E2236&lt;&gt;"""", GOOGLETRANSLATE(E2236, ""en"", ""te""),"""")"),"")</f>
        <v/>
      </c>
      <c r="G2236" s="2"/>
      <c r="H2236" s="2" t="str">
        <f>IFERROR(__xludf.DUMMYFUNCTION("IF(G2236&lt;&gt;"""", GOOGLETRANSLATE(G2236, ""en"", ""te""),"""")"),"")</f>
        <v/>
      </c>
      <c r="I2236" s="3"/>
    </row>
    <row r="2237" customHeight="1" spans="1:9">
      <c r="A2237" s="2"/>
      <c r="B2237" s="2" t="str">
        <f>IFERROR(__xludf.DUMMYFUNCTION("IF(A2237&lt;&gt;"""", GOOGLETRANSLATE(A2237, ""en"", ""te""),"""")"),"")</f>
        <v/>
      </c>
      <c r="C2237" s="2"/>
      <c r="D2237" s="2" t="str">
        <f>IFERROR(__xludf.DUMMYFUNCTION("IF(C2237&lt;&gt;"""", GOOGLETRANSLATE(C2237, ""en"", ""te""),"""")"),"")</f>
        <v/>
      </c>
      <c r="E2237" s="2"/>
      <c r="F2237" s="2" t="str">
        <f>IFERROR(__xludf.DUMMYFUNCTION("IF(E2237&lt;&gt;"""", GOOGLETRANSLATE(E2237, ""en"", ""te""),"""")"),"")</f>
        <v/>
      </c>
      <c r="G2237" s="2"/>
      <c r="H2237" s="2" t="str">
        <f>IFERROR(__xludf.DUMMYFUNCTION("IF(G2237&lt;&gt;"""", GOOGLETRANSLATE(G2237, ""en"", ""te""),"""")"),"")</f>
        <v/>
      </c>
      <c r="I2237" s="3"/>
    </row>
    <row r="2238" customHeight="1" spans="1:9">
      <c r="A2238" s="2"/>
      <c r="B2238" s="2" t="str">
        <f>IFERROR(__xludf.DUMMYFUNCTION("IF(A2238&lt;&gt;"""", GOOGLETRANSLATE(A2238, ""en"", ""te""),"""")"),"")</f>
        <v/>
      </c>
      <c r="C2238" s="2"/>
      <c r="D2238" s="2" t="str">
        <f>IFERROR(__xludf.DUMMYFUNCTION("IF(C2238&lt;&gt;"""", GOOGLETRANSLATE(C2238, ""en"", ""te""),"""")"),"")</f>
        <v/>
      </c>
      <c r="E2238" s="2"/>
      <c r="F2238" s="2" t="str">
        <f>IFERROR(__xludf.DUMMYFUNCTION("IF(E2238&lt;&gt;"""", GOOGLETRANSLATE(E2238, ""en"", ""te""),"""")"),"")</f>
        <v/>
      </c>
      <c r="G2238" s="2"/>
      <c r="H2238" s="2" t="str">
        <f>IFERROR(__xludf.DUMMYFUNCTION("IF(G2238&lt;&gt;"""", GOOGLETRANSLATE(G2238, ""en"", ""te""),"""")"),"")</f>
        <v/>
      </c>
      <c r="I2238" s="3"/>
    </row>
    <row r="2239" customHeight="1" spans="1:9">
      <c r="A2239" s="2"/>
      <c r="B2239" s="2" t="str">
        <f>IFERROR(__xludf.DUMMYFUNCTION("IF(A2239&lt;&gt;"""", GOOGLETRANSLATE(A2239, ""en"", ""te""),"""")"),"")</f>
        <v/>
      </c>
      <c r="C2239" s="2"/>
      <c r="D2239" s="2" t="str">
        <f>IFERROR(__xludf.DUMMYFUNCTION("IF(C2239&lt;&gt;"""", GOOGLETRANSLATE(C2239, ""en"", ""te""),"""")"),"")</f>
        <v/>
      </c>
      <c r="E2239" s="2"/>
      <c r="F2239" s="2" t="str">
        <f>IFERROR(__xludf.DUMMYFUNCTION("IF(E2239&lt;&gt;"""", GOOGLETRANSLATE(E2239, ""en"", ""te""),"""")"),"")</f>
        <v/>
      </c>
      <c r="G2239" s="2"/>
      <c r="H2239" s="2" t="str">
        <f>IFERROR(__xludf.DUMMYFUNCTION("IF(G2239&lt;&gt;"""", GOOGLETRANSLATE(G2239, ""en"", ""te""),"""")"),"")</f>
        <v/>
      </c>
      <c r="I2239" s="3"/>
    </row>
    <row r="2240" customHeight="1" spans="1:9">
      <c r="A2240" s="2"/>
      <c r="B2240" s="2" t="str">
        <f>IFERROR(__xludf.DUMMYFUNCTION("IF(A2240&lt;&gt;"""", GOOGLETRANSLATE(A2240, ""en"", ""te""),"""")"),"")</f>
        <v/>
      </c>
      <c r="C2240" s="2"/>
      <c r="D2240" s="2" t="str">
        <f>IFERROR(__xludf.DUMMYFUNCTION("IF(C2240&lt;&gt;"""", GOOGLETRANSLATE(C2240, ""en"", ""te""),"""")"),"")</f>
        <v/>
      </c>
      <c r="E2240" s="2"/>
      <c r="F2240" s="2" t="str">
        <f>IFERROR(__xludf.DUMMYFUNCTION("IF(E2240&lt;&gt;"""", GOOGLETRANSLATE(E2240, ""en"", ""te""),"""")"),"")</f>
        <v/>
      </c>
      <c r="G2240" s="2"/>
      <c r="H2240" s="2" t="str">
        <f>IFERROR(__xludf.DUMMYFUNCTION("IF(G2240&lt;&gt;"""", GOOGLETRANSLATE(G2240, ""en"", ""te""),"""")"),"")</f>
        <v/>
      </c>
      <c r="I2240" s="3"/>
    </row>
    <row r="2241" customHeight="1" spans="1:9">
      <c r="A2241" s="2"/>
      <c r="B2241" s="2" t="str">
        <f>IFERROR(__xludf.DUMMYFUNCTION("IF(A2241&lt;&gt;"""", GOOGLETRANSLATE(A2241, ""en"", ""te""),"""")"),"")</f>
        <v/>
      </c>
      <c r="C2241" s="2"/>
      <c r="D2241" s="2" t="str">
        <f>IFERROR(__xludf.DUMMYFUNCTION("IF(C2241&lt;&gt;"""", GOOGLETRANSLATE(C2241, ""en"", ""te""),"""")"),"")</f>
        <v/>
      </c>
      <c r="E2241" s="2"/>
      <c r="F2241" s="2" t="str">
        <f>IFERROR(__xludf.DUMMYFUNCTION("IF(E2241&lt;&gt;"""", GOOGLETRANSLATE(E2241, ""en"", ""te""),"""")"),"")</f>
        <v/>
      </c>
      <c r="G2241" s="2" t="s">
        <v>1520</v>
      </c>
      <c r="H2241" s="2" t="str">
        <f>IFERROR(__xludf.DUMMYFUNCTION("IF(G2241&lt;&gt;"""", GOOGLETRANSLATE(G2241, ""en"", ""te""),"""")"),"[ 'మూడో వికెట్కు (109 *) కోసం 26 అత్యధిక భాగస్వామ్యం', '25 వ వరుస మ్యాచ్లు ఆడి మధ్య జట్టుకు దూరమయ్యాడు (45)', '37 వ లాంగెస్ట్ కెరీర్లు (11y 297d)']")</f>
        <v>[ 'మూడో వికెట్కు (109 *) కోసం 26 అత్యధిక భాగస్వామ్యం', '25 వ వరుస మ్యాచ్లు ఆడి మధ్య జట్టుకు దూరమయ్యాడు (45)', '37 వ లాంగెస్ట్ కెరీర్లు (11y 297d)']</v>
      </c>
      <c r="I2241" s="3"/>
    </row>
    <row r="2242" customHeight="1" spans="1:9">
      <c r="A2242" s="2" t="s">
        <v>1521</v>
      </c>
      <c r="B2242" s="2" t="str">
        <f>IFERROR(__xludf.DUMMYFUNCTION("IF(A2242&lt;&gt;"""", GOOGLETRANSLATE(A2242, ""en"", ""te""),"""")"),"[ 'ఒక మ్యాచ్లో 1st బెస్ట్ ఫిగర్స్ ఉన్నప్పుడు పరాజయం వైపు (13)', '1000 పరుగులు మరియు 100 వికెట్లు']")</f>
        <v>[ 'ఒక మ్యాచ్లో 1st బెస్ట్ ఫిగర్స్ ఉన్నప్పుడు పరాజయం వైపు (13)', '1000 పరుగులు మరియు 100 వికెట్లు']</v>
      </c>
      <c r="C2242" s="2" t="s">
        <v>1522</v>
      </c>
      <c r="D2242" s="2" t="str">
        <f>IFERROR(__xludf.DUMMYFUNCTION("IF(C2242&lt;&gt;"""", GOOGLETRANSLATE(C2242, ""en"", ""te""),"""")"),"[ '46 వ అత్యంత లేకుండా వంద (1032) ఒక వృత్తిలో పరుగులు' 'ఒక మ్యాచ్లో 25 బెస్ట్ ఫిగర్స్ (13)', '5 వ ఒక ఇన్నింగ్స్ లోని బెస్ట్ ఫిగర్స్ ఉన్నప్పుడు పరాజయం వైపు (8)', '1 వ ఉత్తమ బొమ్మలు ఒక మ్యాచ్ పరాజయం వైపు (13) ',' 18 వ వరుస ఐదు వికెట్ల లో-ఒక-ఇన్నింగ్స్ (3)"&amp;" ',' 33 వ బౌలర్ / ఫీల్డర్ కలయికలు (46) ',' 46 వ అత్యధిక వికెట్లు తీసుకున్న ఉన్నప్పుడు ఆకర్షించింది (157) ',' 49 వ అత్యధిక వికెట్లు ఒక ఫీల్డర్ చేత క్యాచ్ తీసుకున్న (105) ',' 45 వ అత్యధిక వికెట్లు ఒక వికెట్ కీపర్ చే కాట్ తీసుకోకూడదు (52) ',' 34 వ 200 వికెట్"&amp;"లు (49) వేగంగా ']")</f>
        <v>[ '46 వ అత్యంత లేకుండా వంద (1032) ఒక వృత్తిలో పరుగులు' 'ఒక మ్యాచ్లో 25 బెస్ట్ ఫిగర్స్ (13)', '5 వ ఒక ఇన్నింగ్స్ లోని బెస్ట్ ఫిగర్స్ ఉన్నప్పుడు పరాజయం వైపు (8)', '1 వ ఉత్తమ బొమ్మలు ఒక మ్యాచ్ పరాజయం వైపు (13) ',' 18 వ వరుస ఐదు వికెట్ల లో-ఒక-ఇన్నింగ్స్ (3) ',' 33 వ బౌలర్ / ఫీల్డర్ కలయికలు (46) ',' 46 వ అత్యధిక వికెట్లు తీసుకున్న ఉన్నప్పుడు ఆకర్షించింది (157) ',' 49 వ అత్యధిక వికెట్లు ఒక ఫీల్డర్ చేత క్యాచ్ తీసుకున్న (105) ',' 45 వ అత్యధిక వికెట్లు ఒక వికెట్ కీపర్ చే కాట్ తీసుకోకూడదు (52) ',' 34 వ 200 వికెట్లు (49) వేగంగా ']</v>
      </c>
      <c r="E2242" s="2"/>
      <c r="F2242" s="2" t="str">
        <f>IFERROR(__xludf.DUMMYFUNCTION("IF(E2242&lt;&gt;"""", GOOGLETRANSLATE(E2242, ""en"", ""te""),"""")"),"")</f>
        <v/>
      </c>
      <c r="G2242" s="2"/>
      <c r="H2242" s="2" t="str">
        <f>IFERROR(__xludf.DUMMYFUNCTION("IF(G2242&lt;&gt;"""", GOOGLETRANSLATE(G2242, ""en"", ""te""),"""")"),"")</f>
        <v/>
      </c>
      <c r="I2242" s="3"/>
    </row>
    <row r="2243" customHeight="1" spans="1:9">
      <c r="A2243" s="2" t="s">
        <v>1523</v>
      </c>
      <c r="B2243" s="2" t="str">
        <f>IFERROR(__xludf.DUMMYFUNCTION("IF(A2243&lt;&gt;"""", GOOGLETRANSLATE(A2243, ""en"", ""te""),"""")"),"[ '7th షార్టేస్ట్ క్రీడాకారులు నివసించారు (25y 362d)' 'హండ్రెడ్ ఒక మ్యాచ్లో ప్రతి ఇన్నింగ్స్లో', 'హండ్రెడ్ మరియు ఒక మ్యాచ్లో ఒక డక్', 'పదవ వికెట్కు 2 వ అత్యధిక భాగస్వామ్యం (163)', '6 వ షార్టేస్ట్ క్రీడాకారులు నివసించారు (25y 362d) ',' హండ్రెడ్ తొలి (112) "&amp;"',' 1st షార్టేస్ట్ క్రీడాకారులు నివసించారు (25y 362d) ']")</f>
        <v>[ '7th షార్టేస్ట్ క్రీడాకారులు నివసించారు (25y 362d)' 'హండ్రెడ్ ఒక మ్యాచ్లో ప్రతి ఇన్నింగ్స్లో', 'హండ్రెడ్ మరియు ఒక మ్యాచ్లో ఒక డక్', 'పదవ వికెట్కు 2 వ అత్యధిక భాగస్వామ్యం (163)', '6 వ షార్టేస్ట్ క్రీడాకారులు నివసించారు (25y 362d) ',' హండ్రెడ్ తొలి (112) ',' 1st షార్టేస్ట్ క్రీడాకారులు నివసించారు (25y 362d) ']</v>
      </c>
      <c r="C2243" s="2" t="s">
        <v>1524</v>
      </c>
      <c r="D2243" s="2" t="str">
        <f>IFERROR(__xludf.DUMMYFUNCTION("IF(C2243&lt;&gt;"""", GOOGLETRANSLATE(C2243, ""en"", ""te""),"""")"),"[ '29 పిన్న ఆటగాడు వంద (20y 96d) స్కోర్', 'పదవ వికెట్కు 2 వ అత్యధిక భాగస్వామ్యం (163)', '7 వ షార్టేస్ట్ క్రీడాకారులు నివసించారు (25y 362d)']")</f>
        <v>[ '29 పిన్న ఆటగాడు వంద (20y 96d) స్కోర్', 'పదవ వికెట్కు 2 వ అత్యధిక భాగస్వామ్యం (163)', '7 వ షార్టేస్ట్ క్రీడాకారులు నివసించారు (25y 362d)']</v>
      </c>
      <c r="E2243" s="2" t="s">
        <v>1525</v>
      </c>
      <c r="F2243" s="2" t="str">
        <f>IFERROR(__xludf.DUMMYFUNCTION("IF(E2243&lt;&gt;"""", GOOGLETRANSLATE(E2243, ""en"", ""te""),"""")"),"[ 'తొలి మ్యాచ్లో 8 వ అత్యధిక పరుగులు (112)', 'ఒక ఇన్నింగ్స్లో పరుగుల 34 వ అత్యధిక శాతం (55.87)', '6 వ షార్టేస్ట్ క్రీడాకారులు నివసించారు (25y 362d)']")</f>
        <v>[ 'తొలి మ్యాచ్లో 8 వ అత్యధిక పరుగులు (112)', 'ఒక ఇన్నింగ్స్లో పరుగుల 34 వ అత్యధిక శాతం (55.87)', '6 వ షార్టేస్ట్ క్రీడాకారులు నివసించారు (25y 362d)']</v>
      </c>
      <c r="G2243" s="2" t="s">
        <v>1526</v>
      </c>
      <c r="H2243" s="2" t="str">
        <f>IFERROR(__xludf.DUMMYFUNCTION("IF(G2243&lt;&gt;"""", GOOGLETRANSLATE(G2243, ""en"", ""te""),"""")"),"[ '1st షార్టేస్ట్ క్రీడాకారులు (25y 362d) నివసించారు']")</f>
        <v>[ '1st షార్టేస్ట్ క్రీడాకారులు (25y 362d) నివసించారు']</v>
      </c>
      <c r="I2243" s="3"/>
    </row>
    <row r="2244" customHeight="1" spans="1:9">
      <c r="A2244" s="2"/>
      <c r="B2244" s="2" t="str">
        <f>IFERROR(__xludf.DUMMYFUNCTION("IF(A2244&lt;&gt;"""", GOOGLETRANSLATE(A2244, ""en"", ""te""),"""")"),"")</f>
        <v/>
      </c>
      <c r="C2244" s="2"/>
      <c r="D2244" s="2" t="str">
        <f>IFERROR(__xludf.DUMMYFUNCTION("IF(C2244&lt;&gt;"""", GOOGLETRANSLATE(C2244, ""en"", ""te""),"""")"),"")</f>
        <v/>
      </c>
      <c r="E2244" s="2"/>
      <c r="F2244" s="2" t="str">
        <f>IFERROR(__xludf.DUMMYFUNCTION("IF(E2244&lt;&gt;"""", GOOGLETRANSLATE(E2244, ""en"", ""te""),"""")"),"")</f>
        <v/>
      </c>
      <c r="G2244" s="2"/>
      <c r="H2244" s="2" t="str">
        <f>IFERROR(__xludf.DUMMYFUNCTION("IF(G2244&lt;&gt;"""", GOOGLETRANSLATE(G2244, ""en"", ""te""),"""")"),"")</f>
        <v/>
      </c>
      <c r="I2244" s="3"/>
    </row>
    <row r="2245" customHeight="1" spans="1:9">
      <c r="A2245" s="2"/>
      <c r="B2245" s="2" t="str">
        <f>IFERROR(__xludf.DUMMYFUNCTION("IF(A2245&lt;&gt;"""", GOOGLETRANSLATE(A2245, ""en"", ""te""),"""")"),"")</f>
        <v/>
      </c>
      <c r="C2245" s="2"/>
      <c r="D2245" s="2" t="str">
        <f>IFERROR(__xludf.DUMMYFUNCTION("IF(C2245&lt;&gt;"""", GOOGLETRANSLATE(C2245, ""en"", ""te""),"""")"),"")</f>
        <v/>
      </c>
      <c r="E2245" s="2" t="s">
        <v>1527</v>
      </c>
      <c r="F2245" s="2" t="str">
        <f>IFERROR(__xludf.DUMMYFUNCTION("IF(E2245&lt;&gt;"""", GOOGLETRANSLATE(E2245, ""en"", ""te""),"""")"),"[ '41 వ అత్యధిక కెరీర్ సమ్మె రేటు (97.38)', '30th తొలి మ్యాచ్లో అత్యధిక పరుగులు (82)']")</f>
        <v>[ '41 వ అత్యధిక కెరీర్ సమ్మె రేటు (97.38)', '30th తొలి మ్యాచ్లో అత్యధిక పరుగులు (82)']</v>
      </c>
      <c r="G2245" s="2"/>
      <c r="H2245" s="2" t="str">
        <f>IFERROR(__xludf.DUMMYFUNCTION("IF(G2245&lt;&gt;"""", GOOGLETRANSLATE(G2245, ""en"", ""te""),"""")"),"")</f>
        <v/>
      </c>
      <c r="I2245" s="3"/>
    </row>
    <row r="2246" customHeight="1" spans="1:9">
      <c r="A2246" s="2" t="s">
        <v>1528</v>
      </c>
      <c r="B2246" s="2" t="str">
        <f>IFERROR(__xludf.DUMMYFUNCTION("IF(A2246&lt;&gt;"""", GOOGLETRANSLATE(A2246, ""en"", ""te""),"""")"),"[ 'ఇన్నింగ్స్ లో 1 వ అత్యధిక పరుగులు (బ్యాటింగ్ స్థానంలో ప్రకారం) (380)', 'హండ్రెడ్ ఒక మ్యాచ్లో ప్రతి ఇన్నింగ్స్లో', 'కెరీర్లో 8 వ అత్యంత తొంభైల (7)', 'వరుస మ్యాచ్లలో 9 వ యాభైల్లో (9)', 'నూట ఒక మ్యాచ్లో డక్', '5000 పరుగులు (95) వేగంగా 3 వ', 'ఇన్నింగ్స్ "&amp;"(218) లో ఫోర్లు, సిక్సర్లు నుండి 2 వ అత్యధిక పరుగులు', 'ఒక మ్యాచ్లో 2nd అత్యధిక క్యాచ్లు (7)', ' 5000 పరుగులు మరియు 50 ఫీల్డింగ్ వికెట్లు ',' 3 వ అత్యంత పరాజయం వైపు ఒక మ్యాచ్ (181 *) లో వరుస (3) ',' 1 వ కోసం కొట్టివేయబడింది లో నడుస్తుంది ',' 3 వ అత్యధిక "&amp;"వందలు 99 (199, 299 etc) ( 99) ',' 7th 6000 వేగంగా పరుగులు (154) ',' 5000 పరుగులు మరియు 50 ఫీల్డింగ్ వికెట్లు ',' వరుస మ్యాచ్లలో 4 వ వందల (4) ',' 8 వ కెరీర్ (11 అత్యంత తొంభైల) ']")</f>
        <v>[ 'ఇన్నింగ్స్ లో 1 వ అత్యధిక పరుగులు (బ్యాటింగ్ స్థానంలో ప్రకారం) (380)', 'హండ్రెడ్ ఒక మ్యాచ్లో ప్రతి ఇన్నింగ్స్లో', 'కెరీర్లో 8 వ అత్యంత తొంభైల (7)', 'వరుస మ్యాచ్లలో 9 వ యాభైల్లో (9)', 'నూట ఒక మ్యాచ్లో డక్', '5000 పరుగులు (95) వేగంగా 3 వ', 'ఇన్నింగ్స్ (218) లో ఫోర్లు, సిక్సర్లు నుండి 2 వ అత్యధిక పరుగులు', 'ఒక మ్యాచ్లో 2nd అత్యధిక క్యాచ్లు (7)', ' 5000 పరుగులు మరియు 50 ఫీల్డింగ్ వికెట్లు ',' 3 వ అత్యంత పరాజయం వైపు ఒక మ్యాచ్ (181 *) లో వరుస (3) ',' 1 వ కోసం కొట్టివేయబడింది లో నడుస్తుంది ',' 3 వ అత్యధిక వందలు 99 (199, 299 etc) ( 99) ',' 7th 6000 వేగంగా పరుగులు (154) ',' 5000 పరుగులు మరియు 50 ఫీల్డింగ్ వికెట్లు ',' వరుస మ్యాచ్లలో 4 వ వందల (4) ',' 8 వ కెరీర్ (11 అత్యంత తొంభైల) ']</v>
      </c>
      <c r="C2246" s="2" t="s">
        <v>1529</v>
      </c>
      <c r="D2246" s="2" t="str">
        <f>IFERROR(__xludf.DUMMYFUNCTION("IF(C2246&lt;&gt;"""", GOOGLETRANSLATE(C2246, ""en"", ""te""),"""")"),"[ 'ఇన్నింగ్స్ లో 2 వ అత్యధిక పరుగులు (380)' ఒక మ్యాచ్లో '22 వ అత్యధిక కెరీర్ లో పరుగులు (8625)', '10 వ ఇన్నింగ్స్ లో అత్యధిక పరుగులు (ప్రగతిశీల రికార్డు హోల్డర్) (380)', '5 వ అత్యధిక పరుగులు (380 ) ',' 18 వ ఒక క్యాలెండర్ సంవత్సరంలో అత్యధిక పరుగులు (1391) "&amp;"',' 1 వ ఇన్నింగ్స్ లో అత్యధిక పరుగులు (బ్యాటింగ్ స్థానంలో ప్రకారం) (380) ',' 17 వ అత్యధిక పరుగులు పరాజయం వైపు ఒక మ్యాచ్లో (238) ',' 38 వ అత్యధిక కెరీర్ బ్యాటింగ్ సగటు (50.73) ',' 12 వ ఒక వృత్తిలో అత్యధిక వందలు (30) ',' ఒక వృత్తిలో 5 వ అత్యధిక ట్రిపుల్ సె"&amp;"ంచరీలు (1) ',' ఒక క్యాలెండర్ సంవత్సరంలో 6 వ అత్యధిక వందలు (6) ',' 5 వ కెరీర్లో వరుస మ్యాచ్లలో సెంచరీలు (4) ',' 8 వ అత్యంత తొంభైల (7) ',' 29th కెరీర్ అర్ధ (59) ',' ఒక డక్ లేకుండా వరుస పోటీలలో (9) ',' 16 వ వరుస ఇన్నింగ్స్లో 9 వ యాభైల్లో కెరీర్లో (67) ',' "&amp;"9 వ ఎక్కువ సిక్స్ (82) ',' 20 వ అత్యంత ఇన్నింగ్స్ లో కెరీర్లో ఫోర్లు (1049) ',' 2 వ ఎక్కువ సిక్స్ (11) ', '21 వ ఇన్నింగ్స్ లో వచ్చిన ఎక్కువ ఫోర్లు (38)' , 'ఇన్నింగ్స్ (218) లో ఫోర్లు, సిక్సర్లు నుండి 2 వ అత్యధిక పరుగులు' '2000 పరుగులు 48 వ వేగవంతమైన (46)"&amp;"', '12 వ 3000 పరుగులు (61) వేగంగా', '4 వేగంగా 8 వ 000 పరుగులు (77) వేగంగా 8000 పరుగులు (164) 5000 పరుగులు (95) ',' 16 వ 6000 పరుగులు (126) ',' 12 వ వేగంగా వేగంగా 7000 పరుగులు (142) ',' 7 వ వేగంగా ',' 3 వ ' 'కెరీర్లో 17 వ అత్యధిక క్యాచ్లు (128)', 'ఒక మ్యాచ"&amp;"్లో 2nd అత్యధిక క్యాచ్లు (7)', '42 వ ఒక సిరీస్లో అత్యధిక క్యాచ్లు (10)', 'మొదటి వికెట్కు 47 వ అత్యధిక భాగస్వామ్యం (231)', ' రెండవ వికెట్కు 32 వ అత్యధిక భాగస్వామ్యం (272) ',' ఆరవ వికెట్కు 12 వ అత్యధిక భాగస్వామ్యం (279) ',' 11 వ వరుస జట్టు మ్యాచ్లు (86) ','"&amp;" 25 వ అత్యంత ప్లేయర్ ఆఫ్ ది మ్యాచ్ అవార్డులు ( 10) ',' 24 వ అత్యంత ప్లేయర్ ఆఫ్ ది సిరీస్ అవార్డులు (4) ']")</f>
        <v>[ 'ఇన్నింగ్స్ లో 2 వ అత్యధిక పరుగులు (380)' ఒక మ్యాచ్లో '22 వ అత్యధిక కెరీర్ లో పరుగులు (8625)', '10 వ ఇన్నింగ్స్ లో అత్యధిక పరుగులు (ప్రగతిశీల రికార్డు హోల్డర్) (380)', '5 వ అత్యధిక పరుగులు (380 ) ',' 18 వ ఒక క్యాలెండర్ సంవత్సరంలో అత్యధిక పరుగులు (1391) ',' 1 వ ఇన్నింగ్స్ లో అత్యధిక పరుగులు (బ్యాటింగ్ స్థానంలో ప్రకారం) (380) ',' 17 వ అత్యధిక పరుగులు పరాజయం వైపు ఒక మ్యాచ్లో (238) ',' 38 వ అత్యధిక కెరీర్ బ్యాటింగ్ సగటు (50.73) ',' 12 వ ఒక వృత్తిలో అత్యధిక వందలు (30) ',' ఒక వృత్తిలో 5 వ అత్యధిక ట్రిపుల్ సెంచరీలు (1) ',' ఒక క్యాలెండర్ సంవత్సరంలో 6 వ అత్యధిక వందలు (6) ',' 5 వ కెరీర్లో వరుస మ్యాచ్లలో సెంచరీలు (4) ',' 8 వ అత్యంత తొంభైల (7) ',' 29th కెరీర్ అర్ధ (59) ',' ఒక డక్ లేకుండా వరుస పోటీలలో (9) ',' 16 వ వరుస ఇన్నింగ్స్లో 9 వ యాభైల్లో కెరీర్లో (67) ',' 9 వ ఎక్కువ సిక్స్ (82) ',' 20 వ అత్యంత ఇన్నింగ్స్ లో కెరీర్లో ఫోర్లు (1049) ',' 2 వ ఎక్కువ సిక్స్ (11) ', '21 వ ఇన్నింగ్స్ లో వచ్చిన ఎక్కువ ఫోర్లు (38)' , 'ఇన్నింగ్స్ (218) లో ఫోర్లు, సిక్సర్లు నుండి 2 వ అత్యధిక పరుగులు' '2000 పరుగులు 48 వ వేగవంతమైన (46)', '12 వ 3000 పరుగులు (61) వేగంగా', '4 వేగంగా 8 వ 000 పరుగులు (77) వేగంగా 8000 పరుగులు (164) 5000 పరుగులు (95) ',' 16 వ 6000 పరుగులు (126) ',' 12 వ వేగంగా వేగంగా 7000 పరుగులు (142) ',' 7 వ వేగంగా ',' 3 వ ' 'కెరీర్లో 17 వ అత్యధిక క్యాచ్లు (128)', 'ఒక మ్యాచ్లో 2nd అత్యధిక క్యాచ్లు (7)', '42 వ ఒక సిరీస్లో అత్యధిక క్యాచ్లు (10)', 'మొదటి వికెట్కు 47 వ అత్యధిక భాగస్వామ్యం (231)', ' రెండవ వికెట్కు 32 వ అత్యధిక భాగస్వామ్యం (272) ',' ఆరవ వికెట్కు 12 వ అత్యధిక భాగస్వామ్యం (279) ',' 11 వ వరుస జట్టు మ్యాచ్లు (86) ',' 25 వ అత్యంత ప్లేయర్ ఆఫ్ ది మ్యాచ్ అవార్డులు ( 10) ',' 24 వ అత్యంత ప్లేయర్ ఆఫ్ ది సిరీస్ అవార్డులు (4) ']</v>
      </c>
      <c r="E2246" s="2" t="s">
        <v>1530</v>
      </c>
      <c r="F2246" s="2" t="str">
        <f>IFERROR(__xludf.DUMMYFUNCTION("IF(E2246&lt;&gt;"""", GOOGLETRANSLATE(E2246, ""en"", ""te""),"""")"),"[ '22 వ ఇన్నింగ్స్ (181 *) లో అత్యధిక పరుగులు', ద్వారా 'ఒక క్యాలెండర్ సంవత్సరంలో 5 వ అత్యధిక పరుగులు (1601)', '17 వ ఇన్నింగ్స్ లో అత్యధిక పరుగులు (బ్యాటింగ్ స్థానంలో' 3 వ అత్యంత వరుస (659) లో నడుస్తుంది ' ) (181 *) ',' 3 వ అత్యంత పరాజయం వైపు ఒక మ్యాచ్ (1"&amp;"81 *) లో నడుస్తుంది ',' 36 వ అత్యధిక కెరీర్ బ్యాటింగ్ సగటు (43.80) ',' వరుస 3 వ అత్యధిక వందలు (3) ',' 11 వ అత్యంత ఒక క్యాలెండర్ సంవత్సరంలో వందల (5) ',' 39 వ ఒక జట్టు (4) ',' 42 వ అత్యంత వృద్ధ ఆటగాడు వ్యతిరేకంగా అత్యధిక వందలు వంద (35y 173d) ',' 34 వ అత్యంత"&amp;" తొంభైల కెరీర్లో (4) ',' 1st కొట్టివేయబడింది స్కోర్ 99 (199, 299 etc) (99) ',' 49 వ కెరీర్ లో వచ్చిన ఎక్కువ సిక్స్ (87) ',' 42 వ కెరీర్ ఫోర్లు (636) ',' 22 వ ఇన్నింగ్స్ లో వచ్చిన ఎక్కువ సిక్స్ (10) ',' 44th కోసం ఒక ఇన్నింగ్స్ లో ఫోర్లు, సిక్సర్లు నుండి అ"&amp;"త్యధిక పరుగులు (104) ',' 17 వ లాంగెస్ట్ వ్యక్తిగత ఇన్నింగ్స్ (బంతులతో) (166) ', '21 వ 2000 పరుగులు (53)', '31 వేగవంతమైన 3000 పరుగులు (84)' వేగంగా, కోసం, '20th అత్యధిక భాగస్వామ్యం' వరుస (8) 24 వ అత్యధిక క్యాచ్లు ',' 6000 పరుగులు (154) వేగంగా 7 వ '' ఫాస్టె"&amp;"స్ట్ 5000 పరుగులు (133) 18 ',' 4000 పరుగులు (110) కు 21 వ వేగవంతమైన ' వ ఇ రెండవ వికెట్ (219) ',' 28th వరుస మ్యాచ్లు ఆడి మధ్య జట్టు (142) కోసం తప్పిన ']")</f>
        <v>[ '22 వ ఇన్నింగ్స్ (181 *) లో అత్యధిక పరుగులు', ద్వారా 'ఒక క్యాలెండర్ సంవత్సరంలో 5 వ అత్యధిక పరుగులు (1601)', '17 వ ఇన్నింగ్స్ లో అత్యధిక పరుగులు (బ్యాటింగ్ స్థానంలో' 3 వ అత్యంత వరుస (659) లో నడుస్తుంది ' ) (181 *) ',' 3 వ అత్యంత పరాజయం వైపు ఒక మ్యాచ్ (181 *) లో నడుస్తుంది ',' 36 వ అత్యధిక కెరీర్ బ్యాటింగ్ సగటు (43.80) ',' వరుస 3 వ అత్యధిక వందలు (3) ',' 11 వ అత్యంత ఒక క్యాలెండర్ సంవత్సరంలో వందల (5) ',' 39 వ ఒక జట్టు (4) ',' 42 వ అత్యంత వృద్ధ ఆటగాడు వ్యతిరేకంగా అత్యధిక వందలు వంద (35y 173d) ',' 34 వ అత్యంత తొంభైల కెరీర్లో (4) ',' 1st కొట్టివేయబడింది స్కోర్ 99 (199, 299 etc) (99) ',' 49 వ కెరీర్ లో వచ్చిన ఎక్కువ సిక్స్ (87) ',' 42 వ కెరీర్ ఫోర్లు (636) ',' 22 వ ఇన్నింగ్స్ లో వచ్చిన ఎక్కువ సిక్స్ (10) ',' 44th కోసం ఒక ఇన్నింగ్స్ లో ఫోర్లు, సిక్సర్లు నుండి అత్యధిక పరుగులు (104) ',' 17 వ లాంగెస్ట్ వ్యక్తిగత ఇన్నింగ్స్ (బంతులతో) (166) ', '21 వ 2000 పరుగులు (53)', '31 వేగవంతమైన 3000 పరుగులు (84)' వేగంగా, కోసం, '20th అత్యధిక భాగస్వామ్యం' వరుస (8) 24 వ అత్యధిక క్యాచ్లు ',' 6000 పరుగులు (154) వేగంగా 7 వ '' ఫాస్టెస్ట్ 5000 పరుగులు (133) 18 ',' 4000 పరుగులు (110) కు 21 వ వేగవంతమైన ' వ ఇ రెండవ వికెట్ (219) ',' 28th వరుస మ్యాచ్లు ఆడి మధ్య జట్టు (142) కోసం తప్పిన ']</v>
      </c>
      <c r="G2246" s="2" t="s">
        <v>1531</v>
      </c>
      <c r="H2246" s="2" t="str">
        <f>IFERROR(__xludf.DUMMYFUNCTION("IF(G2246&lt;&gt;"""", GOOGLETRANSLATE(G2246, ""en"", ""te""),"""")"),"[ '31 ఇన్నింగ్స్ లో వచ్చిన ఎక్కువ ఫోర్లు (11)', '29th పురాతన దేశం ఆటగాళ్ళు (49y 137d)']")</f>
        <v>[ '31 ఇన్నింగ్స్ లో వచ్చిన ఎక్కువ ఫోర్లు (11)', '29th పురాతన దేశం ఆటగాళ్ళు (49y 137d)']</v>
      </c>
      <c r="I2246" s="3"/>
    </row>
    <row r="2247" customHeight="1" spans="1:9">
      <c r="A2247" s="2" t="s">
        <v>1532</v>
      </c>
      <c r="B2247" s="2" t="str">
        <f>IFERROR(__xludf.DUMMYFUNCTION("IF(A2247&lt;&gt;"""", GOOGLETRANSLATE(A2247, ""en"", ""te""),"""")"),"[ '7th అత్యుత్తమ ఇన్నింగ్స్ (2/3) విశ్లేషణలలో బౌలింగ్']")</f>
        <v>[ '7th అత్యుత్తమ ఇన్నింగ్స్ (2/3) విశ్లేషణలలో బౌలింగ్']</v>
      </c>
      <c r="C2247" s="2"/>
      <c r="D2247" s="2" t="str">
        <f>IFERROR(__xludf.DUMMYFUNCTION("IF(C2247&lt;&gt;"""", GOOGLETRANSLATE(C2247, ""en"", ""te""),"""")"),"")</f>
        <v/>
      </c>
      <c r="E2247" s="2" t="s">
        <v>1533</v>
      </c>
      <c r="F2247" s="2" t="str">
        <f>IFERROR(__xludf.DUMMYFUNCTION("IF(E2247&lt;&gt;"""", GOOGLETRANSLATE(E2247, ""en"", ""te""),"""")"),"[ '41 వ అత్యంత వృద్ధ ఆటగాడు తొలి వంద (32y 44d) స్కోర్' '40 వ అత్యంత ఇన్నింగ్స్ తొలి డక్ ముందు (30)', 'ఇన్నింగ్స్ లో 12 వ ఉత్తమ సమ్మె రేటు (6.0)']")</f>
        <v>[ '41 వ అత్యంత వృద్ధ ఆటగాడు తొలి వంద (32y 44d) స్కోర్' '40 వ అత్యంత ఇన్నింగ్స్ తొలి డక్ ముందు (30)', 'ఇన్నింగ్స్ లో 12 వ ఉత్తమ సమ్మె రేటు (6.0)']</v>
      </c>
      <c r="G2247" s="2" t="s">
        <v>1534</v>
      </c>
      <c r="H2247" s="2" t="str">
        <f>IFERROR(__xludf.DUMMYFUNCTION("IF(G2247&lt;&gt;"""", GOOGLETRANSLATE(G2247, ""en"", ""te""),"""")"),"[ '17 వ ఇన్నింగ్స్ లో అత్యధిక పరుగులు (బ్యాటింగ్ స్థానంలో ప్రకారం) (88 *)' 'పరాజయం వైపు ఒక మ్యాచ్లో 23 వ అత్యధిక పరుగులు (88 *)', '7 వ అత్యుత్తమ బౌలింగ్ ఇన్నింగ్స్ లో విశ్లేషించడం (2/3)' '44 వ కెరీర్ లో అత్యధిక క్యాచ్లు (24)', 'బృందం (38) 22 వ వరుస మ్యాచ"&amp;"్లు']")</f>
        <v>[ '17 వ ఇన్నింగ్స్ లో అత్యధిక పరుగులు (బ్యాటింగ్ స్థానంలో ప్రకారం) (88 *)' 'పరాజయం వైపు ఒక మ్యాచ్లో 23 వ అత్యధిక పరుగులు (88 *)', '7 వ అత్యుత్తమ బౌలింగ్ ఇన్నింగ్స్ లో విశ్లేషించడం (2/3)' '44 వ కెరీర్ లో అత్యధిక క్యాచ్లు (24)', 'బృందం (38) 22 వ వరుస మ్యాచ్లు']</v>
      </c>
      <c r="I2247" s="3"/>
    </row>
    <row r="2248" customHeight="1" spans="1:9">
      <c r="A2248" s="2"/>
      <c r="B2248" s="2" t="str">
        <f>IFERROR(__xludf.DUMMYFUNCTION("IF(A2248&lt;&gt;"""", GOOGLETRANSLATE(A2248, ""en"", ""te""),"""")"),"")</f>
        <v/>
      </c>
      <c r="C2248" s="2" t="s">
        <v>1535</v>
      </c>
      <c r="D2248" s="2" t="str">
        <f>IFERROR(__xludf.DUMMYFUNCTION("IF(C2248&lt;&gt;"""", GOOGLETRANSLATE(C2248, ""en"", ""te""),"""")"),"[ '46 వ ఉత్తమ కెరీర్ బౌలింగ్ సరాసరి (అర్హత లేకుండా) (13.00)']")</f>
        <v>[ '46 వ ఉత్తమ కెరీర్ బౌలింగ్ సరాసరి (అర్హత లేకుండా) (13.00)']</v>
      </c>
      <c r="E2248" s="2"/>
      <c r="F2248" s="2" t="str">
        <f>IFERROR(__xludf.DUMMYFUNCTION("IF(E2248&lt;&gt;"""", GOOGLETRANSLATE(E2248, ""en"", ""te""),"""")"),"")</f>
        <v/>
      </c>
      <c r="G2248" s="2"/>
      <c r="H2248" s="2" t="str">
        <f>IFERROR(__xludf.DUMMYFUNCTION("IF(G2248&lt;&gt;"""", GOOGLETRANSLATE(G2248, ""en"", ""te""),"""")"),"")</f>
        <v/>
      </c>
      <c r="I2248" s="3"/>
    </row>
    <row r="2249" customHeight="1" spans="1:9">
      <c r="A2249" s="2"/>
      <c r="B2249" s="2" t="str">
        <f>IFERROR(__xludf.DUMMYFUNCTION("IF(A2249&lt;&gt;"""", GOOGLETRANSLATE(A2249, ""en"", ""te""),"""")"),"")</f>
        <v/>
      </c>
      <c r="C2249" s="2"/>
      <c r="D2249" s="2" t="str">
        <f>IFERROR(__xludf.DUMMYFUNCTION("IF(C2249&lt;&gt;"""", GOOGLETRANSLATE(C2249, ""en"", ""te""),"""")"),"")</f>
        <v/>
      </c>
      <c r="E2249" s="2"/>
      <c r="F2249" s="2" t="str">
        <f>IFERROR(__xludf.DUMMYFUNCTION("IF(E2249&lt;&gt;"""", GOOGLETRANSLATE(E2249, ""en"", ""te""),"""")"),"")</f>
        <v/>
      </c>
      <c r="G2249" s="2"/>
      <c r="H2249" s="2" t="str">
        <f>IFERROR(__xludf.DUMMYFUNCTION("IF(G2249&lt;&gt;"""", GOOGLETRANSLATE(G2249, ""en"", ""te""),"""")"),"")</f>
        <v/>
      </c>
      <c r="I2249" s="3"/>
    </row>
    <row r="2250" customHeight="1" spans="1:9">
      <c r="A2250" s="2"/>
      <c r="B2250" s="2" t="str">
        <f>IFERROR(__xludf.DUMMYFUNCTION("IF(A2250&lt;&gt;"""", GOOGLETRANSLATE(A2250, ""en"", ""te""),"""")"),"")</f>
        <v/>
      </c>
      <c r="C2250" s="2"/>
      <c r="D2250" s="2" t="str">
        <f>IFERROR(__xludf.DUMMYFUNCTION("IF(C2250&lt;&gt;"""", GOOGLETRANSLATE(C2250, ""en"", ""te""),"""")"),"")</f>
        <v/>
      </c>
      <c r="E2250" s="2"/>
      <c r="F2250" s="2" t="str">
        <f>IFERROR(__xludf.DUMMYFUNCTION("IF(E2250&lt;&gt;"""", GOOGLETRANSLATE(E2250, ""en"", ""te""),"""")"),"")</f>
        <v/>
      </c>
      <c r="G2250" s="2"/>
      <c r="H2250" s="2" t="str">
        <f>IFERROR(__xludf.DUMMYFUNCTION("IF(G2250&lt;&gt;"""", GOOGLETRANSLATE(G2250, ""en"", ""te""),"""")"),"")</f>
        <v/>
      </c>
      <c r="I2250" s="3"/>
    </row>
    <row r="2251" customHeight="1" spans="1:9">
      <c r="A2251" s="2" t="s">
        <v>1536</v>
      </c>
      <c r="B2251" s="2" t="str">
        <f>IFERROR(__xludf.DUMMYFUNCTION("IF(A2251&lt;&gt;"""", GOOGLETRANSLATE(A2251, ""en"", ""te""),"""")"),"[ 'హండ్రెడ్ తొలి (116)', 'ఎనిమిదవ వికెట్ (243) 6 వ అత్యధిక భాగస్వామ్యం']")</f>
        <v>[ 'హండ్రెడ్ తొలి (116)', 'ఎనిమిదవ వికెట్ (243) 6 వ అత్యధిక భాగస్వామ్యం']</v>
      </c>
      <c r="C2251" s="2" t="s">
        <v>1537</v>
      </c>
      <c r="D2251" s="2" t="str">
        <f>IFERROR(__xludf.DUMMYFUNCTION("IF(C2251&lt;&gt;"""", GOOGLETRANSLATE(C2251, ""en"", ""te""),"""")"),"[ '31 తొలి మ్యాచ్లో అత్యధిక పరుగులు (164)', 'ఎనిమిదవ వికెట్కు 6 వ అత్యధిక భాగస్వామ్యం (243)']")</f>
        <v>[ '31 తొలి మ్యాచ్లో అత్యధిక పరుగులు (164)', 'ఎనిమిదవ వికెట్కు 6 వ అత్యధిక భాగస్వామ్యం (243)']</v>
      </c>
      <c r="E2251" s="2"/>
      <c r="F2251" s="2" t="str">
        <f>IFERROR(__xludf.DUMMYFUNCTION("IF(E2251&lt;&gt;"""", GOOGLETRANSLATE(E2251, ""en"", ""te""),"""")"),"")</f>
        <v/>
      </c>
      <c r="G2251" s="2"/>
      <c r="H2251" s="2" t="str">
        <f>IFERROR(__xludf.DUMMYFUNCTION("IF(G2251&lt;&gt;"""", GOOGLETRANSLATE(G2251, ""en"", ""te""),"""")"),"")</f>
        <v/>
      </c>
      <c r="I2251" s="3"/>
    </row>
    <row r="2252" customHeight="1" spans="1:9">
      <c r="A2252" s="2"/>
      <c r="B2252" s="2" t="str">
        <f>IFERROR(__xludf.DUMMYFUNCTION("IF(A2252&lt;&gt;"""", GOOGLETRANSLATE(A2252, ""en"", ""te""),"""")"),"")</f>
        <v/>
      </c>
      <c r="C2252" s="2"/>
      <c r="D2252" s="2" t="str">
        <f>IFERROR(__xludf.DUMMYFUNCTION("IF(C2252&lt;&gt;"""", GOOGLETRANSLATE(C2252, ""en"", ""te""),"""")"),"")</f>
        <v/>
      </c>
      <c r="E2252" s="2"/>
      <c r="F2252" s="2" t="str">
        <f>IFERROR(__xludf.DUMMYFUNCTION("IF(E2252&lt;&gt;"""", GOOGLETRANSLATE(E2252, ""en"", ""te""),"""")"),"")</f>
        <v/>
      </c>
      <c r="G2252" s="2"/>
      <c r="H2252" s="2" t="str">
        <f>IFERROR(__xludf.DUMMYFUNCTION("IF(G2252&lt;&gt;"""", GOOGLETRANSLATE(G2252, ""en"", ""te""),"""")"),"")</f>
        <v/>
      </c>
      <c r="I2252" s="3"/>
    </row>
    <row r="2253" customHeight="1" spans="1:9">
      <c r="A2253" s="2"/>
      <c r="B2253" s="2" t="str">
        <f>IFERROR(__xludf.DUMMYFUNCTION("IF(A2253&lt;&gt;"""", GOOGLETRANSLATE(A2253, ""en"", ""te""),"""")"),"")</f>
        <v/>
      </c>
      <c r="C2253" s="2"/>
      <c r="D2253" s="2" t="str">
        <f>IFERROR(__xludf.DUMMYFUNCTION("IF(C2253&lt;&gt;"""", GOOGLETRANSLATE(C2253, ""en"", ""te""),"""")"),"")</f>
        <v/>
      </c>
      <c r="E2253" s="2"/>
      <c r="F2253" s="2" t="str">
        <f>IFERROR(__xludf.DUMMYFUNCTION("IF(E2253&lt;&gt;"""", GOOGLETRANSLATE(E2253, ""en"", ""te""),"""")"),"")</f>
        <v/>
      </c>
      <c r="G2253" s="2"/>
      <c r="H2253" s="2" t="str">
        <f>IFERROR(__xludf.DUMMYFUNCTION("IF(G2253&lt;&gt;"""", GOOGLETRANSLATE(G2253, ""en"", ""te""),"""")"),"")</f>
        <v/>
      </c>
      <c r="I2253" s="3"/>
    </row>
    <row r="2254" customHeight="1" spans="1:9">
      <c r="A2254" s="2"/>
      <c r="B2254" s="2" t="str">
        <f>IFERROR(__xludf.DUMMYFUNCTION("IF(A2254&lt;&gt;"""", GOOGLETRANSLATE(A2254, ""en"", ""te""),"""")"),"")</f>
        <v/>
      </c>
      <c r="C2254" s="2"/>
      <c r="D2254" s="2" t="str">
        <f>IFERROR(__xludf.DUMMYFUNCTION("IF(C2254&lt;&gt;"""", GOOGLETRANSLATE(C2254, ""en"", ""te""),"""")"),"")</f>
        <v/>
      </c>
      <c r="E2254" s="2"/>
      <c r="F2254" s="2" t="str">
        <f>IFERROR(__xludf.DUMMYFUNCTION("IF(E2254&lt;&gt;"""", GOOGLETRANSLATE(E2254, ""en"", ""te""),"""")"),"")</f>
        <v/>
      </c>
      <c r="G2254" s="2"/>
      <c r="H2254" s="2" t="str">
        <f>IFERROR(__xludf.DUMMYFUNCTION("IF(G2254&lt;&gt;"""", GOOGLETRANSLATE(G2254, ""en"", ""te""),"""")"),"")</f>
        <v/>
      </c>
      <c r="I2254" s="3"/>
    </row>
    <row r="2255" customHeight="1" spans="1:9">
      <c r="A2255" s="2" t="s">
        <v>1538</v>
      </c>
      <c r="B2255" s="2" t="str">
        <f>IFERROR(__xludf.DUMMYFUNCTION("IF(A2255&lt;&gt;"""", GOOGLETRANSLATE(A2255, ""en"", ""te""),"""")"),"[ '2 వ ఓల్డెస్ట్ క్రీడాకారులు (50y 327d)', 'ఇన్నింగ్స్ లో 2 వ అత్యుత్తమ బౌలింగ్ విశ్లేషణలు (5/6)', '5 వ ఉత్తమ కెరీర్ ఆర్థిక రేటు (1.69)', '1 వ అత్యంత వృద్ధ ఆటగాడు తొలి తీసుకుని ఐదు-వికెట్ల లో -an-ఇన్నింగ్స్ (48y 312d) ']")</f>
        <v>[ '2 వ ఓల్డెస్ట్ క్రీడాకారులు (50y 327d)', 'ఇన్నింగ్స్ లో 2 వ అత్యుత్తమ బౌలింగ్ విశ్లేషణలు (5/6)', '5 వ ఉత్తమ కెరీర్ ఆర్థిక రేటు (1.69)', '1 వ అత్యంత వృద్ధ ఆటగాడు తొలి తీసుకుని ఐదు-వికెట్ల లో -an-ఇన్నింగ్స్ (48y 312d) ']</v>
      </c>
      <c r="C2255" s="2" t="s">
        <v>1539</v>
      </c>
      <c r="D2255" s="2" t="str">
        <f>IFERROR(__xludf.DUMMYFUNCTION("IF(C2255&lt;&gt;"""", GOOGLETRANSLATE(C2255, ""en"", ""te""),"""")"),"[ '2 వ అత్యుత్తమ బౌలింగ్ ఇన్నింగ్స్ లో విశ్లేషించడం (5/6)', '9 వ ఉత్తమ కెరీర్ బౌలింగ్ సరాసరి (17.97)', '5 వ ఉత్తమ కెరీర్ ఆర్థిక రేటు (1.69)', 'ఇన్నింగ్స్ లో 39 వ ఉత్తమ సమ్మె రేటు (8.8)' ఒక తీసుకోవాలని 'పది వికెట్ల తేడాతో-ఒక-మ్యాచ్లో (49y 311d) తీసుకోవాలని"&amp;" 1st అత్యంత వృద్ధ ఆటగాడు' 'అయిదు వికెట్లు-ఇన్-ఒక-ఇన్నింగ్స్ (49y 311d) పడుతుంది 1st ఓల్డెస్ట్ ఆటగాడు', '1 వ అత్యంత వృద్ధ ఆటగాడు తొలి అయిదు వికెట్లు-ఇన్-ఒక-ఇన్నింగ్స్ (48y 312d) ',' 20 వ 50 వికెట్లు వేగంగా (10) ',' తొలి 4 వ ఓల్డెస్ట్ క్రీడాకారులు (46y 237d"&amp;") ',' 2 వ ఓల్డెస్ట్ క్రీడాకారులు (50y 327d) ']")</f>
        <v>[ '2 వ అత్యుత్తమ బౌలింగ్ ఇన్నింగ్స్ లో విశ్లేషించడం (5/6)', '9 వ ఉత్తమ కెరీర్ బౌలింగ్ సరాసరి (17.97)', '5 వ ఉత్తమ కెరీర్ ఆర్థిక రేటు (1.69)', 'ఇన్నింగ్స్ లో 39 వ ఉత్తమ సమ్మె రేటు (8.8)' ఒక తీసుకోవాలని 'పది వికెట్ల తేడాతో-ఒక-మ్యాచ్లో (49y 311d) తీసుకోవాలని 1st అత్యంత వృద్ధ ఆటగాడు' 'అయిదు వికెట్లు-ఇన్-ఒక-ఇన్నింగ్స్ (49y 311d) పడుతుంది 1st ఓల్డెస్ట్ ఆటగాడు', '1 వ అత్యంత వృద్ధ ఆటగాడు తొలి అయిదు వికెట్లు-ఇన్-ఒక-ఇన్నింగ్స్ (48y 312d) ',' 20 వ 50 వికెట్లు వేగంగా (10) ',' తొలి 4 వ ఓల్డెస్ట్ క్రీడాకారులు (46y 237d) ',' 2 వ ఓల్డెస్ట్ క్రీడాకారులు (50y 327d) ']</v>
      </c>
      <c r="E2255" s="2"/>
      <c r="F2255" s="2" t="str">
        <f>IFERROR(__xludf.DUMMYFUNCTION("IF(E2255&lt;&gt;"""", GOOGLETRANSLATE(E2255, ""en"", ""te""),"""")"),"")</f>
        <v/>
      </c>
      <c r="G2255" s="2"/>
      <c r="H2255" s="2" t="str">
        <f>IFERROR(__xludf.DUMMYFUNCTION("IF(G2255&lt;&gt;"""", GOOGLETRANSLATE(G2255, ""en"", ""te""),"""")"),"")</f>
        <v/>
      </c>
      <c r="I2255" s="3"/>
    </row>
    <row r="2256" customHeight="1" spans="1:9">
      <c r="A2256" s="2"/>
      <c r="B2256" s="2" t="str">
        <f>IFERROR(__xludf.DUMMYFUNCTION("IF(A2256&lt;&gt;"""", GOOGLETRANSLATE(A2256, ""en"", ""te""),"""")"),"")</f>
        <v/>
      </c>
      <c r="C2256" s="2" t="s">
        <v>1540</v>
      </c>
      <c r="D2256" s="2" t="str">
        <f>IFERROR(__xludf.DUMMYFUNCTION("IF(C2256&lt;&gt;"""", GOOGLETRANSLATE(C2256, ""en"", ""te""),"""")"),"[ '29 అత్యంత వృద్ధ ఆటగాడు తొలి తీసుకుని ఐదు-వికెట్ల లో-ఒక-ఇన్నింగ్స్ (35y 162d)']")</f>
        <v>[ '29 అత్యంత వృద్ధ ఆటగాడు తొలి తీసుకుని ఐదు-వికెట్ల లో-ఒక-ఇన్నింగ్స్ (35y 162d)']</v>
      </c>
      <c r="E2256" s="2"/>
      <c r="F2256" s="2" t="str">
        <f>IFERROR(__xludf.DUMMYFUNCTION("IF(E2256&lt;&gt;"""", GOOGLETRANSLATE(E2256, ""en"", ""te""),"""")"),"")</f>
        <v/>
      </c>
      <c r="G2256" s="2"/>
      <c r="H2256" s="2" t="str">
        <f>IFERROR(__xludf.DUMMYFUNCTION("IF(G2256&lt;&gt;"""", GOOGLETRANSLATE(G2256, ""en"", ""te""),"""")"),"")</f>
        <v/>
      </c>
      <c r="I2256" s="3"/>
    </row>
    <row r="2257" customHeight="1" spans="1:9">
      <c r="A2257" s="2"/>
      <c r="B2257" s="2" t="str">
        <f>IFERROR(__xludf.DUMMYFUNCTION("IF(A2257&lt;&gt;"""", GOOGLETRANSLATE(A2257, ""en"", ""te""),"""")"),"")</f>
        <v/>
      </c>
      <c r="C2257" s="2"/>
      <c r="D2257" s="2" t="str">
        <f>IFERROR(__xludf.DUMMYFUNCTION("IF(C2257&lt;&gt;"""", GOOGLETRANSLATE(C2257, ""en"", ""te""),"""")"),"")</f>
        <v/>
      </c>
      <c r="E2257" s="2"/>
      <c r="F2257" s="2" t="str">
        <f>IFERROR(__xludf.DUMMYFUNCTION("IF(E2257&lt;&gt;"""", GOOGLETRANSLATE(E2257, ""en"", ""te""),"""")"),"")</f>
        <v/>
      </c>
      <c r="G2257" s="2"/>
      <c r="H2257" s="2" t="str">
        <f>IFERROR(__xludf.DUMMYFUNCTION("IF(G2257&lt;&gt;"""", GOOGLETRANSLATE(G2257, ""en"", ""te""),"""")"),"")</f>
        <v/>
      </c>
      <c r="I2257" s="3"/>
    </row>
    <row r="2258" customHeight="1" spans="1:9">
      <c r="A2258" s="2"/>
      <c r="B2258" s="2" t="str">
        <f>IFERROR(__xludf.DUMMYFUNCTION("IF(A2258&lt;&gt;"""", GOOGLETRANSLATE(A2258, ""en"", ""te""),"""")"),"")</f>
        <v/>
      </c>
      <c r="C2258" s="2"/>
      <c r="D2258" s="2" t="str">
        <f>IFERROR(__xludf.DUMMYFUNCTION("IF(C2258&lt;&gt;"""", GOOGLETRANSLATE(C2258, ""en"", ""te""),"""")"),"")</f>
        <v/>
      </c>
      <c r="E2258" s="2"/>
      <c r="F2258" s="2" t="str">
        <f>IFERROR(__xludf.DUMMYFUNCTION("IF(E2258&lt;&gt;"""", GOOGLETRANSLATE(E2258, ""en"", ""te""),"""")"),"")</f>
        <v/>
      </c>
      <c r="G2258" s="2"/>
      <c r="H2258" s="2" t="str">
        <f>IFERROR(__xludf.DUMMYFUNCTION("IF(G2258&lt;&gt;"""", GOOGLETRANSLATE(G2258, ""en"", ""te""),"""")"),"")</f>
        <v/>
      </c>
      <c r="I2258" s="3"/>
    </row>
    <row r="2259" customHeight="1" spans="1:9">
      <c r="A2259" s="2"/>
      <c r="B2259" s="2" t="str">
        <f>IFERROR(__xludf.DUMMYFUNCTION("IF(A2259&lt;&gt;"""", GOOGLETRANSLATE(A2259, ""en"", ""te""),"""")"),"")</f>
        <v/>
      </c>
      <c r="C2259" s="2"/>
      <c r="D2259" s="2" t="str">
        <f>IFERROR(__xludf.DUMMYFUNCTION("IF(C2259&lt;&gt;"""", GOOGLETRANSLATE(C2259, ""en"", ""te""),"""")"),"")</f>
        <v/>
      </c>
      <c r="E2259" s="2"/>
      <c r="F2259" s="2" t="str">
        <f>IFERROR(__xludf.DUMMYFUNCTION("IF(E2259&lt;&gt;"""", GOOGLETRANSLATE(E2259, ""en"", ""te""),"""")"),"")</f>
        <v/>
      </c>
      <c r="G2259" s="2"/>
      <c r="H2259" s="2" t="str">
        <f>IFERROR(__xludf.DUMMYFUNCTION("IF(G2259&lt;&gt;"""", GOOGLETRANSLATE(G2259, ""en"", ""te""),"""")"),"")</f>
        <v/>
      </c>
      <c r="I2259" s="3"/>
    </row>
    <row r="2260" customHeight="1" spans="1:9">
      <c r="A2260" s="2" t="s">
        <v>1541</v>
      </c>
      <c r="B2260" s="2" t="str">
        <f>IFERROR(__xludf.DUMMYFUNCTION("IF(A2260&lt;&gt;"""", GOOGLETRANSLATE(A2260, ""en"", ""te""),"""")"),"[ 'ఇన్నింగ్స్ లో 2 వ అత్యధిక పరుగులు (బ్యాటింగ్ స్థానంలో ప్రకారం) (99)', '3 వ అత్యంత తొలి మ్యాచ్లో పరుగులు (153)', '1 వ 99 (199, 299 etc) (99) అవుటయ్యాడు', '4 వ అత్యధిక వరుస తొమ్మిదవ వికెట్కు భాగస్వామ్యం (68) ',' 2 వ అత్యధిక వికెట్లు (31) ',' 8 వ ఉత్తమ కె"&amp;"రీర్ సమ్మె రేటు (30.2) ',' 3 వ వరుస నాలుగు వికెట్లు-ఇన్-ఒక-ఇన్నింగ్స్ (2) ' '10 వ అత్యధిక వికెట్లు ఒక ఫీల్డర్ చేత క్యాచ్ తీసుకున్న (55)', 'బ్యాటింగ్ తెరవడం మరియు అదే మ్యాచ్ లో బౌలింగ్', '10 వ కెరీర్ (1645) లో బౌల్డ్ చాలా బంతుల్లో']")</f>
        <v>[ 'ఇన్నింగ్స్ లో 2 వ అత్యధిక పరుగులు (బ్యాటింగ్ స్థానంలో ప్రకారం) (99)', '3 వ అత్యంత తొలి మ్యాచ్లో పరుగులు (153)', '1 వ 99 (199, 299 etc) (99) అవుటయ్యాడు', '4 వ అత్యధిక వరుస తొమ్మిదవ వికెట్కు భాగస్వామ్యం (68) ',' 2 వ అత్యధిక వికెట్లు (31) ',' 8 వ ఉత్తమ కెరీర్ సమ్మె రేటు (30.2) ',' 3 వ వరుస నాలుగు వికెట్లు-ఇన్-ఒక-ఇన్నింగ్స్ (2) ' '10 వ అత్యధిక వికెట్లు ఒక ఫీల్డర్ చేత క్యాచ్ తీసుకున్న (55)', 'బ్యాటింగ్ తెరవడం మరియు అదే మ్యాచ్ లో బౌలింగ్', '10 వ కెరీర్ (1645) లో బౌల్డ్ చాలా బంతుల్లో']</v>
      </c>
      <c r="C2260" s="2" t="s">
        <v>1542</v>
      </c>
      <c r="D2260" s="2" t="str">
        <f>IFERROR(__xludf.DUMMYFUNCTION("IF(C2260&lt;&gt;"""", GOOGLETRANSLATE(C2260, ""en"", ""te""),"""")"),"[ '39 వ మ్యాచ్ లో అత్యధిక పరుగులు (153)', 'ఇన్నింగ్స్ లో 2 వ అత్యధిక పరుగులు (బ్యాటింగ్ స్థానంలో ప్రకారం) (99)', '3 వ అత్యంత తొలి మ్యాచ్లో పరుగులు (153)', '1 వ 99 (199 అవుటయ్యాడు , 299 etc) (99) ',' 7 వ తొంభై తొలి (99) ',' ఆరవ వికెట్కు 20 వ అత్యధిక భాగస్"&amp;"వామ్యం (77) ',' తొమ్మిదవ వికెట్ (68 4 వ అత్యధిక భాగస్వామ్యం) ']")</f>
        <v>[ '39 వ మ్యాచ్ లో అత్యధిక పరుగులు (153)', 'ఇన్నింగ్స్ లో 2 వ అత్యధిక పరుగులు (బ్యాటింగ్ స్థానంలో ప్రకారం) (99)', '3 వ అత్యంత తొలి మ్యాచ్లో పరుగులు (153)', '1 వ 99 (199 అవుటయ్యాడు , 299 etc) (99) ',' 7 వ తొంభై తొలి (99) ',' ఆరవ వికెట్కు 20 వ అత్యధిక భాగస్వామ్యం (77) ',' తొమ్మిదవ వికెట్ (68 4 వ అత్యధిక భాగస్వామ్యం) ']</v>
      </c>
      <c r="E2260" s="2" t="s">
        <v>1543</v>
      </c>
      <c r="F2260" s="2" t="str">
        <f>IFERROR(__xludf.DUMMYFUNCTION("IF(E2260&lt;&gt;"""", GOOGLETRANSLATE(E2260, ""en"", ""te""),"""")"),"[ 'కెరీర్లో 16 వ అత్యధిక వికెట్లు (113)' '32 వ అతి తక్కువ కెరీర్ లో బాతులు (21.5)', 'మొదటి డక్ (15) ముందు 40 వ అత్యంత ఇన్నింగ్స్' 'వరుస 2 వ అత్యధిక వికెట్లు (31)', '27 వ ఒక క్యాలెండర్ సంవత్సరంలో వికెట్లు (23) ',' 3 వ అత్యుత్తమ బౌలింగ్ ఇన్నింగ్స్ లో విశ్లే"&amp;"షణలు (3/1) ',' 10 వ అత్యధిక వికెట్లు ఒకే నేలపై (16) ',' 41 వ ఉత్తమ కెరీర్ బౌలింగ్ సరాసరి (19.97) ',' 8 వ ఉత్తమ కెరీర్ సమ్మె రేటు (30.2) ',' ఇన్నింగ్స్ లో 21 వ ఉత్తమ సమ్మె రేటు (7.5) ',' ఇన్నింగ్స్ లో 20 వ చెత్త ఆర్థిక రేటు (9.00) ',' 7 వ అత్యంత ఐదు-వికెట"&amp;"్ల లో-ఒక-ఇన్నింగ్స్ లో వృత్తి (2) ',' 4 వ అత్యంత నాలుగు వికెట్లు-ఇన్-ఒక-ఇన్నింగ్స్ కెరీర్లో (8) ',' 3 వ వరుస నాలుగు వికెట్లు-ఇన్-ఒక-ఇన్నింగ్స్ (2) ',' 31 పిన్న ఆటగాడు ఐదు వికెట్లు-ఇన్-ఒక-ఇన్నింగ్స్ (23y 109d) ',' 27 వ కెరీర్ లో బౌల్డ్ చాలా బంతుల్లో (3420)"&amp;" ',' 27 వ కెరీర్ లో సాధించిన అత్యధిక పరుగులు (2257) ',' 12 వ బౌలర్ / బ్యాట్స్ కలయికలు (6) ', '13 వ అత్యధిక వికెట్లు తీసుకున్న బౌల్డ్ (29)', '16 వ అత్యధిక వికెట్లు తీసుకున్న ఆకర్షించింది (61)', '18 వ అత్యధిక వికెట్లు తీసుకున్న ఎల్బిడబ్ల్యు (' 10 వ అత్యధిక "&amp;"వికెట్లు ఒక ఫీల్డర్ (55) పట్టుకుంటే తీసిన 17) ',' 26 ఒక సిరీస్లో అత్యధిక క్యాచ్లు (7) ',' ఎనిమిదవ వికెట్కు 36 వ అత్యధిక భాగస్వామ్యం (45 *) ']")</f>
        <v>[ 'కెరీర్లో 16 వ అత్యధిక వికెట్లు (113)' '32 వ అతి తక్కువ కెరీర్ లో బాతులు (21.5)', 'మొదటి డక్ (15) ముందు 40 వ అత్యంత ఇన్నింగ్స్' 'వరుస 2 వ అత్యధిక వికెట్లు (31)', '27 వ ఒక క్యాలెండర్ సంవత్సరంలో వికెట్లు (23) ',' 3 వ అత్యుత్తమ బౌలింగ్ ఇన్నింగ్స్ లో విశ్లేషణలు (3/1) ',' 10 వ అత్యధిక వికెట్లు ఒకే నేలపై (16) ',' 41 వ ఉత్తమ కెరీర్ బౌలింగ్ సరాసరి (19.97) ',' 8 వ ఉత్తమ కెరీర్ సమ్మె రేటు (30.2) ',' ఇన్నింగ్స్ లో 21 వ ఉత్తమ సమ్మె రేటు (7.5) ',' ఇన్నింగ్స్ లో 20 వ చెత్త ఆర్థిక రేటు (9.00) ',' 7 వ అత్యంత ఐదు-వికెట్ల లో-ఒక-ఇన్నింగ్స్ లో వృత్తి (2) ',' 4 వ అత్యంత నాలుగు వికెట్లు-ఇన్-ఒక-ఇన్నింగ్స్ కెరీర్లో (8) ',' 3 వ వరుస నాలుగు వికెట్లు-ఇన్-ఒక-ఇన్నింగ్స్ (2) ',' 31 పిన్న ఆటగాడు ఐదు వికెట్లు-ఇన్-ఒక-ఇన్నింగ్స్ (23y 109d) ',' 27 వ కెరీర్ లో బౌల్డ్ చాలా బంతుల్లో (3420) ',' 27 వ కెరీర్ లో సాధించిన అత్యధిక పరుగులు (2257) ',' 12 వ బౌలర్ / బ్యాట్స్ కలయికలు (6) ', '13 వ అత్యధిక వికెట్లు తీసుకున్న బౌల్డ్ (29)', '16 వ అత్యధిక వికెట్లు తీసుకున్న ఆకర్షించింది (61)', '18 వ అత్యధిక వికెట్లు తీసుకున్న ఎల్బిడబ్ల్యు (' 10 వ అత్యధిక వికెట్లు ఒక ఫీల్డర్ (55) పట్టుకుంటే తీసిన 17) ',' 26 ఒక సిరీస్లో అత్యధిక క్యాచ్లు (7) ',' ఎనిమిదవ వికెట్కు 36 వ అత్యధిక భాగస్వామ్యం (45 *) ']</v>
      </c>
      <c r="G2260" s="2" t="s">
        <v>1544</v>
      </c>
      <c r="H2260" s="2" t="str">
        <f>IFERROR(__xludf.DUMMYFUNCTION("IF(G2260&lt;&gt;"""", GOOGLETRANSLATE(G2260, ""en"", ""te""),"""")"),"[ 'కెరీర్లో 28 వ అతి తక్కువ బాతులు (19.5)', '15 వ కెరీర్ లో అత్యధిక వికెట్లు (74)', '23 వ ఇన్నింగ్స్ లో బెస్ట్ ఫిగర్స్ (5/12)', 'ఒక క్యాలెండర్ సంవత్సరంలో (19) 37 వ అత్యధిక వికెట్లు', '17 వ అత్యుత్తమ ఇన్నింగ్స్ లో విశ్లేషణలు బౌలింగ్ (5/12)', '46 వ సగటు (20"&amp;".12) బౌలింగ్ ఉత్తమ జీవితం' '24 వ ఉత్తమ కెరీర్ ఆర్థిక రేటు (5.43)', '13 వ అత్యంత నాలుగు వికెట్లు-ఇన్-ఒక ఇన్నింగ్స్లో ఒక కెరీర్ (2) ',' 10 వ కెరీర్ లో బౌల్డ్ చాలా బంతుల్లో (1645) ',' 12 వ కెరీర్ లో సాధించిన అత్యధిక పరుగులు (1489) ',' 18 వ బౌలర్ / బ్యాట్స్ క"&amp;"లయికలు (4) ', '21 వ బౌలర్ / ఫీల్డర్ కలయికలు (9 ) ',' 19 వ అత్యధిక వికెట్లు బౌల్డ్ తీసుకున్న (17) ',' 14 వ అత్యధిక వికెట్లు తీసుకున్న ఆకర్షించింది (43) ',' 12 వ అత్యధిక వికెట్లు ఆకర్షించింది తీసుకున్న మరియు బౌల్డ్ (4) ',' 15 వ అత్యధిక వికెట్లు ఒక ఫీల్డర్ చ"&amp;"ేత క్యాచ్ తీసుకున్న (37) ',' 19 వ అత్యధిక వికెట్లు ఒక వికెట్ కీపర్ చే కాట్ తీసుకున్న (6) ',' 11 వ అత్యధిక వికెట్లు తీసుకున్న ఎల్బిడబ్ల్యు (10) ',' 30 వ కెరీర్ లో అత్యధిక క్యాచ్లు (24) ',' 29th కెరీర్లో అత్యధిక మ్యాచ్లు (85) ',' కెరీర్లో 27 వ అత్యంత పనికత్"&amp;"తెలయొద్ద (6) ',' 12 వ ఇన్నింగ్స్ లో వచ్చిన ఎక్కువ పనికత్తెలయొద్ద (2) ']")</f>
        <v>[ 'కెరీర్లో 28 వ అతి తక్కువ బాతులు (19.5)', '15 వ కెరీర్ లో అత్యధిక వికెట్లు (74)', '23 వ ఇన్నింగ్స్ లో బెస్ట్ ఫిగర్స్ (5/12)', 'ఒక క్యాలెండర్ సంవత్సరంలో (19) 37 వ అత్యధిక వికెట్లు', '17 వ అత్యుత్తమ ఇన్నింగ్స్ లో విశ్లేషణలు బౌలింగ్ (5/12)', '46 వ సగటు (20.12) బౌలింగ్ ఉత్తమ జీవితం' '24 వ ఉత్తమ కెరీర్ ఆర్థిక రేటు (5.43)', '13 వ అత్యంత నాలుగు వికెట్లు-ఇన్-ఒక ఇన్నింగ్స్లో ఒక కెరీర్ (2) ',' 10 వ కెరీర్ లో బౌల్డ్ చాలా బంతుల్లో (1645) ',' 12 వ కెరీర్ లో సాధించిన అత్యధిక పరుగులు (1489) ',' 18 వ బౌలర్ / బ్యాట్స్ కలయికలు (4) ', '21 వ బౌలర్ / ఫీల్డర్ కలయికలు (9 ) ',' 19 వ అత్యధిక వికెట్లు బౌల్డ్ తీసుకున్న (17) ',' 14 వ అత్యధిక వికెట్లు తీసుకున్న ఆకర్షించింది (43) ',' 12 వ అత్యధిక వికెట్లు ఆకర్షించింది తీసుకున్న మరియు బౌల్డ్ (4) ',' 15 వ అత్యధిక వికెట్లు ఒక ఫీల్డర్ చేత క్యాచ్ తీసుకున్న (37) ',' 19 వ అత్యధిక వికెట్లు ఒక వికెట్ కీపర్ చే కాట్ తీసుకున్న (6) ',' 11 వ అత్యధిక వికెట్లు తీసుకున్న ఎల్బిడబ్ల్యు (10) ',' 30 వ కెరీర్ లో అత్యధిక క్యాచ్లు (24) ',' 29th కెరీర్లో అత్యధిక మ్యాచ్లు (85) ',' కెరీర్లో 27 వ అత్యంత పనికత్తెలయొద్ద (6) ',' 12 వ ఇన్నింగ్స్ లో వచ్చిన ఎక్కువ పనికత్తెలయొద్ద (2) ']</v>
      </c>
      <c r="I2260" s="3"/>
    </row>
    <row r="2261" customHeight="1" spans="1:9">
      <c r="A2261" s="2" t="s">
        <v>1545</v>
      </c>
      <c r="B2261" s="2" t="str">
        <f>IFERROR(__xludf.DUMMYFUNCTION("IF(A2261&lt;&gt;"""", GOOGLETRANSLATE(A2261, ""en"", ""te""),"""")"),"[ 'ఒక కెప్టెన్తో ఒక ఇన్నింగ్స్ లో 5 వ ఉత్తమ బొమ్మలు (7)', '1000 పరుగులు మరియు 100 వికెట్లు']")</f>
        <v>[ 'ఒక కెప్టెన్తో ఒక ఇన్నింగ్స్ లో 5 వ ఉత్తమ బొమ్మలు (7)', '1000 పరుగులు మరియు 100 వికెట్లు']</v>
      </c>
      <c r="C2261" s="2" t="s">
        <v>1546</v>
      </c>
      <c r="D2261" s="2" t="str">
        <f>IFERROR(__xludf.DUMMYFUNCTION("IF(C2261&lt;&gt;"""", GOOGLETRANSLATE(C2261, ""en"", ""te""),"""")"),"[ 'ఒక కెప్టెన్తో ఒక ఇన్నింగ్స్ లో 5 వ ఉత్తమ బొమ్మలు (7)', 'ఒక కెప్టెన్తో ఒక మ్యాచ్లో 35 వ బెస్ట్ ఫిగర్స్ (8)', 'ఐదు వికెట్ల లో-ఒక-ఇన్నింగ్స్ తీసుకోవాలని 38 వ అత్యంత వృద్ధ ఆటగాడు (37y 139d) ',' 20 వ అత్యధిక వికెట్లు కెప్టెన్సీ ప్రవేశం (36y 353d) స్వీకరిస్త"&amp;"ాడు స్టంప్ (12) ',' 34 వ ఓల్డెస్ట్ కాప్టెన్ (38y 334d) ',' 27 వ ఓల్డెస్ట్ కెప్టెన్లు ']")</f>
        <v>[ 'ఒక కెప్టెన్తో ఒక ఇన్నింగ్స్ లో 5 వ ఉత్తమ బొమ్మలు (7)', 'ఒక కెప్టెన్తో ఒక మ్యాచ్లో 35 వ బెస్ట్ ఫిగర్స్ (8)', 'ఐదు వికెట్ల లో-ఒక-ఇన్నింగ్స్ తీసుకోవాలని 38 వ అత్యంత వృద్ధ ఆటగాడు (37y 139d) ',' 20 వ అత్యధిక వికెట్లు కెప్టెన్సీ ప్రవేశం (36y 353d) స్వీకరిస్తాడు స్టంప్ (12) ',' 34 వ ఓల్డెస్ట్ కాప్టెన్ (38y 334d) ',' 27 వ ఓల్డెస్ట్ కెప్టెన్లు ']</v>
      </c>
      <c r="E2261" s="2"/>
      <c r="F2261" s="2" t="str">
        <f>IFERROR(__xludf.DUMMYFUNCTION("IF(E2261&lt;&gt;"""", GOOGLETRANSLATE(E2261, ""en"", ""te""),"""")"),"")</f>
        <v/>
      </c>
      <c r="G2261" s="2"/>
      <c r="H2261" s="2" t="str">
        <f>IFERROR(__xludf.DUMMYFUNCTION("IF(G2261&lt;&gt;"""", GOOGLETRANSLATE(G2261, ""en"", ""te""),"""")"),"")</f>
        <v/>
      </c>
      <c r="I2261" s="3"/>
    </row>
    <row r="2262" customHeight="1" spans="1:9">
      <c r="A2262" s="2"/>
      <c r="B2262" s="2" t="str">
        <f>IFERROR(__xludf.DUMMYFUNCTION("IF(A2262&lt;&gt;"""", GOOGLETRANSLATE(A2262, ""en"", ""te""),"""")"),"")</f>
        <v/>
      </c>
      <c r="C2262" s="2"/>
      <c r="D2262" s="2" t="str">
        <f>IFERROR(__xludf.DUMMYFUNCTION("IF(C2262&lt;&gt;"""", GOOGLETRANSLATE(C2262, ""en"", ""te""),"""")"),"")</f>
        <v/>
      </c>
      <c r="E2262" s="2"/>
      <c r="F2262" s="2" t="str">
        <f>IFERROR(__xludf.DUMMYFUNCTION("IF(E2262&lt;&gt;"""", GOOGLETRANSLATE(E2262, ""en"", ""te""),"""")"),"")</f>
        <v/>
      </c>
      <c r="G2262" s="2"/>
      <c r="H2262" s="2" t="str">
        <f>IFERROR(__xludf.DUMMYFUNCTION("IF(G2262&lt;&gt;"""", GOOGLETRANSLATE(G2262, ""en"", ""te""),"""")"),"")</f>
        <v/>
      </c>
      <c r="I2262" s="3"/>
    </row>
    <row r="2263" customHeight="1" spans="1:9">
      <c r="A2263" s="2" t="s">
        <v>1547</v>
      </c>
      <c r="B2263" s="2" t="str">
        <f>IFERROR(__xludf.DUMMYFUNCTION("IF(A2263&lt;&gt;"""", GOOGLETRANSLATE(A2263, ""en"", ""te""),"""")"),"[ 'కెరీర్లో 5 వ అత్యధిక వికెట్లు (24)', '8 వ కెరీర్లో అత్యధిక క్యాచ్లు (14)', '(1) వికెట్ను కాపాడుకున్నాడు మరియు బ్యాటింగ్ తెరిచారు 1 వ కెప్టెన్ల' 'ఇన్నింగ్స్ లో 1 వ అత్యంత స్టంపింగ్లు (4)' '10 వ అత్యంత ఇన్నింగ్స్ లో సాధించిన బైస్ (16)', 'వరుస వికెట్లు 4"&amp;" వ అత్యధిక పరుగులు (202)', 'వికెట్ను కాపాడుకున్నాడు మరియు బ్యాటింగ్ (3) తెరిచిన చేసిన 1st కెప్టెన్ల']")</f>
        <v>[ 'కెరీర్లో 5 వ అత్యధిక వికెట్లు (24)', '8 వ కెరీర్లో అత్యధిక క్యాచ్లు (14)', '(1) వికెట్ను కాపాడుకున్నాడు మరియు బ్యాటింగ్ తెరిచారు 1 వ కెప్టెన్ల' 'ఇన్నింగ్స్ లో 1 వ అత్యంత స్టంపింగ్లు (4)' '10 వ అత్యంత ఇన్నింగ్స్ లో సాధించిన బైస్ (16)', 'వరుస వికెట్లు 4 వ అత్యధిక పరుగులు (202)', 'వికెట్ను కాపాడుకున్నాడు మరియు బ్యాటింగ్ (3) తెరిచిన చేసిన 1st కెప్టెన్ల']</v>
      </c>
      <c r="C2263" s="2" t="s">
        <v>1548</v>
      </c>
      <c r="D2263" s="2" t="str">
        <f>IFERROR(__xludf.DUMMYFUNCTION("IF(C2263&lt;&gt;"""", GOOGLETRANSLATE(C2263, ""en"", ""te""),"""")"),"[ '4 వ ఎక్కువ (202) ఒక వికెట్ కీపర్ సిరీస్లో పరుగులు' 'అత్యధిక వికెట్లు ఇన్నింగ్స్ లో 7 వ అత్యధిక పరుగులు (104)', 'మొదటి వికెట్కు 29 అత్యధిక భాగస్వామ్యం (102)', '3 వ కెప్టెన్ల ఎవరు ఉండేది వికెట్ (1) ',' ఇన్నింగ్స్ లో (1) ',' 5 వ కెరీర్ లో అత్యధిక వికెట్లు"&amp;" (24) ',' 10 వ అత్యధిక వికెట్లు వికెట్ను కాపాడుకున్నాడు మరియు బ్యాటింగ్ తెరిచారు ఎవరు (4) ',' 16 వ అత్యధిక వికెట్లు లో 1 వ కెప్టెన్ల వరుస (8) ',' కెరీర్లో 8 వ అత్యధిక క్యాచ్లు (14) ',' 5 వ కెరీర్ స్టంపింగ్లు (10) ',' 1 వ ఇన్నింగ్స్ లో వచ్చిన ఎక్కువ స్టంపి"&amp;"ంగ్లు (4) ',' 3 వ మ్యాచ్లో అత్యంత స్టంపింగ్లు (4 ) ',' వరుస (6) ',' 16 వ అత్యధిక ఇన్నింగ్స్ బై (16 (228 / 2D) ',' 10 వ అత్యంత ఇన్నింగ్స్ లో సాధించిన బైస్ గూడా ఇవ్వకుండా మొత్తంగా 3 వ అత్యంత స్టంపింగ్లు) ']")</f>
        <v>[ '4 వ ఎక్కువ (202) ఒక వికెట్ కీపర్ సిరీస్లో పరుగులు' 'అత్యధిక వికెట్లు ఇన్నింగ్స్ లో 7 వ అత్యధిక పరుగులు (104)', 'మొదటి వికెట్కు 29 అత్యధిక భాగస్వామ్యం (102)', '3 వ కెప్టెన్ల ఎవరు ఉండేది వికెట్ (1) ',' ఇన్నింగ్స్ లో (1) ',' 5 వ కెరీర్ లో అత్యధిక వికెట్లు (24) ',' 10 వ అత్యధిక వికెట్లు వికెట్ను కాపాడుకున్నాడు మరియు బ్యాటింగ్ తెరిచారు ఎవరు (4) ',' 16 వ అత్యధిక వికెట్లు లో 1 వ కెప్టెన్ల వరుస (8) ',' కెరీర్లో 8 వ అత్యధిక క్యాచ్లు (14) ',' 5 వ కెరీర్ స్టంపింగ్లు (10) ',' 1 వ ఇన్నింగ్స్ లో వచ్చిన ఎక్కువ స్టంపింగ్లు (4) ',' 3 వ మ్యాచ్లో అత్యంత స్టంపింగ్లు (4 ) ',' వరుస (6) ',' 16 వ అత్యధిక ఇన్నింగ్స్ బై (16 (228 / 2D) ',' 10 వ అత్యంత ఇన్నింగ్స్ లో సాధించిన బైస్ గూడా ఇవ్వకుండా మొత్తంగా 3 వ అత్యంత స్టంపింగ్లు) ']</v>
      </c>
      <c r="E2263" s="2" t="s">
        <v>1549</v>
      </c>
      <c r="F2263" s="2" t="str">
        <f>IFERROR(__xludf.DUMMYFUNCTION("IF(E2263&lt;&gt;"""", GOOGLETRANSLATE(E2263, ""en"", ""te""),"""")"),"[ 'వికెట్ను కాపాడుకున్నాడు చేసిన 13 వ కెప్టెన్ల (3)', '(3) వికెట్ను కాపాడుకున్నాడు మరియు బ్యాటింగ్ తెరిచారు 1 వ కెప్టెన్ల' 'ఇన్నింగ్స్ లో 21 వ అత్యధిక క్యాచ్లు (3)']")</f>
        <v>[ 'వికెట్ను కాపాడుకున్నాడు చేసిన 13 వ కెప్టెన్ల (3)', '(3) వికెట్ను కాపాడుకున్నాడు మరియు బ్యాటింగ్ తెరిచారు 1 వ కెప్టెన్ల' 'ఇన్నింగ్స్ లో 21 వ అత్యధిక క్యాచ్లు (3)']</v>
      </c>
      <c r="G2263" s="2"/>
      <c r="H2263" s="2" t="str">
        <f>IFERROR(__xludf.DUMMYFUNCTION("IF(G2263&lt;&gt;"""", GOOGLETRANSLATE(G2263, ""en"", ""te""),"""")"),"")</f>
        <v/>
      </c>
      <c r="I2263" s="3"/>
    </row>
    <row r="2264" customHeight="1" spans="1:9">
      <c r="A2264" s="2"/>
      <c r="B2264" s="2" t="str">
        <f>IFERROR(__xludf.DUMMYFUNCTION("IF(A2264&lt;&gt;"""", GOOGLETRANSLATE(A2264, ""en"", ""te""),"""")"),"")</f>
        <v/>
      </c>
      <c r="C2264" s="2"/>
      <c r="D2264" s="2" t="str">
        <f>IFERROR(__xludf.DUMMYFUNCTION("IF(C2264&lt;&gt;"""", GOOGLETRANSLATE(C2264, ""en"", ""te""),"""")"),"")</f>
        <v/>
      </c>
      <c r="E2264" s="2"/>
      <c r="F2264" s="2" t="str">
        <f>IFERROR(__xludf.DUMMYFUNCTION("IF(E2264&lt;&gt;"""", GOOGLETRANSLATE(E2264, ""en"", ""te""),"""")"),"")</f>
        <v/>
      </c>
      <c r="G2264" s="2"/>
      <c r="H2264" s="2" t="str">
        <f>IFERROR(__xludf.DUMMYFUNCTION("IF(G2264&lt;&gt;"""", GOOGLETRANSLATE(G2264, ""en"", ""te""),"""")"),"")</f>
        <v/>
      </c>
      <c r="I2264" s="3"/>
    </row>
    <row r="2265" customHeight="1" spans="1:9">
      <c r="A2265" s="2" t="s">
        <v>1550</v>
      </c>
      <c r="B2265" s="2" t="str">
        <f>IFERROR(__xludf.DUMMYFUNCTION("IF(A2265&lt;&gt;"""", GOOGLETRANSLATE(A2265, ""en"", ""te""),"""")"),"[ 'ఒక మ్యాచ్లో ప్రతి ఇన్నింగ్స్లో హండ్రెడ్' '99 నాటౌట్ (199, 299 etc) (99 *)', 'ఒక డక్ లేకుండా 8 వ వరుస ఇన్నింగ్స్ (88)', '9 వ 6000 పరుగులు వేగంగా (157) ',' 5000 పరుగులు మరియు 50 ఫీల్డింగ్ వికెట్లు ',' మూడో వికెట్కు 10 వ అత్యధిక భాగస్వామ్యం (224 *) ']")</f>
        <v>[ 'ఒక మ్యాచ్లో ప్రతి ఇన్నింగ్స్లో హండ్రెడ్' '99 నాటౌట్ (199, 299 etc) (99 *)', 'ఒక డక్ లేకుండా 8 వ వరుస ఇన్నింగ్స్ (88)', '9 వ 6000 పరుగులు వేగంగా (157) ',' 5000 పరుగులు మరియు 50 ఫీల్డింగ్ వికెట్లు ',' మూడో వికెట్కు 10 వ అత్యధిక భాగస్వామ్యం (224 *) ']</v>
      </c>
      <c r="C2265" s="2" t="s">
        <v>1551</v>
      </c>
      <c r="D2265" s="2" t="str">
        <f>IFERROR(__xludf.DUMMYFUNCTION("IF(C2265&lt;&gt;"""", GOOGLETRANSLATE(C2265, ""en"", ""te""),"""")"),"[ '27 అత్యధిక తొలి వంద (210)', '40 వ 99 పరుగుల (199, 299 etc) (99)', 'ఆరవ వికెట్ (260 *) 18 వ అత్యధిక భాగస్వామ్యం', 'తొమ్మిదవ వికెట్కు 33 వ అత్యధిక భాగస్వామ్యం (114) ']")</f>
        <v>[ '27 అత్యధిక తొలి వంద (210)', '40 వ 99 పరుగుల (199, 299 etc) (99)', 'ఆరవ వికెట్ (260 *) 18 వ అత్యధిక భాగస్వామ్యం', 'తొమ్మిదవ వికెట్కు 33 వ అత్యధిక భాగస్వామ్యం (114) ']</v>
      </c>
      <c r="E2265" s="2" t="s">
        <v>1552</v>
      </c>
      <c r="F2265" s="2" t="str">
        <f>IFERROR(__xludf.DUMMYFUNCTION("IF(E2265&lt;&gt;"""", GOOGLETRANSLATE(E2265, ""en"", ""te""),"""")"),"[ 'ఒకే మైదానంలో 25 వ అత్యధిక పరుగులు (1287)' '26 వ అధిక వరుస పరుగులు (513)', '33 వ అత్యధిక కెరీర్ బ్యాటింగ్ సగటు (44.61)', '29th ఒక క్యాలెండర్ సంవత్సరంలో అత్యధిక వందలు (4)', 'కెరీర్లో 8 వ అత్యంత తొంభైల (6)', 'కెరీర్ లో 42 వ అత్యంత అర్ధ (53)', 'వరుస ఇన్న"&amp;"ింగ్స్లో 44 వ యాభైల్లో (4)', 'ఒక డక్ లేకుండా 8 వ వరుస ఇన్నింగ్స్ (88)', '34 వ వేగంగా 2000 పరుగులు (56) ',' 25 వ 3000 పరుగులు (82) ',' 11 వ 4000 పరుగులు (102) ',' 15 వ వేగంగా వేగంగా 5000 పరుగులు (128) ',' 9 వ వేగంగా వేగంగా 6000 పరుగులు (157) ' , 'మూడో విక"&amp;"ెట్కు 10 వ అత్యధిక భాగస్వామ్యం (224 *)', 'నాలుగవ వికెట్కు 32 వ అత్యధిక భాగస్వామ్యం (173)']")</f>
        <v>[ 'ఒకే మైదానంలో 25 వ అత్యధిక పరుగులు (1287)' '26 వ అధిక వరుస పరుగులు (513)', '33 వ అత్యధిక కెరీర్ బ్యాటింగ్ సగటు (44.61)', '29th ఒక క్యాలెండర్ సంవత్సరంలో అత్యధిక వందలు (4)', 'కెరీర్లో 8 వ అత్యంత తొంభైల (6)', 'కెరీర్ లో 42 వ అత్యంత అర్ధ (53)', 'వరుస ఇన్నింగ్స్లో 44 వ యాభైల్లో (4)', 'ఒక డక్ లేకుండా 8 వ వరుస ఇన్నింగ్స్ (88)', '34 వ వేగంగా 2000 పరుగులు (56) ',' 25 వ 3000 పరుగులు (82) ',' 11 వ 4000 పరుగులు (102) ',' 15 వ వేగంగా వేగంగా 5000 పరుగులు (128) ',' 9 వ వేగంగా వేగంగా 6000 పరుగులు (157) ' , 'మూడో వికెట్కు 10 వ అత్యధిక భాగస్వామ్యం (224 *)', 'నాలుగవ వికెట్కు 32 వ అత్యధిక భాగస్వామ్యం (173)']</v>
      </c>
      <c r="G2265" s="2"/>
      <c r="H2265" s="2" t="str">
        <f>IFERROR(__xludf.DUMMYFUNCTION("IF(G2265&lt;&gt;"""", GOOGLETRANSLATE(G2265, ""en"", ""te""),"""")"),"")</f>
        <v/>
      </c>
      <c r="I2265" s="3"/>
    </row>
    <row r="2266" customHeight="1" spans="1:9">
      <c r="A2266" s="2" t="s">
        <v>1553</v>
      </c>
      <c r="B2266" s="2" t="str">
        <f>IFERROR(__xludf.DUMMYFUNCTION("IF(A2266&lt;&gt;"""", GOOGLETRANSLATE(A2266, ""en"", ""te""),"""")"),"[ 'ప్రవేశం (164) పై హండ్రెడ్' '2 వ షార్టేస్ట్ క్రీడాకారులు నివసించారు (23y 164)',]")</f>
        <v>[ 'ప్రవేశం (164) పై హండ్రెడ్' '2 వ షార్టేస్ట్ క్రీడాకారులు నివసించారు (23y 164)',]</v>
      </c>
      <c r="C2266" s="2" t="s">
        <v>1554</v>
      </c>
      <c r="D2266" s="2" t="str">
        <f>IFERROR(__xludf.DUMMYFUNCTION("IF(C2266&lt;&gt;"""", GOOGLETRANSLATE(C2266, ""en"", ""te""),"""")"),"[ '11 వ తొలి మ్యాచ్లో అత్యధిక పరుగులు (200)', '14 వ పిన్న ఆటగాడు వంద స్కోర్ (19y 149d)', '2 వ షార్టేస్ట్ క్రీడాకారులు నివసించారు (23y 164)']")</f>
        <v>[ '11 వ తొలి మ్యాచ్లో అత్యధిక పరుగులు (200)', '14 వ పిన్న ఆటగాడు వంద స్కోర్ (19y 149d)', '2 వ షార్టేస్ట్ క్రీడాకారులు నివసించారు (23y 164)']</v>
      </c>
      <c r="E2266" s="2"/>
      <c r="F2266" s="2" t="str">
        <f>IFERROR(__xludf.DUMMYFUNCTION("IF(E2266&lt;&gt;"""", GOOGLETRANSLATE(E2266, ""en"", ""te""),"""")"),"")</f>
        <v/>
      </c>
      <c r="G2266" s="2"/>
      <c r="H2266" s="2" t="str">
        <f>IFERROR(__xludf.DUMMYFUNCTION("IF(G2266&lt;&gt;"""", GOOGLETRANSLATE(G2266, ""en"", ""te""),"""")"),"")</f>
        <v/>
      </c>
      <c r="I2266" s="3"/>
    </row>
    <row r="2267" customHeight="1" spans="1:9">
      <c r="A2267" s="2" t="s">
        <v>1555</v>
      </c>
      <c r="B2267" s="2" t="str">
        <f>IFERROR(__xludf.DUMMYFUNCTION("IF(A2267&lt;&gt;"""", GOOGLETRANSLATE(A2267, ""en"", ""te""),"""")"),"[ 'వరుస ఇన్నింగ్స్లో 7 వ యాభైల్లో (6)', '2 వ తొంభై తొలి (94)']")</f>
        <v>[ 'వరుస ఇన్నింగ్స్లో 7 వ యాభైల్లో (6)', '2 వ తొంభై తొలి (94)']</v>
      </c>
      <c r="C2267" s="2" t="s">
        <v>1556</v>
      </c>
      <c r="D2267" s="2" t="str">
        <f>IFERROR(__xludf.DUMMYFUNCTION("IF(C2267&lt;&gt;"""", GOOGLETRANSLATE(C2267, ""en"", ""te""),"""")"),"[ 'గత మ్యాచ్లో 33 వ హండ్రెడ్ (108)', 'వరుస ఇన్నింగ్స్లో 7 వ యాభైల్లో (6)']")</f>
        <v>[ 'గత మ్యాచ్లో 33 వ హండ్రెడ్ (108)', 'వరుస ఇన్నింగ్స్లో 7 వ యాభైల్లో (6)']</v>
      </c>
      <c r="E2267" s="2" t="s">
        <v>1557</v>
      </c>
      <c r="F2267" s="2" t="str">
        <f>IFERROR(__xludf.DUMMYFUNCTION("IF(E2267&lt;&gt;"""", GOOGLETRANSLATE(E2267, ""en"", ""te""),"""")"),"[ '19 తొలి మ్యాచ్లో అత్యధిక పరుగులు (94)', 'ప్రవేశం (94) పై 2 వ తొంభై']")</f>
        <v>[ '19 తొలి మ్యాచ్లో అత్యధిక పరుగులు (94)', 'ప్రవేశం (94) పై 2 వ తొంభై']</v>
      </c>
      <c r="G2267" s="2"/>
      <c r="H2267" s="2" t="str">
        <f>IFERROR(__xludf.DUMMYFUNCTION("IF(G2267&lt;&gt;"""", GOOGLETRANSLATE(G2267, ""en"", ""te""),"""")"),"")</f>
        <v/>
      </c>
      <c r="I2267" s="3"/>
    </row>
    <row r="2268" customHeight="1" spans="1:9">
      <c r="A2268" s="2"/>
      <c r="B2268" s="2" t="str">
        <f>IFERROR(__xludf.DUMMYFUNCTION("IF(A2268&lt;&gt;"""", GOOGLETRANSLATE(A2268, ""en"", ""te""),"""")"),"")</f>
        <v/>
      </c>
      <c r="C2268" s="2"/>
      <c r="D2268" s="2" t="str">
        <f>IFERROR(__xludf.DUMMYFUNCTION("IF(C2268&lt;&gt;"""", GOOGLETRANSLATE(C2268, ""en"", ""te""),"""")"),"")</f>
        <v/>
      </c>
      <c r="E2268" s="2"/>
      <c r="F2268" s="2" t="str">
        <f>IFERROR(__xludf.DUMMYFUNCTION("IF(E2268&lt;&gt;"""", GOOGLETRANSLATE(E2268, ""en"", ""te""),"""")"),"")</f>
        <v/>
      </c>
      <c r="G2268" s="2"/>
      <c r="H2268" s="2" t="str">
        <f>IFERROR(__xludf.DUMMYFUNCTION("IF(G2268&lt;&gt;"""", GOOGLETRANSLATE(G2268, ""en"", ""te""),"""")"),"")</f>
        <v/>
      </c>
      <c r="I2268" s="3"/>
    </row>
    <row r="2269" customHeight="1" spans="1:9">
      <c r="A2269" s="2" t="s">
        <v>1558</v>
      </c>
      <c r="B2269" s="2" t="str">
        <f>IFERROR(__xludf.DUMMYFUNCTION("IF(A2269&lt;&gt;"""", GOOGLETRANSLATE(A2269, ""en"", ""te""),"""")"),"[ 'హండ్రెడ్ తొలి (131)' '4 వ అత్యంత ఇన్నింగ్స్ లో నడుస్తుంది (బ్యాటింగ్ స్థానం) (131)',]")</f>
        <v>[ 'హండ్రెడ్ తొలి (131)' '4 వ అత్యంత ఇన్నింగ్స్ లో నడుస్తుంది (బ్యాటింగ్ స్థానం) (131)',]</v>
      </c>
      <c r="C2269" s="2" t="s">
        <v>1559</v>
      </c>
      <c r="D2269" s="2" t="str">
        <f>IFERROR(__xludf.DUMMYFUNCTION("IF(C2269&lt;&gt;"""", GOOGLETRANSLATE(C2269, ""en"", ""te""),"""")"),"[ '32 వ ఇన్నింగ్స్ లో అత్యధిక పరుగులు (131)', '4 వ ఇన్నింగ్స్ లో అత్యధిక పరుగులు (బ్యాటింగ్ స్థానంలో ప్రకారం) (131)', '10th తొలి మ్యాచ్లో అత్యధిక పరుగులు (131)', '22 వ అత్యధిక తొలి వంద (131) ']")</f>
        <v>[ '32 వ ఇన్నింగ్స్ లో అత్యధిక పరుగులు (131)', '4 వ ఇన్నింగ్స్ లో అత్యధిక పరుగులు (బ్యాటింగ్ స్థానంలో ప్రకారం) (131)', '10th తొలి మ్యాచ్లో అత్యధిక పరుగులు (131)', '22 వ అత్యధిక తొలి వంద (131) ']</v>
      </c>
      <c r="E2269" s="2" t="s">
        <v>1560</v>
      </c>
      <c r="F2269" s="2" t="str">
        <f>IFERROR(__xludf.DUMMYFUNCTION("IF(E2269&lt;&gt;"""", GOOGLETRANSLATE(E2269, ""en"", ""te""),"""")"),"[ '30 వ అత్యంత వంద (1028) లేకుండా ఒక వృత్తిలో పరుగులు', 'ఒక డక్ (40 *) లేకుండా 19 వరుస ఇన్నింగ్స్', 'కెరీర్లో 21 వ అతి తక్కువ బాతులు (27)', ఆరవ వికెట్కు '50 వ అత్యధిక భాగస్వామ్యం ( 64) ']")</f>
        <v>[ '30 వ అత్యంత వంద (1028) లేకుండా ఒక వృత్తిలో పరుగులు', 'ఒక డక్ (40 *) లేకుండా 19 వరుస ఇన్నింగ్స్', 'కెరీర్లో 21 వ అతి తక్కువ బాతులు (27)', ఆరవ వికెట్కు '50 వ అత్యధిక భాగస్వామ్యం ( 64) ']</v>
      </c>
      <c r="G2269" s="2"/>
      <c r="H2269" s="2" t="str">
        <f>IFERROR(__xludf.DUMMYFUNCTION("IF(G2269&lt;&gt;"""", GOOGLETRANSLATE(G2269, ""en"", ""te""),"""")"),"")</f>
        <v/>
      </c>
      <c r="I2269" s="3"/>
    </row>
    <row r="2270" customHeight="1" spans="1:9">
      <c r="A2270" s="2"/>
      <c r="B2270" s="2" t="str">
        <f>IFERROR(__xludf.DUMMYFUNCTION("IF(A2270&lt;&gt;"""", GOOGLETRANSLATE(A2270, ""en"", ""te""),"""")"),"")</f>
        <v/>
      </c>
      <c r="C2270" s="2" t="s">
        <v>1561</v>
      </c>
      <c r="D2270" s="2" t="str">
        <f>IFERROR(__xludf.DUMMYFUNCTION("IF(C2270&lt;&gt;"""", GOOGLETRANSLATE(C2270, ""en"", ""te""),"""")"),"[ 'వికెట్ను కాపాడుకున్నాడు చేసిన 27 కెప్టెన్ల (1)', '16 వ ఒక మ్యాచ్ రిఫరీ గా అత్యధిక మ్యాచ్లు (25)']")</f>
        <v>[ 'వికెట్ను కాపాడుకున్నాడు చేసిన 27 కెప్టెన్ల (1)', '16 వ ఒక మ్యాచ్ రిఫరీ గా అత్యధిక మ్యాచ్లు (25)']</v>
      </c>
      <c r="E2270" s="2" t="s">
        <v>1562</v>
      </c>
      <c r="F2270" s="2" t="str">
        <f>IFERROR(__xludf.DUMMYFUNCTION("IF(E2270&lt;&gt;"""", GOOGLETRANSLATE(E2270, ""en"", ""te""),"""")"),"[ '26 ఒక మ్యాచ్ రిఫరీ గా అత్యధిక మ్యాచ్లు (28)']")</f>
        <v>[ '26 ఒక మ్యాచ్ రిఫరీ గా అత్యధిక మ్యాచ్లు (28)']</v>
      </c>
      <c r="G2270" s="2"/>
      <c r="H2270" s="2" t="str">
        <f>IFERROR(__xludf.DUMMYFUNCTION("IF(G2270&lt;&gt;"""", GOOGLETRANSLATE(G2270, ""en"", ""te""),"""")"),"")</f>
        <v/>
      </c>
      <c r="I2270" s="3"/>
    </row>
    <row r="2271" customHeight="1" spans="1:9">
      <c r="A2271" s="2" t="s">
        <v>694</v>
      </c>
      <c r="B2271" s="2" t="str">
        <f>IFERROR(__xludf.DUMMYFUNCTION("IF(A2271&lt;&gt;"""", GOOGLETRANSLATE(A2271, ""en"", ""te""),"""")"),"[ '1st అత్యుత్తమ ఇన్నింగ్స్ (1/0) విశ్లేషణలలో బౌలింగ్']")</f>
        <v>[ '1st అత్యుత్తమ ఇన్నింగ్స్ (1/0) విశ్లేషణలలో బౌలింగ్']</v>
      </c>
      <c r="C2271" s="2" t="s">
        <v>694</v>
      </c>
      <c r="D2271" s="2" t="str">
        <f>IFERROR(__xludf.DUMMYFUNCTION("IF(C2271&lt;&gt;"""", GOOGLETRANSLATE(C2271, ""en"", ""te""),"""")"),"[ '1st అత్యుత్తమ ఇన్నింగ్స్ (1/0) విశ్లేషణలలో బౌలింగ్']")</f>
        <v>[ '1st అత్యుత్తమ ఇన్నింగ్స్ (1/0) విశ్లేషణలలో బౌలింగ్']</v>
      </c>
      <c r="E2271" s="2"/>
      <c r="F2271" s="2" t="str">
        <f>IFERROR(__xludf.DUMMYFUNCTION("IF(E2271&lt;&gt;"""", GOOGLETRANSLATE(E2271, ""en"", ""te""),"""")"),"")</f>
        <v/>
      </c>
      <c r="G2271" s="2"/>
      <c r="H2271" s="2" t="str">
        <f>IFERROR(__xludf.DUMMYFUNCTION("IF(G2271&lt;&gt;"""", GOOGLETRANSLATE(G2271, ""en"", ""te""),"""")"),"")</f>
        <v/>
      </c>
      <c r="I2271" s="3"/>
    </row>
    <row r="2272" customHeight="1" spans="1:9">
      <c r="A2272" s="2"/>
      <c r="B2272" s="2" t="str">
        <f>IFERROR(__xludf.DUMMYFUNCTION("IF(A2272&lt;&gt;"""", GOOGLETRANSLATE(A2272, ""en"", ""te""),"""")"),"")</f>
        <v/>
      </c>
      <c r="C2272" s="2"/>
      <c r="D2272" s="2" t="str">
        <f>IFERROR(__xludf.DUMMYFUNCTION("IF(C2272&lt;&gt;"""", GOOGLETRANSLATE(C2272, ""en"", ""te""),"""")"),"")</f>
        <v/>
      </c>
      <c r="E2272" s="2"/>
      <c r="F2272" s="2" t="str">
        <f>IFERROR(__xludf.DUMMYFUNCTION("IF(E2272&lt;&gt;"""", GOOGLETRANSLATE(E2272, ""en"", ""te""),"""")"),"")</f>
        <v/>
      </c>
      <c r="G2272" s="2"/>
      <c r="H2272" s="2" t="str">
        <f>IFERROR(__xludf.DUMMYFUNCTION("IF(G2272&lt;&gt;"""", GOOGLETRANSLATE(G2272, ""en"", ""te""),"""")"),"")</f>
        <v/>
      </c>
      <c r="I2272" s="3"/>
    </row>
    <row r="2273" customHeight="1" spans="1:9">
      <c r="A2273" s="2" t="s">
        <v>1563</v>
      </c>
      <c r="B2273" s="2" t="str">
        <f>IFERROR(__xludf.DUMMYFUNCTION("IF(A2273&lt;&gt;"""", GOOGLETRANSLATE(A2273, ""en"", ""te""),"""")"),"[ 'ఒక మ్యాచ్లో 3 వ అత్యంత స్టంపింగ్లు (4)']")</f>
        <v>[ 'ఒక మ్యాచ్లో 3 వ అత్యంత స్టంపింగ్లు (4)']</v>
      </c>
      <c r="C2273" s="2" t="s">
        <v>1564</v>
      </c>
      <c r="D2273" s="2" t="str">
        <f>IFERROR(__xludf.DUMMYFUNCTION("IF(C2273&lt;&gt;"""", GOOGLETRANSLATE(C2273, ""en"", ""te""),"""")"),"[ 'ఇన్నింగ్స్ (3) 4 వ అత్యంత స్టంపింగ్లు' 'ఒక మ్యాచ్లో 3 వ అత్యంత స్టంపింగ్లు (4)', '5 వ ఒక సిరీస్లో అత్యధిక స్టంపింగ్లు (7)']")</f>
        <v>[ 'ఇన్నింగ్స్ (3) 4 వ అత్యంత స్టంపింగ్లు' 'ఒక మ్యాచ్లో 3 వ అత్యంత స్టంపింగ్లు (4)', '5 వ ఒక సిరీస్లో అత్యధిక స్టంపింగ్లు (7)']</v>
      </c>
      <c r="E2273" s="2"/>
      <c r="F2273" s="2" t="str">
        <f>IFERROR(__xludf.DUMMYFUNCTION("IF(E2273&lt;&gt;"""", GOOGLETRANSLATE(E2273, ""en"", ""te""),"""")"),"")</f>
        <v/>
      </c>
      <c r="G2273" s="2"/>
      <c r="H2273" s="2" t="str">
        <f>IFERROR(__xludf.DUMMYFUNCTION("IF(G2273&lt;&gt;"""", GOOGLETRANSLATE(G2273, ""en"", ""te""),"""")"),"")</f>
        <v/>
      </c>
      <c r="I2273" s="3"/>
    </row>
    <row r="2274" customHeight="1" spans="1:9">
      <c r="A2274" s="2"/>
      <c r="B2274" s="2" t="str">
        <f>IFERROR(__xludf.DUMMYFUNCTION("IF(A2274&lt;&gt;"""", GOOGLETRANSLATE(A2274, ""en"", ""te""),"""")"),"")</f>
        <v/>
      </c>
      <c r="C2274" s="2" t="s">
        <v>1565</v>
      </c>
      <c r="D2274" s="2" t="str">
        <f>IFERROR(__xludf.DUMMYFUNCTION("IF(C2274&lt;&gt;"""", GOOGLETRANSLATE(C2274, ""en"", ""te""),"""")"),"[ '16 వ బంతుల్లో ఒక మ్యాచ్లో బౌల్డ్ (672)', '30th చాలా మ్యాచ్లో సాధించిన పరుగులు (266)', '20 వ 50 వికెట్లు వేగంగా (10)', '27th 100 వికెట్లు వేగంగా (22)', ' 27 వేగవంతమైన 150 వికెట్లు (35) ']")</f>
        <v>[ '16 వ బంతుల్లో ఒక మ్యాచ్లో బౌల్డ్ (672)', '30th చాలా మ్యాచ్లో సాధించిన పరుగులు (266)', '20 వ 50 వికెట్లు వేగంగా (10)', '27th 100 వికెట్లు వేగంగా (22)', ' 27 వేగవంతమైన 150 వికెట్లు (35) ']</v>
      </c>
      <c r="E2274" s="2"/>
      <c r="F2274" s="2" t="str">
        <f>IFERROR(__xludf.DUMMYFUNCTION("IF(E2274&lt;&gt;"""", GOOGLETRANSLATE(E2274, ""en"", ""te""),"""")"),"")</f>
        <v/>
      </c>
      <c r="G2274" s="2"/>
      <c r="H2274" s="2" t="str">
        <f>IFERROR(__xludf.DUMMYFUNCTION("IF(G2274&lt;&gt;"""", GOOGLETRANSLATE(G2274, ""en"", ""te""),"""")"),"")</f>
        <v/>
      </c>
      <c r="I2274" s="3"/>
    </row>
    <row r="2275" customHeight="1" spans="1:9">
      <c r="A2275" s="2"/>
      <c r="B2275" s="2" t="str">
        <f>IFERROR(__xludf.DUMMYFUNCTION("IF(A2275&lt;&gt;"""", GOOGLETRANSLATE(A2275, ""en"", ""te""),"""")"),"")</f>
        <v/>
      </c>
      <c r="C2275" s="2"/>
      <c r="D2275" s="2" t="str">
        <f>IFERROR(__xludf.DUMMYFUNCTION("IF(C2275&lt;&gt;"""", GOOGLETRANSLATE(C2275, ""en"", ""te""),"""")"),"")</f>
        <v/>
      </c>
      <c r="E2275" s="2" t="s">
        <v>1566</v>
      </c>
      <c r="F2275" s="2" t="str">
        <f>IFERROR(__xludf.DUMMYFUNCTION("IF(E2275&lt;&gt;"""", GOOGLETRANSLATE(E2275, ""en"", ""te""),"""")"),"[ '24 వ లాంగెస్ట్ నివసించారు క్రీడాకారులు (66y 259d)']")</f>
        <v>[ '24 వ లాంగెస్ట్ నివసించారు క్రీడాకారులు (66y 259d)']</v>
      </c>
      <c r="G2275" s="2"/>
      <c r="H2275" s="2" t="str">
        <f>IFERROR(__xludf.DUMMYFUNCTION("IF(G2275&lt;&gt;"""", GOOGLETRANSLATE(G2275, ""en"", ""te""),"""")"),"")</f>
        <v/>
      </c>
      <c r="I2275" s="3"/>
    </row>
    <row r="2276" customHeight="1" spans="1:9">
      <c r="A2276" s="2"/>
      <c r="B2276" s="2" t="str">
        <f>IFERROR(__xludf.DUMMYFUNCTION("IF(A2276&lt;&gt;"""", GOOGLETRANSLATE(A2276, ""en"", ""te""),"""")"),"")</f>
        <v/>
      </c>
      <c r="C2276" s="2" t="s">
        <v>1567</v>
      </c>
      <c r="D2276" s="2" t="str">
        <f>IFERROR(__xludf.DUMMYFUNCTION("IF(C2276&lt;&gt;"""", GOOGLETRANSLATE(C2276, ""en"", ""te""),"""")"),"[ '12 వ అత్యుత్తమ ఇన్నింగ్స్ లో విశ్లేషణలు బౌలింగ్ (3/8)', '42 వ ఉత్తమ కెరీర్ (అర్హత లేకుండా) సగటు (12.33) బౌలింగ్']")</f>
        <v>[ '12 వ అత్యుత్తమ ఇన్నింగ్స్ లో విశ్లేషణలు బౌలింగ్ (3/8)', '42 వ ఉత్తమ కెరీర్ (అర్హత లేకుండా) సగటు (12.33) బౌలింగ్']</v>
      </c>
      <c r="E2276" s="2"/>
      <c r="F2276" s="2" t="str">
        <f>IFERROR(__xludf.DUMMYFUNCTION("IF(E2276&lt;&gt;"""", GOOGLETRANSLATE(E2276, ""en"", ""te""),"""")"),"")</f>
        <v/>
      </c>
      <c r="G2276" s="2"/>
      <c r="H2276" s="2" t="str">
        <f>IFERROR(__xludf.DUMMYFUNCTION("IF(G2276&lt;&gt;"""", GOOGLETRANSLATE(G2276, ""en"", ""te""),"""")"),"")</f>
        <v/>
      </c>
      <c r="I2276" s="3"/>
    </row>
    <row r="2277" customHeight="1" spans="1:9">
      <c r="A2277" s="2"/>
      <c r="B2277" s="2" t="str">
        <f>IFERROR(__xludf.DUMMYFUNCTION("IF(A2277&lt;&gt;"""", GOOGLETRANSLATE(A2277, ""en"", ""te""),"""")"),"")</f>
        <v/>
      </c>
      <c r="C2277" s="2"/>
      <c r="D2277" s="2" t="str">
        <f>IFERROR(__xludf.DUMMYFUNCTION("IF(C2277&lt;&gt;"""", GOOGLETRANSLATE(C2277, ""en"", ""te""),"""")"),"")</f>
        <v/>
      </c>
      <c r="E2277" s="2"/>
      <c r="F2277" s="2" t="str">
        <f>IFERROR(__xludf.DUMMYFUNCTION("IF(E2277&lt;&gt;"""", GOOGLETRANSLATE(E2277, ""en"", ""te""),"""")"),"")</f>
        <v/>
      </c>
      <c r="G2277" s="2"/>
      <c r="H2277" s="2" t="str">
        <f>IFERROR(__xludf.DUMMYFUNCTION("IF(G2277&lt;&gt;"""", GOOGLETRANSLATE(G2277, ""en"", ""te""),"""")"),"")</f>
        <v/>
      </c>
      <c r="I2277" s="3"/>
    </row>
    <row r="2278" customHeight="1" spans="1:9">
      <c r="A2278" s="2"/>
      <c r="B2278" s="2" t="str">
        <f>IFERROR(__xludf.DUMMYFUNCTION("IF(A2278&lt;&gt;"""", GOOGLETRANSLATE(A2278, ""en"", ""te""),"""")"),"")</f>
        <v/>
      </c>
      <c r="C2278" s="2"/>
      <c r="D2278" s="2" t="str">
        <f>IFERROR(__xludf.DUMMYFUNCTION("IF(C2278&lt;&gt;"""", GOOGLETRANSLATE(C2278, ""en"", ""te""),"""")"),"")</f>
        <v/>
      </c>
      <c r="E2278" s="2"/>
      <c r="F2278" s="2" t="str">
        <f>IFERROR(__xludf.DUMMYFUNCTION("IF(E2278&lt;&gt;"""", GOOGLETRANSLATE(E2278, ""en"", ""te""),"""")"),"")</f>
        <v/>
      </c>
      <c r="G2278" s="2"/>
      <c r="H2278" s="2" t="str">
        <f>IFERROR(__xludf.DUMMYFUNCTION("IF(G2278&lt;&gt;"""", GOOGLETRANSLATE(G2278, ""en"", ""te""),"""")"),"")</f>
        <v/>
      </c>
      <c r="I2278" s="3"/>
    </row>
    <row r="2279" customHeight="1" spans="1:9">
      <c r="A2279" s="2"/>
      <c r="B2279" s="2" t="str">
        <f>IFERROR(__xludf.DUMMYFUNCTION("IF(A2279&lt;&gt;"""", GOOGLETRANSLATE(A2279, ""en"", ""te""),"""")"),"")</f>
        <v/>
      </c>
      <c r="C2279" s="2"/>
      <c r="D2279" s="2" t="str">
        <f>IFERROR(__xludf.DUMMYFUNCTION("IF(C2279&lt;&gt;"""", GOOGLETRANSLATE(C2279, ""en"", ""te""),"""")"),"")</f>
        <v/>
      </c>
      <c r="E2279" s="2"/>
      <c r="F2279" s="2" t="str">
        <f>IFERROR(__xludf.DUMMYFUNCTION("IF(E2279&lt;&gt;"""", GOOGLETRANSLATE(E2279, ""en"", ""te""),"""")"),"")</f>
        <v/>
      </c>
      <c r="G2279" s="2"/>
      <c r="H2279" s="2" t="str">
        <f>IFERROR(__xludf.DUMMYFUNCTION("IF(G2279&lt;&gt;"""", GOOGLETRANSLATE(G2279, ""en"", ""te""),"""")"),"")</f>
        <v/>
      </c>
      <c r="I2279" s="3"/>
    </row>
    <row r="2280" customHeight="1" spans="1:9">
      <c r="A2280" s="2" t="s">
        <v>1568</v>
      </c>
      <c r="B2280" s="2" t="str">
        <f>IFERROR(__xludf.DUMMYFUNCTION("IF(A2280&lt;&gt;"""", GOOGLETRANSLATE(A2280, ""en"", ""te""),"""")"),"[ 'ఒక ఇన్నింగ్స్ లో 5 వ ఉత్తమ గణాంకాలు పరాజయం వైపు (8) ఉన్నప్పుడు', '8 వ బౌలర్ / ఫీల్డర్ కలయికలు (71)', '1000 పరుగులు మరియు 100 వికెట్లు', '8 వ అత్యధిక వికెట్లు సాధించిన వికెట్కీపర్గా (63) పట్టుకుంటే తీసిన '8 వ 200 వికెట్లు (129) వేగంగా', '8 వ అత్యుత్తమ "&amp;"బౌలింగ్ ఇన్నింగ్స్ లో (1/1) విశ్లేషిస్తుంది' '1 వ అత్యధిక వికెట్లు తీసిన హిట్ వికెట్ (1)', '5 వ ఒక క్యాలెండర్ సంవత్సరంలో అత్యధిక వికెట్లు (113) ',' 7 వ బౌలర్ / ఫీల్డర్ కలయికలు (106) ']")</f>
        <v>[ 'ఒక ఇన్నింగ్స్ లో 5 వ ఉత్తమ గణాంకాలు పరాజయం వైపు (8) ఉన్నప్పుడు', '8 వ బౌలర్ / ఫీల్డర్ కలయికలు (71)', '1000 పరుగులు మరియు 100 వికెట్లు', '8 వ అత్యధిక వికెట్లు సాధించిన వికెట్కీపర్గా (63) పట్టుకుంటే తీసిన '8 వ 200 వికెట్లు (129) వేగంగా', '8 వ అత్యుత్తమ బౌలింగ్ ఇన్నింగ్స్ లో (1/1) విశ్లేషిస్తుంది' '1 వ అత్యధిక వికెట్లు తీసిన హిట్ వికెట్ (1)', '5 వ ఒక క్యాలెండర్ సంవత్సరంలో అత్యధిక వికెట్లు (113) ',' 7 వ బౌలర్ / ఫీల్డర్ కలయికలు (106) ']</v>
      </c>
      <c r="C2280" s="2" t="s">
        <v>1569</v>
      </c>
      <c r="D2280" s="2" t="str">
        <f>IFERROR(__xludf.DUMMYFUNCTION("IF(C2280&lt;&gt;"""", GOOGLETRANSLATE(C2280, ""en"", ""te""),"""")"),"[ '27 కెరీర్ బాతులు (19)', '28th అత్యధిక వికెట్లు కెరీర్లో (313)', '13 వ ఒక సిరీస్లో అత్యధిక వికెట్లు (37)', '30th ఒక క్యాలెండర్ సంవత్సరంలో అత్యధిక వికెట్లు (63)', '5 వ ఒక ఇన్నింగ్స్ లోని బెస్ట్ ఫిగర్స్ ఉన్నప్పుడు పరాజయం వైపు (8) ',' 15 మ్యాచ్లో ఉత్తమమై"&amp;"న ఉన్నప్పుడు పరాజయం వైపు (11) ',' 43 వ ఉత్తమ కెరీర్ సమ్మె రేటు (51.1) ',' 29 వ అత్యధిక పది wickets- లో-ఒక-మ్యాచ్ ఒక వృత్తిలో (3) ',' 43 వ కెరీర్ లో బౌల్డ్ చాలా బంతుల్లో (16001) ',' 27 వ అత్యధిక పరుగులు కెరీర్ (8891) లో ',' సాధించిన 8 వ బౌలర్ / ఫీల్డర్ కల"&amp;"యికలు (71) ', '21 వ ఎక్కువ వికెట్లు ఆకర్షించింది తీసుకోకూడదు (227) ',' 29 వ అత్యధిక వికెట్లు ఒక ఫీల్డర్ చేత క్యాచ్ తీసుకున్న (134) ',' 12 వ అత్యధిక వికెట్లు 100 వికెట్లు (23) ',' 18 వ వికెట్కీపర్గా (93) ',' 37 వ వేగంగా పట్టుకుంటే తీసుకున్న వేగవంతమైన 150 "&amp;"వికెట్లు (34) ',' ఫాస్టెస్ట్ 200 వికెట్లు 34 వ (49) ',' 15 వ 250 వికెట్లు వేగంగా (57) ',' 14 వ 300 వికెట్లు (69) చాలా ప్లేయర్ ఆఫ్ ',' 32 వ వేగంగా మ్యాచ్ అవార్డులు (9) ']")</f>
        <v>[ '27 కెరీర్ బాతులు (19)', '28th అత్యధిక వికెట్లు కెరీర్లో (313)', '13 వ ఒక సిరీస్లో అత్యధిక వికెట్లు (37)', '30th ఒక క్యాలెండర్ సంవత్సరంలో అత్యధిక వికెట్లు (63)', '5 వ ఒక ఇన్నింగ్స్ లోని బెస్ట్ ఫిగర్స్ ఉన్నప్పుడు పరాజయం వైపు (8) ',' 15 మ్యాచ్లో ఉత్తమమైన ఉన్నప్పుడు పరాజయం వైపు (11) ',' 43 వ ఉత్తమ కెరీర్ సమ్మె రేటు (51.1) ',' 29 వ అత్యధిక పది wickets- లో-ఒక-మ్యాచ్ ఒక వృత్తిలో (3) ',' 43 వ కెరీర్ లో బౌల్డ్ చాలా బంతుల్లో (16001) ',' 27 వ అత్యధిక పరుగులు కెరీర్ (8891) లో ',' సాధించిన 8 వ బౌలర్ / ఫీల్డర్ కలయికలు (71) ', '21 వ ఎక్కువ వికెట్లు ఆకర్షించింది తీసుకోకూడదు (227) ',' 29 వ అత్యధిక వికెట్లు ఒక ఫీల్డర్ చేత క్యాచ్ తీసుకున్న (134) ',' 12 వ అత్యధిక వికెట్లు 100 వికెట్లు (23) ',' 18 వ వికెట్కీపర్గా (93) ',' 37 వ వేగంగా పట్టుకుంటే తీసుకున్న వేగవంతమైన 150 వికెట్లు (34) ',' ఫాస్టెస్ట్ 200 వికెట్లు 34 వ (49) ',' 15 వ 250 వికెట్లు వేగంగా (57) ',' 14 వ 300 వికెట్లు (69) చాలా ప్లేయర్ ఆఫ్ ',' 32 వ వేగంగా మ్యాచ్ అవార్డులు (9) ']</v>
      </c>
      <c r="E2280" s="2" t="s">
        <v>1570</v>
      </c>
      <c r="F2280" s="2" t="str">
        <f>IFERROR(__xludf.DUMMYFUNCTION("IF(E2280&lt;&gt;"""", GOOGLETRANSLATE(E2280, ""en"", ""te""),"""")"),"[ '48 వ అత్యధిక కెరీర్ సమ్మె రేటు (96.35)', 'ఇన్నింగ్స్ లో 13 వ అత్యధిక స్ట్రైక్ రేట్ (300.00)', '29th కెరీర్లో అత్యధిక వికెట్లు (239)', '27 ఒక క్యాలెండర్ సంవత్సరంలో అత్యధిక వికెట్లు (46)', ' 40 వ ఉత్తమ కెరీర్ సమ్మె రేటు (31.3) ',' ఇన్నింగ్స్ లో 12 వ ఉత్"&amp;"తమ సమ్మె రేటు (6.0) ',' ఇన్నింగ్స్ లో 27 చెత్త ఆర్థిక రేటు (11.33) ',' 25 వ అత్యంత ఐదు-వికెట్ల లో-ఒక-ఇన్నింగ్స్ లో కెరీర్ (3) ',' 16 వ అత్యంత నాలుగు వికెట్లు-ఇన్-ఒక-ఇన్నింగ్స్ కెరీర్లో (12) ',' 13 వ వరుస నాలుగు వికెట్లు-ఇన్-ఒక-ఇన్నింగ్స్ (2) ',' 47 వ అత్య"&amp;"ంత బంతుల్లో బౌల్డ్ కెరీర్ (7489) ',' 43 వ కెరీర్ లో సాధించిన అత్యధిక పరుగులు (6038) ',' 22 వ బౌలర్ / ఫీల్డర్ కలయికలు (34) ',' 17 వ అత్యధిక వికెట్లు తీసుకున్న క్యాచ్ (177) ',' 26th అత్యధిక వికెట్లు తీసుకున్న ఫీల్డర్ (పట్టుకుంటే 114) ',' 8 వ అత్యధిక వికెట్ల"&amp;"ు ఒక వికెట్ కీపర్ చే కాట్ తీసుకోకూడదు (63) ',' 38 వ అత్యధిక వికెట్లు తీసుకున్న ఎల్బిడబ్ల్యు (25) ',' 50 వికెట్లు వేగంగా 42 వ (30) ',' 29th 100 వికెట్లు వేగంగా (65) ' '150 వికెట్లు వేగంగా 20 (99)',] '200 వికెట్లు (129) వేగంగా 8 వ'")</f>
        <v>[ '48 వ అత్యధిక కెరీర్ సమ్మె రేటు (96.35)', 'ఇన్నింగ్స్ లో 13 వ అత్యధిక స్ట్రైక్ రేట్ (300.00)', '29th కెరీర్లో అత్యధిక వికెట్లు (239)', '27 ఒక క్యాలెండర్ సంవత్సరంలో అత్యధిక వికెట్లు (46)', ' 40 వ ఉత్తమ కెరీర్ సమ్మె రేటు (31.3) ',' ఇన్నింగ్స్ లో 12 వ ఉత్తమ సమ్మె రేటు (6.0) ',' ఇన్నింగ్స్ లో 27 చెత్త ఆర్థిక రేటు (11.33) ',' 25 వ అత్యంత ఐదు-వికెట్ల లో-ఒక-ఇన్నింగ్స్ లో కెరీర్ (3) ',' 16 వ అత్యంత నాలుగు వికెట్లు-ఇన్-ఒక-ఇన్నింగ్స్ కెరీర్లో (12) ',' 13 వ వరుస నాలుగు వికెట్లు-ఇన్-ఒక-ఇన్నింగ్స్ (2) ',' 47 వ అత్యంత బంతుల్లో బౌల్డ్ కెరీర్ (7489) ',' 43 వ కెరీర్ లో సాధించిన అత్యధిక పరుగులు (6038) ',' 22 వ బౌలర్ / ఫీల్డర్ కలయికలు (34) ',' 17 వ అత్యధిక వికెట్లు తీసుకున్న క్యాచ్ (177) ',' 26th అత్యధిక వికెట్లు తీసుకున్న ఫీల్డర్ (పట్టుకుంటే 114) ',' 8 వ అత్యధిక వికెట్లు ఒక వికెట్ కీపర్ చే కాట్ తీసుకోకూడదు (63) ',' 38 వ అత్యధిక వికెట్లు తీసుకున్న ఎల్బిడబ్ల్యు (25) ',' 50 వికెట్లు వేగంగా 42 వ (30) ',' 29th 100 వికెట్లు వేగంగా (65) ' '150 వికెట్లు వేగంగా 20 (99)',] '200 వికెట్లు (129) వేగంగా 8 వ'</v>
      </c>
      <c r="G2280" s="2" t="s">
        <v>1571</v>
      </c>
      <c r="H2280" s="2" t="str">
        <f>IFERROR(__xludf.DUMMYFUNCTION("IF(G2280&lt;&gt;"""", GOOGLETRANSLATE(G2280, ""en"", ""te""),"""")"),"[, '36th సగటు (20.97) బౌలింగ్ ఉత్తమ జీవితం' '36 వ ఉత్తమ కెరీర్ సమ్మె రేటు (17.2)', '48 వ అత్యధిక వికెట్లు ఆకర్షించింది అత్యధిక వికెట్లు తీసిన' 8 వ అత్యుత్తమ బౌలింగ్ ఇన్నింగ్స్ (1/1) విశ్లేషణలలో '(5) ',' 1 వ అత్యధిక వికెట్లు తీసిన హిట్ వికెట్ (1) ',' ఎనిమి"&amp;"దవ వికెట్ (39) కోసం 29 అత్యధిక భాగస్వామ్యం ']")</f>
        <v>[, '36th సగటు (20.97) బౌలింగ్ ఉత్తమ జీవితం' '36 వ ఉత్తమ కెరీర్ సమ్మె రేటు (17.2)', '48 వ అత్యధిక వికెట్లు ఆకర్షించింది అత్యధిక వికెట్లు తీసిన' 8 వ అత్యుత్తమ బౌలింగ్ ఇన్నింగ్స్ (1/1) విశ్లేషణలలో '(5) ',' 1 వ అత్యధిక వికెట్లు తీసిన హిట్ వికెట్ (1) ',' ఎనిమిదవ వికెట్ (39) కోసం 29 అత్యధిక భాగస్వామ్యం ']</v>
      </c>
      <c r="I2280" s="3"/>
    </row>
    <row r="2281" customHeight="1" spans="1:9">
      <c r="A2281" s="2"/>
      <c r="B2281" s="2" t="str">
        <f>IFERROR(__xludf.DUMMYFUNCTION("IF(A2281&lt;&gt;"""", GOOGLETRANSLATE(A2281, ""en"", ""te""),"""")"),"")</f>
        <v/>
      </c>
      <c r="C2281" s="2"/>
      <c r="D2281" s="2" t="str">
        <f>IFERROR(__xludf.DUMMYFUNCTION("IF(C2281&lt;&gt;"""", GOOGLETRANSLATE(C2281, ""en"", ""te""),"""")"),"")</f>
        <v/>
      </c>
      <c r="E2281" s="2"/>
      <c r="F2281" s="2" t="str">
        <f>IFERROR(__xludf.DUMMYFUNCTION("IF(E2281&lt;&gt;"""", GOOGLETRANSLATE(E2281, ""en"", ""te""),"""")"),"")</f>
        <v/>
      </c>
      <c r="G2281" s="2"/>
      <c r="H2281" s="2" t="str">
        <f>IFERROR(__xludf.DUMMYFUNCTION("IF(G2281&lt;&gt;"""", GOOGLETRANSLATE(G2281, ""en"", ""te""),"""")"),"")</f>
        <v/>
      </c>
      <c r="I2281" s="3"/>
    </row>
    <row r="2282" customHeight="1" spans="1:9">
      <c r="A2282" s="2"/>
      <c r="B2282" s="2" t="str">
        <f>IFERROR(__xludf.DUMMYFUNCTION("IF(A2282&lt;&gt;"""", GOOGLETRANSLATE(A2282, ""en"", ""te""),"""")"),"")</f>
        <v/>
      </c>
      <c r="C2282" s="2"/>
      <c r="D2282" s="2" t="str">
        <f>IFERROR(__xludf.DUMMYFUNCTION("IF(C2282&lt;&gt;"""", GOOGLETRANSLATE(C2282, ""en"", ""te""),"""")"),"")</f>
        <v/>
      </c>
      <c r="E2282" s="2"/>
      <c r="F2282" s="2" t="str">
        <f>IFERROR(__xludf.DUMMYFUNCTION("IF(E2282&lt;&gt;"""", GOOGLETRANSLATE(E2282, ""en"", ""te""),"""")"),"")</f>
        <v/>
      </c>
      <c r="G2282" s="2"/>
      <c r="H2282" s="2" t="str">
        <f>IFERROR(__xludf.DUMMYFUNCTION("IF(G2282&lt;&gt;"""", GOOGLETRANSLATE(G2282, ""en"", ""te""),"""")"),"")</f>
        <v/>
      </c>
      <c r="I2282" s="3"/>
    </row>
    <row r="2283" customHeight="1" spans="1:9">
      <c r="A2283" s="2" t="s">
        <v>1437</v>
      </c>
      <c r="B2283" s="2" t="str">
        <f>IFERROR(__xludf.DUMMYFUNCTION("IF(A2283&lt;&gt;"""", GOOGLETRANSLATE(A2283, ""en"", ""te""),"""")"),"[ 'తొలి ఇన్నింగ్స్లో 6 వ ఉత్తమ బొమ్మలు (4)']")</f>
        <v>[ 'తొలి ఇన్నింగ్స్లో 6 వ ఉత్తమ బొమ్మలు (4)']</v>
      </c>
      <c r="C2283" s="2"/>
      <c r="D2283" s="2" t="str">
        <f>IFERROR(__xludf.DUMMYFUNCTION("IF(C2283&lt;&gt;"""", GOOGLETRANSLATE(C2283, ""en"", ""te""),"""")"),"")</f>
        <v/>
      </c>
      <c r="E2283" s="2" t="s">
        <v>1572</v>
      </c>
      <c r="F2283" s="2" t="str">
        <f>IFERROR(__xludf.DUMMYFUNCTION("IF(E2283&lt;&gt;"""", GOOGLETRANSLATE(E2283, ""en"", ""te""),"""")"),"[ '11 వ ఒక ఇన్నింగ్స్ లోని బెస్ట్ ఫిగర్స్ ఉన్నప్పుడు పరాజయం వైపు (4)', '6 వ ఉత్తమ తొలి ఇన్నింగ్స్లో గణాంకాలు (4)']")</f>
        <v>[ '11 వ ఒక ఇన్నింగ్స్ లోని బెస్ట్ ఫిగర్స్ ఉన్నప్పుడు పరాజయం వైపు (4)', '6 వ ఉత్తమ తొలి ఇన్నింగ్స్లో గణాంకాలు (4)']</v>
      </c>
      <c r="G2283" s="2"/>
      <c r="H2283" s="2" t="str">
        <f>IFERROR(__xludf.DUMMYFUNCTION("IF(G2283&lt;&gt;"""", GOOGLETRANSLATE(G2283, ""en"", ""te""),"""")"),"")</f>
        <v/>
      </c>
      <c r="I2283" s="3"/>
    </row>
    <row r="2284" customHeight="1" spans="1:9">
      <c r="A2284" s="2"/>
      <c r="B2284" s="2" t="str">
        <f>IFERROR(__xludf.DUMMYFUNCTION("IF(A2284&lt;&gt;"""", GOOGLETRANSLATE(A2284, ""en"", ""te""),"""")"),"")</f>
        <v/>
      </c>
      <c r="C2284" s="2"/>
      <c r="D2284" s="2" t="str">
        <f>IFERROR(__xludf.DUMMYFUNCTION("IF(C2284&lt;&gt;"""", GOOGLETRANSLATE(C2284, ""en"", ""te""),"""")"),"")</f>
        <v/>
      </c>
      <c r="E2284" s="2"/>
      <c r="F2284" s="2" t="str">
        <f>IFERROR(__xludf.DUMMYFUNCTION("IF(E2284&lt;&gt;"""", GOOGLETRANSLATE(E2284, ""en"", ""te""),"""")"),"")</f>
        <v/>
      </c>
      <c r="G2284" s="2"/>
      <c r="H2284" s="2" t="str">
        <f>IFERROR(__xludf.DUMMYFUNCTION("IF(G2284&lt;&gt;"""", GOOGLETRANSLATE(G2284, ""en"", ""te""),"""")"),"")</f>
        <v/>
      </c>
      <c r="I2284" s="3"/>
    </row>
    <row r="2285" customHeight="1" spans="1:9">
      <c r="A2285" s="2" t="s">
        <v>352</v>
      </c>
      <c r="B2285" s="2" t="str">
        <f>IFERROR(__xludf.DUMMYFUNCTION("IF(A2285&lt;&gt;"""", GOOGLETRANSLATE(A2285, ""en"", ""te""),"""")"),"[ 'బ్యాటింగ్ ప్రారంభించుటకు మరియు అదే మ్యాచ్ లో బౌలింగ్']")</f>
        <v>[ 'బ్యాటింగ్ ప్రారంభించుటకు మరియు అదే మ్యాచ్ లో బౌలింగ్']</v>
      </c>
      <c r="C2285" s="2" t="s">
        <v>1573</v>
      </c>
      <c r="D2285" s="2" t="str">
        <f>IFERROR(__xludf.DUMMYFUNCTION("IF(C2285&lt;&gt;"""", GOOGLETRANSLATE(C2285, ""en"", ""te""),"""")"),"[ '34 వ ఓల్డెస్ట్ క్రీడాకారులు (42y 224d)', '46 వ లాంగెస్ట్ కెరీర్లు (17y 362d)']")</f>
        <v>[ '34 వ ఓల్డెస్ట్ క్రీడాకారులు (42y 224d)', '46 వ లాంగెస్ట్ కెరీర్లు (17y 362d)']</v>
      </c>
      <c r="E2285" s="2"/>
      <c r="F2285" s="2" t="str">
        <f>IFERROR(__xludf.DUMMYFUNCTION("IF(E2285&lt;&gt;"""", GOOGLETRANSLATE(E2285, ""en"", ""te""),"""")"),"")</f>
        <v/>
      </c>
      <c r="G2285" s="2"/>
      <c r="H2285" s="2" t="str">
        <f>IFERROR(__xludf.DUMMYFUNCTION("IF(G2285&lt;&gt;"""", GOOGLETRANSLATE(G2285, ""en"", ""te""),"""")"),"")</f>
        <v/>
      </c>
      <c r="I2285" s="3"/>
    </row>
    <row r="2286" customHeight="1" spans="1:9">
      <c r="A2286" s="2"/>
      <c r="B2286" s="2" t="str">
        <f>IFERROR(__xludf.DUMMYFUNCTION("IF(A2286&lt;&gt;"""", GOOGLETRANSLATE(A2286, ""en"", ""te""),"""")"),"")</f>
        <v/>
      </c>
      <c r="C2286" s="2"/>
      <c r="D2286" s="2" t="str">
        <f>IFERROR(__xludf.DUMMYFUNCTION("IF(C2286&lt;&gt;"""", GOOGLETRANSLATE(C2286, ""en"", ""te""),"""")"),"")</f>
        <v/>
      </c>
      <c r="E2286" s="2"/>
      <c r="F2286" s="2" t="str">
        <f>IFERROR(__xludf.DUMMYFUNCTION("IF(E2286&lt;&gt;"""", GOOGLETRANSLATE(E2286, ""en"", ""te""),"""")"),"")</f>
        <v/>
      </c>
      <c r="G2286" s="2"/>
      <c r="H2286" s="2" t="str">
        <f>IFERROR(__xludf.DUMMYFUNCTION("IF(G2286&lt;&gt;"""", GOOGLETRANSLATE(G2286, ""en"", ""te""),"""")"),"")</f>
        <v/>
      </c>
      <c r="I2286" s="3"/>
    </row>
    <row r="2287" customHeight="1" spans="1:9">
      <c r="A2287" s="2" t="s">
        <v>1574</v>
      </c>
      <c r="B2287" s="2" t="str">
        <f>IFERROR(__xludf.DUMMYFUNCTION("IF(A2287&lt;&gt;"""", GOOGLETRANSLATE(A2287, ""en"", ""te""),"""")"),"[ 'తొలి ఇన్నింగ్స్లో 4 వ ఉత్తమ బొమ్మలు (4)']")</f>
        <v>[ 'తొలి ఇన్నింగ్స్లో 4 వ ఉత్తమ బొమ్మలు (4)']</v>
      </c>
      <c r="C2287" s="2" t="s">
        <v>1575</v>
      </c>
      <c r="D2287" s="2" t="str">
        <f>IFERROR(__xludf.DUMMYFUNCTION("IF(C2287&lt;&gt;"""", GOOGLETRANSLATE(C2287, ""en"", ""te""),"""")"),"[ '24 ఒక ఇన్నింగ్స్ లోని బెస్ట్ ఫిగర్స్ ఉన్నప్పుడు పరాజయం వైపు (7)']")</f>
        <v>[ '24 ఒక ఇన్నింగ్స్ లోని బెస్ట్ ఫిగర్స్ ఉన్నప్పుడు పరాజయం వైపు (7)']</v>
      </c>
      <c r="E2287" s="2" t="s">
        <v>1576</v>
      </c>
      <c r="F2287" s="2" t="str">
        <f>IFERROR(__xludf.DUMMYFUNCTION("IF(E2287&lt;&gt;"""", GOOGLETRANSLATE(E2287, ""en"", ""te""),"""")"),"[ '43 వ అత్యంత ఐదు-వికెట్ల లో-ఒక-ఇన్నింగ్స్ కెరీర్లో (2)', '13 వ వరుస నాలుగు వికెట్లు-ఇన్-ఒక-ఇన్నింగ్స్ (2)', 'ఐదు వికెట్ల తేడాతో తీసుకోవాలని 33 వ అత్యంత వృద్ధ ఆటగాడు -an-ఇన్నింగ్స్ (32y 207d) ',' 24 వ అత్యంత వృద్ధ ఆటగాడు ఒక ఐదు మైడెన్-వికెట్ల లో-ఒక-ఇన్న"&amp;"ింగ్స్ (32y 17d) ',' 42 వ 50 వికెట్లు (30) ',' 35 వ వరుస మ్యాచ్లు వేగంగా తప్పిన తీసుకోవాలని ప్రదర్శనల మధ్య ఒక జట్టు (132) ']")</f>
        <v>[ '43 వ అత్యంత ఐదు-వికెట్ల లో-ఒక-ఇన్నింగ్స్ కెరీర్లో (2)', '13 వ వరుస నాలుగు వికెట్లు-ఇన్-ఒక-ఇన్నింగ్స్ (2)', 'ఐదు వికెట్ల తేడాతో తీసుకోవాలని 33 వ అత్యంత వృద్ధ ఆటగాడు -an-ఇన్నింగ్స్ (32y 207d) ',' 24 వ అత్యంత వృద్ధ ఆటగాడు ఒక ఐదు మైడెన్-వికెట్ల లో-ఒక-ఇన్నింగ్స్ (32y 17d) ',' 42 వ 50 వికెట్లు (30) ',' 35 వ వరుస మ్యాచ్లు వేగంగా తప్పిన తీసుకోవాలని ప్రదర్శనల మధ్య ఒక జట్టు (132) ']</v>
      </c>
      <c r="G2287" s="2" t="s">
        <v>1577</v>
      </c>
      <c r="H2287" s="2" t="str">
        <f>IFERROR(__xludf.DUMMYFUNCTION("IF(G2287&lt;&gt;"""", GOOGLETRANSLATE(G2287, ""en"", ""te""),"""")"),"[ 'తొలి ఇన్నింగ్స్లో 4 వ ఉత్తమ బొమ్మలు (4)', '33 వ పురాతన దేశం ఆటగాళ్ళు (49y 33d)']")</f>
        <v>[ 'తొలి ఇన్నింగ్స్లో 4 వ ఉత్తమ బొమ్మలు (4)', '33 వ పురాతన దేశం ఆటగాళ్ళు (49y 33d)']</v>
      </c>
      <c r="I2287" s="3"/>
    </row>
    <row r="2288" customHeight="1" spans="1:9">
      <c r="A2288" s="2" t="s">
        <v>1578</v>
      </c>
      <c r="B2288" s="2" t="str">
        <f>IFERROR(__xludf.DUMMYFUNCTION("IF(A2288&lt;&gt;"""", GOOGLETRANSLATE(A2288, ""en"", ""te""),"""")"),"[ 'ఒక కెప్టెన్తో ఇన్నింగ్స్ లో 5 వ అత్యధిక పరుగులు (131)', '1st ఒక క్యాలెండర్ సంవత్సరంలో అత్యధిక వందలు (2)', '1 వ 99 (199 అవుటయ్యాడు, 299' గత మ్యాచ్ (104) లో 5 వ హండ్రెడ్ ' మొదలైనవి) (99) ',' 1 వ వరుస (3) ',' 1 వ అత్యుత్తమ బౌలింగ్ తొలి మ్యాచ్లో ఇన్నింగ్స"&amp;"్ (1/0) ',' 6 వ అత్యధిక పరుగులు విశ్లేషణలలో (98) ',' 2 వ వందల అత్యంత బాతులు వరుస ఇన్నింగ్స్లో (2) ',' 1st తొంభై తొలి (98) ']")</f>
        <v>[ 'ఒక కెప్టెన్తో ఇన్నింగ్స్ లో 5 వ అత్యధిక పరుగులు (131)', '1st ఒక క్యాలెండర్ సంవత్సరంలో అత్యధిక వందలు (2)', '1 వ 99 (199 అవుటయ్యాడు, 299' గత మ్యాచ్ (104) లో 5 వ హండ్రెడ్ ' మొదలైనవి) (99) ',' 1 వ వరుస (3) ',' 1 వ అత్యుత్తమ బౌలింగ్ తొలి మ్యాచ్లో ఇన్నింగ్స్ (1/0) ',' 6 వ అత్యధిక పరుగులు విశ్లేషణలలో (98) ',' 2 వ వందల అత్యంత బాతులు వరుస ఇన్నింగ్స్లో (2) ',' 1st తొంభై తొలి (98) ']</v>
      </c>
      <c r="C2288" s="2" t="s">
        <v>1579</v>
      </c>
      <c r="D2288" s="2" t="str">
        <f>IFERROR(__xludf.DUMMYFUNCTION("IF(C2288&lt;&gt;"""", GOOGLETRANSLATE(C2288, ""en"", ""te""),"""")"),"[ '20 వ కెరీర్ లో అత్యధిక పరుగులు (702)', '32 వ ఇన్నింగ్స్ లో అత్యధిక పరుగులు (131)', '35 వ మ్యాచ్ లో అత్యధిక పరుగులు (159)', '11 వ ఒక సిరీస్లో అత్యధిక పరుగులు (347)', '5 వ ఒక క్యాలెండర్ సంవత్సరంలో అత్యధిక పరుగులు (437) ',' ఒక కెప్టెన్తో ఇన్నింగ్స్ లో 7 వ"&amp;" అత్యధిక పరుగులు (బ్యాటింగ్ స్థానంలో ప్రకారం) (131) ',' ఒక సిరీస్ 8 వ అత్యధిక పరుగులు (278) ',' 5 వ అత్యంత ఇన్నింగ్స్ లో పరుగులు ఒక కెప్టెన్తో (131) ',' 27 వ అత్యధిక కెరీర్ బ్యాటింగ్ సగటు (36.94) ',' 5 వ హండ్రెడ్ గత మ్యాచ్లో (104) ',' 7th ఒక వృత్తిలో అత్య"&amp;"ధిక వందలు (3) ',' 1st ఒక సిరీస్లో అత్యధిక సెంచరీలు ( 2) ',' 1 వ (2) ',' ఒక జట్టు (2) ',' 22 వ అత్యధిక తొలి వంద (131) ',' 1st వ్యతిరేకంగా 3 వ అత్యధిక వందలు 99 (199 అవుటయ్యాడు, 299 etc ఒక క్యాలెండర్ సంవత్సరంలో అత్యధిక వందలు ) (99) ',' 19 వ అత్యంత అర్ధ కెరీర"&amp;"్లో (5) ',' 6 వ అత్యంత బాతులు కెరీర్లో (4) ',' 1st ఒక సిరీస్లో అత్యధిక బాతులు కెరీర్ (1 (3) ',' 2 వ అత్యంత జతల) ' , '1st అత్యుత్తమ బౌలింగ్ ఇన్నింగ్స్ (1/0) విశ్లేషణలలో' '23 వ వరుస మ్యాచ్లు బృందం (12) కోసం']")</f>
        <v>[ '20 వ కెరీర్ లో అత్యధిక పరుగులు (702)', '32 వ ఇన్నింగ్స్ లో అత్యధిక పరుగులు (131)', '35 వ మ్యాచ్ లో అత్యధిక పరుగులు (159)', '11 వ ఒక సిరీస్లో అత్యధిక పరుగులు (347)', '5 వ ఒక క్యాలెండర్ సంవత్సరంలో అత్యధిక పరుగులు (437) ',' ఒక కెప్టెన్తో ఇన్నింగ్స్ లో 7 వ అత్యధిక పరుగులు (బ్యాటింగ్ స్థానంలో ప్రకారం) (131) ',' ఒక సిరీస్ 8 వ అత్యధిక పరుగులు (278) ',' 5 వ అత్యంత ఇన్నింగ్స్ లో పరుగులు ఒక కెప్టెన్తో (131) ',' 27 వ అత్యధిక కెరీర్ బ్యాటింగ్ సగటు (36.94) ',' 5 వ హండ్రెడ్ గత మ్యాచ్లో (104) ',' 7th ఒక వృత్తిలో అత్యధిక వందలు (3) ',' 1st ఒక సిరీస్లో అత్యధిక సెంచరీలు ( 2) ',' 1 వ (2) ',' ఒక జట్టు (2) ',' 22 వ అత్యధిక తొలి వంద (131) ',' 1st వ్యతిరేకంగా 3 వ అత్యధిక వందలు 99 (199 అవుటయ్యాడు, 299 etc ఒక క్యాలెండర్ సంవత్సరంలో అత్యధిక వందలు ) (99) ',' 19 వ అత్యంత అర్ధ కెరీర్లో (5) ',' 6 వ అత్యంత బాతులు కెరీర్లో (4) ',' 1st ఒక సిరీస్లో అత్యధిక బాతులు కెరీర్ (1 (3) ',' 2 వ అత్యంత జతల) ' , '1st అత్యుత్తమ బౌలింగ్ ఇన్నింగ్స్ (1/0) విశ్లేషణలలో' '23 వ వరుస మ్యాచ్లు బృందం (12) కోసం']</v>
      </c>
      <c r="E2288" s="2" t="s">
        <v>1580</v>
      </c>
      <c r="F2288" s="2" t="str">
        <f>IFERROR(__xludf.DUMMYFUNCTION("IF(E2288&lt;&gt;"""", GOOGLETRANSLATE(E2288, ""en"", ""te""),"""")"),"[ '25 ఒక వృత్తిలో అత్యధిక వందలు (2)' 'ఒక సిరీస్లో 6 వ అత్యధిక వందలు (2)' 'తొలి మ్యాచ్లో 6 వ అత్యధిక పరుగులు (98)', 'ఒక క్యాలెండర్ సంవత్సరంలో 5 వ అత్యధిక వందలు (2)', 'ఒక జట్టుతో 11 వ అత్యధిక వందలు (2)', 'వరుస ఇన్నింగ్స్లో 2 వ వందల (2)', '21 వ అత్యధిక తొలి "&amp;"వంద (122) ',' తొలి 1st తొంభై (98) 'కెరీర్ లో,' 15 వ బాతులు నో ( 19) ']")</f>
        <v>[ '25 ఒక వృత్తిలో అత్యధిక వందలు (2)' 'ఒక సిరీస్లో 6 వ అత్యధిక వందలు (2)' 'తొలి మ్యాచ్లో 6 వ అత్యధిక పరుగులు (98)', 'ఒక క్యాలెండర్ సంవత్సరంలో 5 వ అత్యధిక వందలు (2)', 'ఒక జట్టుతో 11 వ అత్యధిక వందలు (2)', 'వరుస ఇన్నింగ్స్లో 2 వ వందల (2)', '21 వ అత్యధిక తొలి వంద (122) ',' తొలి 1st తొంభై (98) 'కెరీర్ లో,' 15 వ బాతులు నో ( 19) ']</v>
      </c>
      <c r="G2288" s="2"/>
      <c r="H2288" s="2" t="str">
        <f>IFERROR(__xludf.DUMMYFUNCTION("IF(G2288&lt;&gt;"""", GOOGLETRANSLATE(G2288, ""en"", ""te""),"""")"),"")</f>
        <v/>
      </c>
      <c r="I2288" s="3"/>
    </row>
    <row r="2289" customHeight="1" spans="1:9">
      <c r="A2289" s="2" t="s">
        <v>63</v>
      </c>
      <c r="B2289" s="2" t="str">
        <f>IFERROR(__xludf.DUMMYFUNCTION("IF(A2289&lt;&gt;"""", GOOGLETRANSLATE(A2289, ""en"", ""te""),"""")"),"[ 'తొలి ఇన్నింగ్స్లో 9 వ బెస్ట్ ఫిగర్స్ (7)']")</f>
        <v>[ 'తొలి ఇన్నింగ్స్లో 9 వ బెస్ట్ ఫిగర్స్ (7)']</v>
      </c>
      <c r="C2289" s="2" t="s">
        <v>1581</v>
      </c>
      <c r="D2289" s="2" t="str">
        <f>IFERROR(__xludf.DUMMYFUNCTION("IF(C2289&lt;&gt;"""", GOOGLETRANSLATE(C2289, ""en"", ""te""),"""")"),"[ 'తొలి ఇన్నింగ్స్లో 9 వ బెస్ట్ ఫిగర్స్ (7)', '33 వ ప్రవేశం (8) ఒక మ్యాచ్లో బెస్ట్ ఫిగర్స్']")</f>
        <v>[ 'తొలి ఇన్నింగ్స్లో 9 వ బెస్ట్ ఫిగర్స్ (7)', '33 వ ప్రవేశం (8) ఒక మ్యాచ్లో బెస్ట్ ఫిగర్స్']</v>
      </c>
      <c r="E2289" s="2"/>
      <c r="F2289" s="2" t="str">
        <f>IFERROR(__xludf.DUMMYFUNCTION("IF(E2289&lt;&gt;"""", GOOGLETRANSLATE(E2289, ""en"", ""te""),"""")"),"")</f>
        <v/>
      </c>
      <c r="G2289" s="2"/>
      <c r="H2289" s="2" t="str">
        <f>IFERROR(__xludf.DUMMYFUNCTION("IF(G2289&lt;&gt;"""", GOOGLETRANSLATE(G2289, ""en"", ""te""),"""")"),"")</f>
        <v/>
      </c>
      <c r="I2289" s="3"/>
    </row>
    <row r="2290" customHeight="1" spans="1:9">
      <c r="A2290" s="2"/>
      <c r="B2290" s="2" t="str">
        <f>IFERROR(__xludf.DUMMYFUNCTION("IF(A2290&lt;&gt;"""", GOOGLETRANSLATE(A2290, ""en"", ""te""),"""")"),"")</f>
        <v/>
      </c>
      <c r="C2290" s="2"/>
      <c r="D2290" s="2" t="str">
        <f>IFERROR(__xludf.DUMMYFUNCTION("IF(C2290&lt;&gt;"""", GOOGLETRANSLATE(C2290, ""en"", ""te""),"""")"),"")</f>
        <v/>
      </c>
      <c r="E2290" s="2"/>
      <c r="F2290" s="2" t="str">
        <f>IFERROR(__xludf.DUMMYFUNCTION("IF(E2290&lt;&gt;"""", GOOGLETRANSLATE(E2290, ""en"", ""te""),"""")"),"")</f>
        <v/>
      </c>
      <c r="G2290" s="2"/>
      <c r="H2290" s="2" t="str">
        <f>IFERROR(__xludf.DUMMYFUNCTION("IF(G2290&lt;&gt;"""", GOOGLETRANSLATE(G2290, ""en"", ""te""),"""")"),"")</f>
        <v/>
      </c>
      <c r="I2290" s="3"/>
    </row>
    <row r="2291" customHeight="1" spans="1:9">
      <c r="A2291" s="2" t="s">
        <v>1582</v>
      </c>
      <c r="B2291" s="2" t="str">
        <f>IFERROR(__xludf.DUMMYFUNCTION("IF(A2291&lt;&gt;"""", GOOGLETRANSLATE(A2291, ""en"", ""te""),"""")"),"[ 'కెరీర్లో 2 వ అత్యంత బాతులు (5)', '4 వ ఇన్నింగ్స్ లో అత్యధిక పరుగులు (ప్రగతిశీల రికార్డు హోల్డర్) (156 *)', '3 వ అత్యధిక తొలి వంద (156 *)', 'వరుస ఇన్నింగ్స్లో 5 వ యాభైల్లో (5) ',' ఇన్నింగ్స్ లో 4 వ అత్యధిక క్యాచ్లు (3) ']")</f>
        <v>[ 'కెరీర్లో 2 వ అత్యంత బాతులు (5)', '4 వ ఇన్నింగ్స్ లో అత్యధిక పరుగులు (ప్రగతిశీల రికార్డు హోల్డర్) (156 *)', '3 వ అత్యధిక తొలి వంద (156 *)', 'వరుస ఇన్నింగ్స్లో 5 వ యాభైల్లో (5) ',' ఇన్నింగ్స్ లో 4 వ అత్యధిక క్యాచ్లు (3) ']</v>
      </c>
      <c r="C2291" s="2" t="s">
        <v>1583</v>
      </c>
      <c r="D2291" s="2" t="str">
        <f>IFERROR(__xludf.DUMMYFUNCTION("IF(C2291&lt;&gt;"""", GOOGLETRANSLATE(C2291, ""en"", ""te""),"""")"),"[ 'కెరీర్లో 2 వ అత్యంత బాతులు (5)', 'మొదటి వికెట్కు 14 అత్యధిక భాగస్వామ్యం (127)', 'రెండవ వికెట్కు 20 వ అత్యధిక భాగస్వామ్యం (108)', 'మూడో వికెట్ (107) 19 వ అత్యధిక భాగస్వామ్యం' ]")</f>
        <v>[ 'కెరీర్లో 2 వ అత్యంత బాతులు (5)', 'మొదటి వికెట్కు 14 అత్యధిక భాగస్వామ్యం (127)', 'రెండవ వికెట్కు 20 వ అత్యధిక భాగస్వామ్యం (108)', 'మూడో వికెట్ (107) 19 వ అత్యధిక భాగస్వామ్యం' ]</v>
      </c>
      <c r="E2291" s="2" t="s">
        <v>1584</v>
      </c>
      <c r="F2291" s="2" t="str">
        <f>IFERROR(__xludf.DUMMYFUNCTION("IF(E2291&lt;&gt;"""", GOOGLETRANSLATE(E2291, ""en"", ""te""),"""")"),"[ '24 వ కెరీర్ లో అత్యధిక పరుగులు (2630)', '11 వ ఇన్నింగ్స్ (156 *) లో అత్యధిక పరుగులు' 'ఇన్నింగ్స్ లో 4 వ అత్యధిక పరుగులు (ప్రగతిశీల రికార్డు హోల్డర్) (156 *)', '26 ఒక క్యాలెండర్ లో అత్యధిక పరుగులు సంవత్సరం (619) ',' 8 వ ఇన్నింగ్స్ లో అత్యధిక పరుగులు (బ్"&amp;"యాటింగ్ స్థానంలో ప్రకారం) (156 *) ',' 22 వ అత్యధిక కెరీర్ బ్యాటింగ్ సగటు (39.84) ',' 15 వ అత్యధిక వందలు ఒక వృత్తిలో (4) ',' 11 వ అత్యంత ఒక జట్టు వ్యతిరేకంగా వందల (2) ',' 3 వ అత్యధిక తొలి వంద (156 *) ',' 15 వ అత్యంత వృద్ధ ఆటగాడు వంద (33y 214d) ',' 14 వ అత్"&amp;"యంత అర్ధ వృత్తి జీవితంలో చేసిన (25) ',' వరుసగా 5 వ యాభైల్లో ఇన్నింగ్స్ (5) ',' ఒక ఇన్నింగ్స్లో పరుగుల 35 వ అత్యధిక శాతం (52.69) ',' 22 వ ఉత్తమ కెరీర్ (అర్హత లేకుండా) సగటు బౌలింగ్ (10.87) ',' 43 వ ఉత్తమ ఇన్నింగ్స్ లో సమ్మె రేటు (9.0) ',' ఒక ఇన్నింగ్స్ లో "&amp;"4 వ అత్యధిక క్యాచ్లు (3) రెండో వికెట్కు (165) కోసం ',' 23 వ అత్యధిక భాగస్వామ్యం ']")</f>
        <v>[ '24 వ కెరీర్ లో అత్యధిక పరుగులు (2630)', '11 వ ఇన్నింగ్స్ (156 *) లో అత్యధిక పరుగులు' 'ఇన్నింగ్స్ లో 4 వ అత్యధిక పరుగులు (ప్రగతిశీల రికార్డు హోల్డర్) (156 *)', '26 ఒక క్యాలెండర్ లో అత్యధిక పరుగులు సంవత్సరం (619) ',' 8 వ ఇన్నింగ్స్ లో అత్యధిక పరుగులు (బ్యాటింగ్ స్థానంలో ప్రకారం) (156 *) ',' 22 వ అత్యధిక కెరీర్ బ్యాటింగ్ సగటు (39.84) ',' 15 వ అత్యధిక వందలు ఒక వృత్తిలో (4) ',' 11 వ అత్యంత ఒక జట్టు వ్యతిరేకంగా వందల (2) ',' 3 వ అత్యధిక తొలి వంద (156 *) ',' 15 వ అత్యంత వృద్ధ ఆటగాడు వంద (33y 214d) ',' 14 వ అత్యంత అర్ధ వృత్తి జీవితంలో చేసిన (25) ',' వరుసగా 5 వ యాభైల్లో ఇన్నింగ్స్ (5) ',' ఒక ఇన్నింగ్స్లో పరుగుల 35 వ అత్యధిక శాతం (52.69) ',' 22 వ ఉత్తమ కెరీర్ (అర్హత లేకుండా) సగటు బౌలింగ్ (10.87) ',' 43 వ ఉత్తమ ఇన్నింగ్స్ లో సమ్మె రేటు (9.0) ',' ఒక ఇన్నింగ్స్ లో 4 వ అత్యధిక క్యాచ్లు (3) రెండో వికెట్కు (165) కోసం ',' 23 వ అత్యధిక భాగస్వామ్యం ']</v>
      </c>
      <c r="G2291" s="2"/>
      <c r="H2291" s="2" t="str">
        <f>IFERROR(__xludf.DUMMYFUNCTION("IF(G2291&lt;&gt;"""", GOOGLETRANSLATE(G2291, ""en"", ""te""),"""")"),"")</f>
        <v/>
      </c>
      <c r="I2291" s="3"/>
    </row>
    <row r="2292" customHeight="1" spans="1:9">
      <c r="A2292" s="2" t="s">
        <v>1585</v>
      </c>
      <c r="B2292" s="2" t="str">
        <f>IFERROR(__xludf.DUMMYFUNCTION("IF(A2292&lt;&gt;"""", GOOGLETRANSLATE(A2292, ""en"", ""te""),"""")"),"[ '7th అత్యంత వృద్ధ ఆటగాడు తొలి తీసుకుని ఐదు-వికెట్ల లో-ఒక-ఇన్నింగ్స్ (30y 51d)', 'ఇన్నింగ్స్ లో 4 వ అత్యధిక క్యాచ్లు (3)', '10 వ ఇన్నింగ్స్ లో అత్యధిక పరుగులు (బ్యాటింగ్ స్థానంలో ప్రకారం) (15 *) ',' 6 వ చెత్త కెరీర్లో ఆర్థిక రేటు (6.73) ']")</f>
        <v>[ '7th అత్యంత వృద్ధ ఆటగాడు తొలి తీసుకుని ఐదు-వికెట్ల లో-ఒక-ఇన్నింగ్స్ (30y 51d)', 'ఇన్నింగ్స్ లో 4 వ అత్యధిక క్యాచ్లు (3)', '10 వ ఇన్నింగ్స్ లో అత్యధిక పరుగులు (బ్యాటింగ్ స్థానంలో ప్రకారం) (15 *) ',' 6 వ చెత్త కెరీర్లో ఆర్థిక రేటు (6.73) ']</v>
      </c>
      <c r="C2292" s="2"/>
      <c r="D2292" s="2" t="str">
        <f>IFERROR(__xludf.DUMMYFUNCTION("IF(C2292&lt;&gt;"""", GOOGLETRANSLATE(C2292, ""en"", ""te""),"""")"),"")</f>
        <v/>
      </c>
      <c r="E2292" s="2" t="s">
        <v>1586</v>
      </c>
      <c r="F2292" s="2" t="str">
        <f>IFERROR(__xludf.DUMMYFUNCTION("IF(E2292&lt;&gt;"""", GOOGLETRANSLATE(E2292, ""en"", ""te""),"""")"),"[ 'అయిదు వికెట్లు-ఇన్-ఒక-ఇన్నింగ్స్ (30y 51d) పడుతుంది 10 వ ఓల్డెస్ట్ ఆటగాడు', 'తొలి తీసుకోవాలని 7 వ ఓల్డెస్ట్ క్రీడాకారుడు ఐదు-వికెట్ల లో-ఒక-ఇన్నింగ్స్ (30y 51d)' లో, '4 వ అత్యధిక క్యాచ్లు ఇన్నింగ్స్ (3) ',' 15 వ వరుస మ్యాచ్లు ప్రదర్శనల మధ్య బృందం (50) త"&amp;"ప్పిన ']")</f>
        <v>[ 'అయిదు వికెట్లు-ఇన్-ఒక-ఇన్నింగ్స్ (30y 51d) పడుతుంది 10 వ ఓల్డెస్ట్ ఆటగాడు', 'తొలి తీసుకోవాలని 7 వ ఓల్డెస్ట్ క్రీడాకారుడు ఐదు-వికెట్ల లో-ఒక-ఇన్నింగ్స్ (30y 51d)' లో, '4 వ అత్యధిక క్యాచ్లు ఇన్నింగ్స్ (3) ',' 15 వ వరుస మ్యాచ్లు ప్రదర్శనల మధ్య బృందం (50) తప్పిన ']</v>
      </c>
      <c r="G2292" s="2" t="s">
        <v>1587</v>
      </c>
      <c r="H2292" s="2" t="str">
        <f>IFERROR(__xludf.DUMMYFUNCTION("IF(G2292&lt;&gt;"""", GOOGLETRANSLATE(G2292, ""en"", ""te""),"""")"),"[ '10 వ ఇన్నింగ్స్ లో అత్యధిక పరుగులు (బ్యాటింగ్ స్థానంలో ప్రకారం) (15 *)', '49 వ కెరీర్ లో అత్యధిక వికెట్లు (45)', 'ఒక క్యాలెండర్ సంవత్సరంలో 22 వ అత్యధిక వికెట్లు (20)', '29th ఉత్తమ కెరీర్ సమ్మె రేటు ( 18.8) ',' 6 వ చెత్త కెరీర్లో ఆర్థిక రేటు (6.73) ',' "&amp;"43 వ కెరీర్ లో సాధించిన అత్యధిక పరుగులు (949) ',' 29 వ అత్యధిక వికెట్లు ఆకర్షించింది తీసుకోకూడదు (32) ',' 27 వ అత్యధిక వికెట్లు ఒక ఫీల్డర్ చేత క్యాచ్ తీసుకున్న (28) ',' రెండవ వికెట్కు 47 వ అత్యధిక భాగస్వామ్యం (86) ']")</f>
        <v>[ '10 వ ఇన్నింగ్స్ లో అత్యధిక పరుగులు (బ్యాటింగ్ స్థానంలో ప్రకారం) (15 *)', '49 వ కెరీర్ లో అత్యధిక వికెట్లు (45)', 'ఒక క్యాలెండర్ సంవత్సరంలో 22 వ అత్యధిక వికెట్లు (20)', '29th ఉత్తమ కెరీర్ సమ్మె రేటు ( 18.8) ',' 6 వ చెత్త కెరీర్లో ఆర్థిక రేటు (6.73) ',' 43 వ కెరీర్ లో సాధించిన అత్యధిక పరుగులు (949) ',' 29 వ అత్యధిక వికెట్లు ఆకర్షించింది తీసుకోకూడదు (32) ',' 27 వ అత్యధిక వికెట్లు ఒక ఫీల్డర్ చేత క్యాచ్ తీసుకున్న (28) ',' రెండవ వికెట్కు 47 వ అత్యధిక భాగస్వామ్యం (86) ']</v>
      </c>
      <c r="I2292" s="3"/>
    </row>
    <row r="2293" customHeight="1" spans="1:9">
      <c r="A2293" s="2"/>
      <c r="B2293" s="2" t="str">
        <f>IFERROR(__xludf.DUMMYFUNCTION("IF(A2293&lt;&gt;"""", GOOGLETRANSLATE(A2293, ""en"", ""te""),"""")"),"")</f>
        <v/>
      </c>
      <c r="C2293" s="2"/>
      <c r="D2293" s="2" t="str">
        <f>IFERROR(__xludf.DUMMYFUNCTION("IF(C2293&lt;&gt;"""", GOOGLETRANSLATE(C2293, ""en"", ""te""),"""")"),"")</f>
        <v/>
      </c>
      <c r="E2293" s="2"/>
      <c r="F2293" s="2" t="str">
        <f>IFERROR(__xludf.DUMMYFUNCTION("IF(E2293&lt;&gt;"""", GOOGLETRANSLATE(E2293, ""en"", ""te""),"""")"),"")</f>
        <v/>
      </c>
      <c r="G2293" s="2"/>
      <c r="H2293" s="2" t="str">
        <f>IFERROR(__xludf.DUMMYFUNCTION("IF(G2293&lt;&gt;"""", GOOGLETRANSLATE(G2293, ""en"", ""te""),"""")"),"")</f>
        <v/>
      </c>
      <c r="I2293" s="3"/>
    </row>
    <row r="2294" customHeight="1" spans="1:9">
      <c r="A2294" s="2" t="s">
        <v>1588</v>
      </c>
      <c r="B2294" s="2" t="str">
        <f>IFERROR(__xludf.DUMMYFUNCTION("IF(A2294&lt;&gt;"""", GOOGLETRANSLATE(A2294, ""en"", ""te""),"""")"),"[ 'ఒక మ్యాచ్లో 5 వ ఉత్తమ గణాంకాలు పరాజయం వైపు (12) ఉన్నప్పుడు', '1st అరంగేట్రంలోనే ఇన్నింగ్స్ లోని బెస్ట్ ఫిగర్స్ (8)', '2nd చాలా మ్యాచ్ (358) లో ఇవ్వబడిన పరుగులలో']")</f>
        <v>[ 'ఒక మ్యాచ్లో 5 వ ఉత్తమ గణాంకాలు పరాజయం వైపు (12) ఉన్నప్పుడు', '1st అరంగేట్రంలోనే ఇన్నింగ్స్ లోని బెస్ట్ ఫిగర్స్ (8)', '2nd చాలా మ్యాచ్ (358) లో ఇవ్వబడిన పరుగులలో']</v>
      </c>
      <c r="C2294" s="2" t="s">
        <v>1589</v>
      </c>
      <c r="D2294" s="2" t="str">
        <f>IFERROR(__xludf.DUMMYFUNCTION("IF(C2294&lt;&gt;"""", GOOGLETRANSLATE(C2294, ""en"", ""te""),"""")"),"[ 'ఒక ఇన్నింగ్స్ లో 5 వ ఉత్తమ సంఖ్యలు ఉన్నప్పుడు పరాజయం వైపు (8)', '5 వ ఉత్తమ ఒక మ్యాచ్లో సంఖ్యలు ఉన్నప్పుడు పరాజయం వైపు (12)', '1 వ ఉత్తమ తొలి ఇన్నింగ్స్లో గణాంకాలు (8)', ' తొలి మ్యాచ్ లో 3 వ ఉత్తమ బొమ్మలు (12) ',' 20 వ ఇన్నింగ్స్ లో సాధించిన అత్యధిక ప"&amp;"రుగులు (215) ',' 2nd చాలా మ్యాచ్లో సాధించిన పరుగులు (358) ']")</f>
        <v>[ 'ఒక ఇన్నింగ్స్ లో 5 వ ఉత్తమ సంఖ్యలు ఉన్నప్పుడు పరాజయం వైపు (8)', '5 వ ఉత్తమ ఒక మ్యాచ్లో సంఖ్యలు ఉన్నప్పుడు పరాజయం వైపు (12)', '1 వ ఉత్తమ తొలి ఇన్నింగ్స్లో గణాంకాలు (8)', ' తొలి మ్యాచ్ లో 3 వ ఉత్తమ బొమ్మలు (12) ',' 20 వ ఇన్నింగ్స్ లో సాధించిన అత్యధిక పరుగులు (215) ',' 2nd చాలా మ్యాచ్లో సాధించిన పరుగులు (358) ']</v>
      </c>
      <c r="E2294" s="2"/>
      <c r="F2294" s="2" t="str">
        <f>IFERROR(__xludf.DUMMYFUNCTION("IF(E2294&lt;&gt;"""", GOOGLETRANSLATE(E2294, ""en"", ""te""),"""")"),"")</f>
        <v/>
      </c>
      <c r="G2294" s="2"/>
      <c r="H2294" s="2" t="str">
        <f>IFERROR(__xludf.DUMMYFUNCTION("IF(G2294&lt;&gt;"""", GOOGLETRANSLATE(G2294, ""en"", ""te""),"""")"),"")</f>
        <v/>
      </c>
      <c r="I2294" s="3"/>
    </row>
    <row r="2295" customHeight="1" spans="1:9">
      <c r="A2295" s="2"/>
      <c r="B2295" s="2" t="str">
        <f>IFERROR(__xludf.DUMMYFUNCTION("IF(A2295&lt;&gt;"""", GOOGLETRANSLATE(A2295, ""en"", ""te""),"""")"),"")</f>
        <v/>
      </c>
      <c r="C2295" s="2"/>
      <c r="D2295" s="2" t="str">
        <f>IFERROR(__xludf.DUMMYFUNCTION("IF(C2295&lt;&gt;"""", GOOGLETRANSLATE(C2295, ""en"", ""te""),"""")"),"")</f>
        <v/>
      </c>
      <c r="E2295" s="2"/>
      <c r="F2295" s="2" t="str">
        <f>IFERROR(__xludf.DUMMYFUNCTION("IF(E2295&lt;&gt;"""", GOOGLETRANSLATE(E2295, ""en"", ""te""),"""")"),"")</f>
        <v/>
      </c>
      <c r="G2295" s="2"/>
      <c r="H2295" s="2" t="str">
        <f>IFERROR(__xludf.DUMMYFUNCTION("IF(G2295&lt;&gt;"""", GOOGLETRANSLATE(G2295, ""en"", ""te""),"""")"),"")</f>
        <v/>
      </c>
      <c r="I2295" s="3"/>
    </row>
    <row r="2296" customHeight="1" spans="1:9">
      <c r="A2296" s="2"/>
      <c r="B2296" s="2" t="str">
        <f>IFERROR(__xludf.DUMMYFUNCTION("IF(A2296&lt;&gt;"""", GOOGLETRANSLATE(A2296, ""en"", ""te""),"""")"),"")</f>
        <v/>
      </c>
      <c r="C2296" s="2"/>
      <c r="D2296" s="2" t="str">
        <f>IFERROR(__xludf.DUMMYFUNCTION("IF(C2296&lt;&gt;"""", GOOGLETRANSLATE(C2296, ""en"", ""te""),"""")"),"")</f>
        <v/>
      </c>
      <c r="E2296" s="2"/>
      <c r="F2296" s="2" t="str">
        <f>IFERROR(__xludf.DUMMYFUNCTION("IF(E2296&lt;&gt;"""", GOOGLETRANSLATE(E2296, ""en"", ""te""),"""")"),"")</f>
        <v/>
      </c>
      <c r="G2296" s="2"/>
      <c r="H2296" s="2" t="str">
        <f>IFERROR(__xludf.DUMMYFUNCTION("IF(G2296&lt;&gt;"""", GOOGLETRANSLATE(G2296, ""en"", ""te""),"""")"),"")</f>
        <v/>
      </c>
      <c r="I2296" s="3"/>
    </row>
    <row r="2297" customHeight="1" spans="1:9">
      <c r="A2297" s="2"/>
      <c r="B2297" s="2" t="str">
        <f>IFERROR(__xludf.DUMMYFUNCTION("IF(A2297&lt;&gt;"""", GOOGLETRANSLATE(A2297, ""en"", ""te""),"""")"),"")</f>
        <v/>
      </c>
      <c r="C2297" s="2"/>
      <c r="D2297" s="2" t="str">
        <f>IFERROR(__xludf.DUMMYFUNCTION("IF(C2297&lt;&gt;"""", GOOGLETRANSLATE(C2297, ""en"", ""te""),"""")"),"")</f>
        <v/>
      </c>
      <c r="E2297" s="2"/>
      <c r="F2297" s="2" t="str">
        <f>IFERROR(__xludf.DUMMYFUNCTION("IF(E2297&lt;&gt;"""", GOOGLETRANSLATE(E2297, ""en"", ""te""),"""")"),"")</f>
        <v/>
      </c>
      <c r="G2297" s="2"/>
      <c r="H2297" s="2" t="str">
        <f>IFERROR(__xludf.DUMMYFUNCTION("IF(G2297&lt;&gt;"""", GOOGLETRANSLATE(G2297, ""en"", ""te""),"""")"),"")</f>
        <v/>
      </c>
      <c r="I2297" s="3"/>
    </row>
    <row r="2298" customHeight="1" spans="1:9">
      <c r="A2298" s="2" t="s">
        <v>1590</v>
      </c>
      <c r="B2298" s="2" t="str">
        <f>IFERROR(__xludf.DUMMYFUNCTION("IF(A2298&lt;&gt;"""", GOOGLETRANSLATE(A2298, ""en"", ""te""),"""")"),"[ 'వరుస మ్యాచ్లలో 9 వ యాభైల్లో (9)', 'ఒక ఇన్నింగ్స్లో ద్వారా బ్యాట్ నిదర్శన (131 *)', 'వరుస మ్యాచ్లలో 3 వ యాభైల్లో (9)']")</f>
        <v>[ 'వరుస మ్యాచ్లలో 9 వ యాభైల్లో (9)', 'ఒక ఇన్నింగ్స్లో ద్వారా బ్యాట్ నిదర్శన (131 *)', 'వరుస మ్యాచ్లలో 3 వ యాభైల్లో (9)']</v>
      </c>
      <c r="C2298" s="2" t="s">
        <v>1591</v>
      </c>
      <c r="D2298" s="2" t="str">
        <f>IFERROR(__xludf.DUMMYFUNCTION("IF(C2298&lt;&gt;"""", GOOGLETRANSLATE(C2298, ""en"", ""te""),"""")"),"[ 'వరుస మ్యాచ్లలో 9 వ యాభైల్లో (9)' 'మొదటి డక్ ముందు 35 వ అత్యంత ఇన్నింగ్స్ (35)', '48 వ 4000 పరుగులు వేగంగా (93)', 'ఏడవ వికెట్ (212) కోసం 16 అత్యధిక భాగస్వామ్యం']")</f>
        <v>[ 'వరుస మ్యాచ్లలో 9 వ యాభైల్లో (9)' 'మొదటి డక్ ముందు 35 వ అత్యంత ఇన్నింగ్స్ (35)', '48 వ 4000 పరుగులు వేగంగా (93)', 'ఏడవ వికెట్ (212) కోసం 16 అత్యధిక భాగస్వామ్యం']</v>
      </c>
      <c r="E2298" s="2"/>
      <c r="F2298" s="2" t="str">
        <f>IFERROR(__xludf.DUMMYFUNCTION("IF(E2298&lt;&gt;"""", GOOGLETRANSLATE(E2298, ""en"", ""te""),"""")"),"")</f>
        <v/>
      </c>
      <c r="G2298" s="2"/>
      <c r="H2298" s="2" t="str">
        <f>IFERROR(__xludf.DUMMYFUNCTION("IF(G2298&lt;&gt;"""", GOOGLETRANSLATE(G2298, ""en"", ""te""),"""")"),"")</f>
        <v/>
      </c>
      <c r="I2298" s="3"/>
    </row>
    <row r="2299" customHeight="1" spans="1:9">
      <c r="A2299" s="2"/>
      <c r="B2299" s="2" t="str">
        <f>IFERROR(__xludf.DUMMYFUNCTION("IF(A2299&lt;&gt;"""", GOOGLETRANSLATE(A2299, ""en"", ""te""),"""")"),"")</f>
        <v/>
      </c>
      <c r="C2299" s="2"/>
      <c r="D2299" s="2" t="str">
        <f>IFERROR(__xludf.DUMMYFUNCTION("IF(C2299&lt;&gt;"""", GOOGLETRANSLATE(C2299, ""en"", ""te""),"""")"),"")</f>
        <v/>
      </c>
      <c r="E2299" s="2"/>
      <c r="F2299" s="2" t="str">
        <f>IFERROR(__xludf.DUMMYFUNCTION("IF(E2299&lt;&gt;"""", GOOGLETRANSLATE(E2299, ""en"", ""te""),"""")"),"")</f>
        <v/>
      </c>
      <c r="G2299" s="2"/>
      <c r="H2299" s="2" t="str">
        <f>IFERROR(__xludf.DUMMYFUNCTION("IF(G2299&lt;&gt;"""", GOOGLETRANSLATE(G2299, ""en"", ""te""),"""")"),"")</f>
        <v/>
      </c>
      <c r="I2299" s="3"/>
    </row>
    <row r="2300" customHeight="1" spans="1:9">
      <c r="A2300" s="2"/>
      <c r="B2300" s="2" t="str">
        <f>IFERROR(__xludf.DUMMYFUNCTION("IF(A2300&lt;&gt;"""", GOOGLETRANSLATE(A2300, ""en"", ""te""),"""")"),"")</f>
        <v/>
      </c>
      <c r="C2300" s="2"/>
      <c r="D2300" s="2" t="str">
        <f>IFERROR(__xludf.DUMMYFUNCTION("IF(C2300&lt;&gt;"""", GOOGLETRANSLATE(C2300, ""en"", ""te""),"""")"),"")</f>
        <v/>
      </c>
      <c r="E2300" s="2"/>
      <c r="F2300" s="2" t="str">
        <f>IFERROR(__xludf.DUMMYFUNCTION("IF(E2300&lt;&gt;"""", GOOGLETRANSLATE(E2300, ""en"", ""te""),"""")"),"")</f>
        <v/>
      </c>
      <c r="G2300" s="2"/>
      <c r="H2300" s="2" t="str">
        <f>IFERROR(__xludf.DUMMYFUNCTION("IF(G2300&lt;&gt;"""", GOOGLETRANSLATE(G2300, ""en"", ""te""),"""")"),"")</f>
        <v/>
      </c>
      <c r="I2300" s="3"/>
    </row>
    <row r="2301" customHeight="1" spans="1:9">
      <c r="A2301" s="2"/>
      <c r="B2301" s="2" t="str">
        <f>IFERROR(__xludf.DUMMYFUNCTION("IF(A2301&lt;&gt;"""", GOOGLETRANSLATE(A2301, ""en"", ""te""),"""")"),"")</f>
        <v/>
      </c>
      <c r="C2301" s="2"/>
      <c r="D2301" s="2" t="str">
        <f>IFERROR(__xludf.DUMMYFUNCTION("IF(C2301&lt;&gt;"""", GOOGLETRANSLATE(C2301, ""en"", ""te""),"""")"),"")</f>
        <v/>
      </c>
      <c r="E2301" s="2"/>
      <c r="F2301" s="2" t="str">
        <f>IFERROR(__xludf.DUMMYFUNCTION("IF(E2301&lt;&gt;"""", GOOGLETRANSLATE(E2301, ""en"", ""te""),"""")"),"")</f>
        <v/>
      </c>
      <c r="G2301" s="2"/>
      <c r="H2301" s="2" t="str">
        <f>IFERROR(__xludf.DUMMYFUNCTION("IF(G2301&lt;&gt;"""", GOOGLETRANSLATE(G2301, ""en"", ""te""),"""")"),"")</f>
        <v/>
      </c>
      <c r="I2301" s="3"/>
    </row>
    <row r="2302" customHeight="1" spans="1:9">
      <c r="A2302" s="2" t="s">
        <v>1219</v>
      </c>
      <c r="B2302" s="2" t="str">
        <f>IFERROR(__xludf.DUMMYFUNCTION("IF(A2302&lt;&gt;"""", GOOGLETRANSLATE(A2302, ""en"", ""te""),"""")"),"[ 'ఇన్నింగ్స్ లో 4 వ అత్యంత స్టంపింగ్లు (3)']")</f>
        <v>[ 'ఇన్నింగ్స్ లో 4 వ అత్యంత స్టంపింగ్లు (3)']</v>
      </c>
      <c r="C2302" s="2" t="s">
        <v>1592</v>
      </c>
      <c r="D2302" s="2" t="str">
        <f>IFERROR(__xludf.DUMMYFUNCTION("IF(C2302&lt;&gt;"""", GOOGLETRANSLATE(C2302, ""en"", ""te""),"""")"),"[ '26 ఒక మ్యాచ్లో అత్యధిక క్యాచ్లు (8)', '19 వ కెరీర్ స్టంపింగ్లు (20)', '4 వ ఇన్నింగ్స్ లో వచ్చిన ఎక్కువ స్టంపింగ్లు (3)', '12 వ' 35 వ మ్యాచ్లో (8) లో అత్యధిక వికెట్లు ' ఒక మ్యాచ్ (3) ',' 43 వ అత్యధిక ఇన్నింగ్స్ బై (551) గూడా ఇవ్వకుండా మొత్తంగా చాలా స్ట"&amp;"ంపింగ్లు ']")</f>
        <v>[ '26 ఒక మ్యాచ్లో అత్యధిక క్యాచ్లు (8)', '19 వ కెరీర్ స్టంపింగ్లు (20)', '4 వ ఇన్నింగ్స్ లో వచ్చిన ఎక్కువ స్టంపింగ్లు (3)', '12 వ' 35 వ మ్యాచ్లో (8) లో అత్యధిక వికెట్లు ' ఒక మ్యాచ్ (3) ',' 43 వ అత్యధిక ఇన్నింగ్స్ బై (551) గూడా ఇవ్వకుండా మొత్తంగా చాలా స్టంపింగ్లు ']</v>
      </c>
      <c r="E2302" s="2"/>
      <c r="F2302" s="2" t="str">
        <f>IFERROR(__xludf.DUMMYFUNCTION("IF(E2302&lt;&gt;"""", GOOGLETRANSLATE(E2302, ""en"", ""te""),"""")"),"")</f>
        <v/>
      </c>
      <c r="G2302" s="2"/>
      <c r="H2302" s="2" t="str">
        <f>IFERROR(__xludf.DUMMYFUNCTION("IF(G2302&lt;&gt;"""", GOOGLETRANSLATE(G2302, ""en"", ""te""),"""")"),"")</f>
        <v/>
      </c>
      <c r="I2302" s="3"/>
    </row>
    <row r="2303" customHeight="1" spans="1:9">
      <c r="A2303" s="2"/>
      <c r="B2303" s="2" t="str">
        <f>IFERROR(__xludf.DUMMYFUNCTION("IF(A2303&lt;&gt;"""", GOOGLETRANSLATE(A2303, ""en"", ""te""),"""")"),"")</f>
        <v/>
      </c>
      <c r="C2303" s="2"/>
      <c r="D2303" s="2" t="str">
        <f>IFERROR(__xludf.DUMMYFUNCTION("IF(C2303&lt;&gt;"""", GOOGLETRANSLATE(C2303, ""en"", ""te""),"""")"),"")</f>
        <v/>
      </c>
      <c r="E2303" s="2"/>
      <c r="F2303" s="2" t="str">
        <f>IFERROR(__xludf.DUMMYFUNCTION("IF(E2303&lt;&gt;"""", GOOGLETRANSLATE(E2303, ""en"", ""te""),"""")"),"")</f>
        <v/>
      </c>
      <c r="G2303" s="2"/>
      <c r="H2303" s="2" t="str">
        <f>IFERROR(__xludf.DUMMYFUNCTION("IF(G2303&lt;&gt;"""", GOOGLETRANSLATE(G2303, ""en"", ""te""),"""")"),"")</f>
        <v/>
      </c>
      <c r="I2303" s="3"/>
    </row>
    <row r="2304" customHeight="1" spans="1:9">
      <c r="A2304" s="2"/>
      <c r="B2304" s="2" t="str">
        <f>IFERROR(__xludf.DUMMYFUNCTION("IF(A2304&lt;&gt;"""", GOOGLETRANSLATE(A2304, ""en"", ""te""),"""")"),"")</f>
        <v/>
      </c>
      <c r="C2304" s="2" t="s">
        <v>1593</v>
      </c>
      <c r="D2304" s="2" t="str">
        <f>IFERROR(__xludf.DUMMYFUNCTION("IF(C2304&lt;&gt;"""", GOOGLETRANSLATE(C2304, ""en"", ""te""),"""")"),"[ '28 ఉత్తమ కెరీర్ ఆర్థిక రేటు (1.96)']")</f>
        <v>[ '28 ఉత్తమ కెరీర్ ఆర్థిక రేటు (1.96)']</v>
      </c>
      <c r="E2304" s="2"/>
      <c r="F2304" s="2" t="str">
        <f>IFERROR(__xludf.DUMMYFUNCTION("IF(E2304&lt;&gt;"""", GOOGLETRANSLATE(E2304, ""en"", ""te""),"""")"),"")</f>
        <v/>
      </c>
      <c r="G2304" s="2"/>
      <c r="H2304" s="2" t="str">
        <f>IFERROR(__xludf.DUMMYFUNCTION("IF(G2304&lt;&gt;"""", GOOGLETRANSLATE(G2304, ""en"", ""te""),"""")"),"")</f>
        <v/>
      </c>
      <c r="I2304" s="3"/>
    </row>
    <row r="2305" customHeight="1" spans="1:9">
      <c r="A2305" s="2"/>
      <c r="B2305" s="2" t="str">
        <f>IFERROR(__xludf.DUMMYFUNCTION("IF(A2305&lt;&gt;"""", GOOGLETRANSLATE(A2305, ""en"", ""te""),"""")"),"")</f>
        <v/>
      </c>
      <c r="C2305" s="2"/>
      <c r="D2305" s="2" t="str">
        <f>IFERROR(__xludf.DUMMYFUNCTION("IF(C2305&lt;&gt;"""", GOOGLETRANSLATE(C2305, ""en"", ""te""),"""")"),"")</f>
        <v/>
      </c>
      <c r="E2305" s="2"/>
      <c r="F2305" s="2" t="str">
        <f>IFERROR(__xludf.DUMMYFUNCTION("IF(E2305&lt;&gt;"""", GOOGLETRANSLATE(E2305, ""en"", ""te""),"""")"),"")</f>
        <v/>
      </c>
      <c r="G2305" s="2"/>
      <c r="H2305" s="2" t="str">
        <f>IFERROR(__xludf.DUMMYFUNCTION("IF(G2305&lt;&gt;"""", GOOGLETRANSLATE(G2305, ""en"", ""te""),"""")"),"")</f>
        <v/>
      </c>
      <c r="I2305" s="3"/>
    </row>
    <row r="2306" customHeight="1" spans="1:9">
      <c r="A2306" s="2" t="s">
        <v>1594</v>
      </c>
      <c r="B2306" s="2" t="str">
        <f>IFERROR(__xludf.DUMMYFUNCTION("IF(A2306&lt;&gt;"""", GOOGLETRANSLATE(A2306, ""en"", ""te""),"""")"),"[ 'ఇన్నింగ్స్ లో 5 వ అత్యధిక పరుగులు (బ్యాటింగ్ స్థానంలో ప్రకారం) (82)', '8 వ సగటు (16.28) బౌలింగ్ ఉత్తమ జీవితం' 'ఆకర్షించింది తీసుకున్న 10 వ అత్యధిక వికెట్లు వికెట్లు (6)', '9 వ ఉత్తమ ఇన్నింగ్స్ లో సంఖ్యలు ఒక కెప్టెన్తో (4) ']")</f>
        <v>[ 'ఇన్నింగ్స్ లో 5 వ అత్యధిక పరుగులు (బ్యాటింగ్ స్థానంలో ప్రకారం) (82)', '8 వ సగటు (16.28) బౌలింగ్ ఉత్తమ జీవితం' 'ఆకర్షించింది తీసుకున్న 10 వ అత్యధిక వికెట్లు వికెట్లు (6)', '9 వ ఉత్తమ ఇన్నింగ్స్ లో సంఖ్యలు ఒక కెప్టెన్తో (4) ']</v>
      </c>
      <c r="C2306" s="2" t="s">
        <v>1595</v>
      </c>
      <c r="D2306" s="2" t="str">
        <f>IFERROR(__xludf.DUMMYFUNCTION("IF(C2306&lt;&gt;"""", GOOGLETRANSLATE(C2306, ""en"", ""te""),"""")"),"[18 వ కెరీర్ లో అత్యధిక వికెట్లు (35) '' ఒక మ్యాచ్లో 26 బెస్ట్ ఫిగర్స్ (8) '' ఇన్నింగ్స్ లో 5 వ అత్యధిక పరుగులు (బ్యాటింగ్ స్థానంలో ప్రకారం) (82) ',' 18 వ ఒక సిరీస్లో అత్యధిక వికెట్లు (16 ) ',' 19 ఒక క్యాలెండర్ సంవత్సరంలో అత్యధిక వికెట్లు (16) ',' 8 వ సగట"&amp;"ు (16.28) ',' 13 వ ఉత్తమ కెరీర్ ఎకానమీ రేట్ బౌలింగ్ ఉత్తమ కెరీర్ (1.50) ', '21 వ ఉత్తమ కెరీర్ సమ్మె రేటు (64.9)', ' 11 వ అత్యంత ఐదు-వికెట్ల లో-ఒక-ఇన్నింగ్స్ కెరీర్లో (2) ',' 19 వ కెరీర్ లో బౌల్డ్ చాలా బంతుల్లో (2274) ',' 44 వ మ్యాచ్ లో బౌల్డ్ చాలా బంతుల్ల"&amp;"ో (368) ',' 12 వ బౌలర్ / బ్యాట్స్ కాంబినేషన్ (4) ',' 15 వ అత్యధిక వికెట్లు తీసుకున్న ఆకర్షించింది (18) ',' 10 వ అత్యంత ఆకర్షించింది తీసుకోబడిన వికెట్ల అత్యధిక వికెట్లు (6) ',' కెప్టెన్సీ ప్రవేశం (34y 17d) న 12 వ ఓల్డెస్ట్ కెప్టెన్లు ']")</f>
        <v>[18 వ కెరీర్ లో అత్యధిక వికెట్లు (35) '' ఒక మ్యాచ్లో 26 బెస్ట్ ఫిగర్స్ (8) '' ఇన్నింగ్స్ లో 5 వ అత్యధిక పరుగులు (బ్యాటింగ్ స్థానంలో ప్రకారం) (82) ',' 18 వ ఒక సిరీస్లో అత్యధిక వికెట్లు (16 ) ',' 19 ఒక క్యాలెండర్ సంవత్సరంలో అత్యధిక వికెట్లు (16) ',' 8 వ సగటు (16.28) ',' 13 వ ఉత్తమ కెరీర్ ఎకానమీ రేట్ బౌలింగ్ ఉత్తమ కెరీర్ (1.50) ', '21 వ ఉత్తమ కెరీర్ సమ్మె రేటు (64.9)', ' 11 వ అత్యంత ఐదు-వికెట్ల లో-ఒక-ఇన్నింగ్స్ కెరీర్లో (2) ',' 19 వ కెరీర్ లో బౌల్డ్ చాలా బంతుల్లో (2274) ',' 44 వ మ్యాచ్ లో బౌల్డ్ చాలా బంతుల్లో (368) ',' 12 వ బౌలర్ / బ్యాట్స్ కాంబినేషన్ (4) ',' 15 వ అత్యధిక వికెట్లు తీసుకున్న ఆకర్షించింది (18) ',' 10 వ అత్యంత ఆకర్షించింది తీసుకోబడిన వికెట్ల అత్యధిక వికెట్లు (6) ',' కెప్టెన్సీ ప్రవేశం (34y 17d) న 12 వ ఓల్డెస్ట్ కెప్టెన్లు ']</v>
      </c>
      <c r="E2306" s="2" t="s">
        <v>1596</v>
      </c>
      <c r="F2306" s="2" t="str">
        <f>IFERROR(__xludf.DUMMYFUNCTION("IF(E2306&lt;&gt;"""", GOOGLETRANSLATE(E2306, ""en"", ""te""),"""")"),"[ 'ఒక కెప్టెన్తో ఒక ఇన్నింగ్స్ లో 9 వ బెస్ట్ ఫిగర్స్ (4)', 'తొలి 18 వ ఓల్డెస్ట్ క్రీడాకారులు (35y 155d)', '19 వ ఓల్డెస్ట్ కాప్టెన్ (35y 190d)', 'కెప్టెన్సీ తొలి 12 వ ఓల్డెస్ట్ కాప్టెన్ (35y 155d)' ]")</f>
        <v>[ 'ఒక కెప్టెన్తో ఒక ఇన్నింగ్స్ లో 9 వ బెస్ట్ ఫిగర్స్ (4)', 'తొలి 18 వ ఓల్డెస్ట్ క్రీడాకారులు (35y 155d)', '19 వ ఓల్డెస్ట్ కాప్టెన్ (35y 190d)', 'కెప్టెన్సీ తొలి 12 వ ఓల్డెస్ట్ కాప్టెన్ (35y 155d)' ]</v>
      </c>
      <c r="G2306" s="2"/>
      <c r="H2306" s="2" t="str">
        <f>IFERROR(__xludf.DUMMYFUNCTION("IF(G2306&lt;&gt;"""", GOOGLETRANSLATE(G2306, ""en"", ""te""),"""")"),"")</f>
        <v/>
      </c>
      <c r="I2306" s="3"/>
    </row>
    <row r="2307" customHeight="1" spans="1:9">
      <c r="A2307" s="2" t="s">
        <v>9</v>
      </c>
      <c r="B2307" s="2" t="str">
        <f>IFERROR(__xludf.DUMMYFUNCTION("IF(A2307&lt;&gt;"""", GOOGLETRANSLATE(A2307, ""en"", ""te""),"""")"),"[ 'హండ్రెడ్ మరియు ఒక మ్యాచ్లో ఒక డక్']")</f>
        <v>[ 'హండ్రెడ్ మరియు ఒక మ్యాచ్లో ఒక డక్']</v>
      </c>
      <c r="C2307" s="2" t="s">
        <v>1597</v>
      </c>
      <c r="D2307" s="2" t="str">
        <f>IFERROR(__xludf.DUMMYFUNCTION("IF(C2307&lt;&gt;"""", GOOGLETRANSLATE(C2307, ""en"", ""te""),"""")"),"[ 'వరుస మ్యాచ్లలో 21 వందల (3)']")</f>
        <v>[ 'వరుస మ్యాచ్లలో 21 వందల (3)']</v>
      </c>
      <c r="E2307" s="2" t="s">
        <v>1598</v>
      </c>
      <c r="F2307" s="2" t="str">
        <f>IFERROR(__xludf.DUMMYFUNCTION("IF(E2307&lt;&gt;"""", GOOGLETRANSLATE(E2307, ""en"", ""te""),"""")"),"[ '48 వ అత్యధిక కెరీర్ బ్యాటింగ్ సగటు (42.00)', '37 వ అత్యంత వృద్ధ ఆటగాడు తొలి వంద (32y 80D) స్కోర్', 'తొలి వికెట్కు (209) కోసం 32 వ అత్యధిక భాగస్వామ్యం' '1000 పరుగులు (27) కు 27 వేగవంతమైన', , 'మూడో వికెట్ (192) కోసం 38 వ అత్యధిక భాగస్వామ్యం']")</f>
        <v>[ '48 వ అత్యధిక కెరీర్ బ్యాటింగ్ సగటు (42.00)', '37 వ అత్యంత వృద్ధ ఆటగాడు తొలి వంద (32y 80D) స్కోర్', 'తొలి వికెట్కు (209) కోసం 32 వ అత్యధిక భాగస్వామ్యం' '1000 పరుగులు (27) కు 27 వేగవంతమైన', , 'మూడో వికెట్ (192) కోసం 38 వ అత్యధిక భాగస్వామ్యం']</v>
      </c>
      <c r="G2307" s="2"/>
      <c r="H2307" s="2" t="str">
        <f>IFERROR(__xludf.DUMMYFUNCTION("IF(G2307&lt;&gt;"""", GOOGLETRANSLATE(G2307, ""en"", ""te""),"""")"),"")</f>
        <v/>
      </c>
      <c r="I2307" s="3"/>
    </row>
    <row r="2308" customHeight="1" spans="1:9">
      <c r="A2308" s="2" t="s">
        <v>1599</v>
      </c>
      <c r="B2308" s="2" t="str">
        <f>IFERROR(__xludf.DUMMYFUNCTION("IF(A2308&lt;&gt;"""", GOOGLETRANSLATE(A2308, ""en"", ""te""),"""")"),"[ 'ఇన్నింగ్స్ లో 8 వ అత్యధిక పరుగులు (బ్యాటింగ్ స్థానంలో ప్రకారం) (123)', '8 వ అత్యంత వృద్ధ ఆటగాడు తొలి వంద (30y 296d) స్కోర్']")</f>
        <v>[ 'ఇన్నింగ్స్ లో 8 వ అత్యధిక పరుగులు (బ్యాటింగ్ స్థానంలో ప్రకారం) (123)', '8 వ అత్యంత వృద్ధ ఆటగాడు తొలి వంద (30y 296d) స్కోర్']</v>
      </c>
      <c r="C2308" s="2" t="s">
        <v>1600</v>
      </c>
      <c r="D2308" s="2" t="str">
        <f>IFERROR(__xludf.DUMMYFUNCTION("IF(C2308&lt;&gt;"""", GOOGLETRANSLATE(C2308, ""en"", ""te""),"""")"),"[ '43 వ ఇన్నింగ్స్ లో అత్యధిక పరుగులు (123)', '42 వ ఒక సిరీస్లో అత్యధిక పరుగులు (260)', '17 వ ఒక క్యాలెండర్ సంవత్సరంలో అత్యధిక పరుగులు (329)', '8 వ ఇన్నింగ్స్ లో అత్యధిక పరుగులు (బ్యాటింగ్ స్థానంలో ద్వారా) (123) ',' 27 వ అత్యధిక తొలి వంద (123) ',' 18 వ అత"&amp;"్యంత వృద్ధ ఆటగాడు వంద (30y 296d) కన్య వందల (30y 296d) స్కోర్ సాధించిన ',' 8 వ అత్యంత వృద్ధ ఆటగాడు ']")</f>
        <v>[ '43 వ ఇన్నింగ్స్ లో అత్యధిక పరుగులు (123)', '42 వ ఒక సిరీస్లో అత్యధిక పరుగులు (260)', '17 వ ఒక క్యాలెండర్ సంవత్సరంలో అత్యధిక పరుగులు (329)', '8 వ ఇన్నింగ్స్ లో అత్యధిక పరుగులు (బ్యాటింగ్ స్థానంలో ద్వారా) (123) ',' 27 వ అత్యధిక తొలి వంద (123) ',' 18 వ అత్యంత వృద్ధ ఆటగాడు వంద (30y 296d) కన్య వందల (30y 296d) స్కోర్ సాధించిన ',' 8 వ అత్యంత వృద్ధ ఆటగాడు ']</v>
      </c>
      <c r="E2308" s="2"/>
      <c r="F2308" s="2" t="str">
        <f>IFERROR(__xludf.DUMMYFUNCTION("IF(E2308&lt;&gt;"""", GOOGLETRANSLATE(E2308, ""en"", ""te""),"""")"),"")</f>
        <v/>
      </c>
      <c r="G2308" s="2"/>
      <c r="H2308" s="2" t="str">
        <f>IFERROR(__xludf.DUMMYFUNCTION("IF(G2308&lt;&gt;"""", GOOGLETRANSLATE(G2308, ""en"", ""te""),"""")"),"")</f>
        <v/>
      </c>
      <c r="I2308" s="3"/>
    </row>
    <row r="2309" customHeight="1" spans="1:9">
      <c r="A2309" s="2"/>
      <c r="B2309" s="2" t="str">
        <f>IFERROR(__xludf.DUMMYFUNCTION("IF(A2309&lt;&gt;"""", GOOGLETRANSLATE(A2309, ""en"", ""te""),"""")"),"")</f>
        <v/>
      </c>
      <c r="C2309" s="2" t="s">
        <v>1601</v>
      </c>
      <c r="D2309" s="2" t="str">
        <f>IFERROR(__xludf.DUMMYFUNCTION("IF(C2309&lt;&gt;"""", GOOGLETRANSLATE(C2309, ""en"", ""te""),"""")"),"[ 'తొలి 39 వ ఓల్డెస్ట్ క్రీడాకారులు (37y 184d)']")</f>
        <v>[ 'తొలి 39 వ ఓల్డెస్ట్ క్రీడాకారులు (37y 184d)']</v>
      </c>
      <c r="E2309" s="2"/>
      <c r="F2309" s="2" t="str">
        <f>IFERROR(__xludf.DUMMYFUNCTION("IF(E2309&lt;&gt;"""", GOOGLETRANSLATE(E2309, ""en"", ""te""),"""")"),"")</f>
        <v/>
      </c>
      <c r="G2309" s="2"/>
      <c r="H2309" s="2" t="str">
        <f>IFERROR(__xludf.DUMMYFUNCTION("IF(G2309&lt;&gt;"""", GOOGLETRANSLATE(G2309, ""en"", ""te""),"""")"),"")</f>
        <v/>
      </c>
      <c r="I2309" s="3"/>
    </row>
    <row r="2310" customHeight="1" spans="1:9">
      <c r="A2310" s="2" t="s">
        <v>1602</v>
      </c>
      <c r="B2310" s="2" t="str">
        <f>IFERROR(__xludf.DUMMYFUNCTION("IF(A2310&lt;&gt;"""", GOOGLETRANSLATE(A2310, ""en"", ""te""),"""")"),"[ '6 వ అత్యుత్తమ ఇన్నింగ్స్ లో విశ్లేషణలు బౌలింగ్ (4/7)', 'వరుస ఇన్నింగ్స్లో 6 వ వందల (3)']")</f>
        <v>[ '6 వ అత్యుత్తమ ఇన్నింగ్స్ లో విశ్లేషణలు బౌలింగ్ (4/7)', 'వరుస ఇన్నింగ్స్లో 6 వ వందల (3)']</v>
      </c>
      <c r="C2310" s="2" t="s">
        <v>1603</v>
      </c>
      <c r="D2310" s="2" t="str">
        <f>IFERROR(__xludf.DUMMYFUNCTION("IF(C2310&lt;&gt;"""", GOOGLETRANSLATE(C2310, ""en"", ""te""),"""")"),"[ 'నాలుగో వికెట్కు (250) కోసం 46 వ అత్యధిక భాగస్వామ్యం']")</f>
        <v>[ 'నాలుగో వికెట్కు (250) కోసం 46 వ అత్యధిక భాగస్వామ్యం']</v>
      </c>
      <c r="E2310" s="2" t="s">
        <v>1604</v>
      </c>
      <c r="F2310" s="2" t="str">
        <f>IFERROR(__xludf.DUMMYFUNCTION("IF(E2310&lt;&gt;"""", GOOGLETRANSLATE(E2310, ""en"", ""te""),"""")"),"[ 'మొదటి డక్ ముందు 19 మోస్ట్ ఇన్నింగ్స్ (43)', 'ఇన్నింగ్స్ లో 6 వ అత్యుత్తమ బౌలింగ్ విశ్లేషణలు (4/7)', 'ఇన్నింగ్స్ లో 35 వ ఉత్తమ సమ్మె రేటు (6.7)' ఐదవ వికెట్కు, '16 వ అత్యధిక భాగస్వామ్యం ( 172 *) ',' ఎనిమిదవ వికెట్కు 19 అత్యధిక భాగస్వామ్యం (88 *) ']")</f>
        <v>[ 'మొదటి డక్ ముందు 19 మోస్ట్ ఇన్నింగ్స్ (43)', 'ఇన్నింగ్స్ లో 6 వ అత్యుత్తమ బౌలింగ్ విశ్లేషణలు (4/7)', 'ఇన్నింగ్స్ లో 35 వ ఉత్తమ సమ్మె రేటు (6.7)' ఐదవ వికెట్కు, '16 వ అత్యధిక భాగస్వామ్యం ( 172 *) ',' ఎనిమిదవ వికెట్కు 19 అత్యధిక భాగస్వామ్యం (88 *) ']</v>
      </c>
      <c r="G2310" s="2"/>
      <c r="H2310" s="2" t="str">
        <f>IFERROR(__xludf.DUMMYFUNCTION("IF(G2310&lt;&gt;"""", GOOGLETRANSLATE(G2310, ""en"", ""te""),"""")"),"")</f>
        <v/>
      </c>
      <c r="I2310" s="3"/>
    </row>
    <row r="2311" customHeight="1" spans="1:9">
      <c r="A2311" s="2"/>
      <c r="B2311" s="2" t="str">
        <f>IFERROR(__xludf.DUMMYFUNCTION("IF(A2311&lt;&gt;"""", GOOGLETRANSLATE(A2311, ""en"", ""te""),"""")"),"")</f>
        <v/>
      </c>
      <c r="C2311" s="2"/>
      <c r="D2311" s="2" t="str">
        <f>IFERROR(__xludf.DUMMYFUNCTION("IF(C2311&lt;&gt;"""", GOOGLETRANSLATE(C2311, ""en"", ""te""),"""")"),"")</f>
        <v/>
      </c>
      <c r="E2311" s="2"/>
      <c r="F2311" s="2" t="str">
        <f>IFERROR(__xludf.DUMMYFUNCTION("IF(E2311&lt;&gt;"""", GOOGLETRANSLATE(E2311, ""en"", ""te""),"""")"),"")</f>
        <v/>
      </c>
      <c r="G2311" s="2"/>
      <c r="H2311" s="2" t="str">
        <f>IFERROR(__xludf.DUMMYFUNCTION("IF(G2311&lt;&gt;"""", GOOGLETRANSLATE(G2311, ""en"", ""te""),"""")"),"")</f>
        <v/>
      </c>
      <c r="I2311" s="3"/>
    </row>
    <row r="2312" customHeight="1" spans="1:9">
      <c r="A2312" s="2"/>
      <c r="B2312" s="2" t="str">
        <f>IFERROR(__xludf.DUMMYFUNCTION("IF(A2312&lt;&gt;"""", GOOGLETRANSLATE(A2312, ""en"", ""te""),"""")"),"")</f>
        <v/>
      </c>
      <c r="C2312" s="2"/>
      <c r="D2312" s="2" t="str">
        <f>IFERROR(__xludf.DUMMYFUNCTION("IF(C2312&lt;&gt;"""", GOOGLETRANSLATE(C2312, ""en"", ""te""),"""")"),"")</f>
        <v/>
      </c>
      <c r="E2312" s="2"/>
      <c r="F2312" s="2" t="str">
        <f>IFERROR(__xludf.DUMMYFUNCTION("IF(E2312&lt;&gt;"""", GOOGLETRANSLATE(E2312, ""en"", ""te""),"""")"),"")</f>
        <v/>
      </c>
      <c r="G2312" s="2"/>
      <c r="H2312" s="2" t="str">
        <f>IFERROR(__xludf.DUMMYFUNCTION("IF(G2312&lt;&gt;"""", GOOGLETRANSLATE(G2312, ""en"", ""te""),"""")"),"")</f>
        <v/>
      </c>
      <c r="I2312" s="3"/>
    </row>
    <row r="2313" customHeight="1" spans="1:9">
      <c r="A2313" s="2"/>
      <c r="B2313" s="2" t="str">
        <f>IFERROR(__xludf.DUMMYFUNCTION("IF(A2313&lt;&gt;"""", GOOGLETRANSLATE(A2313, ""en"", ""te""),"""")"),"")</f>
        <v/>
      </c>
      <c r="C2313" s="2"/>
      <c r="D2313" s="2" t="str">
        <f>IFERROR(__xludf.DUMMYFUNCTION("IF(C2313&lt;&gt;"""", GOOGLETRANSLATE(C2313, ""en"", ""te""),"""")"),"")</f>
        <v/>
      </c>
      <c r="E2313" s="2"/>
      <c r="F2313" s="2" t="str">
        <f>IFERROR(__xludf.DUMMYFUNCTION("IF(E2313&lt;&gt;"""", GOOGLETRANSLATE(E2313, ""en"", ""te""),"""")"),"")</f>
        <v/>
      </c>
      <c r="G2313" s="2"/>
      <c r="H2313" s="2" t="str">
        <f>IFERROR(__xludf.DUMMYFUNCTION("IF(G2313&lt;&gt;"""", GOOGLETRANSLATE(G2313, ""en"", ""te""),"""")"),"")</f>
        <v/>
      </c>
      <c r="I2313" s="3"/>
    </row>
    <row r="2314" customHeight="1" spans="1:9">
      <c r="A2314" s="2"/>
      <c r="B2314" s="2" t="str">
        <f>IFERROR(__xludf.DUMMYFUNCTION("IF(A2314&lt;&gt;"""", GOOGLETRANSLATE(A2314, ""en"", ""te""),"""")"),"")</f>
        <v/>
      </c>
      <c r="C2314" s="2"/>
      <c r="D2314" s="2" t="str">
        <f>IFERROR(__xludf.DUMMYFUNCTION("IF(C2314&lt;&gt;"""", GOOGLETRANSLATE(C2314, ""en"", ""te""),"""")"),"")</f>
        <v/>
      </c>
      <c r="E2314" s="2"/>
      <c r="F2314" s="2" t="str">
        <f>IFERROR(__xludf.DUMMYFUNCTION("IF(E2314&lt;&gt;"""", GOOGLETRANSLATE(E2314, ""en"", ""te""),"""")"),"")</f>
        <v/>
      </c>
      <c r="G2314" s="2"/>
      <c r="H2314" s="2" t="str">
        <f>IFERROR(__xludf.DUMMYFUNCTION("IF(G2314&lt;&gt;"""", GOOGLETRANSLATE(G2314, ""en"", ""te""),"""")"),"")</f>
        <v/>
      </c>
      <c r="I2314" s="3"/>
    </row>
    <row r="2315" customHeight="1" spans="1:9">
      <c r="A2315" s="2" t="s">
        <v>1605</v>
      </c>
      <c r="B2315" s="2" t="str">
        <f>IFERROR(__xludf.DUMMYFUNCTION("IF(A2315&lt;&gt;"""", GOOGLETRANSLATE(A2315, ""en"", ""te""),"""")"),"[ 'బ్యాట్ ఒక ఇన్నింగ్స్లో ద్వారా (60 *) వాహక', '5 వ అత్యధిక భాగస్వామ్యం తొలి వికెట్కు (382)', '7 వ పురాతన దేశం ఆటగాళ్ళు (84y 110d)']")</f>
        <v>[ 'బ్యాట్ ఒక ఇన్నింగ్స్లో ద్వారా (60 *) వాహక', '5 వ అత్యధిక భాగస్వామ్యం తొలి వికెట్కు (382)', '7 వ పురాతన దేశం ఆటగాళ్ళు (84y 110d)']</v>
      </c>
      <c r="C2315" s="2" t="s">
        <v>1606</v>
      </c>
      <c r="D2315" s="2" t="str">
        <f>IFERROR(__xludf.DUMMYFUNCTION("IF(C2315&lt;&gt;"""", GOOGLETRANSLATE(C2315, ""en"", ""te""),"""")"),"[ '45 వ ఒక సిరీస్లో అత్యధిక పరుగులు (667)', 'ఒక కెప్టెన్ ద్వారా ఒక సిరీస్లో 12 వ అత్యధిక పరుగులు (667)', '33 వ ఒక జట్టు వ్యతిరేకంగా అత్యధిక వందలు (7)', 'వరుస మ్యాచ్లలో 21 వందల (3)' '35 వ 1000 పరుగులు (21) వేగంగా', 'ఫాస్టెస్ట్ 27 3000 పరుగులు (65)', '34 వ "&amp;"4000 పరుగులు (90) వేగంగా', '23 వ ఎత్తైన కోసం భాగస్వామ్యాలు,' 5000 పరుగులు (117) కు 43 వ వేగవంతమైన ' ఏ వికెట్కు (382) ',' మొదటి వికెట్కు 5 వ అత్యధిక భాగస్వామ్యం (382) ',' రెండవ వికెట్కు 19 అత్యధిక భాగస్వామ్యం (298) ',' నాలుగవ వికెట్కు (336) 13 వ అత్యధిక "&amp;"భాగస్వామ్యం ']")</f>
        <v>[ '45 వ ఒక సిరీస్లో అత్యధిక పరుగులు (667)', 'ఒక కెప్టెన్ ద్వారా ఒక సిరీస్లో 12 వ అత్యధిక పరుగులు (667)', '33 వ ఒక జట్టు వ్యతిరేకంగా అత్యధిక వందలు (7)', 'వరుస మ్యాచ్లలో 21 వందల (3)' '35 వ 1000 పరుగులు (21) వేగంగా', 'ఫాస్టెస్ట్ 27 3000 పరుగులు (65)', '34 వ 4000 పరుగులు (90) వేగంగా', '23 వ ఎత్తైన కోసం భాగస్వామ్యాలు,' 5000 పరుగులు (117) కు 43 వ వేగవంతమైన ' ఏ వికెట్కు (382) ',' మొదటి వికెట్కు 5 వ అత్యధిక భాగస్వామ్యం (382) ',' రెండవ వికెట్కు 19 అత్యధిక భాగస్వామ్యం (298) ',' నాలుగవ వికెట్కు (336) 13 వ అత్యధిక భాగస్వామ్యం ']</v>
      </c>
      <c r="E2315" s="2" t="s">
        <v>1607</v>
      </c>
      <c r="F2315" s="2" t="str">
        <f>IFERROR(__xludf.DUMMYFUNCTION("IF(E2315&lt;&gt;"""", GOOGLETRANSLATE(E2315, ""en"", ""te""),"""")"),"[ '7th పురాతన దేశం ఆటగాళ్ళు (84y 110d)', '48 వ ఓల్డెస్ట్ కెప్టెన్లు కెప్టెన్సీ తొలి (33y 328d)']")</f>
        <v>[ '7th పురాతన దేశం ఆటగాళ్ళు (84y 110d)', '48 వ ఓల్డెస్ట్ కెప్టెన్లు కెప్టెన్సీ తొలి (33y 328d)']</v>
      </c>
      <c r="G2315" s="2"/>
      <c r="H2315" s="2" t="str">
        <f>IFERROR(__xludf.DUMMYFUNCTION("IF(G2315&lt;&gt;"""", GOOGLETRANSLATE(G2315, ""en"", ""te""),"""")"),"")</f>
        <v/>
      </c>
      <c r="I2315" s="3"/>
    </row>
    <row r="2316" customHeight="1" spans="1:9">
      <c r="A2316" s="2"/>
      <c r="B2316" s="2" t="str">
        <f>IFERROR(__xludf.DUMMYFUNCTION("IF(A2316&lt;&gt;"""", GOOGLETRANSLATE(A2316, ""en"", ""te""),"""")"),"")</f>
        <v/>
      </c>
      <c r="C2316" s="2"/>
      <c r="D2316" s="2" t="str">
        <f>IFERROR(__xludf.DUMMYFUNCTION("IF(C2316&lt;&gt;"""", GOOGLETRANSLATE(C2316, ""en"", ""te""),"""")"),"")</f>
        <v/>
      </c>
      <c r="E2316" s="2"/>
      <c r="F2316" s="2" t="str">
        <f>IFERROR(__xludf.DUMMYFUNCTION("IF(E2316&lt;&gt;"""", GOOGLETRANSLATE(E2316, ""en"", ""te""),"""")"),"")</f>
        <v/>
      </c>
      <c r="G2316" s="2"/>
      <c r="H2316" s="2" t="str">
        <f>IFERROR(__xludf.DUMMYFUNCTION("IF(G2316&lt;&gt;"""", GOOGLETRANSLATE(G2316, ""en"", ""te""),"""")"),"")</f>
        <v/>
      </c>
      <c r="I2316" s="3"/>
    </row>
    <row r="2317" customHeight="1" spans="1:9">
      <c r="A2317" s="2"/>
      <c r="B2317" s="2" t="str">
        <f>IFERROR(__xludf.DUMMYFUNCTION("IF(A2317&lt;&gt;"""", GOOGLETRANSLATE(A2317, ""en"", ""te""),"""")"),"")</f>
        <v/>
      </c>
      <c r="C2317" s="2"/>
      <c r="D2317" s="2" t="str">
        <f>IFERROR(__xludf.DUMMYFUNCTION("IF(C2317&lt;&gt;"""", GOOGLETRANSLATE(C2317, ""en"", ""te""),"""")"),"")</f>
        <v/>
      </c>
      <c r="E2317" s="2"/>
      <c r="F2317" s="2" t="str">
        <f>IFERROR(__xludf.DUMMYFUNCTION("IF(E2317&lt;&gt;"""", GOOGLETRANSLATE(E2317, ""en"", ""te""),"""")"),"")</f>
        <v/>
      </c>
      <c r="G2317" s="2"/>
      <c r="H2317" s="2" t="str">
        <f>IFERROR(__xludf.DUMMYFUNCTION("IF(G2317&lt;&gt;"""", GOOGLETRANSLATE(G2317, ""en"", ""te""),"""")"),"")</f>
        <v/>
      </c>
      <c r="I2317" s="3"/>
    </row>
    <row r="2318" customHeight="1" spans="1:9">
      <c r="A2318" s="2" t="s">
        <v>1608</v>
      </c>
      <c r="B2318" s="2" t="str">
        <f>IFERROR(__xludf.DUMMYFUNCTION("IF(A2318&lt;&gt;"""", GOOGLETRANSLATE(A2318, ""en"", ""te""),"""")"),"[ '7th అత్యుత్తమ బౌలింగ్ ఇన్నింగ్స్ లో విశ్లేషించడం (8/31)', 'బ్యాటింగ్ తెరవడం మరియు అదే మ్యాచ్ లో బౌలింగ్']")</f>
        <v>[ '7th అత్యుత్తమ బౌలింగ్ ఇన్నింగ్స్ లో విశ్లేషించడం (8/31)', 'బ్యాటింగ్ తెరవడం మరియు అదే మ్యాచ్ లో బౌలింగ్']</v>
      </c>
      <c r="C2318" s="2" t="s">
        <v>1609</v>
      </c>
      <c r="D2318" s="2" t="str">
        <f>IFERROR(__xludf.DUMMYFUNCTION("IF(C2318&lt;&gt;"""", GOOGLETRANSLATE(C2318, ""en"", ""te""),"""")"),"[ 'ఇన్నింగ్స్ లో 7 వ అత్యుత్తమ బౌలింగ్ విశ్లేషణలు (8/31)' '26 ఉత్తమ ఇన్నింగ్స్ లో సంఖ్యలు (8/31)', '24th ఒక ఇన్నింగ్స్ లోని బెస్ట్ ఫిగర్స్ ఉన్నప్పుడు పరాజయం వైపు (7)', '17 వ ఓల్డెస్ట్ క్రీడాకారుడు ఒక తొలి తీసుకుని ఐదు-వికెట్ల-ఒక-ఇన్నింగ్స్ లో పడుతుంది (3"&amp;"9y 231d) ',' 28th ఓల్డెస్ట్ ఆటగాడు ఐదు వికెట్ల లో-ఒక-ఇన్నింగ్స్ (35y 173d) ']")</f>
        <v>[ 'ఇన్నింగ్స్ లో 7 వ అత్యుత్తమ బౌలింగ్ విశ్లేషణలు (8/31)' '26 ఉత్తమ ఇన్నింగ్స్ లో సంఖ్యలు (8/31)', '24th ఒక ఇన్నింగ్స్ లోని బెస్ట్ ఫిగర్స్ ఉన్నప్పుడు పరాజయం వైపు (7)', '17 వ ఓల్డెస్ట్ క్రీడాకారుడు ఒక తొలి తీసుకుని ఐదు-వికెట్ల-ఒక-ఇన్నింగ్స్ లో పడుతుంది (39y 231d) ',' 28th ఓల్డెస్ట్ ఆటగాడు ఐదు వికెట్ల లో-ఒక-ఇన్నింగ్స్ (35y 173d) ']</v>
      </c>
      <c r="E2318" s="2"/>
      <c r="F2318" s="2" t="str">
        <f>IFERROR(__xludf.DUMMYFUNCTION("IF(E2318&lt;&gt;"""", GOOGLETRANSLATE(E2318, ""en"", ""te""),"""")"),"")</f>
        <v/>
      </c>
      <c r="G2318" s="2"/>
      <c r="H2318" s="2" t="str">
        <f>IFERROR(__xludf.DUMMYFUNCTION("IF(G2318&lt;&gt;"""", GOOGLETRANSLATE(G2318, ""en"", ""te""),"""")"),"")</f>
        <v/>
      </c>
      <c r="I2318" s="3"/>
    </row>
    <row r="2319" customHeight="1" spans="1:9">
      <c r="A2319" s="2"/>
      <c r="B2319" s="2" t="str">
        <f>IFERROR(__xludf.DUMMYFUNCTION("IF(A2319&lt;&gt;"""", GOOGLETRANSLATE(A2319, ""en"", ""te""),"""")"),"")</f>
        <v/>
      </c>
      <c r="C2319" s="2"/>
      <c r="D2319" s="2" t="str">
        <f>IFERROR(__xludf.DUMMYFUNCTION("IF(C2319&lt;&gt;"""", GOOGLETRANSLATE(C2319, ""en"", ""te""),"""")"),"")</f>
        <v/>
      </c>
      <c r="E2319" s="2"/>
      <c r="F2319" s="2" t="str">
        <f>IFERROR(__xludf.DUMMYFUNCTION("IF(E2319&lt;&gt;"""", GOOGLETRANSLATE(E2319, ""en"", ""te""),"""")"),"")</f>
        <v/>
      </c>
      <c r="G2319" s="2"/>
      <c r="H2319" s="2" t="str">
        <f>IFERROR(__xludf.DUMMYFUNCTION("IF(G2319&lt;&gt;"""", GOOGLETRANSLATE(G2319, ""en"", ""te""),"""")"),"")</f>
        <v/>
      </c>
      <c r="I2319" s="3"/>
    </row>
    <row r="2320" customHeight="1" spans="1:9">
      <c r="A2320" s="2" t="s">
        <v>1610</v>
      </c>
      <c r="B2320" s="2" t="str">
        <f>IFERROR(__xludf.DUMMYFUNCTION("IF(A2320&lt;&gt;"""", GOOGLETRANSLATE(A2320, ""en"", ""te""),"""")"),"[ 'ఒక జట్టు కెప్టెన్గా 6 వ వరుస మ్యాచ్లు (10)', '5 వ ఉత్తమ కెరీర్ ఆర్థిక రేటు (1.37)', '2 వ అత్యధిక వికెట్లు తీసిన హిట్ వికెట్ (1)', '2 వ చెత్త కెరీర్లో సమ్మె రేటు (77.9)']")</f>
        <v>[ 'ఒక జట్టు కెప్టెన్గా 6 వ వరుస మ్యాచ్లు (10)', '5 వ ఉత్తమ కెరీర్ ఆర్థిక రేటు (1.37)', '2 వ అత్యధిక వికెట్లు తీసిన హిట్ వికెట్ (1)', '2 వ చెత్త కెరీర్లో సమ్మె రేటు (77.9)']</v>
      </c>
      <c r="C2320" s="2" t="s">
        <v>1611</v>
      </c>
      <c r="D2320" s="2" t="str">
        <f>IFERROR(__xludf.DUMMYFUNCTION("IF(C2320&lt;&gt;"""", GOOGLETRANSLATE(C2320, ""en"", ""te""),"""")"),"[ '27 వ ఒక కెప్టెన్తో ఇన్నింగ్స్ లో పరుగులు (86)', 'వంద (410) లేకుండా ఒక వృత్తిలో 20 వ అత్యధిక పరుగులు' '21 వ అత్యధిక కెరీర్ బ్యాటింగ్ సగటు (41.00) ',' 30 వ కెరీర్ లో అత్యధిక వికెట్లు (26 ) ',' 18 వ సగటు (18.73) ',' 5 వ ఉత్తమ కెరీర్ ఎకానమీ రేట్ బౌలింగ్ ఉత"&amp;"్తమ కెరీర్ (1.37) ',' 24 వ కెరీర్ లో బౌల్డ్ చాలా బంతుల్లో (2124) ',' 12 వ అత్యధిక వికెట్లు తీసుకున్న బౌల్డ్ (13) ',' 2nd అత్యధిక వికెట్లు తీసిన హిట్ వికెట్ (1) ',' 19 వ అత్యధిక క్యాచ్లు కెరీర్లో (11) ',' 17 వ అత్యధిక మ్యాచ్లు కెరీర్లో (15) ',' ఒక జట్టు 18"&amp;" వ వరుస మ్యాచ్లు (13) ',' 7 వ ఎక్కువగా మ్యాచ్లు కెప్టెన్ (10) ',' 6 వ వరుస మ్యాచ్లు ఒక జట్టు కెప్టెన్గా (10) ',' 12 వ పిన్న కాప్టెన్ (24y 179d) ']")</f>
        <v>[ '27 వ ఒక కెప్టెన్తో ఇన్నింగ్స్ లో పరుగులు (86)', 'వంద (410) లేకుండా ఒక వృత్తిలో 20 వ అత్యధిక పరుగులు' '21 వ అత్యధిక కెరీర్ బ్యాటింగ్ సగటు (41.00) ',' 30 వ కెరీర్ లో అత్యధిక వికెట్లు (26 ) ',' 18 వ సగటు (18.73) ',' 5 వ ఉత్తమ కెరీర్ ఎకానమీ రేట్ బౌలింగ్ ఉత్తమ కెరీర్ (1.37) ',' 24 వ కెరీర్ లో బౌల్డ్ చాలా బంతుల్లో (2124) ',' 12 వ అత్యధిక వికెట్లు తీసుకున్న బౌల్డ్ (13) ',' 2nd అత్యధిక వికెట్లు తీసిన హిట్ వికెట్ (1) ',' 19 వ అత్యధిక క్యాచ్లు కెరీర్లో (11) ',' 17 వ అత్యధిక మ్యాచ్లు కెరీర్లో (15) ',' ఒక జట్టు 18 వ వరుస మ్యాచ్లు (13) ',' 7 వ ఎక్కువగా మ్యాచ్లు కెప్టెన్ (10) ',' 6 వ వరుస మ్యాచ్లు ఒక జట్టు కెప్టెన్గా (10) ',' 12 వ పిన్న కాప్టెన్ (24y 179d) ']</v>
      </c>
      <c r="E2320" s="2" t="s">
        <v>1612</v>
      </c>
      <c r="F2320" s="2" t="str">
        <f>IFERROR(__xludf.DUMMYFUNCTION("IF(E2320&lt;&gt;"""", GOOGLETRANSLATE(E2320, ""en"", ""te""),"""")"),"[ '19 ఉత్తమ కెరీర్ ఆర్థిక రేటు (2.44)', '40 వ చెత్త కెరీర్ సగటు (31.79) బౌలింగ్', '2 వ చెత్త కెరీర్లో సమ్మె రేటు (77.9)', '(40) 19 వ అత్యధిక మ్యాచ్లు కెప్టెన్గా', '29th వరుస మ్యాచ్లు ఒక జట్టు కెప్టెన్గా (21) ',' 23 వ పిన్న కాప్టెన్ (22y 351d) ']")</f>
        <v>[ '19 ఉత్తమ కెరీర్ ఆర్థిక రేటు (2.44)', '40 వ చెత్త కెరీర్ సగటు (31.79) బౌలింగ్', '2 వ చెత్త కెరీర్లో సమ్మె రేటు (77.9)', '(40) 19 వ అత్యధిక మ్యాచ్లు కెప్టెన్గా', '29th వరుస మ్యాచ్లు ఒక జట్టు కెప్టెన్గా (21) ',' 23 వ పిన్న కాప్టెన్ (22y 351d) ']</v>
      </c>
      <c r="G2320" s="2"/>
      <c r="H2320" s="2" t="str">
        <f>IFERROR(__xludf.DUMMYFUNCTION("IF(G2320&lt;&gt;"""", GOOGLETRANSLATE(G2320, ""en"", ""te""),"""")"),"")</f>
        <v/>
      </c>
      <c r="I2320" s="3"/>
    </row>
    <row r="2321" customHeight="1" spans="1:9">
      <c r="A2321" s="2" t="s">
        <v>1613</v>
      </c>
      <c r="B2321" s="2" t="str">
        <f>IFERROR(__xludf.DUMMYFUNCTION("IF(A2321&lt;&gt;"""", GOOGLETRANSLATE(A2321, ""en"", ""te""),"""")"),"[ '4 వ పిన్న కాప్టెన్ (23y 139d)', 'ఒక కెప్టెన్తో 1st అత్యధిక పరుగులు ఒక సిరీస్లో (1232)', '3 వ అత్యధిక కెరీర్ బ్యాటింగ్ సగటు (53.76)', '1st ఒక జట్టు వ్యతిరేకంగా అత్యధిక వందలు (6)', ' కెరీర్లో 10 వ అత్యంత అర్ధ (29) ',' మూడో వికెట్కు 2 వ అత్యధిక భాగస్వామ్య"&amp;"ం (224) ',' 8 వ అత్యధిక కెరీర్ లో మ్యాచ్లు (110) ',' 2 వ అత్యధిక మ్యాచ్లు కెప్టెన్గా (78) ',' 1st ఇందులో అత్యంత పరుగులు ఒక కెప్టెన్ (133 *) ద్వారా ఇన్నింగ్స్ ',' 4 వ అత్యధిక కెరీర్ బ్యాటింగ్ సగటు (35.97) ',' వరుస ఇన్నింగ్స్లో 3 వ యాభైల్లో (3) ',' 1st కెర"&amp;"ీర్లో (104) ',' 4 వ అత్యధిక పరుగులు శాతం అతి తక్కువ బాతులు ఒక ఇన్నింగ్స్లో (65.96) ',' 3 వ 2000 వరకు వేగంగా పరుగులు (72) ',' 6 వ కెరీర్లో అత్యధిక క్యాచ్లు (39) ',' ఐదో వికెట్కు (119 *) 1 వ అత్యధిక భాగస్వామ్యం ']")</f>
        <v>[ '4 వ పిన్న కాప్టెన్ (23y 139d)', 'ఒక కెప్టెన్తో 1st అత్యధిక పరుగులు ఒక సిరీస్లో (1232)', '3 వ అత్యధిక కెరీర్ బ్యాటింగ్ సగటు (53.76)', '1st ఒక జట్టు వ్యతిరేకంగా అత్యధిక వందలు (6)', ' కెరీర్లో 10 వ అత్యంత అర్ధ (29) ',' మూడో వికెట్కు 2 వ అత్యధిక భాగస్వామ్యం (224) ',' 8 వ అత్యధిక కెరీర్ లో మ్యాచ్లు (110) ',' 2 వ అత్యధిక మ్యాచ్లు కెప్టెన్గా (78) ',' 1st ఇందులో అత్యంత పరుగులు ఒక కెప్టెన్ (133 *) ద్వారా ఇన్నింగ్స్ ',' 4 వ అత్యధిక కెరీర్ బ్యాటింగ్ సగటు (35.97) ',' వరుస ఇన్నింగ్స్లో 3 వ యాభైల్లో (3) ',' 1st కెరీర్లో (104) ',' 4 వ అత్యధిక పరుగులు శాతం అతి తక్కువ బాతులు ఒక ఇన్నింగ్స్లో (65.96) ',' 3 వ 2000 వరకు వేగంగా పరుగులు (72) ',' 6 వ కెరీర్లో అత్యధిక క్యాచ్లు (39) ',' ఐదో వికెట్కు (119 *) 1 వ అత్యధిక భాగస్వామ్యం ']</v>
      </c>
      <c r="C2321" s="2" t="s">
        <v>1614</v>
      </c>
      <c r="D2321" s="2" t="str">
        <f>IFERROR(__xludf.DUMMYFUNCTION("IF(C2321&lt;&gt;"""", GOOGLETRANSLATE(C2321, ""en"", ""te""),"""")"),"[ '4 వ పిన్న కాప్టెన్ (23y 139d)']")</f>
        <v>[ '4 వ పిన్న కాప్టెన్ (23y 139d)']</v>
      </c>
      <c r="E2321" s="2" t="s">
        <v>1615</v>
      </c>
      <c r="F2321" s="2" t="str">
        <f>IFERROR(__xludf.DUMMYFUNCTION("IF(E2321&lt;&gt;"""", GOOGLETRANSLATE(E2321, ""en"", ""te""),"""")"),"[ 'ఇన్నింగ్స్ (152 *) 15 వ అత్యధిక పరుగులు' 'కెరీర్లో 11 వ అత్యధిక పరుగులు (3925)', 'వరుస 1 వ అత్యధిక పరుగులు (1232)', '8 వ ఒక క్యాలెండర్ ఏడాది (761) అత్యధిక పరుగులు', 'ఒకే మైదానంలో 17 వ అత్యధిక పరుగులు (463)' 'ఇన్నింగ్స్ లో 6 వ అత్యధిక పరుగులు (బ్యాటింగ"&amp;"్ స్థానంలో ప్రకారం) (152 *)', 'ఒక కెప్టెన్ ద్వారా ఒక సిరీస్లో 1st అత్యధిక పరుగులు (1232)', '2 వ అత్యధిక పరుగులు ఒక కెప్టెన్తో ఇన్నింగ్స్ (152 *) లో ',' 3 వ అత్యధిక కెరీర్ బ్యాటింగ్ సగటు (53.76) ',' 1st ఒక వృత్తిలో అత్యధిక వందలు (14) ',' 1st ఒక సిరీస్లో అత"&amp;"్యధిక సెంచరీలు (5) ',' 1st చాలా ఒక క్యాలెండర్ సంవత్సరంలో వందల (3) ',' 1st ఒక జట్టు వ్యతిరేకంగా అత్యధిక వందలు (6) ',' వరుస ఇన్నింగ్స్లో 2 వ వందల (2) ',' 8 వ పిన్న ఆటగాడు వంద (18y 288d) ',' 10 వ అత్యంత స్కోర్ కెరీర్లో అర్ధ (29) ',' వరుస ఇన్నింగ్స్లో 12 వ యా"&amp;"భైల్లో (4) ',' ఒక డక్ లేకుండా 44th వరుస ఇన్నింగ్స్ (32) ',' 16 వ చెత్త కెరీర్ (114.00) (అర్హత లేకుండా) సగటు బౌలింగ్ ',' 13 వ అత్యంత వరుస కెరీర్లో క్యాచ్లు (42) ',' 12 వ అత్యధిక క్యాచ్లు (10) ',' 12 వ ఏ వికెట్కు అత్యధిక భాగస్వామ్యాల (224) ',' 43 వ అత్యధిక"&amp;" మొదటి వికెట్ కొరకు చేసిన భాగస్వామ్యం (146) ',' రెండవ వికెట్ (182) 9 వ అత్యధిక భాగస్వామ్యం ',' మూడో వికెట్కు 2 వ అత్యధిక భాగస్వామ్యం (224) నాలుగవ వికెట్కు ',' 3 వ అత్యధిక భాగస్వామ్యం (181) ',' 21 వ అత్యంత బృందం వరుసగా మ్యాచ్లు (52) ',' 8 వ అత్యధిక మ్యాచ్ల"&amp;"ు కెప్టెన్గా (60) ',' 11 వ వరుస మ్యాచ్లు ఒక జట్టు కెప్టెన్గా (35) ',' 15 వ పిన్న కాప్టెన్ (21y 300D) ',' 17 వ వికెట్ (1) ఉంచింది చేసిన కెప్టెన్ల ']")</f>
        <v>[ 'ఇన్నింగ్స్ (152 *) 15 వ అత్యధిక పరుగులు' 'కెరీర్లో 11 వ అత్యధిక పరుగులు (3925)', 'వరుస 1 వ అత్యధిక పరుగులు (1232)', '8 వ ఒక క్యాలెండర్ ఏడాది (761) అత్యధిక పరుగులు', 'ఒకే మైదానంలో 17 వ అత్యధిక పరుగులు (463)' 'ఇన్నింగ్స్ లో 6 వ అత్యధిక పరుగులు (బ్యాటింగ్ స్థానంలో ప్రకారం) (152 *)', 'ఒక కెప్టెన్ ద్వారా ఒక సిరీస్లో 1st అత్యధిక పరుగులు (1232)', '2 వ అత్యధిక పరుగులు ఒక కెప్టెన్తో ఇన్నింగ్స్ (152 *) లో ',' 3 వ అత్యధిక కెరీర్ బ్యాటింగ్ సగటు (53.76) ',' 1st ఒక వృత్తిలో అత్యధిక వందలు (14) ',' 1st ఒక సిరీస్లో అత్యధిక సెంచరీలు (5) ',' 1st చాలా ఒక క్యాలెండర్ సంవత్సరంలో వందల (3) ',' 1st ఒక జట్టు వ్యతిరేకంగా అత్యధిక వందలు (6) ',' వరుస ఇన్నింగ్స్లో 2 వ వందల (2) ',' 8 వ పిన్న ఆటగాడు వంద (18y 288d) ',' 10 వ అత్యంత స్కోర్ కెరీర్లో అర్ధ (29) ',' వరుస ఇన్నింగ్స్లో 12 వ యాభైల్లో (4) ',' ఒక డక్ లేకుండా 44th వరుస ఇన్నింగ్స్ (32) ',' 16 వ చెత్త కెరీర్ (114.00) (అర్హత లేకుండా) సగటు బౌలింగ్ ',' 13 వ అత్యంత వరుస కెరీర్లో క్యాచ్లు (42) ',' 12 వ అత్యధిక క్యాచ్లు (10) ',' 12 వ ఏ వికెట్కు అత్యధిక భాగస్వామ్యాల (224) ',' 43 వ అత్యధిక మొదటి వికెట్ కొరకు చేసిన భాగస్వామ్యం (146) ',' రెండవ వికెట్ (182) 9 వ అత్యధిక భాగస్వామ్యం ',' మూడో వికెట్కు 2 వ అత్యధిక భాగస్వామ్యం (224) నాలుగవ వికెట్కు ',' 3 వ అత్యధిక భాగస్వామ్యం (181) ',' 21 వ అత్యంత బృందం వరుసగా మ్యాచ్లు (52) ',' 8 వ అత్యధిక మ్యాచ్లు కెప్టెన్గా (60) ',' 11 వ వరుస మ్యాచ్లు ఒక జట్టు కెప్టెన్గా (35) ',' 15 వ పిన్న కాప్టెన్ (21y 300D) ',' 17 వ వికెట్ (1) ఉంచింది చేసిన కెప్టెన్ల ']</v>
      </c>
      <c r="G2321" s="2" t="s">
        <v>1616</v>
      </c>
      <c r="H2321" s="2" t="str">
        <f>IFERROR(__xludf.DUMMYFUNCTION("IF(G2321&lt;&gt;"""", GOOGLETRANSLATE(G2321, ""en"", ""te""),"""")"),"[ 'కెరీర్లో 3 వ అత్యధిక పరుగులు (2914)', 'ఇన్నింగ్స్ (133 *) లో 2 వ అత్యధిక పరుగులు' 'ఇన్నింగ్స్ లో 5 వ అత్యధిక పరుగులు (ప్రగతిశీల రికార్డు హోల్డర్) (126)', '3 వ భాగం ఒక క్యాలెండర్ సంవత్సరంలో నడుస్తుంది (625) ',' 1 వ ఇన్నింగ్స్ లో అత్యధిక పరుగులు (బ్యాటిం"&amp;"గ్ స్థానంలో ప్రకారం) (133 *) ',' 6 వ పరాజయం వైపు (78 *) ఒక మ్యాచ్లో అత్యధిక పరుగులు ',' 11 వ ఒకే మైదానంలో అత్యధిక పరుగులు (236 ) ',' ఒక కెప్టెన్తో ఇన్నింగ్స్ లో 1 వ అత్యధిక పరుగులు (133 *) ',' 4 వ అత్యధిక కెరీర్ బ్యాటింగ్ సగటు (35.97) ',' 5 వ కెరీర్ అర్"&amp;"ధ (15) ',' వరుస ఇన్నింగ్స్లో 3 వ యాభైల్లో (3) ',' 1 వ అత్యంత ఇన్నింగ్స్ తొలి డక్ ముందు (61) ',' ఒక డక్ లేకుండా 5 వ అత్యధిక వరుస ఇన్నింగ్స్ (61) ',' 1 వ అతి తక్కువ బాతులు కెరీర్ లో (104) ',' 4 వ ఒక ఇన్నింగ్స్లో పరుగుల అత్యధిక శాతం (65.96 ) ',' ఫాస్టెస్ట్ "&amp;"1000 పరుగులు ఏ వికెట్కు 3 వ (38) ',' 2000 పరుగులు 3 వ అత్యంత వేగంగా (72) ',' 6 వ కెరీర్లో అత్యధిక క్యాచ్లు (39) ',' 24 వ అత్యధిక భాగస్వామ్యాల (139) ',' 5 వ వికెట్ తేడాతో అత్యధిక భాగస్వామ్యాల (5 వ) ',' మొదటి వికెట్కు 30 వ అత్యధిక భాగస్వామ్యం (112) రెండవ WI"&amp;"C కోసం ',' 25 వ అత్యధిక భాగస్వామ్యం Ket (102) ',' మూడో వికెట్ (110) కోసం 10 వ అత్యధిక భాగస్వామ్యం ',' నాలుగవ వికెట్కు 2 వ అత్యధిక భాగస్వామ్యం (139) ',' ఐదవ వికెట్కు 1st అత్యధిక భాగస్వామ్యం (119 *) ',' 8 వ అత్యధిక మ్యాచ్లు కెరీర్ (110) ',' 42 వ వరుస జట్టు "&amp;"మ్యాచ్ల్లో (38) ',' కెప్టెన్ 2 వ అత్యధిక మ్యాచ్లు (78) ',' 33 వ పిన్న కాప్టెన్ (21y 310d) ']")</f>
        <v>[ 'కెరీర్లో 3 వ అత్యధిక పరుగులు (2914)', 'ఇన్నింగ్స్ (133 *) లో 2 వ అత్యధిక పరుగులు' 'ఇన్నింగ్స్ లో 5 వ అత్యధిక పరుగులు (ప్రగతిశీల రికార్డు హోల్డర్) (126)', '3 వ భాగం ఒక క్యాలెండర్ సంవత్సరంలో నడుస్తుంది (625) ',' 1 వ ఇన్నింగ్స్ లో అత్యధిక పరుగులు (బ్యాటింగ్ స్థానంలో ప్రకారం) (133 *) ',' 6 వ పరాజయం వైపు (78 *) ఒక మ్యాచ్లో అత్యధిక పరుగులు ',' 11 వ ఒకే మైదానంలో అత్యధిక పరుగులు (236 ) ',' ఒక కెప్టెన్తో ఇన్నింగ్స్ లో 1 వ అత్యధిక పరుగులు (133 *) ',' 4 వ అత్యధిక కెరీర్ బ్యాటింగ్ సగటు (35.97) ',' 5 వ కెరీర్ అర్ధ (15) ',' వరుస ఇన్నింగ్స్లో 3 వ యాభైల్లో (3) ',' 1 వ అత్యంత ఇన్నింగ్స్ తొలి డక్ ముందు (61) ',' ఒక డక్ లేకుండా 5 వ అత్యధిక వరుస ఇన్నింగ్స్ (61) ',' 1 వ అతి తక్కువ బాతులు కెరీర్ లో (104) ',' 4 వ ఒక ఇన్నింగ్స్లో పరుగుల అత్యధిక శాతం (65.96 ) ',' ఫాస్టెస్ట్ 1000 పరుగులు ఏ వికెట్కు 3 వ (38) ',' 2000 పరుగులు 3 వ అత్యంత వేగంగా (72) ',' 6 వ కెరీర్లో అత్యధిక క్యాచ్లు (39) ',' 24 వ అత్యధిక భాగస్వామ్యాల (139) ',' 5 వ వికెట్ తేడాతో అత్యధిక భాగస్వామ్యాల (5 వ) ',' మొదటి వికెట్కు 30 వ అత్యధిక భాగస్వామ్యం (112) రెండవ WIC కోసం ',' 25 వ అత్యధిక భాగస్వామ్యం Ket (102) ',' మూడో వికెట్ (110) కోసం 10 వ అత్యధిక భాగస్వామ్యం ',' నాలుగవ వికెట్కు 2 వ అత్యధిక భాగస్వామ్యం (139) ',' ఐదవ వికెట్కు 1st అత్యధిక భాగస్వామ్యం (119 *) ',' 8 వ అత్యధిక మ్యాచ్లు కెరీర్ (110) ',' 42 వ వరుస జట్టు మ్యాచ్ల్లో (38) ',' కెప్టెన్ 2 వ అత్యధిక మ్యాచ్లు (78) ',' 33 వ పిన్న కాప్టెన్ (21y 310d) ']</v>
      </c>
      <c r="I2321" s="3"/>
    </row>
    <row r="2322" customHeight="1" spans="1:9">
      <c r="A2322" s="2"/>
      <c r="B2322" s="2" t="str">
        <f>IFERROR(__xludf.DUMMYFUNCTION("IF(A2322&lt;&gt;"""", GOOGLETRANSLATE(A2322, ""en"", ""te""),"""")"),"")</f>
        <v/>
      </c>
      <c r="C2322" s="2"/>
      <c r="D2322" s="2" t="str">
        <f>IFERROR(__xludf.DUMMYFUNCTION("IF(C2322&lt;&gt;"""", GOOGLETRANSLATE(C2322, ""en"", ""te""),"""")"),"")</f>
        <v/>
      </c>
      <c r="E2322" s="2"/>
      <c r="F2322" s="2" t="str">
        <f>IFERROR(__xludf.DUMMYFUNCTION("IF(E2322&lt;&gt;"""", GOOGLETRANSLATE(E2322, ""en"", ""te""),"""")"),"")</f>
        <v/>
      </c>
      <c r="G2322" s="2"/>
      <c r="H2322" s="2" t="str">
        <f>IFERROR(__xludf.DUMMYFUNCTION("IF(G2322&lt;&gt;"""", GOOGLETRANSLATE(G2322, ""en"", ""te""),"""")"),"")</f>
        <v/>
      </c>
      <c r="I2322" s="3"/>
    </row>
    <row r="2323" customHeight="1" spans="1:9">
      <c r="A2323" s="2"/>
      <c r="B2323" s="2" t="str">
        <f>IFERROR(__xludf.DUMMYFUNCTION("IF(A2323&lt;&gt;"""", GOOGLETRANSLATE(A2323, ""en"", ""te""),"""")"),"")</f>
        <v/>
      </c>
      <c r="C2323" s="2"/>
      <c r="D2323" s="2" t="str">
        <f>IFERROR(__xludf.DUMMYFUNCTION("IF(C2323&lt;&gt;"""", GOOGLETRANSLATE(C2323, ""en"", ""te""),"""")"),"")</f>
        <v/>
      </c>
      <c r="E2323" s="2"/>
      <c r="F2323" s="2" t="str">
        <f>IFERROR(__xludf.DUMMYFUNCTION("IF(E2323&lt;&gt;"""", GOOGLETRANSLATE(E2323, ""en"", ""te""),"""")"),"")</f>
        <v/>
      </c>
      <c r="G2323" s="2"/>
      <c r="H2323" s="2" t="str">
        <f>IFERROR(__xludf.DUMMYFUNCTION("IF(G2323&lt;&gt;"""", GOOGLETRANSLATE(G2323, ""en"", ""te""),"""")"),"")</f>
        <v/>
      </c>
      <c r="I2323" s="3"/>
    </row>
    <row r="2324" customHeight="1" spans="1:9">
      <c r="A2324" s="2"/>
      <c r="B2324" s="2" t="str">
        <f>IFERROR(__xludf.DUMMYFUNCTION("IF(A2324&lt;&gt;"""", GOOGLETRANSLATE(A2324, ""en"", ""te""),"""")"),"")</f>
        <v/>
      </c>
      <c r="C2324" s="2" t="s">
        <v>1617</v>
      </c>
      <c r="D2324" s="2" t="str">
        <f>IFERROR(__xludf.DUMMYFUNCTION("IF(C2324&lt;&gt;"""", GOOGLETRANSLATE(C2324, ""en"", ""te""),"""")"),"[ '30 వ హండ్రెడ్ గత మ్యాచ్లో (100 *)']")</f>
        <v>[ '30 వ హండ్రెడ్ గత మ్యాచ్లో (100 *)']</v>
      </c>
      <c r="E2324" s="2"/>
      <c r="F2324" s="2" t="str">
        <f>IFERROR(__xludf.DUMMYFUNCTION("IF(E2324&lt;&gt;"""", GOOGLETRANSLATE(E2324, ""en"", ""te""),"""")"),"")</f>
        <v/>
      </c>
      <c r="G2324" s="2"/>
      <c r="H2324" s="2" t="str">
        <f>IFERROR(__xludf.DUMMYFUNCTION("IF(G2324&lt;&gt;"""", GOOGLETRANSLATE(G2324, ""en"", ""te""),"""")"),"")</f>
        <v/>
      </c>
      <c r="I2324" s="3"/>
    </row>
    <row r="2325" customHeight="1" spans="1:9">
      <c r="A2325" s="2"/>
      <c r="B2325" s="2" t="str">
        <f>IFERROR(__xludf.DUMMYFUNCTION("IF(A2325&lt;&gt;"""", GOOGLETRANSLATE(A2325, ""en"", ""te""),"""")"),"")</f>
        <v/>
      </c>
      <c r="C2325" s="2"/>
      <c r="D2325" s="2" t="str">
        <f>IFERROR(__xludf.DUMMYFUNCTION("IF(C2325&lt;&gt;"""", GOOGLETRANSLATE(C2325, ""en"", ""te""),"""")"),"")</f>
        <v/>
      </c>
      <c r="E2325" s="2"/>
      <c r="F2325" s="2" t="str">
        <f>IFERROR(__xludf.DUMMYFUNCTION("IF(E2325&lt;&gt;"""", GOOGLETRANSLATE(E2325, ""en"", ""te""),"""")"),"")</f>
        <v/>
      </c>
      <c r="G2325" s="2"/>
      <c r="H2325" s="2" t="str">
        <f>IFERROR(__xludf.DUMMYFUNCTION("IF(G2325&lt;&gt;"""", GOOGLETRANSLATE(G2325, ""en"", ""te""),"""")"),"")</f>
        <v/>
      </c>
      <c r="I2325" s="3"/>
    </row>
    <row r="2326" customHeight="1" spans="1:9">
      <c r="A2326" s="2"/>
      <c r="B2326" s="2" t="str">
        <f>IFERROR(__xludf.DUMMYFUNCTION("IF(A2326&lt;&gt;"""", GOOGLETRANSLATE(A2326, ""en"", ""te""),"""")"),"")</f>
        <v/>
      </c>
      <c r="C2326" s="2"/>
      <c r="D2326" s="2" t="str">
        <f>IFERROR(__xludf.DUMMYFUNCTION("IF(C2326&lt;&gt;"""", GOOGLETRANSLATE(C2326, ""en"", ""te""),"""")"),"")</f>
        <v/>
      </c>
      <c r="E2326" s="2"/>
      <c r="F2326" s="2" t="str">
        <f>IFERROR(__xludf.DUMMYFUNCTION("IF(E2326&lt;&gt;"""", GOOGLETRANSLATE(E2326, ""en"", ""te""),"""")"),"")</f>
        <v/>
      </c>
      <c r="G2326" s="2"/>
      <c r="H2326" s="2" t="str">
        <f>IFERROR(__xludf.DUMMYFUNCTION("IF(G2326&lt;&gt;"""", GOOGLETRANSLATE(G2326, ""en"", ""te""),"""")"),"")</f>
        <v/>
      </c>
      <c r="I2326" s="3"/>
    </row>
    <row r="2327" customHeight="1" spans="1:9">
      <c r="A2327" s="2" t="s">
        <v>1618</v>
      </c>
      <c r="B2327" s="2" t="str">
        <f>IFERROR(__xludf.DUMMYFUNCTION("IF(A2327&lt;&gt;"""", GOOGLETRANSLATE(A2327, ""en"", ""te""),"""")"),"[ '6 వ అత్యధిక కెరీర్ బ్యాటింగ్ సగటు (60.80)', 'వరుస ఇన్నింగ్స్లో 5 వ వందల (3)']")</f>
        <v>[ '6 వ అత్యధిక కెరీర్ బ్యాటింగ్ సగటు (60.80)', 'వరుస ఇన్నింగ్స్లో 5 వ వందల (3)']</v>
      </c>
      <c r="C2327" s="2" t="s">
        <v>1619</v>
      </c>
      <c r="D2327" s="2" t="str">
        <f>IFERROR(__xludf.DUMMYFUNCTION("IF(C2327&lt;&gt;"""", GOOGLETRANSLATE(C2327, ""en"", ""te""),"""")"),"[ '6 వ అత్యధిక కెరీర్ బ్యాటింగ్ సగటు (60.80)', 'గత మ్యాచ్లో 42 వ హండ్రెడ్ (108)', 'వరుస ఇన్నింగ్స్లో 5 వ వందల (3)', 'వరుస మ్యాచ్లలో 21 వందల (3)', '32 వ వరుస లో యాభైల్లో ఇన్నింగ్స్ (5) ',' ఫాస్టెస్ట్ 1000 పరుగులు 13 (18) ']")</f>
        <v>[ '6 వ అత్యధిక కెరీర్ బ్యాటింగ్ సగటు (60.80)', 'గత మ్యాచ్లో 42 వ హండ్రెడ్ (108)', 'వరుస ఇన్నింగ్స్లో 5 వ వందల (3)', 'వరుస మ్యాచ్లలో 21 వందల (3)', '32 వ వరుస లో యాభైల్లో ఇన్నింగ్స్ (5) ',' ఫాస్టెస్ట్ 1000 పరుగులు 13 (18) ']</v>
      </c>
      <c r="E2327" s="2"/>
      <c r="F2327" s="2" t="str">
        <f>IFERROR(__xludf.DUMMYFUNCTION("IF(E2327&lt;&gt;"""", GOOGLETRANSLATE(E2327, ""en"", ""te""),"""")"),"")</f>
        <v/>
      </c>
      <c r="G2327" s="2"/>
      <c r="H2327" s="2" t="str">
        <f>IFERROR(__xludf.DUMMYFUNCTION("IF(G2327&lt;&gt;"""", GOOGLETRANSLATE(G2327, ""en"", ""te""),"""")"),"")</f>
        <v/>
      </c>
      <c r="I2327" s="3"/>
    </row>
    <row r="2328" customHeight="1" spans="1:9">
      <c r="A2328" s="2" t="s">
        <v>1620</v>
      </c>
      <c r="B2328" s="2" t="str">
        <f>IFERROR(__xludf.DUMMYFUNCTION("IF(A2328&lt;&gt;"""", GOOGLETRANSLATE(A2328, ""en"", ""te""),"""")"),"[ '2 వ అత్యధిక వికెట్లు తీసిన హిట్ వికెట్ (3)', '1000 పరుగులు మరియు 100 వికెట్లు']")</f>
        <v>[ '2 వ అత్యధిక వికెట్లు తీసిన హిట్ వికెట్ (3)', '1000 పరుగులు మరియు 100 వికెట్లు']</v>
      </c>
      <c r="C2328" s="2" t="s">
        <v>1621</v>
      </c>
      <c r="D2328" s="2" t="str">
        <f>IFERROR(__xludf.DUMMYFUNCTION("IF(C2328&lt;&gt;"""", GOOGLETRANSLATE(C2328, ""en"", ""te""),"""")"),"[ '16 వ ఇన్నింగ్స్ లో అత్యధిక పరుగులు (బ్యాటింగ్ స్థానంలో ప్రకారం) (100)', '8 వ అత్యధిక వికెట్లు తీసుకున్న బౌల్డ్ (97)', '2 వ అత్యధిక వికెట్లు తీసిన హిట్ వికెట్ (3)', '47 వ 200 వికెట్లు వేగంగా (52) ']")</f>
        <v>[ '16 వ ఇన్నింగ్స్ లో అత్యధిక పరుగులు (బ్యాటింగ్ స్థానంలో ప్రకారం) (100)', '8 వ అత్యధిక వికెట్లు తీసుకున్న బౌల్డ్ (97)', '2 వ అత్యధిక వికెట్లు తీసిన హిట్ వికెట్ (3)', '47 వ 200 వికెట్లు వేగంగా (52) ']</v>
      </c>
      <c r="E2328" s="2"/>
      <c r="F2328" s="2" t="str">
        <f>IFERROR(__xludf.DUMMYFUNCTION("IF(E2328&lt;&gt;"""", GOOGLETRANSLATE(E2328, ""en"", ""te""),"""")"),"")</f>
        <v/>
      </c>
      <c r="G2328" s="2"/>
      <c r="H2328" s="2" t="str">
        <f>IFERROR(__xludf.DUMMYFUNCTION("IF(G2328&lt;&gt;"""", GOOGLETRANSLATE(G2328, ""en"", ""te""),"""")"),"")</f>
        <v/>
      </c>
      <c r="I2328" s="3"/>
    </row>
    <row r="2329" customHeight="1" spans="1:9">
      <c r="A2329" s="2"/>
      <c r="B2329" s="2" t="str">
        <f>IFERROR(__xludf.DUMMYFUNCTION("IF(A2329&lt;&gt;"""", GOOGLETRANSLATE(A2329, ""en"", ""te""),"""")"),"")</f>
        <v/>
      </c>
      <c r="C2329" s="2"/>
      <c r="D2329" s="2" t="str">
        <f>IFERROR(__xludf.DUMMYFUNCTION("IF(C2329&lt;&gt;"""", GOOGLETRANSLATE(C2329, ""en"", ""te""),"""")"),"")</f>
        <v/>
      </c>
      <c r="E2329" s="2"/>
      <c r="F2329" s="2" t="str">
        <f>IFERROR(__xludf.DUMMYFUNCTION("IF(E2329&lt;&gt;"""", GOOGLETRANSLATE(E2329, ""en"", ""te""),"""")"),"")</f>
        <v/>
      </c>
      <c r="G2329" s="2"/>
      <c r="H2329" s="2" t="str">
        <f>IFERROR(__xludf.DUMMYFUNCTION("IF(G2329&lt;&gt;"""", GOOGLETRANSLATE(G2329, ""en"", ""te""),"""")"),"")</f>
        <v/>
      </c>
      <c r="I2329" s="3"/>
    </row>
    <row r="2330" customHeight="1" spans="1:9">
      <c r="A2330" s="2"/>
      <c r="B2330" s="2" t="str">
        <f>IFERROR(__xludf.DUMMYFUNCTION("IF(A2330&lt;&gt;"""", GOOGLETRANSLATE(A2330, ""en"", ""te""),"""")"),"")</f>
        <v/>
      </c>
      <c r="C2330" s="2"/>
      <c r="D2330" s="2" t="str">
        <f>IFERROR(__xludf.DUMMYFUNCTION("IF(C2330&lt;&gt;"""", GOOGLETRANSLATE(C2330, ""en"", ""te""),"""")"),"")</f>
        <v/>
      </c>
      <c r="E2330" s="2"/>
      <c r="F2330" s="2" t="str">
        <f>IFERROR(__xludf.DUMMYFUNCTION("IF(E2330&lt;&gt;"""", GOOGLETRANSLATE(E2330, ""en"", ""te""),"""")"),"")</f>
        <v/>
      </c>
      <c r="G2330" s="2" t="s">
        <v>1622</v>
      </c>
      <c r="H2330" s="2" t="str">
        <f>IFERROR(__xludf.DUMMYFUNCTION("IF(G2330&lt;&gt;"""", GOOGLETRANSLATE(G2330, ""en"", ""te""),"""")"),"[ '42 వ వరుస మ్యాచ్లు ప్రదర్శనల మధ్య బృందం (38) తప్పిన']")</f>
        <v>[ '42 వ వరుస మ్యాచ్లు ప్రదర్శనల మధ్య బృందం (38) తప్పిన']</v>
      </c>
      <c r="I2330" s="3"/>
    </row>
    <row r="2331" customHeight="1" spans="1:9">
      <c r="A2331" s="2" t="s">
        <v>1623</v>
      </c>
      <c r="B2331" s="2" t="str">
        <f>IFERROR(__xludf.DUMMYFUNCTION("IF(A2331&lt;&gt;"""", GOOGLETRANSLATE(A2331, ""en"", ""te""),"""")"),"[ '1st చాలా ఇన్నింగ్స్ లో సాధించిన పరుగులు (113)']")</f>
        <v>[ '1st చాలా ఇన్నింగ్స్ లో సాధించిన పరుగులు (113)']</v>
      </c>
      <c r="C2331" s="2"/>
      <c r="D2331" s="2" t="str">
        <f>IFERROR(__xludf.DUMMYFUNCTION("IF(C2331&lt;&gt;"""", GOOGLETRANSLATE(C2331, ""en"", ""te""),"""")"),"")</f>
        <v/>
      </c>
      <c r="E2331" s="2" t="s">
        <v>1624</v>
      </c>
      <c r="F2331" s="2" t="str">
        <f>IFERROR(__xludf.DUMMYFUNCTION("IF(E2331&lt;&gt;"""", GOOGLETRANSLATE(E2331, ""en"", ""te""),"""")"),"[ '29 చెత్త ఇన్నింగ్స్ లో ఆర్థిక రేటు (11.30)', '1 వ ఇన్నింగ్స్ (113) లో సాధించిన అత్యధిక పరుగులు']")</f>
        <v>[ '29 చెత్త ఇన్నింగ్స్ లో ఆర్థిక రేటు (11.30)', '1 వ ఇన్నింగ్స్ (113) లో సాధించిన అత్యధిక పరుగులు']</v>
      </c>
      <c r="G2331" s="2"/>
      <c r="H2331" s="2" t="str">
        <f>IFERROR(__xludf.DUMMYFUNCTION("IF(G2331&lt;&gt;"""", GOOGLETRANSLATE(G2331, ""en"", ""te""),"""")"),"")</f>
        <v/>
      </c>
      <c r="I2331" s="3"/>
    </row>
    <row r="2332" customHeight="1" spans="1:9">
      <c r="A2332" s="2"/>
      <c r="B2332" s="2" t="str">
        <f>IFERROR(__xludf.DUMMYFUNCTION("IF(A2332&lt;&gt;"""", GOOGLETRANSLATE(A2332, ""en"", ""te""),"""")"),"")</f>
        <v/>
      </c>
      <c r="C2332" s="2"/>
      <c r="D2332" s="2" t="str">
        <f>IFERROR(__xludf.DUMMYFUNCTION("IF(C2332&lt;&gt;"""", GOOGLETRANSLATE(C2332, ""en"", ""te""),"""")"),"")</f>
        <v/>
      </c>
      <c r="E2332" s="2"/>
      <c r="F2332" s="2" t="str">
        <f>IFERROR(__xludf.DUMMYFUNCTION("IF(E2332&lt;&gt;"""", GOOGLETRANSLATE(E2332, ""en"", ""te""),"""")"),"")</f>
        <v/>
      </c>
      <c r="G2332" s="2"/>
      <c r="H2332" s="2" t="str">
        <f>IFERROR(__xludf.DUMMYFUNCTION("IF(G2332&lt;&gt;"""", GOOGLETRANSLATE(G2332, ""en"", ""te""),"""")"),"")</f>
        <v/>
      </c>
      <c r="I2332" s="3"/>
    </row>
    <row r="2333" customHeight="1" spans="1:9">
      <c r="A2333" s="2"/>
      <c r="B2333" s="2" t="str">
        <f>IFERROR(__xludf.DUMMYFUNCTION("IF(A2333&lt;&gt;"""", GOOGLETRANSLATE(A2333, ""en"", ""te""),"""")"),"")</f>
        <v/>
      </c>
      <c r="C2333" s="2"/>
      <c r="D2333" s="2" t="str">
        <f>IFERROR(__xludf.DUMMYFUNCTION("IF(C2333&lt;&gt;"""", GOOGLETRANSLATE(C2333, ""en"", ""te""),"""")"),"")</f>
        <v/>
      </c>
      <c r="E2333" s="2"/>
      <c r="F2333" s="2" t="str">
        <f>IFERROR(__xludf.DUMMYFUNCTION("IF(E2333&lt;&gt;"""", GOOGLETRANSLATE(E2333, ""en"", ""te""),"""")"),"")</f>
        <v/>
      </c>
      <c r="G2333" s="2"/>
      <c r="H2333" s="2" t="str">
        <f>IFERROR(__xludf.DUMMYFUNCTION("IF(G2333&lt;&gt;"""", GOOGLETRANSLATE(G2333, ""en"", ""te""),"""")"),"")</f>
        <v/>
      </c>
      <c r="I2333" s="3"/>
    </row>
    <row r="2334" customHeight="1" spans="1:9">
      <c r="A2334" s="2"/>
      <c r="B2334" s="2" t="str">
        <f>IFERROR(__xludf.DUMMYFUNCTION("IF(A2334&lt;&gt;"""", GOOGLETRANSLATE(A2334, ""en"", ""te""),"""")"),"")</f>
        <v/>
      </c>
      <c r="C2334" s="2" t="s">
        <v>1625</v>
      </c>
      <c r="D2334" s="2" t="str">
        <f>IFERROR(__xludf.DUMMYFUNCTION("IF(C2334&lt;&gt;"""", GOOGLETRANSLATE(C2334, ""en"", ""te""),"""")"),"[ '21 వ అత్యంత వంద (1341) లేకుండా ఒక వృత్తిలో పరుగులు' '30 వ తొలి మ్యాచ్లో అత్యధిక పరుగులు (167)', '18 వ తొంభై తొలి (92)']")</f>
        <v>[ '21 వ అత్యంత వంద (1341) లేకుండా ఒక వృత్తిలో పరుగులు' '30 వ తొలి మ్యాచ్లో అత్యధిక పరుగులు (167)', '18 వ తొంభై తొలి (92)']</v>
      </c>
      <c r="E2334" s="2" t="s">
        <v>903</v>
      </c>
      <c r="F2334" s="2" t="str">
        <f>IFERROR(__xludf.DUMMYFUNCTION("IF(E2334&lt;&gt;"""", GOOGLETRANSLATE(E2334, ""en"", ""te""),"""")"),"[ 'కెరీర్లో 18 వ లేవు బాతులు (23)']")</f>
        <v>[ 'కెరీర్లో 18 వ లేవు బాతులు (23)']</v>
      </c>
      <c r="G2334" s="2"/>
      <c r="H2334" s="2" t="str">
        <f>IFERROR(__xludf.DUMMYFUNCTION("IF(G2334&lt;&gt;"""", GOOGLETRANSLATE(G2334, ""en"", ""te""),"""")"),"")</f>
        <v/>
      </c>
      <c r="I2334" s="3"/>
    </row>
    <row r="2335" customHeight="1" spans="1:9">
      <c r="A2335" s="2" t="s">
        <v>1626</v>
      </c>
      <c r="B2335" s="2" t="str">
        <f>IFERROR(__xludf.DUMMYFUNCTION("IF(A2335&lt;&gt;"""", GOOGLETRANSLATE(A2335, ""en"", ""te""),"""")"),"[ '8 వ సంఖ్య పదకొండు ఇన్నింగ్స్ లో టాప్ స్కోరింగ్ (14)', '5 వ పరాజయం వైపు (8) ఒక ఇన్నింగ్స్ లోని బెస్ట్ ఫిగర్స్' '6 వ అత్యధిక పరుగులు ఒక మ్యాచ్లో సాధించిన (298)', '5 వ అత్యధిక వికెట్లు తీసుకున్న ఒక ఫీల్డర్ చేత క్యాచ్ (243) ',' 1000 పరుగులు మరియు 100 వికె"&amp;"ట్లు ',' 1000 పరుగులు, 50 వికెట్లు, 50 క్యాచ్లు ']")</f>
        <v>[ '8 వ సంఖ్య పదకొండు ఇన్నింగ్స్ లో టాప్ స్కోరింగ్ (14)', '5 వ పరాజయం వైపు (8) ఒక ఇన్నింగ్స్ లోని బెస్ట్ ఫిగర్స్' '6 వ అత్యధిక పరుగులు ఒక మ్యాచ్లో సాధించిన (298)', '5 వ అత్యధిక వికెట్లు తీసుకున్న ఒక ఫీల్డర్ చేత క్యాచ్ (243) ',' 1000 పరుగులు మరియు 100 వికెట్లు ',' 1000 పరుగులు, 50 వికెట్లు, 50 క్యాచ్లు ']</v>
      </c>
      <c r="C2335" s="2" t="s">
        <v>1627</v>
      </c>
      <c r="D2335" s="2" t="str">
        <f>IFERROR(__xludf.DUMMYFUNCTION("IF(C2335&lt;&gt;"""", GOOGLETRANSLATE(C2335, ""en"", ""te""),"""")"),"[ '41 వ అత్యంత వంద (1101) లేకుండా ఒక వృత్తిలో పరుగులు', 'ఇన్నింగ్స్ లో 8 వ సంఖ్య పదకొండు టాప్ స్కోరింగ్ (14)', '17 వ కెరీర్ లో అత్యధిక వికెట్లు (399)', '40 వ ఇన్నింగ్స్ లో బెస్ట్ ఫిగర్స్ (8 / 50) ',' 25 వ మ్యాచ్ లో బెస్ట్ ఫిగర్స్ (13) ',' 30th ఒక క్యాలెండ"&amp;"ర్ సంవత్సరంలో అత్యధిక వికెట్లు (63) ',' 48 వ ఒకే మైదానంలో అత్యధిక వికెట్లు (51) ',' 5 వ ఉత్తమ ఇన్నింగ్స్ లో సంఖ్యలు పరాజయం వైపు ఉన్నప్పుడు (8) ',' 16 వ ఉత్తమ ఆర్థిక వ్యవస్థ ఇన్నింగ్స్లో రేటు (0.45) ',' 24 వ అత్యంత అయిదు వికెట్లు-ఇన్-ఒక-ఇన్నింగ్స్ కెరీర్"&amp;"లో (18) ',' 29 వ అత్యధిక పది wickets- లో-ఒక-మ్యాచ్ ఒక వృత్తిలో (3) ',' 18 వ వరుస ఐదు వికెట్ల లో-ఒక-ఇన్నింగ్స్ (3) ',' 13 వ కెరీర్ లో బౌల్డ్ చాలా బంతుల్లో (25690) ',' 8 వ అత్యధిక కెరీర్ లో సాధించిన పరుగులు (12816) ',' 20 వ ఇన్నింగ్స్ లో సాధించిన అత్యధిక పర"&amp;"ుగులు (215) ',' 6 వ అత్యధిక పరుగులు ఒక మ్యాచ్ (298) ',' 44 వ బౌలర్ / ఫీల్డర్ కలయికలు (40) ',' 11 వ అత్యధిక వికెట్లు ఆకర్షించింది తీసుకున్న సాధించింది (283 ) ',' 7 వ అత్యధిక వికెట్లు తీసుకున్న క్యాచ్ మరియు బౌల్డ్ (15) ',' 5 వ అత్యధిక వికెట్లు ఒక ఫీల్డర్ చే"&amp;"త క్యాచ్ తీసుకున్న (243) ',' 30 వ అత్యధిక వికెట్లు తీసుకున్న ఎల్బిడబ్ల్యు (52) ',' 11 వ అత్యంత వికెట్ 250 వికెట్లు వేగంగా స్టంప్ (17) ',' 34 వ తీసుకువెళ్లారు (68) ',' 25 వ 300 వికెట్లు వేగంగా (77) ',' 18 వ 350 వికెట్లు జట్టు (87) ',' 15 వ వరుస మ్యాచ్లు వే"&amp;"గంగా ( 78 *) ']")</f>
        <v>[ '41 వ అత్యంత వంద (1101) లేకుండా ఒక వృత్తిలో పరుగులు', 'ఇన్నింగ్స్ లో 8 వ సంఖ్య పదకొండు టాప్ స్కోరింగ్ (14)', '17 వ కెరీర్ లో అత్యధిక వికెట్లు (399)', '40 వ ఇన్నింగ్స్ లో బెస్ట్ ఫిగర్స్ (8 / 50) ',' 25 వ మ్యాచ్ లో బెస్ట్ ఫిగర్స్ (13) ',' 30th ఒక క్యాలెండర్ సంవత్సరంలో అత్యధిక వికెట్లు (63) ',' 48 వ ఒకే మైదానంలో అత్యధిక వికెట్లు (51) ',' 5 వ ఉత్తమ ఇన్నింగ్స్ లో సంఖ్యలు పరాజయం వైపు ఉన్నప్పుడు (8) ',' 16 వ ఉత్తమ ఆర్థిక వ్యవస్థ ఇన్నింగ్స్లో రేటు (0.45) ',' 24 వ అత్యంత అయిదు వికెట్లు-ఇన్-ఒక-ఇన్నింగ్స్ కెరీర్లో (18) ',' 29 వ అత్యధిక పది wickets- లో-ఒక-మ్యాచ్ ఒక వృత్తిలో (3) ',' 18 వ వరుస ఐదు వికెట్ల లో-ఒక-ఇన్నింగ్స్ (3) ',' 13 వ కెరీర్ లో బౌల్డ్ చాలా బంతుల్లో (25690) ',' 8 వ అత్యధిక కెరీర్ లో సాధించిన పరుగులు (12816) ',' 20 వ ఇన్నింగ్స్ లో సాధించిన అత్యధిక పరుగులు (215) ',' 6 వ అత్యధిక పరుగులు ఒక మ్యాచ్ (298) ',' 44 వ బౌలర్ / ఫీల్డర్ కలయికలు (40) ',' 11 వ అత్యధిక వికెట్లు ఆకర్షించింది తీసుకున్న సాధించింది (283 ) ',' 7 వ అత్యధిక వికెట్లు తీసుకున్న క్యాచ్ మరియు బౌల్డ్ (15) ',' 5 వ అత్యధిక వికెట్లు ఒక ఫీల్డర్ చేత క్యాచ్ తీసుకున్న (243) ',' 30 వ అత్యధిక వికెట్లు తీసుకున్న ఎల్బిడబ్ల్యు (52) ',' 11 వ అత్యంత వికెట్ 250 వికెట్లు వేగంగా స్టంప్ (17) ',' 34 వ తీసుకువెళ్లారు (68) ',' 25 వ 300 వికెట్లు వేగంగా (77) ',' 18 వ 350 వికెట్లు జట్టు (87) ',' 15 వ వరుస మ్యాచ్లు వేగంగా ( 78 *) ']</v>
      </c>
      <c r="E2335" s="2"/>
      <c r="F2335" s="2" t="str">
        <f>IFERROR(__xludf.DUMMYFUNCTION("IF(E2335&lt;&gt;"""", GOOGLETRANSLATE(E2335, ""en"", ""te""),"""")"),"")</f>
        <v/>
      </c>
      <c r="G2335" s="2"/>
      <c r="H2335" s="2" t="str">
        <f>IFERROR(__xludf.DUMMYFUNCTION("IF(G2335&lt;&gt;"""", GOOGLETRANSLATE(G2335, ""en"", ""te""),"""")"),"")</f>
        <v/>
      </c>
      <c r="I2335" s="3"/>
    </row>
    <row r="2336" customHeight="1" spans="1:9">
      <c r="A2336" s="2" t="s">
        <v>1628</v>
      </c>
      <c r="B2336" s="2" t="str">
        <f>IFERROR(__xludf.DUMMYFUNCTION("IF(A2336&lt;&gt;"""", GOOGLETRANSLATE(A2336, ""en"", ""te""),"""")"),"[ 'ఒక క్యాలెండర్ సంవత్సరంలో 3 వ అత్యధిక వికెట్లు (85)', '4 వ అత్యధిక వరుస పది వికెట్లు లో ఒక మ్యాచ్ (2)', '1 వ బౌలర్ / ఫీల్డర్ కలయికలు (95)', '300 వికెట్లు 2nd వేగవంతమైన ( 56) ',' 6 వ అత్యధిక వరుస బాతులు (3) ',' 4 వ ఒక సిరీస్లో అత్యధిక వికెట్లు (25) ',' "&amp;"ఇన్నింగ్స్ లో 7 వ ఉత్తమ ఆర్థిక రేటు (0.60) ',' 4 వ వేగవంతమైన 50 వికెట్లు (24) ', 'ఒక క్యాలెండర్ సంవత్సరంలో 10 వ అత్యధిక వికెట్లు (105)', '5 వ అత్యధిక వరుస ఐదు వికెట్ల లో-ఒక-ఇన్నింగ్స్ (4)', '5 వ బౌలర్ / ఫీల్డర్ కలయికలు (117)']")</f>
        <v>[ 'ఒక క్యాలెండర్ సంవత్సరంలో 3 వ అత్యధిక వికెట్లు (85)', '4 వ అత్యధిక వరుస పది వికెట్లు లో ఒక మ్యాచ్ (2)', '1 వ బౌలర్ / ఫీల్డర్ కలయికలు (95)', '300 వికెట్లు 2nd వేగవంతమైన ( 56) ',' 6 వ అత్యధిక వరుస బాతులు (3) ',' 4 వ ఒక సిరీస్లో అత్యధిక వికెట్లు (25) ',' ఇన్నింగ్స్ లో 7 వ ఉత్తమ ఆర్థిక రేటు (0.60) ',' 4 వ వేగవంతమైన 50 వికెట్లు (24) ', 'ఒక క్యాలెండర్ సంవత్సరంలో 10 వ అత్యధిక వికెట్లు (105)', '5 వ అత్యధిక వరుస ఐదు వికెట్ల లో-ఒక-ఇన్నింగ్స్ (4)', '5 వ బౌలర్ / ఫీల్డర్ కలయికలు (117)']</v>
      </c>
      <c r="C2336" s="2" t="s">
        <v>1629</v>
      </c>
      <c r="D2336" s="2" t="str">
        <f>IFERROR(__xludf.DUMMYFUNCTION("IF(C2336&lt;&gt;"""", GOOGLETRANSLATE(C2336, ""en"", ""te""),"""")"),"[ '24 వ కెరీర్ లో అత్యధిక వికెట్లు (355)', '9 వ ఒక సిరీస్లో అత్యధిక వికెట్లు (39)', 'ఒక క్యాలెండర్ సంవత్సరంలో 3 వ అత్యధిక వికెట్లు (85)', '19 వ అత్యుత్తమ బౌలింగ్ ఇన్నింగ్స్ లో విశ్లేషించడం (5/15) ',' ఒకే మైదానంలో 9 వ అత్యధిక వికెట్లు (82) ',' 14 వ అత్యంత"&amp;" ఐదు-వికెట్ల లో-ఒక-ఇన్నింగ్స్ కెరీర్లో (23) ',' 6 వ అత్యంత పది వికెట్లు లో ఒక మ్యాచ్ ఒక వృత్తిలో (7) ',' 5 వ అత్యధిక వరుస ఐదు వికెట్ల లో-ఒక-ఇన్నింగ్స్ (4) ',' 4 వ అత్యధిక వరుస పది వికెట్లు లో ఒక మ్యాచ్ (2) ',' తీసుకోవాలని 38 వ పిన్న ఆటగాడు పది వికెట్లు -ఇ"&amp;"న్-ఒక-మ్యాచ్ (23y 23d) ',' 31 కెరీర్లో బౌల్డ్ చాలా బంతుల్లో (18467) ',' 32 వ కెరీర్ (8493) లో సాధించిన అత్యధిక పరుగులు ',' 27 వ అత్యధిక పరుగులు ఒక మ్యాచ్లో సాధించిన (267) ',' 18 వ బౌలర్ / బ్యాటర్ కలయికలు (12) ',' 1 వ బౌలర్ / ఫీల్డర్ కలయికలు (95) ',' 47 వ "&amp;"అత్యధిక వికెట్లు తీసుకున్న బౌల్డ్ (54) ',' 16 వ అత్యధిక వికెట్లు తీసుకున్న ఆకర్షించింది (239) ',' 26th అత్యధిక వికెట్లు పట్టుకుంటే తీసుకున్న 50 వికెట్లు ఒక ఫీల్డర్ (142) ',' ఒక వికెట్ కీపర్ చే కాట్ తీసుకున్న 7 వ అత్యధిక వికెట్లు (97) ',' 25 వ అత్యధిక వికె"&amp;"ట్లు తీసుకున్న ఎల్బిడబ్ల్యు (62) ',' 20 వ వేగంగా (10) ',' 27th 100 వికెట్లు వేగంగా (22) ',' 150 వికెట్లు (31) ',' 200 వికెట్లు (38) వేగంగా 4 వ ',' 250 వికెట్లు 2nd వేగవంతమైన (48) ',' 2 వ వేగవంతమైన 300 వికెట్లు వేగంగా 10 వ (56) ',' 5 వ వేగవంతమైన 350 విక"&amp;"ెట్లు (70) ']")</f>
        <v>[ '24 వ కెరీర్ లో అత్యధిక వికెట్లు (355)', '9 వ ఒక సిరీస్లో అత్యధిక వికెట్లు (39)', 'ఒక క్యాలెండర్ సంవత్సరంలో 3 వ అత్యధిక వికెట్లు (85)', '19 వ అత్యుత్తమ బౌలింగ్ ఇన్నింగ్స్ లో విశ్లేషించడం (5/15) ',' ఒకే మైదానంలో 9 వ అత్యధిక వికెట్లు (82) ',' 14 వ అత్యంత ఐదు-వికెట్ల లో-ఒక-ఇన్నింగ్స్ కెరీర్లో (23) ',' 6 వ అత్యంత పది వికెట్లు లో ఒక మ్యాచ్ ఒక వృత్తిలో (7) ',' 5 వ అత్యధిక వరుస ఐదు వికెట్ల లో-ఒక-ఇన్నింగ్స్ (4) ',' 4 వ అత్యధిక వరుస పది వికెట్లు లో ఒక మ్యాచ్ (2) ',' తీసుకోవాలని 38 వ పిన్న ఆటగాడు పది వికెట్లు -ఇన్-ఒక-మ్యాచ్ (23y 23d) ',' 31 కెరీర్లో బౌల్డ్ చాలా బంతుల్లో (18467) ',' 32 వ కెరీర్ (8493) లో సాధించిన అత్యధిక పరుగులు ',' 27 వ అత్యధిక పరుగులు ఒక మ్యాచ్లో సాధించిన (267) ',' 18 వ బౌలర్ / బ్యాటర్ కలయికలు (12) ',' 1 వ బౌలర్ / ఫీల్డర్ కలయికలు (95) ',' 47 వ అత్యధిక వికెట్లు తీసుకున్న బౌల్డ్ (54) ',' 16 వ అత్యధిక వికెట్లు తీసుకున్న ఆకర్షించింది (239) ',' 26th అత్యధిక వికెట్లు పట్టుకుంటే తీసుకున్న 50 వికెట్లు ఒక ఫీల్డర్ (142) ',' ఒక వికెట్ కీపర్ చే కాట్ తీసుకున్న 7 వ అత్యధిక వికెట్లు (97) ',' 25 వ అత్యధిక వికెట్లు తీసుకున్న ఎల్బిడబ్ల్యు (62) ',' 20 వ వేగంగా (10) ',' 27th 100 వికెట్లు వేగంగా (22) ',' 150 వికెట్లు (31) ',' 200 వికెట్లు (38) వేగంగా 4 వ ',' 250 వికెట్లు 2nd వేగవంతమైన (48) ',' 2 వ వేగవంతమైన 300 వికెట్లు వేగంగా 10 వ (56) ',' 5 వ వేగవంతమైన 350 వికెట్లు (70) ']</v>
      </c>
      <c r="E2336" s="2" t="s">
        <v>1630</v>
      </c>
      <c r="F2336" s="2" t="str">
        <f>IFERROR(__xludf.DUMMYFUNCTION("IF(E2336&lt;&gt;"""", GOOGLETRANSLATE(E2336, ""en"", ""te""),"""")"),"[ '6 వ అత్యధిక వరుస బాతులు (3)', '4 వ అత్యధిక వికెట్లు వరుస (25)', '24th ఒకే మైదానంలో అత్యధిక వికెట్లు (42)', '19 వ ఉత్తమ' 9 వ ఉత్తమ కెరీర్ సగటు (20.82) బౌలింగ్ ' వృత్తి ఆర్థిక రేటు (3.58) ',' ఇన్నింగ్స్ లో 7 వ ఉత్తమ ఆర్థిక రేటు (0.60) ',' 13 వ వరుస నాలు"&amp;"గు వికెట్లు-ఇన్-ఒక-ఇన్నింగ్స్ (2) ',' 4 వ వేగవంతమైన 50 వికెట్లు (24) ', '15 వ వేగంగా 100 వికెట్లు (60)']")</f>
        <v>[ '6 వ అత్యధిక వరుస బాతులు (3)', '4 వ అత్యధిక వికెట్లు వరుస (25)', '24th ఒకే మైదానంలో అత్యధిక వికెట్లు (42)', '19 వ ఉత్తమ' 9 వ ఉత్తమ కెరీర్ సగటు (20.82) బౌలింగ్ ' వృత్తి ఆర్థిక రేటు (3.58) ',' ఇన్నింగ్స్ లో 7 వ ఉత్తమ ఆర్థిక రేటు (0.60) ',' 13 వ వరుస నాలుగు వికెట్లు-ఇన్-ఒక-ఇన్నింగ్స్ (2) ',' 4 వ వేగవంతమైన 50 వికెట్లు (24) ', '15 వ వేగంగా 100 వికెట్లు (60)']</v>
      </c>
      <c r="G2336" s="2"/>
      <c r="H2336" s="2" t="str">
        <f>IFERROR(__xludf.DUMMYFUNCTION("IF(G2336&lt;&gt;"""", GOOGLETRANSLATE(G2336, ""en"", ""te""),"""")"),"")</f>
        <v/>
      </c>
      <c r="I2336" s="3"/>
    </row>
    <row r="2337" customHeight="1" spans="1:9">
      <c r="A2337" s="2"/>
      <c r="B2337" s="2" t="str">
        <f>IFERROR(__xludf.DUMMYFUNCTION("IF(A2337&lt;&gt;"""", GOOGLETRANSLATE(A2337, ""en"", ""te""),"""")"),"")</f>
        <v/>
      </c>
      <c r="C2337" s="2"/>
      <c r="D2337" s="2" t="str">
        <f>IFERROR(__xludf.DUMMYFUNCTION("IF(C2337&lt;&gt;"""", GOOGLETRANSLATE(C2337, ""en"", ""te""),"""")"),"")</f>
        <v/>
      </c>
      <c r="E2337" s="2"/>
      <c r="F2337" s="2" t="str">
        <f>IFERROR(__xludf.DUMMYFUNCTION("IF(E2337&lt;&gt;"""", GOOGLETRANSLATE(E2337, ""en"", ""te""),"""")"),"")</f>
        <v/>
      </c>
      <c r="G2337" s="2"/>
      <c r="H2337" s="2" t="str">
        <f>IFERROR(__xludf.DUMMYFUNCTION("IF(G2337&lt;&gt;"""", GOOGLETRANSLATE(G2337, ""en"", ""te""),"""")"),"")</f>
        <v/>
      </c>
      <c r="I2337" s="3"/>
    </row>
    <row r="2338" customHeight="1" spans="1:9">
      <c r="A2338" s="2" t="s">
        <v>1631</v>
      </c>
      <c r="B2338" s="2" t="str">
        <f>IFERROR(__xludf.DUMMYFUNCTION("IF(A2338&lt;&gt;"""", GOOGLETRANSLATE(A2338, ""en"", ""te""),"""")"),"[ 'ఒక మ్యాచ్లో 8 వ అత్యధిక వికెట్లు (9)', 'ఒక మ్యాచ్లో 3 వ అత్యంత స్టంపింగ్లు (4)']")</f>
        <v>[ 'ఒక మ్యాచ్లో 8 వ అత్యధిక వికెట్లు (9)', 'ఒక మ్యాచ్లో 3 వ అత్యంత స్టంపింగ్లు (4)']</v>
      </c>
      <c r="C2338" s="2" t="s">
        <v>1632</v>
      </c>
      <c r="D2338" s="2" t="str">
        <f>IFERROR(__xludf.DUMMYFUNCTION("IF(C2338&lt;&gt;"""", GOOGLETRANSLATE(C2338, ""en"", ""te""),"""")"),"[ '49 వ కెరీర్ లో అత్యధిక వికెట్లు (98)', '8 వ మ్యాచ్ లో అత్యధిక వికెట్లు (9)', '37 వ ఒక సిరీస్లో అత్యధిక వికెట్లు (21)', '26 ఒక మ్యాచ్లో అత్యధిక క్యాచ్లు (8)', '29th ఒక మ్యాచ్లో జీవితంలో అత్యధిక స్టంపింగ్లు (15) ',' ఇన్నింగ్స్ (3) ',' 3 వ అత్యంత స్టంపింగ"&amp;"్లు లో 4 వ అత్యంత స్టంపింగ్లు (4) ',' 18 వ ఒక సిరీస్లో అత్యధిక స్టంపింగ్లు (5) ']")</f>
        <v>[ '49 వ కెరీర్ లో అత్యధిక వికెట్లు (98)', '8 వ మ్యాచ్ లో అత్యధిక వికెట్లు (9)', '37 వ ఒక సిరీస్లో అత్యధిక వికెట్లు (21)', '26 ఒక మ్యాచ్లో అత్యధిక క్యాచ్లు (8)', '29th ఒక మ్యాచ్లో జీవితంలో అత్యధిక స్టంపింగ్లు (15) ',' ఇన్నింగ్స్ (3) ',' 3 వ అత్యంత స్టంపింగ్లు లో 4 వ అత్యంత స్టంపింగ్లు (4) ',' 18 వ ఒక సిరీస్లో అత్యధిక స్టంపింగ్లు (5) ']</v>
      </c>
      <c r="E2338" s="2"/>
      <c r="F2338" s="2" t="str">
        <f>IFERROR(__xludf.DUMMYFUNCTION("IF(E2338&lt;&gt;"""", GOOGLETRANSLATE(E2338, ""en"", ""te""),"""")"),"")</f>
        <v/>
      </c>
      <c r="G2338" s="2"/>
      <c r="H2338" s="2" t="str">
        <f>IFERROR(__xludf.DUMMYFUNCTION("IF(G2338&lt;&gt;"""", GOOGLETRANSLATE(G2338, ""en"", ""te""),"""")"),"")</f>
        <v/>
      </c>
      <c r="I2338" s="3"/>
    </row>
    <row r="2339" customHeight="1" spans="1:9">
      <c r="A2339" s="2" t="s">
        <v>1633</v>
      </c>
      <c r="B2339" s="2" t="str">
        <f>IFERROR(__xludf.DUMMYFUNCTION("IF(A2339&lt;&gt;"""", GOOGLETRANSLATE(A2339, ""en"", ""te""),"""")"),"[ '10 వ ఒక క్యాలెండర్ సంవత్సరంలో అత్యధిక పరుగులు (1481)', 'హండ్రెడ్ మరియు ఒక మ్యాచ్లో తొంభై', 'హండ్రెడ్ మరియు ఒక మ్యాచ్లో ఒక డక్', '5000 పరుగులు మరియు 50 ఫీల్డింగ్ వికెట్లు', 'ఐదవ 9 వ అత్యధిక భాగస్వామ్యం వికెట్ (327) ',' 10 వ అత్యంత బైలు ఇన్నింగ్స్ లో స"&amp;"ాధించిన (12) ']")</f>
        <v>[ '10 వ ఒక క్యాలెండర్ సంవత్సరంలో అత్యధిక పరుగులు (1481)', 'హండ్రెడ్ మరియు ఒక మ్యాచ్లో తొంభై', 'హండ్రెడ్ మరియు ఒక మ్యాచ్లో ఒక డక్', '5000 పరుగులు మరియు 50 ఫీల్డింగ్ వికెట్లు', 'ఐదవ 9 వ అత్యధిక భాగస్వామ్యం వికెట్ (327) ',' 10 వ అత్యంత బైలు ఇన్నింగ్స్ లో సాధించిన (12) ']</v>
      </c>
      <c r="C2339" s="2" t="s">
        <v>1634</v>
      </c>
      <c r="D2339" s="2" t="str">
        <f>IFERROR(__xludf.DUMMYFUNCTION("IF(C2339&lt;&gt;"""", GOOGLETRANSLATE(C2339, ""en"", ""te""),"""")"),"[ '34 వ కెరీర్ లో అత్యధిక పరుగులు (7696)', '10th ఒక క్యాలెండర్ సంవత్సరంలో అత్యధిక పరుగులు (1481)', '28th ఒక వృత్తిలో అత్యధిక వందలు (23)', 'ఒక కెరీర్లో 27 వ అత్యధిక డబుల్ సెంచరీలు (3)', 'వరుస మ్యాచ్లలో 21 వందల (3)', '47 వ కెరీర్ అర్ధ (53)', 'వరుస మ్యాచ్లలో"&amp;" 26 యాభైల్లో (7)', '30 వ వరుస' 19 ఒక క్యాలెండర్ ఏడాది (5) అత్యధిక వందలు ' ఒక డక్ లేకుండా ఇన్నింగ్స్ (60) ',' 32 వ కెరీర్ ఫోర్లు (912) ',' 46 వ 5000 వేగంగా పరుగులు (118) ',' ఫాస్టెస్ట్ 6000 పరుగులు (139) ',' 30 వ వేగవంతమైన 7000 పరుగులు 37 వ (159 ) ',' మొ"&amp;"దటి వికెట్కు 32 వ అత్యధిక భాగస్వామ్యం (255) ఐదో వికెట్కు (327) ',' ఆరవ వికెట్కు 25 అత్యధిక భాగస్వామ్యం (238) ',' మోస్ట్ ప్లేయర్ ఆఫ్ 41 వ కోసం ',' 9 వ అత్యధిక భాగస్వామ్యం మ్యాచ్ అవార్డులు (8) ']")</f>
        <v>[ '34 వ కెరీర్ లో అత్యధిక పరుగులు (7696)', '10th ఒక క్యాలెండర్ సంవత్సరంలో అత్యధిక పరుగులు (1481)', '28th ఒక వృత్తిలో అత్యధిక వందలు (23)', 'ఒక కెరీర్లో 27 వ అత్యధిక డబుల్ సెంచరీలు (3)', 'వరుస మ్యాచ్లలో 21 వందల (3)', '47 వ కెరీర్ అర్ధ (53)', 'వరుస మ్యాచ్లలో 26 యాభైల్లో (7)', '30 వ వరుస' 19 ఒక క్యాలెండర్ ఏడాది (5) అత్యధిక వందలు ' ఒక డక్ లేకుండా ఇన్నింగ్స్ (60) ',' 32 వ కెరీర్ ఫోర్లు (912) ',' 46 వ 5000 వేగంగా పరుగులు (118) ',' ఫాస్టెస్ట్ 6000 పరుగులు (139) ',' 30 వ వేగవంతమైన 7000 పరుగులు 37 వ (159 ) ',' మొదటి వికెట్కు 32 వ అత్యధిక భాగస్వామ్యం (255) ఐదో వికెట్కు (327) ',' ఆరవ వికెట్కు 25 అత్యధిక భాగస్వామ్యం (238) ',' మోస్ట్ ప్లేయర్ ఆఫ్ 41 వ కోసం ',' 9 వ అత్యధిక భాగస్వామ్యం మ్యాచ్ అవార్డులు (8) ']</v>
      </c>
      <c r="E2339" s="2" t="s">
        <v>1635</v>
      </c>
      <c r="F2339" s="2" t="str">
        <f>IFERROR(__xludf.DUMMYFUNCTION("IF(E2339&lt;&gt;"""", GOOGLETRANSLATE(E2339, ""en"", ""te""),"""")"),"[ '10 వ అత్యంత ఇన్నింగ్స్ లో సాధించిన బైస్ (12)']")</f>
        <v>[ '10 వ అత్యంత ఇన్నింగ్స్ లో సాధించిన బైస్ (12)']</v>
      </c>
      <c r="G2339" s="2"/>
      <c r="H2339" s="2" t="str">
        <f>IFERROR(__xludf.DUMMYFUNCTION("IF(G2339&lt;&gt;"""", GOOGLETRANSLATE(G2339, ""en"", ""te""),"""")"),"")</f>
        <v/>
      </c>
      <c r="I2339" s="3"/>
    </row>
    <row r="2340" customHeight="1" spans="1:9">
      <c r="A2340" s="2" t="s">
        <v>1636</v>
      </c>
      <c r="B2340" s="2" t="str">
        <f>IFERROR(__xludf.DUMMYFUNCTION("IF(A2340&lt;&gt;"""", GOOGLETRANSLATE(A2340, ""en"", ""te""),"""")"),"[ '4 వ బౌలర్ / ఫీల్డర్ కలయికలు (81)', '1000 పరుగులు మరియు 100 వికెట్లు', '6 వ అత్యధిక వరుస బాతులు (3)', '8 వ కెరీర్ లో అత్యధిక వికెట్లు (380)', '3 వ అత్యంత నాలుగు వికెట్ల in- ఒక కెరీర్ లో ఒక ఇన్నింగ్స్ (23) ',' 2 వ అత్యంత వికెట్కీపర్గా (92) ',' 1 వ ద్వారా"&amp;" ఆకర్షించింది తీసుకోబడిన వికెట్ల 350 వికెట్లు (202) ',' 1000 పరుగులు మరియు 100 వికెట్లు ',' 1000 పరుగులు, 50 వికెట్లు వేగంగా మరియు 50 క్యాచ్లు ',' 9 వ ఇన్నింగ్స్ లో అత్యధిక పరుగులు (బ్యాటింగ్ స్థానంలో ప్రకారం) (43 *) ',' 3 వ భాగం ఒక వికెట్ కీపర్ చే కాట్ త"&amp;"ీసుకోబడిన వికెట్ల (190) ']")</f>
        <v>[ '4 వ బౌలర్ / ఫీల్డర్ కలయికలు (81)', '1000 పరుగులు మరియు 100 వికెట్లు', '6 వ అత్యధిక వరుస బాతులు (3)', '8 వ కెరీర్ లో అత్యధిక వికెట్లు (380)', '3 వ అత్యంత నాలుగు వికెట్ల in- ఒక కెరీర్ లో ఒక ఇన్నింగ్స్ (23) ',' 2 వ అత్యంత వికెట్కీపర్గా (92) ',' 1 వ ద్వారా ఆకర్షించింది తీసుకోబడిన వికెట్ల 350 వికెట్లు (202) ',' 1000 పరుగులు మరియు 100 వికెట్లు ',' 1000 పరుగులు, 50 వికెట్లు వేగంగా మరియు 50 క్యాచ్లు ',' 9 వ ఇన్నింగ్స్ లో అత్యధిక పరుగులు (బ్యాటింగ్ స్థానంలో ప్రకారం) (43 *) ',' 3 వ భాగం ఒక వికెట్ కీపర్ చే కాట్ తీసుకోబడిన వికెట్ల (190) ']</v>
      </c>
      <c r="C2340" s="2" t="s">
        <v>1637</v>
      </c>
      <c r="D2340" s="2" t="str">
        <f>IFERROR(__xludf.DUMMYFUNCTION("IF(C2340&lt;&gt;"""", GOOGLETRANSLATE(C2340, ""en"", ""te""),"""")"),"[ 'వంద (1451) లేకుండా ఒక వృత్తిలో 13 వ అత్యధిక పరుగులు' 'కెరీర్లో 30 వ అత్యధిక వికెట్లు (310)', '43 వ చెత్త కెరీర్లో ఆర్థిక రేటు (3.46)', 'ఇన్నింగ్స్ లో 34 వ చెత్త ఆర్థిక రేటు (6.52)' '39 వ కెరీర్ లో బౌల్డ్ చాలా బంతుల్లో (16531)', '23 వ కెరీర్ లో సాధించిన"&amp;" అత్యధిక పరుగులు (9554)', '34 వ ఇన్నింగ్స్ లో సాధించిన అత్యధిక పరుగులు (201)', '17 వ అత్యంత ఒక మ్యాచ్లో సాధించిన పరుగులు (276)' '4 వ బౌలర్ / ఫీల్డర్ కలయికలు (81)', '30 వ అత్యధిక వికెట్లు తీసుకున్న క్యాచ్ (200)', '44 వ అత్యధిక వికెట్లు తీసుకున్న ఫీల్డర్ చే"&amp;"త క్యాచ్ (109)', '14 వ' 30 వ అత్యధిక వికెట్లు బౌల్డ్ (66) తీసుకున్న ' ఎక్కువ వికెట్లు 200 వికెట్లు 250 వికెట్లు (51) ',' 26th వేగంగా 50 వికెట్లు (11) ',' 43 వ వేగంగా ఒక వికెట్కీపర్గా (91) ',' 41 వ వేగంగా పట్టుకుంటే తీసుకోకూడదు (62) ',' 20 వ 300 ఫాస్టెస్ట్"&amp;" వికెట్లు (73) ']")</f>
        <v>[ 'వంద (1451) లేకుండా ఒక వృత్తిలో 13 వ అత్యధిక పరుగులు' 'కెరీర్లో 30 వ అత్యధిక వికెట్లు (310)', '43 వ చెత్త కెరీర్లో ఆర్థిక రేటు (3.46)', 'ఇన్నింగ్స్ లో 34 వ చెత్త ఆర్థిక రేటు (6.52)' '39 వ కెరీర్ లో బౌల్డ్ చాలా బంతుల్లో (16531)', '23 వ కెరీర్ లో సాధించిన అత్యధిక పరుగులు (9554)', '34 వ ఇన్నింగ్స్ లో సాధించిన అత్యధిక పరుగులు (201)', '17 వ అత్యంత ఒక మ్యాచ్లో సాధించిన పరుగులు (276)' '4 వ బౌలర్ / ఫీల్డర్ కలయికలు (81)', '30 వ అత్యధిక వికెట్లు తీసుకున్న క్యాచ్ (200)', '44 వ అత్యధిక వికెట్లు తీసుకున్న ఫీల్డర్ చేత క్యాచ్ (109)', '14 వ' 30 వ అత్యధిక వికెట్లు బౌల్డ్ (66) తీసుకున్న ' ఎక్కువ వికెట్లు 200 వికెట్లు 250 వికెట్లు (51) ',' 26th వేగంగా 50 వికెట్లు (11) ',' 43 వ వేగంగా ఒక వికెట్కీపర్గా (91) ',' 41 వ వేగంగా పట్టుకుంటే తీసుకోకూడదు (62) ',' 20 వ 300 ఫాస్టెస్ట్ వికెట్లు (73) ']</v>
      </c>
      <c r="E2340" s="2" t="s">
        <v>1638</v>
      </c>
      <c r="F2340" s="2" t="str">
        <f>IFERROR(__xludf.DUMMYFUNCTION("IF(E2340&lt;&gt;"""", GOOGLETRANSLATE(E2340, ""en"", ""te""),"""")"),"[ '37 వ కెరీర్ బాతులు (16)', '6 వ ఒక సిరీస్లో అత్యధిక బాతులు (3)', '6 వ అత్యధిక వరుస బాతులు (3)', '8 వ కెరీర్ లో అత్యధిక వికెట్లు (380)', '10 వ అత్యధిక వికెట్లు లో వరుస (22) ',' ఇన్నింగ్స్ లో (51) ',' 9 వ అత్యుత్తమ బౌలింగ్ విశ్లేషణ నిర్వహిస్తారు ఒక క్యాలె"&amp;"ండర్ సంవత్సరంలో 16 వ అత్యధిక వికెట్లు (3/5) ',' ఒకే మైదానంలో 28 అత్యధిక వికెట్లు (40) ',' 32 వ ఉత్తమ కెరీర్ బౌలింగ్ సరాసరి (23.36) ', '21 వ ఉత్తమ కెరీర్ సమ్మె రేటు (29.4)', 'ఇన్నింగ్స్ లో 22 వ ఉత్తమ ఆర్థిక రేటు (0.83)', '3 వ అత్యంత ఐదు-వికెట్ల లో-ఒక-ఇన్న"&amp;"ింగ్స్ కెరీర్లో (9 ) ',' 3 వ అత్యంత నాలుగు వికెట్లు-ఇన్-ఒక-ఇన్నింగ్స్ కెరీర్లో (23) ',' 13 వ వరుస నాలుగు వికెట్లు-ఇన్-ఒక-ఇన్నింగ్స్ (2) ',' అయిదు వికెట్లు తీసుకోవాలని 31 అత్యంత వృద్ధ ఆటగాడు -ఇన్-ఒక-ఇన్నింగ్స్ (32y 308d) ',' 14 వ కెరీర్ లో బౌల్డ్ (11185) '"&amp;",' 13 వ కెరీర్ లో సాధించిన అత్యధిక పరుగులు (8877) ',' 11 వ బౌలర్ / బ్యాట్స్ కలయికలు (9) ',' 4 వ బౌలరు బంతుల్లో / ఫీల్డర్ కలయికలు (58) ',' 8 వ అత్యధిక వికెట్లు బౌల్డ్ తీసుకున్న (89) ',' 3 వ అత్యంత తీసుకోబడిన వికెట్ల ఆకర్షించింది (250) ',' 11 వ అత్యధిక వికె"&amp;"ట్లు తీసుకున్న క్యాచ్ మరియు బౌల్డ్ (15) ',' 4 వ అత్యధిక వికెట్లు ఒక ఫీల్డర్ (158) ',' 2nd చాలా వికెట్ కీపర్ చే కాట్ తీసుకోబడిన వికెట్ల పట్టుకుంటే తీసుకోకూడదు (92) ',' 20 వ అత్యధిక వికెట్లు తీసుకున్న ఎల్బిడబ్ల్యు (39) ',' 3 వ అత్యంత తీసుకోబడిన వికెట్ల హిట్"&amp;" వికెట్ (2) ',' 32 వ వేగంగా 50 వికెట్లు (29) ',' 6 వ 100 వికెట్లు (55) ',' 150 వికెట్లు (82) వేగంగా 4 వ ',' 200 వికెట్లు (112) 2 వ వేగవంతమైన ',' 250 వికెట్లు 2nd వేగంగా వేగంగా (139) ',' 300 వికెట్లు వరుస (8) ',' తొమ్మిదవ వికెట్కు 29 అత్యధిక భాగస్వామ్యం ("&amp;"73 *) లో (171) ',' 350 వికెట్లు (202) ',' 24 వ అత్యధిక క్యాచ్లు వేగంగా 1st వేగంగా 1st ', '45 వ అత్యంత ప్లేయర్ ఆఫ్ ది సిరీస్ అవార్డులు (3)']")</f>
        <v>[ '37 వ కెరీర్ బాతులు (16)', '6 వ ఒక సిరీస్లో అత్యధిక బాతులు (3)', '6 వ అత్యధిక వరుస బాతులు (3)', '8 వ కెరీర్ లో అత్యధిక వికెట్లు (380)', '10 వ అత్యధిక వికెట్లు లో వరుస (22) ',' ఇన్నింగ్స్ లో (51) ',' 9 వ అత్యుత్తమ బౌలింగ్ విశ్లేషణ నిర్వహిస్తారు ఒక క్యాలెండర్ సంవత్సరంలో 16 వ అత్యధిక వికెట్లు (3/5) ',' ఒకే మైదానంలో 28 అత్యధిక వికెట్లు (40) ',' 32 వ ఉత్తమ కెరీర్ బౌలింగ్ సరాసరి (23.36) ', '21 వ ఉత్తమ కెరీర్ సమ్మె రేటు (29.4)', 'ఇన్నింగ్స్ లో 22 వ ఉత్తమ ఆర్థిక రేటు (0.83)', '3 వ అత్యంత ఐదు-వికెట్ల లో-ఒక-ఇన్నింగ్స్ కెరీర్లో (9 ) ',' 3 వ అత్యంత నాలుగు వికెట్లు-ఇన్-ఒక-ఇన్నింగ్స్ కెరీర్లో (23) ',' 13 వ వరుస నాలుగు వికెట్లు-ఇన్-ఒక-ఇన్నింగ్స్ (2) ',' అయిదు వికెట్లు తీసుకోవాలని 31 అత్యంత వృద్ధ ఆటగాడు -ఇన్-ఒక-ఇన్నింగ్స్ (32y 308d) ',' 14 వ కెరీర్ లో బౌల్డ్ (11185) ',' 13 వ కెరీర్ లో సాధించిన అత్యధిక పరుగులు (8877) ',' 11 వ బౌలర్ / బ్యాట్స్ కలయికలు (9) ',' 4 వ బౌలరు బంతుల్లో / ఫీల్డర్ కలయికలు (58) ',' 8 వ అత్యధిక వికెట్లు బౌల్డ్ తీసుకున్న (89) ',' 3 వ అత్యంత తీసుకోబడిన వికెట్ల ఆకర్షించింది (250) ',' 11 వ అత్యధిక వికెట్లు తీసుకున్న క్యాచ్ మరియు బౌల్డ్ (15) ',' 4 వ అత్యధిక వికెట్లు ఒక ఫీల్డర్ (158) ',' 2nd చాలా వికెట్ కీపర్ చే కాట్ తీసుకోబడిన వికెట్ల పట్టుకుంటే తీసుకోకూడదు (92) ',' 20 వ అత్యధిక వికెట్లు తీసుకున్న ఎల్బిడబ్ల్యు (39) ',' 3 వ అత్యంత తీసుకోబడిన వికెట్ల హిట్ వికెట్ (2) ',' 32 వ వేగంగా 50 వికెట్లు (29) ',' 6 వ 100 వికెట్లు (55) ',' 150 వికెట్లు (82) వేగంగా 4 వ ',' 200 వికెట్లు (112) 2 వ వేగవంతమైన ',' 250 వికెట్లు 2nd వేగంగా వేగంగా (139) ',' 300 వికెట్లు వరుస (8) ',' తొమ్మిదవ వికెట్కు 29 అత్యధిక భాగస్వామ్యం (73 *) లో (171) ',' 350 వికెట్లు (202) ',' 24 వ అత్యధిక క్యాచ్లు వేగంగా 1st వేగంగా 1st ', '45 వ అత్యంత ప్లేయర్ ఆఫ్ ది సిరీస్ అవార్డులు (3)']</v>
      </c>
      <c r="G2340" s="2" t="s">
        <v>1639</v>
      </c>
      <c r="H2340" s="2" t="str">
        <f>IFERROR(__xludf.DUMMYFUNCTION("IF(G2340&lt;&gt;"""", GOOGLETRANSLATE(G2340, ""en"", ""te""),"""")"),"[ 'ఇన్నింగ్స్ లో 9 వ అత్యధిక పరుగులు (బ్యాటింగ్ స్థానంలో ప్రకారం) (43 *)', '42 వ చెత్త కెరీర్లో ఆర్థిక రేటు (7.86)', '17 వ బౌలర్' 43 వ ఇన్నింగ్స్ లో సాధించిన (56) అత్యధిక పరుగులు '/ బ్యాట్స్ కలయికలు ( 3) ',' 22 వ అత్యధిక వికెట్లు ఒక వికెట్ కీపర్ చే కాట్ త"&amp;"ీసుకున్న (7) ',' 32 వ అత్యధిక వికెట్లు తీసుకున్న ఎల్బిడబ్ల్యు (5) ',' 15 వ ఇన్నింగ్స్ లో అత్యధిక క్యాచ్లు (3) ',' ఎనిమిదవ వికెట్కు 39 వ అత్యధిక భాగస్వామ్యం ( 36) ']")</f>
        <v>[ 'ఇన్నింగ్స్ లో 9 వ అత్యధిక పరుగులు (బ్యాటింగ్ స్థానంలో ప్రకారం) (43 *)', '42 వ చెత్త కెరీర్లో ఆర్థిక రేటు (7.86)', '17 వ బౌలర్' 43 వ ఇన్నింగ్స్ లో సాధించిన (56) అత్యధిక పరుగులు '/ బ్యాట్స్ కలయికలు ( 3) ',' 22 వ అత్యధిక వికెట్లు ఒక వికెట్ కీపర్ చే కాట్ తీసుకున్న (7) ',' 32 వ అత్యధిక వికెట్లు తీసుకున్న ఎల్బిడబ్ల్యు (5) ',' 15 వ ఇన్నింగ్స్ లో అత్యధిక క్యాచ్లు (3) ',' ఎనిమిదవ వికెట్కు 39 వ అత్యధిక భాగస్వామ్యం ( 36) ']</v>
      </c>
      <c r="I2340" s="3"/>
    </row>
    <row r="2341" customHeight="1" spans="1:9">
      <c r="A2341" s="2" t="s">
        <v>1640</v>
      </c>
      <c r="B2341" s="2" t="str">
        <f>IFERROR(__xludf.DUMMYFUNCTION("IF(A2341&lt;&gt;"""", GOOGLETRANSLATE(A2341, ""en"", ""te""),"""")"),"[ 'ఒక ఇన్నింగ్స్ లో 5 వ ఉత్తమ సంఖ్యలు ఉన్నప్పుడు పరాజయం వైపు (8)', '10 వ బౌలర్ / బ్యాటర్ కలయికలు (14)', '6 వ అత్యధిక వరుస నాలుగు వికెట్లు-ఇన్-ఒక-ఇన్నింగ్స్ (5)']")</f>
        <v>[ 'ఒక ఇన్నింగ్స్ లో 5 వ ఉత్తమ సంఖ్యలు ఉన్నప్పుడు పరాజయం వైపు (8)', '10 వ బౌలర్ / బ్యాటర్ కలయికలు (14)', '6 వ అత్యధిక వరుస నాలుగు వికెట్లు-ఇన్-ఒక-ఇన్నింగ్స్ (5)']</v>
      </c>
      <c r="C2341" s="2" t="s">
        <v>1641</v>
      </c>
      <c r="D2341" s="2" t="str">
        <f>IFERROR(__xludf.DUMMYFUNCTION("IF(C2341&lt;&gt;"""", GOOGLETRANSLATE(C2341, ""en"", ""te""),"""")"),"[ '5 వ ఒక ఇన్నింగ్స్ లోని బెస్ట్ ఫిగర్స్ ఉన్నప్పుడు పరాజయం వైపు (8)', '15 వ బెస్ట్ ఫిగర్స్ ఒక మ్యాచ్లో పరాజయం వైపు ఉన్నప్పుడు (11)', '18 వ అత్యంత' 22 వ వరుస (34) అత్యధిక వికెట్లు ' వరుసగా ఐదు వికెట్లు-ఇన్-ఒక-ఇన్నింగ్స్ (3) ',' 10 వ బౌలర్ / బ్యాటర్ కలయిక"&amp;"లు (14) ',' 41 వ 50 వికెట్లు (11) ',' 44 వ అత్యంత ప్లేయర్ ఆఫ్ ది సిరీస్ అవార్డులు వేగంగా (3 ) ']")</f>
        <v>[ '5 వ ఒక ఇన్నింగ్స్ లోని బెస్ట్ ఫిగర్స్ ఉన్నప్పుడు పరాజయం వైపు (8)', '15 వ బెస్ట్ ఫిగర్స్ ఒక మ్యాచ్లో పరాజయం వైపు ఉన్నప్పుడు (11)', '18 వ అత్యంత' 22 వ వరుస (34) అత్యధిక వికెట్లు ' వరుసగా ఐదు వికెట్లు-ఇన్-ఒక-ఇన్నింగ్స్ (3) ',' 10 వ బౌలర్ / బ్యాటర్ కలయికలు (14) ',' 41 వ 50 వికెట్లు (11) ',' 44 వ అత్యంత ప్లేయర్ ఆఫ్ ది సిరీస్ అవార్డులు వేగంగా (3 ) ']</v>
      </c>
      <c r="E2341" s="2" t="s">
        <v>1642</v>
      </c>
      <c r="F2341" s="2" t="str">
        <f>IFERROR(__xludf.DUMMYFUNCTION("IF(E2341&lt;&gt;"""", GOOGLETRANSLATE(E2341, ""en"", ""te""),"""")"),"[ '21 వ ఉత్తమ కెరీర్ ఆర్థిక రేటు (3.65)', 'ఇన్నింగ్స్ లో 15 వ ఉత్తమ ఆర్థిక రేటు (0.71)']")</f>
        <v>[ '21 వ ఉత్తమ కెరీర్ ఆర్థిక రేటు (3.65)', 'ఇన్నింగ్స్ లో 15 వ ఉత్తమ ఆర్థిక రేటు (0.71)']</v>
      </c>
      <c r="G2341" s="2"/>
      <c r="H2341" s="2" t="str">
        <f>IFERROR(__xludf.DUMMYFUNCTION("IF(G2341&lt;&gt;"""", GOOGLETRANSLATE(G2341, ""en"", ""te""),"""")"),"")</f>
        <v/>
      </c>
      <c r="I2341" s="3"/>
    </row>
    <row r="2342" customHeight="1" spans="1:9">
      <c r="A2342" s="2" t="s">
        <v>1643</v>
      </c>
      <c r="B2342" s="2" t="str">
        <f>IFERROR(__xludf.DUMMYFUNCTION("IF(A2342&lt;&gt;"""", GOOGLETRANSLATE(A2342, ""en"", ""te""),"""")"),"[ 'ఇన్నింగ్స్ లో 8 వ అత్యధిక పరుగులు (బ్యాటింగ్ స్థానంలో ప్రకారం) (24)', '9 వ మ్యాచ్లో ఉత్తమ సంఖ్యలు ఉన్నప్పుడు పరాజయం వైపు (6)']")</f>
        <v>[ 'ఇన్నింగ్స్ లో 8 వ అత్యధిక పరుగులు (బ్యాటింగ్ స్థానంలో ప్రకారం) (24)', '9 వ మ్యాచ్లో ఉత్తమ సంఖ్యలు ఉన్నప్పుడు పరాజయం వైపు (6)']</v>
      </c>
      <c r="C2342" s="2" t="s">
        <v>1644</v>
      </c>
      <c r="D2342" s="2" t="str">
        <f>IFERROR(__xludf.DUMMYFUNCTION("IF(C2342&lt;&gt;"""", GOOGLETRANSLATE(C2342, ""en"", ""te""),"""")"),"[ 'ఇన్నింగ్స్ లో 8 వ అత్యధిక పరుగులు (బ్యాటింగ్ స్థానంలో ప్రకారం) (24)', '15 ఇన్నింగ్స్లో ఉత్తమ సంఖ్యలు ఉన్నప్పుడు పరాజయం వైపు (4)', '9 వ మ్యాచ్లో ఉత్తమ సంఖ్యలు ఉన్నప్పుడు పరాజయం వైపు (6) ',' 34 వ ఉత్తమ కెరీర్ (13.00) (అర్హత లేకుండా) సగటు బౌలింగ్ ',' 12"&amp;" వ అత్యధిక వికెట్లు తీసుకున్న ఎల్బిడబ్ల్యు (8) ']")</f>
        <v>[ 'ఇన్నింగ్స్ లో 8 వ అత్యధిక పరుగులు (బ్యాటింగ్ స్థానంలో ప్రకారం) (24)', '15 ఇన్నింగ్స్లో ఉత్తమ సంఖ్యలు ఉన్నప్పుడు పరాజయం వైపు (4)', '9 వ మ్యాచ్లో ఉత్తమ సంఖ్యలు ఉన్నప్పుడు పరాజయం వైపు (6) ',' 34 వ ఉత్తమ కెరీర్ (13.00) (అర్హత లేకుండా) సగటు బౌలింగ్ ',' 12 వ అత్యధిక వికెట్లు తీసుకున్న ఎల్బిడబ్ల్యు (8) ']</v>
      </c>
      <c r="E2342" s="2" t="s">
        <v>1645</v>
      </c>
      <c r="F2342" s="2" t="str">
        <f>IFERROR(__xludf.DUMMYFUNCTION("IF(E2342&lt;&gt;"""", GOOGLETRANSLATE(E2342, ""en"", ""te""),"""")"),"[ '48 వ అత్యంత బౌల్డ్ వికెట్లు తీసుకున్నారు (16)']")</f>
        <v>[ '48 వ అత్యంత బౌల్డ్ వికెట్లు తీసుకున్నారు (16)']</v>
      </c>
      <c r="G2342" s="2"/>
      <c r="H2342" s="2" t="str">
        <f>IFERROR(__xludf.DUMMYFUNCTION("IF(G2342&lt;&gt;"""", GOOGLETRANSLATE(G2342, ""en"", ""te""),"""")"),"")</f>
        <v/>
      </c>
      <c r="I2342" s="3"/>
    </row>
    <row r="2343" customHeight="1" spans="1:9">
      <c r="A2343" s="2"/>
      <c r="B2343" s="2" t="str">
        <f>IFERROR(__xludf.DUMMYFUNCTION("IF(A2343&lt;&gt;"""", GOOGLETRANSLATE(A2343, ""en"", ""te""),"""")"),"")</f>
        <v/>
      </c>
      <c r="C2343" s="2"/>
      <c r="D2343" s="2" t="str">
        <f>IFERROR(__xludf.DUMMYFUNCTION("IF(C2343&lt;&gt;"""", GOOGLETRANSLATE(C2343, ""en"", ""te""),"""")"),"")</f>
        <v/>
      </c>
      <c r="E2343" s="2"/>
      <c r="F2343" s="2" t="str">
        <f>IFERROR(__xludf.DUMMYFUNCTION("IF(E2343&lt;&gt;"""", GOOGLETRANSLATE(E2343, ""en"", ""te""),"""")"),"")</f>
        <v/>
      </c>
      <c r="G2343" s="2"/>
      <c r="H2343" s="2" t="str">
        <f>IFERROR(__xludf.DUMMYFUNCTION("IF(G2343&lt;&gt;"""", GOOGLETRANSLATE(G2343, ""en"", ""te""),"""")"),"")</f>
        <v/>
      </c>
      <c r="I2343" s="3"/>
    </row>
    <row r="2344" customHeight="1" spans="1:9">
      <c r="A2344" s="2" t="s">
        <v>1646</v>
      </c>
      <c r="B2344" s="2" t="str">
        <f>IFERROR(__xludf.DUMMYFUNCTION("IF(A2344&lt;&gt;"""", GOOGLETRANSLATE(A2344, ""en"", ""te""),"""")"),"[ 'ఒక సిరీస్లో 4 అత్యధిక వికెట్లు (42)', '6 వ అత్యంత బాతులు సిరీస్ (3) లో' 'ఫాస్టెస్ట్ 50 వికెట్లు (8) 4']")</f>
        <v>[ 'ఒక సిరీస్లో 4 అత్యధిక వికెట్లు (42)', '6 వ అత్యంత బాతులు సిరీస్ (3) లో' 'ఫాస్టెస్ట్ 50 వికెట్లు (8) 4']</v>
      </c>
      <c r="C2344" s="2" t="s">
        <v>1647</v>
      </c>
      <c r="D2344" s="2" t="str">
        <f>IFERROR(__xludf.DUMMYFUNCTION("IF(C2344&lt;&gt;"""", GOOGLETRANSLATE(C2344, ""en"", ""te""),"""")"),"[ 'ఒక సిరీస్లో 4 అత్యధిక వికెట్లు (42)', '17 వ అరంగేట్రంలోనే మ్యాచ్లో ఉత్తమ బొమ్మలు (9)', '41 వ అత్యంత ఐదు-వికెట్ల లో-ఒక-ఇన్నింగ్స్ కెరీర్లో (14)', '45 వ ఓల్డెస్ట్ ఆటగాడు పది వికెట్లు లో ఒక మ్యాచ్ (32y 361d) ',' 28th అత్యధిక వికెట్లు తీసుకున్న ఎల్బిడబ్ల్య"&amp;"ు (58) ',' 50 వికెట్లు వేగవంతమైన 4 వ (8) ',' 36 వ 150 వికెట్లు వేగంగా (36) ' ]")</f>
        <v>[ 'ఒక సిరీస్లో 4 అత్యధిక వికెట్లు (42)', '17 వ అరంగేట్రంలోనే మ్యాచ్లో ఉత్తమ బొమ్మలు (9)', '41 వ అత్యంత ఐదు-వికెట్ల లో-ఒక-ఇన్నింగ్స్ కెరీర్లో (14)', '45 వ ఓల్డెస్ట్ ఆటగాడు పది వికెట్లు లో ఒక మ్యాచ్ (32y 361d) ',' 28th అత్యధిక వికెట్లు తీసుకున్న ఎల్బిడబ్ల్యు (58) ',' 50 వికెట్లు వేగవంతమైన 4 వ (8) ',' 36 వ 150 వికెట్లు వేగంగా (36) ' ]</v>
      </c>
      <c r="E2344" s="2" t="s">
        <v>1648</v>
      </c>
      <c r="F2344" s="2" t="str">
        <f>IFERROR(__xludf.DUMMYFUNCTION("IF(E2344&lt;&gt;"""", GOOGLETRANSLATE(E2344, ""en"", ""te""),"""")"),"[, '21 వ ఉత్తమ కెరీర్ ఆర్థిక రేటు (3.65) ',' 43 వ అత్యంత ఐదు-వికెట్ల లో-ఒక-ఇన్నింగ్స్ కెరీర్లో '32 వ ఉత్తమ కెరీర్ సగటు (23.36) బౌలింగ్' 'వరుస (3) 6 వ అత్యంత బాతులు' (2) ',' ఐదు వికెట్ల లో-ఒక-ఇన్నింగ్స్ పడుతుంది 26 ఓల్డెస్ట్ ఆటగాడు (33y 264d) ']")</f>
        <v>[, '21 వ ఉత్తమ కెరీర్ ఆర్థిక రేటు (3.65) ',' 43 వ అత్యంత ఐదు-వికెట్ల లో-ఒక-ఇన్నింగ్స్ కెరీర్లో '32 వ ఉత్తమ కెరీర్ సగటు (23.36) బౌలింగ్' 'వరుస (3) 6 వ అత్యంత బాతులు' (2) ',' ఐదు వికెట్ల లో-ఒక-ఇన్నింగ్స్ పడుతుంది 26 ఓల్డెస్ట్ ఆటగాడు (33y 264d) ']</v>
      </c>
      <c r="G2344" s="2"/>
      <c r="H2344" s="2" t="str">
        <f>IFERROR(__xludf.DUMMYFUNCTION("IF(G2344&lt;&gt;"""", GOOGLETRANSLATE(G2344, ""en"", ""te""),"""")"),"")</f>
        <v/>
      </c>
      <c r="I2344" s="3"/>
    </row>
    <row r="2345" customHeight="1" spans="1:9">
      <c r="A2345" s="2"/>
      <c r="B2345" s="2" t="str">
        <f>IFERROR(__xludf.DUMMYFUNCTION("IF(A2345&lt;&gt;"""", GOOGLETRANSLATE(A2345, ""en"", ""te""),"""")"),"")</f>
        <v/>
      </c>
      <c r="C2345" s="2"/>
      <c r="D2345" s="2" t="str">
        <f>IFERROR(__xludf.DUMMYFUNCTION("IF(C2345&lt;&gt;"""", GOOGLETRANSLATE(C2345, ""en"", ""te""),"""")"),"")</f>
        <v/>
      </c>
      <c r="E2345" s="2"/>
      <c r="F2345" s="2" t="str">
        <f>IFERROR(__xludf.DUMMYFUNCTION("IF(E2345&lt;&gt;"""", GOOGLETRANSLATE(E2345, ""en"", ""te""),"""")"),"")</f>
        <v/>
      </c>
      <c r="G2345" s="2"/>
      <c r="H2345" s="2" t="str">
        <f>IFERROR(__xludf.DUMMYFUNCTION("IF(G2345&lt;&gt;"""", GOOGLETRANSLATE(G2345, ""en"", ""te""),"""")"),"")</f>
        <v/>
      </c>
      <c r="I2345" s="3"/>
    </row>
    <row r="2346" customHeight="1" spans="1:9">
      <c r="A2346" s="2"/>
      <c r="B2346" s="2" t="str">
        <f>IFERROR(__xludf.DUMMYFUNCTION("IF(A2346&lt;&gt;"""", GOOGLETRANSLATE(A2346, ""en"", ""te""),"""")"),"")</f>
        <v/>
      </c>
      <c r="C2346" s="2"/>
      <c r="D2346" s="2" t="str">
        <f>IFERROR(__xludf.DUMMYFUNCTION("IF(C2346&lt;&gt;"""", GOOGLETRANSLATE(C2346, ""en"", ""te""),"""")"),"")</f>
        <v/>
      </c>
      <c r="E2346" s="2"/>
      <c r="F2346" s="2" t="str">
        <f>IFERROR(__xludf.DUMMYFUNCTION("IF(E2346&lt;&gt;"""", GOOGLETRANSLATE(E2346, ""en"", ""te""),"""")"),"")</f>
        <v/>
      </c>
      <c r="G2346" s="2"/>
      <c r="H2346" s="2" t="str">
        <f>IFERROR(__xludf.DUMMYFUNCTION("IF(G2346&lt;&gt;"""", GOOGLETRANSLATE(G2346, ""en"", ""te""),"""")"),"")</f>
        <v/>
      </c>
      <c r="I2346" s="3"/>
    </row>
    <row r="2347" customHeight="1" spans="1:9">
      <c r="A2347" s="2"/>
      <c r="B2347" s="2" t="str">
        <f>IFERROR(__xludf.DUMMYFUNCTION("IF(A2347&lt;&gt;"""", GOOGLETRANSLATE(A2347, ""en"", ""te""),"""")"),"")</f>
        <v/>
      </c>
      <c r="C2347" s="2"/>
      <c r="D2347" s="2" t="str">
        <f>IFERROR(__xludf.DUMMYFUNCTION("IF(C2347&lt;&gt;"""", GOOGLETRANSLATE(C2347, ""en"", ""te""),"""")"),"")</f>
        <v/>
      </c>
      <c r="E2347" s="2" t="s">
        <v>1649</v>
      </c>
      <c r="F2347" s="2" t="str">
        <f>IFERROR(__xludf.DUMMYFUNCTION("IF(E2347&lt;&gt;"""", GOOGLETRANSLATE(E2347, ""en"", ""te""),"""")"),"[ '50 వ వరుస మ్యాచ్లు ఆడి మధ్య జట్టు (118) కోసం తప్పిన']")</f>
        <v>[ '50 వ వరుస మ్యాచ్లు ఆడి మధ్య జట్టు (118) కోసం తప్పిన']</v>
      </c>
      <c r="G2347" s="2" t="s">
        <v>1650</v>
      </c>
      <c r="H2347" s="2" t="str">
        <f>IFERROR(__xludf.DUMMYFUNCTION("IF(G2347&lt;&gt;"""", GOOGLETRANSLATE(G2347, ""en"", ""te""),"""")"),"[ '26 వరుస మ్యాచ్లు ప్రదర్శనల మధ్య (44) జట్టుకు దూరమయ్యాడు']")</f>
        <v>[ '26 వరుస మ్యాచ్లు ప్రదర్శనల మధ్య (44) జట్టుకు దూరమయ్యాడు']</v>
      </c>
      <c r="I2347" s="3"/>
    </row>
    <row r="2348" customHeight="1" spans="1:9">
      <c r="A2348" s="2"/>
      <c r="B2348" s="2" t="str">
        <f>IFERROR(__xludf.DUMMYFUNCTION("IF(A2348&lt;&gt;"""", GOOGLETRANSLATE(A2348, ""en"", ""te""),"""")"),"")</f>
        <v/>
      </c>
      <c r="C2348" s="2" t="s">
        <v>1651</v>
      </c>
      <c r="D2348" s="2" t="str">
        <f>IFERROR(__xludf.DUMMYFUNCTION("IF(C2348&lt;&gt;"""", GOOGLETRANSLATE(C2348, ""en"", ""te""),"""")"),"[ 'కెరీర్లో 20 వ నో బాతులు (23)']")</f>
        <v>[ 'కెరీర్లో 20 వ నో బాతులు (23)']</v>
      </c>
      <c r="E2348" s="2"/>
      <c r="F2348" s="2" t="str">
        <f>IFERROR(__xludf.DUMMYFUNCTION("IF(E2348&lt;&gt;"""", GOOGLETRANSLATE(E2348, ""en"", ""te""),"""")"),"")</f>
        <v/>
      </c>
      <c r="G2348" s="2"/>
      <c r="H2348" s="2" t="str">
        <f>IFERROR(__xludf.DUMMYFUNCTION("IF(G2348&lt;&gt;"""", GOOGLETRANSLATE(G2348, ""en"", ""te""),"""")"),"")</f>
        <v/>
      </c>
      <c r="I2348" s="3"/>
    </row>
    <row r="2349" customHeight="1" spans="1:9">
      <c r="A2349" s="2" t="s">
        <v>1652</v>
      </c>
      <c r="B2349" s="2" t="str">
        <f>IFERROR(__xludf.DUMMYFUNCTION("IF(A2349&lt;&gt;"""", GOOGLETRANSLATE(A2349, ""en"", ""te""),"""")"),"[ 'కెప్టెన్సీ ప్రవేశం (41y 209d) 4 వ ఓల్డెస్ట్ కెప్టెన్లు' '9 వ అత్యంత వృద్ధ ఆటగాడు వంద (41y 265d) స్కోర్', 'ఒక ఇన్నింగ్స్లో ద్వారా బ్యాట్ నిదర్శన (159 *)', '1 వ అత్యుత్తమ బౌలింగ్ ఇన్నింగ్స్ లో విశ్లేషించడం ( 1/0) ',' బ్యాటింగ్ తెరవడం మరియు అదే మ్యాచ్ లో "&amp;"బౌలింగ్ ']")</f>
        <v>[ 'కెప్టెన్సీ ప్రవేశం (41y 209d) 4 వ ఓల్డెస్ట్ కెప్టెన్లు' '9 వ అత్యంత వృద్ధ ఆటగాడు వంద (41y 265d) స్కోర్', 'ఒక ఇన్నింగ్స్లో ద్వారా బ్యాట్ నిదర్శన (159 *)', '1 వ అత్యుత్తమ బౌలింగ్ ఇన్నింగ్స్ లో విశ్లేషించడం ( 1/0) ',' బ్యాటింగ్ తెరవడం మరియు అదే మ్యాచ్ లో బౌలింగ్ ']</v>
      </c>
      <c r="C2349" s="2" t="s">
        <v>1653</v>
      </c>
      <c r="D2349" s="2" t="str">
        <f>IFERROR(__xludf.DUMMYFUNCTION("IF(C2349&lt;&gt;"""", GOOGLETRANSLATE(C2349, ""en"", ""te""),"""")"),"[ '1st అత్యుత్తమ బౌలింగ్ విశ్లేషిస్తుంది ఒక ఇన్నింగ్స్ లో (1/0)' '20 వ ఉత్తమ ఎకానమీ రేట్ ఇన్నింగ్స్ లో (0.50)' ఒక లో 21 వ చెత్త ఆర్థిక రేటు '9 వ అత్యంత వృద్ధ ఆటగాడు వంద (41y 265d) స్కోర్', ' ఇన్నింగ్స్ (6.76) ',' 43 వ ఓల్డెస్ట్ క్రీడాకారులు (42y 86d) ', '"&amp;"21 వ లాంగెస్ట్ కెరీర్లు (19y 227d)', 'ప్రదర్శనల మధ్య 43 వ లాంగెస్ట్ వ్యవధిలో (8y 291d)', '9 వ ఓల్డెస్ట్ కాప్టెన్ (42y 86d)', '4 వ కెప్టెన్సీ తొలి పురాతన కాప్టెన్ (41y 209d) ']")</f>
        <v>[ '1st అత్యుత్తమ బౌలింగ్ విశ్లేషిస్తుంది ఒక ఇన్నింగ్స్ లో (1/0)' '20 వ ఉత్తమ ఎకానమీ రేట్ ఇన్నింగ్స్ లో (0.50)' ఒక లో 21 వ చెత్త ఆర్థిక రేటు '9 వ అత్యంత వృద్ధ ఆటగాడు వంద (41y 265d) స్కోర్', ' ఇన్నింగ్స్ (6.76) ',' 43 వ ఓల్డెస్ట్ క్రీడాకారులు (42y 86d) ', '21 వ లాంగెస్ట్ కెరీర్లు (19y 227d)', 'ప్రదర్శనల మధ్య 43 వ లాంగెస్ట్ వ్యవధిలో (8y 291d)', '9 వ ఓల్డెస్ట్ కాప్టెన్ (42y 86d)', '4 వ కెప్టెన్సీ తొలి పురాతన కాప్టెన్ (41y 209d) ']</v>
      </c>
      <c r="E2349" s="2"/>
      <c r="F2349" s="2" t="str">
        <f>IFERROR(__xludf.DUMMYFUNCTION("IF(E2349&lt;&gt;"""", GOOGLETRANSLATE(E2349, ""en"", ""te""),"""")"),"")</f>
        <v/>
      </c>
      <c r="G2349" s="2"/>
      <c r="H2349" s="2" t="str">
        <f>IFERROR(__xludf.DUMMYFUNCTION("IF(G2349&lt;&gt;"""", GOOGLETRANSLATE(G2349, ""en"", ""te""),"""")"),"")</f>
        <v/>
      </c>
      <c r="I2349" s="3"/>
    </row>
    <row r="2350" customHeight="1" spans="1:9">
      <c r="A2350" s="2"/>
      <c r="B2350" s="2" t="str">
        <f>IFERROR(__xludf.DUMMYFUNCTION("IF(A2350&lt;&gt;"""", GOOGLETRANSLATE(A2350, ""en"", ""te""),"""")"),"")</f>
        <v/>
      </c>
      <c r="C2350" s="2" t="s">
        <v>1654</v>
      </c>
      <c r="D2350" s="2" t="str">
        <f>IFERROR(__xludf.DUMMYFUNCTION("IF(C2350&lt;&gt;"""", GOOGLETRANSLATE(C2350, ""en"", ""te""),"""")"),"[ '31 చెత్త కెరీర్ బౌలింగ్ సరాసరి (అర్హత లేకుండా) (154.00)']")</f>
        <v>[ '31 చెత్త కెరీర్ బౌలింగ్ సరాసరి (అర్హత లేకుండా) (154.00)']</v>
      </c>
      <c r="E2350" s="2"/>
      <c r="F2350" s="2" t="str">
        <f>IFERROR(__xludf.DUMMYFUNCTION("IF(E2350&lt;&gt;"""", GOOGLETRANSLATE(E2350, ""en"", ""te""),"""")"),"")</f>
        <v/>
      </c>
      <c r="G2350" s="2"/>
      <c r="H2350" s="2" t="str">
        <f>IFERROR(__xludf.DUMMYFUNCTION("IF(G2350&lt;&gt;"""", GOOGLETRANSLATE(G2350, ""en"", ""te""),"""")"),"")</f>
        <v/>
      </c>
      <c r="I2350" s="3"/>
    </row>
    <row r="2351" customHeight="1" spans="1:9">
      <c r="A2351" s="2"/>
      <c r="B2351" s="2" t="str">
        <f>IFERROR(__xludf.DUMMYFUNCTION("IF(A2351&lt;&gt;"""", GOOGLETRANSLATE(A2351, ""en"", ""te""),"""")"),"")</f>
        <v/>
      </c>
      <c r="C2351" s="2"/>
      <c r="D2351" s="2" t="str">
        <f>IFERROR(__xludf.DUMMYFUNCTION("IF(C2351&lt;&gt;"""", GOOGLETRANSLATE(C2351, ""en"", ""te""),"""")"),"")</f>
        <v/>
      </c>
      <c r="E2351" s="2"/>
      <c r="F2351" s="2" t="str">
        <f>IFERROR(__xludf.DUMMYFUNCTION("IF(E2351&lt;&gt;"""", GOOGLETRANSLATE(E2351, ""en"", ""te""),"""")"),"")</f>
        <v/>
      </c>
      <c r="G2351" s="2"/>
      <c r="H2351" s="2" t="str">
        <f>IFERROR(__xludf.DUMMYFUNCTION("IF(G2351&lt;&gt;"""", GOOGLETRANSLATE(G2351, ""en"", ""te""),"""")"),"")</f>
        <v/>
      </c>
      <c r="I2351" s="3"/>
    </row>
    <row r="2352" customHeight="1" spans="1:9">
      <c r="A2352" s="2"/>
      <c r="B2352" s="2" t="str">
        <f>IFERROR(__xludf.DUMMYFUNCTION("IF(A2352&lt;&gt;"""", GOOGLETRANSLATE(A2352, ""en"", ""te""),"""")"),"")</f>
        <v/>
      </c>
      <c r="C2352" s="2"/>
      <c r="D2352" s="2" t="str">
        <f>IFERROR(__xludf.DUMMYFUNCTION("IF(C2352&lt;&gt;"""", GOOGLETRANSLATE(C2352, ""en"", ""te""),"""")"),"")</f>
        <v/>
      </c>
      <c r="E2352" s="2"/>
      <c r="F2352" s="2" t="str">
        <f>IFERROR(__xludf.DUMMYFUNCTION("IF(E2352&lt;&gt;"""", GOOGLETRANSLATE(E2352, ""en"", ""te""),"""")"),"")</f>
        <v/>
      </c>
      <c r="G2352" s="2"/>
      <c r="H2352" s="2" t="str">
        <f>IFERROR(__xludf.DUMMYFUNCTION("IF(G2352&lt;&gt;"""", GOOGLETRANSLATE(G2352, ""en"", ""te""),"""")"),"")</f>
        <v/>
      </c>
      <c r="I2352" s="3"/>
    </row>
    <row r="2353" customHeight="1" spans="1:9">
      <c r="A2353" s="2"/>
      <c r="B2353" s="2" t="str">
        <f>IFERROR(__xludf.DUMMYFUNCTION("IF(A2353&lt;&gt;"""", GOOGLETRANSLATE(A2353, ""en"", ""te""),"""")"),"")</f>
        <v/>
      </c>
      <c r="C2353" s="2"/>
      <c r="D2353" s="2" t="str">
        <f>IFERROR(__xludf.DUMMYFUNCTION("IF(C2353&lt;&gt;"""", GOOGLETRANSLATE(C2353, ""en"", ""te""),"""")"),"")</f>
        <v/>
      </c>
      <c r="E2353" s="2"/>
      <c r="F2353" s="2" t="str">
        <f>IFERROR(__xludf.DUMMYFUNCTION("IF(E2353&lt;&gt;"""", GOOGLETRANSLATE(E2353, ""en"", ""te""),"""")"),"")</f>
        <v/>
      </c>
      <c r="G2353" s="2"/>
      <c r="H2353" s="2" t="str">
        <f>IFERROR(__xludf.DUMMYFUNCTION("IF(G2353&lt;&gt;"""", GOOGLETRANSLATE(G2353, ""en"", ""te""),"""")"),"")</f>
        <v/>
      </c>
      <c r="I2353" s="3"/>
    </row>
    <row r="2354" customHeight="1" spans="1:9">
      <c r="A2354" s="2" t="s">
        <v>1655</v>
      </c>
      <c r="B2354" s="2" t="str">
        <f>IFERROR(__xludf.DUMMYFUNCTION("IF(A2354&lt;&gt;"""", GOOGLETRANSLATE(A2354, ""en"", ""te""),"""")"),"[ 'ఇన్నింగ్స్ లో 1 వ అత్యధిక పరుగులు (బ్యాటింగ్ స్థానంలో ప్రకారం) (98)', '9 వ సంఖ్య పదకొండు టాప్ ఇన్నింగ్స్ లో స్కోర్ (98)', '5 వ అత్యుత్తమ బౌలింగ్ ఇన్నింగ్స్ లో విశ్లేషించడం (6/30)']")</f>
        <v>[ 'ఇన్నింగ్స్ లో 1 వ అత్యధిక పరుగులు (బ్యాటింగ్ స్థానంలో ప్రకారం) (98)', '9 వ సంఖ్య పదకొండు టాప్ ఇన్నింగ్స్ లో స్కోర్ (98)', '5 వ అత్యుత్తమ బౌలింగ్ ఇన్నింగ్స్ లో విశ్లేషించడం (6/30)']</v>
      </c>
      <c r="C2354" s="2" t="s">
        <v>1656</v>
      </c>
      <c r="D2354" s="2" t="str">
        <f>IFERROR(__xludf.DUMMYFUNCTION("IF(C2354&lt;&gt;"""", GOOGLETRANSLATE(C2354, ""en"", ""te""),"""")"),"[ '1st ఇన్నింగ్స్ లో అత్యధిక పరుగులు (బ్యాటింగ్ స్థానంలో ప్రకారం) (98)', '28th తొంభై తొలి (98)', '9 వ సంఖ్య పదకొండు టాప్ ఇన్నింగ్స్ లో స్కోర్ (98)']")</f>
        <v>[ '1st ఇన్నింగ్స్ లో అత్యధిక పరుగులు (బ్యాటింగ్ స్థానంలో ప్రకారం) (98)', '28th తొంభై తొలి (98)', '9 వ సంఖ్య పదకొండు టాప్ ఇన్నింగ్స్ లో స్కోర్ (98)']</v>
      </c>
      <c r="E2354" s="2"/>
      <c r="F2354" s="2" t="str">
        <f>IFERROR(__xludf.DUMMYFUNCTION("IF(E2354&lt;&gt;"""", GOOGLETRANSLATE(E2354, ""en"", ""te""),"""")"),"")</f>
        <v/>
      </c>
      <c r="G2354" s="2" t="s">
        <v>1657</v>
      </c>
      <c r="H2354" s="2" t="str">
        <f>IFERROR(__xludf.DUMMYFUNCTION("IF(G2354&lt;&gt;"""", GOOGLETRANSLATE(G2354, ""en"", ""te""),"""")"),"[ 'ఇన్నింగ్స్ లో 5 వ అత్యుత్తమ బౌలింగ్ విశ్లేషణలు (6/30)' '5 వ ఉత్తమ ఇన్నింగ్స్ లో సంఖ్యలు (6/30)', '22 వ ఉత్తమ కెరీర్ సగటు (19.55) బౌలింగ్', '30 వ ఉత్తమ కెరీర్ ఆర్థిక రేటు (6.87) ',' 34 వ ఉత్తమ కెరీర్ సమ్మె రేటు (17.0) ',' ఇన్నింగ్స్ లో 20 వ ఉత్తమ సమ్మె "&amp;"రేటు (4.0) ',' 16 వ అత్యంత నాలుగు వికెట్లు-ఇన్-ఒక-ఇన్నింగ్స్ కెరీర్లో (2) ',' 14 వ అత్యధిక వికెట్లు క్యాచ్ మరియు బౌల్డ్ తీసుకోకూడదు (3) ',' 32 వ అత్యధిక వికెట్లు తీసుకున్న ఎల్బిడబ్ల్యు (5) ']")</f>
        <v>[ 'ఇన్నింగ్స్ లో 5 వ అత్యుత్తమ బౌలింగ్ విశ్లేషణలు (6/30)' '5 వ ఉత్తమ ఇన్నింగ్స్ లో సంఖ్యలు (6/30)', '22 వ ఉత్తమ కెరీర్ సగటు (19.55) బౌలింగ్', '30 వ ఉత్తమ కెరీర్ ఆర్థిక రేటు (6.87) ',' 34 వ ఉత్తమ కెరీర్ సమ్మె రేటు (17.0) ',' ఇన్నింగ్స్ లో 20 వ ఉత్తమ సమ్మె రేటు (4.0) ',' 16 వ అత్యంత నాలుగు వికెట్లు-ఇన్-ఒక-ఇన్నింగ్స్ కెరీర్లో (2) ',' 14 వ అత్యధిక వికెట్లు క్యాచ్ మరియు బౌల్డ్ తీసుకోకూడదు (3) ',' 32 వ అత్యధిక వికెట్లు తీసుకున్న ఎల్బిడబ్ల్యు (5) ']</v>
      </c>
      <c r="I2354" s="3"/>
    </row>
    <row r="2355" customHeight="1" spans="1:9">
      <c r="A2355" s="2" t="s">
        <v>1658</v>
      </c>
      <c r="B2355" s="2" t="str">
        <f>IFERROR(__xludf.DUMMYFUNCTION("IF(A2355&lt;&gt;"""", GOOGLETRANSLATE(A2355, ""en"", ""te""),"""")"),"[ 'ఇన్నింగ్స్ లో 4 వ అత్యధిక పరుగులు (బ్యాటింగ్ స్థానంలో ప్రకారం) (193)', '1 వ అత్యధిక కెరీర్ బ్యాటింగ్ సగటు (81.90)', '6 వ హండ్రెడ్ గత మ్యాచ్ (148 *) లో', 'ఒక జట్టుతో 3 వ అత్యధిక వందలు (2 ) ',' వరుస వరుస మ్యాచ్లలో 3 వ యాభైల్లో (4) ',' 6 వ అత్యధిక క్యాచ్"&amp;"లు (7) ',' నాలుగవ వికెట్కు 2 వ అత్యధిక భాగస్వామ్యం (222) ',' కెరీర్లో 1st లేవు బాతులు (39) ', '4 వ ఎక్కువ (3) ఇన్నింగ్స్ లో పట్టుకొని']")</f>
        <v>[ 'ఇన్నింగ్స్ లో 4 వ అత్యధిక పరుగులు (బ్యాటింగ్ స్థానంలో ప్రకారం) (193)', '1 వ అత్యధిక కెరీర్ బ్యాటింగ్ సగటు (81.90)', '6 వ హండ్రెడ్ గత మ్యాచ్ (148 *) లో', 'ఒక జట్టుతో 3 వ అత్యధిక వందలు (2 ) ',' వరుస వరుస మ్యాచ్లలో 3 వ యాభైల్లో (4) ',' 6 వ అత్యధిక క్యాచ్లు (7) ',' నాలుగవ వికెట్కు 2 వ అత్యధిక భాగస్వామ్యం (222) ',' కెరీర్లో 1st లేవు బాతులు (39) ', '4 వ ఎక్కువ (3) ఇన్నింగ్స్ లో పట్టుకొని']</v>
      </c>
      <c r="C2355" s="2" t="s">
        <v>1659</v>
      </c>
      <c r="D2355" s="2" t="str">
        <f>IFERROR(__xludf.DUMMYFUNCTION("IF(C2355&lt;&gt;"""", GOOGLETRANSLATE(C2355, ""en"", ""te""),"""")"),"[ '15 వ కెరీర్ లో అత్యధిక పరుగులు (819)', ఒక మ్యాచ్లో 'ఇన్నింగ్స్ లో 5 వ అత్యధిక పరుగులు (ప్రగతిశీల రికార్డు హోల్డర్) (193)', '12 వ అత్యధిక పరుగులు' 8 వ ఇన్నింగ్స్ (193) అత్యధిక పరుగులు '(193 ) ',' 9 వ ఒక సిరీస్లో అత్యధిక పరుగులు (352) ',' 11 వ ఒక క్యాలెం"&amp;"డర్ సంవత్సరంలో అత్యధిక పరుగులు (352) ',' 4 వ ఇన్నింగ్స్ లో అత్యధిక పరుగులు (బ్యాటింగ్ స్థానంలో ప్రకారం) (193) ',' 1 వ అత్యధిక కెరీర్ బ్యాటింగ్ గత మ్యాచ్ (148 *) లో సగటు (81.90) ',' 6 వ హండ్రెడ్ ',' 10th ఒక వృత్తిలో అత్యధిక వందలు (2) ',' ఒక జట్టుతో 3 వ అత్"&amp;"యధిక వందలు (2) ',' 7 వ అత్యధిక తొలి వంద (193) ',' వంద (23y 203d) కెరీర్లో వరుస ఇన్నింగ్స్లో వరుస మ్యాచ్లలో స్కోరు 15 పిన్న ఆటగాడు ',' 6 వ అత్యంత అర్ధ (8) ',' 5 వ యాభైల్లో (3) ',' 3 వ యాభైల్లో (4) ',' వరుస కెరీర్లో 10 వ అత్యధిక క్యాచ్లు (12) ',' 6 వ అత్య"&amp;"ధిక క్యాచ్లు (7) ',' ఏ వికెట్కు 7 వ అత్యధిక భాగస్వామ్యాల (222) ',' నాలుగవ వికెట్కు (222) కోసం 2 వ అత్యధిక భాగస్వామ్యం ']")</f>
        <v>[ '15 వ కెరీర్ లో అత్యధిక పరుగులు (819)', ఒక మ్యాచ్లో 'ఇన్నింగ్స్ లో 5 వ అత్యధిక పరుగులు (ప్రగతిశీల రికార్డు హోల్డర్) (193)', '12 వ అత్యధిక పరుగులు' 8 వ ఇన్నింగ్స్ (193) అత్యధిక పరుగులు '(193 ) ',' 9 వ ఒక సిరీస్లో అత్యధిక పరుగులు (352) ',' 11 వ ఒక క్యాలెండర్ సంవత్సరంలో అత్యధిక పరుగులు (352) ',' 4 వ ఇన్నింగ్స్ లో అత్యధిక పరుగులు (బ్యాటింగ్ స్థానంలో ప్రకారం) (193) ',' 1 వ అత్యధిక కెరీర్ బ్యాటింగ్ గత మ్యాచ్ (148 *) లో సగటు (81.90) ',' 6 వ హండ్రెడ్ ',' 10th ఒక వృత్తిలో అత్యధిక వందలు (2) ',' ఒక జట్టుతో 3 వ అత్యధిక వందలు (2) ',' 7 వ అత్యధిక తొలి వంద (193) ',' వంద (23y 203d) కెరీర్లో వరుస ఇన్నింగ్స్లో వరుస మ్యాచ్లలో స్కోరు 15 పిన్న ఆటగాడు ',' 6 వ అత్యంత అర్ధ (8) ',' 5 వ యాభైల్లో (3) ',' 3 వ యాభైల్లో (4) ',' వరుస కెరీర్లో 10 వ అత్యధిక క్యాచ్లు (12) ',' 6 వ అత్యధిక క్యాచ్లు (7) ',' ఏ వికెట్కు 7 వ అత్యధిక భాగస్వామ్యాల (222) ',' నాలుగవ వికెట్కు (222) కోసం 2 వ అత్యధిక భాగస్వామ్యం ']</v>
      </c>
      <c r="E2355" s="2" t="s">
        <v>1660</v>
      </c>
      <c r="F2355" s="2" t="str">
        <f>IFERROR(__xludf.DUMMYFUNCTION("IF(E2355&lt;&gt;"""", GOOGLETRANSLATE(E2355, ""en"", ""te""),"""")"),"[18 వ అత్యధిక కెరీర్ బ్యాటింగ్ సగటు (41.70) ',' వరుస ఇన్నింగ్స్లో 28 యాభైల్లో (3) ',' 1st లేవు బాతులు కెరీర్ లో (39) ',' ఒక డక్ లేకుండా 21 వరుస ఇన్నింగ్స్ (39 *) ',' 4 వ ఒక ఇన్నింగ్స్ లో అత్యధిక క్యాచ్లు (3) ',' 26th అత్యధిక క్యాచ్లు వరుస (7) ']")</f>
        <v>[18 వ అత్యధిక కెరీర్ బ్యాటింగ్ సగటు (41.70) ',' వరుస ఇన్నింగ్స్లో 28 యాభైల్లో (3) ',' 1st లేవు బాతులు కెరీర్ లో (39) ',' ఒక డక్ లేకుండా 21 వరుస ఇన్నింగ్స్ (39 *) ',' 4 వ ఒక ఇన్నింగ్స్ లో అత్యధిక క్యాచ్లు (3) ',' 26th అత్యధిక క్యాచ్లు వరుస (7) ']</v>
      </c>
      <c r="G2355" s="2"/>
      <c r="H2355" s="2" t="str">
        <f>IFERROR(__xludf.DUMMYFUNCTION("IF(G2355&lt;&gt;"""", GOOGLETRANSLATE(G2355, ""en"", ""te""),"""")"),"")</f>
        <v/>
      </c>
      <c r="I2355" s="3"/>
    </row>
    <row r="2356" customHeight="1" spans="1:9">
      <c r="A2356" s="2"/>
      <c r="B2356" s="2" t="str">
        <f>IFERROR(__xludf.DUMMYFUNCTION("IF(A2356&lt;&gt;"""", GOOGLETRANSLATE(A2356, ""en"", ""te""),"""")"),"")</f>
        <v/>
      </c>
      <c r="C2356" s="2"/>
      <c r="D2356" s="2" t="str">
        <f>IFERROR(__xludf.DUMMYFUNCTION("IF(C2356&lt;&gt;"""", GOOGLETRANSLATE(C2356, ""en"", ""te""),"""")"),"")</f>
        <v/>
      </c>
      <c r="E2356" s="2"/>
      <c r="F2356" s="2" t="str">
        <f>IFERROR(__xludf.DUMMYFUNCTION("IF(E2356&lt;&gt;"""", GOOGLETRANSLATE(E2356, ""en"", ""te""),"""")"),"")</f>
        <v/>
      </c>
      <c r="G2356" s="2"/>
      <c r="H2356" s="2" t="str">
        <f>IFERROR(__xludf.DUMMYFUNCTION("IF(G2356&lt;&gt;"""", GOOGLETRANSLATE(G2356, ""en"", ""te""),"""")"),"")</f>
        <v/>
      </c>
      <c r="I2356" s="3"/>
    </row>
    <row r="2357" customHeight="1" spans="1:9">
      <c r="A2357" s="2"/>
      <c r="B2357" s="2" t="str">
        <f>IFERROR(__xludf.DUMMYFUNCTION("IF(A2357&lt;&gt;"""", GOOGLETRANSLATE(A2357, ""en"", ""te""),"""")"),"")</f>
        <v/>
      </c>
      <c r="C2357" s="2"/>
      <c r="D2357" s="2" t="str">
        <f>IFERROR(__xludf.DUMMYFUNCTION("IF(C2357&lt;&gt;"""", GOOGLETRANSLATE(C2357, ""en"", ""te""),"""")"),"")</f>
        <v/>
      </c>
      <c r="E2357" s="2"/>
      <c r="F2357" s="2" t="str">
        <f>IFERROR(__xludf.DUMMYFUNCTION("IF(E2357&lt;&gt;"""", GOOGLETRANSLATE(E2357, ""en"", ""te""),"""")"),"")</f>
        <v/>
      </c>
      <c r="G2357" s="2"/>
      <c r="H2357" s="2" t="str">
        <f>IFERROR(__xludf.DUMMYFUNCTION("IF(G2357&lt;&gt;"""", GOOGLETRANSLATE(G2357, ""en"", ""te""),"""")"),"")</f>
        <v/>
      </c>
      <c r="I2357" s="3"/>
    </row>
    <row r="2358" customHeight="1" spans="1:9">
      <c r="A2358" s="2"/>
      <c r="B2358" s="2" t="str">
        <f>IFERROR(__xludf.DUMMYFUNCTION("IF(A2358&lt;&gt;"""", GOOGLETRANSLATE(A2358, ""en"", ""te""),"""")"),"")</f>
        <v/>
      </c>
      <c r="C2358" s="2"/>
      <c r="D2358" s="2" t="str">
        <f>IFERROR(__xludf.DUMMYFUNCTION("IF(C2358&lt;&gt;"""", GOOGLETRANSLATE(C2358, ""en"", ""te""),"""")"),"")</f>
        <v/>
      </c>
      <c r="E2358" s="2"/>
      <c r="F2358" s="2" t="str">
        <f>IFERROR(__xludf.DUMMYFUNCTION("IF(E2358&lt;&gt;"""", GOOGLETRANSLATE(E2358, ""en"", ""te""),"""")"),"")</f>
        <v/>
      </c>
      <c r="G2358" s="2"/>
      <c r="H2358" s="2" t="str">
        <f>IFERROR(__xludf.DUMMYFUNCTION("IF(G2358&lt;&gt;"""", GOOGLETRANSLATE(G2358, ""en"", ""te""),"""")"),"")</f>
        <v/>
      </c>
      <c r="I2358" s="3"/>
    </row>
    <row r="2359" customHeight="1" spans="1:9">
      <c r="A2359" s="2"/>
      <c r="B2359" s="2" t="str">
        <f>IFERROR(__xludf.DUMMYFUNCTION("IF(A2359&lt;&gt;"""", GOOGLETRANSLATE(A2359, ""en"", ""te""),"""")"),"")</f>
        <v/>
      </c>
      <c r="C2359" s="2"/>
      <c r="D2359" s="2" t="str">
        <f>IFERROR(__xludf.DUMMYFUNCTION("IF(C2359&lt;&gt;"""", GOOGLETRANSLATE(C2359, ""en"", ""te""),"""")"),"")</f>
        <v/>
      </c>
      <c r="E2359" s="2"/>
      <c r="F2359" s="2" t="str">
        <f>IFERROR(__xludf.DUMMYFUNCTION("IF(E2359&lt;&gt;"""", GOOGLETRANSLATE(E2359, ""en"", ""te""),"""")"),"")</f>
        <v/>
      </c>
      <c r="G2359" s="2"/>
      <c r="H2359" s="2" t="str">
        <f>IFERROR(__xludf.DUMMYFUNCTION("IF(G2359&lt;&gt;"""", GOOGLETRANSLATE(G2359, ""en"", ""te""),"""")"),"")</f>
        <v/>
      </c>
      <c r="I2359" s="3"/>
    </row>
    <row r="2360" customHeight="1" spans="1:9">
      <c r="A2360" s="2"/>
      <c r="B2360" s="2" t="str">
        <f>IFERROR(__xludf.DUMMYFUNCTION("IF(A2360&lt;&gt;"""", GOOGLETRANSLATE(A2360, ""en"", ""te""),"""")"),"")</f>
        <v/>
      </c>
      <c r="C2360" s="2" t="s">
        <v>1661</v>
      </c>
      <c r="D2360" s="2" t="str">
        <f>IFERROR(__xludf.DUMMYFUNCTION("IF(C2360&lt;&gt;"""", GOOGLETRANSLATE(C2360, ""en"", ""te""),"""")"),"['21 వ లాంగెస్ట్ క్రీడాకారులు (93y 305d) నివసించారు ']")</f>
        <v>['21 వ లాంగెస్ట్ క్రీడాకారులు (93y 305d) నివసించారు ']</v>
      </c>
      <c r="E2360" s="2"/>
      <c r="F2360" s="2" t="str">
        <f>IFERROR(__xludf.DUMMYFUNCTION("IF(E2360&lt;&gt;"""", GOOGLETRANSLATE(E2360, ""en"", ""te""),"""")"),"")</f>
        <v/>
      </c>
      <c r="G2360" s="2"/>
      <c r="H2360" s="2" t="str">
        <f>IFERROR(__xludf.DUMMYFUNCTION("IF(G2360&lt;&gt;"""", GOOGLETRANSLATE(G2360, ""en"", ""te""),"""")"),"")</f>
        <v/>
      </c>
      <c r="I2360" s="3"/>
    </row>
    <row r="2361" customHeight="1" spans="1:9">
      <c r="A2361" s="2" t="s">
        <v>1662</v>
      </c>
      <c r="B2361" s="2" t="str">
        <f>IFERROR(__xludf.DUMMYFUNCTION("IF(A2361&lt;&gt;"""", GOOGLETRANSLATE(A2361, ""en"", ""te""),"""")"),"[ '3 వ పురాతన దేశం ఆటగాళ్ళు (93y 135d)']")</f>
        <v>[ '3 వ పురాతన దేశం ఆటగాళ్ళు (93y 135d)']</v>
      </c>
      <c r="C2361" s="2" t="s">
        <v>1662</v>
      </c>
      <c r="D2361" s="2" t="str">
        <f>IFERROR(__xludf.DUMMYFUNCTION("IF(C2361&lt;&gt;"""", GOOGLETRANSLATE(C2361, ""en"", ""te""),"""")"),"[ '3 వ పురాతన దేశం ఆటగాళ్ళు (93y 135d)']")</f>
        <v>[ '3 వ పురాతన దేశం ఆటగాళ్ళు (93y 135d)']</v>
      </c>
      <c r="E2361" s="2"/>
      <c r="F2361" s="2" t="str">
        <f>IFERROR(__xludf.DUMMYFUNCTION("IF(E2361&lt;&gt;"""", GOOGLETRANSLATE(E2361, ""en"", ""te""),"""")"),"")</f>
        <v/>
      </c>
      <c r="G2361" s="2"/>
      <c r="H2361" s="2" t="str">
        <f>IFERROR(__xludf.DUMMYFUNCTION("IF(G2361&lt;&gt;"""", GOOGLETRANSLATE(G2361, ""en"", ""te""),"""")"),"")</f>
        <v/>
      </c>
      <c r="I2361" s="3"/>
    </row>
    <row r="2362" customHeight="1" spans="1:9">
      <c r="A2362" s="2"/>
      <c r="B2362" s="2" t="str">
        <f>IFERROR(__xludf.DUMMYFUNCTION("IF(A2362&lt;&gt;"""", GOOGLETRANSLATE(A2362, ""en"", ""te""),"""")"),"")</f>
        <v/>
      </c>
      <c r="C2362" s="2"/>
      <c r="D2362" s="2" t="str">
        <f>IFERROR(__xludf.DUMMYFUNCTION("IF(C2362&lt;&gt;"""", GOOGLETRANSLATE(C2362, ""en"", ""te""),"""")"),"")</f>
        <v/>
      </c>
      <c r="E2362" s="2"/>
      <c r="F2362" s="2" t="str">
        <f>IFERROR(__xludf.DUMMYFUNCTION("IF(E2362&lt;&gt;"""", GOOGLETRANSLATE(E2362, ""en"", ""te""),"""")"),"")</f>
        <v/>
      </c>
      <c r="G2362" s="2"/>
      <c r="H2362" s="2" t="str">
        <f>IFERROR(__xludf.DUMMYFUNCTION("IF(G2362&lt;&gt;"""", GOOGLETRANSLATE(G2362, ""en"", ""te""),"""")"),"")</f>
        <v/>
      </c>
      <c r="I2362" s="3"/>
    </row>
    <row r="2363" customHeight="1" spans="1:9">
      <c r="A2363" s="2"/>
      <c r="B2363" s="2" t="str">
        <f>IFERROR(__xludf.DUMMYFUNCTION("IF(A2363&lt;&gt;"""", GOOGLETRANSLATE(A2363, ""en"", ""te""),"""")"),"")</f>
        <v/>
      </c>
      <c r="C2363" s="2"/>
      <c r="D2363" s="2" t="str">
        <f>IFERROR(__xludf.DUMMYFUNCTION("IF(C2363&lt;&gt;"""", GOOGLETRANSLATE(C2363, ""en"", ""te""),"""")"),"")</f>
        <v/>
      </c>
      <c r="E2363" s="2"/>
      <c r="F2363" s="2" t="str">
        <f>IFERROR(__xludf.DUMMYFUNCTION("IF(E2363&lt;&gt;"""", GOOGLETRANSLATE(E2363, ""en"", ""te""),"""")"),"")</f>
        <v/>
      </c>
      <c r="G2363" s="2"/>
      <c r="H2363" s="2" t="str">
        <f>IFERROR(__xludf.DUMMYFUNCTION("IF(G2363&lt;&gt;"""", GOOGLETRANSLATE(G2363, ""en"", ""te""),"""")"),"")</f>
        <v/>
      </c>
      <c r="I2363" s="3"/>
    </row>
    <row r="2364" customHeight="1" spans="1:9">
      <c r="A2364" s="2" t="s">
        <v>1663</v>
      </c>
      <c r="B2364" s="2" t="str">
        <f>IFERROR(__xludf.DUMMYFUNCTION("IF(A2364&lt;&gt;"""", GOOGLETRANSLATE(A2364, ""en"", ""te""),"""")"),"[ '10 వ ఉత్తమ కెరీర్ సమ్మె రేటు (30.8)']")</f>
        <v>[ '10 వ ఉత్తమ కెరీర్ సమ్మె రేటు (30.8)']</v>
      </c>
      <c r="C2364" s="2"/>
      <c r="D2364" s="2" t="str">
        <f>IFERROR(__xludf.DUMMYFUNCTION("IF(C2364&lt;&gt;"""", GOOGLETRANSLATE(C2364, ""en"", ""te""),"""")"),"")</f>
        <v/>
      </c>
      <c r="E2364" s="2" t="s">
        <v>1664</v>
      </c>
      <c r="F2364" s="2" t="str">
        <f>IFERROR(__xludf.DUMMYFUNCTION("IF(E2364&lt;&gt;"""", GOOGLETRANSLATE(E2364, ""en"", ""te""),"""")"),"[ '14 వ ఇన్నింగ్స్ లో అత్యధిక పరుగులు (బ్యాటింగ్ స్థానంలో ప్రకారం) (16)', '11 వ ఒక ఇన్నింగ్స్ లోని బెస్ట్ ఫిగర్స్ ఉన్నప్పుడు పరాజయం వైపు (4)', '10 వ ఉత్తమ కెరీర్ సమ్మె రేటు (30.8)', '41 వ చెత్త వృత్తి ఆర్థిక రేటు (4.11) ',' 15 వ అరంగేట్రంలోనే ఇన్నింగ్స్ "&amp;"లోని బెస్ట్ ఫిగర్స్ (3) ',' 31 బౌలర్ / బ్యాట్స్ కలయికలు (5) ',' 48 వ అత్యధిక వికెట్లు బౌల్డ్ తీసుకోకూడదు (16) ']")</f>
        <v>[ '14 వ ఇన్నింగ్స్ లో అత్యధిక పరుగులు (బ్యాటింగ్ స్థానంలో ప్రకారం) (16)', '11 వ ఒక ఇన్నింగ్స్ లోని బెస్ట్ ఫిగర్స్ ఉన్నప్పుడు పరాజయం వైపు (4)', '10 వ ఉత్తమ కెరీర్ సమ్మె రేటు (30.8)', '41 వ చెత్త వృత్తి ఆర్థిక రేటు (4.11) ',' 15 వ అరంగేట్రంలోనే ఇన్నింగ్స్ లోని బెస్ట్ ఫిగర్స్ (3) ',' 31 బౌలర్ / బ్యాట్స్ కలయికలు (5) ',' 48 వ అత్యధిక వికెట్లు బౌల్డ్ తీసుకోకూడదు (16) ']</v>
      </c>
      <c r="G2364" s="2" t="s">
        <v>1665</v>
      </c>
      <c r="H2364" s="2" t="str">
        <f>IFERROR(__xludf.DUMMYFUNCTION("IF(G2364&lt;&gt;"""", GOOGLETRANSLATE(G2364, ""en"", ""te""),"""")"),"[ 'పదవ వికెట్కు 31 అత్యధిక భాగస్వామ్యం (11 *)']")</f>
        <v>[ 'పదవ వికెట్కు 31 అత్యధిక భాగస్వామ్యం (11 *)']</v>
      </c>
      <c r="I2364" s="3"/>
    </row>
    <row r="2365" customHeight="1" spans="1:9">
      <c r="A2365" s="2"/>
      <c r="B2365" s="2" t="str">
        <f>IFERROR(__xludf.DUMMYFUNCTION("IF(A2365&lt;&gt;"""", GOOGLETRANSLATE(A2365, ""en"", ""te""),"""")"),"")</f>
        <v/>
      </c>
      <c r="C2365" s="2"/>
      <c r="D2365" s="2" t="str">
        <f>IFERROR(__xludf.DUMMYFUNCTION("IF(C2365&lt;&gt;"""", GOOGLETRANSLATE(C2365, ""en"", ""te""),"""")"),"")</f>
        <v/>
      </c>
      <c r="E2365" s="2"/>
      <c r="F2365" s="2" t="str">
        <f>IFERROR(__xludf.DUMMYFUNCTION("IF(E2365&lt;&gt;"""", GOOGLETRANSLATE(E2365, ""en"", ""te""),"""")"),"")</f>
        <v/>
      </c>
      <c r="G2365" s="2"/>
      <c r="H2365" s="2" t="str">
        <f>IFERROR(__xludf.DUMMYFUNCTION("IF(G2365&lt;&gt;"""", GOOGLETRANSLATE(G2365, ""en"", ""te""),"""")"),"")</f>
        <v/>
      </c>
      <c r="I2365" s="3"/>
    </row>
    <row r="2366" customHeight="1" spans="1:9">
      <c r="A2366" s="2"/>
      <c r="B2366" s="2" t="str">
        <f>IFERROR(__xludf.DUMMYFUNCTION("IF(A2366&lt;&gt;"""", GOOGLETRANSLATE(A2366, ""en"", ""te""),"""")"),"")</f>
        <v/>
      </c>
      <c r="C2366" s="2" t="s">
        <v>1666</v>
      </c>
      <c r="D2366" s="2" t="str">
        <f>IFERROR(__xludf.DUMMYFUNCTION("IF(C2366&lt;&gt;"""", GOOGLETRANSLATE(C2366, ""en"", ""te""),"""")"),"[ '26 1000 పరుగులు వేగంగా (20)', '31 పురాతన దేశం ఆటగాళ్ళు (87y 225d)']")</f>
        <v>[ '26 1000 పరుగులు వేగంగా (20)', '31 పురాతన దేశం ఆటగాళ్ళు (87y 225d)']</v>
      </c>
      <c r="E2366" s="2"/>
      <c r="F2366" s="2" t="str">
        <f>IFERROR(__xludf.DUMMYFUNCTION("IF(E2366&lt;&gt;"""", GOOGLETRANSLATE(E2366, ""en"", ""te""),"""")"),"")</f>
        <v/>
      </c>
      <c r="G2366" s="2"/>
      <c r="H2366" s="2" t="str">
        <f>IFERROR(__xludf.DUMMYFUNCTION("IF(G2366&lt;&gt;"""", GOOGLETRANSLATE(G2366, ""en"", ""te""),"""")"),"")</f>
        <v/>
      </c>
      <c r="I2366" s="3"/>
    </row>
    <row r="2367" customHeight="1" spans="1:9">
      <c r="A2367" s="2"/>
      <c r="B2367" s="2" t="str">
        <f>IFERROR(__xludf.DUMMYFUNCTION("IF(A2367&lt;&gt;"""", GOOGLETRANSLATE(A2367, ""en"", ""te""),"""")"),"")</f>
        <v/>
      </c>
      <c r="C2367" s="2"/>
      <c r="D2367" s="2" t="str">
        <f>IFERROR(__xludf.DUMMYFUNCTION("IF(C2367&lt;&gt;"""", GOOGLETRANSLATE(C2367, ""en"", ""te""),"""")"),"")</f>
        <v/>
      </c>
      <c r="E2367" s="2"/>
      <c r="F2367" s="2" t="str">
        <f>IFERROR(__xludf.DUMMYFUNCTION("IF(E2367&lt;&gt;"""", GOOGLETRANSLATE(E2367, ""en"", ""te""),"""")"),"")</f>
        <v/>
      </c>
      <c r="G2367" s="2"/>
      <c r="H2367" s="2" t="str">
        <f>IFERROR(__xludf.DUMMYFUNCTION("IF(G2367&lt;&gt;"""", GOOGLETRANSLATE(G2367, ""en"", ""te""),"""")"),"")</f>
        <v/>
      </c>
      <c r="I2367" s="3"/>
    </row>
    <row r="2368" customHeight="1" spans="1:9">
      <c r="A2368" s="2" t="s">
        <v>1667</v>
      </c>
      <c r="B2368" s="2" t="str">
        <f>IFERROR(__xludf.DUMMYFUNCTION("IF(A2368&lt;&gt;"""", GOOGLETRANSLATE(A2368, ""en"", ""te""),"""")"),"[ '1st చెత్త కెరీర్లో సమ్మె రేటు (217.1)', '5 వ మ్యాచ్లో (534) లో బౌల్డ్ చాలా బంతుల్లో']")</f>
        <v>[ '1st చెత్త కెరీర్లో సమ్మె రేటు (217.1)', '5 వ మ్యాచ్లో (534) లో బౌల్డ్ చాలా బంతుల్లో']</v>
      </c>
      <c r="C2368" s="2" t="s">
        <v>1668</v>
      </c>
      <c r="D2368" s="2" t="str">
        <f>IFERROR(__xludf.DUMMYFUNCTION("IF(C2368&lt;&gt;"""", GOOGLETRANSLATE(C2368, ""en"", ""te""),"""")"),"[ '11 వ ఉత్తమ కెరీర్ ఆర్థిక రేటు (1.48)', '3 వ చెత్త కెరీర్ సగటు (53.85) బౌలింగ్', '1st చెత్త కెరీర్లో సమ్మె రేటు (217.1)', 'ఇన్నింగ్స్ లో 3 వ చెత్త సమ్మె రేటు (306.0)', 'చాలా 5 వ ఒక ఇన్నింగ్స్ లో బౌల్ చేయబడిన బంతులలో (354) ',' చాలా 5 వ బంతుల్లో ఒక మ్యాచ్"&amp;" (534) ',' 20 వ అత్యంత ఒక మ్యాచ్లో ఇవ్వబడిన పరుగులలో బౌల్డ్ కెప్టెన్సీ తొలి (133) ',' 16 వ ఓల్డెస్ట్ కాప్టెన్ (32y 200d) ']")</f>
        <v>[ '11 వ ఉత్తమ కెరీర్ ఆర్థిక రేటు (1.48)', '3 వ చెత్త కెరీర్ సగటు (53.85) బౌలింగ్', '1st చెత్త కెరీర్లో సమ్మె రేటు (217.1)', 'ఇన్నింగ్స్ లో 3 వ చెత్త సమ్మె రేటు (306.0)', 'చాలా 5 వ ఒక ఇన్నింగ్స్ లో బౌల్ చేయబడిన బంతులలో (354) ',' చాలా 5 వ బంతుల్లో ఒక మ్యాచ్ (534) ',' 20 వ అత్యంత ఒక మ్యాచ్లో ఇవ్వబడిన పరుగులలో బౌల్డ్ కెప్టెన్సీ తొలి (133) ',' 16 వ ఓల్డెస్ట్ కాప్టెన్ (32y 200d) ']</v>
      </c>
      <c r="E2368" s="2" t="s">
        <v>1669</v>
      </c>
      <c r="F2368" s="2" t="str">
        <f>IFERROR(__xludf.DUMMYFUNCTION("IF(E2368&lt;&gt;"""", GOOGLETRANSLATE(E2368, ""en"", ""te""),"""")"),"[ '12 వ చెత్త కెరీర్ బౌలింగ్ సరాసరి (అర్హత లేకుండా) (129,00)']")</f>
        <v>[ '12 వ చెత్త కెరీర్ బౌలింగ్ సరాసరి (అర్హత లేకుండా) (129,00)']</v>
      </c>
      <c r="G2368" s="2"/>
      <c r="H2368" s="2" t="str">
        <f>IFERROR(__xludf.DUMMYFUNCTION("IF(G2368&lt;&gt;"""", GOOGLETRANSLATE(G2368, ""en"", ""te""),"""")"),"")</f>
        <v/>
      </c>
      <c r="I2368" s="3"/>
    </row>
    <row r="2369" customHeight="1" spans="1:9">
      <c r="A2369" s="2" t="s">
        <v>1563</v>
      </c>
      <c r="B2369" s="2" t="str">
        <f>IFERROR(__xludf.DUMMYFUNCTION("IF(A2369&lt;&gt;"""", GOOGLETRANSLATE(A2369, ""en"", ""te""),"""")"),"[ 'ఒక మ్యాచ్లో 3 వ అత్యంత స్టంపింగ్లు (4)']")</f>
        <v>[ 'ఒక మ్యాచ్లో 3 వ అత్యంత స్టంపింగ్లు (4)']</v>
      </c>
      <c r="C2369" s="2" t="s">
        <v>1670</v>
      </c>
      <c r="D2369" s="2" t="str">
        <f>IFERROR(__xludf.DUMMYFUNCTION("IF(C2369&lt;&gt;"""", GOOGLETRANSLATE(C2369, ""en"", ""te""),"""")"),"[ '19 ఓల్డెస్ట్ కాప్టెన్ (40y 223d)', 'వికెట్ను కాపాడుకున్నాడు చేసిన 15 వ కెప్టెన్ల (8)', '10 వ అత్యంత స్టంపింగ్లు కెరీర్లో (24)', 'ఒక మ్యాచ్లో 3 వ అత్యంత స్టంపింగ్లు (4)']")</f>
        <v>[ '19 ఓల్డెస్ట్ కాప్టెన్ (40y 223d)', 'వికెట్ను కాపాడుకున్నాడు చేసిన 15 వ కెప్టెన్ల (8)', '10 వ అత్యంత స్టంపింగ్లు కెరీర్లో (24)', 'ఒక మ్యాచ్లో 3 వ అత్యంత స్టంపింగ్లు (4)']</v>
      </c>
      <c r="E2369" s="2"/>
      <c r="F2369" s="2" t="str">
        <f>IFERROR(__xludf.DUMMYFUNCTION("IF(E2369&lt;&gt;"""", GOOGLETRANSLATE(E2369, ""en"", ""te""),"""")"),"")</f>
        <v/>
      </c>
      <c r="G2369" s="2"/>
      <c r="H2369" s="2" t="str">
        <f>IFERROR(__xludf.DUMMYFUNCTION("IF(G2369&lt;&gt;"""", GOOGLETRANSLATE(G2369, ""en"", ""te""),"""")"),"")</f>
        <v/>
      </c>
      <c r="I2369" s="3"/>
    </row>
    <row r="2370" customHeight="1" spans="1:9">
      <c r="A2370" s="2"/>
      <c r="B2370" s="2" t="str">
        <f>IFERROR(__xludf.DUMMYFUNCTION("IF(A2370&lt;&gt;"""", GOOGLETRANSLATE(A2370, ""en"", ""te""),"""")"),"")</f>
        <v/>
      </c>
      <c r="C2370" s="2"/>
      <c r="D2370" s="2" t="str">
        <f>IFERROR(__xludf.DUMMYFUNCTION("IF(C2370&lt;&gt;"""", GOOGLETRANSLATE(C2370, ""en"", ""te""),"""")"),"")</f>
        <v/>
      </c>
      <c r="E2370" s="2"/>
      <c r="F2370" s="2" t="str">
        <f>IFERROR(__xludf.DUMMYFUNCTION("IF(E2370&lt;&gt;"""", GOOGLETRANSLATE(E2370, ""en"", ""te""),"""")"),"")</f>
        <v/>
      </c>
      <c r="G2370" s="2"/>
      <c r="H2370" s="2" t="str">
        <f>IFERROR(__xludf.DUMMYFUNCTION("IF(G2370&lt;&gt;"""", GOOGLETRANSLATE(G2370, ""en"", ""te""),"""")"),"")</f>
        <v/>
      </c>
      <c r="I2370" s="3"/>
    </row>
    <row r="2371" customHeight="1" spans="1:9">
      <c r="A2371" s="2"/>
      <c r="B2371" s="2" t="str">
        <f>IFERROR(__xludf.DUMMYFUNCTION("IF(A2371&lt;&gt;"""", GOOGLETRANSLATE(A2371, ""en"", ""te""),"""")"),"")</f>
        <v/>
      </c>
      <c r="C2371" s="2"/>
      <c r="D2371" s="2" t="str">
        <f>IFERROR(__xludf.DUMMYFUNCTION("IF(C2371&lt;&gt;"""", GOOGLETRANSLATE(C2371, ""en"", ""te""),"""")"),"")</f>
        <v/>
      </c>
      <c r="E2371" s="2"/>
      <c r="F2371" s="2" t="str">
        <f>IFERROR(__xludf.DUMMYFUNCTION("IF(E2371&lt;&gt;"""", GOOGLETRANSLATE(E2371, ""en"", ""te""),"""")"),"")</f>
        <v/>
      </c>
      <c r="G2371" s="2"/>
      <c r="H2371" s="2" t="str">
        <f>IFERROR(__xludf.DUMMYFUNCTION("IF(G2371&lt;&gt;"""", GOOGLETRANSLATE(G2371, ""en"", ""te""),"""")"),"")</f>
        <v/>
      </c>
      <c r="I2371" s="3"/>
    </row>
    <row r="2372" customHeight="1" spans="1:9">
      <c r="A2372" s="2" t="s">
        <v>1671</v>
      </c>
      <c r="B2372" s="2" t="str">
        <f>IFERROR(__xludf.DUMMYFUNCTION("IF(A2372&lt;&gt;"""", GOOGLETRANSLATE(A2372, ""en"", ""te""),"""")"),"[ 'ఒక ఆటలో బదులు ద్వారా 1st అత్యధిక క్యాచ్లు (4)']")</f>
        <v>[ 'ఒక ఆటలో బదులు ద్వారా 1st అత్యధిక క్యాచ్లు (4)']</v>
      </c>
      <c r="C2372" s="2" t="s">
        <v>1671</v>
      </c>
      <c r="D2372" s="2" t="str">
        <f>IFERROR(__xludf.DUMMYFUNCTION("IF(C2372&lt;&gt;"""", GOOGLETRANSLATE(C2372, ""en"", ""te""),"""")"),"[ 'ఒక ఆటలో బదులు ద్వారా 1st అత్యధిక క్యాచ్లు (4)']")</f>
        <v>[ 'ఒక ఆటలో బదులు ద్వారా 1st అత్యధిక క్యాచ్లు (4)']</v>
      </c>
      <c r="E2372" s="2"/>
      <c r="F2372" s="2" t="str">
        <f>IFERROR(__xludf.DUMMYFUNCTION("IF(E2372&lt;&gt;"""", GOOGLETRANSLATE(E2372, ""en"", ""te""),"""")"),"")</f>
        <v/>
      </c>
      <c r="G2372" s="2"/>
      <c r="H2372" s="2" t="str">
        <f>IFERROR(__xludf.DUMMYFUNCTION("IF(G2372&lt;&gt;"""", GOOGLETRANSLATE(G2372, ""en"", ""te""),"""")"),"")</f>
        <v/>
      </c>
      <c r="I2372" s="3"/>
    </row>
    <row r="2373" customHeight="1" spans="1:9">
      <c r="A2373" s="2"/>
      <c r="B2373" s="2" t="str">
        <f>IFERROR(__xludf.DUMMYFUNCTION("IF(A2373&lt;&gt;"""", GOOGLETRANSLATE(A2373, ""en"", ""te""),"""")"),"")</f>
        <v/>
      </c>
      <c r="C2373" s="2" t="s">
        <v>1672</v>
      </c>
      <c r="D2373" s="2" t="str">
        <f>IFERROR(__xludf.DUMMYFUNCTION("IF(C2373&lt;&gt;"""", GOOGLETRANSLATE(C2373, ""en"", ""te""),"""")"),"[ '16 వ ఒక మ్యాచ్ రిఫరీ గా అత్యధిక మ్యాచ్లు (25)']")</f>
        <v>[ '16 వ ఒక మ్యాచ్ రిఫరీ గా అత్యధిక మ్యాచ్లు (25)']</v>
      </c>
      <c r="E2373" s="2" t="s">
        <v>1673</v>
      </c>
      <c r="F2373" s="2" t="str">
        <f>IFERROR(__xludf.DUMMYFUNCTION("IF(E2373&lt;&gt;"""", GOOGLETRANSLATE(E2373, ""en"", ""te""),"""")"),"[ '17 ఒక మ్యాచ్ రిఫరీ గా అత్యధిక మ్యాచ్లు (63)']")</f>
        <v>[ '17 ఒక మ్యాచ్ రిఫరీ గా అత్యధిక మ్యాచ్లు (63)']</v>
      </c>
      <c r="G2373" s="2"/>
      <c r="H2373" s="2" t="str">
        <f>IFERROR(__xludf.DUMMYFUNCTION("IF(G2373&lt;&gt;"""", GOOGLETRANSLATE(G2373, ""en"", ""te""),"""")"),"")</f>
        <v/>
      </c>
      <c r="I2373" s="3"/>
    </row>
    <row r="2374" customHeight="1" spans="1:9">
      <c r="A2374" s="2"/>
      <c r="B2374" s="2" t="str">
        <f>IFERROR(__xludf.DUMMYFUNCTION("IF(A2374&lt;&gt;"""", GOOGLETRANSLATE(A2374, ""en"", ""te""),"""")"),"")</f>
        <v/>
      </c>
      <c r="C2374" s="2"/>
      <c r="D2374" s="2" t="str">
        <f>IFERROR(__xludf.DUMMYFUNCTION("IF(C2374&lt;&gt;"""", GOOGLETRANSLATE(C2374, ""en"", ""te""),"""")"),"")</f>
        <v/>
      </c>
      <c r="E2374" s="2"/>
      <c r="F2374" s="2" t="str">
        <f>IFERROR(__xludf.DUMMYFUNCTION("IF(E2374&lt;&gt;"""", GOOGLETRANSLATE(E2374, ""en"", ""te""),"""")"),"")</f>
        <v/>
      </c>
      <c r="G2374" s="2"/>
      <c r="H2374" s="2" t="str">
        <f>IFERROR(__xludf.DUMMYFUNCTION("IF(G2374&lt;&gt;"""", GOOGLETRANSLATE(G2374, ""en"", ""te""),"""")"),"")</f>
        <v/>
      </c>
      <c r="I2374" s="3"/>
    </row>
    <row r="2375" customHeight="1" spans="1:9">
      <c r="A2375" s="2"/>
      <c r="B2375" s="2" t="str">
        <f>IFERROR(__xludf.DUMMYFUNCTION("IF(A2375&lt;&gt;"""", GOOGLETRANSLATE(A2375, ""en"", ""te""),"""")"),"")</f>
        <v/>
      </c>
      <c r="C2375" s="2"/>
      <c r="D2375" s="2" t="str">
        <f>IFERROR(__xludf.DUMMYFUNCTION("IF(C2375&lt;&gt;"""", GOOGLETRANSLATE(C2375, ""en"", ""te""),"""")"),"")</f>
        <v/>
      </c>
      <c r="E2375" s="2"/>
      <c r="F2375" s="2" t="str">
        <f>IFERROR(__xludf.DUMMYFUNCTION("IF(E2375&lt;&gt;"""", GOOGLETRANSLATE(E2375, ""en"", ""te""),"""")"),"")</f>
        <v/>
      </c>
      <c r="G2375" s="2"/>
      <c r="H2375" s="2" t="str">
        <f>IFERROR(__xludf.DUMMYFUNCTION("IF(G2375&lt;&gt;"""", GOOGLETRANSLATE(G2375, ""en"", ""te""),"""")"),"")</f>
        <v/>
      </c>
      <c r="I2375" s="3"/>
    </row>
    <row r="2376" customHeight="1" spans="1:9">
      <c r="A2376" s="2" t="s">
        <v>352</v>
      </c>
      <c r="B2376" s="2" t="str">
        <f>IFERROR(__xludf.DUMMYFUNCTION("IF(A2376&lt;&gt;"""", GOOGLETRANSLATE(A2376, ""en"", ""te""),"""")"),"[ 'బ్యాటింగ్ ప్రారంభించుటకు మరియు అదే మ్యాచ్ లో బౌలింగ్']")</f>
        <v>[ 'బ్యాటింగ్ ప్రారంభించుటకు మరియు అదే మ్యాచ్ లో బౌలింగ్']</v>
      </c>
      <c r="C2376" s="2"/>
      <c r="D2376" s="2" t="str">
        <f>IFERROR(__xludf.DUMMYFUNCTION("IF(C2376&lt;&gt;"""", GOOGLETRANSLATE(C2376, ""en"", ""te""),"""")"),"")</f>
        <v/>
      </c>
      <c r="E2376" s="2"/>
      <c r="F2376" s="2" t="str">
        <f>IFERROR(__xludf.DUMMYFUNCTION("IF(E2376&lt;&gt;"""", GOOGLETRANSLATE(E2376, ""en"", ""te""),"""")"),"")</f>
        <v/>
      </c>
      <c r="G2376" s="2"/>
      <c r="H2376" s="2" t="str">
        <f>IFERROR(__xludf.DUMMYFUNCTION("IF(G2376&lt;&gt;"""", GOOGLETRANSLATE(G2376, ""en"", ""te""),"""")"),"")</f>
        <v/>
      </c>
      <c r="I2376" s="3"/>
    </row>
    <row r="2377" customHeight="1" spans="1:9">
      <c r="A2377" s="2" t="s">
        <v>1674</v>
      </c>
      <c r="B2377" s="2" t="str">
        <f>IFERROR(__xludf.DUMMYFUNCTION("IF(A2377&lt;&gt;"""", GOOGLETRANSLATE(A2377, ""en"", ""te""),"""")"),"[ 'హండ్రెడ్ తొలి (101 *)', 'కెరీర్లో 1st లేవు బాతులు (44)', 'ఇన్నింగ్స్ లో 8 వ ఉత్తమ ఆర్థిక రేటు (0.40)', 'కెరీర్ (44) లో 2 వ లేవు బాతులు']")</f>
        <v>[ 'హండ్రెడ్ తొలి (101 *)', 'కెరీర్లో 1st లేవు బాతులు (44)', 'ఇన్నింగ్స్ లో 8 వ ఉత్తమ ఆర్థిక రేటు (0.40)', 'కెరీర్ (44) లో 2 వ లేవు బాతులు']</v>
      </c>
      <c r="C2377" s="2" t="s">
        <v>1675</v>
      </c>
      <c r="D2377" s="2" t="str">
        <f>IFERROR(__xludf.DUMMYFUNCTION("IF(C2377&lt;&gt;"""", GOOGLETRANSLATE(C2377, ""en"", ""te""),"""")"),"[40 వ పిన్న ఆటగాడు వంద స్కోర్ (20y 235d) ',' కెరీర్లో 1st లేవు బాతులు (44) ',' ఇన్నింగ్స్ లో 8 వ ఉత్తమ ఆర్థిక రేటు (0.40) ']")</f>
        <v>[40 వ పిన్న ఆటగాడు వంద స్కోర్ (20y 235d) ',' కెరీర్లో 1st లేవు బాతులు (44) ',' ఇన్నింగ్స్ లో 8 వ ఉత్తమ ఆర్థిక రేటు (0.40) ']</v>
      </c>
      <c r="E2377" s="2"/>
      <c r="F2377" s="2" t="str">
        <f>IFERROR(__xludf.DUMMYFUNCTION("IF(E2377&lt;&gt;"""", GOOGLETRANSLATE(E2377, ""en"", ""te""),"""")"),"")</f>
        <v/>
      </c>
      <c r="G2377" s="2"/>
      <c r="H2377" s="2" t="str">
        <f>IFERROR(__xludf.DUMMYFUNCTION("IF(G2377&lt;&gt;"""", GOOGLETRANSLATE(G2377, ""en"", ""te""),"""")"),"")</f>
        <v/>
      </c>
      <c r="I2377" s="3"/>
    </row>
    <row r="2378" customHeight="1" spans="1:9">
      <c r="A2378" s="2"/>
      <c r="B2378" s="2" t="str">
        <f>IFERROR(__xludf.DUMMYFUNCTION("IF(A2378&lt;&gt;"""", GOOGLETRANSLATE(A2378, ""en"", ""te""),"""")"),"")</f>
        <v/>
      </c>
      <c r="C2378" s="2"/>
      <c r="D2378" s="2" t="str">
        <f>IFERROR(__xludf.DUMMYFUNCTION("IF(C2378&lt;&gt;"""", GOOGLETRANSLATE(C2378, ""en"", ""te""),"""")"),"")</f>
        <v/>
      </c>
      <c r="E2378" s="2"/>
      <c r="F2378" s="2" t="str">
        <f>IFERROR(__xludf.DUMMYFUNCTION("IF(E2378&lt;&gt;"""", GOOGLETRANSLATE(E2378, ""en"", ""te""),"""")"),"")</f>
        <v/>
      </c>
      <c r="G2378" s="2"/>
      <c r="H2378" s="2" t="str">
        <f>IFERROR(__xludf.DUMMYFUNCTION("IF(G2378&lt;&gt;"""", GOOGLETRANSLATE(G2378, ""en"", ""te""),"""")"),"")</f>
        <v/>
      </c>
      <c r="I2378" s="3"/>
    </row>
    <row r="2379" customHeight="1" spans="1:9">
      <c r="A2379" s="2"/>
      <c r="B2379" s="2" t="str">
        <f>IFERROR(__xludf.DUMMYFUNCTION("IF(A2379&lt;&gt;"""", GOOGLETRANSLATE(A2379, ""en"", ""te""),"""")"),"")</f>
        <v/>
      </c>
      <c r="C2379" s="2"/>
      <c r="D2379" s="2" t="str">
        <f>IFERROR(__xludf.DUMMYFUNCTION("IF(C2379&lt;&gt;"""", GOOGLETRANSLATE(C2379, ""en"", ""te""),"""")"),"")</f>
        <v/>
      </c>
      <c r="E2379" s="2"/>
      <c r="F2379" s="2" t="str">
        <f>IFERROR(__xludf.DUMMYFUNCTION("IF(E2379&lt;&gt;"""", GOOGLETRANSLATE(E2379, ""en"", ""te""),"""")"),"")</f>
        <v/>
      </c>
      <c r="G2379" s="2"/>
      <c r="H2379" s="2" t="str">
        <f>IFERROR(__xludf.DUMMYFUNCTION("IF(G2379&lt;&gt;"""", GOOGLETRANSLATE(G2379, ""en"", ""te""),"""")"),"")</f>
        <v/>
      </c>
      <c r="I2379" s="3"/>
    </row>
    <row r="2380" customHeight="1" spans="1:9">
      <c r="A2380" s="2"/>
      <c r="B2380" s="2" t="str">
        <f>IFERROR(__xludf.DUMMYFUNCTION("IF(A2380&lt;&gt;"""", GOOGLETRANSLATE(A2380, ""en"", ""te""),"""")"),"")</f>
        <v/>
      </c>
      <c r="C2380" s="2"/>
      <c r="D2380" s="2" t="str">
        <f>IFERROR(__xludf.DUMMYFUNCTION("IF(C2380&lt;&gt;"""", GOOGLETRANSLATE(C2380, ""en"", ""te""),"""")"),"")</f>
        <v/>
      </c>
      <c r="E2380" s="2"/>
      <c r="F2380" s="2" t="str">
        <f>IFERROR(__xludf.DUMMYFUNCTION("IF(E2380&lt;&gt;"""", GOOGLETRANSLATE(E2380, ""en"", ""te""),"""")"),"")</f>
        <v/>
      </c>
      <c r="G2380" s="2"/>
      <c r="H2380" s="2" t="str">
        <f>IFERROR(__xludf.DUMMYFUNCTION("IF(G2380&lt;&gt;"""", GOOGLETRANSLATE(G2380, ""en"", ""te""),"""")"),"")</f>
        <v/>
      </c>
      <c r="I2380" s="3"/>
    </row>
    <row r="2381" customHeight="1" spans="1:9">
      <c r="A2381" s="2" t="s">
        <v>1676</v>
      </c>
      <c r="B2381" s="2" t="str">
        <f>IFERROR(__xludf.DUMMYFUNCTION("IF(A2381&lt;&gt;"""", GOOGLETRANSLATE(A2381, ""en"", ""te""),"""")"),"[ 'ఇన్నింగ్స్ లో 7 వ అత్యధిక పరుగులు (బ్యాటింగ్ స్థానంలో ప్రకారం) (64)', '1 వ అత్యుత్తమ బౌలింగ్ ఇన్నింగ్స్ లో విశ్లేషించడం (2/0)']")</f>
        <v>[ 'ఇన్నింగ్స్ లో 7 వ అత్యధిక పరుగులు (బ్యాటింగ్ స్థానంలో ప్రకారం) (64)', '1 వ అత్యుత్తమ బౌలింగ్ ఇన్నింగ్స్ లో విశ్లేషించడం (2/0)']</v>
      </c>
      <c r="C2381" s="2"/>
      <c r="D2381" s="2" t="str">
        <f>IFERROR(__xludf.DUMMYFUNCTION("IF(C2381&lt;&gt;"""", GOOGLETRANSLATE(C2381, ""en"", ""te""),"""")"),"")</f>
        <v/>
      </c>
      <c r="E2381" s="2" t="s">
        <v>1677</v>
      </c>
      <c r="F2381" s="2" t="str">
        <f>IFERROR(__xludf.DUMMYFUNCTION("IF(E2381&lt;&gt;"""", GOOGLETRANSLATE(E2381, ""en"", ""te""),"""")"),"[ '(7/20) 5 వ ఇన్నింగ్స్ లో బెస్ట్ ఫిగర్స్', '1 వ అత్యుత్తమ బౌలింగ్ ఇన్నింగ్స్ లో విశ్లేషించడం (2/0)' 'ఇన్నింగ్స్ లో 7 వ అత్యధిక పరుగులు (బ్యాటింగ్ స్థానంలో ప్రకారం) (64)', '43 వ అత్యంత ఐదు వికెట్లు-ఇన్-ఒక-ఇన్నింగ్స్ కెరీర్లో (2) ',' ఐదు వికెట్ల లో-ఒక-ఇన్"&amp;"నింగ్స్ తొలి ఐదు wickets- తీసుకోవాలని తీసుకోవాలని 34 వ అత్యంత వృద్ధ ఆటగాడు (32y 187d) ',' 30 వ అత్యంత వృద్ధ ఆటగాడు లో-ఒక-ఇన్నింగ్స్ (31y 148d) ',' 44 వ బౌలర్ / ఫీల్డర్ కలయికలు (25) ']")</f>
        <v>[ '(7/20) 5 వ ఇన్నింగ్స్ లో బెస్ట్ ఫిగర్స్', '1 వ అత్యుత్తమ బౌలింగ్ ఇన్నింగ్స్ లో విశ్లేషించడం (2/0)' 'ఇన్నింగ్స్ లో 7 వ అత్యధిక పరుగులు (బ్యాటింగ్ స్థానంలో ప్రకారం) (64)', '43 వ అత్యంత ఐదు వికెట్లు-ఇన్-ఒక-ఇన్నింగ్స్ కెరీర్లో (2) ',' ఐదు వికెట్ల లో-ఒక-ఇన్నింగ్స్ తొలి ఐదు wickets- తీసుకోవాలని తీసుకోవాలని 34 వ అత్యంత వృద్ధ ఆటగాడు (32y 187d) ',' 30 వ అత్యంత వృద్ధ ఆటగాడు లో-ఒక-ఇన్నింగ్స్ (31y 148d) ',' 44 వ బౌలర్ / ఫీల్డర్ కలయికలు (25) ']</v>
      </c>
      <c r="G2381" s="2"/>
      <c r="H2381" s="2" t="str">
        <f>IFERROR(__xludf.DUMMYFUNCTION("IF(G2381&lt;&gt;"""", GOOGLETRANSLATE(G2381, ""en"", ""te""),"""")"),"")</f>
        <v/>
      </c>
      <c r="I2381" s="3"/>
    </row>
    <row r="2382" customHeight="1" spans="1:9">
      <c r="A2382" s="2"/>
      <c r="B2382" s="2" t="str">
        <f>IFERROR(__xludf.DUMMYFUNCTION("IF(A2382&lt;&gt;"""", GOOGLETRANSLATE(A2382, ""en"", ""te""),"""")"),"")</f>
        <v/>
      </c>
      <c r="C2382" s="2"/>
      <c r="D2382" s="2" t="str">
        <f>IFERROR(__xludf.DUMMYFUNCTION("IF(C2382&lt;&gt;"""", GOOGLETRANSLATE(C2382, ""en"", ""te""),"""")"),"")</f>
        <v/>
      </c>
      <c r="E2382" s="2"/>
      <c r="F2382" s="2" t="str">
        <f>IFERROR(__xludf.DUMMYFUNCTION("IF(E2382&lt;&gt;"""", GOOGLETRANSLATE(E2382, ""en"", ""te""),"""")"),"")</f>
        <v/>
      </c>
      <c r="G2382" s="2"/>
      <c r="H2382" s="2" t="str">
        <f>IFERROR(__xludf.DUMMYFUNCTION("IF(G2382&lt;&gt;"""", GOOGLETRANSLATE(G2382, ""en"", ""te""),"""")"),"")</f>
        <v/>
      </c>
      <c r="I2382" s="3"/>
    </row>
    <row r="2383" customHeight="1" spans="1:9">
      <c r="A2383" s="2"/>
      <c r="B2383" s="2" t="str">
        <f>IFERROR(__xludf.DUMMYFUNCTION("IF(A2383&lt;&gt;"""", GOOGLETRANSLATE(A2383, ""en"", ""te""),"""")"),"")</f>
        <v/>
      </c>
      <c r="C2383" s="2"/>
      <c r="D2383" s="2" t="str">
        <f>IFERROR(__xludf.DUMMYFUNCTION("IF(C2383&lt;&gt;"""", GOOGLETRANSLATE(C2383, ""en"", ""te""),"""")"),"")</f>
        <v/>
      </c>
      <c r="E2383" s="2"/>
      <c r="F2383" s="2" t="str">
        <f>IFERROR(__xludf.DUMMYFUNCTION("IF(E2383&lt;&gt;"""", GOOGLETRANSLATE(E2383, ""en"", ""te""),"""")"),"")</f>
        <v/>
      </c>
      <c r="G2383" s="2"/>
      <c r="H2383" s="2" t="str">
        <f>IFERROR(__xludf.DUMMYFUNCTION("IF(G2383&lt;&gt;"""", GOOGLETRANSLATE(G2383, ""en"", ""te""),"""")"),"")</f>
        <v/>
      </c>
      <c r="I2383" s="3"/>
    </row>
    <row r="2384" customHeight="1" spans="1:9">
      <c r="A2384" s="2" t="s">
        <v>1678</v>
      </c>
      <c r="B2384" s="2" t="str">
        <f>IFERROR(__xludf.DUMMYFUNCTION("IF(A2384&lt;&gt;"""", GOOGLETRANSLATE(A2384, ""en"", ""te""),"""")"),"[ 'ఒక కెప్టెన్ ద్వారా ఒక సిరీస్లో 1st అత్యధిక పరుగులు (810)', '1 వ అత్యధిక కెరీర్ బ్యాటింగ్ సగటు (99.94)', 'హండ్రెడ్ ఒక మ్యాచ్లో ప్రతి ఇన్నింగ్స్లో' '99 నాటౌట్ (199, 299 etc) (299 *) ',' హండ్రెడ్ మరియు ఒక మ్యాచ్లో ఒక డక్ ',' 3 వ అత్యంత ఇన్నింగ్స్ లో ఫోర్ల"&amp;"ు (46) ',' 6000 పరుగులు (68) ',' వరుస మ్యాచ్లలో 1st వందల (6) 1 వ వేగవంతమైన ']")</f>
        <v>[ 'ఒక కెప్టెన్ ద్వారా ఒక సిరీస్లో 1st అత్యధిక పరుగులు (810)', '1 వ అత్యధిక కెరీర్ బ్యాటింగ్ సగటు (99.94)', 'హండ్రెడ్ ఒక మ్యాచ్లో ప్రతి ఇన్నింగ్స్లో' '99 నాటౌట్ (199, 299 etc) (299 *) ',' హండ్రెడ్ మరియు ఒక మ్యాచ్లో ఒక డక్ ',' 3 వ అత్యంత ఇన్నింగ్స్ లో ఫోర్లు (46) ',' 6000 పరుగులు (68) ',' వరుస మ్యాచ్లలో 1st వందల (6) 1 వ వేగవంతమైన ']</v>
      </c>
      <c r="C2384" s="2" t="s">
        <v>1679</v>
      </c>
      <c r="D2384" s="2" t="str">
        <f>IFERROR(__xludf.DUMMYFUNCTION("IF(C2384&lt;&gt;"""", GOOGLETRANSLATE(C2384, ""en"", ""te""),"""")"),"[ 'ఇన్నింగ్స్ లో 5 వ అత్యధిక పరుగులు (ప్రగతిశీల రికార్డు హోల్డర్) (334)', '12 వ ఇన్నింగ్స్ (334) అత్యధిక పరుగులు' 'ఒక మ్యాచ్లో 24 వ అత్యధిక పరుగులు (334)', '1st ఒక సిరీస్లో అత్యధిక పరుగులు ( 974) ',' 1 వ ఇన్నింగ్స్ లో అత్యధిక పరుగులు (బ్యాటింగ్ స్థానంలో ప"&amp;"్రకారం) (270) ',' ఒకే మైదానంలో 9 వ అత్యధిక పరుగులు (ఒక రోజు లో 1671) ',' 1 వ అత్యధిక పరుగులు (309) ',' 1 వ అత్యధిక పరుగులు ఒక కెప్టెన్ ద్వారా ఒక సిరీస్లో (810) ',' ఒక కెప్టెన్తో ఇన్నింగ్స్ లో 13 వ అత్యధిక పరుగులు (270) ',' 1 వ అత్యధిక కెరీర్ బ్యాటింగ్ సగ"&amp;"టు (99.94) ',' 14 వ ఒక వృత్తిలో అత్యధిక వందలు (29) ',' 1 వ అత్యధిక డబుల్ వరుస వరుస ఒక కెరీర్లో ఒక వృత్తిలో వందల (12) ',' 1 వ అత్యధిక ట్రిపుల్ సెంచరీలు (2) ',' 1 వ అత్యధిక డబుల్ సెంచరీలు (3) ',' 2 వ అత్యధిక వందలు (4) ', 'ఒక క్యాలెండర్ సంవత్సరంలో 19 అత్యధిక"&amp;" వందలు (5)', '1st ఒక జట్టు వ్యతిరేకంగా అత్యధిక వందలు (19)', 'వరుస ఇన్నింగ్స్లో 5 వ వందల (3)', 'వరుస మ్యాచ్లలో 1st వందల (6)', '32 వ పిన్న వంద (20y 124d) ',' 9 వ పిన్న ఆటగాడు స్కోర్ 2 వ పిన్న ఆటగాడు ',' డబుల్ సెంచరీ (21y 304d) స్కోర్ సాధించిన క్రీడాకారుడు ఒ"&amp;"క ట్రిపుల్ వందల (2 1 సం 318d) ',' వరుస ఇన్నింగ్స్లో 32 వ యాభైల్లో (5) వరుస మ్యాచ్లు (ఒక ఇన్నింగ్స్ లో 7) ',' 3 వ అత్యంత ఫోర్లు (లో ',' 26th యాభైల్లో 46) ',' 13 వ అత్యంత ఇన్నింగ్స్ లో ఫోర్లు, సిక్సర్లు నుండి పరుగులు (184) ',' ఒక ఇన్నింగ్స్లో పరుగుల 26 అత"&amp;"్యధిక శాతం (59.01) ',' ఫాస్టెస్ట్ 1000 పరుగులు 3 వ (13) ',' 2000 పరుగులు వేగంగా 1st (22) ',' 3000 పరుగులు వేగంగా 1st (33 ) ',' 4000 పరుగులు వేగంగా 1st (48) ',' 5000 పరుగులు 1st వేగవంతమైన (56) ',' 6000 పరుగులు వేగంగా 1st (68) మూడవ వికెట్కు ',' 34 వ అత్యధి"&amp;"క భాగస్వామ్యం (276) ',' 20 వ లాంగెస్ట్ కెరీర్లు (19y 262d) ',' 34 వ లాంగెస్ట్ క్రీడాకారులు నివసించారు (92y 182d) ',' 23 వ ఓల్డెస్ట్ కాప్టెన్ (39y 357d) ']")</f>
        <v>[ 'ఇన్నింగ్స్ లో 5 వ అత్యధిక పరుగులు (ప్రగతిశీల రికార్డు హోల్డర్) (334)', '12 వ ఇన్నింగ్స్ (334) అత్యధిక పరుగులు' 'ఒక మ్యాచ్లో 24 వ అత్యధిక పరుగులు (334)', '1st ఒక సిరీస్లో అత్యధిక పరుగులు ( 974) ',' 1 వ ఇన్నింగ్స్ లో అత్యధిక పరుగులు (బ్యాటింగ్ స్థానంలో ప్రకారం) (270) ',' ఒకే మైదానంలో 9 వ అత్యధిక పరుగులు (ఒక రోజు లో 1671) ',' 1 వ అత్యధిక పరుగులు (309) ',' 1 వ అత్యధిక పరుగులు ఒక కెప్టెన్ ద్వారా ఒక సిరీస్లో (810) ',' ఒక కెప్టెన్తో ఇన్నింగ్స్ లో 13 వ అత్యధిక పరుగులు (270) ',' 1 వ అత్యధిక కెరీర్ బ్యాటింగ్ సగటు (99.94) ',' 14 వ ఒక వృత్తిలో అత్యధిక వందలు (29) ',' 1 వ అత్యధిక డబుల్ వరుస వరుస ఒక కెరీర్లో ఒక వృత్తిలో వందల (12) ',' 1 వ అత్యధిక ట్రిపుల్ సెంచరీలు (2) ',' 1 వ అత్యధిక డబుల్ సెంచరీలు (3) ',' 2 వ అత్యధిక వందలు (4) ', 'ఒక క్యాలెండర్ సంవత్సరంలో 19 అత్యధిక వందలు (5)', '1st ఒక జట్టు వ్యతిరేకంగా అత్యధిక వందలు (19)', 'వరుస ఇన్నింగ్స్లో 5 వ వందల (3)', 'వరుస మ్యాచ్లలో 1st వందల (6)', '32 వ పిన్న వంద (20y 124d) ',' 9 వ పిన్న ఆటగాడు స్కోర్ 2 వ పిన్న ఆటగాడు ',' డబుల్ సెంచరీ (21y 304d) స్కోర్ సాధించిన క్రీడాకారుడు ఒక ట్రిపుల్ వందల (2 1 సం 318d) ',' వరుస ఇన్నింగ్స్లో 32 వ యాభైల్లో (5) వరుస మ్యాచ్లు (ఒక ఇన్నింగ్స్ లో 7) ',' 3 వ అత్యంత ఫోర్లు (లో ',' 26th యాభైల్లో 46) ',' 13 వ అత్యంత ఇన్నింగ్స్ లో ఫోర్లు, సిక్సర్లు నుండి పరుగులు (184) ',' ఒక ఇన్నింగ్స్లో పరుగుల 26 అత్యధిక శాతం (59.01) ',' ఫాస్టెస్ట్ 1000 పరుగులు 3 వ (13) ',' 2000 పరుగులు వేగంగా 1st (22) ',' 3000 పరుగులు వేగంగా 1st (33 ) ',' 4000 పరుగులు వేగంగా 1st (48) ',' 5000 పరుగులు 1st వేగవంతమైన (56) ',' 6000 పరుగులు వేగంగా 1st (68) మూడవ వికెట్కు ',' 34 వ అత్యధిక భాగస్వామ్యం (276) ',' 20 వ లాంగెస్ట్ కెరీర్లు (19y 262d) ',' 34 వ లాంగెస్ట్ క్రీడాకారులు నివసించారు (92y 182d) ',' 23 వ ఓల్డెస్ట్ కాప్టెన్ (39y 357d) ']</v>
      </c>
      <c r="E2384" s="2"/>
      <c r="F2384" s="2" t="str">
        <f>IFERROR(__xludf.DUMMYFUNCTION("IF(E2384&lt;&gt;"""", GOOGLETRANSLATE(E2384, ""en"", ""te""),"""")"),"")</f>
        <v/>
      </c>
      <c r="G2384" s="2"/>
      <c r="H2384" s="2" t="str">
        <f>IFERROR(__xludf.DUMMYFUNCTION("IF(G2384&lt;&gt;"""", GOOGLETRANSLATE(G2384, ""en"", ""te""),"""")"),"")</f>
        <v/>
      </c>
      <c r="I2384" s="3"/>
    </row>
    <row r="2385" customHeight="1" spans="1:9">
      <c r="A2385" s="2"/>
      <c r="B2385" s="2" t="str">
        <f>IFERROR(__xludf.DUMMYFUNCTION("IF(A2385&lt;&gt;"""", GOOGLETRANSLATE(A2385, ""en"", ""te""),"""")"),"")</f>
        <v/>
      </c>
      <c r="C2385" s="2"/>
      <c r="D2385" s="2" t="str">
        <f>IFERROR(__xludf.DUMMYFUNCTION("IF(C2385&lt;&gt;"""", GOOGLETRANSLATE(C2385, ""en"", ""te""),"""")"),"")</f>
        <v/>
      </c>
      <c r="E2385" s="2"/>
      <c r="F2385" s="2" t="str">
        <f>IFERROR(__xludf.DUMMYFUNCTION("IF(E2385&lt;&gt;"""", GOOGLETRANSLATE(E2385, ""en"", ""te""),"""")"),"")</f>
        <v/>
      </c>
      <c r="G2385" s="2"/>
      <c r="H2385" s="2" t="str">
        <f>IFERROR(__xludf.DUMMYFUNCTION("IF(G2385&lt;&gt;"""", GOOGLETRANSLATE(G2385, ""en"", ""te""),"""")"),"")</f>
        <v/>
      </c>
      <c r="I2385" s="3"/>
    </row>
    <row r="2386" customHeight="1" spans="1:9">
      <c r="A2386" s="2"/>
      <c r="B2386" s="2" t="str">
        <f>IFERROR(__xludf.DUMMYFUNCTION("IF(A2386&lt;&gt;"""", GOOGLETRANSLATE(A2386, ""en"", ""te""),"""")"),"")</f>
        <v/>
      </c>
      <c r="C2386" s="2" t="s">
        <v>1680</v>
      </c>
      <c r="D2386" s="2" t="str">
        <f>IFERROR(__xludf.DUMMYFUNCTION("IF(C2386&lt;&gt;"""", GOOGLETRANSLATE(C2386, ""en"", ""te""),"""")"),"[ '27 ఉత్తమ కెరీర్ సమ్మె రేటు (48.0)']")</f>
        <v>[ '27 ఉత్తమ కెరీర్ సమ్మె రేటు (48.0)']</v>
      </c>
      <c r="E2386" s="2" t="s">
        <v>1681</v>
      </c>
      <c r="F2386" s="2" t="str">
        <f>IFERROR(__xludf.DUMMYFUNCTION("IF(E2386&lt;&gt;"""", GOOGLETRANSLATE(E2386, ""en"", ""te""),"""")"),"[ '43 వ ఉత్తమ కెరీర్ బౌలింగ్ సరాసరి (23.90)', '40 వ ఉత్తమ కెరీర్ సమ్మె రేటు (31.3)', '43 వ అత్యంత ఐదు-వికెట్ల లో-ఒక-ఇన్నింగ్స్ కెరీర్లో (2)']")</f>
        <v>[ '43 వ ఉత్తమ కెరీర్ బౌలింగ్ సరాసరి (23.90)', '40 వ ఉత్తమ కెరీర్ సమ్మె రేటు (31.3)', '43 వ అత్యంత ఐదు-వికెట్ల లో-ఒక-ఇన్నింగ్స్ కెరీర్లో (2)']</v>
      </c>
      <c r="G2386" s="2"/>
      <c r="H2386" s="2" t="str">
        <f>IFERROR(__xludf.DUMMYFUNCTION("IF(G2386&lt;&gt;"""", GOOGLETRANSLATE(G2386, ""en"", ""te""),"""")"),"")</f>
        <v/>
      </c>
      <c r="I2386" s="3"/>
    </row>
    <row r="2387" customHeight="1" spans="1:9">
      <c r="A2387" s="2"/>
      <c r="B2387" s="2" t="str">
        <f>IFERROR(__xludf.DUMMYFUNCTION("IF(A2387&lt;&gt;"""", GOOGLETRANSLATE(A2387, ""en"", ""te""),"""")"),"")</f>
        <v/>
      </c>
      <c r="C2387" s="2"/>
      <c r="D2387" s="2" t="str">
        <f>IFERROR(__xludf.DUMMYFUNCTION("IF(C2387&lt;&gt;"""", GOOGLETRANSLATE(C2387, ""en"", ""te""),"""")"),"")</f>
        <v/>
      </c>
      <c r="E2387" s="2"/>
      <c r="F2387" s="2" t="str">
        <f>IFERROR(__xludf.DUMMYFUNCTION("IF(E2387&lt;&gt;"""", GOOGLETRANSLATE(E2387, ""en"", ""te""),"""")"),"")</f>
        <v/>
      </c>
      <c r="G2387" s="2"/>
      <c r="H2387" s="2" t="str">
        <f>IFERROR(__xludf.DUMMYFUNCTION("IF(G2387&lt;&gt;"""", GOOGLETRANSLATE(G2387, ""en"", ""te""),"""")"),"")</f>
        <v/>
      </c>
      <c r="I2387" s="3"/>
    </row>
    <row r="2388" customHeight="1" spans="1:9">
      <c r="A2388" s="2"/>
      <c r="B2388" s="2" t="str">
        <f>IFERROR(__xludf.DUMMYFUNCTION("IF(A2388&lt;&gt;"""", GOOGLETRANSLATE(A2388, ""en"", ""te""),"""")"),"")</f>
        <v/>
      </c>
      <c r="C2388" s="2"/>
      <c r="D2388" s="2" t="str">
        <f>IFERROR(__xludf.DUMMYFUNCTION("IF(C2388&lt;&gt;"""", GOOGLETRANSLATE(C2388, ""en"", ""te""),"""")"),"")</f>
        <v/>
      </c>
      <c r="E2388" s="2"/>
      <c r="F2388" s="2" t="str">
        <f>IFERROR(__xludf.DUMMYFUNCTION("IF(E2388&lt;&gt;"""", GOOGLETRANSLATE(E2388, ""en"", ""te""),"""")"),"")</f>
        <v/>
      </c>
      <c r="G2388" s="2"/>
      <c r="H2388" s="2" t="str">
        <f>IFERROR(__xludf.DUMMYFUNCTION("IF(G2388&lt;&gt;"""", GOOGLETRANSLATE(G2388, ""en"", ""te""),"""")"),"")</f>
        <v/>
      </c>
      <c r="I2388" s="3"/>
    </row>
    <row r="2389" customHeight="1" spans="1:9">
      <c r="A2389" s="2" t="s">
        <v>1682</v>
      </c>
      <c r="B2389" s="2" t="str">
        <f>IFERROR(__xludf.DUMMYFUNCTION("IF(A2389&lt;&gt;"""", GOOGLETRANSLATE(A2389, ""en"", ""te""),"""")"),"[ '2nd చాలా జట్టుకు వరుస మ్యాచ్లు (153)', '1 వ వరుస ఒక జట్టు కెప్టెన్గా మ్యాచ్లు (93)', '10 వ అత్యధిక పరుగులు కెరీర్లో (11174)', 'హండ్రెడ్ ఒక మ్యాచ్లో ప్రతి ఇన్నింగ్స్లో', 'నూట ఒక మ్యాచ్లో తొంభై' ఒక కెప్టెన్తో మ్యాచ్లో '5 వ బెస్ట్ ఫిగర్స్' 11000 పరుగులు "&amp;"(259) 10 వ వేగవంతమైన ',' ఒక మ్యాచ్ లో రెండు అజేయంగా అర్ధ ',' ఒక కెప్టెన్తో పెయిర్ ', (11) ',' 10th ఒక సిరీస్లో అత్యధిక క్యాచ్లు (12) ',' 5000 పరుగులు మరియు 50 ఫీల్డింగ్ వికెట్లు ',' ఐదవ వికెట్కు 8 వ అత్యధిక భాగస్వామ్యం (332 *) ',' కెప్టెన్ 5 వ అత్యధిక మ్"&amp;"యాచ్లు (178) ',' 2nd ఒక ఇన్నింగ్స్ లో (590) ',' 6 వ అత్యుత్తమ బౌలింగ్ విశ్లేషణ నిర్వహిస్తారు ఒక కెప్టెన్ ద్వారా ఒక సిరీస్లో అత్యధిక పరుగులు (2/2) ',' వరుస 2 వ అత్యధిక క్యాచ్లు (12) ',' 1000 పరుగులు, 50 వికెట్లు, 50 క్యాచ్లు ' '5000 పరుగులు మరియు 50 ఫీల్డి"&amp;"ంగ్ వికెట్లు', 'ఒక జట్టు 9 వ వరుస మ్యాచ్లు (129)', 'కెప్టెన్ 5 వ అత్యధిక మ్యాచ్లు (271)', '10 వ కెరీర్ (283) లో అత్యధిక క్యాచ్లు']")</f>
        <v>[ '2nd చాలా జట్టుకు వరుస మ్యాచ్లు (153)', '1 వ వరుస ఒక జట్టు కెప్టెన్గా మ్యాచ్లు (93)', '10 వ అత్యధిక పరుగులు కెరీర్లో (11174)', 'హండ్రెడ్ ఒక మ్యాచ్లో ప్రతి ఇన్నింగ్స్లో', 'నూట ఒక మ్యాచ్లో తొంభై' ఒక కెప్టెన్తో మ్యాచ్లో '5 వ బెస్ట్ ఫిగర్స్' 11000 పరుగులు (259) 10 వ వేగవంతమైన ',' ఒక మ్యాచ్ లో రెండు అజేయంగా అర్ధ ',' ఒక కెప్టెన్తో పెయిర్ ', (11) ',' 10th ఒక సిరీస్లో అత్యధిక క్యాచ్లు (12) ',' 5000 పరుగులు మరియు 50 ఫీల్డింగ్ వికెట్లు ',' ఐదవ వికెట్కు 8 వ అత్యధిక భాగస్వామ్యం (332 *) ',' కెప్టెన్ 5 వ అత్యధిక మ్యాచ్లు (178) ',' 2nd ఒక ఇన్నింగ్స్ లో (590) ',' 6 వ అత్యుత్తమ బౌలింగ్ విశ్లేషణ నిర్వహిస్తారు ఒక కెప్టెన్ ద్వారా ఒక సిరీస్లో అత్యధిక పరుగులు (2/2) ',' వరుస 2 వ అత్యధిక క్యాచ్లు (12) ',' 1000 పరుగులు, 50 వికెట్లు, 50 క్యాచ్లు ' '5000 పరుగులు మరియు 50 ఫీల్డింగ్ వికెట్లు', 'ఒక జట్టు 9 వ వరుస మ్యాచ్లు (129)', 'కెప్టెన్ 5 వ అత్యధిక మ్యాచ్లు (271)', '10 వ కెరీర్ (283) లో అత్యధిక క్యాచ్లు']</v>
      </c>
      <c r="C2389" s="2" t="s">
        <v>1683</v>
      </c>
      <c r="D2389" s="2" t="str">
        <f>IFERROR(__xludf.DUMMYFUNCTION("IF(C2389&lt;&gt;"""", GOOGLETRANSLATE(C2389, ""en"", ""te""),"""")"),"[ 'ఒకే మైదానంలో 19 వ అత్యధిక పరుగులు (1415)' '10 వ అత్యధిక కెరీర్ లో పరుగులు (11174)', 'ఒక సిరీస్లో ఒక కెప్టెన్తో 18 అత్యధిక పరుగులు (597)', '40 వ అత్యధిక కెరీర్ బ్యాటింగ్ సగటు (50.56)' '17 ఒక వృత్తిలో అత్యధిక వందలు (27)', '19 ఒక క్యాలెండర్ సంవత్సరంలో అత"&amp;"్యధిక వందలు (5)', '15 వ ఒక జట్టు వ్యతిరేకంగా అత్యధిక వందలు (8)', 'కెరీర్ లో 6 వ అత్యంత అర్ధ (90)', ' వరుస ఇన్నింగ్స్లో (6) వరుస మ్యాచ్లలో ',' 26th యాభైల్లో (7) ',' ఒక డక్ లేకుండా 4 వ అత్యధిక వరుస ఇన్నింగ్స్ (89) ',' 14 వ అత్యంత ఫోర్లు కెరీర్లో (1161) ','"&amp;" 50th 5000 వేగవంతమైన 7 వ యాభైల్లో పరుగులు (120) ',' 38 వ 6000 పరుగులు వేగంగా (140) ',' ఫాస్టెస్ట్ 7000 పరుగులు (159) ',' 23 వ వేగవంతమైన 8000 పరుగులు 30 వ (184) ',' 13 వ 9000 పరుగులు (207) 'వేగంగా, '11 వ 10000 పరుగులు వేగంగా (235)', '11000 పరుగులు వేగంగ"&amp;"ా 10 వ (259)', 'ఒక కెప్టెన్తో ఒక ఇన్నింగ్స్ లో 5 వ ఉత్తమ బొమ్మలు (7)', '5 వ ఒక కెప్టెన్తో ఒక మ్యాచ్లో ఉత్తమ బొమ్మలు (11) ',' పది వికెట్లు లో ఒక మ్యాచ్ కెరీర్లో వరుస తీసుకుని 42 వ ఓల్డెస్ట్ ఆటగాడు (33y 183d) ',' 11 వ అత్యధిక క్యాచ్లు (156) ',' 10 వ అత్యధిక"&amp;" క్యాచ్లు (12) ',' 8 వ అత్యధిక బృందం (153) ',' 15 వ అత్యంత ప్లేయర్ ఆఫ్ ది మ్యాచ్ అవార్డులు కోసం కెరీర్లో అయిదవ వికెట్ (332 *) కొరకు చేసిన భాగస్వామ్యం ',' 9 వ అత్యధిక మ్యాచ్లు (156) ',' 2 వ వరుస మ్యాచ్లు (11 ) ',' కెప్టెన్ 2 వ అత్యధిక మ్యాచ్లు (93) ',' ఒక "&amp;"జట్టు కెప్టెన్గా 1st వరుస మ్యాచ్లు (93) ',' 33 వ వరుస అన్ని టాస్ గెలిచిన (3) ',' 36 వ ఓల్డెస్ట్ కాప్టెన్ (38y 245d) ']")</f>
        <v>[ 'ఒకే మైదానంలో 19 వ అత్యధిక పరుగులు (1415)' '10 వ అత్యధిక కెరీర్ లో పరుగులు (11174)', 'ఒక సిరీస్లో ఒక కెప్టెన్తో 18 అత్యధిక పరుగులు (597)', '40 వ అత్యధిక కెరీర్ బ్యాటింగ్ సగటు (50.56)' '17 ఒక వృత్తిలో అత్యధిక వందలు (27)', '19 ఒక క్యాలెండర్ సంవత్సరంలో అత్యధిక వందలు (5)', '15 వ ఒక జట్టు వ్యతిరేకంగా అత్యధిక వందలు (8)', 'కెరీర్ లో 6 వ అత్యంత అర్ధ (90)', ' వరుస ఇన్నింగ్స్లో (6) వరుస మ్యాచ్లలో ',' 26th యాభైల్లో (7) ',' ఒక డక్ లేకుండా 4 వ అత్యధిక వరుస ఇన్నింగ్స్ (89) ',' 14 వ అత్యంత ఫోర్లు కెరీర్లో (1161) ',' 50th 5000 వేగవంతమైన 7 వ యాభైల్లో పరుగులు (120) ',' 38 వ 6000 పరుగులు వేగంగా (140) ',' ఫాస్టెస్ట్ 7000 పరుగులు (159) ',' 23 వ వేగవంతమైన 8000 పరుగులు 30 వ (184) ',' 13 వ 9000 పరుగులు (207) 'వేగంగా, '11 వ 10000 పరుగులు వేగంగా (235)', '11000 పరుగులు వేగంగా 10 వ (259)', 'ఒక కెప్టెన్తో ఒక ఇన్నింగ్స్ లో 5 వ ఉత్తమ బొమ్మలు (7)', '5 వ ఒక కెప్టెన్తో ఒక మ్యాచ్లో ఉత్తమ బొమ్మలు (11) ',' పది వికెట్లు లో ఒక మ్యాచ్ కెరీర్లో వరుస తీసుకుని 42 వ ఓల్డెస్ట్ ఆటగాడు (33y 183d) ',' 11 వ అత్యధిక క్యాచ్లు (156) ',' 10 వ అత్యధిక క్యాచ్లు (12) ',' 8 వ అత్యధిక బృందం (153) ',' 15 వ అత్యంత ప్లేయర్ ఆఫ్ ది మ్యాచ్ అవార్డులు కోసం కెరీర్లో అయిదవ వికెట్ (332 *) కొరకు చేసిన భాగస్వామ్యం ',' 9 వ అత్యధిక మ్యాచ్లు (156) ',' 2 వ వరుస మ్యాచ్లు (11 ) ',' కెప్టెన్ 2 వ అత్యధిక మ్యాచ్లు (93) ',' ఒక జట్టు కెప్టెన్గా 1st వరుస మ్యాచ్లు (93) ',' 33 వ వరుస అన్ని టాస్ గెలిచిన (3) ',' 36 వ ఓల్డెస్ట్ కాప్టెన్ (38y 245d) ']</v>
      </c>
      <c r="E2389" s="2" t="s">
        <v>1684</v>
      </c>
      <c r="F2389" s="2" t="str">
        <f>IFERROR(__xludf.DUMMYFUNCTION("IF(E2389&lt;&gt;"""", GOOGLETRANSLATE(E2389, ""en"", ""te""),"""")"),"[ 'వరుస 9 వ అత్యధిక పరుగులు (590)', 'ఒకే క్రీడా (1561) 18 వ అత్యధిక పరుగులు' 'ఒక కెప్టెన్ ద్వారా ఒక సిరీస్ 2 వ అత్యధిక పరుగులు (590)', '34 వ అత్యంత తొంభైల కెరీర్లో (4) ',' 6 వ అత్యుత్తమ బౌలింగ్ ఇన్నింగ్స్ (2/2) ',' 11 వ అత్యధిక వికెట్లు క్యాచ్ మరియు బౌల్"&amp;"డ్ తీసిన విశ్లేషించడం (15) ',' 40 వ అత్యధిక వికెట్లు తీసుకున్న స్టంప్ (10) ',' 11 వ కెరీర్ లో అత్యధిక క్యాచ్లు (127) ',' వరుస 2 వ అత్యధిక క్యాచ్లు (12) ',' నాలుగవ వికెట్కు 49 వ అత్యధిక భాగస్వామ్యం (164) ',' 30 వ అత్యధిక కెరీర్ లో మ్యాచ్లు (273) ',' ఒక జట్"&amp;"టుకు 34 వ వరుస మ్యాచ్లు (83) ' '46 వ అత్యంత ప్లేయర్ ఆఫ్ ది మ్యాచ్ అవార్డులు (17)', 'కెప్టెన్ 5 వ అత్యధిక మ్యాచ్లు (178)', '14 వ వరుస మ్యాచ్లు ఒక జట్టు కెప్టెన్గా (53)', '13 వ ఒక లో అన్ని టాస్ గెలిచి సిరీస్ (5) ',' 22 వ ఓల్డెస్ట్ కాప్టెన్ (38y 255d) ']")</f>
        <v>[ 'వరుస 9 వ అత్యధిక పరుగులు (590)', 'ఒకే క్రీడా (1561) 18 వ అత్యధిక పరుగులు' 'ఒక కెప్టెన్ ద్వారా ఒక సిరీస్ 2 వ అత్యధిక పరుగులు (590)', '34 వ అత్యంత తొంభైల కెరీర్లో (4) ',' 6 వ అత్యుత్తమ బౌలింగ్ ఇన్నింగ్స్ (2/2) ',' 11 వ అత్యధిక వికెట్లు క్యాచ్ మరియు బౌల్డ్ తీసిన విశ్లేషించడం (15) ',' 40 వ అత్యధిక వికెట్లు తీసుకున్న స్టంప్ (10) ',' 11 వ కెరీర్ లో అత్యధిక క్యాచ్లు (127) ',' వరుస 2 వ అత్యధిక క్యాచ్లు (12) ',' నాలుగవ వికెట్కు 49 వ అత్యధిక భాగస్వామ్యం (164) ',' 30 వ అత్యధిక కెరీర్ లో మ్యాచ్లు (273) ',' ఒక జట్టుకు 34 వ వరుస మ్యాచ్లు (83) ' '46 వ అత్యంత ప్లేయర్ ఆఫ్ ది మ్యాచ్ అవార్డులు (17)', 'కెప్టెన్ 5 వ అత్యధిక మ్యాచ్లు (178)', '14 వ వరుస మ్యాచ్లు ఒక జట్టు కెప్టెన్గా (53)', '13 వ ఒక లో అన్ని టాస్ గెలిచి సిరీస్ (5) ',' 22 వ ఓల్డెస్ట్ కాప్టెన్ (38y 255d) ']</v>
      </c>
      <c r="G2389" s="2" t="s">
        <v>1685</v>
      </c>
      <c r="H2389" s="2" t="str">
        <f>IFERROR(__xludf.DUMMYFUNCTION("IF(G2389&lt;&gt;"""", GOOGLETRANSLATE(G2389, ""en"", ""te""),"""")"),"[ '14 వ అత్యంత బృందం (53) కెప్టెన్ గా వరుస మ్యాచ్లు']")</f>
        <v>[ '14 వ అత్యంత బృందం (53) కెప్టెన్ గా వరుస మ్యాచ్లు']</v>
      </c>
      <c r="I2389" s="3"/>
    </row>
    <row r="2390" customHeight="1" spans="1:9">
      <c r="A2390" s="2" t="s">
        <v>1686</v>
      </c>
      <c r="B2390" s="2" t="str">
        <f>IFERROR(__xludf.DUMMYFUNCTION("IF(A2390&lt;&gt;"""", GOOGLETRANSLATE(A2390, ""en"", ""te""),"""")"),"[ 'ఒక కెప్టెన్తో పెయిర్', '1 వ అత్యుత్తమ బౌలింగ్ ఇన్నింగ్స్ లో విశ్లేషించడం (3/0)', ​​'ఇన్నింగ్స్ లో 4 వ ఉత్తమ సమ్మె రేటు (5.7)', '6 వ అత్యధిక వికెట్లు తీసుకున్న క్యాచ్ మరియు బౌల్డ్ (17)', ' లో నాలుగు వికెట్లు ఒక-ఇన్నింగ్స్ ఇన్నింగ్స్ లో వంద మరియు ఐదు విక"&amp;"ెట్లు ',' 1000 పరుగులు, 50 వికెట్లు, 50 క్యాచ్లు ',' 6 వ అత్యధిక వరుస (5) ']")</f>
        <v>[ 'ఒక కెప్టెన్తో పెయిర్', '1 వ అత్యుత్తమ బౌలింగ్ ఇన్నింగ్స్ లో విశ్లేషించడం (3/0)', ​​'ఇన్నింగ్స్ లో 4 వ ఉత్తమ సమ్మె రేటు (5.7)', '6 వ అత్యధిక వికెట్లు తీసుకున్న క్యాచ్ మరియు బౌల్డ్ (17)', ' లో నాలుగు వికెట్లు ఒక-ఇన్నింగ్స్ ఇన్నింగ్స్ లో వంద మరియు ఐదు వికెట్లు ',' 1000 పరుగులు, 50 వికెట్లు, 50 క్యాచ్లు ',' 6 వ అత్యధిక వరుస (5) ']</v>
      </c>
      <c r="C2390" s="2" t="s">
        <v>1687</v>
      </c>
      <c r="D2390" s="2" t="str">
        <f>IFERROR(__xludf.DUMMYFUNCTION("IF(C2390&lt;&gt;"""", GOOGLETRANSLATE(C2390, ""en"", ""te""),"""")"),"[ '48 వ కెరీర్ లో అత్యధిక వికెట్లు (248)', '1 వ అత్యుత్తమ బౌలింగ్ ఇన్నింగ్స్ లో విశ్లేషించడం (3/0)', ​​'ఒక కెప్టెన్తో ఒక ఇన్నింగ్స్ లో 16 వ బెస్ట్ ఫిగర్స్ (6)', '21 వ ఉత్తమ ఒక మ్యాచ్లో సంఖ్యలు ఒక కెప్టెన్ (9) ',' ఇన్నింగ్స్ లో 4 వ ఉత్తమ సమ్మె రేటు (5.7) '"&amp;",' 32 వ అత్యంత ఐదు-వికెట్ల లో-ఒక-ఇన్నింగ్స్ కెరీర్లో (16) ',' 27 వ కెరీర్ లో బౌల్డ్ చాలా బంతుల్లో (19108) ',' 41 వ అత్యధిక వికెట్లు తీసుకున్న ఆకర్షించింది (164) ',' 6 వ అత్యధిక వికెట్లు తీసుకున్న క్యాచ్ మరియు బౌల్డ్ (17) ',' 27 వ అత్యధిక వికెట్లు ఒక ఫీల్డ"&amp;"ర్ చేత క్యాచ్ తీసుకున్న (136) ',' 15 వ అత్యధిక వికెట్లు తీసుకున్న స్టంప్ (14) ' '34 వ 200 వికెట్లు వేగంగా (49)', 'ఏడవ వికెట్కు 50 వ అత్యధిక భాగస్వామ్యం (160)', 'ఎనిమిదవ వికెట్ (137) కోసం 33 వ అత్యధిక భాగస్వామ్యం']")</f>
        <v>[ '48 వ కెరీర్ లో అత్యధిక వికెట్లు (248)', '1 వ అత్యుత్తమ బౌలింగ్ ఇన్నింగ్స్ లో విశ్లేషించడం (3/0)', ​​'ఒక కెప్టెన్తో ఒక ఇన్నింగ్స్ లో 16 వ బెస్ట్ ఫిగర్స్ (6)', '21 వ ఉత్తమ ఒక మ్యాచ్లో సంఖ్యలు ఒక కెప్టెన్ (9) ',' ఇన్నింగ్స్ లో 4 వ ఉత్తమ సమ్మె రేటు (5.7) ',' 32 వ అత్యంత ఐదు-వికెట్ల లో-ఒక-ఇన్నింగ్స్ కెరీర్లో (16) ',' 27 వ కెరీర్ లో బౌల్డ్ చాలా బంతుల్లో (19108) ',' 41 వ అత్యధిక వికెట్లు తీసుకున్న ఆకర్షించింది (164) ',' 6 వ అత్యధిక వికెట్లు తీసుకున్న క్యాచ్ మరియు బౌల్డ్ (17) ',' 27 వ అత్యధిక వికెట్లు ఒక ఫీల్డర్ చేత క్యాచ్ తీసుకున్న (136) ',' 15 వ అత్యధిక వికెట్లు తీసుకున్న స్టంప్ (14) ' '34 వ 200 వికెట్లు వేగంగా (49)', 'ఏడవ వికెట్కు 50 వ అత్యధిక భాగస్వామ్యం (160)', 'ఎనిమిదవ వికెట్ (137) కోసం 33 వ అత్యధిక భాగస్వామ్యం']</v>
      </c>
      <c r="E2390" s="2"/>
      <c r="F2390" s="2" t="str">
        <f>IFERROR(__xludf.DUMMYFUNCTION("IF(E2390&lt;&gt;"""", GOOGLETRANSLATE(E2390, ""en"", ""te""),"""")"),"")</f>
        <v/>
      </c>
      <c r="G2390" s="2"/>
      <c r="H2390" s="2" t="str">
        <f>IFERROR(__xludf.DUMMYFUNCTION("IF(G2390&lt;&gt;"""", GOOGLETRANSLATE(G2390, ""en"", ""te""),"""")"),"")</f>
        <v/>
      </c>
      <c r="I2390" s="3"/>
    </row>
    <row r="2391" customHeight="1" spans="1:9">
      <c r="A2391" s="2"/>
      <c r="B2391" s="2" t="str">
        <f>IFERROR(__xludf.DUMMYFUNCTION("IF(A2391&lt;&gt;"""", GOOGLETRANSLATE(A2391, ""en"", ""te""),"""")"),"")</f>
        <v/>
      </c>
      <c r="C2391" s="2"/>
      <c r="D2391" s="2" t="str">
        <f>IFERROR(__xludf.DUMMYFUNCTION("IF(C2391&lt;&gt;"""", GOOGLETRANSLATE(C2391, ""en"", ""te""),"""")"),"")</f>
        <v/>
      </c>
      <c r="E2391" s="2"/>
      <c r="F2391" s="2" t="str">
        <f>IFERROR(__xludf.DUMMYFUNCTION("IF(E2391&lt;&gt;"""", GOOGLETRANSLATE(E2391, ""en"", ""te""),"""")"),"")</f>
        <v/>
      </c>
      <c r="G2391" s="2"/>
      <c r="H2391" s="2" t="str">
        <f>IFERROR(__xludf.DUMMYFUNCTION("IF(G2391&lt;&gt;"""", GOOGLETRANSLATE(G2391, ""en"", ""te""),"""")"),"")</f>
        <v/>
      </c>
      <c r="I2391" s="3"/>
    </row>
    <row r="2392" customHeight="1" spans="1:9">
      <c r="A2392" s="2" t="s">
        <v>1688</v>
      </c>
      <c r="B2392" s="2" t="str">
        <f>IFERROR(__xludf.DUMMYFUNCTION("IF(A2392&lt;&gt;"""", GOOGLETRANSLATE(A2392, ""en"", ""te""),"""")"),"[ '6 వ అత్యంత ఇన్నింగ్స్ లో నడుస్తుంది (బ్యాటింగ్ స్థానం) (214)', 'తొలి హండ్రెడ్ (102 *)', 'ప్రవేశం (2) నుండి వరుస మ్యాచ్లలో 2 వ వందల]")</f>
        <v>[ '6 వ అత్యంత ఇన్నింగ్స్ లో నడుస్తుంది (బ్యాటింగ్ స్థానం) (214)', 'తొలి హండ్రెడ్ (102 *)', 'ప్రవేశం (2) నుండి వరుస మ్యాచ్లలో 2 వ వందల]</v>
      </c>
      <c r="C2392" s="2" t="s">
        <v>1689</v>
      </c>
      <c r="D2392" s="2" t="str">
        <f>IFERROR(__xludf.DUMMYFUNCTION("IF(C2392&lt;&gt;"""", GOOGLETRANSLATE(C2392, ""en"", ""te""),"""")"),"[ '(బ్యాటింగ్ స్థానం) ఒక ఇన్నింగ్స్ లో 6 వ అత్యధిక పరుగులు (214)', 'తొలి నుండి వరుస మ్యాచ్లలో 2 వ వందల (2)', '46 వ 99 (199, 299 etc) (99) అవుటయ్యాడు']")</f>
        <v>[ '(బ్యాటింగ్ స్థానం) ఒక ఇన్నింగ్స్ లో 6 వ అత్యధిక పరుగులు (214)', 'తొలి నుండి వరుస మ్యాచ్లలో 2 వ వందల (2)', '46 వ 99 (199, 299 etc) (99) అవుటయ్యాడు']</v>
      </c>
      <c r="E2392" s="2"/>
      <c r="F2392" s="2" t="str">
        <f>IFERROR(__xludf.DUMMYFUNCTION("IF(E2392&lt;&gt;"""", GOOGLETRANSLATE(E2392, ""en"", ""te""),"""")"),"")</f>
        <v/>
      </c>
      <c r="G2392" s="2"/>
      <c r="H2392" s="2" t="str">
        <f>IFERROR(__xludf.DUMMYFUNCTION("IF(G2392&lt;&gt;"""", GOOGLETRANSLATE(G2392, ""en"", ""te""),"""")"),"")</f>
        <v/>
      </c>
      <c r="I2392" s="3"/>
    </row>
    <row r="2393" customHeight="1" spans="1:9">
      <c r="A2393" s="2" t="s">
        <v>1690</v>
      </c>
      <c r="B2393" s="2" t="str">
        <f>IFERROR(__xludf.DUMMYFUNCTION("IF(A2393&lt;&gt;"""", GOOGLETRANSLATE(A2393, ""en"", ""te""),"""")"),"[ '7th చాలా ఇన్నింగ్స్ లో నడుస్తుంది (బ్యాటింగ్ స్థానం) (86)']")</f>
        <v>[ '7th చాలా ఇన్నింగ్స్ లో నడుస్తుంది (బ్యాటింగ్ స్థానం) (86)']</v>
      </c>
      <c r="C2393" s="2" t="s">
        <v>1691</v>
      </c>
      <c r="D2393" s="2" t="str">
        <f>IFERROR(__xludf.DUMMYFUNCTION("IF(C2393&lt;&gt;"""", GOOGLETRANSLATE(C2393, ""en"", ""te""),"""")"),"[ 'ఇన్నింగ్స్ లో 7 వ అత్యధిక పరుగులు (బ్యాటింగ్ స్థానంలో ద్వారా) (86)', '11 వ వరుస మ్యాచ్లు ప్రదర్శనల మధ్య (6) ఒక జట్టు తప్పిన']")</f>
        <v>[ 'ఇన్నింగ్స్ లో 7 వ అత్యధిక పరుగులు (బ్యాటింగ్ స్థానంలో ద్వారా) (86)', '11 వ వరుస మ్యాచ్లు ప్రదర్శనల మధ్య (6) ఒక జట్టు తప్పిన']</v>
      </c>
      <c r="E2393" s="2" t="s">
        <v>1692</v>
      </c>
      <c r="F2393" s="2" t="str">
        <f>IFERROR(__xludf.DUMMYFUNCTION("IF(E2393&lt;&gt;"""", GOOGLETRANSLATE(E2393, ""en"", ""te""),"""")"),"[ 'తొలి 36 వ ఓల్డెస్ట్ క్రీడాకారులు (33y 93d)']")</f>
        <v>[ 'తొలి 36 వ ఓల్డెస్ట్ క్రీడాకారులు (33y 93d)']</v>
      </c>
      <c r="G2393" s="2"/>
      <c r="H2393" s="2" t="str">
        <f>IFERROR(__xludf.DUMMYFUNCTION("IF(G2393&lt;&gt;"""", GOOGLETRANSLATE(G2393, ""en"", ""te""),"""")"),"")</f>
        <v/>
      </c>
      <c r="I2393" s="3"/>
    </row>
    <row r="2394" customHeight="1" spans="1:9">
      <c r="A2394" s="2"/>
      <c r="B2394" s="2" t="str">
        <f>IFERROR(__xludf.DUMMYFUNCTION("IF(A2394&lt;&gt;"""", GOOGLETRANSLATE(A2394, ""en"", ""te""),"""")"),"")</f>
        <v/>
      </c>
      <c r="C2394" s="2"/>
      <c r="D2394" s="2" t="str">
        <f>IFERROR(__xludf.DUMMYFUNCTION("IF(C2394&lt;&gt;"""", GOOGLETRANSLATE(C2394, ""en"", ""te""),"""")"),"")</f>
        <v/>
      </c>
      <c r="E2394" s="2"/>
      <c r="F2394" s="2" t="str">
        <f>IFERROR(__xludf.DUMMYFUNCTION("IF(E2394&lt;&gt;"""", GOOGLETRANSLATE(E2394, ""en"", ""te""),"""")"),"")</f>
        <v/>
      </c>
      <c r="G2394" s="2"/>
      <c r="H2394" s="2" t="str">
        <f>IFERROR(__xludf.DUMMYFUNCTION("IF(G2394&lt;&gt;"""", GOOGLETRANSLATE(G2394, ""en"", ""te""),"""")"),"")</f>
        <v/>
      </c>
      <c r="I2394" s="3"/>
    </row>
    <row r="2395" customHeight="1" spans="1:9">
      <c r="A2395" s="2" t="s">
        <v>1693</v>
      </c>
      <c r="B2395" s="2" t="str">
        <f>IFERROR(__xludf.DUMMYFUNCTION("IF(A2395&lt;&gt;"""", GOOGLETRANSLATE(A2395, ""en"", ""te""),"""")"),"[ 'ఇన్నింగ్స్ లో 7 వ అత్యధిక పరుగులు (బ్యాటింగ్ స్థానంలో ప్రకారం) (156)', 'ఒక జట్టు కెప్టెన్గా 7 వ వరుస మ్యాచ్లు (28)', 'ఏడవ వికెట్కు 9 వ అత్యధిక భాగస్వామ్యం (68)']")</f>
        <v>[ 'ఇన్నింగ్స్ లో 7 వ అత్యధిక పరుగులు (బ్యాటింగ్ స్థానంలో ప్రకారం) (156)', 'ఒక జట్టు కెప్టెన్గా 7 వ వరుస మ్యాచ్లు (28)', 'ఏడవ వికెట్కు 9 వ అత్యధిక భాగస్వామ్యం (68)']</v>
      </c>
      <c r="C2395" s="2" t="s">
        <v>1694</v>
      </c>
      <c r="D2395" s="2" t="str">
        <f>IFERROR(__xludf.DUMMYFUNCTION("IF(C2395&lt;&gt;"""", GOOGLETRANSLATE(C2395, ""en"", ""te""),"""")"),"[ '42 వ ఒక సిరీస్లో అత్యధిక క్యాచ్లు (10)']")</f>
        <v>[ '42 వ ఒక సిరీస్లో అత్యధిక క్యాచ్లు (10)']</v>
      </c>
      <c r="E2395" s="2" t="s">
        <v>1695</v>
      </c>
      <c r="F2395" s="2" t="str">
        <f>IFERROR(__xludf.DUMMYFUNCTION("IF(E2395&lt;&gt;"""", GOOGLETRANSLATE(E2395, ""en"", ""te""),"""")"),"[ '44 వ ఒక సిరీస్లో అత్యధిక పరుగులు (478)', '7 వ ఇన్నింగ్స్ లో అత్యధిక పరుగులు (బ్యాటింగ్ స్థానంలో ప్రకారం) (156)', '9 వ అత్యధిక పరుగులు' 13 వ పరాజయం వైపు (156) ఒక మ్యాచ్లో అత్యధిక పరుగులు ' ఒక కెప్టెన్ (478) ',' ఒక కెప్టెన్ (156) ',' 41 వ అతి తక్కువ బాత"&amp;"ులు కెరీర్ లో (28.33) ',' ఫాస్టెస్ట్ 1000 పరుగులు 20 (26) ద్వారా ఇన్నింగ్స్ లో 14 వ అత్యధిక పరుగులు ',' 24 ద్వారా ఒక సిరీస్లో వేగవంతమైన 2000 పరుగులు (54) ',' ఫాస్టెస్ట్ 3000 పరుగులు 20 (80) ',' ఐదవ వికెట్కు 38 వ అత్యధిక భాగస్వామ్యం (153) ',' ఏడవ వికెట్ ("&amp;"100) కోసం 48 వ అత్యధిక భాగస్వామ్యం ']")</f>
        <v>[ '44 వ ఒక సిరీస్లో అత్యధిక పరుగులు (478)', '7 వ ఇన్నింగ్స్ లో అత్యధిక పరుగులు (బ్యాటింగ్ స్థానంలో ప్రకారం) (156)', '9 వ అత్యధిక పరుగులు' 13 వ పరాజయం వైపు (156) ఒక మ్యాచ్లో అత్యధిక పరుగులు ' ఒక కెప్టెన్ (478) ',' ఒక కెప్టెన్ (156) ',' 41 వ అతి తక్కువ బాతులు కెరీర్ లో (28.33) ',' ఫాస్టెస్ట్ 1000 పరుగులు 20 (26) ద్వారా ఇన్నింగ్స్ లో 14 వ అత్యధిక పరుగులు ',' 24 ద్వారా ఒక సిరీస్లో వేగవంతమైన 2000 పరుగులు (54) ',' ఫాస్టెస్ట్ 3000 పరుగులు 20 (80) ',' ఐదవ వికెట్కు 38 వ అత్యధిక భాగస్వామ్యం (153) ',' ఏడవ వికెట్ (100) కోసం 48 వ అత్యధిక భాగస్వామ్యం ']</v>
      </c>
      <c r="G2395" s="2" t="s">
        <v>1696</v>
      </c>
      <c r="H2395" s="2" t="str">
        <f>IFERROR(__xludf.DUMMYFUNCTION("IF(G2395&lt;&gt;"""", GOOGLETRANSLATE(G2395, ""en"", ""te""),"""")"),"[ '39 వ ఇన్నింగ్స్ లో అత్యధిక పరుగులు (బ్యాటింగ్ స్థానంలో ప్రకారం) (63)', '49 వ అత్యంత ఇన్నింగ్స్ తొలి డక్ ముందు (15)', 'ఏడవ వికెట్కు 9 వ అత్యధిక భాగస్వామ్యం (68)', '50 వ వరుస ఒక మ్యాచ్ జట్టు (28) ',' 18 వ కెప్టెన్గా అత్యధిక మ్యాచ్లు (28) ',' 7 వ వరుస మ్య"&amp;"ాచ్లు ఒక జట్టు కెప్టెన్గా (28) ']")</f>
        <v>[ '39 వ ఇన్నింగ్స్ లో అత్యధిక పరుగులు (బ్యాటింగ్ స్థానంలో ప్రకారం) (63)', '49 వ అత్యంత ఇన్నింగ్స్ తొలి డక్ ముందు (15)', 'ఏడవ వికెట్కు 9 వ అత్యధిక భాగస్వామ్యం (68)', '50 వ వరుస ఒక మ్యాచ్ జట్టు (28) ',' 18 వ కెప్టెన్గా అత్యధిక మ్యాచ్లు (28) ',' 7 వ వరుస మ్యాచ్లు ఒక జట్టు కెప్టెన్గా (28) ']</v>
      </c>
      <c r="I2395" s="3"/>
    </row>
    <row r="2396" customHeight="1" spans="1:9">
      <c r="A2396" s="2"/>
      <c r="B2396" s="2" t="str">
        <f>IFERROR(__xludf.DUMMYFUNCTION("IF(A2396&lt;&gt;"""", GOOGLETRANSLATE(A2396, ""en"", ""te""),"""")"),"")</f>
        <v/>
      </c>
      <c r="C2396" s="2"/>
      <c r="D2396" s="2" t="str">
        <f>IFERROR(__xludf.DUMMYFUNCTION("IF(C2396&lt;&gt;"""", GOOGLETRANSLATE(C2396, ""en"", ""te""),"""")"),"")</f>
        <v/>
      </c>
      <c r="E2396" s="2"/>
      <c r="F2396" s="2" t="str">
        <f>IFERROR(__xludf.DUMMYFUNCTION("IF(E2396&lt;&gt;"""", GOOGLETRANSLATE(E2396, ""en"", ""te""),"""")"),"")</f>
        <v/>
      </c>
      <c r="G2396" s="2"/>
      <c r="H2396" s="2" t="str">
        <f>IFERROR(__xludf.DUMMYFUNCTION("IF(G2396&lt;&gt;"""", GOOGLETRANSLATE(G2396, ""en"", ""te""),"""")"),"")</f>
        <v/>
      </c>
      <c r="I2396" s="3"/>
    </row>
    <row r="2397" customHeight="1" spans="1:9">
      <c r="A2397" s="2" t="s">
        <v>1697</v>
      </c>
      <c r="B2397" s="2" t="str">
        <f>IFERROR(__xludf.DUMMYFUNCTION("IF(A2397&lt;&gt;"""", GOOGLETRANSLATE(A2397, ""en"", ""te""),"""")"),"[ 'ఇన్నింగ్స్ లో 4 వ అత్యధిక పరుగులు (బ్యాటింగ్ స్థానంలో ప్రకారం) (65)', '2 వ ఉత్తమ కెరీర్ ఆర్థిక రేటు (1.30)', '10 వ అత్యధిక వికెట్లు ఒక వికెట్ కీపర్ చే కాట్ తీసుకున్న (6)', '1 వ ఇన్నింగ్స్ లో అత్యధిక క్యాచ్లు (3) ',' 7 వ అత్యుత్తమ బౌలింగ్ ఇన్నింగ్స్ లో "&amp;"విశ్లేషించడం (4/4) ',' 7 వ ఉత్తమ కెరీర్ ఆర్థిక రేటు (2.09) ',' 5 వ బౌలర్ / బ్యాట్స్ కలయికలు (7) ']")</f>
        <v>[ 'ఇన్నింగ్స్ లో 4 వ అత్యధిక పరుగులు (బ్యాటింగ్ స్థానంలో ప్రకారం) (65)', '2 వ ఉత్తమ కెరీర్ ఆర్థిక రేటు (1.30)', '10 వ అత్యధిక వికెట్లు ఒక వికెట్ కీపర్ చే కాట్ తీసుకున్న (6)', '1 వ ఇన్నింగ్స్ లో అత్యధిక క్యాచ్లు (3) ',' 7 వ అత్యుత్తమ బౌలింగ్ ఇన్నింగ్స్ లో విశ్లేషించడం (4/4) ',' 7 వ ఉత్తమ కెరీర్ ఆర్థిక రేటు (2.09) ',' 5 వ బౌలర్ / బ్యాట్స్ కలయికలు (7) ']</v>
      </c>
      <c r="C2397" s="2" t="s">
        <v>1698</v>
      </c>
      <c r="D2397" s="2" t="str">
        <f>IFERROR(__xludf.DUMMYFUNCTION("IF(C2397&lt;&gt;"""", GOOGLETRANSLATE(C2397, ""en"", ""te""),"""")"),"[ 'ఇన్నింగ్స్ లో 4 వ అత్యధిక పరుగులు (బ్యాటింగ్ స్థానంలో ప్రకారం) (65)', '41 వ కెరీర్ లో అత్యధిక వికెట్లు (22)', '6 వ ఉత్తమ కెరీర్ బౌలింగ్ సరాసరి (15.72)', '2 వ ఉత్తమ కెరీర్ ఆర్థిక రేటు (1.30)' 'ఇన్నింగ్స్ లో 19 ఉత్తమ ఆర్థిక రేటు (0.50)', 'ఇన్నింగ్స్ లో 1"&amp;" వ అత్యధిక క్యాచ్లు (3)', '23 వ అత్యధిక క్యాచ్లు కెరీర్లో (10)', '10 వ అత్యధిక వికెట్లు ఆకర్షించింది అత్యధిక వికెట్లు (6) తీసుకున్న' 'ఒక మ్యాచ్లో 2nd అత్యధిక క్యాచ్లు (4)']")</f>
        <v>[ 'ఇన్నింగ్స్ లో 4 వ అత్యధిక పరుగులు (బ్యాటింగ్ స్థానంలో ప్రకారం) (65)', '41 వ కెరీర్ లో అత్యధిక వికెట్లు (22)', '6 వ ఉత్తమ కెరీర్ బౌలింగ్ సరాసరి (15.72)', '2 వ ఉత్తమ కెరీర్ ఆర్థిక రేటు (1.30)' 'ఇన్నింగ్స్ లో 19 ఉత్తమ ఆర్థిక రేటు (0.50)', 'ఇన్నింగ్స్ లో 1 వ అత్యధిక క్యాచ్లు (3)', '23 వ అత్యధిక క్యాచ్లు కెరీర్లో (10)', '10 వ అత్యధిక వికెట్లు ఆకర్షించింది అత్యధిక వికెట్లు (6) తీసుకున్న' 'ఒక మ్యాచ్లో 2nd అత్యధిక క్యాచ్లు (4)']</v>
      </c>
      <c r="E2397" s="2" t="s">
        <v>1699</v>
      </c>
      <c r="F2397" s="2" t="str">
        <f>IFERROR(__xludf.DUMMYFUNCTION("IF(E2397&lt;&gt;"""", GOOGLETRANSLATE(E2397, ""en"", ""te""),"""")"),"[ 'మొదటి డక్ ముందు 33 వ అత్యంత ఇన్నింగ్స్ (16)', '7 వ అత్యుత్తమ బౌలింగ్ ఇన్నింగ్స్ లో విశ్లేషించడం (4/4)', '15 వ ఉత్తమ కెరీర్ బౌలింగ్ సరాసరి (16.71)', '7 వ ఉత్తమ కెరీర్ ఆర్థిక రేటు (2.09)', 'ఇన్నింగ్స్ లో 33 వ ఉత్తమ ఆర్థిక రేటు (0.41)', '5 వ బౌలర్ / బ్యాట"&amp;"్స్ కలయికలు (7)', '48 వ అత్యధిక వికెట్లు తీసుకున్న బౌల్డ్ (16)', '32 వ అత్యధిక వికెట్లు సాధించిన వికెట్కీపర్గా (10) పట్టుకుంటే తీసిన]")</f>
        <v>[ 'మొదటి డక్ ముందు 33 వ అత్యంత ఇన్నింగ్స్ (16)', '7 వ అత్యుత్తమ బౌలింగ్ ఇన్నింగ్స్ లో విశ్లేషించడం (4/4)', '15 వ ఉత్తమ కెరీర్ బౌలింగ్ సరాసరి (16.71)', '7 వ ఉత్తమ కెరీర్ ఆర్థిక రేటు (2.09)', 'ఇన్నింగ్స్ లో 33 వ ఉత్తమ ఆర్థిక రేటు (0.41)', '5 వ బౌలర్ / బ్యాట్స్ కలయికలు (7)', '48 వ అత్యధిక వికెట్లు తీసుకున్న బౌల్డ్ (16)', '32 వ అత్యధిక వికెట్లు సాధించిన వికెట్కీపర్గా (10) పట్టుకుంటే తీసిన]</v>
      </c>
      <c r="G2397" s="2"/>
      <c r="H2397" s="2" t="str">
        <f>IFERROR(__xludf.DUMMYFUNCTION("IF(G2397&lt;&gt;"""", GOOGLETRANSLATE(G2397, ""en"", ""te""),"""")"),"")</f>
        <v/>
      </c>
      <c r="I2397" s="3"/>
    </row>
    <row r="2398" customHeight="1" spans="1:9">
      <c r="A2398" s="2"/>
      <c r="B2398" s="2" t="str">
        <f>IFERROR(__xludf.DUMMYFUNCTION("IF(A2398&lt;&gt;"""", GOOGLETRANSLATE(A2398, ""en"", ""te""),"""")"),"")</f>
        <v/>
      </c>
      <c r="C2398" s="2"/>
      <c r="D2398" s="2" t="str">
        <f>IFERROR(__xludf.DUMMYFUNCTION("IF(C2398&lt;&gt;"""", GOOGLETRANSLATE(C2398, ""en"", ""te""),"""")"),"")</f>
        <v/>
      </c>
      <c r="E2398" s="2"/>
      <c r="F2398" s="2" t="str">
        <f>IFERROR(__xludf.DUMMYFUNCTION("IF(E2398&lt;&gt;"""", GOOGLETRANSLATE(E2398, ""en"", ""te""),"""")"),"")</f>
        <v/>
      </c>
      <c r="G2398" s="2"/>
      <c r="H2398" s="2" t="str">
        <f>IFERROR(__xludf.DUMMYFUNCTION("IF(G2398&lt;&gt;"""", GOOGLETRANSLATE(G2398, ""en"", ""te""),"""")"),"")</f>
        <v/>
      </c>
      <c r="I2398" s="3"/>
    </row>
    <row r="2399" customHeight="1" spans="1:9">
      <c r="A2399" s="2" t="s">
        <v>1700</v>
      </c>
      <c r="B2399" s="2" t="str">
        <f>IFERROR(__xludf.DUMMYFUNCTION("IF(A2399&lt;&gt;"""", GOOGLETRANSLATE(A2399, ""en"", ""te""),"""")"),"[ '6 వ అత్యంత ఇన్నింగ్స్ లో నడుస్తుంది (బ్యాటింగ్ స్థానం) (39)']")</f>
        <v>[ '6 వ అత్యంత ఇన్నింగ్స్ లో నడుస్తుంది (బ్యాటింగ్ స్థానం) (39)']</v>
      </c>
      <c r="C2399" s="2"/>
      <c r="D2399" s="2" t="str">
        <f>IFERROR(__xludf.DUMMYFUNCTION("IF(C2399&lt;&gt;"""", GOOGLETRANSLATE(C2399, ""en"", ""te""),"""")"),"")</f>
        <v/>
      </c>
      <c r="E2399" s="2" t="s">
        <v>1701</v>
      </c>
      <c r="F2399" s="2" t="str">
        <f>IFERROR(__xludf.DUMMYFUNCTION("IF(E2399&lt;&gt;"""", GOOGLETRANSLATE(E2399, ""en"", ""te""),"""")"),"[ '47 వ ఒక సిరీస్లో అత్యధిక క్యాచ్లు (6)', '26 వరుస మ్యాచ్లు ప్రదర్శనల మధ్య (39) జట్టుకు దూరమయ్యాడు']")</f>
        <v>[ '47 వ ఒక సిరీస్లో అత్యధిక క్యాచ్లు (6)', '26 వరుస మ్యాచ్లు ప్రదర్శనల మధ్య (39) జట్టుకు దూరమయ్యాడు']</v>
      </c>
      <c r="G2399" s="2" t="s">
        <v>1702</v>
      </c>
      <c r="H2399" s="2" t="str">
        <f>IFERROR(__xludf.DUMMYFUNCTION("IF(G2399&lt;&gt;"""", GOOGLETRANSLATE(G2399, ""en"", ""te""),"""")"),"[ '6 వ భాగం (బ్యాటింగ్ స్థానంలో ద్వారా) ఒక ఇన్నింగ్స్ లో నడుస్తుంది (39)', 'ఏడవ వికెట్కు 18 అత్యధిక భాగస్వామ్యం (44)']")</f>
        <v>[ '6 వ భాగం (బ్యాటింగ్ స్థానంలో ద్వారా) ఒక ఇన్నింగ్స్ లో నడుస్తుంది (39)', 'ఏడవ వికెట్కు 18 అత్యధిక భాగస్వామ్యం (44)']</v>
      </c>
      <c r="I2399" s="3"/>
    </row>
    <row r="2400" customHeight="1" spans="1:9">
      <c r="A2400" s="2" t="s">
        <v>1703</v>
      </c>
      <c r="B2400" s="2" t="str">
        <f>IFERROR(__xludf.DUMMYFUNCTION("IF(A2400&lt;&gt;"""", GOOGLETRANSLATE(A2400, ""en"", ""te""),"""")"),"[ 'ఇన్నింగ్స్ లో 3 వ అత్యధిక పరుగులు (బ్యాటింగ్ స్థానంలో ప్రకారం) (200)', 'ఒక వృత్తిలో 1st అత్యధిక డబుల్ సెంచరీలు (1)', 'వరుస ఇన్నింగ్స్లో 5 వ యాభైల్లో (3)', '3 వ అత్యుత్తమ బౌలింగ్ ఇన్నింగ్స్ లో విశ్లేషణలు (2/3) ',' నాలుగవ వికెట్కు 3 వ అత్యధిక భాగస్వామ్య"&amp;"ం (220) ',' 9 వ అత్యుత్తమ బౌలింగ్ ఇన్నింగ్స్ లో విశ్లేషించడం (5/10) ',' ఐదవ వికెట్ (151 *) కోసం 2 వ అత్యధిక భాగస్వామ్యం ']")</f>
        <v>[ 'ఇన్నింగ్స్ లో 3 వ అత్యధిక పరుగులు (బ్యాటింగ్ స్థానంలో ప్రకారం) (200)', 'ఒక వృత్తిలో 1st అత్యధిక డబుల్ సెంచరీలు (1)', 'వరుస ఇన్నింగ్స్లో 5 వ యాభైల్లో (3)', '3 వ అత్యుత్తమ బౌలింగ్ ఇన్నింగ్స్ లో విశ్లేషణలు (2/3) ',' నాలుగవ వికెట్కు 3 వ అత్యధిక భాగస్వామ్యం (220) ',' 9 వ అత్యుత్తమ బౌలింగ్ ఇన్నింగ్స్ లో విశ్లేషించడం (5/10) ',' ఐదవ వికెట్ (151 *) కోసం 2 వ అత్యధిక భాగస్వామ్యం ']</v>
      </c>
      <c r="C2400" s="2" t="s">
        <v>1704</v>
      </c>
      <c r="D2400" s="2" t="str">
        <f>IFERROR(__xludf.DUMMYFUNCTION("IF(C2400&lt;&gt;"""", GOOGLETRANSLATE(C2400, ""en"", ""te""),"""")"),"[ 'ఒక మ్యాచ్లో 11 వ అత్యధిక పరుగులు (200)' 'వరుస 18 వ అత్యధిక పరుగులు (319)' '7th చాలా ఇన్నింగ్స్ లో పరుగులు (200)', '21 వ ఒక క్యాలెండర్ సంవత్సరంలో అత్యధిక పరుగులు (319) ', '1st అధిక రెండొందల పరుగులు ఒక వృత్తిలో (1)', '6 వ అత్యధిక తొలి వంద (200)', '12 వ అ"&amp;"త్యంత వృద్ధ ఆటగాడు వంద (32y స్కోర్' 3 వ అత్యంత ఇన్నింగ్స్ లో నడుస్తుంది (బ్యాటింగ్ స్థానం) (200) ', 250d) ',' తొలి వంద (32y 250d) ',' 5 వ యాభైల్లో వరుస ఇన్నింగ్స్లో స్కోర్ 3 వ అత్యంత వృద్ధ ఆటగాడు (3) ',' 3 వ అత్యుత్తమ బౌలింగ్ ఇన్నింగ్స్ లో విశ్లేషించడం ("&amp;"2/3) ',' 39 వ ఉత్తమ కెరీర్ బౌలింగ్ సగటు (23.15) ',' 16 వ ఉత్తమ కెరీర్ ఆర్థిక రేటు (1.53) ',' 34 వ చెత్త కెరీర్లో సమ్మె రేటు (90.5) ',' 8 వ ఏ వికెట్కు (220) ',' మూడో వికెట్కు 4 వ అత్యధిక భాగస్వామ్యం (142 అత్యధిక భాగస్వామ్యాలు ) ',' నాలుగవ వికెట్కు 3 వ అత్య"&amp;"ధిక భాగస్వామ్యం (220) ',' ఆరవ వికెట్ (87 11 అత్యధిక భాగస్వామ్యం) ']")</f>
        <v>[ 'ఒక మ్యాచ్లో 11 వ అత్యధిక పరుగులు (200)' 'వరుస 18 వ అత్యధిక పరుగులు (319)' '7th చాలా ఇన్నింగ్స్ లో పరుగులు (200)', '21 వ ఒక క్యాలెండర్ సంవత్సరంలో అత్యధిక పరుగులు (319) ', '1st అధిక రెండొందల పరుగులు ఒక వృత్తిలో (1)', '6 వ అత్యధిక తొలి వంద (200)', '12 వ అత్యంత వృద్ధ ఆటగాడు వంద (32y స్కోర్' 3 వ అత్యంత ఇన్నింగ్స్ లో నడుస్తుంది (బ్యాటింగ్ స్థానం) (200) ', 250d) ',' తొలి వంద (32y 250d) ',' 5 వ యాభైల్లో వరుస ఇన్నింగ్స్లో స్కోర్ 3 వ అత్యంత వృద్ధ ఆటగాడు (3) ',' 3 వ అత్యుత్తమ బౌలింగ్ ఇన్నింగ్స్ లో విశ్లేషించడం (2/3) ',' 39 వ ఉత్తమ కెరీర్ బౌలింగ్ సగటు (23.15) ',' 16 వ ఉత్తమ కెరీర్ ఆర్థిక రేటు (1.53) ',' 34 వ చెత్త కెరీర్లో సమ్మె రేటు (90.5) ',' 8 వ ఏ వికెట్కు (220) ',' మూడో వికెట్కు 4 వ అత్యధిక భాగస్వామ్యం (142 అత్యధిక భాగస్వామ్యాలు ) ',' నాలుగవ వికెట్కు 3 వ అత్యధిక భాగస్వామ్యం (220) ',' ఆరవ వికెట్ (87 11 అత్యధిక భాగస్వామ్యం) ']</v>
      </c>
      <c r="E2400" s="2" t="s">
        <v>1705</v>
      </c>
      <c r="F2400" s="2" t="str">
        <f>IFERROR(__xludf.DUMMYFUNCTION("IF(E2400&lt;&gt;"""", GOOGLETRANSLATE(E2400, ""en"", ""te""),"""")"),"[ '38 వ అత్యంత వంద (993) లేకుండా ఒక వృత్తిలో పరుగులు', '40 వ అత్యంత ఇన్నింగ్స్ తొలి డక్ ముందు (15)', 'కెరీర్లో 32 వ అతి తక్కువ బాతులు (21.5)', '26 ఒక ఇన్నింగ్స్ లోని బెస్ట్ ఫిగర్స్ (5/10 ) ',' 9 వ అత్యుత్తమ బౌలింగ్ ఇన్నింగ్స్ లో విశ్లేషించడం (5/10) ',' 13"&amp;" వ సగటు (16.47) ',' 31 ఉత్తమ కెరీర్ ఎకానమీ రేట్ బౌలింగ్ ఉత్తమ కెరీర్ (2.76) ',' 42 వ ఉత్తమ కెరీర్ సమ్మె రేటు (35.7) ' '27 ఉత్తమ ఇన్నింగ్స్ లో సమ్మె రేటు (7.6)', 'మూడో వికెట్ (119) కోసం 49 వ అత్యధిక భాగస్వామ్యం', 'ఐదవ వికెట్ (151 *) కోసం 2 వ అత్యధిక భాగస్వ"&amp;"ామ్యం']")</f>
        <v>[ '38 వ అత్యంత వంద (993) లేకుండా ఒక వృత్తిలో పరుగులు', '40 వ అత్యంత ఇన్నింగ్స్ తొలి డక్ ముందు (15)', 'కెరీర్లో 32 వ అతి తక్కువ బాతులు (21.5)', '26 ఒక ఇన్నింగ్స్ లోని బెస్ట్ ఫిగర్స్ (5/10 ) ',' 9 వ అత్యుత్తమ బౌలింగ్ ఇన్నింగ్స్ లో విశ్లేషించడం (5/10) ',' 13 వ సగటు (16.47) ',' 31 ఉత్తమ కెరీర్ ఎకానమీ రేట్ బౌలింగ్ ఉత్తమ కెరీర్ (2.76) ',' 42 వ ఉత్తమ కెరీర్ సమ్మె రేటు (35.7) ' '27 ఉత్తమ ఇన్నింగ్స్ లో సమ్మె రేటు (7.6)', 'మూడో వికెట్ (119) కోసం 49 వ అత్యధిక భాగస్వామ్యం', 'ఐదవ వికెట్ (151 *) కోసం 2 వ అత్యధిక భాగస్వామ్యం']</v>
      </c>
      <c r="G2400" s="2"/>
      <c r="H2400" s="2" t="str">
        <f>IFERROR(__xludf.DUMMYFUNCTION("IF(G2400&lt;&gt;"""", GOOGLETRANSLATE(G2400, ""en"", ""te""),"""")"),"")</f>
        <v/>
      </c>
      <c r="I2400" s="3"/>
    </row>
    <row r="2401" customHeight="1" spans="1:9">
      <c r="A2401" s="2"/>
      <c r="B2401" s="2" t="str">
        <f>IFERROR(__xludf.DUMMYFUNCTION("IF(A2401&lt;&gt;"""", GOOGLETRANSLATE(A2401, ""en"", ""te""),"""")"),"")</f>
        <v/>
      </c>
      <c r="C2401" s="2"/>
      <c r="D2401" s="2" t="str">
        <f>IFERROR(__xludf.DUMMYFUNCTION("IF(C2401&lt;&gt;"""", GOOGLETRANSLATE(C2401, ""en"", ""te""),"""")"),"")</f>
        <v/>
      </c>
      <c r="E2401" s="2"/>
      <c r="F2401" s="2" t="str">
        <f>IFERROR(__xludf.DUMMYFUNCTION("IF(E2401&lt;&gt;"""", GOOGLETRANSLATE(E2401, ""en"", ""te""),"""")"),"")</f>
        <v/>
      </c>
      <c r="G2401" s="2"/>
      <c r="H2401" s="2" t="str">
        <f>IFERROR(__xludf.DUMMYFUNCTION("IF(G2401&lt;&gt;"""", GOOGLETRANSLATE(G2401, ""en"", ""te""),"""")"),"")</f>
        <v/>
      </c>
      <c r="I2401" s="3"/>
    </row>
    <row r="2402" customHeight="1" spans="1:9">
      <c r="A2402" s="2"/>
      <c r="B2402" s="2" t="str">
        <f>IFERROR(__xludf.DUMMYFUNCTION("IF(A2402&lt;&gt;"""", GOOGLETRANSLATE(A2402, ""en"", ""te""),"""")"),"")</f>
        <v/>
      </c>
      <c r="C2402" s="2"/>
      <c r="D2402" s="2" t="str">
        <f>IFERROR(__xludf.DUMMYFUNCTION("IF(C2402&lt;&gt;"""", GOOGLETRANSLATE(C2402, ""en"", ""te""),"""")"),"")</f>
        <v/>
      </c>
      <c r="E2402" s="2"/>
      <c r="F2402" s="2" t="str">
        <f>IFERROR(__xludf.DUMMYFUNCTION("IF(E2402&lt;&gt;"""", GOOGLETRANSLATE(E2402, ""en"", ""te""),"""")"),"")</f>
        <v/>
      </c>
      <c r="G2402" s="2"/>
      <c r="H2402" s="2" t="str">
        <f>IFERROR(__xludf.DUMMYFUNCTION("IF(G2402&lt;&gt;"""", GOOGLETRANSLATE(G2402, ""en"", ""te""),"""")"),"")</f>
        <v/>
      </c>
      <c r="I2402" s="3"/>
    </row>
    <row r="2403" customHeight="1" spans="1:9">
      <c r="A2403" s="2" t="s">
        <v>1706</v>
      </c>
      <c r="B2403" s="2" t="str">
        <f>IFERROR(__xludf.DUMMYFUNCTION("IF(A2403&lt;&gt;"""", GOOGLETRANSLATE(A2403, ""en"", ""te""),"""")"),"[ 'హండ్రెడ్ మరియు ఒక మ్యాచ్లో ఒక డక్', '4 వ లాంగెస్ట్ వ్యక్తిగత ఇన్నింగ్స్ (బంతులతో) (667)', '1000 పరుగులు 9 వ వేగవంతమైన (17)', 'ఐదవ వికెట్ (405) 1 వ అత్యధిక భాగస్వామ్యం']")</f>
        <v>[ 'హండ్రెడ్ మరియు ఒక మ్యాచ్లో ఒక డక్', '4 వ లాంగెస్ట్ వ్యక్తిగత ఇన్నింగ్స్ (బంతులతో) (667)', '1000 పరుగులు 9 వ వేగవంతమైన (17)', 'ఐదవ వికెట్ (405) 1 వ అత్యధిక భాగస్వామ్యం']</v>
      </c>
      <c r="C2403" s="2" t="s">
        <v>1707</v>
      </c>
      <c r="D2403" s="2" t="str">
        <f>IFERROR(__xludf.DUMMYFUNCTION("IF(C2403&lt;&gt;"""", GOOGLETRANSLATE(C2403, ""en"", ""te""),"""")"),"[ '12 వ అత్యధిక తొలి వంద (234)', '4 వ లాంగెస్ట్ వ్యక్తిగత ఇన్నింగ్స్ (బంతులతో) (667)', '9 వ వేగవంతమైన 1000 పరుగులు (17) కు', '15 వ అత్యధిక భాగస్వామ్యాలు ఏ వికెట్కు (405)', '5 వ వికెట్ తేడాతో అత్యధిక భాగస్వామ్యాల (5 వ) ',' ఐదవ వికెట్కు 1st అత్యధిక భాగస్వా"&amp;"మ్యం (405) ']")</f>
        <v>[ '12 వ అత్యధిక తొలి వంద (234)', '4 వ లాంగెస్ట్ వ్యక్తిగత ఇన్నింగ్స్ (బంతులతో) (667)', '9 వ వేగవంతమైన 1000 పరుగులు (17) కు', '15 వ అత్యధిక భాగస్వామ్యాలు ఏ వికెట్కు (405)', '5 వ వికెట్ తేడాతో అత్యధిక భాగస్వామ్యాల (5 వ) ',' ఐదవ వికెట్కు 1st అత్యధిక భాగస్వామ్యం (405) ']</v>
      </c>
      <c r="E2403" s="2"/>
      <c r="F2403" s="2" t="str">
        <f>IFERROR(__xludf.DUMMYFUNCTION("IF(E2403&lt;&gt;"""", GOOGLETRANSLATE(E2403, ""en"", ""te""),"""")"),"")</f>
        <v/>
      </c>
      <c r="G2403" s="2"/>
      <c r="H2403" s="2" t="str">
        <f>IFERROR(__xludf.DUMMYFUNCTION("IF(G2403&lt;&gt;"""", GOOGLETRANSLATE(G2403, ""en"", ""te""),"""")"),"")</f>
        <v/>
      </c>
      <c r="I2403" s="3"/>
    </row>
    <row r="2404" customHeight="1" spans="1:9">
      <c r="A2404" s="2"/>
      <c r="B2404" s="2" t="str">
        <f>IFERROR(__xludf.DUMMYFUNCTION("IF(A2404&lt;&gt;"""", GOOGLETRANSLATE(A2404, ""en"", ""te""),"""")"),"")</f>
        <v/>
      </c>
      <c r="C2404" s="2" t="s">
        <v>660</v>
      </c>
      <c r="D2404" s="2" t="str">
        <f>IFERROR(__xludf.DUMMYFUNCTION("IF(C2404&lt;&gt;"""", GOOGLETRANSLATE(C2404, ""en"", ""te""),"""")"),"[ '12 వ ఉత్తమ కెరీర్ బౌలింగ్ సరాసరి (అర్హత లేకుండా) (6.00)']")</f>
        <v>[ '12 వ ఉత్తమ కెరీర్ బౌలింగ్ సరాసరి (అర్హత లేకుండా) (6.00)']</v>
      </c>
      <c r="E2404" s="2"/>
      <c r="F2404" s="2" t="str">
        <f>IFERROR(__xludf.DUMMYFUNCTION("IF(E2404&lt;&gt;"""", GOOGLETRANSLATE(E2404, ""en"", ""te""),"""")"),"")</f>
        <v/>
      </c>
      <c r="G2404" s="2"/>
      <c r="H2404" s="2" t="str">
        <f>IFERROR(__xludf.DUMMYFUNCTION("IF(G2404&lt;&gt;"""", GOOGLETRANSLATE(G2404, ""en"", ""te""),"""")"),"")</f>
        <v/>
      </c>
      <c r="I2404" s="3"/>
    </row>
    <row r="2405" customHeight="1" spans="1:9">
      <c r="A2405" s="2"/>
      <c r="B2405" s="2" t="str">
        <f>IFERROR(__xludf.DUMMYFUNCTION("IF(A2405&lt;&gt;"""", GOOGLETRANSLATE(A2405, ""en"", ""te""),"""")"),"")</f>
        <v/>
      </c>
      <c r="C2405" s="2"/>
      <c r="D2405" s="2" t="str">
        <f>IFERROR(__xludf.DUMMYFUNCTION("IF(C2405&lt;&gt;"""", GOOGLETRANSLATE(C2405, ""en"", ""te""),"""")"),"")</f>
        <v/>
      </c>
      <c r="E2405" s="2"/>
      <c r="F2405" s="2" t="str">
        <f>IFERROR(__xludf.DUMMYFUNCTION("IF(E2405&lt;&gt;"""", GOOGLETRANSLATE(E2405, ""en"", ""te""),"""")"),"")</f>
        <v/>
      </c>
      <c r="G2405" s="2"/>
      <c r="H2405" s="2" t="str">
        <f>IFERROR(__xludf.DUMMYFUNCTION("IF(G2405&lt;&gt;"""", GOOGLETRANSLATE(G2405, ""en"", ""te""),"""")"),"")</f>
        <v/>
      </c>
      <c r="I2405" s="3"/>
    </row>
    <row r="2406" customHeight="1" spans="1:9">
      <c r="A2406" s="2"/>
      <c r="B2406" s="2" t="str">
        <f>IFERROR(__xludf.DUMMYFUNCTION("IF(A2406&lt;&gt;"""", GOOGLETRANSLATE(A2406, ""en"", ""te""),"""")"),"")</f>
        <v/>
      </c>
      <c r="C2406" s="2"/>
      <c r="D2406" s="2" t="str">
        <f>IFERROR(__xludf.DUMMYFUNCTION("IF(C2406&lt;&gt;"""", GOOGLETRANSLATE(C2406, ""en"", ""te""),"""")"),"")</f>
        <v/>
      </c>
      <c r="E2406" s="2"/>
      <c r="F2406" s="2" t="str">
        <f>IFERROR(__xludf.DUMMYFUNCTION("IF(E2406&lt;&gt;"""", GOOGLETRANSLATE(E2406, ""en"", ""te""),"""")"),"")</f>
        <v/>
      </c>
      <c r="G2406" s="2"/>
      <c r="H2406" s="2" t="str">
        <f>IFERROR(__xludf.DUMMYFUNCTION("IF(G2406&lt;&gt;"""", GOOGLETRANSLATE(G2406, ""en"", ""te""),"""")"),"")</f>
        <v/>
      </c>
      <c r="I2406" s="3"/>
    </row>
    <row r="2407" customHeight="1" spans="1:9">
      <c r="A2407" s="2" t="s">
        <v>1708</v>
      </c>
      <c r="B2407" s="2" t="str">
        <f>IFERROR(__xludf.DUMMYFUNCTION("IF(A2407&lt;&gt;"""", GOOGLETRANSLATE(A2407, ""en"", ""te""),"""")"),"[ 'కెప్టెన్సీ ప్రవేశం (43y 216d) న 1 వ ఓల్డెస్ట్ కెప్టెన్లు', 'హండ్రెడ్ ఒక మ్యాచ్లో ప్రతి ఇన్నింగ్స్లో', 'ఒక ఇన్నింగ్స్లో ద్వారా బ్యాట్ నిదర్శన (193 *)', 'వరుస ఇన్నింగ్స్లో 6 వ వందల (3)']")</f>
        <v>[ 'కెప్టెన్సీ ప్రవేశం (43y 216d) న 1 వ ఓల్డెస్ట్ కెప్టెన్లు', 'హండ్రెడ్ ఒక మ్యాచ్లో ప్రతి ఇన్నింగ్స్లో', 'ఒక ఇన్నింగ్స్లో ద్వారా బ్యాట్ నిదర్శన (193 *)', 'వరుస ఇన్నింగ్స్లో 6 వ వందల (3)']</v>
      </c>
      <c r="C2407" s="2" t="s">
        <v>1709</v>
      </c>
      <c r="D2407" s="2" t="str">
        <f>IFERROR(__xludf.DUMMYFUNCTION("IF(C2407&lt;&gt;"""", GOOGLETRANSLATE(C2407, ""en"", ""te""),"""")"),"[ 'వరుస ఇన్నింగ్స్లో 5 వ వందల (3)', '35 వ వేగవంతమైన 1000 పరుగులు (21)' '48 వ వేగవంతమైన 2000 పరుగులు (46) కు', '25th' 3 వ అత్యంత వృద్ధ ఆటగాడు వంద (43y 202d) స్కోర్ ', పురాతన క్రీడాకారులు (43y 255d) ',' 4 వ ఓల్డెస్ట్ కాప్టెన్ (43y 233d) ',' కెప్టెన్సీ తొల"&amp;"ి 1st పురాతన కాప్టెన్ (43y 216d) ']")</f>
        <v>[ 'వరుస ఇన్నింగ్స్లో 5 వ వందల (3)', '35 వ వేగవంతమైన 1000 పరుగులు (21)' '48 వ వేగవంతమైన 2000 పరుగులు (46) కు', '25th' 3 వ అత్యంత వృద్ధ ఆటగాడు వంద (43y 202d) స్కోర్ ', పురాతన క్రీడాకారులు (43y 255d) ',' 4 వ ఓల్డెస్ట్ కాప్టెన్ (43y 233d) ',' కెప్టెన్సీ తొలి 1st పురాతన కాప్టెన్ (43y 216d) ']</v>
      </c>
      <c r="E2407" s="2"/>
      <c r="F2407" s="2" t="str">
        <f>IFERROR(__xludf.DUMMYFUNCTION("IF(E2407&lt;&gt;"""", GOOGLETRANSLATE(E2407, ""en"", ""te""),"""")"),"")</f>
        <v/>
      </c>
      <c r="G2407" s="2"/>
      <c r="H2407" s="2" t="str">
        <f>IFERROR(__xludf.DUMMYFUNCTION("IF(G2407&lt;&gt;"""", GOOGLETRANSLATE(G2407, ""en"", ""te""),"""")"),"")</f>
        <v/>
      </c>
      <c r="I2407" s="3"/>
    </row>
    <row r="2408" customHeight="1" spans="1:9">
      <c r="A2408" s="2"/>
      <c r="B2408" s="2" t="str">
        <f>IFERROR(__xludf.DUMMYFUNCTION("IF(A2408&lt;&gt;"""", GOOGLETRANSLATE(A2408, ""en"", ""te""),"""")"),"")</f>
        <v/>
      </c>
      <c r="C2408" s="2"/>
      <c r="D2408" s="2" t="str">
        <f>IFERROR(__xludf.DUMMYFUNCTION("IF(C2408&lt;&gt;"""", GOOGLETRANSLATE(C2408, ""en"", ""te""),"""")"),"")</f>
        <v/>
      </c>
      <c r="E2408" s="2"/>
      <c r="F2408" s="2" t="str">
        <f>IFERROR(__xludf.DUMMYFUNCTION("IF(E2408&lt;&gt;"""", GOOGLETRANSLATE(E2408, ""en"", ""te""),"""")"),"")</f>
        <v/>
      </c>
      <c r="G2408" s="2"/>
      <c r="H2408" s="2" t="str">
        <f>IFERROR(__xludf.DUMMYFUNCTION("IF(G2408&lt;&gt;"""", GOOGLETRANSLATE(G2408, ""en"", ""te""),"""")"),"")</f>
        <v/>
      </c>
      <c r="I2408" s="3"/>
    </row>
    <row r="2409" customHeight="1" spans="1:9">
      <c r="A2409" s="2"/>
      <c r="B2409" s="2" t="str">
        <f>IFERROR(__xludf.DUMMYFUNCTION("IF(A2409&lt;&gt;"""", GOOGLETRANSLATE(A2409, ""en"", ""te""),"""")"),"")</f>
        <v/>
      </c>
      <c r="C2409" s="2"/>
      <c r="D2409" s="2" t="str">
        <f>IFERROR(__xludf.DUMMYFUNCTION("IF(C2409&lt;&gt;"""", GOOGLETRANSLATE(C2409, ""en"", ""te""),"""")"),"")</f>
        <v/>
      </c>
      <c r="E2409" s="2"/>
      <c r="F2409" s="2" t="str">
        <f>IFERROR(__xludf.DUMMYFUNCTION("IF(E2409&lt;&gt;"""", GOOGLETRANSLATE(E2409, ""en"", ""te""),"""")"),"")</f>
        <v/>
      </c>
      <c r="G2409" s="2" t="s">
        <v>1710</v>
      </c>
      <c r="H2409" s="2" t="str">
        <f>IFERROR(__xludf.DUMMYFUNCTION("IF(G2409&lt;&gt;"""", GOOGLETRANSLATE(G2409, ""en"", ""te""),"""")"),"[ '17 వ బౌలర్ / బ్యాట్స్ కలయికలు (3)', '15 వ ఇన్నింగ్స్ లో అత్యధిక క్యాచ్లు (3)']")</f>
        <v>[ '17 వ బౌలర్ / బ్యాట్స్ కలయికలు (3)', '15 వ ఇన్నింగ్స్ లో అత్యధిక క్యాచ్లు (3)']</v>
      </c>
      <c r="I2409" s="3"/>
    </row>
    <row r="2410" customHeight="1" spans="1:9">
      <c r="A2410" s="2"/>
      <c r="B2410" s="2" t="str">
        <f>IFERROR(__xludf.DUMMYFUNCTION("IF(A2410&lt;&gt;"""", GOOGLETRANSLATE(A2410, ""en"", ""te""),"""")"),"")</f>
        <v/>
      </c>
      <c r="C2410" s="2"/>
      <c r="D2410" s="2" t="str">
        <f>IFERROR(__xludf.DUMMYFUNCTION("IF(C2410&lt;&gt;"""", GOOGLETRANSLATE(C2410, ""en"", ""te""),"""")"),"")</f>
        <v/>
      </c>
      <c r="E2410" s="2"/>
      <c r="F2410" s="2" t="str">
        <f>IFERROR(__xludf.DUMMYFUNCTION("IF(E2410&lt;&gt;"""", GOOGLETRANSLATE(E2410, ""en"", ""te""),"""")"),"")</f>
        <v/>
      </c>
      <c r="G2410" s="2"/>
      <c r="H2410" s="2" t="str">
        <f>IFERROR(__xludf.DUMMYFUNCTION("IF(G2410&lt;&gt;"""", GOOGLETRANSLATE(G2410, ""en"", ""te""),"""")"),"")</f>
        <v/>
      </c>
      <c r="I2410" s="3"/>
    </row>
    <row r="2411" customHeight="1" spans="1:9">
      <c r="A2411" s="2"/>
      <c r="B2411" s="2" t="str">
        <f>IFERROR(__xludf.DUMMYFUNCTION("IF(A2411&lt;&gt;"""", GOOGLETRANSLATE(A2411, ""en"", ""te""),"""")"),"")</f>
        <v/>
      </c>
      <c r="C2411" s="2"/>
      <c r="D2411" s="2" t="str">
        <f>IFERROR(__xludf.DUMMYFUNCTION("IF(C2411&lt;&gt;"""", GOOGLETRANSLATE(C2411, ""en"", ""te""),"""")"),"")</f>
        <v/>
      </c>
      <c r="E2411" s="2" t="s">
        <v>1711</v>
      </c>
      <c r="F2411" s="2" t="str">
        <f>IFERROR(__xludf.DUMMYFUNCTION("IF(E2411&lt;&gt;"""", GOOGLETRANSLATE(E2411, ""en"", ""te""),"""")"),"[ 'వరుస ఇన్నింగ్స్లో 28 యాభైల్లో (3)', '36 వ వరుస మ్యాచ్లు ప్రదర్శనల మధ్య బృందం (33) కోసం తప్పిన']")</f>
        <v>[ 'వరుస ఇన్నింగ్స్లో 28 యాభైల్లో (3)', '36 వ వరుస మ్యాచ్లు ప్రదర్శనల మధ్య బృందం (33) కోసం తప్పిన']</v>
      </c>
      <c r="G2411" s="2"/>
      <c r="H2411" s="2" t="str">
        <f>IFERROR(__xludf.DUMMYFUNCTION("IF(G2411&lt;&gt;"""", GOOGLETRANSLATE(G2411, ""en"", ""te""),"""")"),"")</f>
        <v/>
      </c>
      <c r="I2411" s="3"/>
    </row>
    <row r="2412" customHeight="1" spans="1:9">
      <c r="A2412" s="2"/>
      <c r="B2412" s="2" t="str">
        <f>IFERROR(__xludf.DUMMYFUNCTION("IF(A2412&lt;&gt;"""", GOOGLETRANSLATE(A2412, ""en"", ""te""),"""")"),"")</f>
        <v/>
      </c>
      <c r="C2412" s="2"/>
      <c r="D2412" s="2" t="str">
        <f>IFERROR(__xludf.DUMMYFUNCTION("IF(C2412&lt;&gt;"""", GOOGLETRANSLATE(C2412, ""en"", ""te""),"""")"),"")</f>
        <v/>
      </c>
      <c r="E2412" s="2" t="s">
        <v>1712</v>
      </c>
      <c r="F2412" s="2" t="str">
        <f>IFERROR(__xludf.DUMMYFUNCTION("IF(E2412&lt;&gt;"""", GOOGLETRANSLATE(E2412, ""en"", ""te""),"""")"),"[ '11 వ ఒక సిరీస్లో అత్యధిక వికెట్లు (24)', '39 వ ఉత్తమ కెరీర్ సమ్మె రేటు (35.4)', '47 వ ఒక సిరీస్లో అత్యధిక క్యాచ్లు (6)']")</f>
        <v>[ '11 వ ఒక సిరీస్లో అత్యధిక వికెట్లు (24)', '39 వ ఉత్తమ కెరీర్ సమ్మె రేటు (35.4)', '47 వ ఒక సిరీస్లో అత్యధిక క్యాచ్లు (6)']</v>
      </c>
      <c r="G2412" s="2"/>
      <c r="H2412" s="2" t="str">
        <f>IFERROR(__xludf.DUMMYFUNCTION("IF(G2412&lt;&gt;"""", GOOGLETRANSLATE(G2412, ""en"", ""te""),"""")"),"")</f>
        <v/>
      </c>
      <c r="I2412" s="3"/>
    </row>
    <row r="2413" customHeight="1" spans="1:9">
      <c r="A2413" s="2"/>
      <c r="B2413" s="2" t="str">
        <f>IFERROR(__xludf.DUMMYFUNCTION("IF(A2413&lt;&gt;"""", GOOGLETRANSLATE(A2413, ""en"", ""te""),"""")"),"")</f>
        <v/>
      </c>
      <c r="C2413" s="2"/>
      <c r="D2413" s="2" t="str">
        <f>IFERROR(__xludf.DUMMYFUNCTION("IF(C2413&lt;&gt;"""", GOOGLETRANSLATE(C2413, ""en"", ""te""),"""")"),"")</f>
        <v/>
      </c>
      <c r="E2413" s="2"/>
      <c r="F2413" s="2" t="str">
        <f>IFERROR(__xludf.DUMMYFUNCTION("IF(E2413&lt;&gt;"""", GOOGLETRANSLATE(E2413, ""en"", ""te""),"""")"),"")</f>
        <v/>
      </c>
      <c r="G2413" s="2"/>
      <c r="H2413" s="2" t="str">
        <f>IFERROR(__xludf.DUMMYFUNCTION("IF(G2413&lt;&gt;"""", GOOGLETRANSLATE(G2413, ""en"", ""te""),"""")"),"")</f>
        <v/>
      </c>
      <c r="I2413" s="3"/>
    </row>
    <row r="2414" customHeight="1" spans="1:9">
      <c r="A2414" s="2"/>
      <c r="B2414" s="2" t="str">
        <f>IFERROR(__xludf.DUMMYFUNCTION("IF(A2414&lt;&gt;"""", GOOGLETRANSLATE(A2414, ""en"", ""te""),"""")"),"")</f>
        <v/>
      </c>
      <c r="C2414" s="2"/>
      <c r="D2414" s="2" t="str">
        <f>IFERROR(__xludf.DUMMYFUNCTION("IF(C2414&lt;&gt;"""", GOOGLETRANSLATE(C2414, ""en"", ""te""),"""")"),"")</f>
        <v/>
      </c>
      <c r="E2414" s="2" t="s">
        <v>1713</v>
      </c>
      <c r="F2414" s="2" t="str">
        <f>IFERROR(__xludf.DUMMYFUNCTION("IF(E2414&lt;&gt;"""", GOOGLETRANSLATE(E2414, ""en"", ""te""),"""")"),"[ '16 వ ఒక సిరీస్లో అత్యధిక వికెట్లు (21)', '27 ఒక క్యాలెండర్ సంవత్సరంలో అత్యధిక వికెట్లు (46)', '14 వ ఒక ఇన్నింగ్స్ లోని బెస్ట్ ఫిగర్స్ పరాజయం వైపు (5) ఉన్నప్పుడు', '49 వ ఉత్తమ కెరీర్ సగటు బౌలింగ్ ( 24.36) ',' 43 వ అత్యంత ఐదు-వికెట్ల లో-ఒక-ఇన్నింగ్స్ కె"&amp;"రీర్లో (2) ',' 44 వ బౌలర్ / ఫీల్డర్ కలయికలు (25) ',' 43 వ అత్యధిక వికెట్లు తీసుకున్న ఆకర్షించింది (130) ',' 41 వ అత్యధిక వికెట్లు వేగవంతమైన 100 వికెట్లు (60) ',' 13 వ 150 వికెట్లు (95) '] వేగంగా 50 వికెట్లు (31)', '15 వ ఒక ఫీల్డర్ (94)', 'ఫాస్టెస్ట్ 45 వ"&amp;" పట్టుకుంటే తీసుకున్న")</f>
        <v>[ '16 వ ఒక సిరీస్లో అత్యధిక వికెట్లు (21)', '27 ఒక క్యాలెండర్ సంవత్సరంలో అత్యధిక వికెట్లు (46)', '14 వ ఒక ఇన్నింగ్స్ లోని బెస్ట్ ఫిగర్స్ పరాజయం వైపు (5) ఉన్నప్పుడు', '49 వ ఉత్తమ కెరీర్ సగటు బౌలింగ్ ( 24.36) ',' 43 వ అత్యంత ఐదు-వికెట్ల లో-ఒక-ఇన్నింగ్స్ కెరీర్లో (2) ',' 44 వ బౌలర్ / ఫీల్డర్ కలయికలు (25) ',' 43 వ అత్యధిక వికెట్లు తీసుకున్న ఆకర్షించింది (130) ',' 41 వ అత్యధిక వికెట్లు వేగవంతమైన 100 వికెట్లు (60) ',' 13 వ 150 వికెట్లు (95) '] వేగంగా 50 వికెట్లు (31)', '15 వ ఒక ఫీల్డర్ (94)', 'ఫాస్టెస్ట్ 45 వ పట్టుకుంటే తీసుకున్న</v>
      </c>
      <c r="G2414" s="2" t="s">
        <v>797</v>
      </c>
      <c r="H2414" s="2" t="str">
        <f>IFERROR(__xludf.DUMMYFUNCTION("IF(G2414&lt;&gt;"""", GOOGLETRANSLATE(G2414, ""en"", ""te""),"""")"),"[ '17 వ బౌలర్ / బ్యాట్స్ కలయికలు (3)']")</f>
        <v>[ '17 వ బౌలర్ / బ్యాట్స్ కలయికలు (3)']</v>
      </c>
      <c r="I2414" s="3"/>
    </row>
    <row r="2415" customHeight="1" spans="1:9">
      <c r="A2415" s="2"/>
      <c r="B2415" s="2" t="str">
        <f>IFERROR(__xludf.DUMMYFUNCTION("IF(A2415&lt;&gt;"""", GOOGLETRANSLATE(A2415, ""en"", ""te""),"""")"),"")</f>
        <v/>
      </c>
      <c r="C2415" s="2" t="s">
        <v>1441</v>
      </c>
      <c r="D2415" s="2" t="str">
        <f>IFERROR(__xludf.DUMMYFUNCTION("IF(C2415&lt;&gt;"""", GOOGLETRANSLATE(C2415, ""en"", ""te""),"""")"),"[ '24 ఒక ఇన్నింగ్స్ లోని బెస్ట్ ఫిగర్స్ ఉన్నప్పుడు పరాజయం వైపు (7)', 'పరాజయం వైపు 40 వ బెస్ట్ ఫిగర్స్ ఒక మ్యాచ్లో ఉన్నప్పుడు (10)']")</f>
        <v>[ '24 ఒక ఇన్నింగ్స్ లోని బెస్ట్ ఫిగర్స్ ఉన్నప్పుడు పరాజయం వైపు (7)', 'పరాజయం వైపు 40 వ బెస్ట్ ఫిగర్స్ ఒక మ్యాచ్లో ఉన్నప్పుడు (10)']</v>
      </c>
      <c r="E2415" s="2" t="s">
        <v>1714</v>
      </c>
      <c r="F2415" s="2" t="str">
        <f>IFERROR(__xludf.DUMMYFUNCTION("IF(E2415&lt;&gt;"""", GOOGLETRANSLATE(E2415, ""en"", ""te""),"""")"),"[ '37 వ చెత్త కెరీర్ బౌలింగ్ సరాసరి (అర్హత లేకుండా) (116.66)']")</f>
        <v>[ '37 వ చెత్త కెరీర్ బౌలింగ్ సరాసరి (అర్హత లేకుండా) (116.66)']</v>
      </c>
      <c r="G2415" s="2"/>
      <c r="H2415" s="2" t="str">
        <f>IFERROR(__xludf.DUMMYFUNCTION("IF(G2415&lt;&gt;"""", GOOGLETRANSLATE(G2415, ""en"", ""te""),"""")"),"")</f>
        <v/>
      </c>
      <c r="I2415" s="3"/>
    </row>
    <row r="2416" customHeight="1" spans="1:9">
      <c r="A2416" s="2"/>
      <c r="B2416" s="2" t="str">
        <f>IFERROR(__xludf.DUMMYFUNCTION("IF(A2416&lt;&gt;"""", GOOGLETRANSLATE(A2416, ""en"", ""te""),"""")"),"")</f>
        <v/>
      </c>
      <c r="C2416" s="2"/>
      <c r="D2416" s="2" t="str">
        <f>IFERROR(__xludf.DUMMYFUNCTION("IF(C2416&lt;&gt;"""", GOOGLETRANSLATE(C2416, ""en"", ""te""),"""")"),"")</f>
        <v/>
      </c>
      <c r="E2416" s="2"/>
      <c r="F2416" s="2" t="str">
        <f>IFERROR(__xludf.DUMMYFUNCTION("IF(E2416&lt;&gt;"""", GOOGLETRANSLATE(E2416, ""en"", ""te""),"""")"),"")</f>
        <v/>
      </c>
      <c r="G2416" s="2"/>
      <c r="H2416" s="2" t="str">
        <f>IFERROR(__xludf.DUMMYFUNCTION("IF(G2416&lt;&gt;"""", GOOGLETRANSLATE(G2416, ""en"", ""te""),"""")"),"")</f>
        <v/>
      </c>
      <c r="I2416" s="3"/>
    </row>
    <row r="2417" customHeight="1" spans="1:9">
      <c r="A2417" s="2"/>
      <c r="B2417" s="2" t="str">
        <f>IFERROR(__xludf.DUMMYFUNCTION("IF(A2417&lt;&gt;"""", GOOGLETRANSLATE(A2417, ""en"", ""te""),"""")"),"")</f>
        <v/>
      </c>
      <c r="C2417" s="2"/>
      <c r="D2417" s="2" t="str">
        <f>IFERROR(__xludf.DUMMYFUNCTION("IF(C2417&lt;&gt;"""", GOOGLETRANSLATE(C2417, ""en"", ""te""),"""")"),"")</f>
        <v/>
      </c>
      <c r="E2417" s="2"/>
      <c r="F2417" s="2" t="str">
        <f>IFERROR(__xludf.DUMMYFUNCTION("IF(E2417&lt;&gt;"""", GOOGLETRANSLATE(E2417, ""en"", ""te""),"""")"),"")</f>
        <v/>
      </c>
      <c r="G2417" s="2"/>
      <c r="H2417" s="2" t="str">
        <f>IFERROR(__xludf.DUMMYFUNCTION("IF(G2417&lt;&gt;"""", GOOGLETRANSLATE(G2417, ""en"", ""te""),"""")"),"")</f>
        <v/>
      </c>
      <c r="I2417" s="3"/>
    </row>
    <row r="2418" customHeight="1" spans="1:9">
      <c r="A2418" s="2" t="s">
        <v>1715</v>
      </c>
      <c r="B2418" s="2" t="str">
        <f>IFERROR(__xludf.DUMMYFUNCTION("IF(A2418&lt;&gt;"""", GOOGLETRANSLATE(A2418, ""en"", ""te""),"""")"),"[ 'వరుస 9 వ అత్యధిక పరుగులు (817)', 'హండ్రెడ్ ప్రవేశం (124) న']")</f>
        <v>[ 'వరుస 9 వ అత్యధిక పరుగులు (817)', 'హండ్రెడ్ ప్రవేశం (124) న']</v>
      </c>
      <c r="C2418" s="2"/>
      <c r="D2418" s="2" t="str">
        <f>IFERROR(__xludf.DUMMYFUNCTION("IF(C2418&lt;&gt;"""", GOOGLETRANSLATE(C2418, ""en"", ""te""),"""")"),"")</f>
        <v/>
      </c>
      <c r="E2418" s="2" t="s">
        <v>1716</v>
      </c>
      <c r="F2418" s="2" t="str">
        <f>IFERROR(__xludf.DUMMYFUNCTION("IF(E2418&lt;&gt;"""", GOOGLETRANSLATE(E2418, ""en"", ""te""),"""")"),"[ '47 వ అత్యధిక కెరీర్ లో పరుగులు (1896)', 'వరుస 9 వ అత్యధిక పరుగులు (817)', '30th ఒక క్యాలెండర్ సంవత్సరంలో అత్యధిక పరుగులు (589)', '19 వ అత్యధిక కెరీర్ బ్యాటింగ్ సగటు (41.21)', '2nd తొలి మ్యాచ్లో అత్యధిక పరుగులు (124) ',' 15 కెరీర్లో అత్యధిక వందలు (4) ',"&amp;"' 19 వ అత్యధిక తొలి వంద (124) ',' 31 జీవితంలో అత్యధిక అర్ధ (16) ',' వరుస ఇన్నింగ్స్లో 12 వ యాభైల్లో ( 4) ',' 29 వ అత్యధిక ఇన్నింగ్స్ తొలి డక్ ముందు (17) ',' 47 వ ఒక సిరీస్లో అత్యధిక క్యాచ్లు (6) ',' రెండవ వికెట్కు 24 అత్యధిక భాగస్వామ్యం (161 *) ',' మూడో "&amp;"వికెట్కు 23 అత్యధిక భాగస్వామ్యం (140) ']")</f>
        <v>[ '47 వ అత్యధిక కెరీర్ లో పరుగులు (1896)', 'వరుస 9 వ అత్యధిక పరుగులు (817)', '30th ఒక క్యాలెండర్ సంవత్సరంలో అత్యధిక పరుగులు (589)', '19 వ అత్యధిక కెరీర్ బ్యాటింగ్ సగటు (41.21)', '2nd తొలి మ్యాచ్లో అత్యధిక పరుగులు (124) ',' 15 కెరీర్లో అత్యధిక వందలు (4) ',' 19 వ అత్యధిక తొలి వంద (124) ',' 31 జీవితంలో అత్యధిక అర్ధ (16) ',' వరుస ఇన్నింగ్స్లో 12 వ యాభైల్లో ( 4) ',' 29 వ అత్యధిక ఇన్నింగ్స్ తొలి డక్ ముందు (17) ',' 47 వ ఒక సిరీస్లో అత్యధిక క్యాచ్లు (6) ',' రెండవ వికెట్కు 24 అత్యధిక భాగస్వామ్యం (161 *) ',' మూడో వికెట్కు 23 అత్యధిక భాగస్వామ్యం (140) ']</v>
      </c>
      <c r="G2418" s="2"/>
      <c r="H2418" s="2" t="str">
        <f>IFERROR(__xludf.DUMMYFUNCTION("IF(G2418&lt;&gt;"""", GOOGLETRANSLATE(G2418, ""en"", ""te""),"""")"),"")</f>
        <v/>
      </c>
      <c r="I2418" s="3"/>
    </row>
    <row r="2419" customHeight="1" spans="1:9">
      <c r="A2419" s="2"/>
      <c r="B2419" s="2" t="str">
        <f>IFERROR(__xludf.DUMMYFUNCTION("IF(A2419&lt;&gt;"""", GOOGLETRANSLATE(A2419, ""en"", ""te""),"""")"),"")</f>
        <v/>
      </c>
      <c r="C2419" s="2"/>
      <c r="D2419" s="2" t="str">
        <f>IFERROR(__xludf.DUMMYFUNCTION("IF(C2419&lt;&gt;"""", GOOGLETRANSLATE(C2419, ""en"", ""te""),"""")"),"")</f>
        <v/>
      </c>
      <c r="E2419" s="2"/>
      <c r="F2419" s="2" t="str">
        <f>IFERROR(__xludf.DUMMYFUNCTION("IF(E2419&lt;&gt;"""", GOOGLETRANSLATE(E2419, ""en"", ""te""),"""")"),"")</f>
        <v/>
      </c>
      <c r="G2419" s="2"/>
      <c r="H2419" s="2" t="str">
        <f>IFERROR(__xludf.DUMMYFUNCTION("IF(G2419&lt;&gt;"""", GOOGLETRANSLATE(G2419, ""en"", ""te""),"""")"),"")</f>
        <v/>
      </c>
      <c r="I2419" s="3"/>
    </row>
    <row r="2420" customHeight="1" spans="1:9">
      <c r="A2420" s="2"/>
      <c r="B2420" s="2" t="str">
        <f>IFERROR(__xludf.DUMMYFUNCTION("IF(A2420&lt;&gt;"""", GOOGLETRANSLATE(A2420, ""en"", ""te""),"""")"),"")</f>
        <v/>
      </c>
      <c r="C2420" s="2" t="s">
        <v>1717</v>
      </c>
      <c r="D2420" s="2" t="str">
        <f>IFERROR(__xludf.DUMMYFUNCTION("IF(C2420&lt;&gt;"""", GOOGLETRANSLATE(C2420, ""en"", ""te""),"""")"),"[ 'తొలి వికెట్కు 42 వ అత్యధిక భాగస్వామ్యం (237)', 'మూడో వికెట్కు 32 వ అత్యధిక భాగస్వామ్యం (289)', నాలుగో వికెట్కు '17 వ అత్యధిక భాగస్వామ్యం (308, రెండో వికెట్కు (258) 43 వ అత్యధిక భాగస్వామ్యం' ) ']")</f>
        <v>[ 'తొలి వికెట్కు 42 వ అత్యధిక భాగస్వామ్యం (237)', 'మూడో వికెట్కు 32 వ అత్యధిక భాగస్వామ్యం (289)', నాలుగో వికెట్కు '17 వ అత్యధిక భాగస్వామ్యం (308, రెండో వికెట్కు (258) 43 వ అత్యధిక భాగస్వామ్యం' ) ']</v>
      </c>
      <c r="E2420" s="2"/>
      <c r="F2420" s="2" t="str">
        <f>IFERROR(__xludf.DUMMYFUNCTION("IF(E2420&lt;&gt;"""", GOOGLETRANSLATE(E2420, ""en"", ""te""),"""")"),"")</f>
        <v/>
      </c>
      <c r="G2420" s="2"/>
      <c r="H2420" s="2" t="str">
        <f>IFERROR(__xludf.DUMMYFUNCTION("IF(G2420&lt;&gt;"""", GOOGLETRANSLATE(G2420, ""en"", ""te""),"""")"),"")</f>
        <v/>
      </c>
      <c r="I2420" s="3"/>
    </row>
    <row r="2421" customHeight="1" spans="1:9">
      <c r="A2421" s="2" t="s">
        <v>1718</v>
      </c>
      <c r="B2421" s="2" t="str">
        <f>IFERROR(__xludf.DUMMYFUNCTION("IF(A2421&lt;&gt;"""", GOOGLETRANSLATE(A2421, ""en"", ""te""),"""")"),"[ '5 వ అత్యధిక కెరీర్ బ్యాటింగ్ సగటు (53.58)', '5000 పరుగులు మరియు 50 ఫీల్డింగ్ వికెట్లు', 'నాలుగవ వికెట్కు (222) 9 వ అత్యధిక భాగస్వామ్యం']")</f>
        <v>[ '5 వ అత్యధిక కెరీర్ బ్యాటింగ్ సగటు (53.58)', '5000 పరుగులు మరియు 50 ఫీల్డింగ్ వికెట్లు', 'నాలుగవ వికెట్కు (222) 9 వ అత్యధిక భాగస్వామ్యం']</v>
      </c>
      <c r="C2421" s="2"/>
      <c r="D2421" s="2" t="str">
        <f>IFERROR(__xludf.DUMMYFUNCTION("IF(C2421&lt;&gt;"""", GOOGLETRANSLATE(C2421, ""en"", ""te""),"""")"),"")</f>
        <v/>
      </c>
      <c r="E2421" s="2" t="s">
        <v>1719</v>
      </c>
      <c r="F2421" s="2" t="str">
        <f>IFERROR(__xludf.DUMMYFUNCTION("IF(E2421&lt;&gt;"""", GOOGLETRANSLATE(E2421, ""en"", ""te""),"""")"),"[ '46 వ కెరీర్ లో అత్యధిక పరుగులు (6912)', '5 వ అత్యధిక కెరీర్ బ్యాటింగ్ సగటు (53.58)', '47 వ కెరీర్ అర్ధ (52)', '21 వ అతి తక్కువ బాతులు '13 వ అత్యంత ఇన్నింగ్స్ తొలి డక్ (46) ముందు' కెరీర్లో (39.2) ',' 41 వ 2000 పరుగులు (57) ',' ఫాస్టెస్ట్ 20 3000 పరుగులు"&amp;" (80) ',' 27th 4000 పరుగులు (111) ',' 19 వ వేగంగా వేగంగా 5000 పరుగులు (135) వేగంగా ' 'వరుస 12 వ అత్యధిక క్యాచ్లు (9)', '6000 పరుగులు (167) వేగంగా 19', 'నాలుగవ వికెట్కు 9 వ అత్యధిక భాగస్వామ్యం (222)', 'ఎనిమిదవ వికెట్కు 12 వ అత్యధిక భాగస్వామ్యం (97)', 'తొమ్"&amp;"మిదవ వికెట్కు 22 అత్యధిక భాగస్వామ్యం (77)', 'ఒక జట్టుకు 37 వ వరుస మ్యాచ్లు (78)']")</f>
        <v>[ '46 వ కెరీర్ లో అత్యధిక పరుగులు (6912)', '5 వ అత్యధిక కెరీర్ బ్యాటింగ్ సగటు (53.58)', '47 వ కెరీర్ అర్ధ (52)', '21 వ అతి తక్కువ బాతులు '13 వ అత్యంత ఇన్నింగ్స్ తొలి డక్ (46) ముందు' కెరీర్లో (39.2) ',' 41 వ 2000 పరుగులు (57) ',' ఫాస్టెస్ట్ 20 3000 పరుగులు (80) ',' 27th 4000 పరుగులు (111) ',' 19 వ వేగంగా వేగంగా 5000 పరుగులు (135) వేగంగా ' 'వరుస 12 వ అత్యధిక క్యాచ్లు (9)', '6000 పరుగులు (167) వేగంగా 19', 'నాలుగవ వికెట్కు 9 వ అత్యధిక భాగస్వామ్యం (222)', 'ఎనిమిదవ వికెట్కు 12 వ అత్యధిక భాగస్వామ్యం (97)', 'తొమ్మిదవ వికెట్కు 22 అత్యధిక భాగస్వామ్యం (77)', 'ఒక జట్టుకు 37 వ వరుస మ్యాచ్లు (78)']</v>
      </c>
      <c r="G2421" s="2"/>
      <c r="H2421" s="2" t="str">
        <f>IFERROR(__xludf.DUMMYFUNCTION("IF(G2421&lt;&gt;"""", GOOGLETRANSLATE(G2421, ""en"", ""te""),"""")"),"")</f>
        <v/>
      </c>
      <c r="I2421" s="3"/>
    </row>
    <row r="2422" customHeight="1" spans="1:9">
      <c r="A2422" s="2"/>
      <c r="B2422" s="2" t="str">
        <f>IFERROR(__xludf.DUMMYFUNCTION("IF(A2422&lt;&gt;"""", GOOGLETRANSLATE(A2422, ""en"", ""te""),"""")"),"")</f>
        <v/>
      </c>
      <c r="C2422" s="2"/>
      <c r="D2422" s="2" t="str">
        <f>IFERROR(__xludf.DUMMYFUNCTION("IF(C2422&lt;&gt;"""", GOOGLETRANSLATE(C2422, ""en"", ""te""),"""")"),"")</f>
        <v/>
      </c>
      <c r="E2422" s="2"/>
      <c r="F2422" s="2" t="str">
        <f>IFERROR(__xludf.DUMMYFUNCTION("IF(E2422&lt;&gt;"""", GOOGLETRANSLATE(E2422, ""en"", ""te""),"""")"),"")</f>
        <v/>
      </c>
      <c r="G2422" s="2"/>
      <c r="H2422" s="2" t="str">
        <f>IFERROR(__xludf.DUMMYFUNCTION("IF(G2422&lt;&gt;"""", GOOGLETRANSLATE(G2422, ""en"", ""te""),"""")"),"")</f>
        <v/>
      </c>
      <c r="I2422" s="3"/>
    </row>
    <row r="2423" customHeight="1" spans="1:9">
      <c r="A2423" s="2"/>
      <c r="B2423" s="2" t="str">
        <f>IFERROR(__xludf.DUMMYFUNCTION("IF(A2423&lt;&gt;"""", GOOGLETRANSLATE(A2423, ""en"", ""te""),"""")"),"")</f>
        <v/>
      </c>
      <c r="C2423" s="2"/>
      <c r="D2423" s="2" t="str">
        <f>IFERROR(__xludf.DUMMYFUNCTION("IF(C2423&lt;&gt;"""", GOOGLETRANSLATE(C2423, ""en"", ""te""),"""")"),"")</f>
        <v/>
      </c>
      <c r="E2423" s="2"/>
      <c r="F2423" s="2" t="str">
        <f>IFERROR(__xludf.DUMMYFUNCTION("IF(E2423&lt;&gt;"""", GOOGLETRANSLATE(E2423, ""en"", ""te""),"""")"),"")</f>
        <v/>
      </c>
      <c r="G2423" s="2"/>
      <c r="H2423" s="2" t="str">
        <f>IFERROR(__xludf.DUMMYFUNCTION("IF(G2423&lt;&gt;"""", GOOGLETRANSLATE(G2423, ""en"", ""te""),"""")"),"")</f>
        <v/>
      </c>
      <c r="I2423" s="3"/>
    </row>
    <row r="2424" customHeight="1" spans="1:9">
      <c r="A2424" s="2"/>
      <c r="B2424" s="2" t="str">
        <f>IFERROR(__xludf.DUMMYFUNCTION("IF(A2424&lt;&gt;"""", GOOGLETRANSLATE(A2424, ""en"", ""te""),"""")"),"")</f>
        <v/>
      </c>
      <c r="C2424" s="2"/>
      <c r="D2424" s="2" t="str">
        <f>IFERROR(__xludf.DUMMYFUNCTION("IF(C2424&lt;&gt;"""", GOOGLETRANSLATE(C2424, ""en"", ""te""),"""")"),"")</f>
        <v/>
      </c>
      <c r="E2424" s="2" t="s">
        <v>1720</v>
      </c>
      <c r="F2424" s="2" t="str">
        <f>IFERROR(__xludf.DUMMYFUNCTION("IF(E2424&lt;&gt;"""", GOOGLETRANSLATE(E2424, ""en"", ""te""),"""")"),"[ '47 వ ఒక సిరీస్లో అత్యధిక క్యాచ్లు (6)']")</f>
        <v>[ '47 వ ఒక సిరీస్లో అత్యధిక క్యాచ్లు (6)']</v>
      </c>
      <c r="G2424" s="2"/>
      <c r="H2424" s="2" t="str">
        <f>IFERROR(__xludf.DUMMYFUNCTION("IF(G2424&lt;&gt;"""", GOOGLETRANSLATE(G2424, ""en"", ""te""),"""")"),"")</f>
        <v/>
      </c>
      <c r="I2424" s="3"/>
    </row>
    <row r="2425" customHeight="1" spans="1:9">
      <c r="A2425" s="2"/>
      <c r="B2425" s="2" t="str">
        <f>IFERROR(__xludf.DUMMYFUNCTION("IF(A2425&lt;&gt;"""", GOOGLETRANSLATE(A2425, ""en"", ""te""),"""")"),"")</f>
        <v/>
      </c>
      <c r="C2425" s="2"/>
      <c r="D2425" s="2" t="str">
        <f>IFERROR(__xludf.DUMMYFUNCTION("IF(C2425&lt;&gt;"""", GOOGLETRANSLATE(C2425, ""en"", ""te""),"""")"),"")</f>
        <v/>
      </c>
      <c r="E2425" s="2"/>
      <c r="F2425" s="2" t="str">
        <f>IFERROR(__xludf.DUMMYFUNCTION("IF(E2425&lt;&gt;"""", GOOGLETRANSLATE(E2425, ""en"", ""te""),"""")"),"")</f>
        <v/>
      </c>
      <c r="G2425" s="2"/>
      <c r="H2425" s="2" t="str">
        <f>IFERROR(__xludf.DUMMYFUNCTION("IF(G2425&lt;&gt;"""", GOOGLETRANSLATE(G2425, ""en"", ""te""),"""")"),"")</f>
        <v/>
      </c>
      <c r="I2425" s="3"/>
    </row>
    <row r="2426" customHeight="1" spans="1:9">
      <c r="A2426" s="2" t="s">
        <v>1721</v>
      </c>
      <c r="B2426" s="2" t="str">
        <f>IFERROR(__xludf.DUMMYFUNCTION("IF(A2426&lt;&gt;"""", GOOGLETRANSLATE(A2426, ""en"", ""te""),"""")"),"[ 'ఆరవ వికెట్ (105) 4 వ అత్యధిక భాగస్వామ్యం']")</f>
        <v>[ 'ఆరవ వికెట్ (105) 4 వ అత్యధిక భాగస్వామ్యం']</v>
      </c>
      <c r="C2426" s="2" t="s">
        <v>1722</v>
      </c>
      <c r="D2426" s="2" t="str">
        <f>IFERROR(__xludf.DUMMYFUNCTION("IF(C2426&lt;&gt;"""", GOOGLETRANSLATE(C2426, ""en"", ""te""),"""")"),"[ '14 వ ఇన్నింగ్స్ లో అత్యధిక పరుగులు (బ్యాటింగ్ స్థానంలో ప్రకారం) (70)', 'ఆరవ వికెట్ (105) 4 వ అత్యధిక భాగస్వామ్యం']")</f>
        <v>[ '14 వ ఇన్నింగ్స్ లో అత్యధిక పరుగులు (బ్యాటింగ్ స్థానంలో ప్రకారం) (70)', 'ఆరవ వికెట్ (105) 4 వ అత్యధిక భాగస్వామ్యం']</v>
      </c>
      <c r="E2426" s="2"/>
      <c r="F2426" s="2" t="str">
        <f>IFERROR(__xludf.DUMMYFUNCTION("IF(E2426&lt;&gt;"""", GOOGLETRANSLATE(E2426, ""en"", ""te""),"""")"),"")</f>
        <v/>
      </c>
      <c r="G2426" s="2"/>
      <c r="H2426" s="2" t="str">
        <f>IFERROR(__xludf.DUMMYFUNCTION("IF(G2426&lt;&gt;"""", GOOGLETRANSLATE(G2426, ""en"", ""te""),"""")"),"")</f>
        <v/>
      </c>
      <c r="I2426" s="3"/>
    </row>
    <row r="2427" customHeight="1" spans="1:9">
      <c r="A2427" s="2"/>
      <c r="B2427" s="2" t="str">
        <f>IFERROR(__xludf.DUMMYFUNCTION("IF(A2427&lt;&gt;"""", GOOGLETRANSLATE(A2427, ""en"", ""te""),"""")"),"")</f>
        <v/>
      </c>
      <c r="C2427" s="2" t="s">
        <v>1723</v>
      </c>
      <c r="D2427" s="2" t="str">
        <f>IFERROR(__xludf.DUMMYFUNCTION("IF(C2427&lt;&gt;"""", GOOGLETRANSLATE(C2427, ""en"", ""te""),"""")"),"[ 'వంద (1108) లేకుండా ఒక వృత్తిలో 40 వ అత్యధిక పరుగులు' '38 వ తొలి డక్ (33) ముందు చాలా ఇన్నింగ్స్]")</f>
        <v>[ 'వంద (1108) లేకుండా ఒక వృత్తిలో 40 వ అత్యధిక పరుగులు' '38 వ తొలి డక్ (33) ముందు చాలా ఇన్నింగ్స్]</v>
      </c>
      <c r="E2427" s="2"/>
      <c r="F2427" s="2" t="str">
        <f>IFERROR(__xludf.DUMMYFUNCTION("IF(E2427&lt;&gt;"""", GOOGLETRANSLATE(E2427, ""en"", ""te""),"""")"),"")</f>
        <v/>
      </c>
      <c r="G2427" s="2"/>
      <c r="H2427" s="2" t="str">
        <f>IFERROR(__xludf.DUMMYFUNCTION("IF(G2427&lt;&gt;"""", GOOGLETRANSLATE(G2427, ""en"", ""te""),"""")"),"")</f>
        <v/>
      </c>
      <c r="I2427" s="3"/>
    </row>
    <row r="2428" customHeight="1" spans="1:9">
      <c r="A2428" s="2" t="s">
        <v>352</v>
      </c>
      <c r="B2428" s="2" t="str">
        <f>IFERROR(__xludf.DUMMYFUNCTION("IF(A2428&lt;&gt;"""", GOOGLETRANSLATE(A2428, ""en"", ""te""),"""")"),"[ 'బ్యాటింగ్ ప్రారంభించుటకు మరియు అదే మ్యాచ్ లో బౌలింగ్']")</f>
        <v>[ 'బ్యాటింగ్ ప్రారంభించుటకు మరియు అదే మ్యాచ్ లో బౌలింగ్']</v>
      </c>
      <c r="C2428" s="2" t="s">
        <v>1724</v>
      </c>
      <c r="D2428" s="2" t="str">
        <f>IFERROR(__xludf.DUMMYFUNCTION("IF(C2428&lt;&gt;"""", GOOGLETRANSLATE(C2428, ""en"", ""te""),"""")"),"[ '22 వ అత్యంత వృద్ధ ఆటగాడు తొలి తీసుకుని ఐదు-వికెట్ల లో-ఒక-ఇన్నింగ్స్ (36y 213d)']")</f>
        <v>[ '22 వ అత్యంత వృద్ధ ఆటగాడు తొలి తీసుకుని ఐదు-వికెట్ల లో-ఒక-ఇన్నింగ్స్ (36y 213d)']</v>
      </c>
      <c r="E2428" s="2"/>
      <c r="F2428" s="2" t="str">
        <f>IFERROR(__xludf.DUMMYFUNCTION("IF(E2428&lt;&gt;"""", GOOGLETRANSLATE(E2428, ""en"", ""te""),"""")"),"")</f>
        <v/>
      </c>
      <c r="G2428" s="2"/>
      <c r="H2428" s="2" t="str">
        <f>IFERROR(__xludf.DUMMYFUNCTION("IF(G2428&lt;&gt;"""", GOOGLETRANSLATE(G2428, ""en"", ""te""),"""")"),"")</f>
        <v/>
      </c>
      <c r="I2428" s="3"/>
    </row>
    <row r="2429" customHeight="1" spans="1:9">
      <c r="A2429" s="2" t="s">
        <v>1725</v>
      </c>
      <c r="B2429" s="2" t="str">
        <f>IFERROR(__xludf.DUMMYFUNCTION("IF(A2429&lt;&gt;"""", GOOGLETRANSLATE(A2429, ""en"", ""te""),"""")"),"[ 'ఒక మ్యాచ్ రిఫరీ గా 5 వ అత్యధిక మ్యాచ్లు (61)', 'హండ్రెడ్ మరియు ఒక మ్యాచ్లో ఒక డక్' 'ఒక ఇన్నింగ్స్లో ద్వారా బ్యాట్ నిదర్శన (58 *)', '5000 పరుగులు మరియు 50 ఫీల్డింగ్ వికెట్లు', '8 వ అత్యధిక మ్యాచ్లు ఒక మ్యాచ్ రిఫరీ గా (146) ',' 10 వ లాంగెస్ట్ వ్యక్తిగత ఇ"&amp;"న్నింగ్స్ (బంతులతో) (168) ',' 6 వ అత్యధిక మ్యాచ్లు ఒక మ్యాచ్ రిఫరీ గా (66) ']")</f>
        <v>[ 'ఒక మ్యాచ్ రిఫరీ గా 5 వ అత్యధిక మ్యాచ్లు (61)', 'హండ్రెడ్ మరియు ఒక మ్యాచ్లో ఒక డక్' 'ఒక ఇన్నింగ్స్లో ద్వారా బ్యాట్ నిదర్శన (58 *)', '5000 పరుగులు మరియు 50 ఫీల్డింగ్ వికెట్లు', '8 వ అత్యధిక మ్యాచ్లు ఒక మ్యాచ్ రిఫరీ గా (146) ',' 10 వ లాంగెస్ట్ వ్యక్తిగత ఇన్నింగ్స్ (బంతులతో) (168) ',' 6 వ అత్యధిక మ్యాచ్లు ఒక మ్యాచ్ రిఫరీ గా (66) ']</v>
      </c>
      <c r="C2429" s="2" t="s">
        <v>1726</v>
      </c>
      <c r="D2429" s="2" t="str">
        <f>IFERROR(__xludf.DUMMYFUNCTION("IF(C2429&lt;&gt;"""", GOOGLETRANSLATE(C2429, ""en"", ""te""),"""")"),"[ '43 వ కెరీర్ లో అత్యధిక పరుగులు (7422)', '46 వ ఒక క్యాలెండర్ సంవత్సరంలో అత్యధిక పరుగులు (1241)', '38 వ ఒక వృత్తిలో అత్యధిక వందలు (21)', '33 వ ఒక జట్టు వ్యతిరేకంగా అత్యధిక వందలు (7)', ' వరుస మ్యాచ్లలో 21 వందల (3) ',' 20 వ కెరీర్ తొంభైల (5) ',' 47 వ కెరీ"&amp;"ర్ అర్ధ (53) ',' 46 వ కెరీర్ ఫోర్లు (822) ',' 49 వ 6000 పరుగులు వేగంగా ( వరుస కెరీర్లో 148) ',' 39 వ అత్యధిక క్యాచ్లు (99) ',' 42 వ అత్యధిక క్యాచ్లు (10) ',' 50 వ అత్యధిక మ్యాచ్లు కెరీర్లో (107) ',' ఒక జట్టుకు 35 వ వరుస మ్యాచ్లు (60) ' 'చాలా 5 వ ఒక మ్యాచ్"&amp;" రిఫరీ (61) గా పేర్కొంటే']")</f>
        <v>[ '43 వ కెరీర్ లో అత్యధిక పరుగులు (7422)', '46 వ ఒక క్యాలెండర్ సంవత్సరంలో అత్యధిక పరుగులు (1241)', '38 వ ఒక వృత్తిలో అత్యధిక వందలు (21)', '33 వ ఒక జట్టు వ్యతిరేకంగా అత్యధిక వందలు (7)', ' వరుస మ్యాచ్లలో 21 వందల (3) ',' 20 వ కెరీర్ తొంభైల (5) ',' 47 వ కెరీర్ అర్ధ (53) ',' 46 వ కెరీర్ ఫోర్లు (822) ',' 49 వ 6000 పరుగులు వేగంగా ( వరుస కెరీర్లో 148) ',' 39 వ అత్యధిక క్యాచ్లు (99) ',' 42 వ అత్యధిక క్యాచ్లు (10) ',' 50 వ అత్యధిక మ్యాచ్లు కెరీర్లో (107) ',' ఒక జట్టుకు 35 వ వరుస మ్యాచ్లు (60) ' 'చాలా 5 వ ఒక మ్యాచ్ రిఫరీ (61) గా పేర్కొంటే']</v>
      </c>
      <c r="E2429" s="2" t="s">
        <v>1727</v>
      </c>
      <c r="F2429" s="2" t="str">
        <f>IFERROR(__xludf.DUMMYFUNCTION("IF(E2429&lt;&gt;"""", GOOGLETRANSLATE(E2429, ""en"", ""te""),"""")"),"[, '36 వ అతి తక్కువ బాతులు కెరీర్ లో (29.5)', '10 వ లాంగెస్ట్ వ్యక్తిగత ఇన్నింగ్స్ (బంతులతో) (168)' 'వరుస ఇన్నింగ్స్ (4) లో 44 వ యాభైల్లో' '50 వ (995) ఒకే మైదానంలో అత్యధిక పరుగులు', '15 వ 2000 పరుగులు (52) వేగంగా', 'ఫాస్టెస్ట్ 50 వ 3000 పరుగులు (91)', '"&amp;"45 వ అత్యంత ప్లేయర్ ఆఫ్' ఫాస్టెస్ట్ 5000 పరుగులు (152) 43 వ ',' 4000 పరుగులు (118) కు 43 వ వేగవంతమైన ' -ది-సిరీస్ అవార్డులు (3) ',' ఒక మ్యాచ్ రిఫరీ (146) వంటి 8 వ అత్యధిక మ్యాచ్లు ']")</f>
        <v>[, '36 వ అతి తక్కువ బాతులు కెరీర్ లో (29.5)', '10 వ లాంగెస్ట్ వ్యక్తిగత ఇన్నింగ్స్ (బంతులతో) (168)' 'వరుస ఇన్నింగ్స్ (4) లో 44 వ యాభైల్లో' '50 వ (995) ఒకే మైదానంలో అత్యధిక పరుగులు', '15 వ 2000 పరుగులు (52) వేగంగా', 'ఫాస్టెస్ట్ 50 వ 3000 పరుగులు (91)', '45 వ అత్యంత ప్లేయర్ ఆఫ్' ఫాస్టెస్ట్ 5000 పరుగులు (152) 43 వ ',' 4000 పరుగులు (118) కు 43 వ వేగవంతమైన ' -ది-సిరీస్ అవార్డులు (3) ',' ఒక మ్యాచ్ రిఫరీ (146) వంటి 8 వ అత్యధిక మ్యాచ్లు ']</v>
      </c>
      <c r="G2429" s="2" t="s">
        <v>1728</v>
      </c>
      <c r="H2429" s="2" t="str">
        <f>IFERROR(__xludf.DUMMYFUNCTION("IF(G2429&lt;&gt;"""", GOOGLETRANSLATE(G2429, ""en"", ""te""),"""")"),"[ '6 వ అత్యంత ఒక మ్యాచ్ రిఫరీ (66) గా పేర్కొంటే']")</f>
        <v>[ '6 వ అత్యంత ఒక మ్యాచ్ రిఫరీ (66) గా పేర్కొంటే']</v>
      </c>
      <c r="I2429" s="3"/>
    </row>
    <row r="2430" customHeight="1" spans="1:9">
      <c r="A2430" s="2" t="s">
        <v>1729</v>
      </c>
      <c r="B2430" s="2" t="str">
        <f>IFERROR(__xludf.DUMMYFUNCTION("IF(A2430&lt;&gt;"""", GOOGLETRANSLATE(A2430, ""en"", ""te""),"""")"),"[ 'ఒక మ్యాచ్లో 2nd అత్యధిక క్యాచ్లు (4)', 'ఎనిమిదవ వికెట్ (112) 3 వ అత్యధిక భాగస్వామ్యం']")</f>
        <v>[ 'ఒక మ్యాచ్లో 2nd అత్యధిక క్యాచ్లు (4)', 'ఎనిమిదవ వికెట్ (112) 3 వ అత్యధిక భాగస్వామ్యం']</v>
      </c>
      <c r="C2430" s="2" t="s">
        <v>1729</v>
      </c>
      <c r="D2430" s="2" t="str">
        <f>IFERROR(__xludf.DUMMYFUNCTION("IF(C2430&lt;&gt;"""", GOOGLETRANSLATE(C2430, ""en"", ""te""),"""")"),"[ 'ఒక మ్యాచ్లో 2nd అత్యధిక క్యాచ్లు (4)', 'ఎనిమిదవ వికెట్ (112) 3 వ అత్యధిక భాగస్వామ్యం']")</f>
        <v>[ 'ఒక మ్యాచ్లో 2nd అత్యధిక క్యాచ్లు (4)', 'ఎనిమిదవ వికెట్ (112) 3 వ అత్యధిక భాగస్వామ్యం']</v>
      </c>
      <c r="E2430" s="2"/>
      <c r="F2430" s="2" t="str">
        <f>IFERROR(__xludf.DUMMYFUNCTION("IF(E2430&lt;&gt;"""", GOOGLETRANSLATE(E2430, ""en"", ""te""),"""")"),"")</f>
        <v/>
      </c>
      <c r="G2430" s="2" t="s">
        <v>1730</v>
      </c>
      <c r="H2430" s="2" t="str">
        <f>IFERROR(__xludf.DUMMYFUNCTION("IF(G2430&lt;&gt;"""", GOOGLETRANSLATE(G2430, ""en"", ""te""),"""")"),"[ 'ఆరవ వికెట్కు 10 వ అత్యధిక భాగస్వామ్యం (56 నాటౌట్)' '18 వ తొలి మ్యాచ్ (43 *) లో అత్యధిక పరుగులు']")</f>
        <v>[ 'ఆరవ వికెట్కు 10 వ అత్యధిక భాగస్వామ్యం (56 నాటౌట్)' '18 వ తొలి మ్యాచ్ (43 *) లో అత్యధిక పరుగులు']</v>
      </c>
      <c r="I2430" s="3"/>
    </row>
    <row r="2431" customHeight="1" spans="1:9">
      <c r="A2431" s="2" t="s">
        <v>1731</v>
      </c>
      <c r="B2431" s="2" t="str">
        <f>IFERROR(__xludf.DUMMYFUNCTION("IF(A2431&lt;&gt;"""", GOOGLETRANSLATE(A2431, ""en"", ""te""),"""")"),"[ 'తొలి 3 వ ఓల్డెస్ట్ క్రీడాకారులు (46y 253d)', '2 వ అత్యంత వృద్ధ ఆటగాడు తొలి తీసుకుని ఐదు-వికెట్ల లో-ఒక-ఇన్నింగ్స్ (46y 268d)']")</f>
        <v>[ 'తొలి 3 వ ఓల్డెస్ట్ క్రీడాకారులు (46y 253d)', '2 వ అత్యంత వృద్ధ ఆటగాడు తొలి తీసుకుని ఐదు-వికెట్ల లో-ఒక-ఇన్నింగ్స్ (46y 268d)']</v>
      </c>
      <c r="C2431" s="2" t="s">
        <v>1732</v>
      </c>
      <c r="D2431" s="2" t="str">
        <f>IFERROR(__xludf.DUMMYFUNCTION("IF(C2431&lt;&gt;"""", GOOGLETRANSLATE(C2431, ""en"", ""te""),"""")"),"[ '2nd అత్యంత వృద్ధ ఆటగాడు (46y 268d) ఐదు వికెట్లు-ఇన్-ఒక-ఇన్నింగ్స్ తీసుకోవాలని', 'తొలి తీసుకోవాలని 2nd అత్యంత వృద్ధ ఆటగాడు ఐదు వికెట్ల లో-ఒక-ఇన్నింగ్స్ (46y 268d)', 'న 3 వ ఓల్డెస్ట్ క్రీడాకారులు ప్రవేశం (46y 253d) ',' 9 వ ఓల్డెస్ట్ క్రీడాకారులు (46y 309"&amp;"d) ']")</f>
        <v>[ '2nd అత్యంత వృద్ధ ఆటగాడు (46y 268d) ఐదు వికెట్లు-ఇన్-ఒక-ఇన్నింగ్స్ తీసుకోవాలని', 'తొలి తీసుకోవాలని 2nd అత్యంత వృద్ధ ఆటగాడు ఐదు వికెట్ల లో-ఒక-ఇన్నింగ్స్ (46y 268d)', 'న 3 వ ఓల్డెస్ట్ క్రీడాకారులు ప్రవేశం (46y 253d) ',' 9 వ ఓల్డెస్ట్ క్రీడాకారులు (46y 309d) ']</v>
      </c>
      <c r="E2431" s="2"/>
      <c r="F2431" s="2" t="str">
        <f>IFERROR(__xludf.DUMMYFUNCTION("IF(E2431&lt;&gt;"""", GOOGLETRANSLATE(E2431, ""en"", ""te""),"""")"),"")</f>
        <v/>
      </c>
      <c r="G2431" s="2"/>
      <c r="H2431" s="2" t="str">
        <f>IFERROR(__xludf.DUMMYFUNCTION("IF(G2431&lt;&gt;"""", GOOGLETRANSLATE(G2431, ""en"", ""te""),"""")"),"")</f>
        <v/>
      </c>
      <c r="I2431" s="3"/>
    </row>
    <row r="2432" customHeight="1" spans="1:9">
      <c r="A2432" s="2"/>
      <c r="B2432" s="2" t="str">
        <f>IFERROR(__xludf.DUMMYFUNCTION("IF(A2432&lt;&gt;"""", GOOGLETRANSLATE(A2432, ""en"", ""te""),"""")"),"")</f>
        <v/>
      </c>
      <c r="C2432" s="2"/>
      <c r="D2432" s="2" t="str">
        <f>IFERROR(__xludf.DUMMYFUNCTION("IF(C2432&lt;&gt;"""", GOOGLETRANSLATE(C2432, ""en"", ""te""),"""")"),"")</f>
        <v/>
      </c>
      <c r="E2432" s="2"/>
      <c r="F2432" s="2" t="str">
        <f>IFERROR(__xludf.DUMMYFUNCTION("IF(E2432&lt;&gt;"""", GOOGLETRANSLATE(E2432, ""en"", ""te""),"""")"),"")</f>
        <v/>
      </c>
      <c r="G2432" s="2"/>
      <c r="H2432" s="2" t="str">
        <f>IFERROR(__xludf.DUMMYFUNCTION("IF(G2432&lt;&gt;"""", GOOGLETRANSLATE(G2432, ""en"", ""te""),"""")"),"")</f>
        <v/>
      </c>
      <c r="I2432" s="3"/>
    </row>
    <row r="2433" customHeight="1" spans="1:9">
      <c r="A2433" s="2"/>
      <c r="B2433" s="2" t="str">
        <f>IFERROR(__xludf.DUMMYFUNCTION("IF(A2433&lt;&gt;"""", GOOGLETRANSLATE(A2433, ""en"", ""te""),"""")"),"")</f>
        <v/>
      </c>
      <c r="C2433" s="2" t="s">
        <v>1733</v>
      </c>
      <c r="D2433" s="2" t="str">
        <f>IFERROR(__xludf.DUMMYFUNCTION("IF(C2433&lt;&gt;"""", GOOGLETRANSLATE(C2433, ""en"", ""te""),"""")"),"[ '13 వ ఇన్నింగ్స్ లో అత్యధిక పరుగులు (బ్యాటింగ్ స్థానంలో ప్రకారం) (128)', 'ఎనిమిదవ వికెట్ (154) కోసం 17 అత్యధిక భాగస్వామ్యం']")</f>
        <v>[ '13 వ ఇన్నింగ్స్ లో అత్యధిక పరుగులు (బ్యాటింగ్ స్థానంలో ప్రకారం) (128)', 'ఎనిమిదవ వికెట్ (154) కోసం 17 అత్యధిక భాగస్వామ్యం']</v>
      </c>
      <c r="E2433" s="2"/>
      <c r="F2433" s="2" t="str">
        <f>IFERROR(__xludf.DUMMYFUNCTION("IF(E2433&lt;&gt;"""", GOOGLETRANSLATE(E2433, ""en"", ""te""),"""")"),"")</f>
        <v/>
      </c>
      <c r="G2433" s="2"/>
      <c r="H2433" s="2" t="str">
        <f>IFERROR(__xludf.DUMMYFUNCTION("IF(G2433&lt;&gt;"""", GOOGLETRANSLATE(G2433, ""en"", ""te""),"""")"),"")</f>
        <v/>
      </c>
      <c r="I2433" s="3"/>
    </row>
    <row r="2434" customHeight="1" spans="1:9">
      <c r="A2434" s="2"/>
      <c r="B2434" s="2" t="str">
        <f>IFERROR(__xludf.DUMMYFUNCTION("IF(A2434&lt;&gt;"""", GOOGLETRANSLATE(A2434, ""en"", ""te""),"""")"),"")</f>
        <v/>
      </c>
      <c r="C2434" s="2"/>
      <c r="D2434" s="2" t="str">
        <f>IFERROR(__xludf.DUMMYFUNCTION("IF(C2434&lt;&gt;"""", GOOGLETRANSLATE(C2434, ""en"", ""te""),"""")"),"")</f>
        <v/>
      </c>
      <c r="E2434" s="2" t="s">
        <v>832</v>
      </c>
      <c r="F2434" s="2" t="str">
        <f>IFERROR(__xludf.DUMMYFUNCTION("IF(E2434&lt;&gt;"""", GOOGLETRANSLATE(E2434, ""en"", ""te""),"""")"),"[ 'తొలి ఇన్నింగ్స్ 15 వ బెస్ట్ ఫిగర్స్ (3)']")</f>
        <v>[ 'తొలి ఇన్నింగ్స్ 15 వ బెస్ట్ ఫిగర్స్ (3)']</v>
      </c>
      <c r="G2434" s="2"/>
      <c r="H2434" s="2" t="str">
        <f>IFERROR(__xludf.DUMMYFUNCTION("IF(G2434&lt;&gt;"""", GOOGLETRANSLATE(G2434, ""en"", ""te""),"""")"),"")</f>
        <v/>
      </c>
      <c r="I2434" s="3"/>
    </row>
    <row r="2435" customHeight="1" spans="1:9">
      <c r="A2435" s="2" t="s">
        <v>1734</v>
      </c>
      <c r="B2435" s="2" t="str">
        <f>IFERROR(__xludf.DUMMYFUNCTION("IF(A2435&lt;&gt;"""", GOOGLETRANSLATE(A2435, ""en"", ""te""),"""")"),"[ 'కెరీర్లో 2 వ అత్యంత జతల (1)', '4 వ కెరీర్లో అత్యధిక మ్యాచ్లు (144)', '1 వ ఇన్నింగ్స్ లో అత్యధిక పరుగులు (బ్యాటింగ్ స్థానంలో ప్రకారం) (90)', '5 వ ఒక క్యాలెండర్ సంవత్సరంలో అత్యధిక వందలు (2 ) ',' 6 వ కెరీర్ తొంభైల (3) ',' 4 వ ఒక సిరీస్లో అత్యధిక క్యాచ్లు"&amp;" (13) ',' పదవ వికెట్కు 1st అత్యధిక భాగస్వామ్యం (76) ',' 4 వ ఇన్నింగ్స్ లో అత్యధిక పరుగులు (బ్యాటింగ్ స్థానంలో ద్వారా ) (40 *) ',' ఆరవ వికెట్ (59 * కోసం 8 వ అత్యధిక భాగస్వామ్యం) ']")</f>
        <v>[ 'కెరీర్లో 2 వ అత్యంత జతల (1)', '4 వ కెరీర్లో అత్యధిక మ్యాచ్లు (144)', '1 వ ఇన్నింగ్స్ లో అత్యధిక పరుగులు (బ్యాటింగ్ స్థానంలో ప్రకారం) (90)', '5 వ ఒక క్యాలెండర్ సంవత్సరంలో అత్యధిక వందలు (2 ) ',' 6 వ కెరీర్ తొంభైల (3) ',' 4 వ ఒక సిరీస్లో అత్యధిక క్యాచ్లు (13) ',' పదవ వికెట్కు 1st అత్యధిక భాగస్వామ్యం (76) ',' 4 వ ఇన్నింగ్స్ లో అత్యధిక పరుగులు (బ్యాటింగ్ స్థానంలో ద్వారా ) (40 *) ',' ఆరవ వికెట్ (59 * కోసం 8 వ అత్యధిక భాగస్వామ్యం) ']</v>
      </c>
      <c r="C2435" s="2" t="s">
        <v>1735</v>
      </c>
      <c r="D2435" s="2" t="str">
        <f>IFERROR(__xludf.DUMMYFUNCTION("IF(C2435&lt;&gt;"""", GOOGLETRANSLATE(C2435, ""en"", ""te""),"""")"),"[ '15 వ అత్యంత వంద (444) లేకుండా ఒక వృత్తిలో పరుగులు', 'కెరీర్ లో 6 వ అత్యంత బాతులు (4)', 'కెరీర్ లో 2 వ పెద్ద జతల (1)', 'ఐదవ వికెట్ (92) కోసం 14 అత్యధిక భాగస్వామ్యం' 'ఒక జట్టుకు 23 వ వరుస మ్యాచ్లు (12)', '14 వ లాంగెస్ట్ కెరీర్లు (14y 270d)']")</f>
        <v>[ '15 వ అత్యంత వంద (444) లేకుండా ఒక వృత్తిలో పరుగులు', 'కెరీర్ లో 6 వ అత్యంత బాతులు (4)', 'కెరీర్ లో 2 వ పెద్ద జతల (1)', 'ఐదవ వికెట్ (92) కోసం 14 అత్యధిక భాగస్వామ్యం' 'ఒక జట్టుకు 23 వ వరుస మ్యాచ్లు (12)', '14 వ లాంగెస్ట్ కెరీర్లు (14y 270d)']</v>
      </c>
      <c r="E2435" s="2" t="s">
        <v>1736</v>
      </c>
      <c r="F2435" s="2" t="str">
        <f>IFERROR(__xludf.DUMMYFUNCTION("IF(E2435&lt;&gt;"""", GOOGLETRANSLATE(E2435, ""en"", ""te""),"""")"),"[ 'వరుస 38 వ అత్యధిక పరుగులు (513)' '12 వ అత్యధిక కెరీర్ లో పరుగులు (3492)', '19 ఒక క్యాలెండర్ సంవత్సరంలో అత్యధిక పరుగులు (644)', '1 వ ఇన్నింగ్స్ లో అత్యధిక పరుగులు (బ్యాటింగ్ స్థానంలో ప్రకారం) ( 90) ',' 40 వ పరాజయం వైపు ఒక మ్యాచ్లో అత్యధిక పరుగులు (90) "&amp;"',' 37 వ ఒకే మైదానంలో అత్యధిక పరుగులు (310) ',' 35 వ అత్యధిక కెరీర్ బ్యాటింగ్ సగటు (36.00) ',' 19 చాలా వందలలో కెరీర్ (3) ',' ఒక క్యాలెండర్ సంవత్సరంలో 5 వ అత్యధిక వందలు (2) ',' 11 వ ఒక జట్టు (2) ',' 25 వ అత్యంత వృద్ధ ఆటగాడు వ్యతిరేకంగా అత్యధిక వందలు వంద ("&amp;"32y 155d) స్కోర్ ',' 6 వ అత్యంత తొంభైల కెరీర్ (3) ',' 12 వ కెరీర్ అర్ధ (28) ',' వరుస ఇన్నింగ్స్లో 28 యాభైల్లో (3) ',' ఒక డక్ లేకుండా 48 వ వరుస ఇన్నింగ్స్ (31) ',' 40 వ కెరీర్ బాతులు (8) ',' 19 వ ఉత్తమ కెరీర్ (10.50) (అర్హత లేకుండా) ',' వరుస ఇన్నింగ్స్ ("&amp;"3) ',' 4 వ అత్యధిక క్యాచ్లు కెరీర్ లో 5 వ అత్యధిక క్యాచ్లు (55) ',' 4 వ అత్యధిక క్యాచ్లు సగటు బౌలింగ్ (13) ',' వికెట్ తేడాతో 11 వ అత్యధిక భాగస్వామ్యాల (10 వ) ',' మొదటి వికెట్కు 40 వ అత్యధిక భాగస్వామ్యం (148) ',' 20 వ అత్యధిక భాగస్వామ్యం ఫో r రెండవ వికెట్ "&amp;"(167) మూడో వికెట్కు ',' 14 వ అత్యధిక భాగస్వామ్యం (154) ',' నాలుగవ వికెట్కు (141 *) 11 వ అత్యధిక భాగస్వామ్యం ',' ఆరవ వికెట్కు 14 అత్యధిక భాగస్వామ్యం (85) ',' ఏడవ వికెట్కు 46 వ అత్యధిక భాగస్వామ్యం (57) ',' పదవ వికెట్కు 1st అత్యధిక భాగస్వామ్యం (76) ',' 4 వ అ"&amp;"త్యధిక మ్యాచ్లు కెరీర్లో (144) ',' ఒక జట్టు కోసం 17 వరుస మ్యాచ్లు (56) ',' 25 లాంగెస్ట్ కెరీర్లు (14y 273d) ']")</f>
        <v>[ 'వరుస 38 వ అత్యధిక పరుగులు (513)' '12 వ అత్యధిక కెరీర్ లో పరుగులు (3492)', '19 ఒక క్యాలెండర్ సంవత్సరంలో అత్యధిక పరుగులు (644)', '1 వ ఇన్నింగ్స్ లో అత్యధిక పరుగులు (బ్యాటింగ్ స్థానంలో ప్రకారం) ( 90) ',' 40 వ పరాజయం వైపు ఒక మ్యాచ్లో అత్యధిక పరుగులు (90) ',' 37 వ ఒకే మైదానంలో అత్యధిక పరుగులు (310) ',' 35 వ అత్యధిక కెరీర్ బ్యాటింగ్ సగటు (36.00) ',' 19 చాలా వందలలో కెరీర్ (3) ',' ఒక క్యాలెండర్ సంవత్సరంలో 5 వ అత్యధిక వందలు (2) ',' 11 వ ఒక జట్టు (2) ',' 25 వ అత్యంత వృద్ధ ఆటగాడు వ్యతిరేకంగా అత్యధిక వందలు వంద (32y 155d) స్కోర్ ',' 6 వ అత్యంత తొంభైల కెరీర్ (3) ',' 12 వ కెరీర్ అర్ధ (28) ',' వరుస ఇన్నింగ్స్లో 28 యాభైల్లో (3) ',' ఒక డక్ లేకుండా 48 వ వరుస ఇన్నింగ్స్ (31) ',' 40 వ కెరీర్ బాతులు (8) ',' 19 వ ఉత్తమ కెరీర్ (10.50) (అర్హత లేకుండా) ',' వరుస ఇన్నింగ్స్ (3) ',' 4 వ అత్యధిక క్యాచ్లు కెరీర్ లో 5 వ అత్యధిక క్యాచ్లు (55) ',' 4 వ అత్యధిక క్యాచ్లు సగటు బౌలింగ్ (13) ',' వికెట్ తేడాతో 11 వ అత్యధిక భాగస్వామ్యాల (10 వ) ',' మొదటి వికెట్కు 40 వ అత్యధిక భాగస్వామ్యం (148) ',' 20 వ అత్యధిక భాగస్వామ్యం ఫో r రెండవ వికెట్ (167) మూడో వికెట్కు ',' 14 వ అత్యధిక భాగస్వామ్యం (154) ',' నాలుగవ వికెట్కు (141 *) 11 వ అత్యధిక భాగస్వామ్యం ',' ఆరవ వికెట్కు 14 అత్యధిక భాగస్వామ్యం (85) ',' ఏడవ వికెట్కు 46 వ అత్యధిక భాగస్వామ్యం (57) ',' పదవ వికెట్కు 1st అత్యధిక భాగస్వామ్యం (76) ',' 4 వ అత్యధిక మ్యాచ్లు కెరీర్లో (144) ',' ఒక జట్టు కోసం 17 వరుస మ్యాచ్లు (56) ',' 25 లాంగెస్ట్ కెరీర్లు (14y 273d) ']</v>
      </c>
      <c r="G2435" s="2" t="s">
        <v>1737</v>
      </c>
      <c r="H2435" s="2" t="str">
        <f>IFERROR(__xludf.DUMMYFUNCTION("IF(G2435&lt;&gt;"""", GOOGLETRANSLATE(G2435, ""en"", ""te""),"""")"),"[ '24 వ కెరీర్ లో అత్యధిక పరుగులు (1314)', 'ఇన్నింగ్స్ లో 4 వ అత్యధిక పరుగులు (బ్యాటింగ్ స్థానంలో ప్రకారం) (40 *)', '21 వ అత్యంత ఇన్నింగ్స్ తొలి డక్ ముందు (18) ',' కెరీర్లో 41 వ అతి తక్కువ బాతులు (16.2 ) ',' 34 వ అత్యంత బాతులు కెరీర్ లో (5) ',' 12 వ అత్యధ"&amp;"ిక క్యాచ్లు కెరీర్లో (33) ',' నాలుగవ వికెట్కు 30 వ అత్యధిక భాగస్వామ్యం (69) ',' ఐదవ వికెట్ (73 కోసం 10 వ అత్యధిక భాగస్వామ్యం) ' 'ఆరవ వికెట్కు 8 వ అత్యధిక భాగస్వామ్యం (59 *)', 'తొమ్మిదవ వికెట్కు 23 అత్యధిక భాగస్వామ్యం (20)', '20 వ కెరీర్ లో అత్యధిక మ్యాచ్ల"&amp;"ు (95)', 'ఒక జట్టుకు 12 వ వరుస మ్యాచ్లు (55) ',' 22 వ అత్యంత కెప్టెన్ (20) గా పేర్కొంటే ']")</f>
        <v>[ '24 వ కెరీర్ లో అత్యధిక పరుగులు (1314)', 'ఇన్నింగ్స్ లో 4 వ అత్యధిక పరుగులు (బ్యాటింగ్ స్థానంలో ప్రకారం) (40 *)', '21 వ అత్యంత ఇన్నింగ్స్ తొలి డక్ ముందు (18) ',' కెరీర్లో 41 వ అతి తక్కువ బాతులు (16.2 ) ',' 34 వ అత్యంత బాతులు కెరీర్ లో (5) ',' 12 వ అత్యధిక క్యాచ్లు కెరీర్లో (33) ',' నాలుగవ వికెట్కు 30 వ అత్యధిక భాగస్వామ్యం (69) ',' ఐదవ వికెట్ (73 కోసం 10 వ అత్యధిక భాగస్వామ్యం) ' 'ఆరవ వికెట్కు 8 వ అత్యధిక భాగస్వామ్యం (59 *)', 'తొమ్మిదవ వికెట్కు 23 అత్యధిక భాగస్వామ్యం (20)', '20 వ కెరీర్ లో అత్యధిక మ్యాచ్లు (95)', 'ఒక జట్టుకు 12 వ వరుస మ్యాచ్లు (55) ',' 22 వ అత్యంత కెప్టెన్ (20) గా పేర్కొంటే ']</v>
      </c>
      <c r="I2435" s="3"/>
    </row>
    <row r="2436" customHeight="1" spans="1:9">
      <c r="A2436" s="2" t="s">
        <v>1738</v>
      </c>
      <c r="B2436" s="2" t="str">
        <f>IFERROR(__xludf.DUMMYFUNCTION("IF(A2436&lt;&gt;"""", GOOGLETRANSLATE(A2436, ""en"", ""te""),"""")"),"[ 'ఇన్నింగ్స్ పూర్తి ద్వారా బ్యాట్ నిదర్శన (206 *)' '8 వ లాంగెస్ట్ క్రీడాకారులు నివసించారు (95y 229d)', '1 వ 99 (199, 299 etc) (99) అవుటయ్యాడు',]")</f>
        <v>[ 'ఇన్నింగ్స్ పూర్తి ద్వారా బ్యాట్ నిదర్శన (206 *)' '8 వ లాంగెస్ట్ క్రీడాకారులు నివసించారు (95y 229d)', '1 వ 99 (199, 299 etc) (99) అవుటయ్యాడు',]</v>
      </c>
      <c r="C2436" s="2" t="s">
        <v>1739</v>
      </c>
      <c r="D2436" s="2" t="str">
        <f>IFERROR(__xludf.DUMMYFUNCTION("IF(C2436&lt;&gt;"""", GOOGLETRANSLATE(C2436, ""en"", ""te""),"""")"),"[ '99 పరుగుల 1st (మరియు 199, 299 etc) (99)', 'మొదటి వికెట్కు 45 వ అత్యధిక భాగస్వామ్యం (233)', '8 వ లాంగెస్ట్ నివసించారు క్రీడాకారులు (95y 229d)']")</f>
        <v>[ '99 పరుగుల 1st (మరియు 199, 299 etc) (99)', 'మొదటి వికెట్కు 45 వ అత్యధిక భాగస్వామ్యం (233)', '8 వ లాంగెస్ట్ నివసించారు క్రీడాకారులు (95y 229d)']</v>
      </c>
      <c r="E2436" s="2"/>
      <c r="F2436" s="2" t="str">
        <f>IFERROR(__xludf.DUMMYFUNCTION("IF(E2436&lt;&gt;"""", GOOGLETRANSLATE(E2436, ""en"", ""te""),"""")"),"")</f>
        <v/>
      </c>
      <c r="G2436" s="2"/>
      <c r="H2436" s="2" t="str">
        <f>IFERROR(__xludf.DUMMYFUNCTION("IF(G2436&lt;&gt;"""", GOOGLETRANSLATE(G2436, ""en"", ""te""),"""")"),"")</f>
        <v/>
      </c>
      <c r="I2436" s="3"/>
    </row>
    <row r="2437" customHeight="1" spans="1:9">
      <c r="A2437" s="2"/>
      <c r="B2437" s="2" t="str">
        <f>IFERROR(__xludf.DUMMYFUNCTION("IF(A2437&lt;&gt;"""", GOOGLETRANSLATE(A2437, ""en"", ""te""),"""")"),"")</f>
        <v/>
      </c>
      <c r="C2437" s="2"/>
      <c r="D2437" s="2" t="str">
        <f>IFERROR(__xludf.DUMMYFUNCTION("IF(C2437&lt;&gt;"""", GOOGLETRANSLATE(C2437, ""en"", ""te""),"""")"),"")</f>
        <v/>
      </c>
      <c r="E2437" s="2"/>
      <c r="F2437" s="2" t="str">
        <f>IFERROR(__xludf.DUMMYFUNCTION("IF(E2437&lt;&gt;"""", GOOGLETRANSLATE(E2437, ""en"", ""te""),"""")"),"")</f>
        <v/>
      </c>
      <c r="G2437" s="2"/>
      <c r="H2437" s="2" t="str">
        <f>IFERROR(__xludf.DUMMYFUNCTION("IF(G2437&lt;&gt;"""", GOOGLETRANSLATE(G2437, ""en"", ""te""),"""")"),"")</f>
        <v/>
      </c>
      <c r="I2437" s="3"/>
    </row>
    <row r="2438" customHeight="1" spans="1:9">
      <c r="A2438" s="2"/>
      <c r="B2438" s="2" t="str">
        <f>IFERROR(__xludf.DUMMYFUNCTION("IF(A2438&lt;&gt;"""", GOOGLETRANSLATE(A2438, ""en"", ""te""),"""")"),"")</f>
        <v/>
      </c>
      <c r="C2438" s="2"/>
      <c r="D2438" s="2" t="str">
        <f>IFERROR(__xludf.DUMMYFUNCTION("IF(C2438&lt;&gt;"""", GOOGLETRANSLATE(C2438, ""en"", ""te""),"""")"),"")</f>
        <v/>
      </c>
      <c r="E2438" s="2"/>
      <c r="F2438" s="2" t="str">
        <f>IFERROR(__xludf.DUMMYFUNCTION("IF(E2438&lt;&gt;"""", GOOGLETRANSLATE(E2438, ""en"", ""te""),"""")"),"")</f>
        <v/>
      </c>
      <c r="G2438" s="2"/>
      <c r="H2438" s="2" t="str">
        <f>IFERROR(__xludf.DUMMYFUNCTION("IF(G2438&lt;&gt;"""", GOOGLETRANSLATE(G2438, ""en"", ""te""),"""")"),"")</f>
        <v/>
      </c>
      <c r="I2438" s="3"/>
    </row>
    <row r="2439" customHeight="1" spans="1:9">
      <c r="A2439" s="2"/>
      <c r="B2439" s="2" t="str">
        <f>IFERROR(__xludf.DUMMYFUNCTION("IF(A2439&lt;&gt;"""", GOOGLETRANSLATE(A2439, ""en"", ""te""),"""")"),"")</f>
        <v/>
      </c>
      <c r="C2439" s="2"/>
      <c r="D2439" s="2" t="str">
        <f>IFERROR(__xludf.DUMMYFUNCTION("IF(C2439&lt;&gt;"""", GOOGLETRANSLATE(C2439, ""en"", ""te""),"""")"),"")</f>
        <v/>
      </c>
      <c r="E2439" s="2"/>
      <c r="F2439" s="2" t="str">
        <f>IFERROR(__xludf.DUMMYFUNCTION("IF(E2439&lt;&gt;"""", GOOGLETRANSLATE(E2439, ""en"", ""te""),"""")"),"")</f>
        <v/>
      </c>
      <c r="G2439" s="2"/>
      <c r="H2439" s="2" t="str">
        <f>IFERROR(__xludf.DUMMYFUNCTION("IF(G2439&lt;&gt;"""", GOOGLETRANSLATE(G2439, ""en"", ""te""),"""")"),"")</f>
        <v/>
      </c>
      <c r="I2439" s="3"/>
    </row>
    <row r="2440" customHeight="1" spans="1:9">
      <c r="A2440" s="2"/>
      <c r="B2440" s="2" t="str">
        <f>IFERROR(__xludf.DUMMYFUNCTION("IF(A2440&lt;&gt;"""", GOOGLETRANSLATE(A2440, ""en"", ""te""),"""")"),"")</f>
        <v/>
      </c>
      <c r="C2440" s="2"/>
      <c r="D2440" s="2" t="str">
        <f>IFERROR(__xludf.DUMMYFUNCTION("IF(C2440&lt;&gt;"""", GOOGLETRANSLATE(C2440, ""en"", ""te""),"""")"),"")</f>
        <v/>
      </c>
      <c r="E2440" s="2"/>
      <c r="F2440" s="2" t="str">
        <f>IFERROR(__xludf.DUMMYFUNCTION("IF(E2440&lt;&gt;"""", GOOGLETRANSLATE(E2440, ""en"", ""te""),"""")"),"")</f>
        <v/>
      </c>
      <c r="G2440" s="2"/>
      <c r="H2440" s="2" t="str">
        <f>IFERROR(__xludf.DUMMYFUNCTION("IF(G2440&lt;&gt;"""", GOOGLETRANSLATE(G2440, ""en"", ""te""),"""")"),"")</f>
        <v/>
      </c>
      <c r="I2440" s="3"/>
    </row>
    <row r="2441" customHeight="1" spans="1:9">
      <c r="A2441" s="2"/>
      <c r="B2441" s="2" t="str">
        <f>IFERROR(__xludf.DUMMYFUNCTION("IF(A2441&lt;&gt;"""", GOOGLETRANSLATE(A2441, ""en"", ""te""),"""")"),"")</f>
        <v/>
      </c>
      <c r="C2441" s="2"/>
      <c r="D2441" s="2" t="str">
        <f>IFERROR(__xludf.DUMMYFUNCTION("IF(C2441&lt;&gt;"""", GOOGLETRANSLATE(C2441, ""en"", ""te""),"""")"),"")</f>
        <v/>
      </c>
      <c r="E2441" s="2"/>
      <c r="F2441" s="2" t="str">
        <f>IFERROR(__xludf.DUMMYFUNCTION("IF(E2441&lt;&gt;"""", GOOGLETRANSLATE(E2441, ""en"", ""te""),"""")"),"")</f>
        <v/>
      </c>
      <c r="G2441" s="2"/>
      <c r="H2441" s="2" t="str">
        <f>IFERROR(__xludf.DUMMYFUNCTION("IF(G2441&lt;&gt;"""", GOOGLETRANSLATE(G2441, ""en"", ""te""),"""")"),"")</f>
        <v/>
      </c>
      <c r="I2441" s="3"/>
    </row>
    <row r="2442" customHeight="1" spans="1:9">
      <c r="A2442" s="2"/>
      <c r="B2442" s="2" t="str">
        <f>IFERROR(__xludf.DUMMYFUNCTION("IF(A2442&lt;&gt;"""", GOOGLETRANSLATE(A2442, ""en"", ""te""),"""")"),"")</f>
        <v/>
      </c>
      <c r="C2442" s="2"/>
      <c r="D2442" s="2" t="str">
        <f>IFERROR(__xludf.DUMMYFUNCTION("IF(C2442&lt;&gt;"""", GOOGLETRANSLATE(C2442, ""en"", ""te""),"""")"),"")</f>
        <v/>
      </c>
      <c r="E2442" s="2"/>
      <c r="F2442" s="2" t="str">
        <f>IFERROR(__xludf.DUMMYFUNCTION("IF(E2442&lt;&gt;"""", GOOGLETRANSLATE(E2442, ""en"", ""te""),"""")"),"")</f>
        <v/>
      </c>
      <c r="G2442" s="2"/>
      <c r="H2442" s="2" t="str">
        <f>IFERROR(__xludf.DUMMYFUNCTION("IF(G2442&lt;&gt;"""", GOOGLETRANSLATE(G2442, ""en"", ""te""),"""")"),"")</f>
        <v/>
      </c>
      <c r="I2442" s="3"/>
    </row>
    <row r="2443" customHeight="1" spans="1:9">
      <c r="A2443" s="2" t="s">
        <v>1740</v>
      </c>
      <c r="B2443" s="2" t="str">
        <f>IFERROR(__xludf.DUMMYFUNCTION("IF(A2443&lt;&gt;"""", GOOGLETRANSLATE(A2443, ""en"", ""te""),"""")"),"[ 'ఒక మ్యాచ్లో 5 వ అత్యధిక పరుగులు (380)' 'ఒక మ్యాచ్లో ప్రతి ఇన్నింగ్స్లో హండ్రెడ్' 'ప్రవేశం (108) పై హండ్రెడ్', 'వరుస ఇన్నింగ్స్ (6) లో 7 వ యాభైల్లో', '2 వ అత్యంత వరుస క్యాచ్లు (14) ',' 5000 పరుగులు మరియు 50 ఫీల్డింగ్ వికెట్లు ',' 1 వ వరుస అన్ని టాస్ గ"&amp;"ెలిచిన (3) ',' ఒక కెప్టెన్ ద్వారా ఒక సిరీస్లో 1st అత్యధిక పరుగులు (686) ',' 1st ఒక సిరీస్లో అత్యధిక బాతులు ( 4) ',' 1 వ అత్యుత్తమ బౌలింగ్ ఇన్నింగ్స్ లో విశ్లేషించడం (1/0) ',' 250 పరుగులు మరియు ఒక సిరీస్ ',' వరుస ఇన్నింగ్స్లో 10 వ యాభైల్లో (6) ',' 4 వ అత్"&amp;"యధిక వరుస బాతులు (4) లో 10 వికెట్లు ' ]")</f>
        <v>[ 'ఒక మ్యాచ్లో 5 వ అత్యధిక పరుగులు (380)' 'ఒక మ్యాచ్లో ప్రతి ఇన్నింగ్స్లో హండ్రెడ్' 'ప్రవేశం (108) పై హండ్రెడ్', 'వరుస ఇన్నింగ్స్ (6) లో 7 వ యాభైల్లో', '2 వ అత్యంత వరుస క్యాచ్లు (14) ',' 5000 పరుగులు మరియు 50 ఫీల్డింగ్ వికెట్లు ',' 1 వ వరుస అన్ని టాస్ గెలిచిన (3) ',' ఒక కెప్టెన్ ద్వారా ఒక సిరీస్లో 1st అత్యధిక పరుగులు (686) ',' 1st ఒక సిరీస్లో అత్యధిక బాతులు ( 4) ',' 1 వ అత్యుత్తమ బౌలింగ్ ఇన్నింగ్స్ లో విశ్లేషించడం (1/0) ',' 250 పరుగులు మరియు ఒక సిరీస్ ',' వరుస ఇన్నింగ్స్లో 10 వ యాభైల్లో (6) ',' 4 వ అత్యధిక వరుస బాతులు (4) లో 10 వికెట్లు ' ]</v>
      </c>
      <c r="C2443" s="2" t="s">
        <v>1741</v>
      </c>
      <c r="D2443" s="2" t="str">
        <f>IFERROR(__xludf.DUMMYFUNCTION("IF(C2443&lt;&gt;"""", GOOGLETRANSLATE(C2443, ""en"", ""te""),"""")"),"[ 'ఒక మ్యాచ్లో 5 వ అత్యధిక పరుగులు (380)', '33 వ ఒక సిరీస్లో అత్యధిక పరుగులు (702)', ఒక నాయకుడు ఒక సిరీస్లో, '8 వ అత్యధిక పరుగులు' ఒకే క్రీడా (1257) లో 38 వ అత్యధిక పరుగులు '(702 ) ',' ఒక కెప్టెన్తో ఇన్నింగ్స్ లో 31 అత్యధిక పరుగులు (235) ',' 22 వ అత్యధిక "&amp;"కెరీర్ బ్యాటింగ్ సగటు (53.86) ',' గత మ్యాచ్లో 25 హండ్రెడ్ (182) ',' 23 ఒక వృత్తిలో అత్యధిక వందలు (24) ',' ఒక కెరీర్ లో 17 వ అత్యంత డబుల్ సెంచరీలు ఒకటి జట్టుతో (4) ',' 9 వ అత్యధిక వందలు (9) ',' 39 వ అత్యంత అర్ధ కెరీర్లో (55) ',' వరుస ఇన్నింగ్స్లో 7 వ యాభై"&amp;"ల్లో (6) ',' 35 వ వేగవంతమైన 2000 పరుగులు (44) ',' ఫాస్టెస్ట్ 3000 పరుగులు 27 (65) ',' 24 వ వేగవంతమైన 4000 పరుగులు (87) ',' 17 వ 5000 వేగంగా పరుగులు (106) ',' 6000 పరుగులు 24 వేగవంతమైన ( 129) ',' ఫాస్టెస్ట్ 7000 పరుగులు (కు 22 151) ',' ఇన్నింగ్స్ లో 16 "&amp;"వ ఉత్తమ ఆర్థిక రేటు (0.45) ',' 38 వ చెత్త కెరీర్లో సమ్మె రేటు (113.3) ',' 20 వ కెరీర్ లో అత్యధిక క్యాచ్లు (122) ', , '(7) ఒక మ్యాచ్లో 2nd అత్యధిక క్యాచ్లు' 'వరుస 2 వ అత్యధిక క్యాచ్లు (14)', '20 వ అత్యధిక మ్యాచ్లు కెప్టెన్గా (48)', '23 వ వరుస (3) లో అన్ని "&amp;"టాస్ గెలిచి']")</f>
        <v>[ 'ఒక మ్యాచ్లో 5 వ అత్యధిక పరుగులు (380)', '33 వ ఒక సిరీస్లో అత్యధిక పరుగులు (702)', ఒక నాయకుడు ఒక సిరీస్లో, '8 వ అత్యధిక పరుగులు' ఒకే క్రీడా (1257) లో 38 వ అత్యధిక పరుగులు '(702 ) ',' ఒక కెప్టెన్తో ఇన్నింగ్స్ లో 31 అత్యధిక పరుగులు (235) ',' 22 వ అత్యధిక కెరీర్ బ్యాటింగ్ సగటు (53.86) ',' గత మ్యాచ్లో 25 హండ్రెడ్ (182) ',' 23 ఒక వృత్తిలో అత్యధిక వందలు (24) ',' ఒక కెరీర్ లో 17 వ అత్యంత డబుల్ సెంచరీలు ఒకటి జట్టుతో (4) ',' 9 వ అత్యధిక వందలు (9) ',' 39 వ అత్యంత అర్ధ కెరీర్లో (55) ',' వరుస ఇన్నింగ్స్లో 7 వ యాభైల్లో (6) ',' 35 వ వేగవంతమైన 2000 పరుగులు (44) ',' ఫాస్టెస్ట్ 3000 పరుగులు 27 (65) ',' 24 వ వేగవంతమైన 4000 పరుగులు (87) ',' 17 వ 5000 వేగంగా పరుగులు (106) ',' 6000 పరుగులు 24 వేగవంతమైన ( 129) ',' ఫాస్టెస్ట్ 7000 పరుగులు (కు 22 151) ',' ఇన్నింగ్స్ లో 16 వ ఉత్తమ ఆర్థిక రేటు (0.45) ',' 38 వ చెత్త కెరీర్లో సమ్మె రేటు (113.3) ',' 20 వ కెరీర్ లో అత్యధిక క్యాచ్లు (122) ', , '(7) ఒక మ్యాచ్లో 2nd అత్యధిక క్యాచ్లు' 'వరుస 2 వ అత్యధిక క్యాచ్లు (14)', '20 వ అత్యధిక మ్యాచ్లు కెప్టెన్గా (48)', '23 వ వరుస (3) లో అన్ని టాస్ గెలిచి']</v>
      </c>
      <c r="E2443" s="2" t="s">
        <v>1742</v>
      </c>
      <c r="F2443" s="2" t="str">
        <f>IFERROR(__xludf.DUMMYFUNCTION("IF(E2443&lt;&gt;"""", GOOGLETRANSLATE(E2443, ""en"", ""te""),"""")"),"[ 'వరుస 1 వ అత్యధిక పరుగులు (686)', 'ఒక కెప్టెన్ ద్వారా ఒక సిరీస్లో 1st అత్యధిక పరుగులు (686)', 'ఒక కెప్టెన్తో ఇన్నింగ్స్ లో 35 వ అత్యధిక పరుగులు (138 *)', '1st చాలా బాతులు సిరీస్ (4) ',' ఒక ఇన్నింగ్స్లో పరుగుల 35 వ అత్యధిక శాతం (55.67) ',' ఫాస్టెస్ట్ 100"&amp;"0 పరుగులు 20 (26) ',' 24 వ వేగవంతమైన 2000 పరుగులు (54) ',' 10th ఒక సిరీస్లో అత్యధిక వికెట్లు (22) ',' 1 వ అత్యుత్తమ బౌలింగ్ ఇన్నింగ్స్ (1/0) ',' ఒకే మైదానంలో 43 వ అత్యధిక వికెట్లు (32) ',' ఒక కెప్టెన్తో ఒక ఇన్నింగ్స్ లో 6 వ ఉత్తమ బొమ్మలు (5) ',' 14 వ వి"&amp;"శ్లేషణలలో ఒక ఇన్నింగ్స్ లోని బెస్ట్ ఫిగర్స్ పరాజయం వైపు (5) ',' 43 వ అత్యంత ఐదు-వికెట్ల లో-ఒక-ఇన్నింగ్స్ కెరీర్లో (2) ',' తీసుకోవాలని 37 వ అత్యంత వృద్ధ ఆటగాడు ఉన్నప్పుడు ఐదుగురు వికెట్ల లో-ఒక-ఇన్నింగ్స్ (32y 154d) ',' 1 వ వరుస (3) లో అన్ని టాస్ గెలిచి ']")</f>
        <v>[ 'వరుస 1 వ అత్యధిక పరుగులు (686)', 'ఒక కెప్టెన్ ద్వారా ఒక సిరీస్లో 1st అత్యధిక పరుగులు (686)', 'ఒక కెప్టెన్తో ఇన్నింగ్స్ లో 35 వ అత్యధిక పరుగులు (138 *)', '1st చాలా బాతులు సిరీస్ (4) ',' ఒక ఇన్నింగ్స్లో పరుగుల 35 వ అత్యధిక శాతం (55.67) ',' ఫాస్టెస్ట్ 1000 పరుగులు 20 (26) ',' 24 వ వేగవంతమైన 2000 పరుగులు (54) ',' 10th ఒక సిరీస్లో అత్యధిక వికెట్లు (22) ',' 1 వ అత్యుత్తమ బౌలింగ్ ఇన్నింగ్స్ (1/0) ',' ఒకే మైదానంలో 43 వ అత్యధిక వికెట్లు (32) ',' ఒక కెప్టెన్తో ఒక ఇన్నింగ్స్ లో 6 వ ఉత్తమ బొమ్మలు (5) ',' 14 వ విశ్లేషణలలో ఒక ఇన్నింగ్స్ లోని బెస్ట్ ఫిగర్స్ పరాజయం వైపు (5) ',' 43 వ అత్యంత ఐదు-వికెట్ల లో-ఒక-ఇన్నింగ్స్ కెరీర్లో (2) ',' తీసుకోవాలని 37 వ అత్యంత వృద్ధ ఆటగాడు ఉన్నప్పుడు ఐదుగురు వికెట్ల లో-ఒక-ఇన్నింగ్స్ (32y 154d) ',' 1 వ వరుస (3) లో అన్ని టాస్ గెలిచి ']</v>
      </c>
      <c r="G2443" s="2"/>
      <c r="H2443" s="2" t="str">
        <f>IFERROR(__xludf.DUMMYFUNCTION("IF(G2443&lt;&gt;"""", GOOGLETRANSLATE(G2443, ""en"", ""te""),"""")"),"")</f>
        <v/>
      </c>
      <c r="I2443" s="3"/>
    </row>
    <row r="2444" customHeight="1" spans="1:9">
      <c r="A2444" s="2" t="s">
        <v>1743</v>
      </c>
      <c r="B2444" s="2" t="str">
        <f>IFERROR(__xludf.DUMMYFUNCTION("IF(A2444&lt;&gt;"""", GOOGLETRANSLATE(A2444, ""en"", ""te""),"""")"),"[ '1st ఇన్నింగ్స్ లో అత్యధిక పరుగులు (బ్యాటింగ్ స్థానంలో ప్రకారం) (329 *)', 'హండ్రెడ్ ప్రవేశం (151) న', '2 వ అత్యధిక డబుల్ వందల వరుస (2)', 'హండ్రెడ్ మరియు ఒక మ్యాచ్లో ఒక డక్' '4 వ అత్యుత్తమ బౌలింగ్ ఇన్నింగ్స్ లో విశ్లేషించడం (6/9)', '5000 పరుగులు మరియు 50"&amp;" ఫీల్డింగ్ వికెట్లు', 'ఐదవ వికెట్కు 7 వ అత్యధిక భాగస్వామ్యం (334 *)', 'నాటౌట్ 99 (199, 299 etc) (99 *) ',' 2 వ అత్యధిక క్యాచ్లు ఒక ఇన్నింగ్స్ లో (4) ',' 1000 పరుగులు, 50 వికెట్లు, 50 క్యాచ్లు ',' 5000 పరుగులు మరియు 50 ఫీల్డింగ్ వికెట్లు ',' కెరీర్లో 8 వ అ"&amp;"త్యంత తొంభైల (11) ']")</f>
        <v>[ '1st ఇన్నింగ్స్ లో అత్యధిక పరుగులు (బ్యాటింగ్ స్థానంలో ప్రకారం) (329 *)', 'హండ్రెడ్ ప్రవేశం (151) న', '2 వ అత్యధిక డబుల్ వందల వరుస (2)', 'హండ్రెడ్ మరియు ఒక మ్యాచ్లో ఒక డక్' '4 వ అత్యుత్తమ బౌలింగ్ ఇన్నింగ్స్ లో విశ్లేషించడం (6/9)', '5000 పరుగులు మరియు 50 ఫీల్డింగ్ వికెట్లు', 'ఐదవ వికెట్కు 7 వ అత్యధిక భాగస్వామ్యం (334 *)', 'నాటౌట్ 99 (199, 299 etc) (99 *) ',' 2 వ అత్యధిక క్యాచ్లు ఒక ఇన్నింగ్స్ లో (4) ',' 1000 పరుగులు, 50 వికెట్లు, 50 క్యాచ్లు ',' 5000 పరుగులు మరియు 50 ఫీల్డింగ్ వికెట్లు ',' కెరీర్లో 8 వ అత్యంత తొంభైల (11) ']</v>
      </c>
      <c r="C2444" s="2" t="s">
        <v>1744</v>
      </c>
      <c r="D2444" s="2" t="str">
        <f>IFERROR(__xludf.DUMMYFUNCTION("IF(C2444&lt;&gt;"""", GOOGLETRANSLATE(C2444, ""en"", ""te""),"""")"),"[ 'ఇన్నింగ్స్ (329 *) 15 వ అత్యధిక పరుగులు' '21 వ అత్యధిక కెరీర్ లో పరుగులు (8643) ',' ఒక మ్యాచ్లో 27 అత్యధిక పరుగులు (329) ',' 4 వ ఒక క్యాలెండర్ సంవత్సరంలో అత్యధిక పరుగులు (1595) ', 'ఒకే మైదానంలో 20 వ అత్యధిక పరుగులు (1414)' '1 వ అత్యంత ఇన్నింగ్స్ లో పర"&amp;"ుగులు (బ్యాటింగ్ స్థానంలో ప్రకారం) (329 *)', 'ఒక రోజు లో 14 వ అత్యధిక పరుగులు (224)', '15 వ ఒక సిరీస్లో అత్యధిక పరుగులు ఒక కెప్టెన్తో (626) ',' ఒక కెప్టెన్తో ఇన్నింగ్స్ లో 5 వ అత్యధిక పరుగులు (329 *) ',' 49 వ అత్యధిక కెరీర్ బ్యాటింగ్ సగటు (49.10) ',' 29th"&amp;" తొలి మ్యాచ్లో అత్యధిక పరుగులు (168) ',' 15 వ అత్యంత ఒక వృత్తిలో వందల (28) ',' ఒక కెరీర్ లో 17 వ అత్యధిక డబుల్ సెంచరీలు (4) ',' వరుస (1) ',' 2 వ అత్యధిక డబుల్ వందల వృత్తిలో 5 వ అత్యధిక ట్రిపుల్ సెంచరీలు (2) ',' 19 ఒక క్యాలెండర్ సంవత్సరంలో అత్యధిక వందలు (5"&amp;") ',' 33 వ ఒక జట్టు వ్యతిరేకంగా అత్యధిక వందలు (7) ',' 20 వ కెరీర్ తొంభైల (5) ',' 39 వ అత్యంత అర్ధ కెరీర్లో (55) ',' 8 వ అత్యంత ఇన్నింగ్స్ ముందు మొదటి డక్ (46) ',' 25 వ కెరీర్ ఫోర్లు (978) ',' 14 వ ఇన్నింగ్స్ లో వచ్చిన ఎక్కువ ఫోర్లు (40) ',' 23 ఫోర్లు, సి"&amp;"క్సర్లు నుండి అత్యధిక పరుగులు ఇన్నింగ్స్ లో (166) ',' 45 వ వేగంగా 3000 పరుగులు (69) ',' 50th 5000 పరుగులు (120) ',' ఫాస్టెస్ట్ 34 వ 6000 పరుగులు (135) ',' 19 వ వేగంగా వేగంగా 7000 పరుగులు (149) ',' 15 వ 8000 పరుగులు (172) వేగంగా ' '4 వ అత్యుత్తమ బౌలింగ్ ఇన"&amp;"్నింగ్స్ లో విశ్లేషించడం (6/9)', 'ఇన్నింగ్స్ లో 11 వ ఉత్తమ సమ్మె రేటు (6.3)', '15 వ కెరీర్ లో అత్యధిక క్యాచ్లు (134)', ఐదవ వికెట్కు '7th అత్యధిక భాగస్వామ్యం (334 *) ',' ఆరవ వికెట్కు 34 వ అత్యధిక భాగస్వామ్యం (216) ',' ఏడవ వికెట్కు 44 వ అత్యధిక భాగస్వామ్యం "&amp;"(163) ',' 37 వ అత్యధిక కెరీర్ లో మ్యాచ్లు (115) ',' ఒక జట్టుకు 39 వ వరుస మ్యాచ్లు ( 59) ',' 12 వ అత్యంత ప్లేయర్ ఆఫ్ ది సిరీస్ అవార్డులు (5) ',' 22 వ అత్యధిక మ్యాచ్లు కెప్టెన్గా (47) ',' 38 వ వరుస మ్యాచ్లు ఒక జట్టు కెప్టెన్గా (24) ',' 47 వ అన్ని విన్నింగ్ "&amp;"వరుస పొడుస్తాడు (3) ']")</f>
        <v>[ 'ఇన్నింగ్స్ (329 *) 15 వ అత్యధిక పరుగులు' '21 వ అత్యధిక కెరీర్ లో పరుగులు (8643) ',' ఒక మ్యాచ్లో 27 అత్యధిక పరుగులు (329) ',' 4 వ ఒక క్యాలెండర్ సంవత్సరంలో అత్యధిక పరుగులు (1595) ', 'ఒకే మైదానంలో 20 వ అత్యధిక పరుగులు (1414)' '1 వ అత్యంత ఇన్నింగ్స్ లో పరుగులు (బ్యాటింగ్ స్థానంలో ప్రకారం) (329 *)', 'ఒక రోజు లో 14 వ అత్యధిక పరుగులు (224)', '15 వ ఒక సిరీస్లో అత్యధిక పరుగులు ఒక కెప్టెన్తో (626) ',' ఒక కెప్టెన్తో ఇన్నింగ్స్ లో 5 వ అత్యధిక పరుగులు (329 *) ',' 49 వ అత్యధిక కెరీర్ బ్యాటింగ్ సగటు (49.10) ',' 29th తొలి మ్యాచ్లో అత్యధిక పరుగులు (168) ',' 15 వ అత్యంత ఒక వృత్తిలో వందల (28) ',' ఒక కెరీర్ లో 17 వ అత్యధిక డబుల్ సెంచరీలు (4) ',' వరుస (1) ',' 2 వ అత్యధిక డబుల్ వందల వృత్తిలో 5 వ అత్యధిక ట్రిపుల్ సెంచరీలు (2) ',' 19 ఒక క్యాలెండర్ సంవత్సరంలో అత్యధిక వందలు (5) ',' 33 వ ఒక జట్టు వ్యతిరేకంగా అత్యధిక వందలు (7) ',' 20 వ కెరీర్ తొంభైల (5) ',' 39 వ అత్యంత అర్ధ కెరీర్లో (55) ',' 8 వ అత్యంత ఇన్నింగ్స్ ముందు మొదటి డక్ (46) ',' 25 వ కెరీర్ ఫోర్లు (978) ',' 14 వ ఇన్నింగ్స్ లో వచ్చిన ఎక్కువ ఫోర్లు (40) ',' 23 ఫోర్లు, సిక్సర్లు నుండి అత్యధిక పరుగులు ఇన్నింగ్స్ లో (166) ',' 45 వ వేగంగా 3000 పరుగులు (69) ',' 50th 5000 పరుగులు (120) ',' ఫాస్టెస్ట్ 34 వ 6000 పరుగులు (135) ',' 19 వ వేగంగా వేగంగా 7000 పరుగులు (149) ',' 15 వ 8000 పరుగులు (172) వేగంగా ' '4 వ అత్యుత్తమ బౌలింగ్ ఇన్నింగ్స్ లో విశ్లేషించడం (6/9)', 'ఇన్నింగ్స్ లో 11 వ ఉత్తమ సమ్మె రేటు (6.3)', '15 వ కెరీర్ లో అత్యధిక క్యాచ్లు (134)', ఐదవ వికెట్కు '7th అత్యధిక భాగస్వామ్యం (334 *) ',' ఆరవ వికెట్కు 34 వ అత్యధిక భాగస్వామ్యం (216) ',' ఏడవ వికెట్కు 44 వ అత్యధిక భాగస్వామ్యం (163) ',' 37 వ అత్యధిక కెరీర్ లో మ్యాచ్లు (115) ',' ఒక జట్టుకు 39 వ వరుస మ్యాచ్లు ( 59) ',' 12 వ అత్యంత ప్లేయర్ ఆఫ్ ది సిరీస్ అవార్డులు (5) ',' 22 వ అత్యధిక మ్యాచ్లు కెప్టెన్గా (47) ',' 38 వ వరుస మ్యాచ్లు ఒక జట్టు కెప్టెన్గా (24) ',' 47 వ అన్ని విన్నింగ్ వరుస పొడుస్తాడు (3) ']</v>
      </c>
      <c r="E2444" s="2" t="s">
        <v>1745</v>
      </c>
      <c r="F2444" s="2" t="str">
        <f>IFERROR(__xludf.DUMMYFUNCTION("IF(E2444&lt;&gt;"""", GOOGLETRANSLATE(E2444, ""en"", ""te""),"""")"),"[ 'ఒకే మైదానంలో 47 వ అత్యధిక పరుగులు (1014)' '33 వ అత్యధిక కెరీర్ లో పరుగులు (7981)', 'ఒక సిరీస్లో ఒక కెప్టెన్తో 50 వ అత్యధిక పరుగులు (331)', '34 వ అత్యధిక కెరీర్ బ్యాటింగ్ సగటు (44.58)' 'కెరీర్లో 8 వ అత్యంత తొంభైల (6)', '25 వ అత్యంత అర్ధ కెరీర్లో (66)'"&amp;", 'ఒక డక్ లేకుండా 40 వ వరుస ఇన్నింగ్స్ (65 *)', '37 వ అత్యంత ఫోర్లు కెరీర్లో (665)', '50 వ వేగవంతమైన 3000 పరుగులు (91) ',' 47 వ 4000 పరుగులు (120) ',' ఫాస్టెస్ట్ 39 వ 5000 పరుగులు (148) ',' 26 కు వేగవంతమైన వేగవంతమైన వరకు 6000 పరుగులు (174) ',' 15 వ 700"&amp;"0 పరుగులు వేగంగా (195 ) ',' 14 వ ఒక ఇన్నింగ్స్ లోని బెస్ట్ ఫిగర్స్ ఉన్నప్పుడు పరాజయం వైపు (5) ',' 26 వ అధిక ఇన్నింగ్స్ లో కెరీర్ లో క్యాచ్లు (106) ',' 2 వ అత్యధిక క్యాచ్లు (4) నాలుగో ',' 14 వ అత్యధిక భాగస్వామ్యం వికెట్ (204) ',' ఆరవ వికెట్ (136 *) 24 అత్"&amp;"యధిక భాగస్వామ్యం ',' 46 వ కెరీర్ లో అత్యధిక మ్యాచ్లు (245) ',' 45 వ అత్యంత ప్లేయర్ ఆఫ్ ది సిరీస్ అవార్డులు (3) ',' 33 వ అత్యంత కెప్టెన్ (74) గా పేర్కొంటే ']")</f>
        <v>[ 'ఒకే మైదానంలో 47 వ అత్యధిక పరుగులు (1014)' '33 వ అత్యధిక కెరీర్ లో పరుగులు (7981)', 'ఒక సిరీస్లో ఒక కెప్టెన్తో 50 వ అత్యధిక పరుగులు (331)', '34 వ అత్యధిక కెరీర్ బ్యాటింగ్ సగటు (44.58)' 'కెరీర్లో 8 వ అత్యంత తొంభైల (6)', '25 వ అత్యంత అర్ధ కెరీర్లో (66)', 'ఒక డక్ లేకుండా 40 వ వరుస ఇన్నింగ్స్ (65 *)', '37 వ అత్యంత ఫోర్లు కెరీర్లో (665)', '50 వ వేగవంతమైన 3000 పరుగులు (91) ',' 47 వ 4000 పరుగులు (120) ',' ఫాస్టెస్ట్ 39 వ 5000 పరుగులు (148) ',' 26 కు వేగవంతమైన వేగవంతమైన వరకు 6000 పరుగులు (174) ',' 15 వ 7000 పరుగులు వేగంగా (195 ) ',' 14 వ ఒక ఇన్నింగ్స్ లోని బెస్ట్ ఫిగర్స్ ఉన్నప్పుడు పరాజయం వైపు (5) ',' 26 వ అధిక ఇన్నింగ్స్ లో కెరీర్ లో క్యాచ్లు (106) ',' 2 వ అత్యధిక క్యాచ్లు (4) నాలుగో ',' 14 వ అత్యధిక భాగస్వామ్యం వికెట్ (204) ',' ఆరవ వికెట్ (136 *) 24 అత్యధిక భాగస్వామ్యం ',' 46 వ కెరీర్ లో అత్యధిక మ్యాచ్లు (245) ',' 45 వ అత్యంత ప్లేయర్ ఆఫ్ ది సిరీస్ అవార్డులు (3) ',' 33 వ అత్యంత కెప్టెన్ (74) గా పేర్కొంటే ']</v>
      </c>
      <c r="G2444" s="2" t="s">
        <v>1746</v>
      </c>
      <c r="H2444" s="2" t="str">
        <f>IFERROR(__xludf.DUMMYFUNCTION("IF(G2444&lt;&gt;"""", GOOGLETRANSLATE(G2444, ""en"", ""te""),"""")"),"[ '38 వ కెప్టెన్గా అత్యధిక మ్యాచ్లు (18)']")</f>
        <v>[ '38 వ కెప్టెన్గా అత్యధిక మ్యాచ్లు (18)']</v>
      </c>
      <c r="I2444" s="3"/>
    </row>
    <row r="2445" customHeight="1" spans="1:9">
      <c r="A2445" s="2"/>
      <c r="B2445" s="2" t="str">
        <f>IFERROR(__xludf.DUMMYFUNCTION("IF(A2445&lt;&gt;"""", GOOGLETRANSLATE(A2445, ""en"", ""te""),"""")"),"")</f>
        <v/>
      </c>
      <c r="C2445" s="2"/>
      <c r="D2445" s="2" t="str">
        <f>IFERROR(__xludf.DUMMYFUNCTION("IF(C2445&lt;&gt;"""", GOOGLETRANSLATE(C2445, ""en"", ""te""),"""")"),"")</f>
        <v/>
      </c>
      <c r="E2445" s="2"/>
      <c r="F2445" s="2" t="str">
        <f>IFERROR(__xludf.DUMMYFUNCTION("IF(E2445&lt;&gt;"""", GOOGLETRANSLATE(E2445, ""en"", ""te""),"""")"),"")</f>
        <v/>
      </c>
      <c r="G2445" s="2"/>
      <c r="H2445" s="2" t="str">
        <f>IFERROR(__xludf.DUMMYFUNCTION("IF(G2445&lt;&gt;"""", GOOGLETRANSLATE(G2445, ""en"", ""te""),"""")"),"")</f>
        <v/>
      </c>
      <c r="I2445" s="3"/>
    </row>
    <row r="2446" customHeight="1" spans="1:9">
      <c r="A2446" s="2"/>
      <c r="B2446" s="2" t="str">
        <f>IFERROR(__xludf.DUMMYFUNCTION("IF(A2446&lt;&gt;"""", GOOGLETRANSLATE(A2446, ""en"", ""te""),"""")"),"")</f>
        <v/>
      </c>
      <c r="C2446" s="2"/>
      <c r="D2446" s="2" t="str">
        <f>IFERROR(__xludf.DUMMYFUNCTION("IF(C2446&lt;&gt;"""", GOOGLETRANSLATE(C2446, ""en"", ""te""),"""")"),"")</f>
        <v/>
      </c>
      <c r="E2446" s="2"/>
      <c r="F2446" s="2" t="str">
        <f>IFERROR(__xludf.DUMMYFUNCTION("IF(E2446&lt;&gt;"""", GOOGLETRANSLATE(E2446, ""en"", ""te""),"""")"),"")</f>
        <v/>
      </c>
      <c r="G2446" s="2"/>
      <c r="H2446" s="2" t="str">
        <f>IFERROR(__xludf.DUMMYFUNCTION("IF(G2446&lt;&gt;"""", GOOGLETRANSLATE(G2446, ""en"", ""te""),"""")"),"")</f>
        <v/>
      </c>
      <c r="I2446" s="3"/>
    </row>
    <row r="2447" customHeight="1" spans="1:9">
      <c r="A2447" s="2"/>
      <c r="B2447" s="2" t="str">
        <f>IFERROR(__xludf.DUMMYFUNCTION("IF(A2447&lt;&gt;"""", GOOGLETRANSLATE(A2447, ""en"", ""te""),"""")"),"")</f>
        <v/>
      </c>
      <c r="C2447" s="2" t="s">
        <v>1747</v>
      </c>
      <c r="D2447" s="2" t="str">
        <f>IFERROR(__xludf.DUMMYFUNCTION("IF(C2447&lt;&gt;"""", GOOGLETRANSLATE(C2447, ""en"", ""te""),"""")"),"[18 వ ఉత్తమ కెరీర్ బౌలింగ్ సరాసరి (అర్హత లేకుండా) (8.00) ']")</f>
        <v>[18 వ ఉత్తమ కెరీర్ బౌలింగ్ సరాసరి (అర్హత లేకుండా) (8.00) ']</v>
      </c>
      <c r="E2447" s="2"/>
      <c r="F2447" s="2" t="str">
        <f>IFERROR(__xludf.DUMMYFUNCTION("IF(E2447&lt;&gt;"""", GOOGLETRANSLATE(E2447, ""en"", ""te""),"""")"),"")</f>
        <v/>
      </c>
      <c r="G2447" s="2"/>
      <c r="H2447" s="2" t="str">
        <f>IFERROR(__xludf.DUMMYFUNCTION("IF(G2447&lt;&gt;"""", GOOGLETRANSLATE(G2447, ""en"", ""te""),"""")"),"")</f>
        <v/>
      </c>
      <c r="I2447" s="3"/>
    </row>
    <row r="2448" customHeight="1" spans="1:9">
      <c r="A2448" s="2"/>
      <c r="B2448" s="2" t="str">
        <f>IFERROR(__xludf.DUMMYFUNCTION("IF(A2448&lt;&gt;"""", GOOGLETRANSLATE(A2448, ""en"", ""te""),"""")"),"")</f>
        <v/>
      </c>
      <c r="C2448" s="2"/>
      <c r="D2448" s="2" t="str">
        <f>IFERROR(__xludf.DUMMYFUNCTION("IF(C2448&lt;&gt;"""", GOOGLETRANSLATE(C2448, ""en"", ""te""),"""")"),"")</f>
        <v/>
      </c>
      <c r="E2448" s="2" t="s">
        <v>502</v>
      </c>
      <c r="F2448" s="2" t="str">
        <f>IFERROR(__xludf.DUMMYFUNCTION("IF(E2448&lt;&gt;"""", GOOGLETRANSLATE(E2448, ""en"", ""te""),"""")"),"[ '14 వ ఒక ఇన్నింగ్స్ లోని బెస్ట్ ఫిగర్స్ ఉన్నప్పుడు పరాజయం వైపు (5)']")</f>
        <v>[ '14 వ ఒక ఇన్నింగ్స్ లోని బెస్ట్ ఫిగర్స్ ఉన్నప్పుడు పరాజయం వైపు (5)']</v>
      </c>
      <c r="G2448" s="2"/>
      <c r="H2448" s="2" t="str">
        <f>IFERROR(__xludf.DUMMYFUNCTION("IF(G2448&lt;&gt;"""", GOOGLETRANSLATE(G2448, ""en"", ""te""),"""")"),"")</f>
        <v/>
      </c>
      <c r="I2448" s="3"/>
    </row>
    <row r="2449" customHeight="1" spans="1:9">
      <c r="A2449" s="2"/>
      <c r="B2449" s="2" t="str">
        <f>IFERROR(__xludf.DUMMYFUNCTION("IF(A2449&lt;&gt;"""", GOOGLETRANSLATE(A2449, ""en"", ""te""),"""")"),"")</f>
        <v/>
      </c>
      <c r="C2449" s="2"/>
      <c r="D2449" s="2" t="str">
        <f>IFERROR(__xludf.DUMMYFUNCTION("IF(C2449&lt;&gt;"""", GOOGLETRANSLATE(C2449, ""en"", ""te""),"""")"),"")</f>
        <v/>
      </c>
      <c r="E2449" s="2"/>
      <c r="F2449" s="2" t="str">
        <f>IFERROR(__xludf.DUMMYFUNCTION("IF(E2449&lt;&gt;"""", GOOGLETRANSLATE(E2449, ""en"", ""te""),"""")"),"")</f>
        <v/>
      </c>
      <c r="G2449" s="2"/>
      <c r="H2449" s="2" t="str">
        <f>IFERROR(__xludf.DUMMYFUNCTION("IF(G2449&lt;&gt;"""", GOOGLETRANSLATE(G2449, ""en"", ""te""),"""")"),"")</f>
        <v/>
      </c>
      <c r="I2449" s="3"/>
    </row>
    <row r="2450" customHeight="1" spans="1:9">
      <c r="A2450" s="2" t="s">
        <v>1748</v>
      </c>
      <c r="B2450" s="2" t="str">
        <f>IFERROR(__xludf.DUMMYFUNCTION("IF(A2450&lt;&gt;"""", GOOGLETRANSLATE(A2450, ""en"", ""te""),"""")"),"[ 'ఇన్నింగ్స్ లో 8 వ అత్యధిక క్యాచ్లు (3)']")</f>
        <v>[ 'ఇన్నింగ్స్ లో 8 వ అత్యధిక క్యాచ్లు (3)']</v>
      </c>
      <c r="C2450" s="2" t="s">
        <v>1748</v>
      </c>
      <c r="D2450" s="2" t="str">
        <f>IFERROR(__xludf.DUMMYFUNCTION("IF(C2450&lt;&gt;"""", GOOGLETRANSLATE(C2450, ""en"", ""te""),"""")"),"[ 'ఇన్నింగ్స్ లో 8 వ అత్యధిక క్యాచ్లు (3)']")</f>
        <v>[ 'ఇన్నింగ్స్ లో 8 వ అత్యధిక క్యాచ్లు (3)']</v>
      </c>
      <c r="E2450" s="2" t="s">
        <v>1749</v>
      </c>
      <c r="F2450" s="2" t="str">
        <f>IFERROR(__xludf.DUMMYFUNCTION("IF(E2450&lt;&gt;"""", GOOGLETRANSLATE(E2450, ""en"", ""te""),"""")"),"[ '26 వరుస మ్యాచ్లు ఆడి (39) మధ్య ఒక జట్టుకు దూరమయ్యాడు' 'కెరీర్లో 30 వ అత్యధిక వికెట్లు (23)', '28th కెరీర్లో అత్యధిక క్యాచ్లు (15)', '21 వ అత్యంత ఇన్నింగ్స్ లో క్యాచ్లు (3) ' '35 వ కెరీర్ స్టంపింగ్లు (8)']")</f>
        <v>[ '26 వరుస మ్యాచ్లు ఆడి (39) మధ్య ఒక జట్టుకు దూరమయ్యాడు' 'కెరీర్లో 30 వ అత్యధిక వికెట్లు (23)', '28th కెరీర్లో అత్యధిక క్యాచ్లు (15)', '21 వ అత్యంత ఇన్నింగ్స్ లో క్యాచ్లు (3) ' '35 వ కెరీర్ స్టంపింగ్లు (8)']</v>
      </c>
      <c r="G2450" s="2"/>
      <c r="H2450" s="2" t="str">
        <f>IFERROR(__xludf.DUMMYFUNCTION("IF(G2450&lt;&gt;"""", GOOGLETRANSLATE(G2450, ""en"", ""te""),"""")"),"")</f>
        <v/>
      </c>
      <c r="I2450" s="3"/>
    </row>
    <row r="2451" customHeight="1" spans="1:9">
      <c r="A2451" s="2" t="s">
        <v>1750</v>
      </c>
      <c r="B2451" s="2" t="str">
        <f>IFERROR(__xludf.DUMMYFUNCTION("IF(A2451&lt;&gt;"""", GOOGLETRANSLATE(A2451, ""en"", ""te""),"""")"),"[ '10 వ అత్యుత్తమ ఇన్నింగ్స్ (4/5) విశ్లేషణలలో బౌలింగ్']")</f>
        <v>[ '10 వ అత్యుత్తమ ఇన్నింగ్స్ (4/5) విశ్లేషణలలో బౌలింగ్']</v>
      </c>
      <c r="C2451" s="2"/>
      <c r="D2451" s="2" t="str">
        <f>IFERROR(__xludf.DUMMYFUNCTION("IF(C2451&lt;&gt;"""", GOOGLETRANSLATE(C2451, ""en"", ""te""),"""")"),"")</f>
        <v/>
      </c>
      <c r="E2451" s="2" t="s">
        <v>1751</v>
      </c>
      <c r="F2451" s="2" t="str">
        <f>IFERROR(__xludf.DUMMYFUNCTION("IF(E2451&lt;&gt;"""", GOOGLETRANSLATE(E2451, ""en"", ""te""),"""")"),"[ '20 వ కెరీర్ లో బాతులు (18)', '11 వ ఒక ఇన్నింగ్స్ లోని బెస్ట్ ఫిగర్స్ ఉన్నప్పుడు పరాజయం వైపు (4)', '16 వ ఉత్తమ కెరీర్ సమ్మె రేటు (32.2)', '40 వ చెత్త కెరీర్లో ఆర్థిక రేటు (4.14)' ]")</f>
        <v>[ '20 వ కెరీర్ లో బాతులు (18)', '11 వ ఒక ఇన్నింగ్స్ లోని బెస్ట్ ఫిగర్స్ ఉన్నప్పుడు పరాజయం వైపు (4)', '16 వ ఉత్తమ కెరీర్ సమ్మె రేటు (32.2)', '40 వ చెత్త కెరీర్లో ఆర్థిక రేటు (4.14)' ]</v>
      </c>
      <c r="G2451" s="2" t="s">
        <v>1752</v>
      </c>
      <c r="H2451" s="2" t="str">
        <f>IFERROR(__xludf.DUMMYFUNCTION("IF(G2451&lt;&gt;"""", GOOGLETRANSLATE(G2451, ""en"", ""te""),"""")"),"[ '45 వ కెరీర్ లో అత్యధిక వికెట్లు (47)', 'ఇన్నింగ్స్ లో 10 వ అత్యుత్తమ బౌలింగ్ విశ్లేషణలు (4/5)', '41 వ ఉత్తమ కెరీర్ సమ్మె రేటు (20.4)', '30 వ చెత్త కెరీర్లో ఆర్థిక రేటు (6.10)', ' కెరీర్లో బౌల్డ్ 40 వ అత్యంత బంతుల్లో (962) ',' 40 వ కెరీర్ లో సాధించిన అత"&amp;"్యధిక పరుగులు (979) ',' 18 వ బౌలర్ / బ్యాట్స్ కలయికలు (4) ',' 34 వ బౌలర్ / ఫీల్డర్ కలయికలు (8) ',' 35 వ అత్యధిక వికెట్లు తీసుకున్న బౌల్డ్ (12) ',' 38 వ అత్యధిక వికెట్లు తీసుకువెళ్లారు క్యాచ్ (27) ',' 38 వ అత్యధిక వికెట్లు తీసుకున్న ఫీల్డర్ (23) పట్టుకుంటే"&amp;"]")</f>
        <v>[ '45 వ కెరీర్ లో అత్యధిక వికెట్లు (47)', 'ఇన్నింగ్స్ లో 10 వ అత్యుత్తమ బౌలింగ్ విశ్లేషణలు (4/5)', '41 వ ఉత్తమ కెరీర్ సమ్మె రేటు (20.4)', '30 వ చెత్త కెరీర్లో ఆర్థిక రేటు (6.10)', ' కెరీర్లో బౌల్డ్ 40 వ అత్యంత బంతుల్లో (962) ',' 40 వ కెరీర్ లో సాధించిన అత్యధిక పరుగులు (979) ',' 18 వ బౌలర్ / బ్యాట్స్ కలయికలు (4) ',' 34 వ బౌలర్ / ఫీల్డర్ కలయికలు (8) ',' 35 వ అత్యధిక వికెట్లు తీసుకున్న బౌల్డ్ (12) ',' 38 వ అత్యధిక వికెట్లు తీసుకువెళ్లారు క్యాచ్ (27) ',' 38 వ అత్యధిక వికెట్లు తీసుకున్న ఫీల్డర్ (23) పట్టుకుంటే]</v>
      </c>
      <c r="I2451" s="3"/>
    </row>
    <row r="2452" customHeight="1" spans="1:9">
      <c r="A2452" s="2"/>
      <c r="B2452" s="2" t="str">
        <f>IFERROR(__xludf.DUMMYFUNCTION("IF(A2452&lt;&gt;"""", GOOGLETRANSLATE(A2452, ""en"", ""te""),"""")"),"")</f>
        <v/>
      </c>
      <c r="C2452" s="2"/>
      <c r="D2452" s="2" t="str">
        <f>IFERROR(__xludf.DUMMYFUNCTION("IF(C2452&lt;&gt;"""", GOOGLETRANSLATE(C2452, ""en"", ""te""),"""")"),"")</f>
        <v/>
      </c>
      <c r="E2452" s="2"/>
      <c r="F2452" s="2" t="str">
        <f>IFERROR(__xludf.DUMMYFUNCTION("IF(E2452&lt;&gt;"""", GOOGLETRANSLATE(E2452, ""en"", ""te""),"""")"),"")</f>
        <v/>
      </c>
      <c r="G2452" s="2"/>
      <c r="H2452" s="2" t="str">
        <f>IFERROR(__xludf.DUMMYFUNCTION("IF(G2452&lt;&gt;"""", GOOGLETRANSLATE(G2452, ""en"", ""te""),"""")"),"")</f>
        <v/>
      </c>
      <c r="I2452" s="3"/>
    </row>
    <row r="2453" customHeight="1" spans="1:9">
      <c r="A2453" s="2"/>
      <c r="B2453" s="2" t="str">
        <f>IFERROR(__xludf.DUMMYFUNCTION("IF(A2453&lt;&gt;"""", GOOGLETRANSLATE(A2453, ""en"", ""te""),"""")"),"")</f>
        <v/>
      </c>
      <c r="C2453" s="2"/>
      <c r="D2453" s="2" t="str">
        <f>IFERROR(__xludf.DUMMYFUNCTION("IF(C2453&lt;&gt;"""", GOOGLETRANSLATE(C2453, ""en"", ""te""),"""")"),"")</f>
        <v/>
      </c>
      <c r="E2453" s="2"/>
      <c r="F2453" s="2" t="str">
        <f>IFERROR(__xludf.DUMMYFUNCTION("IF(E2453&lt;&gt;"""", GOOGLETRANSLATE(E2453, ""en"", ""te""),"""")"),"")</f>
        <v/>
      </c>
      <c r="G2453" s="2"/>
      <c r="H2453" s="2" t="str">
        <f>IFERROR(__xludf.DUMMYFUNCTION("IF(G2453&lt;&gt;"""", GOOGLETRANSLATE(G2453, ""en"", ""te""),"""")"),"")</f>
        <v/>
      </c>
      <c r="I2453" s="3"/>
    </row>
    <row r="2454" customHeight="1" spans="1:9">
      <c r="A2454" s="2"/>
      <c r="B2454" s="2" t="str">
        <f>IFERROR(__xludf.DUMMYFUNCTION("IF(A2454&lt;&gt;"""", GOOGLETRANSLATE(A2454, ""en"", ""te""),"""")"),"")</f>
        <v/>
      </c>
      <c r="C2454" s="2"/>
      <c r="D2454" s="2" t="str">
        <f>IFERROR(__xludf.DUMMYFUNCTION("IF(C2454&lt;&gt;"""", GOOGLETRANSLATE(C2454, ""en"", ""te""),"""")"),"")</f>
        <v/>
      </c>
      <c r="E2454" s="2"/>
      <c r="F2454" s="2" t="str">
        <f>IFERROR(__xludf.DUMMYFUNCTION("IF(E2454&lt;&gt;"""", GOOGLETRANSLATE(E2454, ""en"", ""te""),"""")"),"")</f>
        <v/>
      </c>
      <c r="G2454" s="2"/>
      <c r="H2454" s="2" t="str">
        <f>IFERROR(__xludf.DUMMYFUNCTION("IF(G2454&lt;&gt;"""", GOOGLETRANSLATE(G2454, ""en"", ""te""),"""")"),"")</f>
        <v/>
      </c>
      <c r="I2454" s="3"/>
    </row>
    <row r="2455" customHeight="1" spans="1:9">
      <c r="A2455" s="2" t="s">
        <v>1753</v>
      </c>
      <c r="B2455" s="2" t="str">
        <f>IFERROR(__xludf.DUMMYFUNCTION("IF(A2455&lt;&gt;"""", GOOGLETRANSLATE(A2455, ""en"", ""te""),"""")"),"[ 'ఫాస్టెస్ట్ 150 వికెట్లు 10 వ (31)' '6 వ పిన్న ఆటగాడు ఐదు వికెట్ల లో-ఒక-ఇన్నింగ్స్ (18y 193d) తీసుకోవాలని',]")</f>
        <v>[ 'ఫాస్టెస్ట్ 150 వికెట్లు 10 వ (31)' '6 వ పిన్న ఆటగాడు ఐదు వికెట్ల లో-ఒక-ఇన్నింగ్స్ (18y 193d) తీసుకోవాలని',]</v>
      </c>
      <c r="C2455" s="2" t="s">
        <v>1754</v>
      </c>
      <c r="D2455" s="2" t="str">
        <f>IFERROR(__xludf.DUMMYFUNCTION("IF(C2455&lt;&gt;"""", GOOGLETRANSLATE(C2455, ""en"", ""te""),"""")"),"[ '49 వ ఒక క్యాలెండర్ సంవత్సరంలో అత్యధిక వికెట్లు (59)', '28th ఉత్తమ కెరీర్ బౌలింగ్ సరాసరి (21.59)', '22 వ ఉత్తమ కెరీర్ సమ్మె రేటు (47.1)', 'తొలి ఇన్నింగ్స్లో 22 బెస్ట్ ఫిగర్స్ (6)', '30 వ బౌలర్ / ఫీల్డర్ కలయికలు (47)' '37 వ క్యాచ్ తీసుకున్న అత్యధిక వికెట"&amp;"్లు సాధించిన వికెట్కీపర్గా (58) ద్వారా', '21 వ వేగంగా' 6 వ పిన్న ఆటగాడు ఐదు వికెట్ల లో-ఒక-ఇన్నింగ్స్ (18y 193d) తీసుకోవాలని ', 100 వికెట్లు (21) ',' వేగంగా 150 వికెట్లు పడగొట్టిన 10 వ (31) ',' 27 వ వరుస మ్యాచ్లు ప్రదర్శనల మధ్య బృందం (64) కోసం తప్పిన ']")</f>
        <v>[ '49 వ ఒక క్యాలెండర్ సంవత్సరంలో అత్యధిక వికెట్లు (59)', '28th ఉత్తమ కెరీర్ బౌలింగ్ సరాసరి (21.59)', '22 వ ఉత్తమ కెరీర్ సమ్మె రేటు (47.1)', 'తొలి ఇన్నింగ్స్లో 22 బెస్ట్ ఫిగర్స్ (6)', '30 వ బౌలర్ / ఫీల్డర్ కలయికలు (47)' '37 వ క్యాచ్ తీసుకున్న అత్యధిక వికెట్లు సాధించిన వికెట్కీపర్గా (58) ద్వారా', '21 వ వేగంగా' 6 వ పిన్న ఆటగాడు ఐదు వికెట్ల లో-ఒక-ఇన్నింగ్స్ (18y 193d) తీసుకోవాలని ', 100 వికెట్లు (21) ',' వేగంగా 150 వికెట్లు పడగొట్టిన 10 వ (31) ',' 27 వ వరుస మ్యాచ్లు ప్రదర్శనల మధ్య బృందం (64) కోసం తప్పిన ']</v>
      </c>
      <c r="E2455" s="2" t="s">
        <v>1755</v>
      </c>
      <c r="F2455" s="2" t="str">
        <f>IFERROR(__xludf.DUMMYFUNCTION("IF(E2455&lt;&gt;"""", GOOGLETRANSLATE(E2455, ""en"", ""te""),"""")"),"[ '17 వ వేగంగా 50 వికెట్లు (27)', 'ఫాస్టెస్ట్ 100 వికెట్లు 21 (62)']")</f>
        <v>[ '17 వ వేగంగా 50 వికెట్లు (27)', 'ఫాస్టెస్ట్ 100 వికెట్లు 21 (62)']</v>
      </c>
      <c r="G2455" s="2" t="s">
        <v>1756</v>
      </c>
      <c r="H2455" s="2" t="str">
        <f>IFERROR(__xludf.DUMMYFUNCTION("IF(G2455&lt;&gt;"""", GOOGLETRANSLATE(G2455, ""en"", ""te""),"""")"),"[ '34 వ ఉత్తమ కెరీర్ బౌలింగ్ సరాసరి (20.62)', '37 వ ఉత్తమ కెరీర్ ఆర్థిక రేటు (6.93)', '42 వ ఉత్తమ కెరీర్ సమ్మె రేటు (17.8)', '19' 33 వ అత్యధిక వికెట్లు ఒక ఫీల్డర్ (28) పట్టుకుంటే తీసిన జీవితంలో అత్యధిక పనికత్తెలయొద్ద (3) ']")</f>
        <v>[ '34 వ ఉత్తమ కెరీర్ బౌలింగ్ సరాసరి (20.62)', '37 వ ఉత్తమ కెరీర్ ఆర్థిక రేటు (6.93)', '42 వ ఉత్తమ కెరీర్ సమ్మె రేటు (17.8)', '19' 33 వ అత్యధిక వికెట్లు ఒక ఫీల్డర్ (28) పట్టుకుంటే తీసిన జీవితంలో అత్యధిక పనికత్తెలయొద్ద (3) ']</v>
      </c>
      <c r="I2455" s="3"/>
    </row>
    <row r="2456" customHeight="1" spans="1:9">
      <c r="A2456" s="2" t="s">
        <v>1757</v>
      </c>
      <c r="B2456" s="2" t="str">
        <f>IFERROR(__xludf.DUMMYFUNCTION("IF(A2456&lt;&gt;"""", GOOGLETRANSLATE(A2456, ""en"", ""te""),"""")"),"[ '5 వ అత్యధిక వికెట్లు తీసుకున్న స్టంప్ (6)', '10 వ అత్యధిక పరుగులు' ఇన్నింగ్స్ (324) లో బౌల్డ్ 8 వ అత్యంత బంతుల్లో '' 7th పిన్న ఆటగాడు ఐదు వికెట్ల లో-ఒక-ఇన్నింగ్స్ (19y 226d) తీసుకోవాలని ', ఇన్నింగ్స్ (బ్యాటింగ్ స్థానం) (27) '] లో")</f>
        <v>[ '5 వ అత్యధిక వికెట్లు తీసుకున్న స్టంప్ (6)', '10 వ అత్యధిక పరుగులు' ఇన్నింగ్స్ (324) లో బౌల్డ్ 8 వ అత్యంత బంతుల్లో '' 7th పిన్న ఆటగాడు ఐదు వికెట్ల లో-ఒక-ఇన్నింగ్స్ (19y 226d) తీసుకోవాలని ', ఇన్నింగ్స్ (బ్యాటింగ్ స్థానం) (27) '] లో</v>
      </c>
      <c r="C2456" s="2" t="s">
        <v>1758</v>
      </c>
      <c r="D2456" s="2" t="str">
        <f>IFERROR(__xludf.DUMMYFUNCTION("IF(C2456&lt;&gt;"""", GOOGLETRANSLATE(C2456, ""en"", ""te""),"""")"),"[ '11 వ ఇన్నింగ్స్ లో అత్యధిక పరుగులు (బ్యాటింగ్ స్థానంలో ప్రకారం) (46 *)', '32 వ కెరీర్ లో అత్యధిక వికెట్లు (25)', '26 ఒక క్యాలెండర్ సంవత్సరంలో అత్యధిక వికెట్లు (15)', '26 ఉత్తమ కెరీర్ సగటు బౌలింగ్ ( 20.12) ',' 25 వ ఉత్తమ కెరీర్ ఆర్థిక రేటు (1.63) ',' 14"&amp;" వ అరంగేట్రంలోనే ఇన్నింగ్స్ లోని బెస్ట్ ఫిగర్స్ (4) ',' తీసుకోవాలని 7 వ పిన్న ఆటగాడు ఐదు వికెట్ల లో-ఒక-ఇన్నింగ్స్ (19y 226d) ', 'కెరీర్ (1842) లో బౌల్డ్ 39 వ అత్యంత బంతుల్లో', 'ఇన్నింగ్స్ లో బౌల్డ్ 8 వ అత్యంత బంతుల్లో (324)', '27 వ బంతుల్లో ఒక మ్యాచ్లో బౌ"&amp;"ల్డ్ (396)', '21 వ అత్యధిక వికెట్లు తీసుకున్న ఆకర్షించింది (15) ',' 5 వ అత్యంత తీసుకోబడిన వికెట్ల స్టంప్డ్ (6) ']")</f>
        <v>[ '11 వ ఇన్నింగ్స్ లో అత్యధిక పరుగులు (బ్యాటింగ్ స్థానంలో ప్రకారం) (46 *)', '32 వ కెరీర్ లో అత్యధిక వికెట్లు (25)', '26 ఒక క్యాలెండర్ సంవత్సరంలో అత్యధిక వికెట్లు (15)', '26 ఉత్తమ కెరీర్ సగటు బౌలింగ్ ( 20.12) ',' 25 వ ఉత్తమ కెరీర్ ఆర్థిక రేటు (1.63) ',' 14 వ అరంగేట్రంలోనే ఇన్నింగ్స్ లోని బెస్ట్ ఫిగర్స్ (4) ',' తీసుకోవాలని 7 వ పిన్న ఆటగాడు ఐదు వికెట్ల లో-ఒక-ఇన్నింగ్స్ (19y 226d) ', 'కెరీర్ (1842) లో బౌల్డ్ 39 వ అత్యంత బంతుల్లో', 'ఇన్నింగ్స్ లో బౌల్డ్ 8 వ అత్యంత బంతుల్లో (324)', '27 వ బంతుల్లో ఒక మ్యాచ్లో బౌల్డ్ (396)', '21 వ అత్యధిక వికెట్లు తీసుకున్న ఆకర్షించింది (15) ',' 5 వ అత్యంత తీసుకోబడిన వికెట్ల స్టంప్డ్ (6) ']</v>
      </c>
      <c r="E2456" s="2" t="s">
        <v>1759</v>
      </c>
      <c r="F2456" s="2" t="str">
        <f>IFERROR(__xludf.DUMMYFUNCTION("IF(E2456&lt;&gt;"""", GOOGLETRANSLATE(E2456, ""en"", ""te""),"""")"),"[ '10 వ ఇన్నింగ్స్ లో అత్యధిక పరుగులు (బ్యాటింగ్ స్థానంలో ప్రకారం) (27)']")</f>
        <v>[ '10 వ ఇన్నింగ్స్ లో అత్యధిక పరుగులు (బ్యాటింగ్ స్థానంలో ప్రకారం) (27)']</v>
      </c>
      <c r="G2456" s="2"/>
      <c r="H2456" s="2" t="str">
        <f>IFERROR(__xludf.DUMMYFUNCTION("IF(G2456&lt;&gt;"""", GOOGLETRANSLATE(G2456, ""en"", ""te""),"""")"),"")</f>
        <v/>
      </c>
      <c r="I2456" s="3"/>
    </row>
    <row r="2457" customHeight="1" spans="1:9">
      <c r="A2457" s="2"/>
      <c r="B2457" s="2" t="str">
        <f>IFERROR(__xludf.DUMMYFUNCTION("IF(A2457&lt;&gt;"""", GOOGLETRANSLATE(A2457, ""en"", ""te""),"""")"),"")</f>
        <v/>
      </c>
      <c r="C2457" s="2" t="s">
        <v>70</v>
      </c>
      <c r="D2457" s="2" t="str">
        <f>IFERROR(__xludf.DUMMYFUNCTION("IF(C2457&lt;&gt;"""", GOOGLETRANSLATE(C2457, ""en"", ""te""),"""")"),"[ 'తొలి ఇన్నింగ్స్లో 22 బెస్ట్ ఫిగర్స్ (6)', '17 వ ప్రవేశం (9) ఒక మ్యాచ్లో బెస్ట్ ఫిగర్స్']")</f>
        <v>[ 'తొలి ఇన్నింగ్స్లో 22 బెస్ట్ ఫిగర్స్ (6)', '17 వ ప్రవేశం (9) ఒక మ్యాచ్లో బెస్ట్ ఫిగర్స్']</v>
      </c>
      <c r="E2457" s="2"/>
      <c r="F2457" s="2" t="str">
        <f>IFERROR(__xludf.DUMMYFUNCTION("IF(E2457&lt;&gt;"""", GOOGLETRANSLATE(E2457, ""en"", ""te""),"""")"),"")</f>
        <v/>
      </c>
      <c r="G2457" s="2"/>
      <c r="H2457" s="2" t="str">
        <f>IFERROR(__xludf.DUMMYFUNCTION("IF(G2457&lt;&gt;"""", GOOGLETRANSLATE(G2457, ""en"", ""te""),"""")"),"")</f>
        <v/>
      </c>
      <c r="I2457" s="3"/>
    </row>
    <row r="2458" customHeight="1" spans="1:9">
      <c r="A2458" s="2"/>
      <c r="B2458" s="2" t="str">
        <f>IFERROR(__xludf.DUMMYFUNCTION("IF(A2458&lt;&gt;"""", GOOGLETRANSLATE(A2458, ""en"", ""te""),"""")"),"")</f>
        <v/>
      </c>
      <c r="C2458" s="2"/>
      <c r="D2458" s="2" t="str">
        <f>IFERROR(__xludf.DUMMYFUNCTION("IF(C2458&lt;&gt;"""", GOOGLETRANSLATE(C2458, ""en"", ""te""),"""")"),"")</f>
        <v/>
      </c>
      <c r="E2458" s="2"/>
      <c r="F2458" s="2" t="str">
        <f>IFERROR(__xludf.DUMMYFUNCTION("IF(E2458&lt;&gt;"""", GOOGLETRANSLATE(E2458, ""en"", ""te""),"""")"),"")</f>
        <v/>
      </c>
      <c r="G2458" s="2"/>
      <c r="H2458" s="2" t="str">
        <f>IFERROR(__xludf.DUMMYFUNCTION("IF(G2458&lt;&gt;"""", GOOGLETRANSLATE(G2458, ""en"", ""te""),"""")"),"")</f>
        <v/>
      </c>
      <c r="I2458" s="3"/>
    </row>
    <row r="2459" customHeight="1" spans="1:9">
      <c r="A2459" s="2"/>
      <c r="B2459" s="2" t="str">
        <f>IFERROR(__xludf.DUMMYFUNCTION("IF(A2459&lt;&gt;"""", GOOGLETRANSLATE(A2459, ""en"", ""te""),"""")"),"")</f>
        <v/>
      </c>
      <c r="C2459" s="2"/>
      <c r="D2459" s="2" t="str">
        <f>IFERROR(__xludf.DUMMYFUNCTION("IF(C2459&lt;&gt;"""", GOOGLETRANSLATE(C2459, ""en"", ""te""),"""")"),"")</f>
        <v/>
      </c>
      <c r="E2459" s="2"/>
      <c r="F2459" s="2" t="str">
        <f>IFERROR(__xludf.DUMMYFUNCTION("IF(E2459&lt;&gt;"""", GOOGLETRANSLATE(E2459, ""en"", ""te""),"""")"),"")</f>
        <v/>
      </c>
      <c r="G2459" s="2"/>
      <c r="H2459" s="2" t="str">
        <f>IFERROR(__xludf.DUMMYFUNCTION("IF(G2459&lt;&gt;"""", GOOGLETRANSLATE(G2459, ""en"", ""te""),"""")"),"")</f>
        <v/>
      </c>
      <c r="I2459" s="3"/>
    </row>
    <row r="2460" customHeight="1" spans="1:9">
      <c r="A2460" s="2"/>
      <c r="B2460" s="2" t="str">
        <f>IFERROR(__xludf.DUMMYFUNCTION("IF(A2460&lt;&gt;"""", GOOGLETRANSLATE(A2460, ""en"", ""te""),"""")"),"")</f>
        <v/>
      </c>
      <c r="C2460" s="2"/>
      <c r="D2460" s="2" t="str">
        <f>IFERROR(__xludf.DUMMYFUNCTION("IF(C2460&lt;&gt;"""", GOOGLETRANSLATE(C2460, ""en"", ""te""),"""")"),"")</f>
        <v/>
      </c>
      <c r="E2460" s="2"/>
      <c r="F2460" s="2" t="str">
        <f>IFERROR(__xludf.DUMMYFUNCTION("IF(E2460&lt;&gt;"""", GOOGLETRANSLATE(E2460, ""en"", ""te""),"""")"),"")</f>
        <v/>
      </c>
      <c r="G2460" s="2"/>
      <c r="H2460" s="2" t="str">
        <f>IFERROR(__xludf.DUMMYFUNCTION("IF(G2460&lt;&gt;"""", GOOGLETRANSLATE(G2460, ""en"", ""te""),"""")"),"")</f>
        <v/>
      </c>
      <c r="I2460" s="3"/>
    </row>
    <row r="2461" customHeight="1" spans="1:9">
      <c r="A2461" s="2" t="s">
        <v>1760</v>
      </c>
      <c r="B2461" s="2" t="str">
        <f>IFERROR(__xludf.DUMMYFUNCTION("IF(A2461&lt;&gt;"""", GOOGLETRANSLATE(A2461, ""en"", ""te""),"""")"),"[ '7th పిన్న కాప్టెన్ (22y 194d)']")</f>
        <v>[ '7th పిన్న కాప్టెన్ (22y 194d)']</v>
      </c>
      <c r="C2461" s="2" t="s">
        <v>1761</v>
      </c>
      <c r="D2461" s="2" t="str">
        <f>IFERROR(__xludf.DUMMYFUNCTION("IF(C2461&lt;&gt;"""", GOOGLETRANSLATE(C2461, ""en"", ""te""),"""")"),"[ '27 పిన్న క్రీడాకారులు (17y 239d)', '7 వ పిన్న కాప్టెన్ (22y 194d)']")</f>
        <v>[ '27 పిన్న క్రీడాకారులు (17y 239d)', '7 వ పిన్న కాప్టెన్ (22y 194d)']</v>
      </c>
      <c r="E2461" s="2"/>
      <c r="F2461" s="2" t="str">
        <f>IFERROR(__xludf.DUMMYFUNCTION("IF(E2461&lt;&gt;"""", GOOGLETRANSLATE(E2461, ""en"", ""te""),"""")"),"")</f>
        <v/>
      </c>
      <c r="G2461" s="2"/>
      <c r="H2461" s="2" t="str">
        <f>IFERROR(__xludf.DUMMYFUNCTION("IF(G2461&lt;&gt;"""", GOOGLETRANSLATE(G2461, ""en"", ""te""),"""")"),"")</f>
        <v/>
      </c>
      <c r="I2461" s="3"/>
    </row>
    <row r="2462" customHeight="1" spans="1:9">
      <c r="A2462" s="2"/>
      <c r="B2462" s="2" t="str">
        <f>IFERROR(__xludf.DUMMYFUNCTION("IF(A2462&lt;&gt;"""", GOOGLETRANSLATE(A2462, ""en"", ""te""),"""")"),"")</f>
        <v/>
      </c>
      <c r="C2462" s="2"/>
      <c r="D2462" s="2" t="str">
        <f>IFERROR(__xludf.DUMMYFUNCTION("IF(C2462&lt;&gt;"""", GOOGLETRANSLATE(C2462, ""en"", ""te""),"""")"),"")</f>
        <v/>
      </c>
      <c r="E2462" s="2"/>
      <c r="F2462" s="2" t="str">
        <f>IFERROR(__xludf.DUMMYFUNCTION("IF(E2462&lt;&gt;"""", GOOGLETRANSLATE(E2462, ""en"", ""te""),"""")"),"")</f>
        <v/>
      </c>
      <c r="G2462" s="2"/>
      <c r="H2462" s="2" t="str">
        <f>IFERROR(__xludf.DUMMYFUNCTION("IF(G2462&lt;&gt;"""", GOOGLETRANSLATE(G2462, ""en"", ""te""),"""")"),"")</f>
        <v/>
      </c>
      <c r="I2462" s="3"/>
    </row>
    <row r="2463" customHeight="1" spans="1:9">
      <c r="A2463" s="2" t="s">
        <v>1762</v>
      </c>
      <c r="B2463" s="2" t="str">
        <f>IFERROR(__xludf.DUMMYFUNCTION("IF(A2463&lt;&gt;"""", GOOGLETRANSLATE(A2463, ""en"", ""te""),"""")"),"[ 'ఇన్నింగ్స్ లో (3) 1 వ అత్యధిక క్యాచ్లు' '7th చాలా ఇన్నింగ్స్ లో నడుస్తుంది (బ్యాటింగ్ స్థానం) (73)',]")</f>
        <v>[ 'ఇన్నింగ్స్ లో (3) 1 వ అత్యధిక క్యాచ్లు' '7th చాలా ఇన్నింగ్స్ లో నడుస్తుంది (బ్యాటింగ్ స్థానం) (73)',]</v>
      </c>
      <c r="C2463" s="2" t="s">
        <v>1763</v>
      </c>
      <c r="D2463" s="2" t="str">
        <f>IFERROR(__xludf.DUMMYFUNCTION("IF(C2463&lt;&gt;"""", GOOGLETRANSLATE(C2463, ""en"", ""te""),"""")"),"[ 'ఇన్నింగ్స్ లో 7 వ అత్యధిక పరుగులు (బ్యాటింగ్ స్థానంలో ప్రకారం) (73)', 'ఇన్నింగ్స్ (3) లో 1 వ అత్యధిక క్యాచ్లు' 'ఒక మ్యాచ్లో 2nd అత్యధిక క్యాచ్లు (4)' ఏడవ వికెట్కు, '12 వ అత్యధిక భాగస్వామ్యం (81) ',' 20 వ ఓల్డెస్ట్ క్రీడాకారులు (40y 13d) ',' 40 వ లాంగెస"&amp;"్ట్ కెరీర్లు (12y 64d) ']")</f>
        <v>[ 'ఇన్నింగ్స్ లో 7 వ అత్యధిక పరుగులు (బ్యాటింగ్ స్థానంలో ప్రకారం) (73)', 'ఇన్నింగ్స్ (3) లో 1 వ అత్యధిక క్యాచ్లు' 'ఒక మ్యాచ్లో 2nd అత్యధిక క్యాచ్లు (4)' ఏడవ వికెట్కు, '12 వ అత్యధిక భాగస్వామ్యం (81) ',' 20 వ ఓల్డెస్ట్ క్రీడాకారులు (40y 13d) ',' 40 వ లాంగెస్ట్ కెరీర్లు (12y 64d) ']</v>
      </c>
      <c r="E2463" s="2"/>
      <c r="F2463" s="2" t="str">
        <f>IFERROR(__xludf.DUMMYFUNCTION("IF(E2463&lt;&gt;"""", GOOGLETRANSLATE(E2463, ""en"", ""te""),"""")"),"")</f>
        <v/>
      </c>
      <c r="G2463" s="2"/>
      <c r="H2463" s="2" t="str">
        <f>IFERROR(__xludf.DUMMYFUNCTION("IF(G2463&lt;&gt;"""", GOOGLETRANSLATE(G2463, ""en"", ""te""),"""")"),"")</f>
        <v/>
      </c>
      <c r="I2463" s="3"/>
    </row>
    <row r="2464" customHeight="1" spans="1:9">
      <c r="A2464" s="2" t="s">
        <v>1764</v>
      </c>
      <c r="B2464" s="2" t="str">
        <f>IFERROR(__xludf.DUMMYFUNCTION("IF(A2464&lt;&gt;"""", GOOGLETRANSLATE(A2464, ""en"", ""te""),"""")"),"[ 'ప్రవేశం (109) పై వంద']")</f>
        <v>[ 'ప్రవేశం (109) పై వంద']</v>
      </c>
      <c r="C2464" s="2"/>
      <c r="D2464" s="2" t="str">
        <f>IFERROR(__xludf.DUMMYFUNCTION("IF(C2464&lt;&gt;"""", GOOGLETRANSLATE(C2464, ""en"", ""te""),"""")"),"")</f>
        <v/>
      </c>
      <c r="E2464" s="2" t="s">
        <v>502</v>
      </c>
      <c r="F2464" s="2" t="str">
        <f>IFERROR(__xludf.DUMMYFUNCTION("IF(E2464&lt;&gt;"""", GOOGLETRANSLATE(E2464, ""en"", ""te""),"""")"),"[ '14 వ ఒక ఇన్నింగ్స్ లోని బెస్ట్ ఫిగర్స్ ఉన్నప్పుడు పరాజయం వైపు (5)']")</f>
        <v>[ '14 వ ఒక ఇన్నింగ్స్ లోని బెస్ట్ ఫిగర్స్ ఉన్నప్పుడు పరాజయం వైపు (5)']</v>
      </c>
      <c r="G2464" s="2"/>
      <c r="H2464" s="2" t="str">
        <f>IFERROR(__xludf.DUMMYFUNCTION("IF(G2464&lt;&gt;"""", GOOGLETRANSLATE(G2464, ""en"", ""te""),"""")"),"")</f>
        <v/>
      </c>
      <c r="I2464" s="3"/>
    </row>
    <row r="2465" customHeight="1" spans="1:9">
      <c r="A2465" s="2"/>
      <c r="B2465" s="2" t="str">
        <f>IFERROR(__xludf.DUMMYFUNCTION("IF(A2465&lt;&gt;"""", GOOGLETRANSLATE(A2465, ""en"", ""te""),"""")"),"")</f>
        <v/>
      </c>
      <c r="C2465" s="2"/>
      <c r="D2465" s="2" t="str">
        <f>IFERROR(__xludf.DUMMYFUNCTION("IF(C2465&lt;&gt;"""", GOOGLETRANSLATE(C2465, ""en"", ""te""),"""")"),"")</f>
        <v/>
      </c>
      <c r="E2465" s="2"/>
      <c r="F2465" s="2" t="str">
        <f>IFERROR(__xludf.DUMMYFUNCTION("IF(E2465&lt;&gt;"""", GOOGLETRANSLATE(E2465, ""en"", ""te""),"""")"),"")</f>
        <v/>
      </c>
      <c r="G2465" s="2"/>
      <c r="H2465" s="2" t="str">
        <f>IFERROR(__xludf.DUMMYFUNCTION("IF(G2465&lt;&gt;"""", GOOGLETRANSLATE(G2465, ""en"", ""te""),"""")"),"")</f>
        <v/>
      </c>
      <c r="I2465" s="3"/>
    </row>
    <row r="2466" customHeight="1" spans="1:9">
      <c r="A2466" s="2"/>
      <c r="B2466" s="2" t="str">
        <f>IFERROR(__xludf.DUMMYFUNCTION("IF(A2466&lt;&gt;"""", GOOGLETRANSLATE(A2466, ""en"", ""te""),"""")"),"")</f>
        <v/>
      </c>
      <c r="C2466" s="2"/>
      <c r="D2466" s="2" t="str">
        <f>IFERROR(__xludf.DUMMYFUNCTION("IF(C2466&lt;&gt;"""", GOOGLETRANSLATE(C2466, ""en"", ""te""),"""")"),"")</f>
        <v/>
      </c>
      <c r="E2466" s="2"/>
      <c r="F2466" s="2" t="str">
        <f>IFERROR(__xludf.DUMMYFUNCTION("IF(E2466&lt;&gt;"""", GOOGLETRANSLATE(E2466, ""en"", ""te""),"""")"),"")</f>
        <v/>
      </c>
      <c r="G2466" s="2"/>
      <c r="H2466" s="2" t="str">
        <f>IFERROR(__xludf.DUMMYFUNCTION("IF(G2466&lt;&gt;"""", GOOGLETRANSLATE(G2466, ""en"", ""te""),"""")"),"")</f>
        <v/>
      </c>
      <c r="I2466" s="3"/>
    </row>
    <row r="2467" customHeight="1" spans="1:9">
      <c r="A2467" s="2" t="s">
        <v>349</v>
      </c>
      <c r="B2467" s="2" t="str">
        <f>IFERROR(__xludf.DUMMYFUNCTION("IF(A2467&lt;&gt;"""", GOOGLETRANSLATE(A2467, ""en"", ""te""),"""")"),"[ '99 పరుగుల 1st (మరియు 199, 299 etc) (99)']")</f>
        <v>[ '99 పరుగుల 1st (మరియు 199, 299 etc) (99)']</v>
      </c>
      <c r="C2467" s="2" t="s">
        <v>1765</v>
      </c>
      <c r="D2467" s="2" t="str">
        <f>IFERROR(__xludf.DUMMYFUNCTION("IF(C2467&lt;&gt;"""", GOOGLETRANSLATE(C2467, ""en"", ""te""),"""")"),"[ '99 పరుగుల 1st (మరియు 199, 299 etc) (99)', 'తొలి 5 వ తొంభై (99)']")</f>
        <v>[ '99 పరుగుల 1st (మరియు 199, 299 etc) (99)', 'తొలి 5 వ తొంభై (99)']</v>
      </c>
      <c r="E2467" s="2"/>
      <c r="F2467" s="2" t="str">
        <f>IFERROR(__xludf.DUMMYFUNCTION("IF(E2467&lt;&gt;"""", GOOGLETRANSLATE(E2467, ""en"", ""te""),"""")"),"")</f>
        <v/>
      </c>
      <c r="G2467" s="2"/>
      <c r="H2467" s="2" t="str">
        <f>IFERROR(__xludf.DUMMYFUNCTION("IF(G2467&lt;&gt;"""", GOOGLETRANSLATE(G2467, ""en"", ""te""),"""")"),"")</f>
        <v/>
      </c>
      <c r="I2467" s="3"/>
    </row>
    <row r="2468" customHeight="1" spans="1:9">
      <c r="A2468" s="2" t="s">
        <v>1219</v>
      </c>
      <c r="B2468" s="2" t="str">
        <f>IFERROR(__xludf.DUMMYFUNCTION("IF(A2468&lt;&gt;"""", GOOGLETRANSLATE(A2468, ""en"", ""te""),"""")"),"[ 'ఇన్నింగ్స్ లో 4 వ అత్యంత స్టంపింగ్లు (3)']")</f>
        <v>[ 'ఇన్నింగ్స్ లో 4 వ అత్యంత స్టంపింగ్లు (3)']</v>
      </c>
      <c r="C2468" s="2" t="s">
        <v>1766</v>
      </c>
      <c r="D2468" s="2" t="str">
        <f>IFERROR(__xludf.DUMMYFUNCTION("IF(C2468&lt;&gt;"""", GOOGLETRANSLATE(C2468, ""en"", ""te""),"""")"),"[ 'ఇన్నింగ్స్ లో 4 వ అత్యంత స్టంపింగ్లు (3)' 'ప్రదర్శనల మధ్య 38 వ లాంగెస్ట్ వ్యవధిలో (8y 347d)' '24 వ ఓల్డెస్ట్ క్రీడాకారులు (43y 259d)', '17 వ అత్యంత స్టంపింగ్లు కెరీర్లో (21)', '12 వ అత్యంత స్టంపింగ్లు ఒక మ్యాచ్లో (3) ',' 18 వ ఒక సిరీస్లో అత్యధిక స్టంపి"&amp;"ంగ్లు (5) ']")</f>
        <v>[ 'ఇన్నింగ్స్ లో 4 వ అత్యంత స్టంపింగ్లు (3)' 'ప్రదర్శనల మధ్య 38 వ లాంగెస్ట్ వ్యవధిలో (8y 347d)' '24 వ ఓల్డెస్ట్ క్రీడాకారులు (43y 259d)', '17 వ అత్యంత స్టంపింగ్లు కెరీర్లో (21)', '12 వ అత్యంత స్టంపింగ్లు ఒక మ్యాచ్లో (3) ',' 18 వ ఒక సిరీస్లో అత్యధిక స్టంపింగ్లు (5) ']</v>
      </c>
      <c r="E2468" s="2"/>
      <c r="F2468" s="2" t="str">
        <f>IFERROR(__xludf.DUMMYFUNCTION("IF(E2468&lt;&gt;"""", GOOGLETRANSLATE(E2468, ""en"", ""te""),"""")"),"")</f>
        <v/>
      </c>
      <c r="G2468" s="2"/>
      <c r="H2468" s="2" t="str">
        <f>IFERROR(__xludf.DUMMYFUNCTION("IF(G2468&lt;&gt;"""", GOOGLETRANSLATE(G2468, ""en"", ""te""),"""")"),"")</f>
        <v/>
      </c>
      <c r="I2468" s="3"/>
    </row>
    <row r="2469" customHeight="1" spans="1:9">
      <c r="A2469" s="2" t="s">
        <v>1767</v>
      </c>
      <c r="B2469" s="2" t="str">
        <f>IFERROR(__xludf.DUMMYFUNCTION("IF(A2469&lt;&gt;"""", GOOGLETRANSLATE(A2469, ""en"", ""te""),"""")"),"[ 'ఇన్నింగ్స్ లో 5 వ అత్యధిక పరుగులు (బ్యాటింగ్ స్థానంలో ప్రకారం) (81 *)', '4 వ అత్యధిక కెరీర్ బ్యాటింగ్ సగటు (53.40)', '7 వ అత్యుత్తమ బౌలింగ్ ఇన్నింగ్స్ (4/4) విశ్లేషణలలో']")</f>
        <v>[ 'ఇన్నింగ్స్ లో 5 వ అత్యధిక పరుగులు (బ్యాటింగ్ స్థానంలో ప్రకారం) (81 *)', '4 వ అత్యధిక కెరీర్ బ్యాటింగ్ సగటు (53.40)', '7 వ అత్యుత్తమ బౌలింగ్ ఇన్నింగ్స్ (4/4) విశ్లేషణలలో']</v>
      </c>
      <c r="C2469" s="2"/>
      <c r="D2469" s="2" t="str">
        <f>IFERROR(__xludf.DUMMYFUNCTION("IF(C2469&lt;&gt;"""", GOOGLETRANSLATE(C2469, ""en"", ""te""),"""")"),"")</f>
        <v/>
      </c>
      <c r="E2469" s="2" t="s">
        <v>1768</v>
      </c>
      <c r="F2469" s="2" t="str">
        <f>IFERROR(__xludf.DUMMYFUNCTION("IF(E2469&lt;&gt;"""", GOOGLETRANSLATE(E2469, ""en"", ""te""),"""")"),"[ 'ఇన్నింగ్స్ లో 5 వ అత్యధిక పరుగులు (బ్యాటింగ్ స్థానంలో ప్రకారం) (81 *)', '4 వ అత్యధిక కెరీర్ బ్యాటింగ్ సగటు (53.40)', '7 వ అత్యుత్తమ బౌలింగ్ ఇన్నింగ్స్ లో విశ్లేషించడం (4/4)', '13 వ ఉత్తమ కెరీర్ ఆర్థిక రేటు (2.34) ',' ఇన్నింగ్స్ లో 19 ఉత్తమ ఆర్థిక రేటు "&amp;"(0.33) ',' 27 చెత్త కెరీర్లో సమ్మె రేటు (57.2) ',' 48 వ అత్యధిక వికెట్లు తీసుకున్న బౌల్డ్ (16) ']")</f>
        <v>[ 'ఇన్నింగ్స్ లో 5 వ అత్యధిక పరుగులు (బ్యాటింగ్ స్థానంలో ప్రకారం) (81 *)', '4 వ అత్యధిక కెరీర్ బ్యాటింగ్ సగటు (53.40)', '7 వ అత్యుత్తమ బౌలింగ్ ఇన్నింగ్స్ లో విశ్లేషించడం (4/4)', '13 వ ఉత్తమ కెరీర్ ఆర్థిక రేటు (2.34) ',' ఇన్నింగ్స్ లో 19 ఉత్తమ ఆర్థిక రేటు (0.33) ',' 27 చెత్త కెరీర్లో సమ్మె రేటు (57.2) ',' 48 వ అత్యధిక వికెట్లు తీసుకున్న బౌల్డ్ (16) ']</v>
      </c>
      <c r="G2469" s="2"/>
      <c r="H2469" s="2" t="str">
        <f>IFERROR(__xludf.DUMMYFUNCTION("IF(G2469&lt;&gt;"""", GOOGLETRANSLATE(G2469, ""en"", ""te""),"""")"),"")</f>
        <v/>
      </c>
      <c r="I2469" s="3"/>
    </row>
    <row r="2470" customHeight="1" spans="1:9">
      <c r="A2470" s="2"/>
      <c r="B2470" s="2" t="str">
        <f>IFERROR(__xludf.DUMMYFUNCTION("IF(A2470&lt;&gt;"""", GOOGLETRANSLATE(A2470, ""en"", ""te""),"""")"),"")</f>
        <v/>
      </c>
      <c r="C2470" s="2"/>
      <c r="D2470" s="2" t="str">
        <f>IFERROR(__xludf.DUMMYFUNCTION("IF(C2470&lt;&gt;"""", GOOGLETRANSLATE(C2470, ""en"", ""te""),"""")"),"")</f>
        <v/>
      </c>
      <c r="E2470" s="2"/>
      <c r="F2470" s="2" t="str">
        <f>IFERROR(__xludf.DUMMYFUNCTION("IF(E2470&lt;&gt;"""", GOOGLETRANSLATE(E2470, ""en"", ""te""),"""")"),"")</f>
        <v/>
      </c>
      <c r="G2470" s="2"/>
      <c r="H2470" s="2" t="str">
        <f>IFERROR(__xludf.DUMMYFUNCTION("IF(G2470&lt;&gt;"""", GOOGLETRANSLATE(G2470, ""en"", ""te""),"""")"),"")</f>
        <v/>
      </c>
      <c r="I2470" s="3"/>
    </row>
    <row r="2471" customHeight="1" spans="1:9">
      <c r="A2471" s="2"/>
      <c r="B2471" s="2" t="str">
        <f>IFERROR(__xludf.DUMMYFUNCTION("IF(A2471&lt;&gt;"""", GOOGLETRANSLATE(A2471, ""en"", ""te""),"""")"),"")</f>
        <v/>
      </c>
      <c r="C2471" s="2"/>
      <c r="D2471" s="2" t="str">
        <f>IFERROR(__xludf.DUMMYFUNCTION("IF(C2471&lt;&gt;"""", GOOGLETRANSLATE(C2471, ""en"", ""te""),"""")"),"")</f>
        <v/>
      </c>
      <c r="E2471" s="2"/>
      <c r="F2471" s="2" t="str">
        <f>IFERROR(__xludf.DUMMYFUNCTION("IF(E2471&lt;&gt;"""", GOOGLETRANSLATE(E2471, ""en"", ""te""),"""")"),"")</f>
        <v/>
      </c>
      <c r="G2471" s="2"/>
      <c r="H2471" s="2" t="str">
        <f>IFERROR(__xludf.DUMMYFUNCTION("IF(G2471&lt;&gt;"""", GOOGLETRANSLATE(G2471, ""en"", ""te""),"""")"),"")</f>
        <v/>
      </c>
      <c r="I2471" s="3"/>
    </row>
    <row r="2472" customHeight="1" spans="1:9">
      <c r="A2472" s="2"/>
      <c r="B2472" s="2" t="str">
        <f>IFERROR(__xludf.DUMMYFUNCTION("IF(A2472&lt;&gt;"""", GOOGLETRANSLATE(A2472, ""en"", ""te""),"""")"),"")</f>
        <v/>
      </c>
      <c r="C2472" s="2"/>
      <c r="D2472" s="2" t="str">
        <f>IFERROR(__xludf.DUMMYFUNCTION("IF(C2472&lt;&gt;"""", GOOGLETRANSLATE(C2472, ""en"", ""te""),"""")"),"")</f>
        <v/>
      </c>
      <c r="E2472" s="2"/>
      <c r="F2472" s="2" t="str">
        <f>IFERROR(__xludf.DUMMYFUNCTION("IF(E2472&lt;&gt;"""", GOOGLETRANSLATE(E2472, ""en"", ""te""),"""")"),"")</f>
        <v/>
      </c>
      <c r="G2472" s="2" t="s">
        <v>1769</v>
      </c>
      <c r="H2472" s="2" t="str">
        <f>IFERROR(__xludf.DUMMYFUNCTION("IF(G2472&lt;&gt;"""", GOOGLETRANSLATE(G2472, ""en"", ""te""),"""")"),"[ 'ఇన్నింగ్స్ లో 15 వ అత్యధిక క్యాచ్లు (3)' '35 వ చెత్త కెరీర్ (71.66) (అర్హత లేకుండా) సగటు బౌలింగ్',]")</f>
        <v>[ 'ఇన్నింగ్స్ లో 15 వ అత్యధిక క్యాచ్లు (3)' '35 వ చెత్త కెరీర్ (71.66) (అర్హత లేకుండా) సగటు బౌలింగ్',]</v>
      </c>
      <c r="I2472" s="3"/>
    </row>
    <row r="2473" customHeight="1" spans="1:9">
      <c r="A2473" s="2" t="s">
        <v>1770</v>
      </c>
      <c r="B2473" s="2" t="str">
        <f>IFERROR(__xludf.DUMMYFUNCTION("IF(A2473&lt;&gt;"""", GOOGLETRANSLATE(A2473, ""en"", ""te""),"""")"),"[ '5 వ చెత్త ఆర్థిక వ్యవస్థ ఇన్నింగ్స్లో రేటు (12.42)']")</f>
        <v>[ '5 వ చెత్త ఆర్థిక వ్యవస్థ ఇన్నింగ్స్లో రేటు (12.42)']</v>
      </c>
      <c r="C2473" s="2" t="s">
        <v>1771</v>
      </c>
      <c r="D2473" s="2" t="str">
        <f>IFERROR(__xludf.DUMMYFUNCTION("IF(C2473&lt;&gt;"""", GOOGLETRANSLATE(C2473, ""en"", ""te""),"""")"),"[ '24 చెత్త ఇన్నింగ్స్ లో ఆర్థిక రేటు (6.72)', 'ఒక మ్యాచ్లో 17 వ బెస్ట్ ఫిగర్స్ ప్రవేశం (9) న', '50 వికెట్లు వేగంగా 20 (10)']")</f>
        <v>[ '24 చెత్త ఇన్నింగ్స్ లో ఆర్థిక రేటు (6.72)', 'ఒక మ్యాచ్లో 17 వ బెస్ట్ ఫిగర్స్ ప్రవేశం (9) న', '50 వికెట్లు వేగంగా 20 (10)']</v>
      </c>
      <c r="E2473" s="2" t="s">
        <v>1770</v>
      </c>
      <c r="F2473" s="2" t="str">
        <f>IFERROR(__xludf.DUMMYFUNCTION("IF(E2473&lt;&gt;"""", GOOGLETRANSLATE(E2473, ""en"", ""te""),"""")"),"[ '5 వ చెత్త ఆర్థిక వ్యవస్థ ఇన్నింగ్స్లో రేటు (12.42)']")</f>
        <v>[ '5 వ చెత్త ఆర్థిక వ్యవస్థ ఇన్నింగ్స్లో రేటు (12.42)']</v>
      </c>
      <c r="G2473" s="2" t="s">
        <v>1772</v>
      </c>
      <c r="H2473" s="2" t="str">
        <f>IFERROR(__xludf.DUMMYFUNCTION("IF(G2473&lt;&gt;"""", GOOGLETRANSLATE(G2473, ""en"", ""te""),"""")"),"[ '48 వ అత్యధిక వికెట్లు సాధించిన వికెట్కీపర్గా (5) ద్వారా ఆకర్షించింది తీసిన]")</f>
        <v>[ '48 వ అత్యధిక వికెట్లు సాధించిన వికెట్కీపర్గా (5) ద్వారా ఆకర్షించింది తీసిన]</v>
      </c>
      <c r="I2473" s="3"/>
    </row>
    <row r="2474" customHeight="1" spans="1:9">
      <c r="A2474" s="2" t="s">
        <v>1773</v>
      </c>
      <c r="B2474" s="2" t="str">
        <f>IFERROR(__xludf.DUMMYFUNCTION("IF(A2474&lt;&gt;"""", GOOGLETRANSLATE(A2474, ""en"", ""te""),"""")"),"[ 'హండ్రెడ్ ఒక మ్యాచ్లో ప్రతి ఇన్నింగ్స్లో' '99 (199, 299 etc) కొట్టివేయబడింది 1st (99)', 'హండ్రెడ్ మరియు ఒక మ్యాచ్లో ఒక డక్', '8 వ చెత్త కెరీర్ బౌలింగ్ సరాసరి (65.80)', ' ఒక మ్యాచ్లో 8 వ అత్యధిక క్యాచ్లు (6) ',' 5000 పరుగులు మరియు 50 ఫీల్డింగ్ వికెట్లు '"&amp;",' వరుస మ్యాచ్లలో 5 వ యాభైల్లో (8) ']")</f>
        <v>[ 'హండ్రెడ్ ఒక మ్యాచ్లో ప్రతి ఇన్నింగ్స్లో' '99 (199, 299 etc) కొట్టివేయబడింది 1st (99)', 'హండ్రెడ్ మరియు ఒక మ్యాచ్లో ఒక డక్', '8 వ చెత్త కెరీర్ బౌలింగ్ సరాసరి (65.80)', ' ఒక మ్యాచ్లో 8 వ అత్యధిక క్యాచ్లు (6) ',' 5000 పరుగులు మరియు 50 ఫీల్డింగ్ వికెట్లు ',' వరుస మ్యాచ్లలో 5 వ యాభైల్లో (8) ']</v>
      </c>
      <c r="C2474" s="2" t="s">
        <v>1774</v>
      </c>
      <c r="D2474" s="2" t="str">
        <f>IFERROR(__xludf.DUMMYFUNCTION("IF(C2474&lt;&gt;"""", GOOGLETRANSLATE(C2474, ""en"", ""te""),"""")"),"[ '34 వ కెప్టెన్ ద్వారా ఒక సిరీస్లో అత్యధిక పరుగులు (542)', 'వరుస మ్యాచ్లలో 26 యాభైల్లో (7)', '8 వ చెత్త కెరీర్ సగటు బౌలింగ్' 1st 99 (199, 299 etc) (99) అవుటయ్యాడు ' (65.80) ',' 10 వ చెత్త కెరీర్లో సమ్మె రేటు (143.6) ',' 34 వ అత్యధిక క్యాచ్లు కెరీర్లో (1"&amp;"05) ',' 8 వ ఒక మ్యాచ్లో అత్యధిక క్యాచ్లు (6) ',' 24th ఒక సిరీస్లో అత్యధిక క్యాచ్లు (11) ' , 'మూడో వికెట్కు 39 వ అత్యధిక భాగస్వామ్యం (264)', '49 వ అత్యధిక మ్యాచ్లు కెప్టెన్గా (30)', '21 వ వరుస మ్యాచ్లు ఒక జట్టు కెప్టెన్గా (30 '22 వ వరుస బృందం (71) మ్యాచ్' "&amp;") ',' 23 వ వరుస (3 అన్ని టాస్ గెలిచిన జట్టు) ']")</f>
        <v>[ '34 వ కెప్టెన్ ద్వారా ఒక సిరీస్లో అత్యధిక పరుగులు (542)', 'వరుస మ్యాచ్లలో 26 యాభైల్లో (7)', '8 వ చెత్త కెరీర్ సగటు బౌలింగ్' 1st 99 (199, 299 etc) (99) అవుటయ్యాడు ' (65.80) ',' 10 వ చెత్త కెరీర్లో సమ్మె రేటు (143.6) ',' 34 వ అత్యధిక క్యాచ్లు కెరీర్లో (105) ',' 8 వ ఒక మ్యాచ్లో అత్యధిక క్యాచ్లు (6) ',' 24th ఒక సిరీస్లో అత్యధిక క్యాచ్లు (11) ' , 'మూడో వికెట్కు 39 వ అత్యధిక భాగస్వామ్యం (264)', '49 వ అత్యధిక మ్యాచ్లు కెప్టెన్గా (30)', '21 వ వరుస మ్యాచ్లు ఒక జట్టు కెప్టెన్గా (30 '22 వ వరుస బృందం (71) మ్యాచ్' ) ',' 23 వ వరుస (3 అన్ని టాస్ గెలిచిన జట్టు) ']</v>
      </c>
      <c r="E2474" s="2" t="s">
        <v>1775</v>
      </c>
      <c r="F2474" s="2" t="str">
        <f>IFERROR(__xludf.DUMMYFUNCTION("IF(E2474&lt;&gt;"""", GOOGLETRANSLATE(E2474, ""en"", ""te""),"""")"),"[ 'వరుస ఇన్నింగ్స్లో 44 వ యాభైల్లో (4)', '31 ఉత్తమ కెరీర్ (11.50) (అర్హత లేకుండా) సగటు బౌలింగ్', '43 వ పురాతన దేశం ఆటగాళ్ళు (77y 248d)']")</f>
        <v>[ 'వరుస ఇన్నింగ్స్లో 44 వ యాభైల్లో (4)', '31 ఉత్తమ కెరీర్ (11.50) (అర్హత లేకుండా) సగటు బౌలింగ్', '43 వ పురాతన దేశం ఆటగాళ్ళు (77y 248d)']</v>
      </c>
      <c r="G2474" s="2"/>
      <c r="H2474" s="2" t="str">
        <f>IFERROR(__xludf.DUMMYFUNCTION("IF(G2474&lt;&gt;"""", GOOGLETRANSLATE(G2474, ""en"", ""te""),"""")"),"")</f>
        <v/>
      </c>
      <c r="I2474" s="3"/>
    </row>
    <row r="2475" customHeight="1" spans="1:9">
      <c r="A2475" s="2" t="s">
        <v>1776</v>
      </c>
      <c r="B2475" s="2" t="str">
        <f>IFERROR(__xludf.DUMMYFUNCTION("IF(A2475&lt;&gt;"""", GOOGLETRANSLATE(A2475, ""en"", ""te""),"""")"),"[ '9 వ అత్యంత ఇన్నింగ్స్ లో సాధించిన బైస్ (30)']")</f>
        <v>[ '9 వ అత్యంత ఇన్నింగ్స్ లో సాధించిన బైస్ (30)']</v>
      </c>
      <c r="C2475" s="2" t="s">
        <v>1776</v>
      </c>
      <c r="D2475" s="2" t="str">
        <f>IFERROR(__xludf.DUMMYFUNCTION("IF(C2475&lt;&gt;"""", GOOGLETRANSLATE(C2475, ""en"", ""te""),"""")"),"[ '9 వ అత్యంత ఇన్నింగ్స్ లో సాధించిన బైస్ (30)']")</f>
        <v>[ '9 వ అత్యంత ఇన్నింగ్స్ లో సాధించిన బైస్ (30)']</v>
      </c>
      <c r="E2475" s="2"/>
      <c r="F2475" s="2" t="str">
        <f>IFERROR(__xludf.DUMMYFUNCTION("IF(E2475&lt;&gt;"""", GOOGLETRANSLATE(E2475, ""en"", ""te""),"""")"),"")</f>
        <v/>
      </c>
      <c r="G2475" s="2"/>
      <c r="H2475" s="2" t="str">
        <f>IFERROR(__xludf.DUMMYFUNCTION("IF(G2475&lt;&gt;"""", GOOGLETRANSLATE(G2475, ""en"", ""te""),"""")"),"")</f>
        <v/>
      </c>
      <c r="I2475" s="3"/>
    </row>
    <row r="2476" customHeight="1" spans="1:9">
      <c r="A2476" s="2"/>
      <c r="B2476" s="2" t="str">
        <f>IFERROR(__xludf.DUMMYFUNCTION("IF(A2476&lt;&gt;"""", GOOGLETRANSLATE(A2476, ""en"", ""te""),"""")"),"")</f>
        <v/>
      </c>
      <c r="C2476" s="2"/>
      <c r="D2476" s="2" t="str">
        <f>IFERROR(__xludf.DUMMYFUNCTION("IF(C2476&lt;&gt;"""", GOOGLETRANSLATE(C2476, ""en"", ""te""),"""")"),"")</f>
        <v/>
      </c>
      <c r="E2476" s="2"/>
      <c r="F2476" s="2" t="str">
        <f>IFERROR(__xludf.DUMMYFUNCTION("IF(E2476&lt;&gt;"""", GOOGLETRANSLATE(E2476, ""en"", ""te""),"""")"),"")</f>
        <v/>
      </c>
      <c r="G2476" s="2"/>
      <c r="H2476" s="2" t="str">
        <f>IFERROR(__xludf.DUMMYFUNCTION("IF(G2476&lt;&gt;"""", GOOGLETRANSLATE(G2476, ""en"", ""te""),"""")"),"")</f>
        <v/>
      </c>
      <c r="I2476" s="3"/>
    </row>
    <row r="2477" customHeight="1" spans="1:9">
      <c r="A2477" s="2"/>
      <c r="B2477" s="2" t="str">
        <f>IFERROR(__xludf.DUMMYFUNCTION("IF(A2477&lt;&gt;"""", GOOGLETRANSLATE(A2477, ""en"", ""te""),"""")"),"")</f>
        <v/>
      </c>
      <c r="C2477" s="2"/>
      <c r="D2477" s="2" t="str">
        <f>IFERROR(__xludf.DUMMYFUNCTION("IF(C2477&lt;&gt;"""", GOOGLETRANSLATE(C2477, ""en"", ""te""),"""")"),"")</f>
        <v/>
      </c>
      <c r="E2477" s="2" t="s">
        <v>362</v>
      </c>
      <c r="F2477" s="2" t="str">
        <f>IFERROR(__xludf.DUMMYFUNCTION("IF(E2477&lt;&gt;"""", GOOGLETRANSLATE(E2477, ""en"", ""te""),"""")"),"[ '11 వ పురాతన దేశం ఆటగాళ్ళు (81y 337d)']")</f>
        <v>[ '11 వ పురాతన దేశం ఆటగాళ్ళు (81y 337d)']</v>
      </c>
      <c r="G2477" s="2"/>
      <c r="H2477" s="2" t="str">
        <f>IFERROR(__xludf.DUMMYFUNCTION("IF(G2477&lt;&gt;"""", GOOGLETRANSLATE(G2477, ""en"", ""te""),"""")"),"")</f>
        <v/>
      </c>
      <c r="I2477" s="3"/>
    </row>
    <row r="2478" customHeight="1" spans="1:9">
      <c r="A2478" s="2"/>
      <c r="B2478" s="2" t="str">
        <f>IFERROR(__xludf.DUMMYFUNCTION("IF(A2478&lt;&gt;"""", GOOGLETRANSLATE(A2478, ""en"", ""te""),"""")"),"")</f>
        <v/>
      </c>
      <c r="C2478" s="2"/>
      <c r="D2478" s="2" t="str">
        <f>IFERROR(__xludf.DUMMYFUNCTION("IF(C2478&lt;&gt;"""", GOOGLETRANSLATE(C2478, ""en"", ""te""),"""")"),"")</f>
        <v/>
      </c>
      <c r="E2478" s="2"/>
      <c r="F2478" s="2" t="str">
        <f>IFERROR(__xludf.DUMMYFUNCTION("IF(E2478&lt;&gt;"""", GOOGLETRANSLATE(E2478, ""en"", ""te""),"""")"),"")</f>
        <v/>
      </c>
      <c r="G2478" s="2"/>
      <c r="H2478" s="2" t="str">
        <f>IFERROR(__xludf.DUMMYFUNCTION("IF(G2478&lt;&gt;"""", GOOGLETRANSLATE(G2478, ""en"", ""te""),"""")"),"")</f>
        <v/>
      </c>
      <c r="I2478" s="3"/>
    </row>
    <row r="2479" customHeight="1" spans="1:9">
      <c r="A2479" s="2" t="s">
        <v>1777</v>
      </c>
      <c r="B2479" s="2" t="str">
        <f>IFERROR(__xludf.DUMMYFUNCTION("IF(A2479&lt;&gt;"""", GOOGLETRANSLATE(A2479, ""en"", ""te""),"""")"),"[ 'ఇన్నింగ్స్ లో 3 వ అత్యధిక పరుగులు (బ్యాటింగ్ స్థానంలో ప్రకారం) (307)', 'ఒక వృత్తిలో 5 వ అత్యధిక ట్రిపుల్ సెంచరీలు (1)', 'హండ్రెడ్ మరియు ఒక మ్యాచ్లో తొంభై', '10 వ లాంగెస్ట్ వ్యక్తిగత ఇన్నింగ్స్ (బంతులతో) (589) ']")</f>
        <v>[ 'ఇన్నింగ్స్ లో 3 వ అత్యధిక పరుగులు (బ్యాటింగ్ స్థానంలో ప్రకారం) (307)', 'ఒక వృత్తిలో 5 వ అత్యధిక ట్రిపుల్ సెంచరీలు (1)', 'హండ్రెడ్ మరియు ఒక మ్యాచ్లో తొంభై', '10 వ లాంగెస్ట్ వ్యక్తిగత ఇన్నింగ్స్ (బంతులతో) (589) ']</v>
      </c>
      <c r="C2479" s="2" t="s">
        <v>1778</v>
      </c>
      <c r="D2479" s="2" t="str">
        <f>IFERROR(__xludf.DUMMYFUNCTION("IF(C2479&lt;&gt;"""", GOOGLETRANSLATE(C2479, ""en"", ""te""),"""")"),"[ '26 ఇన్నింగ్స్ లో అత్యధిక పరుగులు (307)', '45 వ మ్యాచ్లో (307) అత్యధిక పరుగులు' '3 వ అత్యంత ఇన్నింగ్స్ లో నడుస్తుంది (బ్యాటింగ్ స్థానం) (307)', 'ఒక వృత్తిలో 5 వ అత్యధిక ట్రిపుల్ వందల (1) ',' 8 వ పిన్న ఆటగాడు ట్రిపుల్ వందల (25y 129d) ',' 1 వ 99 (199, 299"&amp;" etc) (99) ',' 17 వ లాంగెస్ట్ వ్యక్తిగత ఇన్నింగ్స్ (నిమిషాలు) (727) 'అవుట్ స్కోర్ '10 వ లాంగెస్ట్ వ్యక్తిగత ఇన్నింగ్స్ (బంతులతో) (589)', 'ఒక ఇన్నింగ్స్లో పరుగుల 49 వ అత్యధిక శాతం (56.50)', '35 వ 1000 పరుగులు వేగంగా (21)', '29th 2000 పరుగులు వేగంగా (43) ']")</f>
        <v>[ '26 ఇన్నింగ్స్ లో అత్యధిక పరుగులు (307)', '45 వ మ్యాచ్లో (307) అత్యధిక పరుగులు' '3 వ అత్యంత ఇన్నింగ్స్ లో నడుస్తుంది (బ్యాటింగ్ స్థానం) (307)', 'ఒక వృత్తిలో 5 వ అత్యధిక ట్రిపుల్ వందల (1) ',' 8 వ పిన్న ఆటగాడు ట్రిపుల్ వందల (25y 129d) ',' 1 వ 99 (199, 299 etc) (99) ',' 17 వ లాంగెస్ట్ వ్యక్తిగత ఇన్నింగ్స్ (నిమిషాలు) (727) 'అవుట్ స్కోర్ '10 వ లాంగెస్ట్ వ్యక్తిగత ఇన్నింగ్స్ (బంతులతో) (589)', 'ఒక ఇన్నింగ్స్లో పరుగుల 49 వ అత్యధిక శాతం (56.50)', '35 వ 1000 పరుగులు వేగంగా (21)', '29th 2000 పరుగులు వేగంగా (43) ']</v>
      </c>
      <c r="E2479" s="2" t="s">
        <v>1779</v>
      </c>
      <c r="F2479" s="2" t="str">
        <f>IFERROR(__xludf.DUMMYFUNCTION("IF(E2479&lt;&gt;"""", GOOGLETRANSLATE(E2479, ""en"", ""te""),"""")"),"[ '38 వ ఒక మ్యాచ్ రిఫరీ గా అత్యధిక మ్యాచ్లు (12)']")</f>
        <v>[ '38 వ ఒక మ్యాచ్ రిఫరీ గా అత్యధిక మ్యాచ్లు (12)']</v>
      </c>
      <c r="G2479" s="2"/>
      <c r="H2479" s="2" t="str">
        <f>IFERROR(__xludf.DUMMYFUNCTION("IF(G2479&lt;&gt;"""", GOOGLETRANSLATE(G2479, ""en"", ""te""),"""")"),"")</f>
        <v/>
      </c>
      <c r="I2479" s="3"/>
    </row>
    <row r="2480" customHeight="1" spans="1:9">
      <c r="A2480" s="2"/>
      <c r="B2480" s="2" t="str">
        <f>IFERROR(__xludf.DUMMYFUNCTION("IF(A2480&lt;&gt;"""", GOOGLETRANSLATE(A2480, ""en"", ""te""),"""")"),"")</f>
        <v/>
      </c>
      <c r="C2480" s="2" t="s">
        <v>1780</v>
      </c>
      <c r="D2480" s="2" t="str">
        <f>IFERROR(__xludf.DUMMYFUNCTION("IF(C2480&lt;&gt;"""", GOOGLETRANSLATE(C2480, ""en"", ""te""),"""")"),"[ 'నాలుగో వికెట్కు (259) కోసం 38 వ అత్యధిక భాగస్వామ్యం']")</f>
        <v>[ 'నాలుగో వికెట్కు (259) కోసం 38 వ అత్యధిక భాగస్వామ్యం']</v>
      </c>
      <c r="E2480" s="2"/>
      <c r="F2480" s="2" t="str">
        <f>IFERROR(__xludf.DUMMYFUNCTION("IF(E2480&lt;&gt;"""", GOOGLETRANSLATE(E2480, ""en"", ""te""),"""")"),"")</f>
        <v/>
      </c>
      <c r="G2480" s="2"/>
      <c r="H2480" s="2" t="str">
        <f>IFERROR(__xludf.DUMMYFUNCTION("IF(G2480&lt;&gt;"""", GOOGLETRANSLATE(G2480, ""en"", ""te""),"""")"),"")</f>
        <v/>
      </c>
      <c r="I2480" s="3"/>
    </row>
    <row r="2481" customHeight="1" spans="1:9">
      <c r="A2481" s="2" t="s">
        <v>1781</v>
      </c>
      <c r="B2481" s="2" t="str">
        <f>IFERROR(__xludf.DUMMYFUNCTION("IF(A2481&lt;&gt;"""", GOOGLETRANSLATE(A2481, ""en"", ""te""),"""")"),"[ 'ఇన్నింగ్స్ లో 3 వ అత్యధిక క్యాచ్లు (3)']")</f>
        <v>[ 'ఇన్నింగ్స్ లో 3 వ అత్యధిక క్యాచ్లు (3)']</v>
      </c>
      <c r="C2481" s="2"/>
      <c r="D2481" s="2" t="str">
        <f>IFERROR(__xludf.DUMMYFUNCTION("IF(C2481&lt;&gt;"""", GOOGLETRANSLATE(C2481, ""en"", ""te""),"""")"),"")</f>
        <v/>
      </c>
      <c r="E2481" s="2"/>
      <c r="F2481" s="2" t="str">
        <f>IFERROR(__xludf.DUMMYFUNCTION("IF(E2481&lt;&gt;"""", GOOGLETRANSLATE(E2481, ""en"", ""te""),"""")"),"")</f>
        <v/>
      </c>
      <c r="G2481" s="2" t="s">
        <v>1782</v>
      </c>
      <c r="H2481" s="2" t="str">
        <f>IFERROR(__xludf.DUMMYFUNCTION("IF(G2481&lt;&gt;"""", GOOGLETRANSLATE(G2481, ""en"", ""te""),"""")"),"[ 'కెరీర్లో 29 వ లేవు బాతులు (10)', 'ఇన్నింగ్స్ లో 3 వ అత్యధిక క్యాచ్లు (3)']")</f>
        <v>[ 'కెరీర్లో 29 వ లేవు బాతులు (10)', 'ఇన్నింగ్స్ లో 3 వ అత్యధిక క్యాచ్లు (3)']</v>
      </c>
      <c r="I2481" s="3"/>
    </row>
    <row r="2482" customHeight="1" spans="1:9">
      <c r="A2482" s="2"/>
      <c r="B2482" s="2" t="str">
        <f>IFERROR(__xludf.DUMMYFUNCTION("IF(A2482&lt;&gt;"""", GOOGLETRANSLATE(A2482, ""en"", ""te""),"""")"),"")</f>
        <v/>
      </c>
      <c r="C2482" s="2"/>
      <c r="D2482" s="2" t="str">
        <f>IFERROR(__xludf.DUMMYFUNCTION("IF(C2482&lt;&gt;"""", GOOGLETRANSLATE(C2482, ""en"", ""te""),"""")"),"")</f>
        <v/>
      </c>
      <c r="E2482" s="2"/>
      <c r="F2482" s="2" t="str">
        <f>IFERROR(__xludf.DUMMYFUNCTION("IF(E2482&lt;&gt;"""", GOOGLETRANSLATE(E2482, ""en"", ""te""),"""")"),"")</f>
        <v/>
      </c>
      <c r="G2482" s="2"/>
      <c r="H2482" s="2" t="str">
        <f>IFERROR(__xludf.DUMMYFUNCTION("IF(G2482&lt;&gt;"""", GOOGLETRANSLATE(G2482, ""en"", ""te""),"""")"),"")</f>
        <v/>
      </c>
      <c r="I2482" s="3"/>
    </row>
    <row r="2483" customHeight="1" spans="1:9">
      <c r="A2483" s="2"/>
      <c r="B2483" s="2" t="str">
        <f>IFERROR(__xludf.DUMMYFUNCTION("IF(A2483&lt;&gt;"""", GOOGLETRANSLATE(A2483, ""en"", ""te""),"""")"),"")</f>
        <v/>
      </c>
      <c r="C2483" s="2"/>
      <c r="D2483" s="2" t="str">
        <f>IFERROR(__xludf.DUMMYFUNCTION("IF(C2483&lt;&gt;"""", GOOGLETRANSLATE(C2483, ""en"", ""te""),"""")"),"")</f>
        <v/>
      </c>
      <c r="E2483" s="2"/>
      <c r="F2483" s="2" t="str">
        <f>IFERROR(__xludf.DUMMYFUNCTION("IF(E2483&lt;&gt;"""", GOOGLETRANSLATE(E2483, ""en"", ""te""),"""")"),"")</f>
        <v/>
      </c>
      <c r="G2483" s="2"/>
      <c r="H2483" s="2" t="str">
        <f>IFERROR(__xludf.DUMMYFUNCTION("IF(G2483&lt;&gt;"""", GOOGLETRANSLATE(G2483, ""en"", ""te""),"""")"),"")</f>
        <v/>
      </c>
      <c r="I2483" s="3"/>
    </row>
    <row r="2484" customHeight="1" spans="1:9">
      <c r="A2484" s="2"/>
      <c r="B2484" s="2" t="str">
        <f>IFERROR(__xludf.DUMMYFUNCTION("IF(A2484&lt;&gt;"""", GOOGLETRANSLATE(A2484, ""en"", ""te""),"""")"),"")</f>
        <v/>
      </c>
      <c r="C2484" s="2"/>
      <c r="D2484" s="2" t="str">
        <f>IFERROR(__xludf.DUMMYFUNCTION("IF(C2484&lt;&gt;"""", GOOGLETRANSLATE(C2484, ""en"", ""te""),"""")"),"")</f>
        <v/>
      </c>
      <c r="E2484" s="2"/>
      <c r="F2484" s="2" t="str">
        <f>IFERROR(__xludf.DUMMYFUNCTION("IF(E2484&lt;&gt;"""", GOOGLETRANSLATE(E2484, ""en"", ""te""),"""")"),"")</f>
        <v/>
      </c>
      <c r="G2484" s="2"/>
      <c r="H2484" s="2" t="str">
        <f>IFERROR(__xludf.DUMMYFUNCTION("IF(G2484&lt;&gt;"""", GOOGLETRANSLATE(G2484, ""en"", ""te""),"""")"),"")</f>
        <v/>
      </c>
      <c r="I2484" s="3"/>
    </row>
    <row r="2485" customHeight="1" spans="1:9">
      <c r="A2485" s="2"/>
      <c r="B2485" s="2" t="str">
        <f>IFERROR(__xludf.DUMMYFUNCTION("IF(A2485&lt;&gt;"""", GOOGLETRANSLATE(A2485, ""en"", ""te""),"""")"),"")</f>
        <v/>
      </c>
      <c r="C2485" s="2"/>
      <c r="D2485" s="2" t="str">
        <f>IFERROR(__xludf.DUMMYFUNCTION("IF(C2485&lt;&gt;"""", GOOGLETRANSLATE(C2485, ""en"", ""te""),"""")"),"")</f>
        <v/>
      </c>
      <c r="E2485" s="2"/>
      <c r="F2485" s="2" t="str">
        <f>IFERROR(__xludf.DUMMYFUNCTION("IF(E2485&lt;&gt;"""", GOOGLETRANSLATE(E2485, ""en"", ""te""),"""")"),"")</f>
        <v/>
      </c>
      <c r="G2485" s="2"/>
      <c r="H2485" s="2" t="str">
        <f>IFERROR(__xludf.DUMMYFUNCTION("IF(G2485&lt;&gt;"""", GOOGLETRANSLATE(G2485, ""en"", ""te""),"""")"),"")</f>
        <v/>
      </c>
      <c r="I2485" s="3"/>
    </row>
    <row r="2486" customHeight="1" spans="1:9">
      <c r="A2486" s="2"/>
      <c r="B2486" s="2" t="str">
        <f>IFERROR(__xludf.DUMMYFUNCTION("IF(A2486&lt;&gt;"""", GOOGLETRANSLATE(A2486, ""en"", ""te""),"""")"),"")</f>
        <v/>
      </c>
      <c r="C2486" s="2"/>
      <c r="D2486" s="2" t="str">
        <f>IFERROR(__xludf.DUMMYFUNCTION("IF(C2486&lt;&gt;"""", GOOGLETRANSLATE(C2486, ""en"", ""te""),"""")"),"")</f>
        <v/>
      </c>
      <c r="E2486" s="2"/>
      <c r="F2486" s="2" t="str">
        <f>IFERROR(__xludf.DUMMYFUNCTION("IF(E2486&lt;&gt;"""", GOOGLETRANSLATE(E2486, ""en"", ""te""),"""")"),"")</f>
        <v/>
      </c>
      <c r="G2486" s="2"/>
      <c r="H2486" s="2" t="str">
        <f>IFERROR(__xludf.DUMMYFUNCTION("IF(G2486&lt;&gt;"""", GOOGLETRANSLATE(G2486, ""en"", ""te""),"""")"),"")</f>
        <v/>
      </c>
      <c r="I2486" s="3"/>
    </row>
    <row r="2487" customHeight="1" spans="1:9">
      <c r="A2487" s="2" t="s">
        <v>942</v>
      </c>
      <c r="B2487" s="2" t="str">
        <f>IFERROR(__xludf.DUMMYFUNCTION("IF(A2487&lt;&gt;"""", GOOGLETRANSLATE(A2487, ""en"", ""te""),"""")"),"[ 'వరుస 2nd అత్యంత బాతులు (5)']")</f>
        <v>[ 'వరుస 2nd అత్యంత బాతులు (5)']</v>
      </c>
      <c r="C2487" s="2" t="s">
        <v>1783</v>
      </c>
      <c r="D2487" s="2" t="str">
        <f>IFERROR(__xludf.DUMMYFUNCTION("IF(C2487&lt;&gt;"""", GOOGLETRANSLATE(C2487, ""en"", ""te""),"""")"),"[ 'వరుస 2nd అత్యంత బాతులు (5)', '4 వ అత్యధిక వరుస బాతులు (4)', '33 వ ప్రవేశం (8) ఒక మ్యాచ్లో బెస్ట్ ఫిగర్స్']")</f>
        <v>[ 'వరుస 2nd అత్యంత బాతులు (5)', '4 వ అత్యధిక వరుస బాతులు (4)', '33 వ ప్రవేశం (8) ఒక మ్యాచ్లో బెస్ట్ ఫిగర్స్']</v>
      </c>
      <c r="E2487" s="2"/>
      <c r="F2487" s="2" t="str">
        <f>IFERROR(__xludf.DUMMYFUNCTION("IF(E2487&lt;&gt;"""", GOOGLETRANSLATE(E2487, ""en"", ""te""),"""")"),"")</f>
        <v/>
      </c>
      <c r="G2487" s="2"/>
      <c r="H2487" s="2" t="str">
        <f>IFERROR(__xludf.DUMMYFUNCTION("IF(G2487&lt;&gt;"""", GOOGLETRANSLATE(G2487, ""en"", ""te""),"""")"),"")</f>
        <v/>
      </c>
      <c r="I2487" s="3"/>
    </row>
    <row r="2488" customHeight="1" spans="1:9">
      <c r="A2488" s="2" t="s">
        <v>1784</v>
      </c>
      <c r="B2488" s="2" t="str">
        <f>IFERROR(__xludf.DUMMYFUNCTION("IF(A2488&lt;&gt;"""", GOOGLETRANSLATE(A2488, ""en"", ""te""),"""")"),"[ 'హండ్రెడ్ తొలి (104)', 'కెరీర్లో 10 వ లేవు బాతులు (31)']")</f>
        <v>[ 'హండ్రెడ్ తొలి (104)', 'కెరీర్లో 10 వ లేవు బాతులు (31)']</v>
      </c>
      <c r="C2488" s="2" t="s">
        <v>1785</v>
      </c>
      <c r="D2488" s="2" t="str">
        <f>IFERROR(__xludf.DUMMYFUNCTION("IF(C2488&lt;&gt;"""", GOOGLETRANSLATE(C2488, ""en"", ""te""),"""")"),"[40 వ రోజుకు లో అత్యధిక పరుగులు (203) ',' 24th తొలి మ్యాచ్లో అత్యధిక పరుగులు (174) ',' 10 వ లేవు బాతులు కెరీర్ లో (31) ',' 13 వ 1000 పరుగులు (18) వేగంగా ',' 18 వ ఉత్తమ ఒక ఇన్నింగ్స్ లో ఆర్థిక రేటు (0.46) ',' 40 వ ఓల్డెస్ట్ కాప్టెన్ (38y 209d) ']")</f>
        <v>[40 వ రోజుకు లో అత్యధిక పరుగులు (203) ',' 24th తొలి మ్యాచ్లో అత్యధిక పరుగులు (174) ',' 10 వ లేవు బాతులు కెరీర్ లో (31) ',' 13 వ 1000 పరుగులు (18) వేగంగా ',' 18 వ ఉత్తమ ఒక ఇన్నింగ్స్ లో ఆర్థిక రేటు (0.46) ',' 40 వ ఓల్డెస్ట్ కాప్టెన్ (38y 209d) ']</v>
      </c>
      <c r="E2488" s="2"/>
      <c r="F2488" s="2" t="str">
        <f>IFERROR(__xludf.DUMMYFUNCTION("IF(E2488&lt;&gt;"""", GOOGLETRANSLATE(E2488, ""en"", ""te""),"""")"),"")</f>
        <v/>
      </c>
      <c r="G2488" s="2"/>
      <c r="H2488" s="2" t="str">
        <f>IFERROR(__xludf.DUMMYFUNCTION("IF(G2488&lt;&gt;"""", GOOGLETRANSLATE(G2488, ""en"", ""te""),"""")"),"")</f>
        <v/>
      </c>
      <c r="I2488" s="3"/>
    </row>
    <row r="2489" customHeight="1" spans="1:9">
      <c r="A2489" s="2"/>
      <c r="B2489" s="2" t="str">
        <f>IFERROR(__xludf.DUMMYFUNCTION("IF(A2489&lt;&gt;"""", GOOGLETRANSLATE(A2489, ""en"", ""te""),"""")"),"")</f>
        <v/>
      </c>
      <c r="C2489" s="2"/>
      <c r="D2489" s="2" t="str">
        <f>IFERROR(__xludf.DUMMYFUNCTION("IF(C2489&lt;&gt;"""", GOOGLETRANSLATE(C2489, ""en"", ""te""),"""")"),"")</f>
        <v/>
      </c>
      <c r="E2489" s="2"/>
      <c r="F2489" s="2" t="str">
        <f>IFERROR(__xludf.DUMMYFUNCTION("IF(E2489&lt;&gt;"""", GOOGLETRANSLATE(E2489, ""en"", ""te""),"""")"),"")</f>
        <v/>
      </c>
      <c r="G2489" s="2"/>
      <c r="H2489" s="2" t="str">
        <f>IFERROR(__xludf.DUMMYFUNCTION("IF(G2489&lt;&gt;"""", GOOGLETRANSLATE(G2489, ""en"", ""te""),"""")"),"")</f>
        <v/>
      </c>
      <c r="I2489" s="3"/>
    </row>
    <row r="2490" customHeight="1" spans="1:9">
      <c r="A2490" s="2"/>
      <c r="B2490" s="2" t="str">
        <f>IFERROR(__xludf.DUMMYFUNCTION("IF(A2490&lt;&gt;"""", GOOGLETRANSLATE(A2490, ""en"", ""te""),"""")"),"")</f>
        <v/>
      </c>
      <c r="C2490" s="2"/>
      <c r="D2490" s="2" t="str">
        <f>IFERROR(__xludf.DUMMYFUNCTION("IF(C2490&lt;&gt;"""", GOOGLETRANSLATE(C2490, ""en"", ""te""),"""")"),"")</f>
        <v/>
      </c>
      <c r="E2490" s="2"/>
      <c r="F2490" s="2" t="str">
        <f>IFERROR(__xludf.DUMMYFUNCTION("IF(E2490&lt;&gt;"""", GOOGLETRANSLATE(E2490, ""en"", ""te""),"""")"),"")</f>
        <v/>
      </c>
      <c r="G2490" s="2"/>
      <c r="H2490" s="2" t="str">
        <f>IFERROR(__xludf.DUMMYFUNCTION("IF(G2490&lt;&gt;"""", GOOGLETRANSLATE(G2490, ""en"", ""te""),"""")"),"")</f>
        <v/>
      </c>
      <c r="I2490" s="3"/>
    </row>
    <row r="2491" customHeight="1" spans="1:9">
      <c r="A2491" s="2"/>
      <c r="B2491" s="2" t="str">
        <f>IFERROR(__xludf.DUMMYFUNCTION("IF(A2491&lt;&gt;"""", GOOGLETRANSLATE(A2491, ""en"", ""te""),"""")"),"")</f>
        <v/>
      </c>
      <c r="C2491" s="2"/>
      <c r="D2491" s="2" t="str">
        <f>IFERROR(__xludf.DUMMYFUNCTION("IF(C2491&lt;&gt;"""", GOOGLETRANSLATE(C2491, ""en"", ""te""),"""")"),"")</f>
        <v/>
      </c>
      <c r="E2491" s="2" t="s">
        <v>305</v>
      </c>
      <c r="F2491" s="2" t="str">
        <f>IFERROR(__xludf.DUMMYFUNCTION("IF(E2491&lt;&gt;"""", GOOGLETRANSLATE(E2491, ""en"", ""te""),"""")"),"[40 వ చెత్త కెరీర్ బౌలింగ్ సరాసరి (అర్హత లేకుండా) (71.00) ']")</f>
        <v>[40 వ చెత్త కెరీర్ బౌలింగ్ సరాసరి (అర్హత లేకుండా) (71.00) ']</v>
      </c>
      <c r="G2491" s="2"/>
      <c r="H2491" s="2" t="str">
        <f>IFERROR(__xludf.DUMMYFUNCTION("IF(G2491&lt;&gt;"""", GOOGLETRANSLATE(G2491, ""en"", ""te""),"""")"),"")</f>
        <v/>
      </c>
      <c r="I2491" s="3"/>
    </row>
    <row r="2492" customHeight="1" spans="1:9">
      <c r="A2492" s="2" t="s">
        <v>1786</v>
      </c>
      <c r="B2492" s="2" t="str">
        <f>IFERROR(__xludf.DUMMYFUNCTION("IF(A2492&lt;&gt;"""", GOOGLETRANSLATE(A2492, ""en"", ""te""),"""")"),"[ 'వరుస 7 వ అత్యధిక వికెట్లు (20)', '8 వ ఒక సిరీస్లో అత్యధిక క్యాచ్లు (18)', '200 పరుగులు మరియు ఒక సిరీస్లో 10 వికెట్కీపింగ్ తొలగింపులకు', 'ఆరవ వికెట్ (212) 3 వ అత్యధిక భాగస్వామ్యం']")</f>
        <v>[ 'వరుస 7 వ అత్యధిక వికెట్లు (20)', '8 వ ఒక సిరీస్లో అత్యధిక క్యాచ్లు (18)', '200 పరుగులు మరియు ఒక సిరీస్లో 10 వికెట్కీపింగ్ తొలగింపులకు', 'ఆరవ వికెట్ (212) 3 వ అత్యధిక భాగస్వామ్యం']</v>
      </c>
      <c r="C2492" s="2"/>
      <c r="D2492" s="2" t="str">
        <f>IFERROR(__xludf.DUMMYFUNCTION("IF(C2492&lt;&gt;"""", GOOGLETRANSLATE(C2492, ""en"", ""te""),"""")"),"")</f>
        <v/>
      </c>
      <c r="E2492" s="2" t="s">
        <v>1787</v>
      </c>
      <c r="F2492" s="2" t="str">
        <f>IFERROR(__xludf.DUMMYFUNCTION("IF(E2492&lt;&gt;"""", GOOGLETRANSLATE(E2492, ""en"", ""te""),"""")"),"[ '15 వ అత్యంత వికెట్కీపర్ శ్రేణిలో పరుగులు (375)', 'ఆరవ వికెట్కు 3 వ అత్యధిక భాగస్వామ్యం (212)', '49 వ అత్యధిక కెరీర్ లో వికెట్లు (54)', '16 వ ఇన్నింగ్స్ లో అత్యధిక వికెట్లు (5) ',' 7th ఒక సిరీస్లో అత్యధిక వికెట్లు (20) ',' 47 వ కెరీర్ లో అత్యధిక క్యాచ్ల"&amp;"ు (49) ',' 8 వ వరుస (18) లో అత్యధిక క్యాచ్లు ']")</f>
        <v>[ '15 వ అత్యంత వికెట్కీపర్ శ్రేణిలో పరుగులు (375)', 'ఆరవ వికెట్కు 3 వ అత్యధిక భాగస్వామ్యం (212)', '49 వ అత్యధిక కెరీర్ లో వికెట్లు (54)', '16 వ ఇన్నింగ్స్ లో అత్యధిక వికెట్లు (5) ',' 7th ఒక సిరీస్లో అత్యధిక వికెట్లు (20) ',' 47 వ కెరీర్ లో అత్యధిక క్యాచ్లు (49) ',' 8 వ వరుస (18) లో అత్యధిక క్యాచ్లు ']</v>
      </c>
      <c r="G2492" s="2" t="s">
        <v>1788</v>
      </c>
      <c r="H2492" s="2" t="str">
        <f>IFERROR(__xludf.DUMMYFUNCTION("IF(G2492&lt;&gt;"""", GOOGLETRANSLATE(G2492, ""en"", ""te""),"""")"),"[ '32 వ కెరీర్ లో బాతులు (18)', '19 వ కెరీర్ లో అత్యధిక వికెట్లు (23)', '29th కెరీర్లో అత్యధిక క్యాచ్లు (14)', '11 వ కెరీర్ స్టంపింగ్లు (9)']")</f>
        <v>[ '32 వ కెరీర్ లో బాతులు (18)', '19 వ కెరీర్ లో అత్యధిక వికెట్లు (23)', '29th కెరీర్లో అత్యధిక క్యాచ్లు (14)', '11 వ కెరీర్ స్టంపింగ్లు (9)']</v>
      </c>
      <c r="I2492" s="3"/>
    </row>
    <row r="2493" customHeight="1" spans="1:9">
      <c r="A2493" s="2" t="s">
        <v>1789</v>
      </c>
      <c r="B2493" s="2" t="str">
        <f>IFERROR(__xludf.DUMMYFUNCTION("IF(A2493&lt;&gt;"""", GOOGLETRANSLATE(A2493, ""en"", ""te""),"""")"),"[ '8 వ అత్యంత బృందం వరుసగా మ్యాచ్లు (15)', '4 వ వరుస మ్యాచ్లు ఒక జట్టు కెప్టెన్గా (11)', 'ఒక కెప్టెన్తో ఇన్నింగ్స్ లో 4 వ అత్యధిక పరుగులు (136)' తొలి 'హండ్రెడ్ (104 ) ',' 5 వ పిన్న ఆటగాడు వంద (20y 138d స్కోర్) ',' వరుస ఇన్నింగ్స్లో 5 వ యాభైల్లో (3) ',' ఒ"&amp;"క కెప్టెన్తో పెయిర్ ',' రెండవ వికెట్కు 5 వ అత్యధిక భాగస్వామ్యం (174) ',' 9 వ ఒక జట్టు (61) ',' 1 వ వరుస మ్యాచ్లు (58) ',' ఒక కెప్టెన్తో ఇన్నింగ్స్ లో 1 వ అత్యధిక పరుగులు (229 *) ',' 9 వ అత్యధిక కెరీర్ బ్యాటింగ్ సగటు ఒక జట్టు కెప్టెన్గా అత్యధిక వరుస పోటీలల"&amp;"ో (47.49 ) ',' 1st ఒక క్యాలెండర్ సంవత్సరంలో అత్యధిక వందలు (3 కెరీర్లో) ',' 3 వ అత్యంత తొంభైల (4) ',' వరుస ఇన్నింగ్స్లో 5 వ యాభైల్లో (5) ',' 1 వ అత్యంత ఇన్నింగ్స్ ముందు మొదటి డక్ (68) ', 'ఇన్నింగ్స్ లో 4 వ అత్యధిక క్యాచ్లు (3)' '8 వ అత్యధిక ఒక ఇన్నింగ్స్"&amp;"లో పరుగుల శాతం (57.48)', 'రెండవ వికెట్కు 7 వ అత్యధిక భాగస్వామ్యం (194)', 'కెప్టెన్సీ తొలి 10 వ ఓల్డెస్ట్ కాప్టెన్ (34y 357d ) ']")</f>
        <v>[ '8 వ అత్యంత బృందం వరుసగా మ్యాచ్లు (15)', '4 వ వరుస మ్యాచ్లు ఒక జట్టు కెప్టెన్గా (11)', 'ఒక కెప్టెన్తో ఇన్నింగ్స్ లో 4 వ అత్యధిక పరుగులు (136)' తొలి 'హండ్రెడ్ (104 ) ',' 5 వ పిన్న ఆటగాడు వంద (20y 138d స్కోర్) ',' వరుస ఇన్నింగ్స్లో 5 వ యాభైల్లో (3) ',' ఒక కెప్టెన్తో పెయిర్ ',' రెండవ వికెట్కు 5 వ అత్యధిక భాగస్వామ్యం (174) ',' 9 వ ఒక జట్టు (61) ',' 1 వ వరుస మ్యాచ్లు (58) ',' ఒక కెప్టెన్తో ఇన్నింగ్స్ లో 1 వ అత్యధిక పరుగులు (229 *) ',' 9 వ అత్యధిక కెరీర్ బ్యాటింగ్ సగటు ఒక జట్టు కెప్టెన్గా అత్యధిక వరుస పోటీలలో (47.49 ) ',' 1st ఒక క్యాలెండర్ సంవత్సరంలో అత్యధిక వందలు (3 కెరీర్లో) ',' 3 వ అత్యంత తొంభైల (4) ',' వరుస ఇన్నింగ్స్లో 5 వ యాభైల్లో (5) ',' 1 వ అత్యంత ఇన్నింగ్స్ ముందు మొదటి డక్ (68) ', 'ఇన్నింగ్స్ లో 4 వ అత్యధిక క్యాచ్లు (3)' '8 వ అత్యధిక ఒక ఇన్నింగ్స్లో పరుగుల శాతం (57.48)', 'రెండవ వికెట్కు 7 వ అత్యధిక భాగస్వామ్యం (194)', 'కెప్టెన్సీ తొలి 10 వ ఓల్డెస్ట్ కాప్టెన్ (34y 357d ) ']</v>
      </c>
      <c r="C2493" s="2" t="s">
        <v>1790</v>
      </c>
      <c r="D2493" s="2" t="str">
        <f>IFERROR(__xludf.DUMMYFUNCTION("IF(C2493&lt;&gt;"""", GOOGLETRANSLATE(C2493, ""en"", ""te""),"""")"),"[ '11 వ కెరీర్ లో అత్యధిక పరుగులు (919)', '28th ఇన్నింగ్స్ లో అత్యధిక పరుగులు (136)', '26 ఒక మ్యాచ్లో అత్యధిక పరుగులు (169)', '17 వ ఒక సిరీస్లో అత్యధిక పరుగులు (322)', '20 వ ఒక క్యాలెండర్ సంవత్సరంలో అత్యధిక పరుగులు (322) ',' ఒక కెప్టెన్తో ఇన్నింగ్స్ లో 11"&amp;" వ అత్యధిక పరుగులు (బ్యాటింగ్ స్థానంలో ప్రకారం) (136) ',' 10th ఒక సిరీస్లో అత్యధిక పరుగులు (277) ',' 4 వ అత్యంత ఇన్నింగ్స్ లో పరుగులు ఒక కెప్టెన్తో (136) ',' 13 వ అత్యధిక కెరీర్ బ్యాటింగ్ సగటు (45.95) ',' 14 వ తొలి మ్యాచ్లో అత్యధిక పరుగులు (117) ',' 10th "&amp;"ఒక వృత్తిలో అత్యధిక వందలు (2) ',' 5 వ పిన్న ఒక స్కోర్ ఆటగాడు వందల (20y 138d) ',' 6 వ కెరీర్ అర్ధ (8) ',' వరుస ఇన్నింగ్స్లో 5 వ యాభైల్లో మొదటి డక్ (21) ',' 9 వ వరుస ఒక డక్ లేకుండా ఇన్నింగ్స్ (ముందు (3) ',' 1 వ అత్యంత ఇన్నింగ్స్ కెరీర్లో 21) ',' 22 వ అతి త"&amp;"క్కువ బాతులు (12.5) ',' కెరీర్ లో 2 వ పెద్ద జతల (1) ',' ఏ వికెట్కు 16 అత్యధిక భాగస్వామ్యాల (174) ',' రెండవ వికెట్ (174 5 వ అత్యధిక భాగస్వామ్యం) ' '17 వ కెరీర్ లో అత్యధిక మ్యాచ్లు (15)', 'ఒక జట్టు 8 వ వరుస మ్యాచ్లు (15)', '16 వ లాంగెస్ట్ కెరీర్లు (14y 213d"&amp;")', '4 వ అత్యంత m (11) ',' 4 వ అత్యధిక వరుస ఒక జట్టు కెప్టెన్గా మ్యాచ్లు కెప్టెన్గా atches (11) ',' 11 వ పిన్న కాప్టెన్ (24y 171d) ']")</f>
        <v>[ '11 వ కెరీర్ లో అత్యధిక పరుగులు (919)', '28th ఇన్నింగ్స్ లో అత్యధిక పరుగులు (136)', '26 ఒక మ్యాచ్లో అత్యధిక పరుగులు (169)', '17 వ ఒక సిరీస్లో అత్యధిక పరుగులు (322)', '20 వ ఒక క్యాలెండర్ సంవత్సరంలో అత్యధిక పరుగులు (322) ',' ఒక కెప్టెన్తో ఇన్నింగ్స్ లో 11 వ అత్యధిక పరుగులు (బ్యాటింగ్ స్థానంలో ప్రకారం) (136) ',' 10th ఒక సిరీస్లో అత్యధిక పరుగులు (277) ',' 4 వ అత్యంత ఇన్నింగ్స్ లో పరుగులు ఒక కెప్టెన్తో (136) ',' 13 వ అత్యధిక కెరీర్ బ్యాటింగ్ సగటు (45.95) ',' 14 వ తొలి మ్యాచ్లో అత్యధిక పరుగులు (117) ',' 10th ఒక వృత్తిలో అత్యధిక వందలు (2) ',' 5 వ పిన్న ఒక స్కోర్ ఆటగాడు వందల (20y 138d) ',' 6 వ కెరీర్ అర్ధ (8) ',' వరుస ఇన్నింగ్స్లో 5 వ యాభైల్లో మొదటి డక్ (21) ',' 9 వ వరుస ఒక డక్ లేకుండా ఇన్నింగ్స్ (ముందు (3) ',' 1 వ అత్యంత ఇన్నింగ్స్ కెరీర్లో 21) ',' 22 వ అతి తక్కువ బాతులు (12.5) ',' కెరీర్ లో 2 వ పెద్ద జతల (1) ',' ఏ వికెట్కు 16 అత్యధిక భాగస్వామ్యాల (174) ',' రెండవ వికెట్ (174 5 వ అత్యధిక భాగస్వామ్యం) ' '17 వ కెరీర్ లో అత్యధిక మ్యాచ్లు (15)', 'ఒక జట్టు 8 వ వరుస మ్యాచ్లు (15)', '16 వ లాంగెస్ట్ కెరీర్లు (14y 213d)', '4 వ అత్యంత m (11) ',' 4 వ అత్యధిక వరుస ఒక జట్టు కెప్టెన్గా మ్యాచ్లు కెప్టెన్గా atches (11) ',' 11 వ పిన్న కాప్టెన్ (24y 171d) ']</v>
      </c>
      <c r="E2493" s="2" t="s">
        <v>1791</v>
      </c>
      <c r="F2493" s="2" t="str">
        <f>IFERROR(__xludf.DUMMYFUNCTION("IF(E2493&lt;&gt;"""", GOOGLETRANSLATE(E2493, ""en"", ""te""),"""")"),"[ 'కెరీర్లో 3 వ అత్యధిక పరుగులు (4844)', 'ఇన్నింగ్స్ లో 2 వ అత్యధిక పరుగులు (229 *)', '5 వ ఇన్నింగ్స్ లో అత్యధిక పరుగులు (ప్రగతిశీల రికార్డు హోల్డర్) (229 *)', '49 వ ఒక సిరీస్లో అత్యధిక పరుగులు (445) ',' 1st ఒక క్యాలెండర్ సంవత్సరంలో అత్యధిక పరుగులు (970) "&amp;"',' 2 వ ఇన్నింగ్స్ లో అత్యధిక పరుగులు (బ్యాటింగ్ స్థానంలో ప్రకారం) (229 *) ',' 25 వ పరాజయం వైపు ఒక మ్యాచ్లో అత్యధిక పరుగులు (95) ',' 8 వ ఒకే మైదానంలో అత్యధిక పరుగులు (609) ',' ఒక కెప్టెన్ ద్వారా ఒక సిరీస్లో 12 వ అత్యధిక పరుగులు (445) ',' ఒక కెప్టెన్తో ఇ"&amp;"న్నింగ్స్ లో 1 వ అత్యధిక పరుగులు (229 *) ',' 9 వ అత్యధిక కెరీర్ బ్యాటింగ్ సగటు (47.49) ',' 10th ఒక వృత్తిలో అత్యధిక వందలు (5) ',' 1st ఒక క్యాలెండర్ సంవత్సరంలో అత్యధిక వందలు (3) ',' 11 వ ఒక జట్టు వ్యతిరేకంగా అత్యధిక వందలు (2) ',' 17 వ అత్యధిక తొలి వంద ( వం"&amp;"ద (33y స్కోర్ 131) ',' 17 వ అత్యంత వృద్ధ ఆటగాడు 160d) ',' 3 వ అత్యంత తొంభైల కెరీర్లో (4) ',' 7 వ అత్యంత అర్ధ కెరీర్లో (35) ',' వరుస ఇన్నింగ్స్లో 5 వ యాభైల్లో (5) ' '1 వ అత్యంత ఇన్నింగ్స్ తొలి డక్ ముందు (68)', 'ఒక డక్ లేకుండా 4 వ అత్యధిక వరుస ఇన్నింగ్స్ "&amp;"(68)', '5 వ అతి తక్కువ బాతులు కెరీర్ లో (38)', '8 వ అత్యధిక శాతం o ఒక ఇన్నింగ్స్లో f పరుగులు (57.48) ',' 12 వ కెరీర్ లో అత్యధిక క్యాచ్లు (45) ',' 4 వ ఇన్నింగ్స్ లో అత్యధిక క్యాచ్లు ఏ వికెట్కు (219) ',' 7 వ అత్యధిక భాగస్వామ్యం (3) ',' 16 వ అత్యధిక భాగస్వామ"&amp;"్యాలు తొలి వికెట్కు (219) ',' రెండవ వికెట్కు (194) ', '21 వ కెరీర్లో అత్యధిక మ్యాచ్లు (118)', 'ఒక జట్టు 9 వ వరుస మ్యాచ్లు (61)', '26th లాంగెస్ట్ కెరీర్లు 7 వ అత్యధిక భాగస్వామ్యం (14y 227d) ',' 3 వ అత్యంత కెప్టెన్గా పోటీలు (101) ',' ఒక జట్టు కెప్టెన్గా 1st"&amp;" వరుస మ్యాచ్లు (58) ',' 28th పిన్న కాప్టెన్ (23y 130d) ']")</f>
        <v>[ 'కెరీర్లో 3 వ అత్యధిక పరుగులు (4844)', 'ఇన్నింగ్స్ లో 2 వ అత్యధిక పరుగులు (229 *)', '5 వ ఇన్నింగ్స్ లో అత్యధిక పరుగులు (ప్రగతిశీల రికార్డు హోల్డర్) (229 *)', '49 వ ఒక సిరీస్లో అత్యధిక పరుగులు (445) ',' 1st ఒక క్యాలెండర్ సంవత్సరంలో అత్యధిక పరుగులు (970) ',' 2 వ ఇన్నింగ్స్ లో అత్యధిక పరుగులు (బ్యాటింగ్ స్థానంలో ప్రకారం) (229 *) ',' 25 వ పరాజయం వైపు ఒక మ్యాచ్లో అత్యధిక పరుగులు (95) ',' 8 వ ఒకే మైదానంలో అత్యధిక పరుగులు (609) ',' ఒక కెప్టెన్ ద్వారా ఒక సిరీస్లో 12 వ అత్యధిక పరుగులు (445) ',' ఒక కెప్టెన్తో ఇన్నింగ్స్ లో 1 వ అత్యధిక పరుగులు (229 *) ',' 9 వ అత్యధిక కెరీర్ బ్యాటింగ్ సగటు (47.49) ',' 10th ఒక వృత్తిలో అత్యధిక వందలు (5) ',' 1st ఒక క్యాలెండర్ సంవత్సరంలో అత్యధిక వందలు (3) ',' 11 వ ఒక జట్టు వ్యతిరేకంగా అత్యధిక వందలు (2) ',' 17 వ అత్యధిక తొలి వంద ( వంద (33y స్కోర్ 131) ',' 17 వ అత్యంత వృద్ధ ఆటగాడు 160d) ',' 3 వ అత్యంత తొంభైల కెరీర్లో (4) ',' 7 వ అత్యంత అర్ధ కెరీర్లో (35) ',' వరుస ఇన్నింగ్స్లో 5 వ యాభైల్లో (5) ' '1 వ అత్యంత ఇన్నింగ్స్ తొలి డక్ ముందు (68)', 'ఒక డక్ లేకుండా 4 వ అత్యధిక వరుస ఇన్నింగ్స్ (68)', '5 వ అతి తక్కువ బాతులు కెరీర్ లో (38)', '8 వ అత్యధిక శాతం o ఒక ఇన్నింగ్స్లో f పరుగులు (57.48) ',' 12 వ కెరీర్ లో అత్యధిక క్యాచ్లు (45) ',' 4 వ ఇన్నింగ్స్ లో అత్యధిక క్యాచ్లు ఏ వికెట్కు (219) ',' 7 వ అత్యధిక భాగస్వామ్యం (3) ',' 16 వ అత్యధిక భాగస్వామ్యాలు తొలి వికెట్కు (219) ',' రెండవ వికెట్కు (194) ', '21 వ కెరీర్లో అత్యధిక మ్యాచ్లు (118)', 'ఒక జట్టు 9 వ వరుస మ్యాచ్లు (61)', '26th లాంగెస్ట్ కెరీర్లు 7 వ అత్యధిక భాగస్వామ్యం (14y 227d) ',' 3 వ అత్యంత కెప్టెన్గా పోటీలు (101) ',' ఒక జట్టు కెప్టెన్గా 1st వరుస మ్యాచ్లు (58) ',' 28th పిన్న కాప్టెన్ (23y 130d) ']</v>
      </c>
      <c r="G2493" s="2" t="s">
        <v>1792</v>
      </c>
      <c r="H2493" s="2" t="str">
        <f>IFERROR(__xludf.DUMMYFUNCTION("IF(G2493&lt;&gt;"""", GOOGLETRANSLATE(G2493, ""en"", ""te""),"""")"),"[ '12 వ ఓల్డెస్ట్ కాప్టెన్ (34y 357d)', '10 వ ఓల్డెస్ట్ కెప్టెన్లు కెప్టెన్సీ తొలి (34y 357d)']")</f>
        <v>[ '12 వ ఓల్డెస్ట్ కాప్టెన్ (34y 357d)', '10 వ ఓల్డెస్ట్ కెప్టెన్లు కెప్టెన్సీ తొలి (34y 357d)']</v>
      </c>
      <c r="I2493" s="3"/>
    </row>
    <row r="2494" customHeight="1" spans="1:9">
      <c r="A2494" s="2"/>
      <c r="B2494" s="2" t="str">
        <f>IFERROR(__xludf.DUMMYFUNCTION("IF(A2494&lt;&gt;"""", GOOGLETRANSLATE(A2494, ""en"", ""te""),"""")"),"")</f>
        <v/>
      </c>
      <c r="C2494" s="2"/>
      <c r="D2494" s="2" t="str">
        <f>IFERROR(__xludf.DUMMYFUNCTION("IF(C2494&lt;&gt;"""", GOOGLETRANSLATE(C2494, ""en"", ""te""),"""")"),"")</f>
        <v/>
      </c>
      <c r="E2494" s="2"/>
      <c r="F2494" s="2" t="str">
        <f>IFERROR(__xludf.DUMMYFUNCTION("IF(E2494&lt;&gt;"""", GOOGLETRANSLATE(E2494, ""en"", ""te""),"""")"),"")</f>
        <v/>
      </c>
      <c r="G2494" s="2"/>
      <c r="H2494" s="2" t="str">
        <f>IFERROR(__xludf.DUMMYFUNCTION("IF(G2494&lt;&gt;"""", GOOGLETRANSLATE(G2494, ""en"", ""te""),"""")"),"")</f>
        <v/>
      </c>
      <c r="I2494" s="3"/>
    </row>
    <row r="2495" customHeight="1" spans="1:9">
      <c r="A2495" s="2"/>
      <c r="B2495" s="2" t="str">
        <f>IFERROR(__xludf.DUMMYFUNCTION("IF(A2495&lt;&gt;"""", GOOGLETRANSLATE(A2495, ""en"", ""te""),"""")"),"")</f>
        <v/>
      </c>
      <c r="C2495" s="2" t="s">
        <v>1793</v>
      </c>
      <c r="D2495" s="2" t="str">
        <f>IFERROR(__xludf.DUMMYFUNCTION("IF(C2495&lt;&gt;"""", GOOGLETRANSLATE(C2495, ""en"", ""te""),"""")"),"[ '39 వ షార్టేస్ట్ క్రీడాకారులు నివసించారు (33y 332d)' '40 వ పిన్న ఆటగాడు ఐదు వికెట్ల లో-ఒక-ఇన్నింగ్స్ (20y 93d) తీసుకోవాలని']")</f>
        <v>[ '39 వ షార్టేస్ట్ క్రీడాకారులు నివసించారు (33y 332d)' '40 వ పిన్న ఆటగాడు ఐదు వికెట్ల లో-ఒక-ఇన్నింగ్స్ (20y 93d) తీసుకోవాలని']</v>
      </c>
      <c r="E2495" s="2"/>
      <c r="F2495" s="2" t="str">
        <f>IFERROR(__xludf.DUMMYFUNCTION("IF(E2495&lt;&gt;"""", GOOGLETRANSLATE(E2495, ""en"", ""te""),"""")"),"")</f>
        <v/>
      </c>
      <c r="G2495" s="2"/>
      <c r="H2495" s="2" t="str">
        <f>IFERROR(__xludf.DUMMYFUNCTION("IF(G2495&lt;&gt;"""", GOOGLETRANSLATE(G2495, ""en"", ""te""),"""")"),"")</f>
        <v/>
      </c>
      <c r="I2495" s="3"/>
    </row>
    <row r="2496" customHeight="1" spans="1:9">
      <c r="A2496" s="2"/>
      <c r="B2496" s="2" t="str">
        <f>IFERROR(__xludf.DUMMYFUNCTION("IF(A2496&lt;&gt;"""", GOOGLETRANSLATE(A2496, ""en"", ""te""),"""")"),"")</f>
        <v/>
      </c>
      <c r="C2496" s="2"/>
      <c r="D2496" s="2" t="str">
        <f>IFERROR(__xludf.DUMMYFUNCTION("IF(C2496&lt;&gt;"""", GOOGLETRANSLATE(C2496, ""en"", ""te""),"""")"),"")</f>
        <v/>
      </c>
      <c r="E2496" s="2"/>
      <c r="F2496" s="2" t="str">
        <f>IFERROR(__xludf.DUMMYFUNCTION("IF(E2496&lt;&gt;"""", GOOGLETRANSLATE(E2496, ""en"", ""te""),"""")"),"")</f>
        <v/>
      </c>
      <c r="G2496" s="2"/>
      <c r="H2496" s="2" t="str">
        <f>IFERROR(__xludf.DUMMYFUNCTION("IF(G2496&lt;&gt;"""", GOOGLETRANSLATE(G2496, ""en"", ""te""),"""")"),"")</f>
        <v/>
      </c>
      <c r="I2496" s="3"/>
    </row>
    <row r="2497" customHeight="1" spans="1:9">
      <c r="A2497" s="2"/>
      <c r="B2497" s="2" t="str">
        <f>IFERROR(__xludf.DUMMYFUNCTION("IF(A2497&lt;&gt;"""", GOOGLETRANSLATE(A2497, ""en"", ""te""),"""")"),"")</f>
        <v/>
      </c>
      <c r="C2497" s="2"/>
      <c r="D2497" s="2" t="str">
        <f>IFERROR(__xludf.DUMMYFUNCTION("IF(C2497&lt;&gt;"""", GOOGLETRANSLATE(C2497, ""en"", ""te""),"""")"),"")</f>
        <v/>
      </c>
      <c r="E2497" s="2"/>
      <c r="F2497" s="2" t="str">
        <f>IFERROR(__xludf.DUMMYFUNCTION("IF(E2497&lt;&gt;"""", GOOGLETRANSLATE(E2497, ""en"", ""te""),"""")"),"")</f>
        <v/>
      </c>
      <c r="G2497" s="2"/>
      <c r="H2497" s="2" t="str">
        <f>IFERROR(__xludf.DUMMYFUNCTION("IF(G2497&lt;&gt;"""", GOOGLETRANSLATE(G2497, ""en"", ""te""),"""")"),"")</f>
        <v/>
      </c>
      <c r="I2497" s="3"/>
    </row>
    <row r="2498" customHeight="1" spans="1:9">
      <c r="A2498" s="2"/>
      <c r="B2498" s="2" t="str">
        <f>IFERROR(__xludf.DUMMYFUNCTION("IF(A2498&lt;&gt;"""", GOOGLETRANSLATE(A2498, ""en"", ""te""),"""")"),"")</f>
        <v/>
      </c>
      <c r="C2498" s="2"/>
      <c r="D2498" s="2" t="str">
        <f>IFERROR(__xludf.DUMMYFUNCTION("IF(C2498&lt;&gt;"""", GOOGLETRANSLATE(C2498, ""en"", ""te""),"""")"),"")</f>
        <v/>
      </c>
      <c r="E2498" s="2" t="s">
        <v>1794</v>
      </c>
      <c r="F2498" s="2" t="str">
        <f>IFERROR(__xludf.DUMMYFUNCTION("IF(E2498&lt;&gt;"""", GOOGLETRANSLATE(E2498, ""en"", ""te""),"""")"),"[ '42 వ తొలి మ్యాచ్లో అత్యధిక పరుగులు (74)', '41 వ ఉత్తమ కెరీర్ (13.00) (అర్హత లేకుండా) సగటు బౌలింగ్']")</f>
        <v>[ '42 వ తొలి మ్యాచ్లో అత్యధిక పరుగులు (74)', '41 వ ఉత్తమ కెరీర్ (13.00) (అర్హత లేకుండా) సగటు బౌలింగ్']</v>
      </c>
      <c r="G2498" s="2"/>
      <c r="H2498" s="2" t="str">
        <f>IFERROR(__xludf.DUMMYFUNCTION("IF(G2498&lt;&gt;"""", GOOGLETRANSLATE(G2498, ""en"", ""te""),"""")"),"")</f>
        <v/>
      </c>
      <c r="I2498" s="3"/>
    </row>
    <row r="2499" customHeight="1" spans="1:9">
      <c r="A2499" s="2" t="s">
        <v>1795</v>
      </c>
      <c r="B2499" s="2" t="str">
        <f>IFERROR(__xludf.DUMMYFUNCTION("IF(A2499&lt;&gt;"""", GOOGLETRANSLATE(A2499, ""en"", ""te""),"""")"),"[ '3 వ అత్యంత ఇన్నింగ్స్ లో నడుస్తుంది (బ్యాటింగ్ స్థానం) (92)']")</f>
        <v>[ '3 వ అత్యంత ఇన్నింగ్స్ లో నడుస్తుంది (బ్యాటింగ్ స్థానం) (92)']</v>
      </c>
      <c r="C2499" s="2"/>
      <c r="D2499" s="2" t="str">
        <f>IFERROR(__xludf.DUMMYFUNCTION("IF(C2499&lt;&gt;"""", GOOGLETRANSLATE(C2499, ""en"", ""te""),"""")"),"")</f>
        <v/>
      </c>
      <c r="E2499" s="2" t="s">
        <v>1796</v>
      </c>
      <c r="F2499" s="2" t="str">
        <f>IFERROR(__xludf.DUMMYFUNCTION("IF(E2499&lt;&gt;"""", GOOGLETRANSLATE(E2499, ""en"", ""te""),"""")"),"[ '45 వ వేగంగా 50 వికెట్లు (31)' '3 వ అత్యంత ఇన్నింగ్స్ లో నడుస్తుంది (బ్యాటింగ్ స్థానం) (92)',]")</f>
        <v>[ '45 వ వేగంగా 50 వికెట్లు (31)' '3 వ అత్యంత ఇన్నింగ్స్ లో నడుస్తుంది (బ్యాటింగ్ స్థానం) (92)',]</v>
      </c>
      <c r="G2499" s="2" t="s">
        <v>1797</v>
      </c>
      <c r="H2499" s="2" t="str">
        <f>IFERROR(__xludf.DUMMYFUNCTION("IF(G2499&lt;&gt;"""", GOOGLETRANSLATE(G2499, ""en"", ""te""),"""")"),"[ '24 వ ఇన్నింగ్స్ లో అత్యధిక పరుగులు (బ్యాటింగ్ స్థానంలో ప్రకారం) (34)', '35 వ ఉత్తమ కెరీర్ సమ్మె రేటు (17.1)', '22 వ చెత్త కెరీర్లో ఆర్థిక రేటు (8.26)']")</f>
        <v>[ '24 వ ఇన్నింగ్స్ లో అత్యధిక పరుగులు (బ్యాటింగ్ స్థానంలో ప్రకారం) (34)', '35 వ ఉత్తమ కెరీర్ సమ్మె రేటు (17.1)', '22 వ చెత్త కెరీర్లో ఆర్థిక రేటు (8.26)']</v>
      </c>
      <c r="I2499" s="3"/>
    </row>
    <row r="2500" customHeight="1" spans="1:9">
      <c r="A2500" s="2" t="s">
        <v>1798</v>
      </c>
      <c r="B2500" s="2" t="str">
        <f>IFERROR(__xludf.DUMMYFUNCTION("IF(A2500&lt;&gt;"""", GOOGLETRANSLATE(A2500, ""en"", ""te""),"""")"),"[ '8 వ ఉత్తమ కెరీర్ ఆర్థిక రేటు (3.40)', 'తొలి ఇన్నింగ్స్లో 3 వ ఉత్తమ బొమ్మలు (5)']")</f>
        <v>[ '8 వ ఉత్తమ కెరీర్ ఆర్థిక రేటు (3.40)', 'తొలి ఇన్నింగ్స్లో 3 వ ఉత్తమ బొమ్మలు (5)']</v>
      </c>
      <c r="C2500" s="2" t="s">
        <v>761</v>
      </c>
      <c r="D2500" s="2" t="str">
        <f>IFERROR(__xludf.DUMMYFUNCTION("IF(C2500&lt;&gt;"""", GOOGLETRANSLATE(C2500, ""en"", ""te""),"""")"),"[ 'తొలి ఇన్నింగ్స్లో 22 బెస్ట్ ఫిగర్స్ (6)']")</f>
        <v>[ 'తొలి ఇన్నింగ్స్లో 22 బెస్ట్ ఫిగర్స్ (6)']</v>
      </c>
      <c r="E2500" s="2" t="s">
        <v>1799</v>
      </c>
      <c r="F2500" s="2" t="str">
        <f>IFERROR(__xludf.DUMMYFUNCTION("IF(E2500&lt;&gt;"""", GOOGLETRANSLATE(E2500, ""en"", ""te""),"""")"),"[ '42 వ ఒక సిరీస్లో అత్యధిక వికెట్లు (18)', '11 వ సగటు (20,91) బౌలింగ్ ఉత్తమ జీవితం' '8 వ ఉత్తమ కెరీర్ ఆర్థిక రేటు (3.40)', '3 వ ప్రవేశం (5) ఒక ఇన్నింగ్స్ లోని బెస్ట్ ఫిగర్స్']")</f>
        <v>[ '42 వ ఒక సిరీస్లో అత్యధిక వికెట్లు (18)', '11 వ సగటు (20,91) బౌలింగ్ ఉత్తమ జీవితం' '8 వ ఉత్తమ కెరీర్ ఆర్థిక రేటు (3.40)', '3 వ ప్రవేశం (5) ఒక ఇన్నింగ్స్ లోని బెస్ట్ ఫిగర్స్']</v>
      </c>
      <c r="G2500" s="2"/>
      <c r="H2500" s="2" t="str">
        <f>IFERROR(__xludf.DUMMYFUNCTION("IF(G2500&lt;&gt;"""", GOOGLETRANSLATE(G2500, ""en"", ""te""),"""")"),"")</f>
        <v/>
      </c>
      <c r="I2500" s="3"/>
    </row>
    <row r="2501" customHeight="1" spans="1:9">
      <c r="A2501" s="2"/>
      <c r="B2501" s="2" t="str">
        <f>IFERROR(__xludf.DUMMYFUNCTION("IF(A2501&lt;&gt;"""", GOOGLETRANSLATE(A2501, ""en"", ""te""),"""")"),"")</f>
        <v/>
      </c>
      <c r="C2501" s="2"/>
      <c r="D2501" s="2" t="str">
        <f>IFERROR(__xludf.DUMMYFUNCTION("IF(C2501&lt;&gt;"""", GOOGLETRANSLATE(C2501, ""en"", ""te""),"""")"),"")</f>
        <v/>
      </c>
      <c r="E2501" s="2"/>
      <c r="F2501" s="2" t="str">
        <f>IFERROR(__xludf.DUMMYFUNCTION("IF(E2501&lt;&gt;"""", GOOGLETRANSLATE(E2501, ""en"", ""te""),"""")"),"")</f>
        <v/>
      </c>
      <c r="G2501" s="2"/>
      <c r="H2501" s="2" t="str">
        <f>IFERROR(__xludf.DUMMYFUNCTION("IF(G2501&lt;&gt;"""", GOOGLETRANSLATE(G2501, ""en"", ""te""),"""")"),"")</f>
        <v/>
      </c>
      <c r="I2501" s="3"/>
    </row>
    <row r="2502" customHeight="1" spans="1:9">
      <c r="A2502" s="2" t="s">
        <v>1800</v>
      </c>
      <c r="B2502" s="2" t="str">
        <f>IFERROR(__xludf.DUMMYFUNCTION("IF(A2502&lt;&gt;"""", GOOGLETRANSLATE(A2502, ""en"", ""te""),"""")"),"[ '7th ఉత్తమ కెరీర్ ఆర్థిక రేటు (3.37)']")</f>
        <v>[ '7th ఉత్తమ కెరీర్ ఆర్థిక రేటు (3.37)']</v>
      </c>
      <c r="C2502" s="2"/>
      <c r="D2502" s="2" t="str">
        <f>IFERROR(__xludf.DUMMYFUNCTION("IF(C2502&lt;&gt;"""", GOOGLETRANSLATE(C2502, ""en"", ""te""),"""")"),"")</f>
        <v/>
      </c>
      <c r="E2502" s="2" t="s">
        <v>1801</v>
      </c>
      <c r="F2502" s="2" t="str">
        <f>IFERROR(__xludf.DUMMYFUNCTION("IF(E2502&lt;&gt;"""", GOOGLETRANSLATE(E2502, ""en"", ""te""),"""")"),"[ '42 వ ఒక సిరీస్లో అత్యధిక వికెట్లు (18)', '7 వ ఉత్తమ కెరీర్ ఆర్థిక రేటు (3.37)']")</f>
        <v>[ '42 వ ఒక సిరీస్లో అత్యధిక వికెట్లు (18)', '7 వ ఉత్తమ కెరీర్ ఆర్థిక రేటు (3.37)']</v>
      </c>
      <c r="G2502" s="2"/>
      <c r="H2502" s="2" t="str">
        <f>IFERROR(__xludf.DUMMYFUNCTION("IF(G2502&lt;&gt;"""", GOOGLETRANSLATE(G2502, ""en"", ""te""),"""")"),"")</f>
        <v/>
      </c>
      <c r="I2502" s="3"/>
    </row>
    <row r="2503" customHeight="1" spans="1:9">
      <c r="A2503" s="2"/>
      <c r="B2503" s="2" t="str">
        <f>IFERROR(__xludf.DUMMYFUNCTION("IF(A2503&lt;&gt;"""", GOOGLETRANSLATE(A2503, ""en"", ""te""),"""")"),"")</f>
        <v/>
      </c>
      <c r="C2503" s="2" t="s">
        <v>1802</v>
      </c>
      <c r="D2503" s="2" t="str">
        <f>IFERROR(__xludf.DUMMYFUNCTION("IF(C2503&lt;&gt;"""", GOOGLETRANSLATE(C2503, ""en"", ""te""),"""")"),"[ '42 వ లాంగెస్ట్ క్రీడాకారులు (91y 275d) నివసించారు']")</f>
        <v>[ '42 వ లాంగెస్ట్ క్రీడాకారులు (91y 275d) నివసించారు']</v>
      </c>
      <c r="E2503" s="2"/>
      <c r="F2503" s="2" t="str">
        <f>IFERROR(__xludf.DUMMYFUNCTION("IF(E2503&lt;&gt;"""", GOOGLETRANSLATE(E2503, ""en"", ""te""),"""")"),"")</f>
        <v/>
      </c>
      <c r="G2503" s="2"/>
      <c r="H2503" s="2" t="str">
        <f>IFERROR(__xludf.DUMMYFUNCTION("IF(G2503&lt;&gt;"""", GOOGLETRANSLATE(G2503, ""en"", ""te""),"""")"),"")</f>
        <v/>
      </c>
      <c r="I2503" s="3"/>
    </row>
    <row r="2504" customHeight="1" spans="1:9">
      <c r="A2504" s="2"/>
      <c r="B2504" s="2" t="str">
        <f>IFERROR(__xludf.DUMMYFUNCTION("IF(A2504&lt;&gt;"""", GOOGLETRANSLATE(A2504, ""en"", ""te""),"""")"),"")</f>
        <v/>
      </c>
      <c r="C2504" s="2"/>
      <c r="D2504" s="2" t="str">
        <f>IFERROR(__xludf.DUMMYFUNCTION("IF(C2504&lt;&gt;"""", GOOGLETRANSLATE(C2504, ""en"", ""te""),"""")"),"")</f>
        <v/>
      </c>
      <c r="E2504" s="2"/>
      <c r="F2504" s="2" t="str">
        <f>IFERROR(__xludf.DUMMYFUNCTION("IF(E2504&lt;&gt;"""", GOOGLETRANSLATE(E2504, ""en"", ""te""),"""")"),"")</f>
        <v/>
      </c>
      <c r="G2504" s="2"/>
      <c r="H2504" s="2" t="str">
        <f>IFERROR(__xludf.DUMMYFUNCTION("IF(G2504&lt;&gt;"""", GOOGLETRANSLATE(G2504, ""en"", ""te""),"""")"),"")</f>
        <v/>
      </c>
      <c r="I2504" s="3"/>
    </row>
    <row r="2505" customHeight="1" spans="1:9">
      <c r="A2505" s="2"/>
      <c r="B2505" s="2" t="str">
        <f>IFERROR(__xludf.DUMMYFUNCTION("IF(A2505&lt;&gt;"""", GOOGLETRANSLATE(A2505, ""en"", ""te""),"""")"),"")</f>
        <v/>
      </c>
      <c r="C2505" s="2"/>
      <c r="D2505" s="2" t="str">
        <f>IFERROR(__xludf.DUMMYFUNCTION("IF(C2505&lt;&gt;"""", GOOGLETRANSLATE(C2505, ""en"", ""te""),"""")"),"")</f>
        <v/>
      </c>
      <c r="E2505" s="2"/>
      <c r="F2505" s="2" t="str">
        <f>IFERROR(__xludf.DUMMYFUNCTION("IF(E2505&lt;&gt;"""", GOOGLETRANSLATE(E2505, ""en"", ""te""),"""")"),"")</f>
        <v/>
      </c>
      <c r="G2505" s="2"/>
      <c r="H2505" s="2" t="str">
        <f>IFERROR(__xludf.DUMMYFUNCTION("IF(G2505&lt;&gt;"""", GOOGLETRANSLATE(G2505, ""en"", ""te""),"""")"),"")</f>
        <v/>
      </c>
      <c r="I2505" s="3"/>
    </row>
    <row r="2506" customHeight="1" spans="1:9">
      <c r="A2506" s="2"/>
      <c r="B2506" s="2" t="str">
        <f>IFERROR(__xludf.DUMMYFUNCTION("IF(A2506&lt;&gt;"""", GOOGLETRANSLATE(A2506, ""en"", ""te""),"""")"),"")</f>
        <v/>
      </c>
      <c r="C2506" s="2"/>
      <c r="D2506" s="2" t="str">
        <f>IFERROR(__xludf.DUMMYFUNCTION("IF(C2506&lt;&gt;"""", GOOGLETRANSLATE(C2506, ""en"", ""te""),"""")"),"")</f>
        <v/>
      </c>
      <c r="E2506" s="2"/>
      <c r="F2506" s="2" t="str">
        <f>IFERROR(__xludf.DUMMYFUNCTION("IF(E2506&lt;&gt;"""", GOOGLETRANSLATE(E2506, ""en"", ""te""),"""")"),"")</f>
        <v/>
      </c>
      <c r="G2506" s="2"/>
      <c r="H2506" s="2" t="str">
        <f>IFERROR(__xludf.DUMMYFUNCTION("IF(G2506&lt;&gt;"""", GOOGLETRANSLATE(G2506, ""en"", ""te""),"""")"),"")</f>
        <v/>
      </c>
      <c r="I2506" s="3"/>
    </row>
    <row r="2507" customHeight="1" spans="1:9">
      <c r="A2507" s="2"/>
      <c r="B2507" s="2" t="str">
        <f>IFERROR(__xludf.DUMMYFUNCTION("IF(A2507&lt;&gt;"""", GOOGLETRANSLATE(A2507, ""en"", ""te""),"""")"),"")</f>
        <v/>
      </c>
      <c r="C2507" s="2"/>
      <c r="D2507" s="2" t="str">
        <f>IFERROR(__xludf.DUMMYFUNCTION("IF(C2507&lt;&gt;"""", GOOGLETRANSLATE(C2507, ""en"", ""te""),"""")"),"")</f>
        <v/>
      </c>
      <c r="E2507" s="2"/>
      <c r="F2507" s="2" t="str">
        <f>IFERROR(__xludf.DUMMYFUNCTION("IF(E2507&lt;&gt;"""", GOOGLETRANSLATE(E2507, ""en"", ""te""),"""")"),"")</f>
        <v/>
      </c>
      <c r="G2507" s="2"/>
      <c r="H2507" s="2" t="str">
        <f>IFERROR(__xludf.DUMMYFUNCTION("IF(G2507&lt;&gt;"""", GOOGLETRANSLATE(G2507, ""en"", ""te""),"""")"),"")</f>
        <v/>
      </c>
      <c r="I2507" s="3"/>
    </row>
    <row r="2508" customHeight="1" spans="1:9">
      <c r="A2508" s="2"/>
      <c r="B2508" s="2" t="str">
        <f>IFERROR(__xludf.DUMMYFUNCTION("IF(A2508&lt;&gt;"""", GOOGLETRANSLATE(A2508, ""en"", ""te""),"""")"),"")</f>
        <v/>
      </c>
      <c r="C2508" s="2"/>
      <c r="D2508" s="2" t="str">
        <f>IFERROR(__xludf.DUMMYFUNCTION("IF(C2508&lt;&gt;"""", GOOGLETRANSLATE(C2508, ""en"", ""te""),"""")"),"")</f>
        <v/>
      </c>
      <c r="E2508" s="2"/>
      <c r="F2508" s="2" t="str">
        <f>IFERROR(__xludf.DUMMYFUNCTION("IF(E2508&lt;&gt;"""", GOOGLETRANSLATE(E2508, ""en"", ""te""),"""")"),"")</f>
        <v/>
      </c>
      <c r="G2508" s="2"/>
      <c r="H2508" s="2" t="str">
        <f>IFERROR(__xludf.DUMMYFUNCTION("IF(G2508&lt;&gt;"""", GOOGLETRANSLATE(G2508, ""en"", ""te""),"""")"),"")</f>
        <v/>
      </c>
      <c r="I2508" s="3"/>
    </row>
    <row r="2509" customHeight="1" spans="1:9">
      <c r="A2509" s="2"/>
      <c r="B2509" s="2" t="str">
        <f>IFERROR(__xludf.DUMMYFUNCTION("IF(A2509&lt;&gt;"""", GOOGLETRANSLATE(A2509, ""en"", ""te""),"""")"),"")</f>
        <v/>
      </c>
      <c r="C2509" s="2"/>
      <c r="D2509" s="2" t="str">
        <f>IFERROR(__xludf.DUMMYFUNCTION("IF(C2509&lt;&gt;"""", GOOGLETRANSLATE(C2509, ""en"", ""te""),"""")"),"")</f>
        <v/>
      </c>
      <c r="E2509" s="2"/>
      <c r="F2509" s="2" t="str">
        <f>IFERROR(__xludf.DUMMYFUNCTION("IF(E2509&lt;&gt;"""", GOOGLETRANSLATE(E2509, ""en"", ""te""),"""")"),"")</f>
        <v/>
      </c>
      <c r="G2509" s="2"/>
      <c r="H2509" s="2" t="str">
        <f>IFERROR(__xludf.DUMMYFUNCTION("IF(G2509&lt;&gt;"""", GOOGLETRANSLATE(G2509, ""en"", ""te""),"""")"),"")</f>
        <v/>
      </c>
      <c r="I2509" s="3"/>
    </row>
    <row r="2510" customHeight="1" spans="1:9">
      <c r="A2510" s="2" t="s">
        <v>1803</v>
      </c>
      <c r="B2510" s="2" t="str">
        <f>IFERROR(__xludf.DUMMYFUNCTION("IF(A2510&lt;&gt;"""", GOOGLETRANSLATE(A2510, ""en"", ""te""),"""")"),"[ '8 వ పురాతన దేశం ఆటగాళ్ళు (91y 352d)', 'కెరీర్ లో 6 వ అతి తక్కువ బాతులు (61)', '5 వ మ్యాచ్ లో బెస్ట్ ఫిగర్స్ కూడా ఓడిపోయింది వైపు (12)', '100 పరుగులు మరియు ఒక మ్యాచ్లో 10 వికెట్లు' 'కెరీర్ లో 5 వ అతి తక్కువ బాతులు (61)']")</f>
        <v>[ '8 వ పురాతన దేశం ఆటగాళ్ళు (91y 352d)', 'కెరీర్ లో 6 వ అతి తక్కువ బాతులు (61)', '5 వ మ్యాచ్ లో బెస్ట్ ఫిగర్స్ కూడా ఓడిపోయింది వైపు (12)', '100 పరుగులు మరియు ఒక మ్యాచ్లో 10 వికెట్లు' 'కెరీర్ లో 5 వ అతి తక్కువ బాతులు (61)']</v>
      </c>
      <c r="C2510" s="2" t="s">
        <v>1804</v>
      </c>
      <c r="D2510" s="2" t="str">
        <f>IFERROR(__xludf.DUMMYFUNCTION("IF(C2510&lt;&gt;"""", GOOGLETRANSLATE(C2510, ""en"", ""te""),"""")"),"[ '22 వ అత్యంత వంద (1328) లేకుండా ఒక వృత్తిలో పరుగులు' '6 వ అత్యంత ఇన్నింగ్స్ తొలి డక్ ముందు (51)', '6 వ అతి తక్కువ బాతులు కెరీర్ లో (61)', '33 వ ఒక సిరీస్లో అత్యధిక వికెట్లు (33)' '24th ఒక ఇన్నింగ్స్ లోని బెస్ట్ ఫిగర్స్ పరాజయం వైపు (7) ఉన్నప్పుడు', '5 వ"&amp;" మ్యాచ్ లో బెస్ట్ ఫిగర్స్ పరాజయం వైపు (12) ఉన్నప్పుడు', '30 వ ఉత్తమ కెరీర్లో' 15 వ ఉత్తమ కెరీర్ సగటు (20.53) బౌలింగ్ ' ఆర్థిక రేటు (1.97) ',' 41 వ అత్యంత ఐదు-వికెట్ల లో-ఒక-ఇన్నింగ్స్ కెరీర్లో (14) ',' 18 వ వరుస ఐదు వికెట్ల లో-ఒక-ఇన్నింగ్స్ (3) ',' 34 వ బ"&amp;"ౌలర్ / ఫీల్డర్ కలయికలు (45) ',' పదవ వికెట్కు 29 అత్యధిక భాగస్వామ్యం (98) ',' 8 వ పురాతన దేశం ఆటగాళ్ళు (91y 352d) ']")</f>
        <v>[ '22 వ అత్యంత వంద (1328) లేకుండా ఒక వృత్తిలో పరుగులు' '6 వ అత్యంత ఇన్నింగ్స్ తొలి డక్ ముందు (51)', '6 వ అతి తక్కువ బాతులు కెరీర్ లో (61)', '33 వ ఒక సిరీస్లో అత్యధిక వికెట్లు (33)' '24th ఒక ఇన్నింగ్స్ లోని బెస్ట్ ఫిగర్స్ పరాజయం వైపు (7) ఉన్నప్పుడు', '5 వ మ్యాచ్ లో బెస్ట్ ఫిగర్స్ పరాజయం వైపు (12) ఉన్నప్పుడు', '30 వ ఉత్తమ కెరీర్లో' 15 వ ఉత్తమ కెరీర్ సగటు (20.53) బౌలింగ్ ' ఆర్థిక రేటు (1.97) ',' 41 వ అత్యంత ఐదు-వికెట్ల లో-ఒక-ఇన్నింగ్స్ కెరీర్లో (14) ',' 18 వ వరుస ఐదు వికెట్ల లో-ఒక-ఇన్నింగ్స్ (3) ',' 34 వ బౌలర్ / ఫీల్డర్ కలయికలు (45) ',' పదవ వికెట్కు 29 అత్యధిక భాగస్వామ్యం (98) ',' 8 వ పురాతన దేశం ఆటగాళ్ళు (91y 352d) ']</v>
      </c>
      <c r="E2510" s="2"/>
      <c r="F2510" s="2" t="str">
        <f>IFERROR(__xludf.DUMMYFUNCTION("IF(E2510&lt;&gt;"""", GOOGLETRANSLATE(E2510, ""en"", ""te""),"""")"),"")</f>
        <v/>
      </c>
      <c r="G2510" s="2"/>
      <c r="H2510" s="2" t="str">
        <f>IFERROR(__xludf.DUMMYFUNCTION("IF(G2510&lt;&gt;"""", GOOGLETRANSLATE(G2510, ""en"", ""te""),"""")"),"")</f>
        <v/>
      </c>
      <c r="I2510" s="3"/>
    </row>
    <row r="2511" customHeight="1" spans="1:9">
      <c r="A2511" s="2"/>
      <c r="B2511" s="2" t="str">
        <f>IFERROR(__xludf.DUMMYFUNCTION("IF(A2511&lt;&gt;"""", GOOGLETRANSLATE(A2511, ""en"", ""te""),"""")"),"")</f>
        <v/>
      </c>
      <c r="C2511" s="2"/>
      <c r="D2511" s="2" t="str">
        <f>IFERROR(__xludf.DUMMYFUNCTION("IF(C2511&lt;&gt;"""", GOOGLETRANSLATE(C2511, ""en"", ""te""),"""")"),"")</f>
        <v/>
      </c>
      <c r="E2511" s="2"/>
      <c r="F2511" s="2" t="str">
        <f>IFERROR(__xludf.DUMMYFUNCTION("IF(E2511&lt;&gt;"""", GOOGLETRANSLATE(E2511, ""en"", ""te""),"""")"),"")</f>
        <v/>
      </c>
      <c r="G2511" s="2"/>
      <c r="H2511" s="2" t="str">
        <f>IFERROR(__xludf.DUMMYFUNCTION("IF(G2511&lt;&gt;"""", GOOGLETRANSLATE(G2511, ""en"", ""te""),"""")"),"")</f>
        <v/>
      </c>
      <c r="I2511" s="3"/>
    </row>
    <row r="2512" customHeight="1" spans="1:9">
      <c r="A2512" s="2"/>
      <c r="B2512" s="2" t="str">
        <f>IFERROR(__xludf.DUMMYFUNCTION("IF(A2512&lt;&gt;"""", GOOGLETRANSLATE(A2512, ""en"", ""te""),"""")"),"")</f>
        <v/>
      </c>
      <c r="C2512" s="2"/>
      <c r="D2512" s="2" t="str">
        <f>IFERROR(__xludf.DUMMYFUNCTION("IF(C2512&lt;&gt;"""", GOOGLETRANSLATE(C2512, ""en"", ""te""),"""")"),"")</f>
        <v/>
      </c>
      <c r="E2512" s="2"/>
      <c r="F2512" s="2" t="str">
        <f>IFERROR(__xludf.DUMMYFUNCTION("IF(E2512&lt;&gt;"""", GOOGLETRANSLATE(E2512, ""en"", ""te""),"""")"),"")</f>
        <v/>
      </c>
      <c r="G2512" s="2"/>
      <c r="H2512" s="2" t="str">
        <f>IFERROR(__xludf.DUMMYFUNCTION("IF(G2512&lt;&gt;"""", GOOGLETRANSLATE(G2512, ""en"", ""te""),"""")"),"")</f>
        <v/>
      </c>
      <c r="I2512" s="3"/>
    </row>
    <row r="2513" customHeight="1" spans="1:9">
      <c r="A2513" s="2"/>
      <c r="B2513" s="2" t="str">
        <f>IFERROR(__xludf.DUMMYFUNCTION("IF(A2513&lt;&gt;"""", GOOGLETRANSLATE(A2513, ""en"", ""te""),"""")"),"")</f>
        <v/>
      </c>
      <c r="C2513" s="2"/>
      <c r="D2513" s="2" t="str">
        <f>IFERROR(__xludf.DUMMYFUNCTION("IF(C2513&lt;&gt;"""", GOOGLETRANSLATE(C2513, ""en"", ""te""),"""")"),"")</f>
        <v/>
      </c>
      <c r="E2513" s="2"/>
      <c r="F2513" s="2" t="str">
        <f>IFERROR(__xludf.DUMMYFUNCTION("IF(E2513&lt;&gt;"""", GOOGLETRANSLATE(E2513, ""en"", ""te""),"""")"),"")</f>
        <v/>
      </c>
      <c r="G2513" s="2"/>
      <c r="H2513" s="2" t="str">
        <f>IFERROR(__xludf.DUMMYFUNCTION("IF(G2513&lt;&gt;"""", GOOGLETRANSLATE(G2513, ""en"", ""te""),"""")"),"")</f>
        <v/>
      </c>
      <c r="I2513" s="3"/>
    </row>
    <row r="2514" customHeight="1" spans="1:9">
      <c r="A2514" s="2" t="s">
        <v>1805</v>
      </c>
      <c r="B2514" s="2" t="str">
        <f>IFERROR(__xludf.DUMMYFUNCTION("IF(A2514&lt;&gt;"""", GOOGLETRANSLATE(A2514, ""en"", ""te""),"""")"),"[ 'ఇన్నింగ్స్ లో 4 వ అత్యధిక పరుగులు (బ్యాటింగ్ స్థానంలో ప్రకారం) (104)', 'హండ్రెడ్ తొలి (104)', 'కెరీర్ (40) 2 వ లేవు బాతులు']")</f>
        <v>[ 'ఇన్నింగ్స్ లో 4 వ అత్యధిక పరుగులు (బ్యాటింగ్ స్థానంలో ప్రకారం) (104)', 'హండ్రెడ్ తొలి (104)', 'కెరీర్ (40) 2 వ లేవు బాతులు']</v>
      </c>
      <c r="C2514" s="2" t="s">
        <v>1806</v>
      </c>
      <c r="D2514" s="2" t="str">
        <f>IFERROR(__xludf.DUMMYFUNCTION("IF(C2514&lt;&gt;"""", GOOGLETRANSLATE(C2514, ""en"", ""te""),"""")"),"[ 'ఇన్నింగ్స్ లో 4 వ అత్యధిక పరుగులు (బ్యాటింగ్ స్థానంలో ప్రకారం) (104)', 'కెరీర్ లో 2 వ లేవు బాతులు (40)', పదవ వికెట్కు '13 వ అత్యధిక భాగస్వామ్యం (120' గత మ్యాచ్ (146) లో 3 వ హండ్రెడ్ ' ) ',' 34 వ షార్టేస్ట్ క్రీడాకారులు (33y 118d నివసించారు) ']")</f>
        <v>[ 'ఇన్నింగ్స్ లో 4 వ అత్యధిక పరుగులు (బ్యాటింగ్ స్థానంలో ప్రకారం) (104)', 'కెరీర్ లో 2 వ లేవు బాతులు (40)', పదవ వికెట్కు '13 వ అత్యధిక భాగస్వామ్యం (120' గత మ్యాచ్ (146) లో 3 వ హండ్రెడ్ ' ) ',' 34 వ షార్టేస్ట్ క్రీడాకారులు (33y 118d నివసించారు) ']</v>
      </c>
      <c r="E2514" s="2"/>
      <c r="F2514" s="2" t="str">
        <f>IFERROR(__xludf.DUMMYFUNCTION("IF(E2514&lt;&gt;"""", GOOGLETRANSLATE(E2514, ""en"", ""te""),"""")"),"")</f>
        <v/>
      </c>
      <c r="G2514" s="2"/>
      <c r="H2514" s="2" t="str">
        <f>IFERROR(__xludf.DUMMYFUNCTION("IF(G2514&lt;&gt;"""", GOOGLETRANSLATE(G2514, ""en"", ""te""),"""")"),"")</f>
        <v/>
      </c>
      <c r="I2514" s="3"/>
    </row>
    <row r="2515" customHeight="1" spans="1:9">
      <c r="A2515" s="2" t="s">
        <v>1807</v>
      </c>
      <c r="B2515" s="2" t="str">
        <f>IFERROR(__xludf.DUMMYFUNCTION("IF(A2515&lt;&gt;"""", GOOGLETRANSLATE(A2515, ""en"", ""te""),"""")"),"[ 'ఒక కెప్టెన్తో పెయిర్']")</f>
        <v>[ 'ఒక కెప్టెన్తో పెయిర్']</v>
      </c>
      <c r="C2515" s="2"/>
      <c r="D2515" s="2" t="str">
        <f>IFERROR(__xludf.DUMMYFUNCTION("IF(C2515&lt;&gt;"""", GOOGLETRANSLATE(C2515, ""en"", ""te""),"""")"),"")</f>
        <v/>
      </c>
      <c r="E2515" s="2"/>
      <c r="F2515" s="2" t="str">
        <f>IFERROR(__xludf.DUMMYFUNCTION("IF(E2515&lt;&gt;"""", GOOGLETRANSLATE(E2515, ""en"", ""te""),"""")"),"")</f>
        <v/>
      </c>
      <c r="G2515" s="2"/>
      <c r="H2515" s="2" t="str">
        <f>IFERROR(__xludf.DUMMYFUNCTION("IF(G2515&lt;&gt;"""", GOOGLETRANSLATE(G2515, ""en"", ""te""),"""")"),"")</f>
        <v/>
      </c>
      <c r="I2515" s="3"/>
    </row>
    <row r="2516" customHeight="1" spans="1:9">
      <c r="A2516" s="2"/>
      <c r="B2516" s="2" t="str">
        <f>IFERROR(__xludf.DUMMYFUNCTION("IF(A2516&lt;&gt;"""", GOOGLETRANSLATE(A2516, ""en"", ""te""),"""")"),"")</f>
        <v/>
      </c>
      <c r="C2516" s="2"/>
      <c r="D2516" s="2" t="str">
        <f>IFERROR(__xludf.DUMMYFUNCTION("IF(C2516&lt;&gt;"""", GOOGLETRANSLATE(C2516, ""en"", ""te""),"""")"),"")</f>
        <v/>
      </c>
      <c r="E2516" s="2"/>
      <c r="F2516" s="2" t="str">
        <f>IFERROR(__xludf.DUMMYFUNCTION("IF(E2516&lt;&gt;"""", GOOGLETRANSLATE(E2516, ""en"", ""te""),"""")"),"")</f>
        <v/>
      </c>
      <c r="G2516" s="2"/>
      <c r="H2516" s="2" t="str">
        <f>IFERROR(__xludf.DUMMYFUNCTION("IF(G2516&lt;&gt;"""", GOOGLETRANSLATE(G2516, ""en"", ""te""),"""")"),"")</f>
        <v/>
      </c>
      <c r="I2516" s="3"/>
    </row>
    <row r="2517" customHeight="1" spans="1:9">
      <c r="A2517" s="2"/>
      <c r="B2517" s="2" t="str">
        <f>IFERROR(__xludf.DUMMYFUNCTION("IF(A2517&lt;&gt;"""", GOOGLETRANSLATE(A2517, ""en"", ""te""),"""")"),"")</f>
        <v/>
      </c>
      <c r="C2517" s="2"/>
      <c r="D2517" s="2" t="str">
        <f>IFERROR(__xludf.DUMMYFUNCTION("IF(C2517&lt;&gt;"""", GOOGLETRANSLATE(C2517, ""en"", ""te""),"""")"),"")</f>
        <v/>
      </c>
      <c r="E2517" s="2" t="s">
        <v>549</v>
      </c>
      <c r="F2517" s="2" t="str">
        <f>IFERROR(__xludf.DUMMYFUNCTION("IF(E2517&lt;&gt;"""", GOOGLETRANSLATE(E2517, ""en"", ""te""),"""")"),"[ 'తొలి ఇన్నింగ్స్ 15 వ బెస్ట్ ఫిగర్స్ (4)']")</f>
        <v>[ 'తొలి ఇన్నింగ్స్ 15 వ బెస్ట్ ఫిగర్స్ (4)']</v>
      </c>
      <c r="G2517" s="2"/>
      <c r="H2517" s="2" t="str">
        <f>IFERROR(__xludf.DUMMYFUNCTION("IF(G2517&lt;&gt;"""", GOOGLETRANSLATE(G2517, ""en"", ""te""),"""")"),"")</f>
        <v/>
      </c>
      <c r="I2517" s="3"/>
    </row>
    <row r="2518" customHeight="1" spans="1:9">
      <c r="A2518" s="2"/>
      <c r="B2518" s="2" t="str">
        <f>IFERROR(__xludf.DUMMYFUNCTION("IF(A2518&lt;&gt;"""", GOOGLETRANSLATE(A2518, ""en"", ""te""),"""")"),"")</f>
        <v/>
      </c>
      <c r="C2518" s="2"/>
      <c r="D2518" s="2" t="str">
        <f>IFERROR(__xludf.DUMMYFUNCTION("IF(C2518&lt;&gt;"""", GOOGLETRANSLATE(C2518, ""en"", ""te""),"""")"),"")</f>
        <v/>
      </c>
      <c r="E2518" s="2"/>
      <c r="F2518" s="2" t="str">
        <f>IFERROR(__xludf.DUMMYFUNCTION("IF(E2518&lt;&gt;"""", GOOGLETRANSLATE(E2518, ""en"", ""te""),"""")"),"")</f>
        <v/>
      </c>
      <c r="G2518" s="2"/>
      <c r="H2518" s="2" t="str">
        <f>IFERROR(__xludf.DUMMYFUNCTION("IF(G2518&lt;&gt;"""", GOOGLETRANSLATE(G2518, ""en"", ""te""),"""")"),"")</f>
        <v/>
      </c>
      <c r="I2518" s="3"/>
    </row>
    <row r="2519" customHeight="1" spans="1:9">
      <c r="A2519" s="2"/>
      <c r="B2519" s="2" t="str">
        <f>IFERROR(__xludf.DUMMYFUNCTION("IF(A2519&lt;&gt;"""", GOOGLETRANSLATE(A2519, ""en"", ""te""),"""")"),"")</f>
        <v/>
      </c>
      <c r="C2519" s="2"/>
      <c r="D2519" s="2" t="str">
        <f>IFERROR(__xludf.DUMMYFUNCTION("IF(C2519&lt;&gt;"""", GOOGLETRANSLATE(C2519, ""en"", ""te""),"""")"),"")</f>
        <v/>
      </c>
      <c r="E2519" s="2"/>
      <c r="F2519" s="2" t="str">
        <f>IFERROR(__xludf.DUMMYFUNCTION("IF(E2519&lt;&gt;"""", GOOGLETRANSLATE(E2519, ""en"", ""te""),"""")"),"")</f>
        <v/>
      </c>
      <c r="G2519" s="2"/>
      <c r="H2519" s="2" t="str">
        <f>IFERROR(__xludf.DUMMYFUNCTION("IF(G2519&lt;&gt;"""", GOOGLETRANSLATE(G2519, ""en"", ""te""),"""")"),"")</f>
        <v/>
      </c>
      <c r="I2519" s="3"/>
    </row>
    <row r="2520" customHeight="1" spans="1:9">
      <c r="A2520" s="2"/>
      <c r="B2520" s="2" t="str">
        <f>IFERROR(__xludf.DUMMYFUNCTION("IF(A2520&lt;&gt;"""", GOOGLETRANSLATE(A2520, ""en"", ""te""),"""")"),"")</f>
        <v/>
      </c>
      <c r="C2520" s="2"/>
      <c r="D2520" s="2" t="str">
        <f>IFERROR(__xludf.DUMMYFUNCTION("IF(C2520&lt;&gt;"""", GOOGLETRANSLATE(C2520, ""en"", ""te""),"""")"),"")</f>
        <v/>
      </c>
      <c r="E2520" s="2"/>
      <c r="F2520" s="2" t="str">
        <f>IFERROR(__xludf.DUMMYFUNCTION("IF(E2520&lt;&gt;"""", GOOGLETRANSLATE(E2520, ""en"", ""te""),"""")"),"")</f>
        <v/>
      </c>
      <c r="G2520" s="2"/>
      <c r="H2520" s="2" t="str">
        <f>IFERROR(__xludf.DUMMYFUNCTION("IF(G2520&lt;&gt;"""", GOOGLETRANSLATE(G2520, ""en"", ""te""),"""")"),"")</f>
        <v/>
      </c>
      <c r="I2520" s="3"/>
    </row>
    <row r="2521" customHeight="1" spans="1:9">
      <c r="A2521" s="2"/>
      <c r="B2521" s="2" t="str">
        <f>IFERROR(__xludf.DUMMYFUNCTION("IF(A2521&lt;&gt;"""", GOOGLETRANSLATE(A2521, ""en"", ""te""),"""")"),"")</f>
        <v/>
      </c>
      <c r="C2521" s="2"/>
      <c r="D2521" s="2" t="str">
        <f>IFERROR(__xludf.DUMMYFUNCTION("IF(C2521&lt;&gt;"""", GOOGLETRANSLATE(C2521, ""en"", ""te""),"""")"),"")</f>
        <v/>
      </c>
      <c r="E2521" s="2"/>
      <c r="F2521" s="2" t="str">
        <f>IFERROR(__xludf.DUMMYFUNCTION("IF(E2521&lt;&gt;"""", GOOGLETRANSLATE(E2521, ""en"", ""te""),"""")"),"")</f>
        <v/>
      </c>
      <c r="G2521" s="2"/>
      <c r="H2521" s="2" t="str">
        <f>IFERROR(__xludf.DUMMYFUNCTION("IF(G2521&lt;&gt;"""", GOOGLETRANSLATE(G2521, ""en"", ""te""),"""")"),"")</f>
        <v/>
      </c>
      <c r="I2521" s="3"/>
    </row>
    <row r="2522" customHeight="1" spans="1:9">
      <c r="A2522" s="2"/>
      <c r="B2522" s="2" t="str">
        <f>IFERROR(__xludf.DUMMYFUNCTION("IF(A2522&lt;&gt;"""", GOOGLETRANSLATE(A2522, ""en"", ""te""),"""")"),"")</f>
        <v/>
      </c>
      <c r="C2522" s="2"/>
      <c r="D2522" s="2" t="str">
        <f>IFERROR(__xludf.DUMMYFUNCTION("IF(C2522&lt;&gt;"""", GOOGLETRANSLATE(C2522, ""en"", ""te""),"""")"),"")</f>
        <v/>
      </c>
      <c r="E2522" s="2"/>
      <c r="F2522" s="2" t="str">
        <f>IFERROR(__xludf.DUMMYFUNCTION("IF(E2522&lt;&gt;"""", GOOGLETRANSLATE(E2522, ""en"", ""te""),"""")"),"")</f>
        <v/>
      </c>
      <c r="G2522" s="2"/>
      <c r="H2522" s="2" t="str">
        <f>IFERROR(__xludf.DUMMYFUNCTION("IF(G2522&lt;&gt;"""", GOOGLETRANSLATE(G2522, ""en"", ""te""),"""")"),"")</f>
        <v/>
      </c>
      <c r="I2522" s="3"/>
    </row>
    <row r="2523" customHeight="1" spans="1:9">
      <c r="A2523" s="2"/>
      <c r="B2523" s="2" t="str">
        <f>IFERROR(__xludf.DUMMYFUNCTION("IF(A2523&lt;&gt;"""", GOOGLETRANSLATE(A2523, ""en"", ""te""),"""")"),"")</f>
        <v/>
      </c>
      <c r="C2523" s="2"/>
      <c r="D2523" s="2" t="str">
        <f>IFERROR(__xludf.DUMMYFUNCTION("IF(C2523&lt;&gt;"""", GOOGLETRANSLATE(C2523, ""en"", ""te""),"""")"),"")</f>
        <v/>
      </c>
      <c r="E2523" s="2"/>
      <c r="F2523" s="2" t="str">
        <f>IFERROR(__xludf.DUMMYFUNCTION("IF(E2523&lt;&gt;"""", GOOGLETRANSLATE(E2523, ""en"", ""te""),"""")"),"")</f>
        <v/>
      </c>
      <c r="G2523" s="2"/>
      <c r="H2523" s="2" t="str">
        <f>IFERROR(__xludf.DUMMYFUNCTION("IF(G2523&lt;&gt;"""", GOOGLETRANSLATE(G2523, ""en"", ""te""),"""")"),"")</f>
        <v/>
      </c>
      <c r="I2523" s="3"/>
    </row>
    <row r="2524" customHeight="1" spans="1:9">
      <c r="A2524" s="2"/>
      <c r="B2524" s="2" t="str">
        <f>IFERROR(__xludf.DUMMYFUNCTION("IF(A2524&lt;&gt;"""", GOOGLETRANSLATE(A2524, ""en"", ""te""),"""")"),"")</f>
        <v/>
      </c>
      <c r="C2524" s="2"/>
      <c r="D2524" s="2" t="str">
        <f>IFERROR(__xludf.DUMMYFUNCTION("IF(C2524&lt;&gt;"""", GOOGLETRANSLATE(C2524, ""en"", ""te""),"""")"),"")</f>
        <v/>
      </c>
      <c r="E2524" s="2"/>
      <c r="F2524" s="2" t="str">
        <f>IFERROR(__xludf.DUMMYFUNCTION("IF(E2524&lt;&gt;"""", GOOGLETRANSLATE(E2524, ""en"", ""te""),"""")"),"")</f>
        <v/>
      </c>
      <c r="G2524" s="2"/>
      <c r="H2524" s="2" t="str">
        <f>IFERROR(__xludf.DUMMYFUNCTION("IF(G2524&lt;&gt;"""", GOOGLETRANSLATE(G2524, ""en"", ""te""),"""")"),"")</f>
        <v/>
      </c>
      <c r="I2524" s="3"/>
    </row>
    <row r="2525" customHeight="1" spans="1:9">
      <c r="A2525" s="2"/>
      <c r="B2525" s="2" t="str">
        <f>IFERROR(__xludf.DUMMYFUNCTION("IF(A2525&lt;&gt;"""", GOOGLETRANSLATE(A2525, ""en"", ""te""),"""")"),"")</f>
        <v/>
      </c>
      <c r="C2525" s="2"/>
      <c r="D2525" s="2" t="str">
        <f>IFERROR(__xludf.DUMMYFUNCTION("IF(C2525&lt;&gt;"""", GOOGLETRANSLATE(C2525, ""en"", ""te""),"""")"),"")</f>
        <v/>
      </c>
      <c r="E2525" s="2"/>
      <c r="F2525" s="2" t="str">
        <f>IFERROR(__xludf.DUMMYFUNCTION("IF(E2525&lt;&gt;"""", GOOGLETRANSLATE(E2525, ""en"", ""te""),"""")"),"")</f>
        <v/>
      </c>
      <c r="G2525" s="2"/>
      <c r="H2525" s="2" t="str">
        <f>IFERROR(__xludf.DUMMYFUNCTION("IF(G2525&lt;&gt;"""", GOOGLETRANSLATE(G2525, ""en"", ""te""),"""")"),"")</f>
        <v/>
      </c>
      <c r="I2525" s="3"/>
    </row>
    <row r="2526" customHeight="1" spans="1:9">
      <c r="A2526" s="2"/>
      <c r="B2526" s="2" t="str">
        <f>IFERROR(__xludf.DUMMYFUNCTION("IF(A2526&lt;&gt;"""", GOOGLETRANSLATE(A2526, ""en"", ""te""),"""")"),"")</f>
        <v/>
      </c>
      <c r="C2526" s="2"/>
      <c r="D2526" s="2" t="str">
        <f>IFERROR(__xludf.DUMMYFUNCTION("IF(C2526&lt;&gt;"""", GOOGLETRANSLATE(C2526, ""en"", ""te""),"""")"),"")</f>
        <v/>
      </c>
      <c r="E2526" s="2"/>
      <c r="F2526" s="2" t="str">
        <f>IFERROR(__xludf.DUMMYFUNCTION("IF(E2526&lt;&gt;"""", GOOGLETRANSLATE(E2526, ""en"", ""te""),"""")"),"")</f>
        <v/>
      </c>
      <c r="G2526" s="2"/>
      <c r="H2526" s="2" t="str">
        <f>IFERROR(__xludf.DUMMYFUNCTION("IF(G2526&lt;&gt;"""", GOOGLETRANSLATE(G2526, ""en"", ""te""),"""")"),"")</f>
        <v/>
      </c>
      <c r="I2526" s="3"/>
    </row>
    <row r="2527" customHeight="1" spans="1:9">
      <c r="A2527" s="2"/>
      <c r="B2527" s="2" t="str">
        <f>IFERROR(__xludf.DUMMYFUNCTION("IF(A2527&lt;&gt;"""", GOOGLETRANSLATE(A2527, ""en"", ""te""),"""")"),"")</f>
        <v/>
      </c>
      <c r="C2527" s="2"/>
      <c r="D2527" s="2" t="str">
        <f>IFERROR(__xludf.DUMMYFUNCTION("IF(C2527&lt;&gt;"""", GOOGLETRANSLATE(C2527, ""en"", ""te""),"""")"),"")</f>
        <v/>
      </c>
      <c r="E2527" s="2"/>
      <c r="F2527" s="2" t="str">
        <f>IFERROR(__xludf.DUMMYFUNCTION("IF(E2527&lt;&gt;"""", GOOGLETRANSLATE(E2527, ""en"", ""te""),"""")"),"")</f>
        <v/>
      </c>
      <c r="G2527" s="2"/>
      <c r="H2527" s="2" t="str">
        <f>IFERROR(__xludf.DUMMYFUNCTION("IF(G2527&lt;&gt;"""", GOOGLETRANSLATE(G2527, ""en"", ""te""),"""")"),"")</f>
        <v/>
      </c>
      <c r="I2527" s="3"/>
    </row>
    <row r="2528" customHeight="1" spans="1:9">
      <c r="A2528" s="2"/>
      <c r="B2528" s="2" t="str">
        <f>IFERROR(__xludf.DUMMYFUNCTION("IF(A2528&lt;&gt;"""", GOOGLETRANSLATE(A2528, ""en"", ""te""),"""")"),"")</f>
        <v/>
      </c>
      <c r="C2528" s="2"/>
      <c r="D2528" s="2" t="str">
        <f>IFERROR(__xludf.DUMMYFUNCTION("IF(C2528&lt;&gt;"""", GOOGLETRANSLATE(C2528, ""en"", ""te""),"""")"),"")</f>
        <v/>
      </c>
      <c r="E2528" s="2"/>
      <c r="F2528" s="2" t="str">
        <f>IFERROR(__xludf.DUMMYFUNCTION("IF(E2528&lt;&gt;"""", GOOGLETRANSLATE(E2528, ""en"", ""te""),"""")"),"")</f>
        <v/>
      </c>
      <c r="G2528" s="2"/>
      <c r="H2528" s="2" t="str">
        <f>IFERROR(__xludf.DUMMYFUNCTION("IF(G2528&lt;&gt;"""", GOOGLETRANSLATE(G2528, ""en"", ""te""),"""")"),"")</f>
        <v/>
      </c>
      <c r="I2528" s="3"/>
    </row>
    <row r="2529" customHeight="1" spans="1:9">
      <c r="A2529" s="2"/>
      <c r="B2529" s="2" t="str">
        <f>IFERROR(__xludf.DUMMYFUNCTION("IF(A2529&lt;&gt;"""", GOOGLETRANSLATE(A2529, ""en"", ""te""),"""")"),"")</f>
        <v/>
      </c>
      <c r="C2529" s="2"/>
      <c r="D2529" s="2" t="str">
        <f>IFERROR(__xludf.DUMMYFUNCTION("IF(C2529&lt;&gt;"""", GOOGLETRANSLATE(C2529, ""en"", ""te""),"""")"),"")</f>
        <v/>
      </c>
      <c r="E2529" s="2"/>
      <c r="F2529" s="2" t="str">
        <f>IFERROR(__xludf.DUMMYFUNCTION("IF(E2529&lt;&gt;"""", GOOGLETRANSLATE(E2529, ""en"", ""te""),"""")"),"")</f>
        <v/>
      </c>
      <c r="G2529" s="2"/>
      <c r="H2529" s="2" t="str">
        <f>IFERROR(__xludf.DUMMYFUNCTION("IF(G2529&lt;&gt;"""", GOOGLETRANSLATE(G2529, ""en"", ""te""),"""")"),"")</f>
        <v/>
      </c>
      <c r="I2529" s="3"/>
    </row>
    <row r="2530" customHeight="1" spans="1:9">
      <c r="A2530" s="2"/>
      <c r="B2530" s="2" t="str">
        <f>IFERROR(__xludf.DUMMYFUNCTION("IF(A2530&lt;&gt;"""", GOOGLETRANSLATE(A2530, ""en"", ""te""),"""")"),"")</f>
        <v/>
      </c>
      <c r="C2530" s="2"/>
      <c r="D2530" s="2" t="str">
        <f>IFERROR(__xludf.DUMMYFUNCTION("IF(C2530&lt;&gt;"""", GOOGLETRANSLATE(C2530, ""en"", ""te""),"""")"),"")</f>
        <v/>
      </c>
      <c r="E2530" s="2"/>
      <c r="F2530" s="2" t="str">
        <f>IFERROR(__xludf.DUMMYFUNCTION("IF(E2530&lt;&gt;"""", GOOGLETRANSLATE(E2530, ""en"", ""te""),"""")"),"")</f>
        <v/>
      </c>
      <c r="G2530" s="2"/>
      <c r="H2530" s="2" t="str">
        <f>IFERROR(__xludf.DUMMYFUNCTION("IF(G2530&lt;&gt;"""", GOOGLETRANSLATE(G2530, ""en"", ""te""),"""")"),"")</f>
        <v/>
      </c>
      <c r="I2530" s="3"/>
    </row>
    <row r="2531" customHeight="1" spans="1:9">
      <c r="A2531" s="2"/>
      <c r="B2531" s="2" t="str">
        <f>IFERROR(__xludf.DUMMYFUNCTION("IF(A2531&lt;&gt;"""", GOOGLETRANSLATE(A2531, ""en"", ""te""),"""")"),"")</f>
        <v/>
      </c>
      <c r="C2531" s="2"/>
      <c r="D2531" s="2" t="str">
        <f>IFERROR(__xludf.DUMMYFUNCTION("IF(C2531&lt;&gt;"""", GOOGLETRANSLATE(C2531, ""en"", ""te""),"""")"),"")</f>
        <v/>
      </c>
      <c r="E2531" s="2" t="s">
        <v>1808</v>
      </c>
      <c r="F2531" s="2" t="str">
        <f>IFERROR(__xludf.DUMMYFUNCTION("IF(E2531&lt;&gt;"""", GOOGLETRANSLATE(E2531, ""en"", ""te""),"""")"),"[ '17 వ అత్యంత ఇన్నింగ్స్ లో సాధించిన బైస్ (11)']")</f>
        <v>[ '17 వ అత్యంత ఇన్నింగ్స్ లో సాధించిన బైస్ (11)']</v>
      </c>
      <c r="G2531" s="2"/>
      <c r="H2531" s="2" t="str">
        <f>IFERROR(__xludf.DUMMYFUNCTION("IF(G2531&lt;&gt;"""", GOOGLETRANSLATE(G2531, ""en"", ""te""),"""")"),"")</f>
        <v/>
      </c>
      <c r="I2531" s="3"/>
    </row>
    <row r="2532" customHeight="1" spans="1:9">
      <c r="A2532" s="2"/>
      <c r="B2532" s="2" t="str">
        <f>IFERROR(__xludf.DUMMYFUNCTION("IF(A2532&lt;&gt;"""", GOOGLETRANSLATE(A2532, ""en"", ""te""),"""")"),"")</f>
        <v/>
      </c>
      <c r="C2532" s="2"/>
      <c r="D2532" s="2" t="str">
        <f>IFERROR(__xludf.DUMMYFUNCTION("IF(C2532&lt;&gt;"""", GOOGLETRANSLATE(C2532, ""en"", ""te""),"""")"),"")</f>
        <v/>
      </c>
      <c r="E2532" s="2"/>
      <c r="F2532" s="2" t="str">
        <f>IFERROR(__xludf.DUMMYFUNCTION("IF(E2532&lt;&gt;"""", GOOGLETRANSLATE(E2532, ""en"", ""te""),"""")"),"")</f>
        <v/>
      </c>
      <c r="G2532" s="2"/>
      <c r="H2532" s="2" t="str">
        <f>IFERROR(__xludf.DUMMYFUNCTION("IF(G2532&lt;&gt;"""", GOOGLETRANSLATE(G2532, ""en"", ""te""),"""")"),"")</f>
        <v/>
      </c>
      <c r="I2532" s="3"/>
    </row>
    <row r="2533" customHeight="1" spans="1:9">
      <c r="A2533" s="2"/>
      <c r="B2533" s="2" t="str">
        <f>IFERROR(__xludf.DUMMYFUNCTION("IF(A2533&lt;&gt;"""", GOOGLETRANSLATE(A2533, ""en"", ""te""),"""")"),"")</f>
        <v/>
      </c>
      <c r="C2533" s="2"/>
      <c r="D2533" s="2" t="str">
        <f>IFERROR(__xludf.DUMMYFUNCTION("IF(C2533&lt;&gt;"""", GOOGLETRANSLATE(C2533, ""en"", ""te""),"""")"),"")</f>
        <v/>
      </c>
      <c r="E2533" s="2"/>
      <c r="F2533" s="2" t="str">
        <f>IFERROR(__xludf.DUMMYFUNCTION("IF(E2533&lt;&gt;"""", GOOGLETRANSLATE(E2533, ""en"", ""te""),"""")"),"")</f>
        <v/>
      </c>
      <c r="G2533" s="2"/>
      <c r="H2533" s="2" t="str">
        <f>IFERROR(__xludf.DUMMYFUNCTION("IF(G2533&lt;&gt;"""", GOOGLETRANSLATE(G2533, ""en"", ""te""),"""")"),"")</f>
        <v/>
      </c>
      <c r="I2533" s="3"/>
    </row>
    <row r="2534" customHeight="1" spans="1:9">
      <c r="A2534" s="2"/>
      <c r="B2534" s="2" t="str">
        <f>IFERROR(__xludf.DUMMYFUNCTION("IF(A2534&lt;&gt;"""", GOOGLETRANSLATE(A2534, ""en"", ""te""),"""")"),"")</f>
        <v/>
      </c>
      <c r="C2534" s="2"/>
      <c r="D2534" s="2" t="str">
        <f>IFERROR(__xludf.DUMMYFUNCTION("IF(C2534&lt;&gt;"""", GOOGLETRANSLATE(C2534, ""en"", ""te""),"""")"),"")</f>
        <v/>
      </c>
      <c r="E2534" s="2" t="s">
        <v>1809</v>
      </c>
      <c r="F2534" s="2" t="str">
        <f>IFERROR(__xludf.DUMMYFUNCTION("IF(E2534&lt;&gt;"""", GOOGLETRANSLATE(E2534, ""en"", ""te""),"""")"),"[ '24 వ ఉత్తమ కెరీర్ ఆర్థిక రేటు (3.68)']")</f>
        <v>[ '24 వ ఉత్తమ కెరీర్ ఆర్థిక రేటు (3.68)']</v>
      </c>
      <c r="G2534" s="2"/>
      <c r="H2534" s="2" t="str">
        <f>IFERROR(__xludf.DUMMYFUNCTION("IF(G2534&lt;&gt;"""", GOOGLETRANSLATE(G2534, ""en"", ""te""),"""")"),"")</f>
        <v/>
      </c>
      <c r="I2534" s="3"/>
    </row>
    <row r="2535" customHeight="1" spans="1:9">
      <c r="A2535" s="2"/>
      <c r="B2535" s="2" t="str">
        <f>IFERROR(__xludf.DUMMYFUNCTION("IF(A2535&lt;&gt;"""", GOOGLETRANSLATE(A2535, ""en"", ""te""),"""")"),"")</f>
        <v/>
      </c>
      <c r="C2535" s="2"/>
      <c r="D2535" s="2" t="str">
        <f>IFERROR(__xludf.DUMMYFUNCTION("IF(C2535&lt;&gt;"""", GOOGLETRANSLATE(C2535, ""en"", ""te""),"""")"),"")</f>
        <v/>
      </c>
      <c r="E2535" s="2"/>
      <c r="F2535" s="2" t="str">
        <f>IFERROR(__xludf.DUMMYFUNCTION("IF(E2535&lt;&gt;"""", GOOGLETRANSLATE(E2535, ""en"", ""te""),"""")"),"")</f>
        <v/>
      </c>
      <c r="G2535" s="2"/>
      <c r="H2535" s="2" t="str">
        <f>IFERROR(__xludf.DUMMYFUNCTION("IF(G2535&lt;&gt;"""", GOOGLETRANSLATE(G2535, ""en"", ""te""),"""")"),"")</f>
        <v/>
      </c>
      <c r="I2535" s="3"/>
    </row>
    <row r="2536" customHeight="1" spans="1:9">
      <c r="A2536" s="2" t="s">
        <v>1810</v>
      </c>
      <c r="B2536" s="2" t="str">
        <f>IFERROR(__xludf.DUMMYFUNCTION("IF(A2536&lt;&gt;"""", GOOGLETRANSLATE(A2536, ""en"", ""te""),"""")"),"[ 'ఒక మ్యాచ్లో 2nd అత్యధిక క్యాచ్లు (4)', '10 వ ఇన్నింగ్స్ లో అత్యధిక పరుగులు (బ్యాటింగ్ స్థానంలో ప్రకారం) (68)', '4 వ ఇన్నింగ్స్ లో అత్యధిక క్యాచ్లు (3)', 'చాలా 5 వ ఇన్నింగ్స్ ముందు మొదటి డక్ ( 34) ',' 3 వ అత్యంత ఇన్నింగ్స్ లో పట్టుకొని (3) ']")</f>
        <v>[ 'ఒక మ్యాచ్లో 2nd అత్యధిక క్యాచ్లు (4)', '10 వ ఇన్నింగ్స్ లో అత్యధిక పరుగులు (బ్యాటింగ్ స్థానంలో ప్రకారం) (68)', '4 వ ఇన్నింగ్స్ లో అత్యధిక క్యాచ్లు (3)', 'చాలా 5 వ ఇన్నింగ్స్ ముందు మొదటి డక్ ( 34) ',' 3 వ అత్యంత ఇన్నింగ్స్ లో పట్టుకొని (3) ']</v>
      </c>
      <c r="C2536" s="2" t="s">
        <v>150</v>
      </c>
      <c r="D2536" s="2" t="str">
        <f>IFERROR(__xludf.DUMMYFUNCTION("IF(C2536&lt;&gt;"""", GOOGLETRANSLATE(C2536, ""en"", ""te""),"""")"),"[ 'ఒక మ్యాచ్లో 2nd అత్యధిక క్యాచ్లు (4)']")</f>
        <v>[ 'ఒక మ్యాచ్లో 2nd అత్యధిక క్యాచ్లు (4)']</v>
      </c>
      <c r="E2536" s="2" t="s">
        <v>1811</v>
      </c>
      <c r="F2536" s="2" t="str">
        <f>IFERROR(__xludf.DUMMYFUNCTION("IF(E2536&lt;&gt;"""", GOOGLETRANSLATE(E2536, ""en"", ""te""),"""")"),"[ '31 అత్యధిక కెరీర్ బ్యాటింగ్ సగటు (37.20)', '44 వ' వంద (1265) లేకుండా 16 ఒక జీవితంలో అత్యధిక పరుగులు '' 10 వ ఇన్నింగ్స్ లో అత్యధిక పరుగులు (బ్యాటింగ్ స్థానంలో ప్రకారం) (68), కెరీర్ లో అత్యధిక క్యాచ్లు (28) ',' 4 వ అత్యధిక క్యాచ్లు ఒక ఇన్నింగ్స్ లో (3) '"&amp;",' 47 వ ఒక సిరీస్లో అత్యధిక క్యాచ్లు (6) ',' ఏడవ వికెట్కు 30 వ అత్యధిక భాగస్వామ్యం (63) ']")</f>
        <v>[ '31 అత్యధిక కెరీర్ బ్యాటింగ్ సగటు (37.20)', '44 వ' వంద (1265) లేకుండా 16 ఒక జీవితంలో అత్యధిక పరుగులు '' 10 వ ఇన్నింగ్స్ లో అత్యధిక పరుగులు (బ్యాటింగ్ స్థానంలో ప్రకారం) (68), కెరీర్ లో అత్యధిక క్యాచ్లు (28) ',' 4 వ అత్యధిక క్యాచ్లు ఒక ఇన్నింగ్స్ లో (3) ',' 47 వ ఒక సిరీస్లో అత్యధిక క్యాచ్లు (6) ',' ఏడవ వికెట్కు 30 వ అత్యధిక భాగస్వామ్యం (63) ']</v>
      </c>
      <c r="G2536" s="2" t="s">
        <v>1812</v>
      </c>
      <c r="H2536" s="2" t="str">
        <f>IFERROR(__xludf.DUMMYFUNCTION("IF(G2536&lt;&gt;"""", GOOGLETRANSLATE(G2536, ""en"", ""te""),"""")"),"[ '41 వ కెరీర్ లో అత్యధిక పరుగులు (941)', '38 వ ఒక క్యాలెండర్ సంవత్సరంలో అత్యధిక పరుగులు (375)', '26 ఇన్నింగ్స్ లో అత్యధిక పరుగులు (బ్యాటింగ్ స్థానంలో ప్రకారం) (59)', '34 వ కెరీర్ అర్ధ (3 ) ',' చాలా 5 వ ఇన్నింగ్స్ తొలి డక్ ముందు (34) ',' ఒక డక్ లేకుండా 28"&amp;" వరుస ఇన్నింగ్స్ (34) ',' 12 వ అత్యధిక క్యాచ్లు కెరీర్లో (33) ',' ఇన్నింగ్స్ లో 3 వ అత్యధిక క్యాచ్లు (3) ' , 'నాలుగవ వికెట్కు 22 అత్యధిక భాగస్వామ్యం (77)', 'బృందం (44) 24 వరుస మ్యాచ్లు']")</f>
        <v>[ '41 వ కెరీర్ లో అత్యధిక పరుగులు (941)', '38 వ ఒక క్యాలెండర్ సంవత్సరంలో అత్యధిక పరుగులు (375)', '26 ఇన్నింగ్స్ లో అత్యధిక పరుగులు (బ్యాటింగ్ స్థానంలో ప్రకారం) (59)', '34 వ కెరీర్ అర్ధ (3 ) ',' చాలా 5 వ ఇన్నింగ్స్ తొలి డక్ ముందు (34) ',' ఒక డక్ లేకుండా 28 వరుస ఇన్నింగ్స్ (34) ',' 12 వ అత్యధిక క్యాచ్లు కెరీర్లో (33) ',' ఇన్నింగ్స్ లో 3 వ అత్యధిక క్యాచ్లు (3) ' , 'నాలుగవ వికెట్కు 22 అత్యధిక భాగస్వామ్యం (77)', 'బృందం (44) 24 వరుస మ్యాచ్లు']</v>
      </c>
      <c r="I2536" s="3"/>
    </row>
    <row r="2537" customHeight="1" spans="1:9">
      <c r="A2537" s="2"/>
      <c r="B2537" s="2" t="str">
        <f>IFERROR(__xludf.DUMMYFUNCTION("IF(A2537&lt;&gt;"""", GOOGLETRANSLATE(A2537, ""en"", ""te""),"""")"),"")</f>
        <v/>
      </c>
      <c r="C2537" s="2"/>
      <c r="D2537" s="2" t="str">
        <f>IFERROR(__xludf.DUMMYFUNCTION("IF(C2537&lt;&gt;"""", GOOGLETRANSLATE(C2537, ""en"", ""te""),"""")"),"")</f>
        <v/>
      </c>
      <c r="E2537" s="2"/>
      <c r="F2537" s="2" t="str">
        <f>IFERROR(__xludf.DUMMYFUNCTION("IF(E2537&lt;&gt;"""", GOOGLETRANSLATE(E2537, ""en"", ""te""),"""")"),"")</f>
        <v/>
      </c>
      <c r="G2537" s="2"/>
      <c r="H2537" s="2" t="str">
        <f>IFERROR(__xludf.DUMMYFUNCTION("IF(G2537&lt;&gt;"""", GOOGLETRANSLATE(G2537, ""en"", ""te""),"""")"),"")</f>
        <v/>
      </c>
      <c r="I2537" s="3"/>
    </row>
    <row r="2538" customHeight="1" spans="1:9">
      <c r="A2538" s="2"/>
      <c r="B2538" s="2" t="str">
        <f>IFERROR(__xludf.DUMMYFUNCTION("IF(A2538&lt;&gt;"""", GOOGLETRANSLATE(A2538, ""en"", ""te""),"""")"),"")</f>
        <v/>
      </c>
      <c r="C2538" s="2"/>
      <c r="D2538" s="2" t="str">
        <f>IFERROR(__xludf.DUMMYFUNCTION("IF(C2538&lt;&gt;"""", GOOGLETRANSLATE(C2538, ""en"", ""te""),"""")"),"")</f>
        <v/>
      </c>
      <c r="E2538" s="2"/>
      <c r="F2538" s="2" t="str">
        <f>IFERROR(__xludf.DUMMYFUNCTION("IF(E2538&lt;&gt;"""", GOOGLETRANSLATE(E2538, ""en"", ""te""),"""")"),"")</f>
        <v/>
      </c>
      <c r="G2538" s="2"/>
      <c r="H2538" s="2" t="str">
        <f>IFERROR(__xludf.DUMMYFUNCTION("IF(G2538&lt;&gt;"""", GOOGLETRANSLATE(G2538, ""en"", ""te""),"""")"),"")</f>
        <v/>
      </c>
      <c r="I2538" s="3"/>
    </row>
    <row r="2539" customHeight="1" spans="1:9">
      <c r="A2539" s="2"/>
      <c r="B2539" s="2" t="str">
        <f>IFERROR(__xludf.DUMMYFUNCTION("IF(A2539&lt;&gt;"""", GOOGLETRANSLATE(A2539, ""en"", ""te""),"""")"),"")</f>
        <v/>
      </c>
      <c r="C2539" s="2"/>
      <c r="D2539" s="2" t="str">
        <f>IFERROR(__xludf.DUMMYFUNCTION("IF(C2539&lt;&gt;"""", GOOGLETRANSLATE(C2539, ""en"", ""te""),"""")"),"")</f>
        <v/>
      </c>
      <c r="E2539" s="2" t="s">
        <v>1813</v>
      </c>
      <c r="F2539" s="2" t="str">
        <f>IFERROR(__xludf.DUMMYFUNCTION("IF(E2539&lt;&gt;"""", GOOGLETRANSLATE(E2539, ""en"", ""te""),"""")"),"[ '20 వ తొలి మ్యాచ్లో అత్యధిక పరుగులు (58 *)']")</f>
        <v>[ '20 వ తొలి మ్యాచ్లో అత్యధిక పరుగులు (58 *)']</v>
      </c>
      <c r="G2539" s="2"/>
      <c r="H2539" s="2" t="str">
        <f>IFERROR(__xludf.DUMMYFUNCTION("IF(G2539&lt;&gt;"""", GOOGLETRANSLATE(G2539, ""en"", ""te""),"""")"),"")</f>
        <v/>
      </c>
      <c r="I2539" s="3"/>
    </row>
    <row r="2540" customHeight="1" spans="1:9">
      <c r="A2540" s="2"/>
      <c r="B2540" s="2" t="str">
        <f>IFERROR(__xludf.DUMMYFUNCTION("IF(A2540&lt;&gt;"""", GOOGLETRANSLATE(A2540, ""en"", ""te""),"""")"),"")</f>
        <v/>
      </c>
      <c r="C2540" s="2"/>
      <c r="D2540" s="2" t="str">
        <f>IFERROR(__xludf.DUMMYFUNCTION("IF(C2540&lt;&gt;"""", GOOGLETRANSLATE(C2540, ""en"", ""te""),"""")"),"")</f>
        <v/>
      </c>
      <c r="E2540" s="2"/>
      <c r="F2540" s="2" t="str">
        <f>IFERROR(__xludf.DUMMYFUNCTION("IF(E2540&lt;&gt;"""", GOOGLETRANSLATE(E2540, ""en"", ""te""),"""")"),"")</f>
        <v/>
      </c>
      <c r="G2540" s="2"/>
      <c r="H2540" s="2" t="str">
        <f>IFERROR(__xludf.DUMMYFUNCTION("IF(G2540&lt;&gt;"""", GOOGLETRANSLATE(G2540, ""en"", ""te""),"""")"),"")</f>
        <v/>
      </c>
      <c r="I2540" s="3"/>
    </row>
    <row r="2541" customHeight="1" spans="1:9">
      <c r="A2541" s="2" t="s">
        <v>1814</v>
      </c>
      <c r="B2541" s="2" t="str">
        <f>IFERROR(__xludf.DUMMYFUNCTION("IF(A2541&lt;&gt;"""", GOOGLETRANSLATE(A2541, ""en"", ""te""),"""")"),"[ 'ఒక మ్యాచ్లో 5 వ ఉత్తమ సంఖ్యలు ఉన్నప్పుడు పరాజయం వైపు (12)', 'ఒక మ్యాచ్ లో మొత్తం పదకొండు బ్యాట్స్ తోసిపుచ్చిన']")</f>
        <v>[ 'ఒక మ్యాచ్లో 5 వ ఉత్తమ సంఖ్యలు ఉన్నప్పుడు పరాజయం వైపు (12)', 'ఒక మ్యాచ్ లో మొత్తం పదకొండు బ్యాట్స్ తోసిపుచ్చిన']</v>
      </c>
      <c r="C2541" s="2" t="s">
        <v>1815</v>
      </c>
      <c r="D2541" s="2" t="str">
        <f>IFERROR(__xludf.DUMMYFUNCTION("IF(C2541&lt;&gt;"""", GOOGLETRANSLATE(C2541, ""en"", ""te""),"""")"),"[ '24 ఒక ఇన్నింగ్స్ లోని బెస్ట్ ఫిగర్స్ పరాజయం వైపు (7) ఉన్నప్పుడు' 'ఉన్నప్పుడు పరాజయం వైపు (12) 5 వ మ్యాచ్ లో బెస్ట్ ఫిగర్స్', 'తీసుకోవాలని 32 వ అత్యంత వృద్ధ ఆటగాడు, పది వికెట్లు లో ఒక మ్యాచ్ (34y 73d) ']")</f>
        <v>[ '24 ఒక ఇన్నింగ్స్ లోని బెస్ట్ ఫిగర్స్ పరాజయం వైపు (7) ఉన్నప్పుడు' 'ఉన్నప్పుడు పరాజయం వైపు (12) 5 వ మ్యాచ్ లో బెస్ట్ ఫిగర్స్', 'తీసుకోవాలని 32 వ అత్యంత వృద్ధ ఆటగాడు, పది వికెట్లు లో ఒక మ్యాచ్ (34y 73d) ']</v>
      </c>
      <c r="E2541" s="2"/>
      <c r="F2541" s="2" t="str">
        <f>IFERROR(__xludf.DUMMYFUNCTION("IF(E2541&lt;&gt;"""", GOOGLETRANSLATE(E2541, ""en"", ""te""),"""")"),"")</f>
        <v/>
      </c>
      <c r="G2541" s="2"/>
      <c r="H2541" s="2" t="str">
        <f>IFERROR(__xludf.DUMMYFUNCTION("IF(G2541&lt;&gt;"""", GOOGLETRANSLATE(G2541, ""en"", ""te""),"""")"),"")</f>
        <v/>
      </c>
      <c r="I2541" s="3"/>
    </row>
    <row r="2542" customHeight="1" spans="1:9">
      <c r="A2542" s="2" t="s">
        <v>9</v>
      </c>
      <c r="B2542" s="2" t="str">
        <f>IFERROR(__xludf.DUMMYFUNCTION("IF(A2542&lt;&gt;"""", GOOGLETRANSLATE(A2542, ""en"", ""te""),"""")"),"[ 'హండ్రెడ్ మరియు ఒక మ్యాచ్లో ఒక డక్']")</f>
        <v>[ 'హండ్రెడ్ మరియు ఒక మ్యాచ్లో ఒక డక్']</v>
      </c>
      <c r="C2542" s="2"/>
      <c r="D2542" s="2" t="str">
        <f>IFERROR(__xludf.DUMMYFUNCTION("IF(C2542&lt;&gt;"""", GOOGLETRANSLATE(C2542, ""en"", ""te""),"""")"),"")</f>
        <v/>
      </c>
      <c r="E2542" s="2"/>
      <c r="F2542" s="2" t="str">
        <f>IFERROR(__xludf.DUMMYFUNCTION("IF(E2542&lt;&gt;"""", GOOGLETRANSLATE(E2542, ""en"", ""te""),"""")"),"")</f>
        <v/>
      </c>
      <c r="G2542" s="2"/>
      <c r="H2542" s="2" t="str">
        <f>IFERROR(__xludf.DUMMYFUNCTION("IF(G2542&lt;&gt;"""", GOOGLETRANSLATE(G2542, ""en"", ""te""),"""")"),"")</f>
        <v/>
      </c>
      <c r="I2542" s="3"/>
    </row>
    <row r="2543" customHeight="1" spans="1:9">
      <c r="A2543" s="2"/>
      <c r="B2543" s="2" t="str">
        <f>IFERROR(__xludf.DUMMYFUNCTION("IF(A2543&lt;&gt;"""", GOOGLETRANSLATE(A2543, ""en"", ""te""),"""")"),"")</f>
        <v/>
      </c>
      <c r="C2543" s="2"/>
      <c r="D2543" s="2" t="str">
        <f>IFERROR(__xludf.DUMMYFUNCTION("IF(C2543&lt;&gt;"""", GOOGLETRANSLATE(C2543, ""en"", ""te""),"""")"),"")</f>
        <v/>
      </c>
      <c r="E2543" s="2"/>
      <c r="F2543" s="2" t="str">
        <f>IFERROR(__xludf.DUMMYFUNCTION("IF(E2543&lt;&gt;"""", GOOGLETRANSLATE(E2543, ""en"", ""te""),"""")"),"")</f>
        <v/>
      </c>
      <c r="G2543" s="2"/>
      <c r="H2543" s="2" t="str">
        <f>IFERROR(__xludf.DUMMYFUNCTION("IF(G2543&lt;&gt;"""", GOOGLETRANSLATE(G2543, ""en"", ""te""),"""")"),"")</f>
        <v/>
      </c>
      <c r="I2543" s="3"/>
    </row>
    <row r="2544" customHeight="1" spans="1:9">
      <c r="A2544" s="2"/>
      <c r="B2544" s="2" t="str">
        <f>IFERROR(__xludf.DUMMYFUNCTION("IF(A2544&lt;&gt;"""", GOOGLETRANSLATE(A2544, ""en"", ""te""),"""")"),"")</f>
        <v/>
      </c>
      <c r="C2544" s="2"/>
      <c r="D2544" s="2" t="str">
        <f>IFERROR(__xludf.DUMMYFUNCTION("IF(C2544&lt;&gt;"""", GOOGLETRANSLATE(C2544, ""en"", ""te""),"""")"),"")</f>
        <v/>
      </c>
      <c r="E2544" s="2"/>
      <c r="F2544" s="2" t="str">
        <f>IFERROR(__xludf.DUMMYFUNCTION("IF(E2544&lt;&gt;"""", GOOGLETRANSLATE(E2544, ""en"", ""te""),"""")"),"")</f>
        <v/>
      </c>
      <c r="G2544" s="2"/>
      <c r="H2544" s="2" t="str">
        <f>IFERROR(__xludf.DUMMYFUNCTION("IF(G2544&lt;&gt;"""", GOOGLETRANSLATE(G2544, ""en"", ""te""),"""")"),"")</f>
        <v/>
      </c>
      <c r="I2544" s="3"/>
    </row>
    <row r="2545" customHeight="1" spans="1:9">
      <c r="A2545" s="2"/>
      <c r="B2545" s="2" t="str">
        <f>IFERROR(__xludf.DUMMYFUNCTION("IF(A2545&lt;&gt;"""", GOOGLETRANSLATE(A2545, ""en"", ""te""),"""")"),"")</f>
        <v/>
      </c>
      <c r="C2545" s="2" t="s">
        <v>1816</v>
      </c>
      <c r="D2545" s="2" t="str">
        <f>IFERROR(__xludf.DUMMYFUNCTION("IF(C2545&lt;&gt;"""", GOOGLETRANSLATE(C2545, ""en"", ""te""),"""")"),"[ 'ఐదవ వికెట్కు 21 అత్యధిక భాగస్వామ్యం (268)', '36 వ వరుస మ్యాచ్లు ప్రదర్శనల మధ్య బృందం (59) కోసం తప్పిన']")</f>
        <v>[ 'ఐదవ వికెట్కు 21 అత్యధిక భాగస్వామ్యం (268)', '36 వ వరుస మ్యాచ్లు ప్రదర్శనల మధ్య బృందం (59) కోసం తప్పిన']</v>
      </c>
      <c r="E2545" s="2"/>
      <c r="F2545" s="2" t="str">
        <f>IFERROR(__xludf.DUMMYFUNCTION("IF(E2545&lt;&gt;"""", GOOGLETRANSLATE(E2545, ""en"", ""te""),"""")"),"")</f>
        <v/>
      </c>
      <c r="G2545" s="2"/>
      <c r="H2545" s="2" t="str">
        <f>IFERROR(__xludf.DUMMYFUNCTION("IF(G2545&lt;&gt;"""", GOOGLETRANSLATE(G2545, ""en"", ""te""),"""")"),"")</f>
        <v/>
      </c>
      <c r="I2545" s="3"/>
    </row>
    <row r="2546" customHeight="1" spans="1:9">
      <c r="A2546" s="2"/>
      <c r="B2546" s="2" t="str">
        <f>IFERROR(__xludf.DUMMYFUNCTION("IF(A2546&lt;&gt;"""", GOOGLETRANSLATE(A2546, ""en"", ""te""),"""")"),"")</f>
        <v/>
      </c>
      <c r="C2546" s="2"/>
      <c r="D2546" s="2" t="str">
        <f>IFERROR(__xludf.DUMMYFUNCTION("IF(C2546&lt;&gt;"""", GOOGLETRANSLATE(C2546, ""en"", ""te""),"""")"),"")</f>
        <v/>
      </c>
      <c r="E2546" s="2"/>
      <c r="F2546" s="2" t="str">
        <f>IFERROR(__xludf.DUMMYFUNCTION("IF(E2546&lt;&gt;"""", GOOGLETRANSLATE(E2546, ""en"", ""te""),"""")"),"")</f>
        <v/>
      </c>
      <c r="G2546" s="2"/>
      <c r="H2546" s="2" t="str">
        <f>IFERROR(__xludf.DUMMYFUNCTION("IF(G2546&lt;&gt;"""", GOOGLETRANSLATE(G2546, ""en"", ""te""),"""")"),"")</f>
        <v/>
      </c>
      <c r="I2546" s="3"/>
    </row>
    <row r="2547" customHeight="1" spans="1:9">
      <c r="A2547" s="2" t="s">
        <v>349</v>
      </c>
      <c r="B2547" s="2" t="str">
        <f>IFERROR(__xludf.DUMMYFUNCTION("IF(A2547&lt;&gt;"""", GOOGLETRANSLATE(A2547, ""en"", ""te""),"""")"),"[ '99 పరుగుల 1st (మరియు 199, 299 etc) (99)']")</f>
        <v>[ '99 పరుగుల 1st (మరియు 199, 299 etc) (99)']</v>
      </c>
      <c r="C2547" s="2" t="s">
        <v>349</v>
      </c>
      <c r="D2547" s="2" t="str">
        <f>IFERROR(__xludf.DUMMYFUNCTION("IF(C2547&lt;&gt;"""", GOOGLETRANSLATE(C2547, ""en"", ""te""),"""")"),"[ '99 పరుగుల 1st (మరియు 199, 299 etc) (99)']")</f>
        <v>[ '99 పరుగుల 1st (మరియు 199, 299 etc) (99)']</v>
      </c>
      <c r="E2547" s="2" t="s">
        <v>1817</v>
      </c>
      <c r="F2547" s="2" t="str">
        <f>IFERROR(__xludf.DUMMYFUNCTION("IF(E2547&lt;&gt;"""", GOOGLETRANSLATE(E2547, ""en"", ""te""),"""")"),"[ '35 వ పురాతన దేశం ఆటగాళ్ళు (78y 182d)']")</f>
        <v>[ '35 వ పురాతన దేశం ఆటగాళ్ళు (78y 182d)']</v>
      </c>
      <c r="G2547" s="2"/>
      <c r="H2547" s="2" t="str">
        <f>IFERROR(__xludf.DUMMYFUNCTION("IF(G2547&lt;&gt;"""", GOOGLETRANSLATE(G2547, ""en"", ""te""),"""")"),"")</f>
        <v/>
      </c>
      <c r="I2547" s="3"/>
    </row>
    <row r="2548" customHeight="1" spans="1:9">
      <c r="A2548" s="2"/>
      <c r="B2548" s="2" t="str">
        <f>IFERROR(__xludf.DUMMYFUNCTION("IF(A2548&lt;&gt;"""", GOOGLETRANSLATE(A2548, ""en"", ""te""),"""")"),"")</f>
        <v/>
      </c>
      <c r="C2548" s="2"/>
      <c r="D2548" s="2" t="str">
        <f>IFERROR(__xludf.DUMMYFUNCTION("IF(C2548&lt;&gt;"""", GOOGLETRANSLATE(C2548, ""en"", ""te""),"""")"),"")</f>
        <v/>
      </c>
      <c r="E2548" s="2"/>
      <c r="F2548" s="2" t="str">
        <f>IFERROR(__xludf.DUMMYFUNCTION("IF(E2548&lt;&gt;"""", GOOGLETRANSLATE(E2548, ""en"", ""te""),"""")"),"")</f>
        <v/>
      </c>
      <c r="G2548" s="2"/>
      <c r="H2548" s="2" t="str">
        <f>IFERROR(__xludf.DUMMYFUNCTION("IF(G2548&lt;&gt;"""", GOOGLETRANSLATE(G2548, ""en"", ""te""),"""")"),"")</f>
        <v/>
      </c>
      <c r="I2548" s="3"/>
    </row>
    <row r="2549" customHeight="1" spans="1:9">
      <c r="A2549" s="2"/>
      <c r="B2549" s="2" t="str">
        <f>IFERROR(__xludf.DUMMYFUNCTION("IF(A2549&lt;&gt;"""", GOOGLETRANSLATE(A2549, ""en"", ""te""),"""")"),"")</f>
        <v/>
      </c>
      <c r="C2549" s="2"/>
      <c r="D2549" s="2" t="str">
        <f>IFERROR(__xludf.DUMMYFUNCTION("IF(C2549&lt;&gt;"""", GOOGLETRANSLATE(C2549, ""en"", ""te""),"""")"),"")</f>
        <v/>
      </c>
      <c r="E2549" s="2"/>
      <c r="F2549" s="2" t="str">
        <f>IFERROR(__xludf.DUMMYFUNCTION("IF(E2549&lt;&gt;"""", GOOGLETRANSLATE(E2549, ""en"", ""te""),"""")"),"")</f>
        <v/>
      </c>
      <c r="G2549" s="2"/>
      <c r="H2549" s="2" t="str">
        <f>IFERROR(__xludf.DUMMYFUNCTION("IF(G2549&lt;&gt;"""", GOOGLETRANSLATE(G2549, ""en"", ""te""),"""")"),"")</f>
        <v/>
      </c>
      <c r="I2549" s="3"/>
    </row>
    <row r="2550" customHeight="1" spans="1:9">
      <c r="A2550" s="2"/>
      <c r="B2550" s="2" t="str">
        <f>IFERROR(__xludf.DUMMYFUNCTION("IF(A2550&lt;&gt;"""", GOOGLETRANSLATE(A2550, ""en"", ""te""),"""")"),"")</f>
        <v/>
      </c>
      <c r="C2550" s="2"/>
      <c r="D2550" s="2" t="str">
        <f>IFERROR(__xludf.DUMMYFUNCTION("IF(C2550&lt;&gt;"""", GOOGLETRANSLATE(C2550, ""en"", ""te""),"""")"),"")</f>
        <v/>
      </c>
      <c r="E2550" s="2"/>
      <c r="F2550" s="2" t="str">
        <f>IFERROR(__xludf.DUMMYFUNCTION("IF(E2550&lt;&gt;"""", GOOGLETRANSLATE(E2550, ""en"", ""te""),"""")"),"")</f>
        <v/>
      </c>
      <c r="G2550" s="2"/>
      <c r="H2550" s="2" t="str">
        <f>IFERROR(__xludf.DUMMYFUNCTION("IF(G2550&lt;&gt;"""", GOOGLETRANSLATE(G2550, ""en"", ""te""),"""")"),"")</f>
        <v/>
      </c>
      <c r="I2550" s="3"/>
    </row>
    <row r="2551" customHeight="1" spans="1:9">
      <c r="A2551" s="2" t="s">
        <v>1818</v>
      </c>
      <c r="B2551" s="2" t="str">
        <f>IFERROR(__xludf.DUMMYFUNCTION("IF(A2551&lt;&gt;"""", GOOGLETRANSLATE(A2551, ""en"", ""te""),"""")"),"[ '7th అత్యధిక భాగస్వామ్యం ఐదవ వికెట్కు (114)' '6 వ అత్యంత వృద్ధ ఆటగాడు తొలి వంద (31y 219d) స్కోర్',]")</f>
        <v>[ '7th అత్యధిక భాగస్వామ్యం ఐదవ వికెట్కు (114)' '6 వ అత్యంత వృద్ధ ఆటగాడు తొలి వంద (31y 219d) స్కోర్',]</v>
      </c>
      <c r="C2551" s="2" t="s">
        <v>1819</v>
      </c>
      <c r="D2551" s="2" t="str">
        <f>IFERROR(__xludf.DUMMYFUNCTION("IF(C2551&lt;&gt;"""", GOOGLETRANSLATE(C2551, ""en"", ""te""),"""")"),"[, 'మూడో వికెట్కు 12 వ అత్యధిక భాగస్వామ్యం (125)', '14 వ అత్యధిక నాలుగోది భాగస్వామ్యము ఉంది' కన్య వందల (219d 31y) స్కోర్ 6 వ అత్యంత వృద్ధ ఆటగాడు '' 14 వ అత్యంత వృద్ధ ఆటగాడు వంద (31y 219d) స్కోర్ ', వికెట్ (99) ']")</f>
        <v>[, 'మూడో వికెట్కు 12 వ అత్యధిక భాగస్వామ్యం (125)', '14 వ అత్యధిక నాలుగోది భాగస్వామ్యము ఉంది' కన్య వందల (219d 31y) స్కోర్ 6 వ అత్యంత వృద్ధ ఆటగాడు '' 14 వ అత్యంత వృద్ధ ఆటగాడు వంద (31y 219d) స్కోర్ ', వికెట్ (99) ']</v>
      </c>
      <c r="E2551" s="2" t="s">
        <v>1820</v>
      </c>
      <c r="F2551" s="2" t="str">
        <f>IFERROR(__xludf.DUMMYFUNCTION("IF(E2551&lt;&gt;"""", GOOGLETRANSLATE(E2551, ""en"", ""te""),"""")"),"[ 'ఐదవ వికెట్కు 7 వ అత్యధిక భాగస్వామ్యం (114)', 'ఏడవ వికెట్కు 15 అత్యధిక భాగస్వామ్యం (71 *)']")</f>
        <v>[ 'ఐదవ వికెట్కు 7 వ అత్యధిక భాగస్వామ్యం (114)', 'ఏడవ వికెట్కు 15 అత్యధిక భాగస్వామ్యం (71 *)']</v>
      </c>
      <c r="G2551" s="2" t="s">
        <v>1821</v>
      </c>
      <c r="H2551" s="2" t="str">
        <f>IFERROR(__xludf.DUMMYFUNCTION("IF(G2551&lt;&gt;"""", GOOGLETRANSLATE(G2551, ""en"", ""te""),"""")"),"[ '29 కెరీర్ లో బాతులు (10)', 'ఇన్నింగ్స్ లో 27 అత్యుత్తమ బౌలింగ్ విశ్లేషణలు (1/2)']")</f>
        <v>[ '29 కెరీర్ లో బాతులు (10)', 'ఇన్నింగ్స్ లో 27 అత్యుత్తమ బౌలింగ్ విశ్లేషణలు (1/2)']</v>
      </c>
      <c r="I2551" s="3"/>
    </row>
    <row r="2552" customHeight="1" spans="1:9">
      <c r="A2552" s="2"/>
      <c r="B2552" s="2" t="str">
        <f>IFERROR(__xludf.DUMMYFUNCTION("IF(A2552&lt;&gt;"""", GOOGLETRANSLATE(A2552, ""en"", ""te""),"""")"),"")</f>
        <v/>
      </c>
      <c r="C2552" s="2"/>
      <c r="D2552" s="2" t="str">
        <f>IFERROR(__xludf.DUMMYFUNCTION("IF(C2552&lt;&gt;"""", GOOGLETRANSLATE(C2552, ""en"", ""te""),"""")"),"")</f>
        <v/>
      </c>
      <c r="E2552" s="2"/>
      <c r="F2552" s="2" t="str">
        <f>IFERROR(__xludf.DUMMYFUNCTION("IF(E2552&lt;&gt;"""", GOOGLETRANSLATE(E2552, ""en"", ""te""),"""")"),"")</f>
        <v/>
      </c>
      <c r="G2552" s="2"/>
      <c r="H2552" s="2" t="str">
        <f>IFERROR(__xludf.DUMMYFUNCTION("IF(G2552&lt;&gt;"""", GOOGLETRANSLATE(G2552, ""en"", ""te""),"""")"),"")</f>
        <v/>
      </c>
      <c r="I2552" s="3"/>
    </row>
    <row r="2553" customHeight="1" spans="1:9">
      <c r="A2553" s="2"/>
      <c r="B2553" s="2" t="str">
        <f>IFERROR(__xludf.DUMMYFUNCTION("IF(A2553&lt;&gt;"""", GOOGLETRANSLATE(A2553, ""en"", ""te""),"""")"),"")</f>
        <v/>
      </c>
      <c r="C2553" s="2"/>
      <c r="D2553" s="2" t="str">
        <f>IFERROR(__xludf.DUMMYFUNCTION("IF(C2553&lt;&gt;"""", GOOGLETRANSLATE(C2553, ""en"", ""te""),"""")"),"")</f>
        <v/>
      </c>
      <c r="E2553" s="2"/>
      <c r="F2553" s="2" t="str">
        <f>IFERROR(__xludf.DUMMYFUNCTION("IF(E2553&lt;&gt;"""", GOOGLETRANSLATE(E2553, ""en"", ""te""),"""")"),"")</f>
        <v/>
      </c>
      <c r="G2553" s="2"/>
      <c r="H2553" s="2" t="str">
        <f>IFERROR(__xludf.DUMMYFUNCTION("IF(G2553&lt;&gt;"""", GOOGLETRANSLATE(G2553, ""en"", ""te""),"""")"),"")</f>
        <v/>
      </c>
      <c r="I2553" s="3"/>
    </row>
    <row r="2554" customHeight="1" spans="1:9">
      <c r="A2554" s="2"/>
      <c r="B2554" s="2" t="str">
        <f>IFERROR(__xludf.DUMMYFUNCTION("IF(A2554&lt;&gt;"""", GOOGLETRANSLATE(A2554, ""en"", ""te""),"""")"),"")</f>
        <v/>
      </c>
      <c r="C2554" s="2"/>
      <c r="D2554" s="2" t="str">
        <f>IFERROR(__xludf.DUMMYFUNCTION("IF(C2554&lt;&gt;"""", GOOGLETRANSLATE(C2554, ""en"", ""te""),"""")"),"")</f>
        <v/>
      </c>
      <c r="E2554" s="2"/>
      <c r="F2554" s="2" t="str">
        <f>IFERROR(__xludf.DUMMYFUNCTION("IF(E2554&lt;&gt;"""", GOOGLETRANSLATE(E2554, ""en"", ""te""),"""")"),"")</f>
        <v/>
      </c>
      <c r="G2554" s="2"/>
      <c r="H2554" s="2" t="str">
        <f>IFERROR(__xludf.DUMMYFUNCTION("IF(G2554&lt;&gt;"""", GOOGLETRANSLATE(G2554, ""en"", ""te""),"""")"),"")</f>
        <v/>
      </c>
      <c r="I2554" s="3"/>
    </row>
    <row r="2555" customHeight="1" spans="1:9">
      <c r="A2555" s="2"/>
      <c r="B2555" s="2" t="str">
        <f>IFERROR(__xludf.DUMMYFUNCTION("IF(A2555&lt;&gt;"""", GOOGLETRANSLATE(A2555, ""en"", ""te""),"""")"),"")</f>
        <v/>
      </c>
      <c r="C2555" s="2"/>
      <c r="D2555" s="2" t="str">
        <f>IFERROR(__xludf.DUMMYFUNCTION("IF(C2555&lt;&gt;"""", GOOGLETRANSLATE(C2555, ""en"", ""te""),"""")"),"")</f>
        <v/>
      </c>
      <c r="E2555" s="2"/>
      <c r="F2555" s="2" t="str">
        <f>IFERROR(__xludf.DUMMYFUNCTION("IF(E2555&lt;&gt;"""", GOOGLETRANSLATE(E2555, ""en"", ""te""),"""")"),"")</f>
        <v/>
      </c>
      <c r="G2555" s="2"/>
      <c r="H2555" s="2" t="str">
        <f>IFERROR(__xludf.DUMMYFUNCTION("IF(G2555&lt;&gt;"""", GOOGLETRANSLATE(G2555, ""en"", ""te""),"""")"),"")</f>
        <v/>
      </c>
      <c r="I2555" s="3"/>
    </row>
    <row r="2556" customHeight="1" spans="1:9">
      <c r="A2556" s="2"/>
      <c r="B2556" s="2" t="str">
        <f>IFERROR(__xludf.DUMMYFUNCTION("IF(A2556&lt;&gt;"""", GOOGLETRANSLATE(A2556, ""en"", ""te""),"""")"),"")</f>
        <v/>
      </c>
      <c r="C2556" s="2"/>
      <c r="D2556" s="2" t="str">
        <f>IFERROR(__xludf.DUMMYFUNCTION("IF(C2556&lt;&gt;"""", GOOGLETRANSLATE(C2556, ""en"", ""te""),"""")"),"")</f>
        <v/>
      </c>
      <c r="E2556" s="2" t="s">
        <v>1822</v>
      </c>
      <c r="F2556" s="2" t="str">
        <f>IFERROR(__xludf.DUMMYFUNCTION("IF(E2556&lt;&gt;"""", GOOGLETRANSLATE(E2556, ""en"", ""te""),"""")"),"[ 'ఎనిమిదవ వికెట్ (48 *) కోసం 26 అత్యధిక భాగస్వామ్యం', 'పదవ వికెట్కు 28 అత్యధిక భాగస్వామ్యం (29)']")</f>
        <v>[ 'ఎనిమిదవ వికెట్ (48 *) కోసం 26 అత్యధిక భాగస్వామ్యం', 'పదవ వికెట్కు 28 అత్యధిక భాగస్వామ్యం (29)']</v>
      </c>
      <c r="G2556" s="2"/>
      <c r="H2556" s="2" t="str">
        <f>IFERROR(__xludf.DUMMYFUNCTION("IF(G2556&lt;&gt;"""", GOOGLETRANSLATE(G2556, ""en"", ""te""),"""")"),"")</f>
        <v/>
      </c>
      <c r="I2556" s="3"/>
    </row>
    <row r="2557" customHeight="1" spans="1:9">
      <c r="A2557" s="2" t="s">
        <v>1823</v>
      </c>
      <c r="B2557" s="2" t="str">
        <f>IFERROR(__xludf.DUMMYFUNCTION("IF(A2557&lt;&gt;"""", GOOGLETRANSLATE(A2557, ""en"", ""te""),"""")"),"[ 'వరుస 1 వ అత్యధిక పరుగులు (453)', 'వరుస మ్యాచ్లు (4) 3 వ యాభైల్లో' 'తొలి మ్యాచ్లో 8 వ అత్యధిక పరుగులు (77)']")</f>
        <v>[ 'వరుస 1 వ అత్యధిక పరుగులు (453)', 'వరుస మ్యాచ్లు (4) 3 వ యాభైల్లో' 'తొలి మ్యాచ్లో 8 వ అత్యధిక పరుగులు (77)']</v>
      </c>
      <c r="C2557" s="2" t="s">
        <v>1824</v>
      </c>
      <c r="D2557" s="2" t="str">
        <f>IFERROR(__xludf.DUMMYFUNCTION("IF(C2557&lt;&gt;"""", GOOGLETRANSLATE(C2557, ""en"", ""te""),"""")"),"[ '45 వ ఇన్నింగ్స్ లో అత్యధిక పరుగులు (121)', '1st ఒక సిరీస్లో అత్యధిక పరుగులు (453)', '4 వ పరాజయం వైపు ఒక మ్యాచ్లో అత్యధిక పరుగులు (122)', '19 వ అత్యధిక కెరీర్ బ్యాటింగ్ సగటు (41.27) ',' తొలి మ్యాచ్ (104) ',' 28th అత్యధిక తొలి వంద (121) లో 20 వ అత్యధిక "&amp;"పరుగులు ',' వరుస మ్యాచ్లలో 3 వ యాభైల్లో (4) ']")</f>
        <v>[ '45 వ ఇన్నింగ్స్ లో అత్యధిక పరుగులు (121)', '1st ఒక సిరీస్లో అత్యధిక పరుగులు (453)', '4 వ పరాజయం వైపు ఒక మ్యాచ్లో అత్యధిక పరుగులు (122)', '19 వ అత్యధిక కెరీర్ బ్యాటింగ్ సగటు (41.27) ',' తొలి మ్యాచ్ (104) ',' 28th అత్యధిక తొలి వంద (121) లో 20 వ అత్యధిక పరుగులు ',' వరుస మ్యాచ్లలో 3 వ యాభైల్లో (4) ']</v>
      </c>
      <c r="E2557" s="2" t="s">
        <v>1825</v>
      </c>
      <c r="F2557" s="2" t="str">
        <f>IFERROR(__xludf.DUMMYFUNCTION("IF(E2557&lt;&gt;"""", GOOGLETRANSLATE(E2557, ""en"", ""te""),"""")"),"[ '41 వ ఒకే మైదానంలో అత్యధిక పరుగులు (294)', '20 వ అత్యధిక కెరీర్ బ్యాటింగ్ సగటు (41.00)', 'తొలి మ్యాచ్లో 8 వ అత్యధిక పరుగులు (77)', 'వరుస ఇన్నింగ్స్లో 28 యాభైల్లో (3)', '47 వ ఏ వికెట్కు అత్యధిక భాగస్వామ్యాల (176) ',' రెండవ వికెట్కు 14 అత్యధిక భాగస్వామ్"&amp;"యం (176) ',' 43 వ పిన్న కాప్టెన్ (24y 270d) ']")</f>
        <v>[ '41 వ ఒకే మైదానంలో అత్యధిక పరుగులు (294)', '20 వ అత్యధిక కెరీర్ బ్యాటింగ్ సగటు (41.00)', 'తొలి మ్యాచ్లో 8 వ అత్యధిక పరుగులు (77)', 'వరుస ఇన్నింగ్స్లో 28 యాభైల్లో (3)', '47 వ ఏ వికెట్కు అత్యధిక భాగస్వామ్యాల (176) ',' రెండవ వికెట్కు 14 అత్యధిక భాగస్వామ్యం (176) ',' 43 వ పిన్న కాప్టెన్ (24y 270d) ']</v>
      </c>
      <c r="G2557" s="2"/>
      <c r="H2557" s="2" t="str">
        <f>IFERROR(__xludf.DUMMYFUNCTION("IF(G2557&lt;&gt;"""", GOOGLETRANSLATE(G2557, ""en"", ""te""),"""")"),"")</f>
        <v/>
      </c>
      <c r="I2557" s="3"/>
    </row>
    <row r="2558" customHeight="1" spans="1:9">
      <c r="A2558" s="2" t="s">
        <v>1826</v>
      </c>
      <c r="B2558" s="2" t="str">
        <f>IFERROR(__xludf.DUMMYFUNCTION("IF(A2558&lt;&gt;"""", GOOGLETRANSLATE(A2558, ""en"", ""te""),"""")"),"[ '2 వ ఉత్తమ కెరీర్ సమ్మె రేటు (37.7)', 'రెండు దేశాలకు ప్రాతినిధ్యం' '8 వ వేగవంతమైన 50 వికెట్లు (9)', '6 వ అత్యధిక వరుస నాలుగు వికెట్లు-ఇన్-ఒక-ఇన్నింగ్స్' రెండు దేశాలకు ప్రాతినిధ్యం '(5 ) ']")</f>
        <v>[ '2 వ ఉత్తమ కెరీర్ సమ్మె రేటు (37.7)', 'రెండు దేశాలకు ప్రాతినిధ్యం' '8 వ వేగవంతమైన 50 వికెట్లు (9)', '6 వ అత్యధిక వరుస నాలుగు వికెట్లు-ఇన్-ఒక-ఇన్నింగ్స్' రెండు దేశాలకు ప్రాతినిధ్యం '(5 ) ']</v>
      </c>
      <c r="C2558" s="2" t="s">
        <v>1827</v>
      </c>
      <c r="D2558" s="2" t="str">
        <f>IFERROR(__xludf.DUMMYFUNCTION("IF(C2558&lt;&gt;"""", GOOGLETRANSLATE(C2558, ""en"", ""te""),"""")"),"[ '25 వ మ్యాచ్ లో బెస్ట్ ఫిగర్స్ (13)', '2 వ ఉత్తమ కెరీర్ బౌలింగ్ సరాసరి (12.70)', '2 వ ఉత్తమ కెరీర్ సమ్మె రేటు (37.7)', '(అర్హత లేకుండా) సగటు బౌలింగ్ 44th ఉత్తమ కెరీర్ (12.70)', '17 వ అరంగేట్రంలోనే మ్యాచ్లో ఉత్తమ బొమ్మలు (9)', '18 వ వరుస ఐదు వికెట్ల లో-ఒ"&amp;"క-ఇన్నింగ్స్ (3)', 'ఐదు వికెట్ల లో-ఒక-ఇన్నింగ్స్ తీసుకోవాలని 23 పిన్న వయస్కుడిగా నిలిచాడు (19y 252d ) ',' 50 వికెట్లు (9) ',' 35 వ షార్టేస్ట్ క్రీడాకారులు (33y 180d నివసించారు) '] వేగంగా 8 వ")</f>
        <v>[ '25 వ మ్యాచ్ లో బెస్ట్ ఫిగర్స్ (13)', '2 వ ఉత్తమ కెరీర్ బౌలింగ్ సరాసరి (12.70)', '2 వ ఉత్తమ కెరీర్ సమ్మె రేటు (37.7)', '(అర్హత లేకుండా) సగటు బౌలింగ్ 44th ఉత్తమ కెరీర్ (12.70)', '17 వ అరంగేట్రంలోనే మ్యాచ్లో ఉత్తమ బొమ్మలు (9)', '18 వ వరుస ఐదు వికెట్ల లో-ఒక-ఇన్నింగ్స్ (3)', 'ఐదు వికెట్ల లో-ఒక-ఇన్నింగ్స్ తీసుకోవాలని 23 పిన్న వయస్కుడిగా నిలిచాడు (19y 252d ) ',' 50 వికెట్లు (9) ',' 35 వ షార్టేస్ట్ క్రీడాకారులు (33y 180d నివసించారు) '] వేగంగా 8 వ</v>
      </c>
      <c r="E2558" s="2"/>
      <c r="F2558" s="2" t="str">
        <f>IFERROR(__xludf.DUMMYFUNCTION("IF(E2558&lt;&gt;"""", GOOGLETRANSLATE(E2558, ""en"", ""te""),"""")"),"")</f>
        <v/>
      </c>
      <c r="G2558" s="2"/>
      <c r="H2558" s="2" t="str">
        <f>IFERROR(__xludf.DUMMYFUNCTION("IF(G2558&lt;&gt;"""", GOOGLETRANSLATE(G2558, ""en"", ""te""),"""")"),"")</f>
        <v/>
      </c>
      <c r="I2558" s="3"/>
    </row>
    <row r="2559" customHeight="1" spans="1:9">
      <c r="A2559" s="2" t="s">
        <v>1828</v>
      </c>
      <c r="B2559" s="2" t="str">
        <f>IFERROR(__xludf.DUMMYFUNCTION("IF(A2559&lt;&gt;"""", GOOGLETRANSLATE(A2559, ""en"", ""te""),"""")"),"[ 'ఇన్నింగ్స్ లో 4 వ అత్యధిక క్యాచ్లు (3)']")</f>
        <v>[ 'ఇన్నింగ్స్ లో 4 వ అత్యధిక క్యాచ్లు (3)']</v>
      </c>
      <c r="C2559" s="2" t="s">
        <v>1829</v>
      </c>
      <c r="D2559" s="2" t="str">
        <f>IFERROR(__xludf.DUMMYFUNCTION("IF(C2559&lt;&gt;"""", GOOGLETRANSLATE(C2559, ""en"", ""te""),"""")"),"[ '41 వ చెత్త కెరీర్ బౌలింగ్ సరాసరి (అర్హత లేకుండా) (64.33)', '23 వ పిన్న క్రీడాకారులు (17y 232d)']")</f>
        <v>[ '41 వ చెత్త కెరీర్ బౌలింగ్ సరాసరి (అర్హత లేకుండా) (64.33)', '23 వ పిన్న క్రీడాకారులు (17y 232d)']</v>
      </c>
      <c r="E2559" s="2" t="s">
        <v>1830</v>
      </c>
      <c r="F2559" s="2" t="str">
        <f>IFERROR(__xludf.DUMMYFUNCTION("IF(E2559&lt;&gt;"""", GOOGLETRANSLATE(E2559, ""en"", ""te""),"""")"),"[ 'ఇన్నింగ్స్ లో 4 వ అత్యధిక క్యాచ్లు (3)', 'వరుస లో 26 వ అత్యధిక క్యాచ్లు (7)']")</f>
        <v>[ 'ఇన్నింగ్స్ లో 4 వ అత్యధిక క్యాచ్లు (3)', 'వరుస లో 26 వ అత్యధిక క్యాచ్లు (7)']</v>
      </c>
      <c r="G2559" s="2"/>
      <c r="H2559" s="2" t="str">
        <f>IFERROR(__xludf.DUMMYFUNCTION("IF(G2559&lt;&gt;"""", GOOGLETRANSLATE(G2559, ""en"", ""te""),"""")"),"")</f>
        <v/>
      </c>
      <c r="I2559" s="3"/>
    </row>
    <row r="2560" customHeight="1" spans="1:9">
      <c r="A2560" s="2"/>
      <c r="B2560" s="2" t="str">
        <f>IFERROR(__xludf.DUMMYFUNCTION("IF(A2560&lt;&gt;"""", GOOGLETRANSLATE(A2560, ""en"", ""te""),"""")"),"")</f>
        <v/>
      </c>
      <c r="C2560" s="2"/>
      <c r="D2560" s="2" t="str">
        <f>IFERROR(__xludf.DUMMYFUNCTION("IF(C2560&lt;&gt;"""", GOOGLETRANSLATE(C2560, ""en"", ""te""),"""")"),"")</f>
        <v/>
      </c>
      <c r="E2560" s="2"/>
      <c r="F2560" s="2" t="str">
        <f>IFERROR(__xludf.DUMMYFUNCTION("IF(E2560&lt;&gt;"""", GOOGLETRANSLATE(E2560, ""en"", ""te""),"""")"),"")</f>
        <v/>
      </c>
      <c r="G2560" s="2"/>
      <c r="H2560" s="2" t="str">
        <f>IFERROR(__xludf.DUMMYFUNCTION("IF(G2560&lt;&gt;"""", GOOGLETRANSLATE(G2560, ""en"", ""te""),"""")"),"")</f>
        <v/>
      </c>
      <c r="I2560" s="3"/>
    </row>
    <row r="2561" customHeight="1" spans="1:9">
      <c r="A2561" s="2" t="s">
        <v>1831</v>
      </c>
      <c r="B2561" s="2" t="str">
        <f>IFERROR(__xludf.DUMMYFUNCTION("IF(A2561&lt;&gt;"""", GOOGLETRANSLATE(A2561, ""en"", ""te""),"""")"),"[ 'ఒక మ్యాచ్లో 7 వ బెస్ట్ ఫిగర్స్ ఉన్నప్పుడు పరాజయం వైపు (7)', '6 వ బౌలర్ / బ్యాట్స్ కలయికలు (5)' 'ఇన్నింగ్స్ లో 5 వ అత్యధిక పరుగులు (బ్యాటింగ్ స్థానంలో ప్రకారం) (39 *)',]")</f>
        <v>[ 'ఒక మ్యాచ్లో 7 వ బెస్ట్ ఫిగర్స్ ఉన్నప్పుడు పరాజయం వైపు (7)', '6 వ బౌలర్ / బ్యాట్స్ కలయికలు (5)' 'ఇన్నింగ్స్ లో 5 వ అత్యధిక పరుగులు (బ్యాటింగ్ స్థానంలో ప్రకారం) (39 *)',]</v>
      </c>
      <c r="C2561" s="2" t="s">
        <v>1832</v>
      </c>
      <c r="D2561" s="2" t="str">
        <f>IFERROR(__xludf.DUMMYFUNCTION("IF(C2561&lt;&gt;"""", GOOGLETRANSLATE(C2561, ""en"", ""te""),"""")"),"[ '7th అత్యుత్తమ బౌలింగ్ ఇన్నింగ్స్ లో విశ్లేషించడం (5/23)', '15 ఇన్నింగ్స్లో బెస్ట్ ఫిగర్స్ కూడా ఓడిపోయింది వైపు (4)', '7 వ పరాజయం వైపు (7) పై ఒక మ్యాచ్ను లో బెస్ట్ ఫిగర్స్', '22 వ ఉత్తమ కెరీర్ (9.88) (అర్హత లేకుండా) సగటు బౌలింగ్', '12 వ బౌలర్ / బ్యాట"&amp;"్స్ కలయికలు (4)']")</f>
        <v>[ '7th అత్యుత్తమ బౌలింగ్ ఇన్నింగ్స్ లో విశ్లేషించడం (5/23)', '15 ఇన్నింగ్స్లో బెస్ట్ ఫిగర్స్ కూడా ఓడిపోయింది వైపు (4)', '7 వ పరాజయం వైపు (7) పై ఒక మ్యాచ్ను లో బెస్ట్ ఫిగర్స్', '22 వ ఉత్తమ కెరీర్ (9.88) (అర్హత లేకుండా) సగటు బౌలింగ్', '12 వ బౌలర్ / బ్యాట్స్ కలయికలు (4)']</v>
      </c>
      <c r="E2561" s="2" t="s">
        <v>1833</v>
      </c>
      <c r="F2561" s="2" t="str">
        <f>IFERROR(__xludf.DUMMYFUNCTION("IF(E2561&lt;&gt;"""", GOOGLETRANSLATE(E2561, ""en"", ""te""),"""")"),"[ 'చాలా 5 వ ఇన్నింగ్స్ లో నడుస్తుంది (బ్యాటింగ్ స్థానం) (39 *)' తొలి ఇన్నింగ్స్లో, '49 వ చెత్త కెరీర్ సగటు (30.78) బౌలింగ్', '38 వ చెత్త కెరీర్లో ఆర్థిక రేటు (4.15)', '15 వ బెస్ట్ ఫిగర్స్ (3) ',' పదవ వికెట్ను (36) కోసం 15 అత్యధిక భాగస్వామ్యం ']")</f>
        <v>[ 'చాలా 5 వ ఇన్నింగ్స్ లో నడుస్తుంది (బ్యాటింగ్ స్థానం) (39 *)' తొలి ఇన్నింగ్స్లో, '49 వ చెత్త కెరీర్ సగటు (30.78) బౌలింగ్', '38 వ చెత్త కెరీర్లో ఆర్థిక రేటు (4.15)', '15 వ బెస్ట్ ఫిగర్స్ (3) ',' పదవ వికెట్ను (36) కోసం 15 అత్యధిక భాగస్వామ్యం ']</v>
      </c>
      <c r="G2561" s="2" t="s">
        <v>1834</v>
      </c>
      <c r="H2561" s="2" t="str">
        <f>IFERROR(__xludf.DUMMYFUNCTION("IF(G2561&lt;&gt;"""", GOOGLETRANSLATE(G2561, ""en"", ""te""),"""")"),"[ '30 వ కెరీర్ లో అత్యధిక వికెట్లు (55)', 'ఒక క్యాలెండర్ సంవత్సరంలో 22 వ అత్యధిక వికెట్లు (20)', '37 వ ఉత్తమ కెరీర్ సమ్మె రేటు (20.2)', '24 వ' మొదటి డక్ (13) ముందు 37 వ అత్యంత ఇన్నింగ్స్ చెత్త కెరీర్లో ఆర్థిక రేటు (6.19) ',' తొలి ఇన్నింగ్స్ 12 వ బెస్ట్ ఫి"&amp;"గర్స్ (3) ',' 32 వ కెరీర్ (1113) ',' 25 వ కెరీర్ (1150) లో సాధించిన అత్యధిక పరుగులు ',' 6 వ బౌలర్ బౌల్ అత్యంత బంతుల్లో / బ్యాట్స్ కలయికలు (5) ',' 44 వ అత్యధిక వికెట్లు తీసుకున్న బౌల్డ్ (10) ',' 18 వ అత్యధిక వికెట్లు తీసుకున్న క్యాచ్ (39) ',' 19 వ అత్యధిక "&amp;"వికెట్లు తీసుకున్న ఫీల్డర్ చేత క్యాచ్ (35) ',' 41 వ అత్యధిక కెరీర్ లో పనికత్తెలయొద్ద ఒక ఇన్నింగ్స్ లో (5) ',' 12 వ అత్యంత పనికత్తెలయొద్ద (2) ']")</f>
        <v>[ '30 వ కెరీర్ లో అత్యధిక వికెట్లు (55)', 'ఒక క్యాలెండర్ సంవత్సరంలో 22 వ అత్యధిక వికెట్లు (20)', '37 వ ఉత్తమ కెరీర్ సమ్మె రేటు (20.2)', '24 వ' మొదటి డక్ (13) ముందు 37 వ అత్యంత ఇన్నింగ్స్ చెత్త కెరీర్లో ఆర్థిక రేటు (6.19) ',' తొలి ఇన్నింగ్స్ 12 వ బెస్ట్ ఫిగర్స్ (3) ',' 32 వ కెరీర్ (1113) ',' 25 వ కెరీర్ (1150) లో సాధించిన అత్యధిక పరుగులు ',' 6 వ బౌలర్ బౌల్ అత్యంత బంతుల్లో / బ్యాట్స్ కలయికలు (5) ',' 44 వ అత్యధిక వికెట్లు తీసుకున్న బౌల్డ్ (10) ',' 18 వ అత్యధిక వికెట్లు తీసుకున్న క్యాచ్ (39) ',' 19 వ అత్యధిక వికెట్లు తీసుకున్న ఫీల్డర్ చేత క్యాచ్ (35) ',' 41 వ అత్యధిక కెరీర్ లో పనికత్తెలయొద్ద ఒక ఇన్నింగ్స్ లో (5) ',' 12 వ అత్యంత పనికత్తెలయొద్ద (2) ']</v>
      </c>
      <c r="I2561" s="3"/>
    </row>
    <row r="2562" customHeight="1" spans="1:9">
      <c r="A2562" s="2" t="s">
        <v>1835</v>
      </c>
      <c r="B2562" s="2" t="str">
        <f>IFERROR(__xludf.DUMMYFUNCTION("IF(A2562&lt;&gt;"""", GOOGLETRANSLATE(A2562, ""en"", ""te""),"""")"),"[ '7th ఉత్తమ ఆర్థిక వ్యవస్థ ఇన్నింగ్స్లో రేటు (0.20)']")</f>
        <v>[ '7th ఉత్తమ ఆర్థిక వ్యవస్థ ఇన్నింగ్స్లో రేటు (0.20)']</v>
      </c>
      <c r="C2562" s="2"/>
      <c r="D2562" s="2" t="str">
        <f>IFERROR(__xludf.DUMMYFUNCTION("IF(C2562&lt;&gt;"""", GOOGLETRANSLATE(C2562, ""en"", ""te""),"""")"),"")</f>
        <v/>
      </c>
      <c r="E2562" s="2" t="s">
        <v>1836</v>
      </c>
      <c r="F2562" s="2" t="str">
        <f>IFERROR(__xludf.DUMMYFUNCTION("IF(E2562&lt;&gt;"""", GOOGLETRANSLATE(E2562, ""en"", ""te""),"""")"),"[ '46 వ ఒక క్యాలెండర్ సంవత్సరంలో అత్యధిక వికెట్లు (21)', 'ఇన్నింగ్స్ లో 7 వ ఉత్తమ ఆర్థిక రేటు (0.20)']")</f>
        <v>[ '46 వ ఒక క్యాలెండర్ సంవత్సరంలో అత్యధిక వికెట్లు (21)', 'ఇన్నింగ్స్ లో 7 వ ఉత్తమ ఆర్థిక రేటు (0.20)']</v>
      </c>
      <c r="G2562" s="2"/>
      <c r="H2562" s="2" t="str">
        <f>IFERROR(__xludf.DUMMYFUNCTION("IF(G2562&lt;&gt;"""", GOOGLETRANSLATE(G2562, ""en"", ""te""),"""")"),"")</f>
        <v/>
      </c>
      <c r="I2562" s="3"/>
    </row>
    <row r="2563" customHeight="1" spans="1:9">
      <c r="A2563" s="2"/>
      <c r="B2563" s="2" t="str">
        <f>IFERROR(__xludf.DUMMYFUNCTION("IF(A2563&lt;&gt;"""", GOOGLETRANSLATE(A2563, ""en"", ""te""),"""")"),"")</f>
        <v/>
      </c>
      <c r="C2563" s="2"/>
      <c r="D2563" s="2" t="str">
        <f>IFERROR(__xludf.DUMMYFUNCTION("IF(C2563&lt;&gt;"""", GOOGLETRANSLATE(C2563, ""en"", ""te""),"""")"),"")</f>
        <v/>
      </c>
      <c r="E2563" s="2"/>
      <c r="F2563" s="2" t="str">
        <f>IFERROR(__xludf.DUMMYFUNCTION("IF(E2563&lt;&gt;"""", GOOGLETRANSLATE(E2563, ""en"", ""te""),"""")"),"")</f>
        <v/>
      </c>
      <c r="G2563" s="2"/>
      <c r="H2563" s="2" t="str">
        <f>IFERROR(__xludf.DUMMYFUNCTION("IF(G2563&lt;&gt;"""", GOOGLETRANSLATE(G2563, ""en"", ""te""),"""")"),"")</f>
        <v/>
      </c>
      <c r="I2563" s="3"/>
    </row>
    <row r="2564" customHeight="1" spans="1:9">
      <c r="A2564" s="2" t="s">
        <v>1837</v>
      </c>
      <c r="B2564" s="2" t="str">
        <f>IFERROR(__xludf.DUMMYFUNCTION("IF(A2564&lt;&gt;"""", GOOGLETRANSLATE(A2564, ""en"", ""te""),"""")"),"[ '1st చెత్త ఇన్నింగ్స్ లో సమ్మె రేటు (522.0)', 'ఇన్నింగ్స్ (522) లో బౌల్డ్ 4 వ అత్యంత బంతుల్లో' '1 వ అత్యధిక పరుగులు ఇన్నింగ్స్ లో సాధించిన (298)']")</f>
        <v>[ '1st చెత్త ఇన్నింగ్స్ లో సమ్మె రేటు (522.0)', 'ఇన్నింగ్స్ (522) లో బౌల్డ్ 4 వ అత్యంత బంతుల్లో' '1 వ అత్యధిక పరుగులు ఇన్నింగ్స్ లో సాధించిన (298)']</v>
      </c>
      <c r="C2564" s="2" t="s">
        <v>1838</v>
      </c>
      <c r="D2564" s="2" t="str">
        <f>IFERROR(__xludf.DUMMYFUNCTION("IF(C2564&lt;&gt;"""", GOOGLETRANSLATE(C2564, ""en"", ""te""),"""")"),"[ '1st చెత్త ఇన్నింగ్స్ లో సమ్మె రేటు (522.0)', '1 వ ఇన్నింగ్స్ లో సాధించిన అత్యధిక పరుగులు (298)', '6 వ చాలా మ్యాచ్లో ఇవ్వబడిన పరుగులలో' ఇన్నింగ్స్ (522) లో బౌల్డ్ 4 వ అత్యంత బంతుల్లో '(298 ) ']")</f>
        <v>[ '1st చెత్త ఇన్నింగ్స్ లో సమ్మె రేటు (522.0)', '1 వ ఇన్నింగ్స్ లో సాధించిన అత్యధిక పరుగులు (298)', '6 వ చాలా మ్యాచ్లో ఇవ్వబడిన పరుగులలో' ఇన్నింగ్స్ (522) లో బౌల్డ్ 4 వ అత్యంత బంతుల్లో '(298 ) ']</v>
      </c>
      <c r="E2564" s="2"/>
      <c r="F2564" s="2" t="str">
        <f>IFERROR(__xludf.DUMMYFUNCTION("IF(E2564&lt;&gt;"""", GOOGLETRANSLATE(E2564, ""en"", ""te""),"""")"),"")</f>
        <v/>
      </c>
      <c r="G2564" s="2"/>
      <c r="H2564" s="2" t="str">
        <f>IFERROR(__xludf.DUMMYFUNCTION("IF(G2564&lt;&gt;"""", GOOGLETRANSLATE(G2564, ""en"", ""te""),"""")"),"")</f>
        <v/>
      </c>
      <c r="I2564" s="3"/>
    </row>
    <row r="2565" customHeight="1" spans="1:9">
      <c r="A2565" s="2"/>
      <c r="B2565" s="2" t="str">
        <f>IFERROR(__xludf.DUMMYFUNCTION("IF(A2565&lt;&gt;"""", GOOGLETRANSLATE(A2565, ""en"", ""te""),"""")"),"")</f>
        <v/>
      </c>
      <c r="C2565" s="2"/>
      <c r="D2565" s="2" t="str">
        <f>IFERROR(__xludf.DUMMYFUNCTION("IF(C2565&lt;&gt;"""", GOOGLETRANSLATE(C2565, ""en"", ""te""),"""")"),"")</f>
        <v/>
      </c>
      <c r="E2565" s="2" t="s">
        <v>1839</v>
      </c>
      <c r="F2565" s="2" t="str">
        <f>IFERROR(__xludf.DUMMYFUNCTION("IF(E2565&lt;&gt;"""", GOOGLETRANSLATE(E2565, ""en"", ""te""),"""")"),"[40 వ బౌలర్ / ఫీల్డర్ కలయికలు (26) ',' 34 వ అత్యధిక వికెట్లు తీసుకున్న ఎల్బిడబ్ల్యు (26) ',' 29th 100 వికెట్లు వేగంగా (65) ']")</f>
        <v>[40 వ బౌలర్ / ఫీల్డర్ కలయికలు (26) ',' 34 వ అత్యధిక వికెట్లు తీసుకున్న ఎల్బిడబ్ల్యు (26) ',' 29th 100 వికెట్లు వేగంగా (65) ']</v>
      </c>
      <c r="G2565" s="2"/>
      <c r="H2565" s="2" t="str">
        <f>IFERROR(__xludf.DUMMYFUNCTION("IF(G2565&lt;&gt;"""", GOOGLETRANSLATE(G2565, ""en"", ""te""),"""")"),"")</f>
        <v/>
      </c>
      <c r="I2565" s="3"/>
    </row>
    <row r="2566" customHeight="1" spans="1:9">
      <c r="A2566" s="2"/>
      <c r="B2566" s="2" t="str">
        <f>IFERROR(__xludf.DUMMYFUNCTION("IF(A2566&lt;&gt;"""", GOOGLETRANSLATE(A2566, ""en"", ""te""),"""")"),"")</f>
        <v/>
      </c>
      <c r="C2566" s="2"/>
      <c r="D2566" s="2" t="str">
        <f>IFERROR(__xludf.DUMMYFUNCTION("IF(C2566&lt;&gt;"""", GOOGLETRANSLATE(C2566, ""en"", ""te""),"""")"),"")</f>
        <v/>
      </c>
      <c r="E2566" s="2"/>
      <c r="F2566" s="2" t="str">
        <f>IFERROR(__xludf.DUMMYFUNCTION("IF(E2566&lt;&gt;"""", GOOGLETRANSLATE(E2566, ""en"", ""te""),"""")"),"")</f>
        <v/>
      </c>
      <c r="G2566" s="2"/>
      <c r="H2566" s="2" t="str">
        <f>IFERROR(__xludf.DUMMYFUNCTION("IF(G2566&lt;&gt;"""", GOOGLETRANSLATE(G2566, ""en"", ""te""),"""")"),"")</f>
        <v/>
      </c>
      <c r="I2566" s="3"/>
    </row>
    <row r="2567" customHeight="1" spans="1:9">
      <c r="A2567" s="2"/>
      <c r="B2567" s="2" t="str">
        <f>IFERROR(__xludf.DUMMYFUNCTION("IF(A2567&lt;&gt;"""", GOOGLETRANSLATE(A2567, ""en"", ""te""),"""")"),"")</f>
        <v/>
      </c>
      <c r="C2567" s="2"/>
      <c r="D2567" s="2" t="str">
        <f>IFERROR(__xludf.DUMMYFUNCTION("IF(C2567&lt;&gt;"""", GOOGLETRANSLATE(C2567, ""en"", ""te""),"""")"),"")</f>
        <v/>
      </c>
      <c r="E2567" s="2" t="s">
        <v>1840</v>
      </c>
      <c r="F2567" s="2" t="str">
        <f>IFERROR(__xludf.DUMMYFUNCTION("IF(E2567&lt;&gt;"""", GOOGLETRANSLATE(E2567, ""en"", ""te""),"""")"),"[ 'కెరీర్లో 14 వ లేవు బాతులు (25)']")</f>
        <v>[ 'కెరీర్లో 14 వ లేవు బాతులు (25)']</v>
      </c>
      <c r="G2567" s="2"/>
      <c r="H2567" s="2" t="str">
        <f>IFERROR(__xludf.DUMMYFUNCTION("IF(G2567&lt;&gt;"""", GOOGLETRANSLATE(G2567, ""en"", ""te""),"""")"),"")</f>
        <v/>
      </c>
      <c r="I2567" s="3"/>
    </row>
    <row r="2568" customHeight="1" spans="1:9">
      <c r="A2568" s="2" t="s">
        <v>1841</v>
      </c>
      <c r="B2568" s="2" t="str">
        <f>IFERROR(__xludf.DUMMYFUNCTION("IF(A2568&lt;&gt;"""", GOOGLETRANSLATE(A2568, ""en"", ""te""),"""")"),"[ 'కెరీర్ (60) లో 4 వ అత్యధిక వికెట్లు' '6 వ అత్యంత వృద్ధ ఆటగాడు తొలి తీసుకుని ఐదు-వికెట్ల లో-ఒక-ఇన్నింగ్స్ (33y 112d)', '3 వ అత్యంత' 7th కెరీర్ (3603) లో బౌల్డ్ చాలా బంతుల్లో ' కెరీర్లో సాధించిన పరుగులు (1147) ',' 1 వ అత్యధిక వికెట్లు ఒక వికెట్ కీపర్ చే "&amp;"కాట్ తీసుకోకూడదు (13) ',' ఎనిమిదవ వికెట్కు 10 వ అత్యధిక భాగస్వామ్యం (76) ',' 9 వ ఇన్నింగ్స్ లో అత్యధిక పరుగులు (బ్యాటింగ్ స్థానంలో ప్రకారం) (17 *) ',' కెరీర్ లో 2 వ అత్యధిక వికెట్లు (180) ',' ఐదు వికెట్ల లో-ఒక-ఇన్నింగ్స్ (37y 358d) ',' 3 వ అత్యంత బంతుల్లో"&amp;" కెరీర్లో బౌల్డ్ (6017) ',' 1st తీసుకోవాలని 1st అత్యంత వృద్ధ ఆటగాడు బౌలర్ / బ్యాట్స్ కలయికలు (9) ']")</f>
        <v>[ 'కెరీర్ (60) లో 4 వ అత్యధిక వికెట్లు' '6 వ అత్యంత వృద్ధ ఆటగాడు తొలి తీసుకుని ఐదు-వికెట్ల లో-ఒక-ఇన్నింగ్స్ (33y 112d)', '3 వ అత్యంత' 7th కెరీర్ (3603) లో బౌల్డ్ చాలా బంతుల్లో ' కెరీర్లో సాధించిన పరుగులు (1147) ',' 1 వ అత్యధిక వికెట్లు ఒక వికెట్ కీపర్ చే కాట్ తీసుకోకూడదు (13) ',' ఎనిమిదవ వికెట్కు 10 వ అత్యధిక భాగస్వామ్యం (76) ',' 9 వ ఇన్నింగ్స్ లో అత్యధిక పరుగులు (బ్యాటింగ్ స్థానంలో ప్రకారం) (17 *) ',' కెరీర్ లో 2 వ అత్యధిక వికెట్లు (180) ',' ఐదు వికెట్ల లో-ఒక-ఇన్నింగ్స్ (37y 358d) ',' 3 వ అత్యంత బంతుల్లో కెరీర్లో బౌల్డ్ (6017) ',' 1st తీసుకోవాలని 1st అత్యంత వృద్ధ ఆటగాడు బౌలర్ / బ్యాట్స్ కలయికలు (9) ']</v>
      </c>
      <c r="C2568" s="2" t="s">
        <v>1842</v>
      </c>
      <c r="D2568" s="2" t="str">
        <f>IFERROR(__xludf.DUMMYFUNCTION("IF(C2568&lt;&gt;"""", GOOGLETRANSLATE(C2568, ""en"", ""te""),"""")"),"[ 'కెరీర్లో 4 వ అత్యధిక వికెట్లు (60)', 'ఒక మ్యాచ్లో 11 వ బెస్ట్ ఫిగర్స్ (9)', '15 వ ఒక సిరీస్లో అత్యధిక వికెట్లు (17)', '16 వ ఒక క్యాలెండర్ సంవత్సరంలో అత్యధిక వికెట్లు (17)', ' 6 వ అత్యుత్తమ బౌలింగ్ ఇన్నింగ్స్ (4/15) ',' ఒకే మైదానంలో 9 వ అత్యధిక వికెట్ల"&amp;"ు (12) ',' 17 వ మ్యాచ్ లో బెస్ట్ ఫిగర్స్ కోల్పోకుండా వైపు (5) ',' 22 వ ఉత్తమ కెరీర్ సగటు బౌలింగ్ చేస్తున్నప్పుడు విశ్లేషణలలో (పడిన 19.11) ',' 18 వ ఉత్తమ కెరీర్ సమ్మె రేటు (60.0) ',' 11 వ అత్యంత ఐదు-వికెట్ల లో-ఒక-ఇన్నింగ్స్ కెరీర్లో (2) ',' అయిదు వికెట్లు"&amp;" ఇన్ an- తీసుకోవాలని 9 వ అత్యంత వృద్ధ ఆటగాడు ఇన్నింగ్స్ (33y 124d) ',' 6 వ అత్యంత వృద్ధ ఆటగాడు ఒక ఐదు మైడెన్-వికెట్ల లో-ఒక-ఇన్నింగ్స్ (33y 112d) ',' కెరీర్ లో బౌల్డ్ 7 వ అత్యంత బంతుల్లో (3603) ',' 24 వ అత్యంత బంతుల్లో ఒక మ్యాచ్లో బౌల్డ్ తీసుకోవాలని (402)"&amp;" ',' 3 వ అత్యధిక కెరీర్ లో సాధించిన పరుగులు (1147) ',' 15 వ ఇన్నింగ్స్ లో సాధించిన అత్యధిక పరుగులు (103) ',' 8 వ అత్యంత ఒక మ్యాచ్లో సాధించిన పరుగులు (158) ',' 1 వ బౌలర్ / బ్యాట్స్ కలయికలు ( 8) ',' 5 వ బౌలర్ / ఫీల్డర్ కలయికలు (10) ',' 4 వ అత్యధిక వికెట్లు "&amp;"బౌల్డ్ తీసుకున్న (21) ',' 3 వ అత్యంత ఆకర్షించింది (30) ',' 12 వ అత్యధిక వికెట్లు తీసుకున్న పెట్టుకోవా తీసుకోబడిన వికెట్ల HT ఒక ఫీల్డర్ చేత (17) ',' 1 వ అత్యధిక వికెట్లు ఒక వికెట్ కీపర్ చే కాట్ తీసుకున్న (13) ',' 9 వ అత్యధిక వికెట్లు తీసుకున్న ఎల్బిడబ్ల్యు"&amp;" (9) ఎనిమిదో వికెట్కు ',' 10 వ అత్యధిక భాగస్వామ్యం (76) ',' 12 వ లాంగెస్ట్ కెరీర్లు (15y 18d) ']")</f>
        <v>[ 'కెరీర్లో 4 వ అత్యధిక వికెట్లు (60)', 'ఒక మ్యాచ్లో 11 వ బెస్ట్ ఫిగర్స్ (9)', '15 వ ఒక సిరీస్లో అత్యధిక వికెట్లు (17)', '16 వ ఒక క్యాలెండర్ సంవత్సరంలో అత్యధిక వికెట్లు (17)', ' 6 వ అత్యుత్తమ బౌలింగ్ ఇన్నింగ్స్ (4/15) ',' ఒకే మైదానంలో 9 వ అత్యధిక వికెట్లు (12) ',' 17 వ మ్యాచ్ లో బెస్ట్ ఫిగర్స్ కోల్పోకుండా వైపు (5) ',' 22 వ ఉత్తమ కెరీర్ సగటు బౌలింగ్ చేస్తున్నప్పుడు విశ్లేషణలలో (పడిన 19.11) ',' 18 వ ఉత్తమ కెరీర్ సమ్మె రేటు (60.0) ',' 11 వ అత్యంత ఐదు-వికెట్ల లో-ఒక-ఇన్నింగ్స్ కెరీర్లో (2) ',' అయిదు వికెట్లు ఇన్ an- తీసుకోవాలని 9 వ అత్యంత వృద్ధ ఆటగాడు ఇన్నింగ్స్ (33y 124d) ',' 6 వ అత్యంత వృద్ధ ఆటగాడు ఒక ఐదు మైడెన్-వికెట్ల లో-ఒక-ఇన్నింగ్స్ (33y 112d) ',' కెరీర్ లో బౌల్డ్ 7 వ అత్యంత బంతుల్లో (3603) ',' 24 వ అత్యంత బంతుల్లో ఒక మ్యాచ్లో బౌల్డ్ తీసుకోవాలని (402) ',' 3 వ అత్యధిక కెరీర్ లో సాధించిన పరుగులు (1147) ',' 15 వ ఇన్నింగ్స్ లో సాధించిన అత్యధిక పరుగులు (103) ',' 8 వ అత్యంత ఒక మ్యాచ్లో సాధించిన పరుగులు (158) ',' 1 వ బౌలర్ / బ్యాట్స్ కలయికలు ( 8) ',' 5 వ బౌలర్ / ఫీల్డర్ కలయికలు (10) ',' 4 వ అత్యధిక వికెట్లు బౌల్డ్ తీసుకున్న (21) ',' 3 వ అత్యంత ఆకర్షించింది (30) ',' 12 వ అత్యధిక వికెట్లు తీసుకున్న పెట్టుకోవా తీసుకోబడిన వికెట్ల HT ఒక ఫీల్డర్ చేత (17) ',' 1 వ అత్యధిక వికెట్లు ఒక వికెట్ కీపర్ చే కాట్ తీసుకున్న (13) ',' 9 వ అత్యధిక వికెట్లు తీసుకున్న ఎల్బిడబ్ల్యు (9) ఎనిమిదో వికెట్కు ',' 10 వ అత్యధిక భాగస్వామ్యం (76) ',' 12 వ లాంగెస్ట్ కెరీర్లు (15y 18d) ']</v>
      </c>
      <c r="E2568" s="2" t="s">
        <v>1843</v>
      </c>
      <c r="F2568" s="2" t="str">
        <f>IFERROR(__xludf.DUMMYFUNCTION("IF(E2568&lt;&gt;"""", GOOGLETRANSLATE(E2568, ""en"", ""te""),"""")"),"[ 'ఇన్నింగ్స్ లో 9 వ అత్యధిక పరుగులు (బ్యాటింగ్ స్థానంలో ప్రకారం) (17 *)', 'కెరీర్ లో 2 వ అత్యధిక వికెట్లు (180)', '30 వ ఇన్నింగ్స్ లో బెస్ట్ ఫిగర్స్ (5/14)', '14 వ చాలా వికెట్లు క్యాలెండర్ ఏడాది (26) ',' 13 వ అత్యుత్తమ బౌలింగ్ ఇన్నింగ్స్ లో విశ్లేషించడం "&amp;"(5/14) ',' ఒకే నేలపై 3 వ అత్యధిక వికెట్లు (22) ',' 11 వ ఒక ఇన్నింగ్స్ లోని బెస్ట్ ఫిగర్స్ ఉన్నప్పుడు పరాజయం వైపు (4) ',' 16 వ సగటు (16.79) ',' 22 వ ఉత్తమ కెరీర్ సమ్మె రేటు బౌలింగ్ ఉత్తమ కెరీర్ (33.4) ',' 4 వ అత్యంత ఐదు-వికెట్ల లో-ఒక-ఇన్నింగ్స్ కెరీర్లో "&amp;"(4) ',' 2 వ అత్యంత నాలుగు వికెట్లు -ఇన్-ఒక-ఇన్నింగ్స్ కెరీర్లో (11) ',' 3 వ వరుస నాలుగు వికెట్లు-ఇన్-ఒక-ఇన్నింగ్స్ (2) ',' ఐదు వికెట్ల లో-ఒక-ఇన్నింగ్స్ (37y 358d తీసుకోవాలని 1st అత్యంత వృద్ధ ఆటగాడు ) ',' 6 వ అత్యంత వృద్ధ ఆటగాడు ఒక ఐదు మైడెన్-వికెట్ల లో-ఒ"&amp;"క-ఇన్నింగ్స్ (30y 139d) ',' 3 వ అత్యంత బంతుల్లో కెరీర్లో బౌల్డ్ (6017) ',' 13 వ కెరీర్ లో సాధించిన అత్యధిక పరుగులు (3023) 'తీసుకోవాలని, '1 వ బౌలర్ / బ్యాట్స్ కలయికలు (9)', '5 వ బౌలర్ / ఫీల్డర్ కలయికలు (21)', '2 వ అత్యంత బౌల్డ్ వికెట్లు తీసుకున్నారు (85)',"&amp;" '8 వ అత్యధిక వికెట్లు తీసుకున్న ఆకర్షించింది (71)', '31 చాలా రకాల టి వికెట్లు క్యాచ్ మరియు బౌల్డ్ aken (5) ',' 18 వ అత్యధిక వికెట్లు ఒక ఫీల్డర్ చేత క్యాచ్ తీసుకున్న (47) ',' 4 వ అత్యధిక వికెట్లు ఒక వికెట్ కీపర్ చే కాట్ తీసుకోకూడదు (24) ',' 9 వ అత్యధిక వి"&amp;"కెట్లు తీసుకున్న ఎల్బిడబ్ల్యు (22) ',' 32 వ కెరీర్లో అత్యధిక మ్యాచ్లు (109) ',' 29th ఓల్డెస్ట్ క్రీడాకారులు (39y 1D) ',' 46 వ లాంగెస్ట్ కెరీర్లు (13y 224d) ']")</f>
        <v>[ 'ఇన్నింగ్స్ లో 9 వ అత్యధిక పరుగులు (బ్యాటింగ్ స్థానంలో ప్రకారం) (17 *)', 'కెరీర్ లో 2 వ అత్యధిక వికెట్లు (180)', '30 వ ఇన్నింగ్స్ లో బెస్ట్ ఫిగర్స్ (5/14)', '14 వ చాలా వికెట్లు క్యాలెండర్ ఏడాది (26) ',' 13 వ అత్యుత్తమ బౌలింగ్ ఇన్నింగ్స్ లో విశ్లేషించడం (5/14) ',' ఒకే నేలపై 3 వ అత్యధిక వికెట్లు (22) ',' 11 వ ఒక ఇన్నింగ్స్ లోని బెస్ట్ ఫిగర్స్ ఉన్నప్పుడు పరాజయం వైపు (4) ',' 16 వ సగటు (16.79) ',' 22 వ ఉత్తమ కెరీర్ సమ్మె రేటు బౌలింగ్ ఉత్తమ కెరీర్ (33.4) ',' 4 వ అత్యంత ఐదు-వికెట్ల లో-ఒక-ఇన్నింగ్స్ కెరీర్లో (4) ',' 2 వ అత్యంత నాలుగు వికెట్లు -ఇన్-ఒక-ఇన్నింగ్స్ కెరీర్లో (11) ',' 3 వ వరుస నాలుగు వికెట్లు-ఇన్-ఒక-ఇన్నింగ్స్ (2) ',' ఐదు వికెట్ల లో-ఒక-ఇన్నింగ్స్ (37y 358d తీసుకోవాలని 1st అత్యంత వృద్ధ ఆటగాడు ) ',' 6 వ అత్యంత వృద్ధ ఆటగాడు ఒక ఐదు మైడెన్-వికెట్ల లో-ఒక-ఇన్నింగ్స్ (30y 139d) ',' 3 వ అత్యంత బంతుల్లో కెరీర్లో బౌల్డ్ (6017) ',' 13 వ కెరీర్ లో సాధించిన అత్యధిక పరుగులు (3023) 'తీసుకోవాలని, '1 వ బౌలర్ / బ్యాట్స్ కలయికలు (9)', '5 వ బౌలర్ / ఫీల్డర్ కలయికలు (21)', '2 వ అత్యంత బౌల్డ్ వికెట్లు తీసుకున్నారు (85)', '8 వ అత్యధిక వికెట్లు తీసుకున్న ఆకర్షించింది (71)', '31 చాలా రకాల టి వికెట్లు క్యాచ్ మరియు బౌల్డ్ aken (5) ',' 18 వ అత్యధిక వికెట్లు ఒక ఫీల్డర్ చేత క్యాచ్ తీసుకున్న (47) ',' 4 వ అత్యధిక వికెట్లు ఒక వికెట్ కీపర్ చే కాట్ తీసుకోకూడదు (24) ',' 9 వ అత్యధిక వికెట్లు తీసుకున్న ఎల్బిడబ్ల్యు (22) ',' 32 వ కెరీర్లో అత్యధిక మ్యాచ్లు (109) ',' 29th ఓల్డెస్ట్ క్రీడాకారులు (39y 1D) ',' 46 వ లాంగెస్ట్ కెరీర్లు (13y 224d) ']</v>
      </c>
      <c r="G2568" s="2" t="s">
        <v>1844</v>
      </c>
      <c r="H2568" s="2" t="str">
        <f>IFERROR(__xludf.DUMMYFUNCTION("IF(G2568&lt;&gt;"""", GOOGLETRANSLATE(G2568, ""en"", ""te""),"""")"),"[ 'తొలి 45 వ ఓల్డెస్ట్ క్రీడాకారులు (37y 182d)', '46 వ ఓల్డెస్ట్ క్రీడాకారులు (38y 228d)']")</f>
        <v>[ 'తొలి 45 వ ఓల్డెస్ట్ క్రీడాకారులు (37y 182d)', '46 వ ఓల్డెస్ట్ క్రీడాకారులు (38y 228d)']</v>
      </c>
      <c r="I2568" s="3"/>
    </row>
    <row r="2569" customHeight="1" spans="1:9">
      <c r="A2569" s="2" t="s">
        <v>1845</v>
      </c>
      <c r="B2569" s="2" t="str">
        <f>IFERROR(__xludf.DUMMYFUNCTION("IF(A2569&lt;&gt;"""", GOOGLETRANSLATE(A2569, ""en"", ""te""),"""")"),"[ 'వరుస ఇన్నింగ్స్లో 2 వ వందల (4)', 'హండ్రెడ్ మరియు ఒక మ్యాచ్లో ఒక డక్', 'ఆరవ వికెట్కు 5 వ అత్యధిక భాగస్వామ్యం (346)', 'వరుస ఇన్నింగ్స్లో 3 వ వందల (4)']")</f>
        <v>[ 'వరుస ఇన్నింగ్స్లో 2 వ వందల (4)', 'హండ్రెడ్ మరియు ఒక మ్యాచ్లో ఒక డక్', 'ఆరవ వికెట్కు 5 వ అత్యధిక భాగస్వామ్యం (346)', 'వరుస ఇన్నింగ్స్లో 3 వ వందల (4)']</v>
      </c>
      <c r="C2569" s="2" t="s">
        <v>1846</v>
      </c>
      <c r="D2569" s="2" t="str">
        <f>IFERROR(__xludf.DUMMYFUNCTION("IF(C2569&lt;&gt;"""", GOOGLETRANSLATE(C2569, ""en"", ""te""),"""")"),"[ 'వరుస ఇన్నింగ్స్లో 2 వ వందల (4)', 'వరుస మ్యాచ్లలో 5 వ వందల (4)', 'వరుస మ్యాచ్లలో 26 యాభైల్లో (7)', '26th 1000 పరుగులు (20) వేగంగా', '48 వ అత్యధిక కోసం భాగస్వామ్యాలు ఏ వికెట్కు (346) ',' ఆరవ వికెట్కు 5 వ అత్యధిక భాగస్వామ్యం (346) ']")</f>
        <v>[ 'వరుస ఇన్నింగ్స్లో 2 వ వందల (4)', 'వరుస మ్యాచ్లలో 5 వ వందల (4)', 'వరుస మ్యాచ్లలో 26 యాభైల్లో (7)', '26th 1000 పరుగులు (20) వేగంగా', '48 వ అత్యధిక కోసం భాగస్వామ్యాలు ఏ వికెట్కు (346) ',' ఆరవ వికెట్కు 5 వ అత్యధిక భాగస్వామ్యం (346) ']</v>
      </c>
      <c r="E2569" s="2"/>
      <c r="F2569" s="2" t="str">
        <f>IFERROR(__xludf.DUMMYFUNCTION("IF(E2569&lt;&gt;"""", GOOGLETRANSLATE(E2569, ""en"", ""te""),"""")"),"")</f>
        <v/>
      </c>
      <c r="G2569" s="2"/>
      <c r="H2569" s="2" t="str">
        <f>IFERROR(__xludf.DUMMYFUNCTION("IF(G2569&lt;&gt;"""", GOOGLETRANSLATE(G2569, ""en"", ""te""),"""")"),"")</f>
        <v/>
      </c>
      <c r="I2569" s="3"/>
    </row>
    <row r="2570" customHeight="1" spans="1:9">
      <c r="A2570" s="2"/>
      <c r="B2570" s="2" t="str">
        <f>IFERROR(__xludf.DUMMYFUNCTION("IF(A2570&lt;&gt;"""", GOOGLETRANSLATE(A2570, ""en"", ""te""),"""")"),"")</f>
        <v/>
      </c>
      <c r="C2570" s="2"/>
      <c r="D2570" s="2" t="str">
        <f>IFERROR(__xludf.DUMMYFUNCTION("IF(C2570&lt;&gt;"""", GOOGLETRANSLATE(C2570, ""en"", ""te""),"""")"),"")</f>
        <v/>
      </c>
      <c r="E2570" s="2"/>
      <c r="F2570" s="2" t="str">
        <f>IFERROR(__xludf.DUMMYFUNCTION("IF(E2570&lt;&gt;"""", GOOGLETRANSLATE(E2570, ""en"", ""te""),"""")"),"")</f>
        <v/>
      </c>
      <c r="G2570" s="2"/>
      <c r="H2570" s="2" t="str">
        <f>IFERROR(__xludf.DUMMYFUNCTION("IF(G2570&lt;&gt;"""", GOOGLETRANSLATE(G2570, ""en"", ""te""),"""")"),"")</f>
        <v/>
      </c>
      <c r="I2570" s="3"/>
    </row>
    <row r="2571" customHeight="1" spans="1:9">
      <c r="A2571" s="2"/>
      <c r="B2571" s="2" t="str">
        <f>IFERROR(__xludf.DUMMYFUNCTION("IF(A2571&lt;&gt;"""", GOOGLETRANSLATE(A2571, ""en"", ""te""),"""")"),"")</f>
        <v/>
      </c>
      <c r="C2571" s="2"/>
      <c r="D2571" s="2" t="str">
        <f>IFERROR(__xludf.DUMMYFUNCTION("IF(C2571&lt;&gt;"""", GOOGLETRANSLATE(C2571, ""en"", ""te""),"""")"),"")</f>
        <v/>
      </c>
      <c r="E2571" s="2"/>
      <c r="F2571" s="2" t="str">
        <f>IFERROR(__xludf.DUMMYFUNCTION("IF(E2571&lt;&gt;"""", GOOGLETRANSLATE(E2571, ""en"", ""te""),"""")"),"")</f>
        <v/>
      </c>
      <c r="G2571" s="2"/>
      <c r="H2571" s="2" t="str">
        <f>IFERROR(__xludf.DUMMYFUNCTION("IF(G2571&lt;&gt;"""", GOOGLETRANSLATE(G2571, ""en"", ""te""),"""")"),"")</f>
        <v/>
      </c>
      <c r="I2571" s="3"/>
    </row>
    <row r="2572" customHeight="1" spans="1:9">
      <c r="A2572" s="2" t="s">
        <v>1847</v>
      </c>
      <c r="B2572" s="2" t="str">
        <f>IFERROR(__xludf.DUMMYFUNCTION("IF(A2572&lt;&gt;"""", GOOGLETRANSLATE(A2572, ""en"", ""te""),"""")"),"[ 'ఒక కెప్టెన్ ద్వారా ఒక సిరీస్ లో 7 వ అత్యధిక పరుగులు (507)', 'ఒక జట్టుతో 7 వ అత్యధిక వందలు (7)', '5000 పరుగులు మరియు 50 ఫీల్డింగ్ వికెట్లు', 'ఒక జట్టు కెప్టెన్గా 5 వ వరుస మ్యాచ్లు (29) ',' ఒక కెప్టెన్తో ఇన్నింగ్స్ లో 1 వ అత్యధిక పరుగులు (172) ',' 8 వ అత"&amp;"్యధిక కెరీర్ సమ్మె రేటు (152.14) ',' వరుస ఇన్నింగ్స్లో 3 వ యాభైల్లో (3) ',' 4 వ మొట్టమొదటి డక్ ముందు అత్యంత ఇన్నింగ్స్ (43) ' '1 వ ఇన్నింగ్స్ లో వచ్చిన ఎక్కువ ఫోర్లు (16)', 'ఒక ఇన్నింగ్స్లో పరుగుల 1st అత్యధిక శాతం (75.10)', 'ఫాస్టెస్ట్ 2000 పరుగులు 3 వ ("&amp;"62)', మొదటి వికెట్కు '2 వ అత్యధిక భాగస్వామ్యం (223) ']")</f>
        <v>[ 'ఒక కెప్టెన్ ద్వారా ఒక సిరీస్ లో 7 వ అత్యధిక పరుగులు (507)', 'ఒక జట్టుతో 7 వ అత్యధిక వందలు (7)', '5000 పరుగులు మరియు 50 ఫీల్డింగ్ వికెట్లు', 'ఒక జట్టు కెప్టెన్గా 5 వ వరుస మ్యాచ్లు (29) ',' ఒక కెప్టెన్తో ఇన్నింగ్స్ లో 1 వ అత్యధిక పరుగులు (172) ',' 8 వ అత్యధిక కెరీర్ సమ్మె రేటు (152.14) ',' వరుస ఇన్నింగ్స్లో 3 వ యాభైల్లో (3) ',' 4 వ మొట్టమొదటి డక్ ముందు అత్యంత ఇన్నింగ్స్ (43) ' '1 వ ఇన్నింగ్స్ లో వచ్చిన ఎక్కువ ఫోర్లు (16)', 'ఒక ఇన్నింగ్స్లో పరుగుల 1st అత్యధిక శాతం (75.10)', 'ఫాస్టెస్ట్ 2000 పరుగులు 3 వ (62)', మొదటి వికెట్కు '2 వ అత్యధిక భాగస్వామ్యం (223) ']</v>
      </c>
      <c r="C2572" s="2"/>
      <c r="D2572" s="2" t="str">
        <f>IFERROR(__xludf.DUMMYFUNCTION("IF(C2572&lt;&gt;"""", GOOGLETRANSLATE(C2572, ""en"", ""te""),"""")"),"")</f>
        <v/>
      </c>
      <c r="E2572" s="2" t="s">
        <v>1848</v>
      </c>
      <c r="F2572" s="2" t="str">
        <f>IFERROR(__xludf.DUMMYFUNCTION("IF(E2572&lt;&gt;"""", GOOGLETRANSLATE(E2572, ""en"", ""te""),"""")"),"[ 'ఒక కెప్టెన్ ద్వారా ఒక సిరీస్ లో 7 వ అత్యధిక పరుగులు (507)', 'ఒక కెప్టెన్తో ఇన్నింగ్స్ లో 17 వ అత్యధిక పరుగులు (153 *)', '50 వ అత్యధిక కెరీర్ బ్యాటింగ్ సగటు 31 వరుస (507) అత్యధిక పరుగులు' (41.85) ',' 24 వ అత్యధిక స్ట్రయిక్ కెరీర్ లో ఒక ఇన్నింగ్స్ (289.4"&amp;"7) ',' 19 వ అత్యధిక వందలు రేటు (17) ',' 29th ఒక క్యాలెండర్ సంవత్సరంలో అత్యధిక వందలు (4) ',' 7 వ అత్యంత ఒకటి జట్టుతో వందల (7) ',' 18 వ అత్యధిక తొలి వంద (148) ',' 34 వ కెరీర్ తొంభైల (4) ',' వరుస ఇన్నింగ్స్లో 44 వ యాభైల్లో (4) ',' 24th ఎక్కువ సిక్స్ కెరీర్"&amp;"లో (126) ',' 38 వ ఒక ఇన్నింగ్స్ లో ఫోర్లు, సిక్సర్లు నుండి అత్యధిక పరుగులు (106) ',' 1000 పరుగులు (27) ',' ఫాస్టెస్ట్ 24 వరకు 2000 పరుగులు 27 వేగవంతమైన (54) ',' 25 వ 3000 పరుగులు (82) ',' 13 వ వేగంగా వేగంగా 4000 పరుగులు (105) ',' ఫాస్టెస్ట్ 5000 పరుగులు "&amp;"(126) ',' 31 అత్యధిక వాటా ఏ వికెట్కు 13 (246) ',' మొదటి వికెట్కు 14 అత్యధిక భాగస్వామ్యం (246) ',' 26 వరుస మ్యాచ్లు వంటి ఒక జట్టు కెప్టెన్గా (39 *) ']")</f>
        <v>[ 'ఒక కెప్టెన్ ద్వారా ఒక సిరీస్ లో 7 వ అత్యధిక పరుగులు (507)', 'ఒక కెప్టెన్తో ఇన్నింగ్స్ లో 17 వ అత్యధిక పరుగులు (153 *)', '50 వ అత్యధిక కెరీర్ బ్యాటింగ్ సగటు 31 వరుస (507) అత్యధిక పరుగులు' (41.85) ',' 24 వ అత్యధిక స్ట్రయిక్ కెరీర్ లో ఒక ఇన్నింగ్స్ (289.47) ',' 19 వ అత్యధిక వందలు రేటు (17) ',' 29th ఒక క్యాలెండర్ సంవత్సరంలో అత్యధిక వందలు (4) ',' 7 వ అత్యంత ఒకటి జట్టుతో వందల (7) ',' 18 వ అత్యధిక తొలి వంద (148) ',' 34 వ కెరీర్ తొంభైల (4) ',' వరుస ఇన్నింగ్స్లో 44 వ యాభైల్లో (4) ',' 24th ఎక్కువ సిక్స్ కెరీర్లో (126) ',' 38 వ ఒక ఇన్నింగ్స్ లో ఫోర్లు, సిక్సర్లు నుండి అత్యధిక పరుగులు (106) ',' 1000 పరుగులు (27) ',' ఫాస్టెస్ట్ 24 వరకు 2000 పరుగులు 27 వేగవంతమైన (54) ',' 25 వ 3000 పరుగులు (82) ',' 13 వ వేగంగా వేగంగా 4000 పరుగులు (105) ',' ఫాస్టెస్ట్ 5000 పరుగులు (126) ',' 31 అత్యధిక వాటా ఏ వికెట్కు 13 (246) ',' మొదటి వికెట్కు 14 అత్యధిక భాగస్వామ్యం (246) ',' 26 వరుస మ్యాచ్లు వంటి ఒక జట్టు కెప్టెన్గా (39 *) ']</v>
      </c>
      <c r="G2572" s="2" t="s">
        <v>1849</v>
      </c>
      <c r="H2572" s="2" t="str">
        <f>IFERROR(__xludf.DUMMYFUNCTION("IF(G2572&lt;&gt;"""", GOOGLETRANSLATE(G2572, ""en"", ""te""),"""")"),"[ 'కెరీర్లో 5 వ అత్యధిక పరుగులు (2346)', '1 వ ఇన్నింగ్స్ లో అత్యధిక పరుగులు (172)', '5 వ ఇన్నింగ్స్ లో అత్యధిక పరుగులు (ప్రగతిశీల రికార్డు హోల్డర్) (156)', '13 వ ఒక క్యాలెండర్ సంవత్సరంలో అత్యధిక పరుగులు ( 531) ',' పరాజయం వైపు ఒక మ్యాచ్లో ఇన్నింగ్స్ లో 1 "&amp;"వ అత్యధిక పరుగులు (బ్యాటింగ్ స్థానంలో ప్రకారం) (172) ',' 19 వ అత్యధిక పరుగులు (89) ', '21 వ ఒకే క్రీడా (324) పై అత్యధిక పరుగులు', 'ఒక కెప్టెన్తో ఇన్నింగ్స్ లో 1 వ అత్యధిక పరుగులు (172)', '9 వ అత్యధిక కెరీర్ బ్యాటింగ్ సగటు (38.45)', '8 వ అత్యధిక కెరీర్ సమ"&amp;"్మె రేటు (152.14)', 'కెరీర్ లో 7 వ అత్యంత అర్ధ (16)', '3 వ వరుస ఇన్నింగ్స్లో (3) ',' 4 వ అత్యంత ఇన్నింగ్స్లో యాభైల్లో మొదటి డక్ ముందు (43) ',' ఒక డక్ లేకుండా 20 వరుస ఇన్నింగ్స్ (43) ',' కెరీర్ లో 32 వ అత్యంత బాతులు (5) ',' 6 వ ఎక్కువ సిక్స్ లో కెరీర్ (10"&amp;"4) ',' కెరీర్ లో 6 వ అత్యంత ఫోర్లు (235) ',' ఇన్నింగ్స్ లో 2 వ ఎక్కువ సిక్స్ (14) ',' 1 వ ఇన్నింగ్స్ లో వచ్చిన ఎక్కువ ఫోర్లు (16) ',' లో ఫోర్లు, సిక్సర్లు నుండి 2 వ అత్యధిక పరుగులు ఇన్నింగ్స్ (128) ',' 1st లాంగెస్ట్ వ్యక్తిగత ఇన్నింగ్స్ (బంతులతో) (76) ','"&amp;" ఒక ఇన్నింగ్స్లో పరుగుల 1st అత్యధిక శాతం (75.10) ',' 4 వ వేగవంతమైన 1000 పరుగులు (29) ',' ఫాస్టెస్ట్ 2000 పరుగులు 3 వ (62) ', '21 వ కెరీర్లో అత్యధిక క్యాచ్లు (32)', '15 వ ఇన్నింగ్స్ లో అత్యధిక క్యాచ్లు (3)', 'ఏ వికెట్కు 2 వ అత్యధిక భాగస్వామ్యాలు (223) ','"&amp;" తొలి వికెట్కు (223) ',' రెండవ వికెట్కు 30 వ అత్యధిక భాగస్వామ్యం (114) మూడో వికెట్కు ',' 17 వ అత్యధిక భాగస్వామ్యం (118) ',' 6 వ అత్యధిక భాగస్వామ్యం కోసం 2 వ అత్యధిక భాగస్వామ్యం ఆరవ వికెట్ (86) ',' 36 వ కెరీర్ లో అత్యధిక మ్యాచ్లు (71) ',' 34 వ అత్యంత బృందం"&amp;" వరుసగా మ్యాచ్లు (32) ',' 28 వ అతి ప్లేయర్ ఆఫ్ ది మ్యాచ్ అవార్డులు (5) ',' 8 వ అత్యంత కెప్టెన్గా మ్యాచ్లు (44) ',' ఒక జట్టు కెప్టెన్గా (33 *) గా 47 వ వరుస మ్యాచ్లు ',' 5 వ వరుస మ్యాచ్లు ఒక జట్టు కెప్టెన్గా (29) ',' 29th వరుస అన్ని టాస్ గెలిచిన (3) ']")</f>
        <v>[ 'కెరీర్లో 5 వ అత్యధిక పరుగులు (2346)', '1 వ ఇన్నింగ్స్ లో అత్యధిక పరుగులు (172)', '5 వ ఇన్నింగ్స్ లో అత్యధిక పరుగులు (ప్రగతిశీల రికార్డు హోల్డర్) (156)', '13 వ ఒక క్యాలెండర్ సంవత్సరంలో అత్యధిక పరుగులు ( 531) ',' పరాజయం వైపు ఒక మ్యాచ్లో ఇన్నింగ్స్ లో 1 వ అత్యధిక పరుగులు (బ్యాటింగ్ స్థానంలో ప్రకారం) (172) ',' 19 వ అత్యధిక పరుగులు (89) ', '21 వ ఒకే క్రీడా (324) పై అత్యధిక పరుగులు', 'ఒక కెప్టెన్తో ఇన్నింగ్స్ లో 1 వ అత్యధిక పరుగులు (172)', '9 వ అత్యధిక కెరీర్ బ్యాటింగ్ సగటు (38.45)', '8 వ అత్యధిక కెరీర్ సమ్మె రేటు (152.14)', 'కెరీర్ లో 7 వ అత్యంత అర్ధ (16)', '3 వ వరుస ఇన్నింగ్స్లో (3) ',' 4 వ అత్యంత ఇన్నింగ్స్లో యాభైల్లో మొదటి డక్ ముందు (43) ',' ఒక డక్ లేకుండా 20 వరుస ఇన్నింగ్స్ (43) ',' కెరీర్ లో 32 వ అత్యంత బాతులు (5) ',' 6 వ ఎక్కువ సిక్స్ లో కెరీర్ (104) ',' కెరీర్ లో 6 వ అత్యంత ఫోర్లు (235) ',' ఇన్నింగ్స్ లో 2 వ ఎక్కువ సిక్స్ (14) ',' 1 వ ఇన్నింగ్స్ లో వచ్చిన ఎక్కువ ఫోర్లు (16) ',' లో ఫోర్లు, సిక్సర్లు నుండి 2 వ అత్యధిక పరుగులు ఇన్నింగ్స్ (128) ',' 1st లాంగెస్ట్ వ్యక్తిగత ఇన్నింగ్స్ (బంతులతో) (76) ',' ఒక ఇన్నింగ్స్లో పరుగుల 1st అత్యధిక శాతం (75.10) ',' 4 వ వేగవంతమైన 1000 పరుగులు (29) ',' ఫాస్టెస్ట్ 2000 పరుగులు 3 వ (62) ', '21 వ కెరీర్లో అత్యధిక క్యాచ్లు (32)', '15 వ ఇన్నింగ్స్ లో అత్యధిక క్యాచ్లు (3)', 'ఏ వికెట్కు 2 వ అత్యధిక భాగస్వామ్యాలు (223) ',' తొలి వికెట్కు (223) ',' రెండవ వికెట్కు 30 వ అత్యధిక భాగస్వామ్యం (114) మూడో వికెట్కు ',' 17 వ అత్యధిక భాగస్వామ్యం (118) ',' 6 వ అత్యధిక భాగస్వామ్యం కోసం 2 వ అత్యధిక భాగస్వామ్యం ఆరవ వికెట్ (86) ',' 36 వ కెరీర్ లో అత్యధిక మ్యాచ్లు (71) ',' 34 వ అత్యంత బృందం వరుసగా మ్యాచ్లు (32) ',' 28 వ అతి ప్లేయర్ ఆఫ్ ది మ్యాచ్ అవార్డులు (5) ',' 8 వ అత్యంత కెప్టెన్గా మ్యాచ్లు (44) ',' ఒక జట్టు కెప్టెన్గా (33 *) గా 47 వ వరుస మ్యాచ్లు ',' 5 వ వరుస మ్యాచ్లు ఒక జట్టు కెప్టెన్గా (29) ',' 29th వరుస అన్ని టాస్ గెలిచిన (3) ']</v>
      </c>
      <c r="I2572" s="3"/>
    </row>
    <row r="2573" customHeight="1" spans="1:9">
      <c r="A2573" s="2"/>
      <c r="B2573" s="2" t="str">
        <f>IFERROR(__xludf.DUMMYFUNCTION("IF(A2573&lt;&gt;"""", GOOGLETRANSLATE(A2573, ""en"", ""te""),"""")"),"")</f>
        <v/>
      </c>
      <c r="C2573" s="2"/>
      <c r="D2573" s="2" t="str">
        <f>IFERROR(__xludf.DUMMYFUNCTION("IF(C2573&lt;&gt;"""", GOOGLETRANSLATE(C2573, ""en"", ""te""),"""")"),"")</f>
        <v/>
      </c>
      <c r="E2573" s="2"/>
      <c r="F2573" s="2" t="str">
        <f>IFERROR(__xludf.DUMMYFUNCTION("IF(E2573&lt;&gt;"""", GOOGLETRANSLATE(E2573, ""en"", ""te""),"""")"),"")</f>
        <v/>
      </c>
      <c r="G2573" s="2"/>
      <c r="H2573" s="2" t="str">
        <f>IFERROR(__xludf.DUMMYFUNCTION("IF(G2573&lt;&gt;"""", GOOGLETRANSLATE(G2573, ""en"", ""te""),"""")"),"")</f>
        <v/>
      </c>
      <c r="I2573" s="3"/>
    </row>
    <row r="2574" customHeight="1" spans="1:9">
      <c r="A2574" s="2"/>
      <c r="B2574" s="2" t="str">
        <f>IFERROR(__xludf.DUMMYFUNCTION("IF(A2574&lt;&gt;"""", GOOGLETRANSLATE(A2574, ""en"", ""te""),"""")"),"")</f>
        <v/>
      </c>
      <c r="C2574" s="2"/>
      <c r="D2574" s="2" t="str">
        <f>IFERROR(__xludf.DUMMYFUNCTION("IF(C2574&lt;&gt;"""", GOOGLETRANSLATE(C2574, ""en"", ""te""),"""")"),"")</f>
        <v/>
      </c>
      <c r="E2574" s="2"/>
      <c r="F2574" s="2" t="str">
        <f>IFERROR(__xludf.DUMMYFUNCTION("IF(E2574&lt;&gt;"""", GOOGLETRANSLATE(E2574, ""en"", ""te""),"""")"),"")</f>
        <v/>
      </c>
      <c r="G2574" s="2"/>
      <c r="H2574" s="2" t="str">
        <f>IFERROR(__xludf.DUMMYFUNCTION("IF(G2574&lt;&gt;"""", GOOGLETRANSLATE(G2574, ""en"", ""te""),"""")"),"")</f>
        <v/>
      </c>
      <c r="I2574" s="3"/>
    </row>
    <row r="2575" customHeight="1" spans="1:9">
      <c r="A2575" s="2" t="s">
        <v>1850</v>
      </c>
      <c r="B2575" s="2" t="str">
        <f>IFERROR(__xludf.DUMMYFUNCTION("IF(A2575&lt;&gt;"""", GOOGLETRANSLATE(A2575, ""en"", ""te""),"""")"),"[ 'ఇన్నింగ్స్ లో 6 వ అత్యధిక పరుగులు (బ్యాటింగ్ స్థానంలో ప్రకారం) (41 *)', '1st ఒక క్యాలెండర్ సంవత్సరంలో అత్యధిక వికెట్లు (29)', '1st చాలా బంతుల్లో' 6 వ తొలి (7) ఒక మ్యాచ్లో బెస్ట్ ఫిగర్స్ ' ఒక మ్యాచ్లో బౌల్డ్ (677) ',' కెరీర్ (1047) లో సాధించిన 5 వ అత్యధ"&amp;"ిక పరుగులు ',' 1 వ అత్యధిక వికెట్లు ఆకర్షించింది తీసుకున్న మరియు (3) ',' 5 వ అత్యధిక భాగస్వామ్యం ఇన్నింగ్స్ లో బౌల్డ్ చేయడం (9) ',' 1 వ అత్యధిక క్యాచ్లు తొమ్మిదవ వికెట్ (67 *) ',' 2 వ ఉత్తమ కెరీర్ సగటు (13.26) ',' 3 వ వరుస నాలుగు వికెట్లు-ఇన్-ఒక-ఇన్నింగ్స"&amp;"్ (2) ',' 3 వ అత్యంత క్యాచ్ మరియు బౌల్డ్ తీసుకోబడిన వికెట్ల (12) బౌలింగ్ కోసం ']")</f>
        <v>[ 'ఇన్నింగ్స్ లో 6 వ అత్యధిక పరుగులు (బ్యాటింగ్ స్థానంలో ప్రకారం) (41 *)', '1st ఒక క్యాలెండర్ సంవత్సరంలో అత్యధిక వికెట్లు (29)', '1st చాలా బంతుల్లో' 6 వ తొలి (7) ఒక మ్యాచ్లో బెస్ట్ ఫిగర్స్ ' ఒక మ్యాచ్లో బౌల్డ్ (677) ',' కెరీర్ (1047) లో సాధించిన 5 వ అత్యధిక పరుగులు ',' 1 వ అత్యధిక వికెట్లు ఆకర్షించింది తీసుకున్న మరియు (3) ',' 5 వ అత్యధిక భాగస్వామ్యం ఇన్నింగ్స్ లో బౌల్డ్ చేయడం (9) ',' 1 వ అత్యధిక క్యాచ్లు తొమ్మిదవ వికెట్ (67 *) ',' 2 వ ఉత్తమ కెరీర్ సగటు (13.26) ',' 3 వ వరుస నాలుగు వికెట్లు-ఇన్-ఒక-ఇన్నింగ్స్ (2) ',' 3 వ అత్యంత క్యాచ్ మరియు బౌల్డ్ తీసుకోబడిన వికెట్ల (12) బౌలింగ్ కోసం ']</v>
      </c>
      <c r="C2575" s="2" t="s">
        <v>1851</v>
      </c>
      <c r="D2575" s="2" t="str">
        <f>IFERROR(__xludf.DUMMYFUNCTION("IF(C2575&lt;&gt;"""", GOOGLETRANSLATE(C2575, ""en"", ""te""),"""")"),"[ 'ఇన్నింగ్స్ లో 6 వ అత్యధిక పరుగులు (బ్యాటింగ్ స్థానంలో ప్రకారం) (41 *)', '45 వ అత్యధిక కెరీర్ బ్యాటింగ్ సగటు (31.66)', ఒక సిరీస్లో 'కెరీర్లో 11 వ అత్యధిక వికెట్లు (41)', '5 వ అత్యధిక వికెట్లు (20 ) ',' ఒక ఇన్నింగ్స్ లో ఒక క్యాలెండర్ సంవత్సరంలో 1st అత్యధ"&amp;"ిక వికెట్లు (29) ',' 15 వ బెస్ట్ ఫిగర్స్ ఉన్నప్పుడు పరాజయం వైపు (4) ',' 17 వ పరాజయం వైపు (5) 'పై ఒక మ్యాచ్ను లో బెస్ట్ ఫిగర్స్, '35 వ ఉత్తమ కెరీర్ ఆర్థిక రేటు (1.74)', '14 వ అరంగేట్రంలోనే ఇన్నింగ్స్ లోని బెస్ట్ ఫిగర్స్ (4)', '6 వ అరంగేట్రంలోనే మ్యాచ్లో"&amp;" ఉత్తమ బొమ్మలు (7)', '6 వ కెరీర్ (3610) లో బౌల్డ్ చాలా బంతుల్లో' '1 వ ఇన్నింగ్స్ లో బౌల్డ్ చాలా బంతుల్లో (407)', '1st చాలా బంతుల్లో ఒక మ్యాచ్ (677) లో బౌల్డ్', 'కెరీర్ (1047) లో 5 వ అత్యంత ఇవ్వబడిన పరుగులలో', 'ఒక మ్యాచ్లో 7 వ అత్యంత సాధించిన పరుగులు (161)"&amp;" ',' 12 వ బౌలర్ / బ్యాట్స్ కలయికలు (4) ',' 6 వ బౌలర్ / ఫీల్డర్ కలయికలు (9) ',' 9 వ అత్యధిక వికెట్లు తీసుకున్న ఆకర్షించింది (26) ',' 1 వ అత్యధిక వికెట్లు తీసుకున్న క్యాచ్ మరియు బౌల్డ్ (9) ',' 4 వ (23) ',' 6 వ అత్యధిక వికెట్లు తీసుకున్న స్టంప్ (5) ',' 3 వ అ"&amp;"త్యధిక కెరీర్ లో క్యాచ్లు (20) ',' 1 వ అత్యధిక క్యాచ్లు నేను అత్యధిక వికెట్లు ఒక ఫీల్డర్ చేత క్యాచ్ తీసుకున్న n ఒక ఇన్నింగ్స్ (3) ',' వరుస 2 వ అత్యధిక క్యాచ్లు (9) ',' తొమ్మిదవ వికెట్కు 5 వ అత్యధిక భాగస్వామ్యం (67 *) ',' ఒక జట్టుకు 23 వ వరుస మ్యాచ్లు (12)"&amp;" ']")</f>
        <v>[ 'ఇన్నింగ్స్ లో 6 వ అత్యధిక పరుగులు (బ్యాటింగ్ స్థానంలో ప్రకారం) (41 *)', '45 వ అత్యధిక కెరీర్ బ్యాటింగ్ సగటు (31.66)', ఒక సిరీస్లో 'కెరీర్లో 11 వ అత్యధిక వికెట్లు (41)', '5 వ అత్యధిక వికెట్లు (20 ) ',' ఒక ఇన్నింగ్స్ లో ఒక క్యాలెండర్ సంవత్సరంలో 1st అత్యధిక వికెట్లు (29) ',' 15 వ బెస్ట్ ఫిగర్స్ ఉన్నప్పుడు పరాజయం వైపు (4) ',' 17 వ పరాజయం వైపు (5) 'పై ఒక మ్యాచ్ను లో బెస్ట్ ఫిగర్స్, '35 వ ఉత్తమ కెరీర్ ఆర్థిక రేటు (1.74)', '14 వ అరంగేట్రంలోనే ఇన్నింగ్స్ లోని బెస్ట్ ఫిగర్స్ (4)', '6 వ అరంగేట్రంలోనే మ్యాచ్లో ఉత్తమ బొమ్మలు (7)', '6 వ కెరీర్ (3610) లో బౌల్డ్ చాలా బంతుల్లో' '1 వ ఇన్నింగ్స్ లో బౌల్డ్ చాలా బంతుల్లో (407)', '1st చాలా బంతుల్లో ఒక మ్యాచ్ (677) లో బౌల్డ్', 'కెరీర్ (1047) లో 5 వ అత్యంత ఇవ్వబడిన పరుగులలో', 'ఒక మ్యాచ్లో 7 వ అత్యంత సాధించిన పరుగులు (161) ',' 12 వ బౌలర్ / బ్యాట్స్ కలయికలు (4) ',' 6 వ బౌలర్ / ఫీల్డర్ కలయికలు (9) ',' 9 వ అత్యధిక వికెట్లు తీసుకున్న ఆకర్షించింది (26) ',' 1 వ అత్యధిక వికెట్లు తీసుకున్న క్యాచ్ మరియు బౌల్డ్ (9) ',' 4 వ (23) ',' 6 వ అత్యధిక వికెట్లు తీసుకున్న స్టంప్ (5) ',' 3 వ అత్యధిక కెరీర్ లో క్యాచ్లు (20) ',' 1 వ అత్యధిక క్యాచ్లు నేను అత్యధిక వికెట్లు ఒక ఫీల్డర్ చేత క్యాచ్ తీసుకున్న n ఒక ఇన్నింగ్స్ (3) ',' వరుస 2 వ అత్యధిక క్యాచ్లు (9) ',' తొమ్మిదవ వికెట్కు 5 వ అత్యధిక భాగస్వామ్యం (67 *) ',' ఒక జట్టుకు 23 వ వరుస మ్యాచ్లు (12) ']</v>
      </c>
      <c r="E2575" s="2" t="s">
        <v>1852</v>
      </c>
      <c r="F2575" s="2" t="str">
        <f>IFERROR(__xludf.DUMMYFUNCTION("IF(E2575&lt;&gt;"""", GOOGLETRANSLATE(E2575, ""en"", ""te""),"""")"),"[ '15 వ కెరీర్ లో బాతులు (19)', '40 వ కెరీర్ లో అత్యధిక వికెట్లు (73)', '17 వ ఒక సిరీస్లో అత్యధిక వికెట్లు (23)', '27 ఒక క్యాలెండర్ సంవత్సరంలో అత్యధిక వికెట్లు (23)', '14 వ ఒకే మైదానంలో అత్యధిక వికెట్లు (15) ',' 2 వ ఉత్తమ కెరీర్ సగటు (13.26) ',' 20 వ ఉత్"&amp;"తమ కెరీర్ ఎకానమీ రేట్ బౌలింగ్ (2.45) ',' 17 వ ఉత్తమ కెరీర్ సమ్మె రేటు (32.4) ',' 43 వ ఉత్తమ సమ్మెలో రేటు ఇన్నింగ్స్ (9.0) ',' 7 వ అత్యంత ఐదు-వికెట్ల లో-ఒక-ఇన్నింగ్స్ కెరీర్లో (2) ',' 9 వ అత్యంత నాలుగు వికెట్లు-ఇన్-ఒక-ఇన్నింగ్స్ కెరీర్లో (6) ',' 3 వ అత్యంత"&amp;" వరుసగా నాలుగు వికెట్లు-ఇన్-ఒక-ఇన్నింగ్స్ (2) ',' 5 వ ఓల్డెస్ట్ క్రీడాకారుడు ఐదు-వికెట్ల లో-ఒక-ఇన్నింగ్స్ (32y 286d) 27 వ బౌలర్ / ఫీల్డర్ కలయికలు తీసుకోవాలని ',' (12) ',' 36 వ అత్యంత వికెట్లు ఆకర్షించింది తీసుకోకూడదు (44) ',' 3 వ అత్యంత క్యాచ్ మరియు బౌల్డ"&amp;"్ తీసుకోబడిన వికెట్ల (12) ',' 27 వ అత్యధిక వికెట్లు ఒక ఫీల్డర్ చేత క్యాచ్ తీసుకున్న (40) ',' 4 వ అత్యధిక వికెట్లు తీసుకున్న స్టంప్ (17) ']")</f>
        <v>[ '15 వ కెరీర్ లో బాతులు (19)', '40 వ కెరీర్ లో అత్యధిక వికెట్లు (73)', '17 వ ఒక సిరీస్లో అత్యధిక వికెట్లు (23)', '27 ఒక క్యాలెండర్ సంవత్సరంలో అత్యధిక వికెట్లు (23)', '14 వ ఒకే మైదానంలో అత్యధిక వికెట్లు (15) ',' 2 వ ఉత్తమ కెరీర్ సగటు (13.26) ',' 20 వ ఉత్తమ కెరీర్ ఎకానమీ రేట్ బౌలింగ్ (2.45) ',' 17 వ ఉత్తమ కెరీర్ సమ్మె రేటు (32.4) ',' 43 వ ఉత్తమ సమ్మెలో రేటు ఇన్నింగ్స్ (9.0) ',' 7 వ అత్యంత ఐదు-వికెట్ల లో-ఒక-ఇన్నింగ్స్ కెరీర్లో (2) ',' 9 వ అత్యంత నాలుగు వికెట్లు-ఇన్-ఒక-ఇన్నింగ్స్ కెరీర్లో (6) ',' 3 వ అత్యంత వరుసగా నాలుగు వికెట్లు-ఇన్-ఒక-ఇన్నింగ్స్ (2) ',' 5 వ ఓల్డెస్ట్ క్రీడాకారుడు ఐదు-వికెట్ల లో-ఒక-ఇన్నింగ్స్ (32y 286d) 27 వ బౌలర్ / ఫీల్డర్ కలయికలు తీసుకోవాలని ',' (12) ',' 36 వ అత్యంత వికెట్లు ఆకర్షించింది తీసుకోకూడదు (44) ',' 3 వ అత్యంత క్యాచ్ మరియు బౌల్డ్ తీసుకోబడిన వికెట్ల (12) ',' 27 వ అత్యధిక వికెట్లు ఒక ఫీల్డర్ చేత క్యాచ్ తీసుకున్న (40) ',' 4 వ అత్యధిక వికెట్లు తీసుకున్న స్టంప్ (17) ']</v>
      </c>
      <c r="G2575" s="2"/>
      <c r="H2575" s="2" t="str">
        <f>IFERROR(__xludf.DUMMYFUNCTION("IF(G2575&lt;&gt;"""", GOOGLETRANSLATE(G2575, ""en"", ""te""),"""")"),"")</f>
        <v/>
      </c>
      <c r="I2575" s="3"/>
    </row>
    <row r="2576" customHeight="1" spans="1:9">
      <c r="A2576" s="2"/>
      <c r="B2576" s="2" t="str">
        <f>IFERROR(__xludf.DUMMYFUNCTION("IF(A2576&lt;&gt;"""", GOOGLETRANSLATE(A2576, ""en"", ""te""),"""")"),"")</f>
        <v/>
      </c>
      <c r="C2576" s="2"/>
      <c r="D2576" s="2" t="str">
        <f>IFERROR(__xludf.DUMMYFUNCTION("IF(C2576&lt;&gt;"""", GOOGLETRANSLATE(C2576, ""en"", ""te""),"""")"),"")</f>
        <v/>
      </c>
      <c r="E2576" s="2"/>
      <c r="F2576" s="2" t="str">
        <f>IFERROR(__xludf.DUMMYFUNCTION("IF(E2576&lt;&gt;"""", GOOGLETRANSLATE(E2576, ""en"", ""te""),"""")"),"")</f>
        <v/>
      </c>
      <c r="G2576" s="2"/>
      <c r="H2576" s="2" t="str">
        <f>IFERROR(__xludf.DUMMYFUNCTION("IF(G2576&lt;&gt;"""", GOOGLETRANSLATE(G2576, ""en"", ""te""),"""")"),"")</f>
        <v/>
      </c>
      <c r="I2576" s="3"/>
    </row>
    <row r="2577" customHeight="1" spans="1:9">
      <c r="A2577" s="2"/>
      <c r="B2577" s="2" t="str">
        <f>IFERROR(__xludf.DUMMYFUNCTION("IF(A2577&lt;&gt;"""", GOOGLETRANSLATE(A2577, ""en"", ""te""),"""")"),"")</f>
        <v/>
      </c>
      <c r="C2577" s="2"/>
      <c r="D2577" s="2" t="str">
        <f>IFERROR(__xludf.DUMMYFUNCTION("IF(C2577&lt;&gt;"""", GOOGLETRANSLATE(C2577, ""en"", ""te""),"""")"),"")</f>
        <v/>
      </c>
      <c r="E2577" s="2"/>
      <c r="F2577" s="2" t="str">
        <f>IFERROR(__xludf.DUMMYFUNCTION("IF(E2577&lt;&gt;"""", GOOGLETRANSLATE(E2577, ""en"", ""te""),"""")"),"")</f>
        <v/>
      </c>
      <c r="G2577" s="2"/>
      <c r="H2577" s="2" t="str">
        <f>IFERROR(__xludf.DUMMYFUNCTION("IF(G2577&lt;&gt;"""", GOOGLETRANSLATE(G2577, ""en"", ""te""),"""")"),"")</f>
        <v/>
      </c>
      <c r="I2577" s="3"/>
    </row>
    <row r="2578" customHeight="1" spans="1:9">
      <c r="A2578" s="2" t="s">
        <v>1853</v>
      </c>
      <c r="B2578" s="2" t="str">
        <f>IFERROR(__xludf.DUMMYFUNCTION("IF(A2578&lt;&gt;"""", GOOGLETRANSLATE(A2578, ""en"", ""te""),"""")"),"[ 'ఒక మ్యాచ్లో 5 వ అత్యధిక క్యాచ్లు (5)', 'వికెట్ (3) ఉంచింది చేసిన 2 వ కెప్టెన్ల' 'అత్యధిక వికెట్లు ఇన్నింగ్స్ లో 2 వ అత్యధిక పరుగులు (139)' ఆరవ వికెట్కు, '1st అత్యధిక భాగస్వామ్యం (229 ) ',' (ఒక ఇన్నింగ్స్ లో వికెట్ (29 ఉంచింది చేసిన 2 వ కెప్టెన్ల) ',' క"&amp;"ెరీర్లో 8 వ అత్యధిక క్యాచ్లు 55) ',' ఎనిమిదవ వికెట్కు 3 వ అత్యధిక భాగస్వామ్యం (80) ',' 6 వ అత్యధిక వికెట్లు (4) ' , 'వికెట్ (26) ఉంచింది చేసిన 2 వ కెప్టెన్ల' 'ఇన్నింగ్స్ లో 5 వ అత్యధిక క్యాచ్లు (3)', 'కెరీర్ (20) 6 వ లేవు బాతులు']")</f>
        <v>[ 'ఒక మ్యాచ్లో 5 వ అత్యధిక క్యాచ్లు (5)', 'వికెట్ (3) ఉంచింది చేసిన 2 వ కెప్టెన్ల' 'అత్యధిక వికెట్లు ఇన్నింగ్స్ లో 2 వ అత్యధిక పరుగులు (139)' ఆరవ వికెట్కు, '1st అత్యధిక భాగస్వామ్యం (229 ) ',' (ఒక ఇన్నింగ్స్ లో వికెట్ (29 ఉంచింది చేసిన 2 వ కెప్టెన్ల) ',' కెరీర్లో 8 వ అత్యధిక క్యాచ్లు 55) ',' ఎనిమిదవ వికెట్కు 3 వ అత్యధిక భాగస్వామ్యం (80) ',' 6 వ అత్యధిక వికెట్లు (4) ' , 'వికెట్ (26) ఉంచింది చేసిన 2 వ కెప్టెన్ల' 'ఇన్నింగ్స్ లో 5 వ అత్యధిక క్యాచ్లు (3)', 'కెరీర్ (20) 6 వ లేవు బాతులు']</v>
      </c>
      <c r="C2578" s="2" t="s">
        <v>1854</v>
      </c>
      <c r="D2578" s="2" t="str">
        <f>IFERROR(__xludf.DUMMYFUNCTION("IF(C2578&lt;&gt;"""", GOOGLETRANSLATE(C2578, ""en"", ""te""),"""")"),"[ '26 ఇన్నింగ్స్ లో అత్యధిక పరుగులు (139)' 'ఇన్నింగ్స్ (బ్యాటింగ్ స్థానం) 2 వ అత్యధిక పరుగులు (139)', '3 వ అత్యంత ఒక ఇన్నింగ్స్ లో ఒక నాయకుడు పరుగులు (139)', '13 వ అత్యంత పరుగులు ఏ వికెట్కు వికెట్కీపర్గా (139) ',' 18 వ అత్యధిక తొలి వంద (139) ',' 6 వ అత్యధ"&amp;"ిక భాగస్వామ్యాలు ద్వారా ఒక వికెట్ కీపర్ సిరీస్ (148) ',' ఇన్నింగ్స్ లో 2 వ అత్యధిక పరుగులు (229) ',' 6 వ అత్యధిక వికెట్ తేడాతో పార్టనర్ షిప్ (6) ',' ఆరవ వికెట్ (229) ',' 16 వ పిన్న కాప్టెన్ (25y 21d) ',' వికెట్ను కాపాడుకున్నాడు చేసిన 2 వ కెప్టెన్ల (3) ','"&amp;" 13 వ అత్యధిక వికెట్లు మ్యాచ్ను 1 వ అత్యధిక భాగస్వామ్యం (5) ',' 13 వ కెరీర్ లో అత్యధిక క్యాచ్లు (11) ',' 8 వ ఇన్నింగ్స్ ఒక మ్యాచ్ (5) ',' 23 వ ఎత్తైన ఇన్నింగ్స్ బై గూడా ఇవ్వకుండా మొత్తంగా (3) ',' 5 వ అత్యధిక క్యాచ్లు లో అత్యధిక క్యాచ్లు ( 201) ']")</f>
        <v>[ '26 ఇన్నింగ్స్ లో అత్యధిక పరుగులు (139)' 'ఇన్నింగ్స్ (బ్యాటింగ్ స్థానం) 2 వ అత్యధిక పరుగులు (139)', '3 వ అత్యంత ఒక ఇన్నింగ్స్ లో ఒక నాయకుడు పరుగులు (139)', '13 వ అత్యంత పరుగులు ఏ వికెట్కు వికెట్కీపర్గా (139) ',' 18 వ అత్యధిక తొలి వంద (139) ',' 6 వ అత్యధిక భాగస్వామ్యాలు ద్వారా ఒక వికెట్ కీపర్ సిరీస్ (148) ',' ఇన్నింగ్స్ లో 2 వ అత్యధిక పరుగులు (229) ',' 6 వ అత్యధిక వికెట్ తేడాతో పార్టనర్ షిప్ (6) ',' ఆరవ వికెట్ (229) ',' 16 వ పిన్న కాప్టెన్ (25y 21d) ',' వికెట్ను కాపాడుకున్నాడు చేసిన 2 వ కెప్టెన్ల (3) ',' 13 వ అత్యధిక వికెట్లు మ్యాచ్ను 1 వ అత్యధిక భాగస్వామ్యం (5) ',' 13 వ కెరీర్ లో అత్యధిక క్యాచ్లు (11) ',' 8 వ ఇన్నింగ్స్ ఒక మ్యాచ్ (5) ',' 23 వ ఎత్తైన ఇన్నింగ్స్ బై గూడా ఇవ్వకుండా మొత్తంగా (3) ',' 5 వ అత్యధిక క్యాచ్లు లో అత్యధిక క్యాచ్లు ( 201) ']</v>
      </c>
      <c r="E2578" s="2" t="s">
        <v>1855</v>
      </c>
      <c r="F2578" s="2" t="str">
        <f>IFERROR(__xludf.DUMMYFUNCTION("IF(E2578&lt;&gt;"""", GOOGLETRANSLATE(E2578, ""en"", ""te""),"""")"),"[ '24 వ అత్యంత వంద (1162) లేకుండా ఒక వృత్తిలో పరుగులు' 'ఆరవ వికెట్కు 18 అత్యధిక భాగస్వామ్యం (82)', 'ఏడవ వికెట్కు 27 అత్యధిక భాగస్వామ్యం (64)' ఎనిమిదవ వికెట్కు, '3 వ అత్యధిక భాగస్వామ్యం (80) ',' తొమ్మిదవ వికెట్కు 50 వ అత్యధిక భాగస్వామ్యం (34) ',' 22 వ అత్య"&amp;"ధిక మ్యాచ్లు కెప్టెన్గా (29) ',' 48 వ పిన్న కాప్టెన్ (25y 10d) ',' వికెట్ను కాపాడుకున్నాడు చేసిన 2 వ కెప్టెన్ల (29) ' 'వరుస 31 వ అత్యధిక వికెట్లు (11)' 'కెరీర్లో 11 వ అత్యధిక వికెట్లు (74)', '17 వ ఇన్నింగ్స్ (4) లో అత్యధిక వికెట్లు', '8 వ కెరీర్లో అత్యధిక"&amp;" క్యాచ్లు (55)', '21 వ అత్యంత వరుస ఇన్నింగ్స్ లో క్యాచ్లు (3) ',' 16 వ అత్యధిక క్యాచ్లు (9) ',' 16 వ కెరీర్ (19) అత్యంత స్టంపింగ్లు ']")</f>
        <v>[ '24 వ అత్యంత వంద (1162) లేకుండా ఒక వృత్తిలో పరుగులు' 'ఆరవ వికెట్కు 18 అత్యధిక భాగస్వామ్యం (82)', 'ఏడవ వికెట్కు 27 అత్యధిక భాగస్వామ్యం (64)' ఎనిమిదవ వికెట్కు, '3 వ అత్యధిక భాగస్వామ్యం (80) ',' తొమ్మిదవ వికెట్కు 50 వ అత్యధిక భాగస్వామ్యం (34) ',' 22 వ అత్యధిక మ్యాచ్లు కెప్టెన్గా (29) ',' 48 వ పిన్న కాప్టెన్ (25y 10d) ',' వికెట్ను కాపాడుకున్నాడు చేసిన 2 వ కెప్టెన్ల (29) ' 'వరుస 31 వ అత్యధిక వికెట్లు (11)' 'కెరీర్లో 11 వ అత్యధిక వికెట్లు (74)', '17 వ ఇన్నింగ్స్ (4) లో అత్యధిక వికెట్లు', '8 వ కెరీర్లో అత్యధిక క్యాచ్లు (55)', '21 వ అత్యంత వరుస ఇన్నింగ్స్ లో క్యాచ్లు (3) ',' 16 వ అత్యధిక క్యాచ్లు (9) ',' 16 వ కెరీర్ (19) అత్యంత స్టంపింగ్లు ']</v>
      </c>
      <c r="G2578" s="2" t="s">
        <v>1856</v>
      </c>
      <c r="H2578" s="2" t="str">
        <f>IFERROR(__xludf.DUMMYFUNCTION("IF(G2578&lt;&gt;"""", GOOGLETRANSLATE(G2578, ""en"", ""te""),"""")"),"[ '6 వ కెరీర్ లో బాతులు (20)', 'ఐదవ వికెట్కు 31 అత్యధిక భాగస్వామ్యం (58)', 'ఆరవ వికెట్కు 35 వ అత్యధిక భాగస్వామ్యం (43)', '20 వ అత్యధిక మ్యాచ్లు కెప్టెన్గా (26)', ' వికెట్ను కాపాడుకున్నాడు చేసిన 2 వ కెప్టెన్ల (26) ',' 11 వ కెరీర్ లో అత్యధిక వికెట్లు (40) '"&amp;",' 6 వ ఇన్నింగ్స్ లో (4) ',' 5 వ అత్యధిక క్యాచ్లు కెరీర్లో (25) ',' 5 వ అత్యధిక క్యాచ్లు లో అత్యధిక వికెట్లు ఇన్నింగ్స్ (3) ',' 18 వ కెరీర్ (15) అత్యంత స్టంపింగ్లు ']")</f>
        <v>[ '6 వ కెరీర్ లో బాతులు (20)', 'ఐదవ వికెట్కు 31 అత్యధిక భాగస్వామ్యం (58)', 'ఆరవ వికెట్కు 35 వ అత్యధిక భాగస్వామ్యం (43)', '20 వ అత్యధిక మ్యాచ్లు కెప్టెన్గా (26)', ' వికెట్ను కాపాడుకున్నాడు చేసిన 2 వ కెప్టెన్ల (26) ',' 11 వ కెరీర్ లో అత్యధిక వికెట్లు (40) ',' 6 వ ఇన్నింగ్స్ లో (4) ',' 5 వ అత్యధిక క్యాచ్లు కెరీర్లో (25) ',' 5 వ అత్యధిక క్యాచ్లు లో అత్యధిక వికెట్లు ఇన్నింగ్స్ (3) ',' 18 వ కెరీర్ (15) అత్యంత స్టంపింగ్లు ']</v>
      </c>
      <c r="I2578" s="3"/>
    </row>
    <row r="2579" customHeight="1" spans="1:9">
      <c r="A2579" s="2"/>
      <c r="B2579" s="2" t="str">
        <f>IFERROR(__xludf.DUMMYFUNCTION("IF(A2579&lt;&gt;"""", GOOGLETRANSLATE(A2579, ""en"", ""te""),"""")"),"")</f>
        <v/>
      </c>
      <c r="C2579" s="2"/>
      <c r="D2579" s="2" t="str">
        <f>IFERROR(__xludf.DUMMYFUNCTION("IF(C2579&lt;&gt;"""", GOOGLETRANSLATE(C2579, ""en"", ""te""),"""")"),"")</f>
        <v/>
      </c>
      <c r="E2579" s="2"/>
      <c r="F2579" s="2" t="str">
        <f>IFERROR(__xludf.DUMMYFUNCTION("IF(E2579&lt;&gt;"""", GOOGLETRANSLATE(E2579, ""en"", ""te""),"""")"),"")</f>
        <v/>
      </c>
      <c r="G2579" s="2"/>
      <c r="H2579" s="2" t="str">
        <f>IFERROR(__xludf.DUMMYFUNCTION("IF(G2579&lt;&gt;"""", GOOGLETRANSLATE(G2579, ""en"", ""te""),"""")"),"")</f>
        <v/>
      </c>
      <c r="I2579" s="3"/>
    </row>
    <row r="2580" customHeight="1" spans="1:9">
      <c r="A2580" s="2" t="s">
        <v>1857</v>
      </c>
      <c r="B2580" s="2" t="str">
        <f>IFERROR(__xludf.DUMMYFUNCTION("IF(A2580&lt;&gt;"""", GOOGLETRANSLATE(A2580, ""en"", ""te""),"""")"),"[ '6 వ ఉత్తమ ఆర్థిక వ్యవస్థ ఇన్నింగ్స్లో రేటు (0.35)']")</f>
        <v>[ '6 వ ఉత్తమ ఆర్థిక వ్యవస్థ ఇన్నింగ్స్లో రేటు (0.35)']</v>
      </c>
      <c r="C2580" s="2" t="s">
        <v>1857</v>
      </c>
      <c r="D2580" s="2" t="str">
        <f>IFERROR(__xludf.DUMMYFUNCTION("IF(C2580&lt;&gt;"""", GOOGLETRANSLATE(C2580, ""en"", ""te""),"""")"),"[ '6 వ ఉత్తమ ఆర్థిక వ్యవస్థ ఇన్నింగ్స్లో రేటు (0.35)']")</f>
        <v>[ '6 వ ఉత్తమ ఆర్థిక వ్యవస్థ ఇన్నింగ్స్లో రేటు (0.35)']</v>
      </c>
      <c r="E2580" s="2" t="s">
        <v>832</v>
      </c>
      <c r="F2580" s="2" t="str">
        <f>IFERROR(__xludf.DUMMYFUNCTION("IF(E2580&lt;&gt;"""", GOOGLETRANSLATE(E2580, ""en"", ""te""),"""")"),"[ 'తొలి ఇన్నింగ్స్ 15 వ బెస్ట్ ఫిగర్స్ (3)']")</f>
        <v>[ 'తొలి ఇన్నింగ్స్ 15 వ బెస్ట్ ఫిగర్స్ (3)']</v>
      </c>
      <c r="G2580" s="2"/>
      <c r="H2580" s="2" t="str">
        <f>IFERROR(__xludf.DUMMYFUNCTION("IF(G2580&lt;&gt;"""", GOOGLETRANSLATE(G2580, ""en"", ""te""),"""")"),"")</f>
        <v/>
      </c>
      <c r="I2580" s="3"/>
    </row>
    <row r="2581" customHeight="1" spans="1:9">
      <c r="A2581" s="2" t="s">
        <v>1858</v>
      </c>
      <c r="B2581" s="2" t="str">
        <f>IFERROR(__xludf.DUMMYFUNCTION("IF(A2581&lt;&gt;"""", GOOGLETRANSLATE(A2581, ""en"", ""te""),"""")"),"[ 'ఇన్నింగ్స్ లో 5 వ అత్యధిక పరుగులు (బ్యాటింగ్ స్థానంలో ప్రకారం) (69 *)', '4 వ తొమ్మిదవ వికెట్కు అత్యధిక భాగస్వామ్యం (115)', '9 వ ఉత్తమ కెరీర్ సమ్మె రేటు (14.3)']")</f>
        <v>[ 'ఇన్నింగ్స్ లో 5 వ అత్యధిక పరుగులు (బ్యాటింగ్ స్థానంలో ప్రకారం) (69 *)', '4 వ తొమ్మిదవ వికెట్కు అత్యధిక భాగస్వామ్యం (115)', '9 వ ఉత్తమ కెరీర్ సమ్మె రేటు (14.3)']</v>
      </c>
      <c r="C2581" s="2"/>
      <c r="D2581" s="2" t="str">
        <f>IFERROR(__xludf.DUMMYFUNCTION("IF(C2581&lt;&gt;"""", GOOGLETRANSLATE(C2581, ""en"", ""te""),"""")"),"")</f>
        <v/>
      </c>
      <c r="E2581" s="2" t="s">
        <v>1859</v>
      </c>
      <c r="F2581" s="2" t="str">
        <f>IFERROR(__xludf.DUMMYFUNCTION("IF(E2581&lt;&gt;"""", GOOGLETRANSLATE(E2581, ""en"", ""te""),"""")"),"[ 'ఇన్నింగ్స్ లో 5 వ అత్యధిక పరుగులు (బ్యాటింగ్ స్థానంలో ప్రకారం) (69 *)', '23 వ అత్యధిక కెరీర్ సమ్మె రేటు (104.24)', 'తొమ్మిదవ వికెట్కు 4 వ అత్యధిక భాగస్వామ్యం (115)', '23 వ ఎత్తైన పదవ కొరకు చేసిన భాగస్వామ్యం వికెట్ (57 *) ']")</f>
        <v>[ 'ఇన్నింగ్స్ లో 5 వ అత్యధిక పరుగులు (బ్యాటింగ్ స్థానంలో ప్రకారం) (69 *)', '23 వ అత్యధిక కెరీర్ సమ్మె రేటు (104.24)', 'తొమ్మిదవ వికెట్కు 4 వ అత్యధిక భాగస్వామ్యం (115)', '23 వ ఎత్తైన పదవ కొరకు చేసిన భాగస్వామ్యం వికెట్ (57 *) ']</v>
      </c>
      <c r="G2581" s="2" t="s">
        <v>1860</v>
      </c>
      <c r="H2581" s="2" t="str">
        <f>IFERROR(__xludf.DUMMYFUNCTION("IF(G2581&lt;&gt;"""", GOOGLETRANSLATE(G2581, ""en"", ""te""),"""")"),"[ '32 వ కెరీర్ లో బాతులు (18)', '45 వ ఉత్తమ ఇన్నింగ్స్ లో సంఖ్యలు (5/27)', '9 వ ఉత్తమ కెరీర్ సమ్మె రేటు (14.3)', '37 వ 18 వ సగటు (19.00) బౌలింగ్ ఉత్తమ కెరీర్లో' చెత్త కెరీర్లో ఆర్థిక రేటు (7.96) ',' 17 వ బౌలర్ / బ్యాట్స్ కలయికలు (3) ',' 14 వ అత్యధిక వికెట"&amp;"్లు క్యాచ్ మరియు బౌల్డ్ తీసుకోకూడదు (3) ',' 43 వ అత్యధిక వికెట్లు ఒక ఫీల్డర్ చేత క్యాచ్ తీసుకున్న (26) ']")</f>
        <v>[ '32 వ కెరీర్ లో బాతులు (18)', '45 వ ఉత్తమ ఇన్నింగ్స్ లో సంఖ్యలు (5/27)', '9 వ ఉత్తమ కెరీర్ సమ్మె రేటు (14.3)', '37 వ 18 వ సగటు (19.00) బౌలింగ్ ఉత్తమ కెరీర్లో' చెత్త కెరీర్లో ఆర్థిక రేటు (7.96) ',' 17 వ బౌలర్ / బ్యాట్స్ కలయికలు (3) ',' 14 వ అత్యధిక వికెట్లు క్యాచ్ మరియు బౌల్డ్ తీసుకోకూడదు (3) ',' 43 వ అత్యధిక వికెట్లు ఒక ఫీల్డర్ చేత క్యాచ్ తీసుకున్న (26) ']</v>
      </c>
      <c r="I2581" s="3"/>
    </row>
    <row r="2582" customHeight="1" spans="1:9">
      <c r="A2582" s="2"/>
      <c r="B2582" s="2" t="str">
        <f>IFERROR(__xludf.DUMMYFUNCTION("IF(A2582&lt;&gt;"""", GOOGLETRANSLATE(A2582, ""en"", ""te""),"""")"),"")</f>
        <v/>
      </c>
      <c r="C2582" s="2"/>
      <c r="D2582" s="2" t="str">
        <f>IFERROR(__xludf.DUMMYFUNCTION("IF(C2582&lt;&gt;"""", GOOGLETRANSLATE(C2582, ""en"", ""te""),"""")"),"")</f>
        <v/>
      </c>
      <c r="E2582" s="2"/>
      <c r="F2582" s="2" t="str">
        <f>IFERROR(__xludf.DUMMYFUNCTION("IF(E2582&lt;&gt;"""", GOOGLETRANSLATE(E2582, ""en"", ""te""),"""")"),"")</f>
        <v/>
      </c>
      <c r="G2582" s="2"/>
      <c r="H2582" s="2" t="str">
        <f>IFERROR(__xludf.DUMMYFUNCTION("IF(G2582&lt;&gt;"""", GOOGLETRANSLATE(G2582, ""en"", ""te""),"""")"),"")</f>
        <v/>
      </c>
      <c r="I2582" s="3"/>
    </row>
    <row r="2583" customHeight="1" spans="1:9">
      <c r="A2583" s="2"/>
      <c r="B2583" s="2" t="str">
        <f>IFERROR(__xludf.DUMMYFUNCTION("IF(A2583&lt;&gt;"""", GOOGLETRANSLATE(A2583, ""en"", ""te""),"""")"),"")</f>
        <v/>
      </c>
      <c r="C2583" s="2"/>
      <c r="D2583" s="2" t="str">
        <f>IFERROR(__xludf.DUMMYFUNCTION("IF(C2583&lt;&gt;"""", GOOGLETRANSLATE(C2583, ""en"", ""te""),"""")"),"")</f>
        <v/>
      </c>
      <c r="E2583" s="2"/>
      <c r="F2583" s="2" t="str">
        <f>IFERROR(__xludf.DUMMYFUNCTION("IF(E2583&lt;&gt;"""", GOOGLETRANSLATE(E2583, ""en"", ""te""),"""")"),"")</f>
        <v/>
      </c>
      <c r="G2583" s="2"/>
      <c r="H2583" s="2" t="str">
        <f>IFERROR(__xludf.DUMMYFUNCTION("IF(G2583&lt;&gt;"""", GOOGLETRANSLATE(G2583, ""en"", ""te""),"""")"),"")</f>
        <v/>
      </c>
      <c r="I2583" s="3"/>
    </row>
    <row r="2584" customHeight="1" spans="1:9">
      <c r="A2584" s="2" t="s">
        <v>1861</v>
      </c>
      <c r="B2584" s="2" t="str">
        <f>IFERROR(__xludf.DUMMYFUNCTION("IF(A2584&lt;&gt;"""", GOOGLETRANSLATE(A2584, ""en"", ""te""),"""")"),"[ 'ఇన్నింగ్స్ లో 4 వ అత్యధిక క్యాచ్లు (3)', 'ఏడవ వికెట్కు 5 వ అత్యధిక భాగస్వామ్యం (87)', '3 వ అత్యంత పరాజయం వైపు (93) ఒక మ్యాచ్లో నడుస్తుంది']")</f>
        <v>[ 'ఇన్నింగ్స్ లో 4 వ అత్యధిక క్యాచ్లు (3)', 'ఏడవ వికెట్కు 5 వ అత్యధిక భాగస్వామ్యం (87)', '3 వ అత్యంత పరాజయం వైపు (93) ఒక మ్యాచ్లో నడుస్తుంది']</v>
      </c>
      <c r="C2584" s="2"/>
      <c r="D2584" s="2" t="str">
        <f>IFERROR(__xludf.DUMMYFUNCTION("IF(C2584&lt;&gt;"""", GOOGLETRANSLATE(C2584, ""en"", ""te""),"""")"),"")</f>
        <v/>
      </c>
      <c r="E2584" s="2" t="s">
        <v>1862</v>
      </c>
      <c r="F2584" s="2" t="str">
        <f>IFERROR(__xludf.DUMMYFUNCTION("IF(E2584&lt;&gt;"""", GOOGLETRANSLATE(E2584, ""en"", ""te""),"""")"),"[ '15 వ ఇన్నింగ్స్ లో అత్యధిక పరుగులు (బ్యాటింగ్ స్థానంలో ప్రకారం) (62 *)', 'వరుస 11 వ అత్యధిక వికెట్లు (24)', '43 వ చెత్త కెరీర్లో ఆర్థిక రేటు (4.10)', '4 వ ఇన్నింగ్స్ లో అత్యధిక క్యాచ్లు ( 3) ',' 5 వ ఏడవ వికెట్కు అత్యధిక భాగస్వామ్యం (87) ']")</f>
        <v>[ '15 వ ఇన్నింగ్స్ లో అత్యధిక పరుగులు (బ్యాటింగ్ స్థానంలో ప్రకారం) (62 *)', 'వరుస 11 వ అత్యధిక వికెట్లు (24)', '43 వ చెత్త కెరీర్లో ఆర్థిక రేటు (4.10)', '4 వ ఇన్నింగ్స్ లో అత్యధిక క్యాచ్లు ( 3) ',' 5 వ ఏడవ వికెట్కు అత్యధిక భాగస్వామ్యం (87) ']</v>
      </c>
      <c r="G2584" s="2" t="s">
        <v>1863</v>
      </c>
      <c r="H2584" s="2" t="str">
        <f>IFERROR(__xludf.DUMMYFUNCTION("IF(G2584&lt;&gt;"""", GOOGLETRANSLATE(G2584, ""en"", ""te""),"""")"),"[ '47 వ కెరీర్ లో అత్యధిక పరుగులు (813)', '32 వ అత్యంత ఇన్నింగ్స్ లో పరుగులు (93)', '3 వ అత్యంత ఇన్నింగ్స్ లో నడుస్తుంది (బ్యాటింగ్ స్థానం) (73 *)', '3 వ అత్యంత ఒక మ్యాచ్లో నడుస్తుంది పరాజయం వైపు (93) ',' 26 వ అధిక అర్ధ కెరీర్లో (4) ',' 22 వ ఒక క్యాలెండర"&amp;"్ సంవత్సరంలో అత్యధిక వికెట్లు (20) ',' ఇన్నింగ్స్ లో 33 వ చెత్త ఆర్థిక రేటు (14.50) ',' 40 వ అత్యధిక కొరకు చేసిన భాగస్వామ్యం మూడో వికెట్ (79) ',' ఐదవ వికెట్ (71 *) 13 వ అత్యధిక భాగస్వామ్యం ',' ఆరవ వికెట్ (44) 30 వ అత్యధిక భాగస్వామ్యం ']")</f>
        <v>[ '47 వ కెరీర్ లో అత్యధిక పరుగులు (813)', '32 వ అత్యంత ఇన్నింగ్స్ లో పరుగులు (93)', '3 వ అత్యంత ఇన్నింగ్స్ లో నడుస్తుంది (బ్యాటింగ్ స్థానం) (73 *)', '3 వ అత్యంత ఒక మ్యాచ్లో నడుస్తుంది పరాజయం వైపు (93) ',' 26 వ అధిక అర్ధ కెరీర్లో (4) ',' 22 వ ఒక క్యాలెండర్ సంవత్సరంలో అత్యధిక వికెట్లు (20) ',' ఇన్నింగ్స్ లో 33 వ చెత్త ఆర్థిక రేటు (14.50) ',' 40 వ అత్యధిక కొరకు చేసిన భాగస్వామ్యం మూడో వికెట్ (79) ',' ఐదవ వికెట్ (71 *) 13 వ అత్యధిక భాగస్వామ్యం ',' ఆరవ వికెట్ (44) 30 వ అత్యధిక భాగస్వామ్యం ']</v>
      </c>
      <c r="I2584" s="3"/>
    </row>
    <row r="2585" customHeight="1" spans="1:9">
      <c r="A2585" s="2"/>
      <c r="B2585" s="2" t="str">
        <f>IFERROR(__xludf.DUMMYFUNCTION("IF(A2585&lt;&gt;"""", GOOGLETRANSLATE(A2585, ""en"", ""te""),"""")"),"")</f>
        <v/>
      </c>
      <c r="C2585" s="2"/>
      <c r="D2585" s="2" t="str">
        <f>IFERROR(__xludf.DUMMYFUNCTION("IF(C2585&lt;&gt;"""", GOOGLETRANSLATE(C2585, ""en"", ""te""),"""")"),"")</f>
        <v/>
      </c>
      <c r="E2585" s="2"/>
      <c r="F2585" s="2" t="str">
        <f>IFERROR(__xludf.DUMMYFUNCTION("IF(E2585&lt;&gt;"""", GOOGLETRANSLATE(E2585, ""en"", ""te""),"""")"),"")</f>
        <v/>
      </c>
      <c r="G2585" s="2"/>
      <c r="H2585" s="2" t="str">
        <f>IFERROR(__xludf.DUMMYFUNCTION("IF(G2585&lt;&gt;"""", GOOGLETRANSLATE(G2585, ""en"", ""te""),"""")"),"")</f>
        <v/>
      </c>
      <c r="I2585" s="3"/>
    </row>
    <row r="2586" customHeight="1" spans="1:9">
      <c r="A2586" s="2" t="s">
        <v>1864</v>
      </c>
      <c r="B2586" s="2" t="str">
        <f>IFERROR(__xludf.DUMMYFUNCTION("IF(A2586&lt;&gt;"""", GOOGLETRANSLATE(A2586, ""en"", ""te""),"""")"),"[ 'ఇన్నింగ్స్ లో 1 వ ఉత్తమ ఆర్థిక రేటు (0.09)', '10th ఒక వికెట్ కీపర్ చే కాట్ తీసుకున్న అత్యధిక వికెట్లు (6)', '10 వ కెరీర్ లో అత్యంత తొంభైల (2)', ఒక ఇన్నింగ్స్ లో '4th ఉత్తమ ఆర్థిక రేటు (0.14) ',' 1 వ ఇన్నింగ్స్ లో అత్యధిక క్యాచ్లు (4) ',' బ్యాటింగ్ తెర"&amp;"వడం మరియు అదే మ్యాచ్ లో బౌలింగ్ ']")</f>
        <v>[ 'ఇన్నింగ్స్ లో 1 వ ఉత్తమ ఆర్థిక రేటు (0.09)', '10th ఒక వికెట్ కీపర్ చే కాట్ తీసుకున్న అత్యధిక వికెట్లు (6)', '10 వ కెరీర్ లో అత్యంత తొంభైల (2)', ఒక ఇన్నింగ్స్ లో '4th ఉత్తమ ఆర్థిక రేటు (0.14) ',' 1 వ ఇన్నింగ్స్ లో అత్యధిక క్యాచ్లు (4) ',' బ్యాటింగ్ తెరవడం మరియు అదే మ్యాచ్ లో బౌలింగ్ ']</v>
      </c>
      <c r="C2586" s="2" t="s">
        <v>1865</v>
      </c>
      <c r="D2586" s="2" t="str">
        <f>IFERROR(__xludf.DUMMYFUNCTION("IF(C2586&lt;&gt;"""", GOOGLETRANSLATE(C2586, ""en"", ""te""),"""")"),"[ '49 వ కెరీర్ లో అత్యధిక వికెట్లు (20)', '17 వ ఉత్తమ కెరీర్ ఆర్థిక రేటు (1.56)', 'ఇన్నింగ్స్ లో 1 వ ఉత్తమ ఆర్థిక రేటు (0.09)', '25 వ చెత్త కెరీర్లో సమ్మె రేటు (97.8)', '33 వ అత్యంత కెరీర్లో బౌల్ చేయబడిన బంతులలో (1956) ',' 10 వ అత్యధిక వికెట్లు బృందం (12)"&amp;" కోసం ఒక వికెట్ (6) ',' 23 వ వరుస మ్యాచ్లు పట్టుకుంటే తీసిన]")</f>
        <v>[ '49 వ కెరీర్ లో అత్యధిక వికెట్లు (20)', '17 వ ఉత్తమ కెరీర్ ఆర్థిక రేటు (1.56)', 'ఇన్నింగ్స్ లో 1 వ ఉత్తమ ఆర్థిక రేటు (0.09)', '25 వ చెత్త కెరీర్లో సమ్మె రేటు (97.8)', '33 వ అత్యంత కెరీర్లో బౌల్ చేయబడిన బంతులలో (1956) ',' 10 వ అత్యధిక వికెట్లు బృందం (12) కోసం ఒక వికెట్ (6) ',' 23 వ వరుస మ్యాచ్లు పట్టుకుంటే తీసిన]</v>
      </c>
      <c r="E2586" s="2" t="s">
        <v>1866</v>
      </c>
      <c r="F2586" s="2" t="str">
        <f>IFERROR(__xludf.DUMMYFUNCTION("IF(E2586&lt;&gt;"""", GOOGLETRANSLATE(E2586, ""en"", ""te""),"""")"),"[ 'వంద (1099) లేకుండా 25th ఒక జీవితంలో అత్యధిక పరుగులు' '10 వ కెరీర్ లో అత్యంత తొంభైల (2)', '14 వ అత్యంత ఇన్నింగ్స్ తొలి డక్ (24) ముందు' '34 వ ఉత్తమ కెరీర్ బౌలింగ్ సరాసరి (19.15)', '24 వ ఉత్తమ కెరీర్ ఆర్థిక రేటు (2.65)', 'ఇన్నింగ్స్ లో 4 వ ఉత్తమ ఆర్థిక ర"&amp;"ేటు (0.14)', '48 వ కెరీర్ (2773) లో బౌల్డ్ చాలా బంతుల్లో', '13 వ అత్యధిక వికెట్లు తీసుకున్న బౌల్డ్ (29)', '1st చాలా ఒక ఇన్నింగ్స్ లో క్యాచ్లు (4) ఆరవ వికెట్కు ',' 47 వ అత్యధిక భాగస్వామ్యం (65) ',' 39 వ లాంగెస్ట్ కెరీర్లు (13y 340d) ']")</f>
        <v>[ 'వంద (1099) లేకుండా 25th ఒక జీవితంలో అత్యధిక పరుగులు' '10 వ కెరీర్ లో అత్యంత తొంభైల (2)', '14 వ అత్యంత ఇన్నింగ్స్ తొలి డక్ (24) ముందు' '34 వ ఉత్తమ కెరీర్ బౌలింగ్ సరాసరి (19.15)', '24 వ ఉత్తమ కెరీర్ ఆర్థిక రేటు (2.65)', 'ఇన్నింగ్స్ లో 4 వ ఉత్తమ ఆర్థిక రేటు (0.14)', '48 వ కెరీర్ (2773) లో బౌల్డ్ చాలా బంతుల్లో', '13 వ అత్యధిక వికెట్లు తీసుకున్న బౌల్డ్ (29)', '1st చాలా ఒక ఇన్నింగ్స్ లో క్యాచ్లు (4) ఆరవ వికెట్కు ',' 47 వ అత్యధిక భాగస్వామ్యం (65) ',' 39 వ లాంగెస్ట్ కెరీర్లు (13y 340d) ']</v>
      </c>
      <c r="G2586" s="2"/>
      <c r="H2586" s="2" t="str">
        <f>IFERROR(__xludf.DUMMYFUNCTION("IF(G2586&lt;&gt;"""", GOOGLETRANSLATE(G2586, ""en"", ""te""),"""")"),"")</f>
        <v/>
      </c>
      <c r="I2586" s="3"/>
    </row>
    <row r="2587" customHeight="1" spans="1:9">
      <c r="A2587" s="2"/>
      <c r="B2587" s="2" t="str">
        <f>IFERROR(__xludf.DUMMYFUNCTION("IF(A2587&lt;&gt;"""", GOOGLETRANSLATE(A2587, ""en"", ""te""),"""")"),"")</f>
        <v/>
      </c>
      <c r="C2587" s="2"/>
      <c r="D2587" s="2" t="str">
        <f>IFERROR(__xludf.DUMMYFUNCTION("IF(C2587&lt;&gt;"""", GOOGLETRANSLATE(C2587, ""en"", ""te""),"""")"),"")</f>
        <v/>
      </c>
      <c r="E2587" s="2"/>
      <c r="F2587" s="2" t="str">
        <f>IFERROR(__xludf.DUMMYFUNCTION("IF(E2587&lt;&gt;"""", GOOGLETRANSLATE(E2587, ""en"", ""te""),"""")"),"")</f>
        <v/>
      </c>
      <c r="G2587" s="2"/>
      <c r="H2587" s="2" t="str">
        <f>IFERROR(__xludf.DUMMYFUNCTION("IF(G2587&lt;&gt;"""", GOOGLETRANSLATE(G2587, ""en"", ""te""),"""")"),"")</f>
        <v/>
      </c>
      <c r="I2587" s="3"/>
    </row>
    <row r="2588" customHeight="1" spans="1:9">
      <c r="A2588" s="2" t="s">
        <v>1867</v>
      </c>
      <c r="B2588" s="2" t="str">
        <f>IFERROR(__xludf.DUMMYFUNCTION("IF(A2588&lt;&gt;"""", GOOGLETRANSLATE(A2588, ""en"", ""te""),"""")"),"[ 'ఒక మ్యాచ్లో 5 వ ఉత్తమ బొమ్మలు (10)', 'కెప్టెన్సీ ప్రవేశం (34y 135d) 9 వ ఓల్డెస్ట్ కెప్టెన్లు', '2 వ వరుస ఐదు వికెట్ల లో-ఒక-ఇన్నింగ్స్ (2)', '9 వ అత్యంత బంతుల్లో బౌల్డ్ ఒక మ్యాచ్ (448) ',' 4 వ అత్యధిక క్యాచ్లు ఒక ఇన్నింగ్స్ లో (3) ']")</f>
        <v>[ 'ఒక మ్యాచ్లో 5 వ ఉత్తమ బొమ్మలు (10)', 'కెప్టెన్సీ ప్రవేశం (34y 135d) 9 వ ఓల్డెస్ట్ కెప్టెన్లు', '2 వ వరుస ఐదు వికెట్ల లో-ఒక-ఇన్నింగ్స్ (2)', '9 వ అత్యంత బంతుల్లో బౌల్డ్ ఒక మ్యాచ్ (448) ',' 4 వ అత్యధిక క్యాచ్లు ఒక ఇన్నింగ్స్ లో (3) ']</v>
      </c>
      <c r="C2588" s="2" t="s">
        <v>1868</v>
      </c>
      <c r="D2588" s="2" t="str">
        <f>IFERROR(__xludf.DUMMYFUNCTION("IF(C2588&lt;&gt;"""", GOOGLETRANSLATE(C2588, ""en"", ""te""),"""")"),"[ '41 వ కెరీర్ లో అత్యధిక వికెట్లు (22)', '5 వ మ్యాచ్ లో బెస్ట్ ఫిగర్స్ (10)', '18 వ ఒక సిరీస్లో అత్యధిక వికెట్లు (16)', '14 వ ఒకే మైదానంలో అత్యధిక వికెట్లు (10)', ' 38 వ ఉత్తమ కెరీర్ బౌలింగ్ సరాసరి (23.09) ',' 32 వ ఉత్తమ కెరీర్ ఆర్థిక రేటు (1.68) ',' 11"&amp;" వ అత్యంత ఐదు-వికెట్ల లో-ఒక-ఇన్నింగ్స్ కెరీర్లో (2) ',' 2 వ అత్యంత పది వికెట్ల తేడాతో in- ఒక వృత్తిలో ఒక మ్యాచ్ (1) ',' 2 వ వరుస ఐదు వికెట్ల లో-ఒక-ఇన్నింగ్స్ (2) ',' 3 వ పిన్న ఆటగాడు పది వికెట్లు లో ఒక మ్యాచ్ తీసుకోవాలని (27y 17d) ', 'కెరీర్ లో బౌల్డ్ 41 "&amp;"వ అత్యంత బంతుల్లో (1808)', '9 వ మ్యాచ్లో బౌల్డ్ చాలా బంతుల్లో (448)', '12 వ బౌలర్ / బ్యాట్స్ కలయికలు (4)', 'కెప్టెన్సీ ప్రవేశం (34y 135d) 9 వ ఓల్డెస్ట్ కెప్టెన్లు']")</f>
        <v>[ '41 వ కెరీర్ లో అత్యధిక వికెట్లు (22)', '5 వ మ్యాచ్ లో బెస్ట్ ఫిగర్స్ (10)', '18 వ ఒక సిరీస్లో అత్యధిక వికెట్లు (16)', '14 వ ఒకే మైదానంలో అత్యధిక వికెట్లు (10)', ' 38 వ ఉత్తమ కెరీర్ బౌలింగ్ సరాసరి (23.09) ',' 32 వ ఉత్తమ కెరీర్ ఆర్థిక రేటు (1.68) ',' 11 వ అత్యంత ఐదు-వికెట్ల లో-ఒక-ఇన్నింగ్స్ కెరీర్లో (2) ',' 2 వ అత్యంత పది వికెట్ల తేడాతో in- ఒక వృత్తిలో ఒక మ్యాచ్ (1) ',' 2 వ వరుస ఐదు వికెట్ల లో-ఒక-ఇన్నింగ్స్ (2) ',' 3 వ పిన్న ఆటగాడు పది వికెట్లు లో ఒక మ్యాచ్ తీసుకోవాలని (27y 17d) ', 'కెరీర్ లో బౌల్డ్ 41 వ అత్యంత బంతుల్లో (1808)', '9 వ మ్యాచ్లో బౌల్డ్ చాలా బంతుల్లో (448)', '12 వ బౌలర్ / బ్యాట్స్ కలయికలు (4)', 'కెప్టెన్సీ ప్రవేశం (34y 135d) 9 వ ఓల్డెస్ట్ కెప్టెన్లు']</v>
      </c>
      <c r="E2588" s="2" t="s">
        <v>1869</v>
      </c>
      <c r="F2588" s="2" t="str">
        <f>IFERROR(__xludf.DUMMYFUNCTION("IF(E2588&lt;&gt;"""", GOOGLETRANSLATE(E2588, ""en"", ""te""),"""")"),"[ 'ఇన్నింగ్స్ లో 4 వ అత్యధిక క్యాచ్లు (3)', 'కెప్టెన్సీ తొలి 15 నాడు ఓల్డెస్ట్ కాప్టెన్ (34y 221d)']")</f>
        <v>[ 'ఇన్నింగ్స్ లో 4 వ అత్యధిక క్యాచ్లు (3)', 'కెప్టెన్సీ తొలి 15 నాడు ఓల్డెస్ట్ కాప్టెన్ (34y 221d)']</v>
      </c>
      <c r="G2588" s="2"/>
      <c r="H2588" s="2" t="str">
        <f>IFERROR(__xludf.DUMMYFUNCTION("IF(G2588&lt;&gt;"""", GOOGLETRANSLATE(G2588, ""en"", ""te""),"""")"),"")</f>
        <v/>
      </c>
      <c r="I2588" s="3"/>
    </row>
    <row r="2589" customHeight="1" spans="1:9">
      <c r="A2589" s="2" t="s">
        <v>1870</v>
      </c>
      <c r="B2589" s="2" t="str">
        <f>IFERROR(__xludf.DUMMYFUNCTION("IF(A2589&lt;&gt;"""", GOOGLETRANSLATE(A2589, ""en"", ""te""),"""")"),"[ '3 వ భాగం (బ్యాటింగ్ స్థానంలో ద్వారా) ఒక ఇన్నింగ్స్ లో నడుస్తుంది (133)', 'ఎనిమిదవ వికెట్ (181) 1 వ అత్యధిక భాగస్వామ్యం']")</f>
        <v>[ '3 వ భాగం (బ్యాటింగ్ స్థానంలో ద్వారా) ఒక ఇన్నింగ్స్ లో నడుస్తుంది (133)', 'ఎనిమిదవ వికెట్ (181) 1 వ అత్యధిక భాగస్వామ్యం']</v>
      </c>
      <c r="C2589" s="2" t="s">
        <v>1871</v>
      </c>
      <c r="D2589" s="2" t="str">
        <f>IFERROR(__xludf.DUMMYFUNCTION("IF(C2589&lt;&gt;"""", GOOGLETRANSLATE(C2589, ""en"", ""te""),"""")"),"[ '30 వ ఇన్నింగ్స్ (133) అత్యధిక పరుగులు' '3 వ అత్యంత ఇన్నింగ్స్ లో నడుస్తుంది (బ్యాటింగ్ స్థానం) (133)', '21 వ అత్యధిక తొలి వంద (133) ',' ఏ వికెట్కు 12 వ అత్యధిక భాగస్వామ్యాల (181) ',' వికెట్ తేడాతో 8 వ అత్యధిక భాగస్వామ్యాల (8 వ) ',' ఎనిమిదవ వికెట్ (181)"&amp;" 1 వ అత్యధిక భాగస్వామ్యం ']")</f>
        <v>[ '30 వ ఇన్నింగ్స్ (133) అత్యధిక పరుగులు' '3 వ అత్యంత ఇన్నింగ్స్ లో నడుస్తుంది (బ్యాటింగ్ స్థానం) (133)', '21 వ అత్యధిక తొలి వంద (133) ',' ఏ వికెట్కు 12 వ అత్యధిక భాగస్వామ్యాల (181) ',' వికెట్ తేడాతో 8 వ అత్యధిక భాగస్వామ్యాల (8 వ) ',' ఎనిమిదవ వికెట్ (181) 1 వ అత్యధిక భాగస్వామ్యం ']</v>
      </c>
      <c r="E2589" s="2" t="s">
        <v>832</v>
      </c>
      <c r="F2589" s="2" t="str">
        <f>IFERROR(__xludf.DUMMYFUNCTION("IF(E2589&lt;&gt;"""", GOOGLETRANSLATE(E2589, ""en"", ""te""),"""")"),"[ 'తొలి ఇన్నింగ్స్ 15 వ బెస్ట్ ఫిగర్స్ (3)']")</f>
        <v>[ 'తొలి ఇన్నింగ్స్ 15 వ బెస్ట్ ఫిగర్స్ (3)']</v>
      </c>
      <c r="G2589" s="2"/>
      <c r="H2589" s="2" t="str">
        <f>IFERROR(__xludf.DUMMYFUNCTION("IF(G2589&lt;&gt;"""", GOOGLETRANSLATE(G2589, ""en"", ""te""),"""")"),"")</f>
        <v/>
      </c>
      <c r="I2589" s="3"/>
    </row>
    <row r="2590" customHeight="1" spans="1:9">
      <c r="A2590" s="2"/>
      <c r="B2590" s="2" t="str">
        <f>IFERROR(__xludf.DUMMYFUNCTION("IF(A2590&lt;&gt;"""", GOOGLETRANSLATE(A2590, ""en"", ""te""),"""")"),"")</f>
        <v/>
      </c>
      <c r="C2590" s="2"/>
      <c r="D2590" s="2" t="str">
        <f>IFERROR(__xludf.DUMMYFUNCTION("IF(C2590&lt;&gt;"""", GOOGLETRANSLATE(C2590, ""en"", ""te""),"""")"),"")</f>
        <v/>
      </c>
      <c r="E2590" s="2"/>
      <c r="F2590" s="2" t="str">
        <f>IFERROR(__xludf.DUMMYFUNCTION("IF(E2590&lt;&gt;"""", GOOGLETRANSLATE(E2590, ""en"", ""te""),"""")"),"")</f>
        <v/>
      </c>
      <c r="G2590" s="2"/>
      <c r="H2590" s="2" t="str">
        <f>IFERROR(__xludf.DUMMYFUNCTION("IF(G2590&lt;&gt;"""", GOOGLETRANSLATE(G2590, ""en"", ""te""),"""")"),"")</f>
        <v/>
      </c>
      <c r="I2590" s="3"/>
    </row>
    <row r="2591" customHeight="1" spans="1:9">
      <c r="A2591" s="2"/>
      <c r="B2591" s="2" t="str">
        <f>IFERROR(__xludf.DUMMYFUNCTION("IF(A2591&lt;&gt;"""", GOOGLETRANSLATE(A2591, ""en"", ""te""),"""")"),"")</f>
        <v/>
      </c>
      <c r="C2591" s="2"/>
      <c r="D2591" s="2" t="str">
        <f>IFERROR(__xludf.DUMMYFUNCTION("IF(C2591&lt;&gt;"""", GOOGLETRANSLATE(C2591, ""en"", ""te""),"""")"),"")</f>
        <v/>
      </c>
      <c r="E2591" s="2"/>
      <c r="F2591" s="2" t="str">
        <f>IFERROR(__xludf.DUMMYFUNCTION("IF(E2591&lt;&gt;"""", GOOGLETRANSLATE(E2591, ""en"", ""te""),"""")"),"")</f>
        <v/>
      </c>
      <c r="G2591" s="2"/>
      <c r="H2591" s="2" t="str">
        <f>IFERROR(__xludf.DUMMYFUNCTION("IF(G2591&lt;&gt;"""", GOOGLETRANSLATE(G2591, ""en"", ""te""),"""")"),"")</f>
        <v/>
      </c>
      <c r="I2591" s="3"/>
    </row>
    <row r="2592" customHeight="1" spans="1:9">
      <c r="A2592" s="2"/>
      <c r="B2592" s="2" t="str">
        <f>IFERROR(__xludf.DUMMYFUNCTION("IF(A2592&lt;&gt;"""", GOOGLETRANSLATE(A2592, ""en"", ""te""),"""")"),"")</f>
        <v/>
      </c>
      <c r="C2592" s="2"/>
      <c r="D2592" s="2" t="str">
        <f>IFERROR(__xludf.DUMMYFUNCTION("IF(C2592&lt;&gt;"""", GOOGLETRANSLATE(C2592, ""en"", ""te""),"""")"),"")</f>
        <v/>
      </c>
      <c r="E2592" s="2"/>
      <c r="F2592" s="2" t="str">
        <f>IFERROR(__xludf.DUMMYFUNCTION("IF(E2592&lt;&gt;"""", GOOGLETRANSLATE(E2592, ""en"", ""te""),"""")"),"")</f>
        <v/>
      </c>
      <c r="G2592" s="2"/>
      <c r="H2592" s="2" t="str">
        <f>IFERROR(__xludf.DUMMYFUNCTION("IF(G2592&lt;&gt;"""", GOOGLETRANSLATE(G2592, ""en"", ""te""),"""")"),"")</f>
        <v/>
      </c>
      <c r="I2592" s="3"/>
    </row>
    <row r="2593" customHeight="1" spans="1:9">
      <c r="A2593" s="2" t="s">
        <v>1872</v>
      </c>
      <c r="B2593" s="2" t="str">
        <f>IFERROR(__xludf.DUMMYFUNCTION("IF(A2593&lt;&gt;"""", GOOGLETRANSLATE(A2593, ""en"", ""te""),"""")"),"[ 'వరుస 1 వ అత్యధిక క్యాచ్లు (15)', 'బ్యాటింగ్ తెరవడం మరియు అదే మ్యాచ్ లో బౌలింగ్']")</f>
        <v>[ 'వరుస 1 వ అత్యధిక క్యాచ్లు (15)', 'బ్యాటింగ్ తెరవడం మరియు అదే మ్యాచ్ లో బౌలింగ్']</v>
      </c>
      <c r="C2593" s="2" t="s">
        <v>1873</v>
      </c>
      <c r="D2593" s="2" t="str">
        <f>IFERROR(__xludf.DUMMYFUNCTION("IF(C2593&lt;&gt;"""", GOOGLETRANSLATE(C2593, ""en"", ""te""),"""")"),"[ '16 వ ఇన్నింగ్స్ లో అత్యధిక పరుగులు (బ్యాటింగ్ స్థానంలో ప్రకారం) (100)', '50 వికెట్లు (11) వేగంగా 41 వ' 'ఒక మ్యాచ్లో 8 వ అత్యధిక క్యాచ్లు (6)', '1st ఒక సిరీస్లో అత్యధిక క్యాచ్లు (15 ) ']")</f>
        <v>[ '16 వ ఇన్నింగ్స్ లో అత్యధిక పరుగులు (బ్యాటింగ్ స్థానంలో ప్రకారం) (100)', '50 వికెట్లు (11) వేగంగా 41 వ' 'ఒక మ్యాచ్లో 8 వ అత్యధిక క్యాచ్లు (6)', '1st ఒక సిరీస్లో అత్యధిక క్యాచ్లు (15 ) ']</v>
      </c>
      <c r="E2593" s="2"/>
      <c r="F2593" s="2" t="str">
        <f>IFERROR(__xludf.DUMMYFUNCTION("IF(E2593&lt;&gt;"""", GOOGLETRANSLATE(E2593, ""en"", ""te""),"""")"),"")</f>
        <v/>
      </c>
      <c r="G2593" s="2"/>
      <c r="H2593" s="2" t="str">
        <f>IFERROR(__xludf.DUMMYFUNCTION("IF(G2593&lt;&gt;"""", GOOGLETRANSLATE(G2593, ""en"", ""te""),"""")"),"")</f>
        <v/>
      </c>
      <c r="I2593" s="3"/>
    </row>
    <row r="2594" customHeight="1" spans="1:9">
      <c r="A2594" s="2"/>
      <c r="B2594" s="2" t="str">
        <f>IFERROR(__xludf.DUMMYFUNCTION("IF(A2594&lt;&gt;"""", GOOGLETRANSLATE(A2594, ""en"", ""te""),"""")"),"")</f>
        <v/>
      </c>
      <c r="C2594" s="2"/>
      <c r="D2594" s="2" t="str">
        <f>IFERROR(__xludf.DUMMYFUNCTION("IF(C2594&lt;&gt;"""", GOOGLETRANSLATE(C2594, ""en"", ""te""),"""")"),"")</f>
        <v/>
      </c>
      <c r="E2594" s="2"/>
      <c r="F2594" s="2" t="str">
        <f>IFERROR(__xludf.DUMMYFUNCTION("IF(E2594&lt;&gt;"""", GOOGLETRANSLATE(E2594, ""en"", ""te""),"""")"),"")</f>
        <v/>
      </c>
      <c r="G2594" s="2"/>
      <c r="H2594" s="2" t="str">
        <f>IFERROR(__xludf.DUMMYFUNCTION("IF(G2594&lt;&gt;"""", GOOGLETRANSLATE(G2594, ""en"", ""te""),"""")"),"")</f>
        <v/>
      </c>
      <c r="I2594" s="3"/>
    </row>
    <row r="2595" customHeight="1" spans="1:9">
      <c r="A2595" s="2"/>
      <c r="B2595" s="2" t="str">
        <f>IFERROR(__xludf.DUMMYFUNCTION("IF(A2595&lt;&gt;"""", GOOGLETRANSLATE(A2595, ""en"", ""te""),"""")"),"")</f>
        <v/>
      </c>
      <c r="C2595" s="2"/>
      <c r="D2595" s="2" t="str">
        <f>IFERROR(__xludf.DUMMYFUNCTION("IF(C2595&lt;&gt;"""", GOOGLETRANSLATE(C2595, ""en"", ""te""),"""")"),"")</f>
        <v/>
      </c>
      <c r="E2595" s="2"/>
      <c r="F2595" s="2" t="str">
        <f>IFERROR(__xludf.DUMMYFUNCTION("IF(E2595&lt;&gt;"""", GOOGLETRANSLATE(E2595, ""en"", ""te""),"""")"),"")</f>
        <v/>
      </c>
      <c r="G2595" s="2"/>
      <c r="H2595" s="2" t="str">
        <f>IFERROR(__xludf.DUMMYFUNCTION("IF(G2595&lt;&gt;"""", GOOGLETRANSLATE(G2595, ""en"", ""te""),"""")"),"")</f>
        <v/>
      </c>
      <c r="I2595" s="3"/>
    </row>
    <row r="2596" customHeight="1" spans="1:9">
      <c r="A2596" s="2"/>
      <c r="B2596" s="2" t="str">
        <f>IFERROR(__xludf.DUMMYFUNCTION("IF(A2596&lt;&gt;"""", GOOGLETRANSLATE(A2596, ""en"", ""te""),"""")"),"")</f>
        <v/>
      </c>
      <c r="C2596" s="2"/>
      <c r="D2596" s="2" t="str">
        <f>IFERROR(__xludf.DUMMYFUNCTION("IF(C2596&lt;&gt;"""", GOOGLETRANSLATE(C2596, ""en"", ""te""),"""")"),"")</f>
        <v/>
      </c>
      <c r="E2596" s="2"/>
      <c r="F2596" s="2" t="str">
        <f>IFERROR(__xludf.DUMMYFUNCTION("IF(E2596&lt;&gt;"""", GOOGLETRANSLATE(E2596, ""en"", ""te""),"""")"),"")</f>
        <v/>
      </c>
      <c r="G2596" s="2"/>
      <c r="H2596" s="2" t="str">
        <f>IFERROR(__xludf.DUMMYFUNCTION("IF(G2596&lt;&gt;"""", GOOGLETRANSLATE(G2596, ""en"", ""te""),"""")"),"")</f>
        <v/>
      </c>
      <c r="I2596" s="3"/>
    </row>
    <row r="2597" customHeight="1" spans="1:9">
      <c r="A2597" s="2" t="s">
        <v>1874</v>
      </c>
      <c r="B2597" s="2" t="str">
        <f>IFERROR(__xludf.DUMMYFUNCTION("IF(A2597&lt;&gt;"""", GOOGLETRANSLATE(A2597, ""en"", ""te""),"""")"),"[ 'కెరీర్లో 2 వ అత్యధిక వికెట్లు (416)', 'ఒక జట్టు 7 వ వరుస మ్యాచ్లు (96)', '8 వ మ్యాచ్ లో అత్యధిక వికెట్లు (9)', 'కెరీర్ లో 2 వ అత్యధిక క్యాచ్లు (379)', '5 వ జీవితంలో అత్యధిక స్టంపింగ్లు (37) ',' ఇన్నింగ్స్ లో 3 వ అత్యధిక పరుగులు (బ్యాటింగ్ స్థానంలో ప్రక"&amp;"ారం) (204 *) ',' వరుస ఇన్నింగ్స్లో 5 వ వందల (3) ',' హండ్రెడ్ మరియు ఒక మ్యాచ్లో ఒక డక్ ',' 2nd జీవితంలో అత్యధిక సిక్సర్లు (100) ',' నూట ఉంచింది చేసిన వరుస వరుస ఇన్నింగ్స్ ',' 1 వ అత్యధిక వికెట్లు ఐదు వికెట్లు (27) ',' 1 వ అత్యధిక క్యాచ్లు (26) ',' 3 వ కెప్"&amp;"టెన్ల వికెట్ మరియు తెరిచింది బ్యాటింగ్ (16) ',' 8 వ ఒక సిరీస్లో అత్యధిక క్యాచ్లు (18) ',' చాలా 5 వ స్టంపింగ్లు కెరీర్లో (55) ',' ఒక వికెట్ శ్రేణిలో 2 వ అత్యధిక పరుగులు (525) ',' 10 వ ఒక జట్టు వ్యతిరేకంగా అత్యధిక వందలు (6) ',' 1 వ ఇన్నింగ్స్ లో కెరీర్ (116"&amp;"2) లో 99 (199, 299 etc) (99) అవుటయ్యాడు ',' 5 వ అత్యంత ఫోర్లు ',' యాభై అయిదు తొలగింపులకు ',' ఒక ఇన్నింగ్స్ లో 5 వ అత్యధిక వికెట్లు (4) ',' ఇన్నింగ్స్ లో వికెట్ను కాపాడుకున్నాడు మరియు బ్యాటింగ్ (2) ',' 3 వ అత్యధిక క్యాచ్లు తెరిచిన చేసిన 1st కెప్టెన్ల ( 4)"&amp;" ',' 2 వ అత్యధిక కెరీర్ లో కెరీర్లో కెరీర్లో వికెట్లు (905) ',' 2 వ అత్యధిక క్యాచ్లు (813) ',' చాలా 5 వ స్టంపింగ్లు (92) ',' వరుస ఇన్నింగ్స్లో 10 వ యాభైల్లో (6) ']")</f>
        <v>[ 'కెరీర్లో 2 వ అత్యధిక వికెట్లు (416)', 'ఒక జట్టు 7 వ వరుస మ్యాచ్లు (96)', '8 వ మ్యాచ్ లో అత్యధిక వికెట్లు (9)', 'కెరీర్ లో 2 వ అత్యధిక క్యాచ్లు (379)', '5 వ జీవితంలో అత్యధిక స్టంపింగ్లు (37) ',' ఇన్నింగ్స్ లో 3 వ అత్యధిక పరుగులు (బ్యాటింగ్ స్థానంలో ప్రకారం) (204 *) ',' వరుస ఇన్నింగ్స్లో 5 వ వందల (3) ',' హండ్రెడ్ మరియు ఒక మ్యాచ్లో ఒక డక్ ',' 2nd జీవితంలో అత్యధిక సిక్సర్లు (100) ',' నూట ఉంచింది చేసిన వరుస వరుస ఇన్నింగ్స్ ',' 1 వ అత్యధిక వికెట్లు ఐదు వికెట్లు (27) ',' 1 వ అత్యధిక క్యాచ్లు (26) ',' 3 వ కెప్టెన్ల వికెట్ మరియు తెరిచింది బ్యాటింగ్ (16) ',' 8 వ ఒక సిరీస్లో అత్యధిక క్యాచ్లు (18) ',' చాలా 5 వ స్టంపింగ్లు కెరీర్లో (55) ',' ఒక వికెట్ శ్రేణిలో 2 వ అత్యధిక పరుగులు (525) ',' 10 వ ఒక జట్టు వ్యతిరేకంగా అత్యధిక వందలు (6) ',' 1 వ ఇన్నింగ్స్ లో కెరీర్ (1162) లో 99 (199, 299 etc) (99) అవుటయ్యాడు ',' 5 వ అత్యంత ఫోర్లు ',' యాభై అయిదు తొలగింపులకు ',' ఒక ఇన్నింగ్స్ లో 5 వ అత్యధిక వికెట్లు (4) ',' ఇన్నింగ్స్ లో వికెట్ను కాపాడుకున్నాడు మరియు బ్యాటింగ్ (2) ',' 3 వ అత్యధిక క్యాచ్లు తెరిచిన చేసిన 1st కెప్టెన్ల ( 4) ',' 2 వ అత్యధిక కెరీర్ లో కెరీర్లో కెరీర్లో వికెట్లు (905) ',' 2 వ అత్యధిక క్యాచ్లు (813) ',' చాలా 5 వ స్టంపింగ్లు (92) ',' వరుస ఇన్నింగ్స్లో 10 వ యాభైల్లో (6) ']</v>
      </c>
      <c r="C2597" s="2" t="s">
        <v>1875</v>
      </c>
      <c r="D2597" s="2" t="str">
        <f>IFERROR(__xludf.DUMMYFUNCTION("IF(C2597&lt;&gt;"""", GOOGLETRANSLATE(C2597, ""en"", ""te""),"""")"),"[ 'ఇన్నింగ్స్ లో 3 వ అత్యధిక పరుగులు (204 *) (బ్యాటింగ్ స్థానం)', 'ఒక వికెట్ కీపర్ సిరీస్లో 6 వ అత్యధిక పరుగులు (473)', 'అత్యధిక వికెట్లు ఇన్నింగ్స్ లో 8 వ అత్యధిక పరుగులు (204 *)', 'ఇన్నింగ్స్ లో 50 వ అత్యధిక స్ట్రైక్ రేట్ (172.88)', 'వరుస ఇన్నింగ్స్లో "&amp;"5 వ వందల (3)', 'వరుస మ్యాచ్లలో 21 వందల (3)', 'కెరీర్ లో 2 వ ఎక్కువ సిక్స్ (100)', '13 వ ఎక్కువ సిక్స్ ఒక ఇన్నింగ్స్ లో (8) ',' 22 వ 2000 పరుగులు వేగంగా (41) ',' 17 వ 3000 పరుగులు (63) ',' ఎనిమిదవ వికెట్కు 37 వ అత్యధిక భాగస్వామ్యం (135) ',' 7 వ అత్యధిక వరు"&amp;"స ఒక మ్యాచ్ వేగంగా జట్టు (96) ',' 44 వ అత్యంత ప్లేయర్ ఆఫ్ ది సిరీస్ అవార్డులు (3) ',' వికెట్ (6) ఉంచింది చేసిన 16 వ కెప్టెన్ల ',' కెరీర్ లో 2 వ అత్యధిక వికెట్లు (416) ',' 4 వ అత్యధిక వికెట్లు ఒక మ్యాచ్ (10) ',' 5 వ అత్యధిక వికెట్లు వరుస (26) ',' కెరీర్ లో"&amp;" 2 వ అత్యధిక క్యాచ్లు (379) ',' 4 వ మ్యాచ్ లో అత్యధిక క్యాచ్లు (10) ',' 11 వ ఒక సిరీస్లో అత్యధిక క్యాచ్లు ( కెరీర్లో 25) ',' చాలా 5 వ స్టంపింగ్లు (37) ',' 45 వ అత్యధిక ఇన్నింగ్స్ బై (551 / 6d) ',' 23 వ సత్రము లో సాధించిన బైస్ గూడా ఇవ్వకుండా మొత్తం ఇంగ్స"&amp;"్ (25) ']")</f>
        <v>[ 'ఇన్నింగ్స్ లో 3 వ అత్యధిక పరుగులు (204 *) (బ్యాటింగ్ స్థానం)', 'ఒక వికెట్ కీపర్ సిరీస్లో 6 వ అత్యధిక పరుగులు (473)', 'అత్యధిక వికెట్లు ఇన్నింగ్స్ లో 8 వ అత్యధిక పరుగులు (204 *)', 'ఇన్నింగ్స్ లో 50 వ అత్యధిక స్ట్రైక్ రేట్ (172.88)', 'వరుస ఇన్నింగ్స్లో 5 వ వందల (3)', 'వరుస మ్యాచ్లలో 21 వందల (3)', 'కెరీర్ లో 2 వ ఎక్కువ సిక్స్ (100)', '13 వ ఎక్కువ సిక్స్ ఒక ఇన్నింగ్స్ లో (8) ',' 22 వ 2000 పరుగులు వేగంగా (41) ',' 17 వ 3000 పరుగులు (63) ',' ఎనిమిదవ వికెట్కు 37 వ అత్యధిక భాగస్వామ్యం (135) ',' 7 వ అత్యధిక వరుస ఒక మ్యాచ్ వేగంగా జట్టు (96) ',' 44 వ అత్యంత ప్లేయర్ ఆఫ్ ది సిరీస్ అవార్డులు (3) ',' వికెట్ (6) ఉంచింది చేసిన 16 వ కెప్టెన్ల ',' కెరీర్ లో 2 వ అత్యధిక వికెట్లు (416) ',' 4 వ అత్యధిక వికెట్లు ఒక మ్యాచ్ (10) ',' 5 వ అత్యధిక వికెట్లు వరుస (26) ',' కెరీర్ లో 2 వ అత్యధిక క్యాచ్లు (379) ',' 4 వ మ్యాచ్ లో అత్యధిక క్యాచ్లు (10) ',' 11 వ ఒక సిరీస్లో అత్యధిక క్యాచ్లు ( కెరీర్లో 25) ',' చాలా 5 వ స్టంపింగ్లు (37) ',' 45 వ అత్యధిక ఇన్నింగ్స్ బై (551 / 6d) ',' 23 వ సత్రము లో సాధించిన బైస్ గూడా ఇవ్వకుండా మొత్తం ఇంగ్స్ (25) ']</v>
      </c>
      <c r="E2597" s="2" t="s">
        <v>1876</v>
      </c>
      <c r="F2597" s="2" t="str">
        <f>IFERROR(__xludf.DUMMYFUNCTION("IF(E2597&lt;&gt;"""", GOOGLETRANSLATE(E2597, ""en"", ""te""),"""")"),"[ '16 వ అత్యధిక కెరీర్ లో పరుగులు (9619)', '45 వ ఇన్నింగ్స్ లో అత్యధిక పరుగులు (172)', 'వరుస 22 వ అత్యధిక పరుగులు (525)', '40 వ ఒక క్యాలెండర్ సంవత్సరంలో అత్యధిక పరుగులు (1241)', ' 36 వ అత్యంత అత్యధిక వికెట్లు ఇన్నింగ్స్ లో (525) ',' 4 వ అత్యధిక పరుగులు చే"&amp;"సిన వికెట్కీపర్గా శ్రేణిలో ఒకే క్రీడా (1160) ',' 2 వ అత్యధిక పరుగులు నడుస్తుంది (172) ',' 44 వ అత్యధిక కెరీర్ సమ్మె రేటు (96.94 ) ',' 23 ఒక వృత్తిలో అత్యధిక వందలు (16) ',' 10th ఒక జట్టు (6) ', '21 వ అత్యంత వృద్ధ ఆటగాడు వ్యతిరేకంగా అత్యధిక వందలు వంద (36y 9"&amp;"3d) కెరీర్లో (స్కోర్', '8 వ అత్యంత తొంభైల 6) ',' 1 వ 99 పరుగుల (199, 299 etc) (99) ',' 20 వ కెరీర్ అర్ధ (71) ',' 18 వ కెరీర్ బాతులు (19) ',' 15 వ కెరీర్ లో వచ్చిన ఎక్కువ సిక్స్ (149) ',' చాలా 5 వ 5000 పరుగులు (153) ',' 26 ఒక ఇన్నింగ్స్ (8) ',' 45 వ వేగవం"&amp;"తమైన కెరీర్ లో ఫోర్లు (1162) ',' 44th ఎక్కువ సిక్స్ వేగవంతమైన 6000 పరుగులు (174) ', '21 వ వేగవంతమైన 7000 పరుగులు (206) ',' ఫాస్టెస్ట్ 8000 పరుగులు (230) ',' 12 వ వేగవంతమైన 9000 పరుగులు (261) ',' మొదటి వికెట్కు 34 వ అత్యధిక భాగస్వామ్యం (206) ',' 17 వ అ"&amp;"త్యధిక ఫో భాగస్వామ్యానికి 19 ఒక జట్టు r రెండవ వికెట్ (225) ',' 26th కెరీర్లో అత్యధిక మ్యాచ్లు (287) ',' 16 వ వరుస మ్యాచ్లు (97) ',' 12 వ అత్యంత ప్లేయర్ ఆఫ్ ది మ్యాచ్ అవార్డులు (28) ',' 45 వ అత్యంత ప్లేయర్ ఆఫ్ ది సిరీస్ అవార్డులు (3) ',' వికెట్ను కాపాడుకున"&amp;"్నాడు చేసిన 14 వ కెప్టెన్ల (17) ',' 3 వ కెప్టెన్ల కెరీర్లో వికెట్ను కాపాడుకున్నాడు మరియు బ్యాటింగ్ తెరిచారు ఎవరు (16) ',' 2 వ అత్యధిక వికెట్లు ( వరుస ఇన్నింగ్స్ (6) ',' 1st ఎక్కువ సార్లు అవుట్ లో 472) ',' 1 వ అత్యధిక వికెట్లు (27) ',' 1st కెరీర్లో అత్యధిక"&amp;" క్యాచ్లు (417) ',' 1 వ ఇన్నింగ్స్ లో అత్యధిక క్యాచ్లు (6) ' '1st ఒక సిరీస్లో అత్యధిక క్యాచ్లు (26)', 'కెరీర్ లో చాలా 5 వ స్టంపింగ్లు (55)', '7th ఒక సిరీస్లో అత్యధిక స్టంపింగ్లు (5)']")</f>
        <v>[ '16 వ అత్యధిక కెరీర్ లో పరుగులు (9619)', '45 వ ఇన్నింగ్స్ లో అత్యధిక పరుగులు (172)', 'వరుస 22 వ అత్యధిక పరుగులు (525)', '40 వ ఒక క్యాలెండర్ సంవత్సరంలో అత్యధిక పరుగులు (1241)', ' 36 వ అత్యంత అత్యధిక వికెట్లు ఇన్నింగ్స్ లో (525) ',' 4 వ అత్యధిక పరుగులు చేసిన వికెట్కీపర్గా శ్రేణిలో ఒకే క్రీడా (1160) ',' 2 వ అత్యధిక పరుగులు నడుస్తుంది (172) ',' 44 వ అత్యధిక కెరీర్ సమ్మె రేటు (96.94 ) ',' 23 ఒక వృత్తిలో అత్యధిక వందలు (16) ',' 10th ఒక జట్టు (6) ', '21 వ అత్యంత వృద్ధ ఆటగాడు వ్యతిరేకంగా అత్యధిక వందలు వంద (36y 93d) కెరీర్లో (స్కోర్', '8 వ అత్యంత తొంభైల 6) ',' 1 వ 99 పరుగుల (199, 299 etc) (99) ',' 20 వ కెరీర్ అర్ధ (71) ',' 18 వ కెరీర్ బాతులు (19) ',' 15 వ కెరీర్ లో వచ్చిన ఎక్కువ సిక్స్ (149) ',' చాలా 5 వ 5000 పరుగులు (153) ',' 26 ఒక ఇన్నింగ్స్ (8) ',' 45 వ వేగవంతమైన కెరీర్ లో ఫోర్లు (1162) ',' 44th ఎక్కువ సిక్స్ వేగవంతమైన 6000 పరుగులు (174) ', '21 వ వేగవంతమైన 7000 పరుగులు (206) ',' ఫాస్టెస్ట్ 8000 పరుగులు (230) ',' 12 వ వేగవంతమైన 9000 పరుగులు (261) ',' మొదటి వికెట్కు 34 వ అత్యధిక భాగస్వామ్యం (206) ',' 17 వ అత్యధిక ఫో భాగస్వామ్యానికి 19 ఒక జట్టు r రెండవ వికెట్ (225) ',' 26th కెరీర్లో అత్యధిక మ్యాచ్లు (287) ',' 16 వ వరుస మ్యాచ్లు (97) ',' 12 వ అత్యంత ప్లేయర్ ఆఫ్ ది మ్యాచ్ అవార్డులు (28) ',' 45 వ అత్యంత ప్లేయర్ ఆఫ్ ది సిరీస్ అవార్డులు (3) ',' వికెట్ను కాపాడుకున్నాడు చేసిన 14 వ కెప్టెన్ల (17) ',' 3 వ కెప్టెన్ల కెరీర్లో వికెట్ను కాపాడుకున్నాడు మరియు బ్యాటింగ్ తెరిచారు ఎవరు (16) ',' 2 వ అత్యధిక వికెట్లు ( వరుస ఇన్నింగ్స్ (6) ',' 1st ఎక్కువ సార్లు అవుట్ లో 472) ',' 1 వ అత్యధిక వికెట్లు (27) ',' 1st కెరీర్లో అత్యధిక క్యాచ్లు (417) ',' 1 వ ఇన్నింగ్స్ లో అత్యధిక క్యాచ్లు (6) ' '1st ఒక సిరీస్లో అత్యధిక క్యాచ్లు (26)', 'కెరీర్ లో చాలా 5 వ స్టంపింగ్లు (55)', '7th ఒక సిరీస్లో అత్యధిక స్టంపింగ్లు (5)']</v>
      </c>
      <c r="G2597" s="2" t="s">
        <v>1877</v>
      </c>
      <c r="H2597" s="2" t="str">
        <f>IFERROR(__xludf.DUMMYFUNCTION("IF(G2597&lt;&gt;"""", GOOGLETRANSLATE(G2597, ""en"", ""te""),"""")"),"[ '30 వ పురాతన దేశం ఆటగాళ్ళు (49y 121d)', '29th కెప్టెన్ల వికెట్ (2) ఉంచింది చేసిన', 'కెప్టెన్సీ తొలి 42 వ ఓల్డెస్ట్ కాప్టెన్ (35y 310d' వికెట్ ఉంచింది మరియు బ్యాటింగ్ ప్రారంభించాడు (2) చేసిన 1st కెప్టెన్ల ' ) ',' 5 వ ఇన్నింగ్స్ లో అత్యధిక వికెట్లు (4) ',"&amp;"' 20 వ కెరీర్ లో అత్యధిక క్యాచ్లు (17) ',' ఇన్నింగ్స్ లో 3 వ అత్యధిక క్యాచ్లు (4) ']")</f>
        <v>[ '30 వ పురాతన దేశం ఆటగాళ్ళు (49y 121d)', '29th కెప్టెన్ల వికెట్ (2) ఉంచింది చేసిన', 'కెప్టెన్సీ తొలి 42 వ ఓల్డెస్ట్ కాప్టెన్ (35y 310d' వికెట్ ఉంచింది మరియు బ్యాటింగ్ ప్రారంభించాడు (2) చేసిన 1st కెప్టెన్ల ' ) ',' 5 వ ఇన్నింగ్స్ లో అత్యధిక వికెట్లు (4) ',' 20 వ కెరీర్ లో అత్యధిక క్యాచ్లు (17) ',' ఇన్నింగ్స్ లో 3 వ అత్యధిక క్యాచ్లు (4) ']</v>
      </c>
      <c r="I2597" s="3"/>
    </row>
    <row r="2598" customHeight="1" spans="1:9">
      <c r="A2598" s="2"/>
      <c r="B2598" s="2" t="str">
        <f>IFERROR(__xludf.DUMMYFUNCTION("IF(A2598&lt;&gt;"""", GOOGLETRANSLATE(A2598, ""en"", ""te""),"""")"),"")</f>
        <v/>
      </c>
      <c r="C2598" s="2"/>
      <c r="D2598" s="2" t="str">
        <f>IFERROR(__xludf.DUMMYFUNCTION("IF(C2598&lt;&gt;"""", GOOGLETRANSLATE(C2598, ""en"", ""te""),"""")"),"")</f>
        <v/>
      </c>
      <c r="E2598" s="2"/>
      <c r="F2598" s="2" t="str">
        <f>IFERROR(__xludf.DUMMYFUNCTION("IF(E2598&lt;&gt;"""", GOOGLETRANSLATE(E2598, ""en"", ""te""),"""")"),"")</f>
        <v/>
      </c>
      <c r="G2598" s="2"/>
      <c r="H2598" s="2" t="str">
        <f>IFERROR(__xludf.DUMMYFUNCTION("IF(G2598&lt;&gt;"""", GOOGLETRANSLATE(G2598, ""en"", ""te""),"""")"),"")</f>
        <v/>
      </c>
      <c r="I2598" s="3"/>
    </row>
    <row r="2599" customHeight="1" spans="1:9">
      <c r="A2599" s="2"/>
      <c r="B2599" s="2" t="str">
        <f>IFERROR(__xludf.DUMMYFUNCTION("IF(A2599&lt;&gt;"""", GOOGLETRANSLATE(A2599, ""en"", ""te""),"""")"),"")</f>
        <v/>
      </c>
      <c r="C2599" s="2"/>
      <c r="D2599" s="2" t="str">
        <f>IFERROR(__xludf.DUMMYFUNCTION("IF(C2599&lt;&gt;"""", GOOGLETRANSLATE(C2599, ""en"", ""te""),"""")"),"")</f>
        <v/>
      </c>
      <c r="E2599" s="2"/>
      <c r="F2599" s="2" t="str">
        <f>IFERROR(__xludf.DUMMYFUNCTION("IF(E2599&lt;&gt;"""", GOOGLETRANSLATE(E2599, ""en"", ""te""),"""")"),"")</f>
        <v/>
      </c>
      <c r="G2599" s="2"/>
      <c r="H2599" s="2" t="str">
        <f>IFERROR(__xludf.DUMMYFUNCTION("IF(G2599&lt;&gt;"""", GOOGLETRANSLATE(G2599, ""en"", ""te""),"""")"),"")</f>
        <v/>
      </c>
      <c r="I2599" s="3"/>
    </row>
    <row r="2600" customHeight="1" spans="1:9">
      <c r="A2600" s="2" t="s">
        <v>1878</v>
      </c>
      <c r="B2600" s="2" t="str">
        <f>IFERROR(__xludf.DUMMYFUNCTION("IF(A2600&lt;&gt;"""", GOOGLETRANSLATE(A2600, ""en"", ""te""),"""")"),"[ '7th చాలా బంతుల్లో ఒక మ్యాచ్ (708) లో బౌల్డ్', 'బ్యాటింగ్ తెరవడం మరియు అదే మ్యాచ్ లో బౌలింగ్']")</f>
        <v>[ '7th చాలా బంతుల్లో ఒక మ్యాచ్ (708) లో బౌల్డ్', 'బ్యాటింగ్ తెరవడం మరియు అదే మ్యాచ్ లో బౌలింగ్']</v>
      </c>
      <c r="C2600" s="2" t="s">
        <v>1879</v>
      </c>
      <c r="D2600" s="2" t="str">
        <f>IFERROR(__xludf.DUMMYFUNCTION("IF(C2600&lt;&gt;"""", GOOGLETRANSLATE(C2600, ""en"", ""te""),"""")"),"[18 వ అత్యంత వృద్ధ ఆటగాడు తొలి వంద (35y 262d) స్కోర్ ',' వరుస 22 వ అత్యధిక వికెట్లు (34) ',' ఒక కెప్టెన్తో ఒక ఇన్నింగ్స్ లో 16 వ బెస్ట్ ఫిగర్స్ (6) ',' 35 వ ఉత్తమ ఒక మ్యాచ్లో గణాంకాలు ఒక కెప్టెన్తో (8) ',' 24th ఒక ఇన్నింగ్స్ లోని బెస్ట్ ఫిగర్స్ ఉన్నప్పుడు"&amp;" పరాజయం వైపు (7) ',' పది వికెట్లు లో ఒక మ్యాచ్ తీసుకోవాలని 49 వ అత్యంత వృద్ధ ఆటగాడు (32y 308d) ',' 16 వ బంతుల్లో ఇన్నింగ్స్ (470) ',' 7 వ అత్యంత బంతుల్లో ఒక మ్యాచ్లో బౌల్డ్ లో బౌల్డ్ (708) ',' 17 వ అత్యధిక వికెట్లు తీసుకున్న క్యాచ్ మరియు బౌల్డ్ (10) ',' "&amp;"45 వ కెప్టెన్సీ ప్రవేశం (35y 277d) '] అతిపురాతన కెప్టెన్లు")</f>
        <v>[18 వ అత్యంత వృద్ధ ఆటగాడు తొలి వంద (35y 262d) స్కోర్ ',' వరుస 22 వ అత్యధిక వికెట్లు (34) ',' ఒక కెప్టెన్తో ఒక ఇన్నింగ్స్ లో 16 వ బెస్ట్ ఫిగర్స్ (6) ',' 35 వ ఉత్తమ ఒక మ్యాచ్లో గణాంకాలు ఒక కెప్టెన్తో (8) ',' 24th ఒక ఇన్నింగ్స్ లోని బెస్ట్ ఫిగర్స్ ఉన్నప్పుడు పరాజయం వైపు (7) ',' పది వికెట్లు లో ఒక మ్యాచ్ తీసుకోవాలని 49 వ అత్యంత వృద్ధ ఆటగాడు (32y 308d) ',' 16 వ బంతుల్లో ఇన్నింగ్స్ (470) ',' 7 వ అత్యంత బంతుల్లో ఒక మ్యాచ్లో బౌల్డ్ లో బౌల్డ్ (708) ',' 17 వ అత్యధిక వికెట్లు తీసుకున్న క్యాచ్ మరియు బౌల్డ్ (10) ',' 45 వ కెప్టెన్సీ ప్రవేశం (35y 277d) '] అతిపురాతన కెప్టెన్లు</v>
      </c>
      <c r="E2600" s="2"/>
      <c r="F2600" s="2" t="str">
        <f>IFERROR(__xludf.DUMMYFUNCTION("IF(E2600&lt;&gt;"""", GOOGLETRANSLATE(E2600, ""en"", ""te""),"""")"),"")</f>
        <v/>
      </c>
      <c r="G2600" s="2"/>
      <c r="H2600" s="2" t="str">
        <f>IFERROR(__xludf.DUMMYFUNCTION("IF(G2600&lt;&gt;"""", GOOGLETRANSLATE(G2600, ""en"", ""te""),"""")"),"")</f>
        <v/>
      </c>
      <c r="I2600" s="3"/>
    </row>
    <row r="2601" customHeight="1" spans="1:9">
      <c r="A2601" s="2" t="s">
        <v>1880</v>
      </c>
      <c r="B2601" s="2" t="str">
        <f>IFERROR(__xludf.DUMMYFUNCTION("IF(A2601&lt;&gt;"""", GOOGLETRANSLATE(A2601, ""en"", ""te""),"""")"),"[ '2 వ వరుస ఐదు వికెట్ల లో-ఒక-ఇన్నింగ్స్ (2)' '4 వ అత్యుత్తమ బౌలింగ్ ఇన్నింగ్స్ లో విశ్లేషించడం (6/14)',]")</f>
        <v>[ '2 వ వరుస ఐదు వికెట్ల లో-ఒక-ఇన్నింగ్స్ (2)' '4 వ అత్యుత్తమ బౌలింగ్ ఇన్నింగ్స్ లో విశ్లేషించడం (6/14)',]</v>
      </c>
      <c r="C2601" s="2" t="s">
        <v>1881</v>
      </c>
      <c r="D2601" s="2" t="str">
        <f>IFERROR(__xludf.DUMMYFUNCTION("IF(C2601&lt;&gt;"""", GOOGLETRANSLATE(C2601, ""en"", ""te""),"""")"),"[ '31 ఉత్తమ కెరీర్ సమ్మె రేటు (49.2)']")</f>
        <v>[ '31 ఉత్తమ కెరీర్ సమ్మె రేటు (49.2)']</v>
      </c>
      <c r="E2601" s="2" t="s">
        <v>1882</v>
      </c>
      <c r="F2601" s="2" t="str">
        <f>IFERROR(__xludf.DUMMYFUNCTION("IF(E2601&lt;&gt;"""", GOOGLETRANSLATE(E2601, ""en"", ""te""),"""")"),"[ 'ఇన్నింగ్స్ లో 4 వ అత్యుత్తమ బౌలింగ్ విశ్లేషణలు (6/14)' '16 వ ఉత్తమ ఇన్నింగ్స్ లో సంఖ్యలు (6/14)', '14 వ ఒక ఇన్నింగ్స్ లోని బెస్ట్ ఫిగర్స్ ఉన్నప్పుడు పరాజయం వైపు (5)', '22 వ ఉత్తమ కెరీర్ (10.31) (అర్హత లేకుండా) సగటు బౌలింగ్ ',' 43 వ అత్యంత ఐదు-వికెట్ల "&amp;"లో-ఒక-ఇన్నింగ్స్ కెరీర్లో (2) ',' 2 వ వరుస ఐదు వికెట్ల లో-ఒక-ఇన్నింగ్స్ (2) ', '13 వ వరుస నాలుగు వికెట్లు-ఇన్-ఒక-ఇన్నింగ్స్ (2)', '36 వ లాంగెస్ట్ క్రీడాకారులు నివసించారు (62y 349d)']")</f>
        <v>[ 'ఇన్నింగ్స్ లో 4 వ అత్యుత్తమ బౌలింగ్ విశ్లేషణలు (6/14)' '16 వ ఉత్తమ ఇన్నింగ్స్ లో సంఖ్యలు (6/14)', '14 వ ఒక ఇన్నింగ్స్ లోని బెస్ట్ ఫిగర్స్ ఉన్నప్పుడు పరాజయం వైపు (5)', '22 వ ఉత్తమ కెరీర్ (10.31) (అర్హత లేకుండా) సగటు బౌలింగ్ ',' 43 వ అత్యంత ఐదు-వికెట్ల లో-ఒక-ఇన్నింగ్స్ కెరీర్లో (2) ',' 2 వ వరుస ఐదు వికెట్ల లో-ఒక-ఇన్నింగ్స్ (2) ', '13 వ వరుస నాలుగు వికెట్లు-ఇన్-ఒక-ఇన్నింగ్స్ (2)', '36 వ లాంగెస్ట్ క్రీడాకారులు నివసించారు (62y 349d)']</v>
      </c>
      <c r="G2601" s="2"/>
      <c r="H2601" s="2" t="str">
        <f>IFERROR(__xludf.DUMMYFUNCTION("IF(G2601&lt;&gt;"""", GOOGLETRANSLATE(G2601, ""en"", ""te""),"""")"),"")</f>
        <v/>
      </c>
      <c r="I2601" s="3"/>
    </row>
    <row r="2602" customHeight="1" spans="1:9">
      <c r="A2602" s="2"/>
      <c r="B2602" s="2" t="str">
        <f>IFERROR(__xludf.DUMMYFUNCTION("IF(A2602&lt;&gt;"""", GOOGLETRANSLATE(A2602, ""en"", ""te""),"""")"),"")</f>
        <v/>
      </c>
      <c r="C2602" s="2"/>
      <c r="D2602" s="2" t="str">
        <f>IFERROR(__xludf.DUMMYFUNCTION("IF(C2602&lt;&gt;"""", GOOGLETRANSLATE(C2602, ""en"", ""te""),"""")"),"")</f>
        <v/>
      </c>
      <c r="E2602" s="2"/>
      <c r="F2602" s="2" t="str">
        <f>IFERROR(__xludf.DUMMYFUNCTION("IF(E2602&lt;&gt;"""", GOOGLETRANSLATE(E2602, ""en"", ""te""),"""")"),"")</f>
        <v/>
      </c>
      <c r="G2602" s="2"/>
      <c r="H2602" s="2" t="str">
        <f>IFERROR(__xludf.DUMMYFUNCTION("IF(G2602&lt;&gt;"""", GOOGLETRANSLATE(G2602, ""en"", ""te""),"""")"),"")</f>
        <v/>
      </c>
      <c r="I2602" s="3"/>
    </row>
    <row r="2603" customHeight="1" spans="1:9">
      <c r="A2603" s="2"/>
      <c r="B2603" s="2" t="str">
        <f>IFERROR(__xludf.DUMMYFUNCTION("IF(A2603&lt;&gt;"""", GOOGLETRANSLATE(A2603, ""en"", ""te""),"""")"),"")</f>
        <v/>
      </c>
      <c r="C2603" s="2" t="s">
        <v>1883</v>
      </c>
      <c r="D2603" s="2" t="str">
        <f>IFERROR(__xludf.DUMMYFUNCTION("IF(C2603&lt;&gt;"""", GOOGLETRANSLATE(C2603, ""en"", ""te""),"""")"),"[ '27 వ మ్యాచ్లో (267) లో ఇవ్వబడిన పరుగులలో']")</f>
        <v>[ '27 వ మ్యాచ్లో (267) లో ఇవ్వబడిన పరుగులలో']</v>
      </c>
      <c r="E2603" s="2"/>
      <c r="F2603" s="2" t="str">
        <f>IFERROR(__xludf.DUMMYFUNCTION("IF(E2603&lt;&gt;"""", GOOGLETRANSLATE(E2603, ""en"", ""te""),"""")"),"")</f>
        <v/>
      </c>
      <c r="G2603" s="2"/>
      <c r="H2603" s="2" t="str">
        <f>IFERROR(__xludf.DUMMYFUNCTION("IF(G2603&lt;&gt;"""", GOOGLETRANSLATE(G2603, ""en"", ""te""),"""")"),"")</f>
        <v/>
      </c>
      <c r="I2603" s="3"/>
    </row>
    <row r="2604" customHeight="1" spans="1:9">
      <c r="A2604" s="2" t="s">
        <v>1884</v>
      </c>
      <c r="B2604" s="2" t="str">
        <f>IFERROR(__xludf.DUMMYFUNCTION("IF(A2604&lt;&gt;"""", GOOGLETRANSLATE(A2604, ""en"", ""te""),"""")"),"[ 'ఇన్నింగ్స్ లో 5 వ అత్యధిక క్యాచ్లు (6)', 'ఇన్నింగ్స్ (6) లో 5 వ అత్యధిక వికెట్లు' 'కెరీర్లో 10 వ అత్యంత స్టంపింగ్లు (24)', '7 వ అత్యంత ఇన్నింగ్స్ లో సాధించిన బైస్ (31)']")</f>
        <v>[ 'ఇన్నింగ్స్ లో 5 వ అత్యధిక క్యాచ్లు (6)', 'ఇన్నింగ్స్ (6) లో 5 వ అత్యధిక వికెట్లు' 'కెరీర్లో 10 వ అత్యంత స్టంపింగ్లు (24)', '7 వ అత్యంత ఇన్నింగ్స్ లో సాధించిన బైస్ (31)']</v>
      </c>
      <c r="C2604" s="2" t="s">
        <v>1885</v>
      </c>
      <c r="D2604" s="2" t="str">
        <f>IFERROR(__xludf.DUMMYFUNCTION("IF(C2604&lt;&gt;"""", GOOGLETRANSLATE(C2604, ""en"", ""te""),"""")"),"[ '21 వ కెరీర్ లో అత్యధిక వికెట్లు (187)', '5 వ ఇన్నింగ్స్ లో అత్యధిక వికెట్లు (6)', '35 వ మ్యాచ్ లో అత్యధిక వికెట్లు (8)', '19 వ ఒక సిరీస్లో అత్యధిక వికెట్లు (23)', '24 వ ఒక మ్యాచ్లో కెరీర్లో అత్యధిక క్యాచ్లు (163) ',' ఇన్నింగ్స్ (6) ',' 26th అత్యధిక క్య"&amp;"ాచ్లు 5 వ అత్యధిక క్యాచ్లు (8) ',' 43 వ ఒక సిరీస్లో అత్యధిక క్యాచ్లు (20) ',' 10 వ అత్యంత స్టంపింగ్లు లో కెరీర్ (24) ',' 7 వ అత్యంత ఇన్నింగ్స్ (31) సాధించిన బైస్ ']")</f>
        <v>[ '21 వ కెరీర్ లో అత్యధిక వికెట్లు (187)', '5 వ ఇన్నింగ్స్ లో అత్యధిక వికెట్లు (6)', '35 వ మ్యాచ్ లో అత్యధిక వికెట్లు (8)', '19 వ ఒక సిరీస్లో అత్యధిక వికెట్లు (23)', '24 వ ఒక మ్యాచ్లో కెరీర్లో అత్యధిక క్యాచ్లు (163) ',' ఇన్నింగ్స్ (6) ',' 26th అత్యధిక క్యాచ్లు 5 వ అత్యధిక క్యాచ్లు (8) ',' 43 వ ఒక సిరీస్లో అత్యధిక క్యాచ్లు (20) ',' 10 వ అత్యంత స్టంపింగ్లు లో కెరీర్ (24) ',' 7 వ అత్యంత ఇన్నింగ్స్ (31) సాధించిన బైస్ ']</v>
      </c>
      <c r="E2604" s="2"/>
      <c r="F2604" s="2" t="str">
        <f>IFERROR(__xludf.DUMMYFUNCTION("IF(E2604&lt;&gt;"""", GOOGLETRANSLATE(E2604, ""en"", ""te""),"""")"),"")</f>
        <v/>
      </c>
      <c r="G2604" s="2"/>
      <c r="H2604" s="2" t="str">
        <f>IFERROR(__xludf.DUMMYFUNCTION("IF(G2604&lt;&gt;"""", GOOGLETRANSLATE(G2604, ""en"", ""te""),"""")"),"")</f>
        <v/>
      </c>
      <c r="I2604" s="3"/>
    </row>
    <row r="2605" customHeight="1" spans="1:9">
      <c r="A2605" s="2"/>
      <c r="B2605" s="2" t="str">
        <f>IFERROR(__xludf.DUMMYFUNCTION("IF(A2605&lt;&gt;"""", GOOGLETRANSLATE(A2605, ""en"", ""te""),"""")"),"")</f>
        <v/>
      </c>
      <c r="C2605" s="2"/>
      <c r="D2605" s="2" t="str">
        <f>IFERROR(__xludf.DUMMYFUNCTION("IF(C2605&lt;&gt;"""", GOOGLETRANSLATE(C2605, ""en"", ""te""),"""")"),"")</f>
        <v/>
      </c>
      <c r="E2605" s="2"/>
      <c r="F2605" s="2" t="str">
        <f>IFERROR(__xludf.DUMMYFUNCTION("IF(E2605&lt;&gt;"""", GOOGLETRANSLATE(E2605, ""en"", ""te""),"""")"),"")</f>
        <v/>
      </c>
      <c r="G2605" s="2"/>
      <c r="H2605" s="2" t="str">
        <f>IFERROR(__xludf.DUMMYFUNCTION("IF(G2605&lt;&gt;"""", GOOGLETRANSLATE(G2605, ""en"", ""te""),"""")"),"")</f>
        <v/>
      </c>
      <c r="I2605" s="3"/>
    </row>
    <row r="2606" customHeight="1" spans="1:9">
      <c r="A2606" s="2"/>
      <c r="B2606" s="2" t="str">
        <f>IFERROR(__xludf.DUMMYFUNCTION("IF(A2606&lt;&gt;"""", GOOGLETRANSLATE(A2606, ""en"", ""te""),"""")"),"")</f>
        <v/>
      </c>
      <c r="C2606" s="2"/>
      <c r="D2606" s="2" t="str">
        <f>IFERROR(__xludf.DUMMYFUNCTION("IF(C2606&lt;&gt;"""", GOOGLETRANSLATE(C2606, ""en"", ""te""),"""")"),"")</f>
        <v/>
      </c>
      <c r="E2606" s="2"/>
      <c r="F2606" s="2" t="str">
        <f>IFERROR(__xludf.DUMMYFUNCTION("IF(E2606&lt;&gt;"""", GOOGLETRANSLATE(E2606, ""en"", ""te""),"""")"),"")</f>
        <v/>
      </c>
      <c r="G2606" s="2"/>
      <c r="H2606" s="2" t="str">
        <f>IFERROR(__xludf.DUMMYFUNCTION("IF(G2606&lt;&gt;"""", GOOGLETRANSLATE(G2606, ""en"", ""te""),"""")"),"")</f>
        <v/>
      </c>
      <c r="I2606" s="3"/>
    </row>
    <row r="2607" customHeight="1" spans="1:9">
      <c r="A2607" s="2" t="s">
        <v>982</v>
      </c>
      <c r="B2607" s="2" t="str">
        <f>IFERROR(__xludf.DUMMYFUNCTION("IF(A2607&lt;&gt;"""", GOOGLETRANSLATE(A2607, ""en"", ""te""),"""")"),"[ '1000 పరుగులు మరియు 100 వికెట్లు']")</f>
        <v>[ '1000 పరుగులు మరియు 100 వికెట్లు']</v>
      </c>
      <c r="C2607" s="2" t="s">
        <v>1886</v>
      </c>
      <c r="D2607" s="2" t="str">
        <f>IFERROR(__xludf.DUMMYFUNCTION("IF(C2607&lt;&gt;"""", GOOGLETRANSLATE(C2607, ""en"", ""te""),"""")"),"[ '32 వ హండ్రెడ్ గత మ్యాచ్ (201 *) లో', '33 వ అత్యధిక తొలి వంద (201 *)', '42 వ కెరీర్ లో అత్యధిక వికెట్లు (259)', '14 వ బౌలర్ / ఫీల్డర్ కలయికలు (58)', '49 వ అత్యధిక వికెట్లు తీసుకున్న ఆకర్షించింది తీసుకున్న ఆకర్షించింది (154) ',' 30 వ అత్యధిక వికెట్లు విక"&amp;"ెట్లు (66) ',' 26th అత్యధిక వికెట్లు తీసుకున్న ఎల్బిడబ్ల్యు (59) ',' 48 వ 100 వికెట్లు వేగంగా (24) ',' 34 వ 250 వికెట్లు వేగవంతమైన ( 68) ',' నాలుగవ వికెట్కు 15 అత్యధిక భాగస్వామ్యం (320) ',' పదవ వికెట్ను (114 కోసం 16 అత్యధిక భాగస్వామ్యం) ']")</f>
        <v>[ '32 వ హండ్రెడ్ గత మ్యాచ్ (201 *) లో', '33 వ అత్యధిక తొలి వంద (201 *)', '42 వ కెరీర్ లో అత్యధిక వికెట్లు (259)', '14 వ బౌలర్ / ఫీల్డర్ కలయికలు (58)', '49 వ అత్యధిక వికెట్లు తీసుకున్న ఆకర్షించింది తీసుకున్న ఆకర్షించింది (154) ',' 30 వ అత్యధిక వికెట్లు వికెట్లు (66) ',' 26th అత్యధిక వికెట్లు తీసుకున్న ఎల్బిడబ్ల్యు (59) ',' 48 వ 100 వికెట్లు వేగంగా (24) ',' 34 వ 250 వికెట్లు వేగవంతమైన ( 68) ',' నాలుగవ వికెట్కు 15 అత్యధిక భాగస్వామ్యం (320) ',' పదవ వికెట్ను (114 కోసం 16 అత్యధిక భాగస్వామ్యం) ']</v>
      </c>
      <c r="E2607" s="2" t="s">
        <v>1887</v>
      </c>
      <c r="F2607" s="2" t="str">
        <f>IFERROR(__xludf.DUMMYFUNCTION("IF(E2607&lt;&gt;"""", GOOGLETRANSLATE(E2607, ""en"", ""te""),"""")"),"[ '25 వ అత్యంత ఐదు-వికెట్ల లో-ఒక-ఇన్నింగ్స్ కెరీర్లో (3)', '26th బౌలర్ / ఫీల్డర్ కలయికలు (32)', '33 వ 100 వికెట్లు (66) వేగంగా']")</f>
        <v>[ '25 వ అత్యంత ఐదు-వికెట్ల లో-ఒక-ఇన్నింగ్స్ కెరీర్లో (3)', '26th బౌలర్ / ఫీల్డర్ కలయికలు (32)', '33 వ 100 వికెట్లు (66) వేగంగా']</v>
      </c>
      <c r="G2607" s="2"/>
      <c r="H2607" s="2" t="str">
        <f>IFERROR(__xludf.DUMMYFUNCTION("IF(G2607&lt;&gt;"""", GOOGLETRANSLATE(G2607, ""en"", ""te""),"""")"),"")</f>
        <v/>
      </c>
      <c r="I2607" s="3"/>
    </row>
    <row r="2608" customHeight="1" spans="1:9">
      <c r="A2608" s="2" t="s">
        <v>1888</v>
      </c>
      <c r="B2608" s="2" t="str">
        <f>IFERROR(__xludf.DUMMYFUNCTION("IF(A2608&lt;&gt;"""", GOOGLETRANSLATE(A2608, ""en"", ""te""),"""")"),"[ఒక 'ఒక వృత్తిలో 1st అత్యధిక డబుల్ సెంచరీలు (1)', '3 వ పరుగులు అత్యధిక శాతం పూర్తి ఇన్నింగ్స్ 3 వ అత్యంత ఇన్నింగ్స్ లో నడుస్తుంది (బ్యాటింగ్ స్థానం) (204)', '(204) హండ్రెడ్ తొలి' (59.30) ']")</f>
        <v>[ఒక 'ఒక వృత్తిలో 1st అత్యధిక డబుల్ సెంచరీలు (1)', '3 వ పరుగులు అత్యధిక శాతం పూర్తి ఇన్నింగ్స్ 3 వ అత్యంత ఇన్నింగ్స్ లో నడుస్తుంది (బ్యాటింగ్ స్థానం) (204)', '(204) హండ్రెడ్ తొలి' (59.30) ']</v>
      </c>
      <c r="C2608" s="2" t="s">
        <v>1889</v>
      </c>
      <c r="D2608" s="2" t="str">
        <f>IFERROR(__xludf.DUMMYFUNCTION("IF(C2608&lt;&gt;"""", GOOGLETRANSLATE(C2608, ""en"", ""te""),"""")"),"[ 'ఇన్నింగ్స్ లో 5 వ అత్యధిక పరుగులు (204)' 'ఇన్నింగ్స్ లో 6 వ అత్యధిక పరుగులు (ప్రగతిశీల రికార్డు హోల్డర్) (204)', '9 వ మ్యాచ్లో అత్యధిక పరుగులు (204)', '3 వ అత్యంత ఇన్నింగ్స్ లో నడుస్తుంది ( బ్యాటింగ్ స్థానంలో) (తొలి మ్యాచ్లో 204) ',' 1 వ అత్యధిక పరుగుల"&amp;"ు (204) ',' ఒక వృత్తిలో 1st అత్యధిక డబుల్ సెంచరీలు (1) ',' 4 వ అత్యధిక తొలి వంద (204) ద్వారా ',' స్కోరు 17 పిన్న ఆటగాడు వంద (23y 260d) ',' 2 వ పిన్న ఆటగాడు డబుల్ సెంచరీ స్కోర్ (23y 260d) ',' ఒక ఇన్నింగ్స్లో పరుగుల 3 వ అత్యధిక శాతం (59.30) ',' ఏడవ వికెట్ ("&amp;"66) 24 అత్యధిక భాగస్వామ్యం ' ]")</f>
        <v>[ 'ఇన్నింగ్స్ లో 5 వ అత్యధిక పరుగులు (204)' 'ఇన్నింగ్స్ లో 6 వ అత్యధిక పరుగులు (ప్రగతిశీల రికార్డు హోల్డర్) (204)', '9 వ మ్యాచ్లో అత్యధిక పరుగులు (204)', '3 వ అత్యంత ఇన్నింగ్స్ లో నడుస్తుంది ( బ్యాటింగ్ స్థానంలో) (తొలి మ్యాచ్లో 204) ',' 1 వ అత్యధిక పరుగులు (204) ',' ఒక వృత్తిలో 1st అత్యధిక డబుల్ సెంచరీలు (1) ',' 4 వ అత్యధిక తొలి వంద (204) ద్వారా ',' స్కోరు 17 పిన్న ఆటగాడు వంద (23y 260d) ',' 2 వ పిన్న ఆటగాడు డబుల్ సెంచరీ స్కోర్ (23y 260d) ',' ఒక ఇన్నింగ్స్లో పరుగుల 3 వ అత్యధిక శాతం (59.30) ',' ఏడవ వికెట్ (66) 24 అత్యధిక భాగస్వామ్యం ' ]</v>
      </c>
      <c r="E2608" s="2" t="s">
        <v>1040</v>
      </c>
      <c r="F2608" s="2" t="str">
        <f>IFERROR(__xludf.DUMMYFUNCTION("IF(E2608&lt;&gt;"""", GOOGLETRANSLATE(E2608, ""en"", ""te""),"""")"),"[ '44 వ వరుస మ్యాచ్లు ప్రదర్శనల మధ్య (30) జట్టుకు దూరమయ్యాడు']")</f>
        <v>[ '44 వ వరుస మ్యాచ్లు ప్రదర్శనల మధ్య (30) జట్టుకు దూరమయ్యాడు']</v>
      </c>
      <c r="G2608" s="2"/>
      <c r="H2608" s="2" t="str">
        <f>IFERROR(__xludf.DUMMYFUNCTION("IF(G2608&lt;&gt;"""", GOOGLETRANSLATE(G2608, ""en"", ""te""),"""")"),"")</f>
        <v/>
      </c>
      <c r="I2608" s="3"/>
    </row>
    <row r="2609" customHeight="1" spans="1:9">
      <c r="A2609" s="2"/>
      <c r="B2609" s="2" t="str">
        <f>IFERROR(__xludf.DUMMYFUNCTION("IF(A2609&lt;&gt;"""", GOOGLETRANSLATE(A2609, ""en"", ""te""),"""")"),"")</f>
        <v/>
      </c>
      <c r="C2609" s="2"/>
      <c r="D2609" s="2" t="str">
        <f>IFERROR(__xludf.DUMMYFUNCTION("IF(C2609&lt;&gt;"""", GOOGLETRANSLATE(C2609, ""en"", ""te""),"""")"),"")</f>
        <v/>
      </c>
      <c r="E2609" s="2"/>
      <c r="F2609" s="2" t="str">
        <f>IFERROR(__xludf.DUMMYFUNCTION("IF(E2609&lt;&gt;"""", GOOGLETRANSLATE(E2609, ""en"", ""te""),"""")"),"")</f>
        <v/>
      </c>
      <c r="G2609" s="2"/>
      <c r="H2609" s="2" t="str">
        <f>IFERROR(__xludf.DUMMYFUNCTION("IF(G2609&lt;&gt;"""", GOOGLETRANSLATE(G2609, ""en"", ""te""),"""")"),"")</f>
        <v/>
      </c>
      <c r="I2609" s="3"/>
    </row>
    <row r="2610" customHeight="1" spans="1:9">
      <c r="A2610" s="2"/>
      <c r="B2610" s="2" t="str">
        <f>IFERROR(__xludf.DUMMYFUNCTION("IF(A2610&lt;&gt;"""", GOOGLETRANSLATE(A2610, ""en"", ""te""),"""")"),"")</f>
        <v/>
      </c>
      <c r="C2610" s="2"/>
      <c r="D2610" s="2" t="str">
        <f>IFERROR(__xludf.DUMMYFUNCTION("IF(C2610&lt;&gt;"""", GOOGLETRANSLATE(C2610, ""en"", ""te""),"""")"),"")</f>
        <v/>
      </c>
      <c r="E2610" s="2"/>
      <c r="F2610" s="2" t="str">
        <f>IFERROR(__xludf.DUMMYFUNCTION("IF(E2610&lt;&gt;"""", GOOGLETRANSLATE(E2610, ""en"", ""te""),"""")"),"")</f>
        <v/>
      </c>
      <c r="G2610" s="2"/>
      <c r="H2610" s="2" t="str">
        <f>IFERROR(__xludf.DUMMYFUNCTION("IF(G2610&lt;&gt;"""", GOOGLETRANSLATE(G2610, ""en"", ""te""),"""")"),"")</f>
        <v/>
      </c>
      <c r="I2610" s="3"/>
    </row>
    <row r="2611" customHeight="1" spans="1:9">
      <c r="A2611" s="2"/>
      <c r="B2611" s="2" t="str">
        <f>IFERROR(__xludf.DUMMYFUNCTION("IF(A2611&lt;&gt;"""", GOOGLETRANSLATE(A2611, ""en"", ""te""),"""")"),"")</f>
        <v/>
      </c>
      <c r="C2611" s="2"/>
      <c r="D2611" s="2" t="str">
        <f>IFERROR(__xludf.DUMMYFUNCTION("IF(C2611&lt;&gt;"""", GOOGLETRANSLATE(C2611, ""en"", ""te""),"""")"),"")</f>
        <v/>
      </c>
      <c r="E2611" s="2"/>
      <c r="F2611" s="2" t="str">
        <f>IFERROR(__xludf.DUMMYFUNCTION("IF(E2611&lt;&gt;"""", GOOGLETRANSLATE(E2611, ""en"", ""te""),"""")"),"")</f>
        <v/>
      </c>
      <c r="G2611" s="2"/>
      <c r="H2611" s="2" t="str">
        <f>IFERROR(__xludf.DUMMYFUNCTION("IF(G2611&lt;&gt;"""", GOOGLETRANSLATE(G2611, ""en"", ""te""),"""")"),"")</f>
        <v/>
      </c>
      <c r="I2611" s="3"/>
    </row>
    <row r="2612" customHeight="1" spans="1:9">
      <c r="A2612" s="2" t="s">
        <v>352</v>
      </c>
      <c r="B2612" s="2" t="str">
        <f>IFERROR(__xludf.DUMMYFUNCTION("IF(A2612&lt;&gt;"""", GOOGLETRANSLATE(A2612, ""en"", ""te""),"""")"),"[ 'బ్యాటింగ్ ప్రారంభించుటకు మరియు అదే మ్యాచ్ లో బౌలింగ్']")</f>
        <v>[ 'బ్యాటింగ్ ప్రారంభించుటకు మరియు అదే మ్యాచ్ లో బౌలింగ్']</v>
      </c>
      <c r="C2612" s="2"/>
      <c r="D2612" s="2" t="str">
        <f>IFERROR(__xludf.DUMMYFUNCTION("IF(C2612&lt;&gt;"""", GOOGLETRANSLATE(C2612, ""en"", ""te""),"""")"),"")</f>
        <v/>
      </c>
      <c r="E2612" s="2"/>
      <c r="F2612" s="2" t="str">
        <f>IFERROR(__xludf.DUMMYFUNCTION("IF(E2612&lt;&gt;"""", GOOGLETRANSLATE(E2612, ""en"", ""te""),"""")"),"")</f>
        <v/>
      </c>
      <c r="G2612" s="2"/>
      <c r="H2612" s="2" t="str">
        <f>IFERROR(__xludf.DUMMYFUNCTION("IF(G2612&lt;&gt;"""", GOOGLETRANSLATE(G2612, ""en"", ""te""),"""")"),"")</f>
        <v/>
      </c>
      <c r="I2612" s="3"/>
    </row>
    <row r="2613" customHeight="1" spans="1:9">
      <c r="A2613" s="2" t="s">
        <v>1890</v>
      </c>
      <c r="B2613" s="2" t="str">
        <f>IFERROR(__xludf.DUMMYFUNCTION("IF(A2613&lt;&gt;"""", GOOGLETRANSLATE(A2613, ""en"", ""te""),"""")"),"[ '8 వ షార్టేస్ట్ క్రీడాకారులు (26y 102d) నివసించారు']")</f>
        <v>[ '8 వ షార్టేస్ట్ క్రీడాకారులు (26y 102d) నివసించారు']</v>
      </c>
      <c r="C2613" s="2" t="s">
        <v>1890</v>
      </c>
      <c r="D2613" s="2" t="str">
        <f>IFERROR(__xludf.DUMMYFUNCTION("IF(C2613&lt;&gt;"""", GOOGLETRANSLATE(C2613, ""en"", ""te""),"""")"),"[ '8 వ షార్టేస్ట్ క్రీడాకారులు (26y 102d) నివసించారు']")</f>
        <v>[ '8 వ షార్టేస్ట్ క్రీడాకారులు (26y 102d) నివసించారు']</v>
      </c>
      <c r="E2613" s="2"/>
      <c r="F2613" s="2" t="str">
        <f>IFERROR(__xludf.DUMMYFUNCTION("IF(E2613&lt;&gt;"""", GOOGLETRANSLATE(E2613, ""en"", ""te""),"""")"),"")</f>
        <v/>
      </c>
      <c r="G2613" s="2"/>
      <c r="H2613" s="2" t="str">
        <f>IFERROR(__xludf.DUMMYFUNCTION("IF(G2613&lt;&gt;"""", GOOGLETRANSLATE(G2613, ""en"", ""te""),"""")"),"")</f>
        <v/>
      </c>
      <c r="I2613" s="3"/>
    </row>
    <row r="2614" customHeight="1" spans="1:9">
      <c r="A2614" s="2" t="s">
        <v>1891</v>
      </c>
      <c r="B2614" s="2" t="str">
        <f>IFERROR(__xludf.DUMMYFUNCTION("IF(A2614&lt;&gt;"""", GOOGLETRANSLATE(A2614, ""en"", ""te""),"""")"),"[ 'వరుస 3 వ అత్యధిక వికెట్లు (44)', '5 వ అరంగేట్రంలోనే మ్యాచ్లో ఉత్తమ బొమ్మలు (11)', 'పది వికెట్లు లో ఒక మ్యాచ్ తీసుకోవాలని 2nd అత్యంత వృద్ధ ఆటగాడు (44y 65d)', '6 వ ఒక మ్యాచ్లో సాధించిన అత్యధిక పరుగులు (298) ',' 4 వ అత్యధిక వికెట్లు స్టంప్ తీసుకోకూడదు (28"&amp;") ',' 2nd 200 వికెట్లు (36) వేగంగా ']")</f>
        <v>[ 'వరుస 3 వ అత్యధిక వికెట్లు (44)', '5 వ అరంగేట్రంలోనే మ్యాచ్లో ఉత్తమ బొమ్మలు (11)', 'పది వికెట్లు లో ఒక మ్యాచ్ తీసుకోవాలని 2nd అత్యంత వృద్ధ ఆటగాడు (44y 65d)', '6 వ ఒక మ్యాచ్లో సాధించిన అత్యధిక పరుగులు (298) ',' 4 వ అత్యధిక వికెట్లు స్టంప్ తీసుకోకూడదు (28) ',' 2nd 200 వికెట్లు (36) వేగంగా ']</v>
      </c>
      <c r="C2614" s="2" t="s">
        <v>1892</v>
      </c>
      <c r="D2614" s="2" t="str">
        <f>IFERROR(__xludf.DUMMYFUNCTION("IF(C2614&lt;&gt;"""", GOOGLETRANSLATE(C2614, ""en"", ""te""),"""")"),"[ '13 వ మ్యాచ్ లో బెస్ట్ ఫిగర్స్ (14)', 'వరుస 3 వ అత్యధిక వికెట్లు (44)', '40 వ మ్యాచ్ లో బెస్ట్ ఫిగర్స్ ఉన్నప్పుడు పరాజయం వైపు (10)', '19 చెత్త సమ్మె ఇన్నింగ్స్ లో రేటు (384.0) ',' తొలి ఇన్నింగ్స్లో 22 బెస్ట్ ఫిగర్స్ (6) ',' తొలి మ్యాచ్లో 5 వ ఉత్తమ బొమ్"&amp;"మలు (11) ', '21 వ అత్యంత ఐదు-వికెట్ల లో-ఒక-ఇన్నింగ్స్ కెరీర్లో (21 ) ',' 6 వ అత్యంత పది వికెట్లు లో ఒక మ్యాచ్ ఒక కెరీర్ (7) ',' 18 వ వరుస ఐదు వికెట్ల లో-ఒక-ఇన్నింగ్స్ (3) ',' 3 వ వరుస పది వికెట్ల లో -a మ్యాచ్ల (3) ',' ఐదు వికెట్ల లో-ఒక-ఇన్నింగ్స్ పది వికె"&amp;"ట్లు లో ఒక మ్యాచ్ తీసుకోవాలని తీసుకోవాలని 4 వ ఓల్డెస్ట్ ఆటగాడు (44y 65d) ',' 2 వ అత్యంత వృద్ధ ఆటగాడు (44y 65d) ' '20 వ అత్యంత బంతుల్లో ఒక మ్యాచ్లో బౌల్డ్ (656)', '6 వ మ్యాచ్ లో సాధించిన అత్యధిక పరుగులు (298)', '32 వ బౌలర్ / బ్యాటర్ కలయికలు (11)', '45 వ అత"&amp;"్యధిక వికెట్లు తీసుకున్న బౌల్డ్ (56)', ' 13 వ అత్యంత ఆకర్షించింది తీసుకున్న మరియు బౌల్డ్ వికెట్లు (11) ',' 4 వ అత్యధిక వికెట్లు స్టంప్ (28) ',' 20 వ వేగంగా 50 వికెట్లు (10) తీసుకున్న ',' 100 వికెట్లు (17) ',' 150 వేగవంతమైన 4 వ 2 వ వేగవంతమైన వికెట్లు (28"&amp;") ',' ఫాస్టెస్ట్ 200 Wi 2 వ ckets (36) ',' 22 వ ఓల్డెస్ట్ క్రీడాకారులు (44y 69d) ']")</f>
        <v>[ '13 వ మ్యాచ్ లో బెస్ట్ ఫిగర్స్ (14)', 'వరుస 3 వ అత్యధిక వికెట్లు (44)', '40 వ మ్యాచ్ లో బెస్ట్ ఫిగర్స్ ఉన్నప్పుడు పరాజయం వైపు (10)', '19 చెత్త సమ్మె ఇన్నింగ్స్ లో రేటు (384.0) ',' తొలి ఇన్నింగ్స్లో 22 బెస్ట్ ఫిగర్స్ (6) ',' తొలి మ్యాచ్లో 5 వ ఉత్తమ బొమ్మలు (11) ', '21 వ అత్యంత ఐదు-వికెట్ల లో-ఒక-ఇన్నింగ్స్ కెరీర్లో (21 ) ',' 6 వ అత్యంత పది వికెట్లు లో ఒక మ్యాచ్ ఒక కెరీర్ (7) ',' 18 వ వరుస ఐదు వికెట్ల లో-ఒక-ఇన్నింగ్స్ (3) ',' 3 వ వరుస పది వికెట్ల లో -a మ్యాచ్ల (3) ',' ఐదు వికెట్ల లో-ఒక-ఇన్నింగ్స్ పది వికెట్లు లో ఒక మ్యాచ్ తీసుకోవాలని తీసుకోవాలని 4 వ ఓల్డెస్ట్ ఆటగాడు (44y 65d) ',' 2 వ అత్యంత వృద్ధ ఆటగాడు (44y 65d) ' '20 వ అత్యంత బంతుల్లో ఒక మ్యాచ్లో బౌల్డ్ (656)', '6 వ మ్యాచ్ లో సాధించిన అత్యధిక పరుగులు (298)', '32 వ బౌలర్ / బ్యాటర్ కలయికలు (11)', '45 వ అత్యధిక వికెట్లు తీసుకున్న బౌల్డ్ (56)', ' 13 వ అత్యంత ఆకర్షించింది తీసుకున్న మరియు బౌల్డ్ వికెట్లు (11) ',' 4 వ అత్యధిక వికెట్లు స్టంప్ (28) ',' 20 వ వేగంగా 50 వికెట్లు (10) తీసుకున్న ',' 100 వికెట్లు (17) ',' 150 వేగవంతమైన 4 వ 2 వ వేగవంతమైన వికెట్లు (28) ',' ఫాస్టెస్ట్ 200 Wi 2 వ ckets (36) ',' 22 వ ఓల్డెస్ట్ క్రీడాకారులు (44y 69d) ']</v>
      </c>
      <c r="E2614" s="2"/>
      <c r="F2614" s="2" t="str">
        <f>IFERROR(__xludf.DUMMYFUNCTION("IF(E2614&lt;&gt;"""", GOOGLETRANSLATE(E2614, ""en"", ""te""),"""")"),"")</f>
        <v/>
      </c>
      <c r="G2614" s="2"/>
      <c r="H2614" s="2" t="str">
        <f>IFERROR(__xludf.DUMMYFUNCTION("IF(G2614&lt;&gt;"""", GOOGLETRANSLATE(G2614, ""en"", ""te""),"""")"),"")</f>
        <v/>
      </c>
      <c r="I2614" s="3"/>
    </row>
    <row r="2615" customHeight="1" spans="1:9">
      <c r="A2615" s="2" t="s">
        <v>1893</v>
      </c>
      <c r="B2615" s="2" t="str">
        <f>IFERROR(__xludf.DUMMYFUNCTION("IF(A2615&lt;&gt;"""", GOOGLETRANSLATE(A2615, ""en"", ""te""),"""")"),"[ 'ప్రవేశం (107) పై వంద']")</f>
        <v>[ 'ప్రవేశం (107) పై వంద']</v>
      </c>
      <c r="C2615" s="2"/>
      <c r="D2615" s="2" t="str">
        <f>IFERROR(__xludf.DUMMYFUNCTION("IF(C2615&lt;&gt;"""", GOOGLETRANSLATE(C2615, ""en"", ""te""),"""")"),"")</f>
        <v/>
      </c>
      <c r="E2615" s="2"/>
      <c r="F2615" s="2" t="str">
        <f>IFERROR(__xludf.DUMMYFUNCTION("IF(E2615&lt;&gt;"""", GOOGLETRANSLATE(E2615, ""en"", ""te""),"""")"),"")</f>
        <v/>
      </c>
      <c r="G2615" s="2"/>
      <c r="H2615" s="2" t="str">
        <f>IFERROR(__xludf.DUMMYFUNCTION("IF(G2615&lt;&gt;"""", GOOGLETRANSLATE(G2615, ""en"", ""te""),"""")"),"")</f>
        <v/>
      </c>
      <c r="I2615" s="3"/>
    </row>
    <row r="2616" customHeight="1" spans="1:9">
      <c r="A2616" s="2" t="s">
        <v>1894</v>
      </c>
      <c r="B2616" s="2" t="str">
        <f>IFERROR(__xludf.DUMMYFUNCTION("IF(A2616&lt;&gt;"""", GOOGLETRANSLATE(A2616, ""en"", ""te""),"""")"),"[ '9 వ లాంగెస్ట్ కెరీర్లు (22y 32d)', 'కెప్టెన్సీ తొలి 3 వ ఓల్డెస్ట్ కాప్టెన్ (42y 43D)', '10 వ అత్యధిక పరుగులు ఇన్నింగ్స్ లో (బ్యాటింగ్ స్థానం) (201)', 'తొమ్మిదవ వికెట్కు 8 వ అత్యధిక భాగస్వామ్యం ( 154) ',' 9 వ లాంగెస్ట్ కెరీర్లు (22y 32d) ']")</f>
        <v>[ '9 వ లాంగెస్ట్ కెరీర్లు (22y 32d)', 'కెప్టెన్సీ తొలి 3 వ ఓల్డెస్ట్ కాప్టెన్ (42y 43D)', '10 వ అత్యధిక పరుగులు ఇన్నింగ్స్ లో (బ్యాటింగ్ స్థానం) (201)', 'తొమ్మిదవ వికెట్కు 8 వ అత్యధిక భాగస్వామ్యం ( 154) ',' 9 వ లాంగెస్ట్ కెరీర్లు (22y 32d) ']</v>
      </c>
      <c r="C2616" s="2" t="s">
        <v>1895</v>
      </c>
      <c r="D2616" s="2" t="str">
        <f>IFERROR(__xludf.DUMMYFUNCTION("IF(C2616&lt;&gt;"""", GOOGLETRANSLATE(C2616, ""en"", ""te""),"""")"),"కోసం [ '10 వ ఇన్నింగ్స్ లో అత్యధిక పరుగులు (బ్యాటింగ్ స్థానంలో ప్రకారం) (201)', '36 వ అత్యధిక తొలి వంద (201)' '37 వ పరాజయం వైపు (217) ఒక మ్యాచ్లో అత్యధిక పరుగులు', '8 వ అత్యధిక భాగస్వామ్యం తొమ్మిదవ వికెట్ (154) ',' 38 వ ఓల్డెస్ట్ క్రీడాకారులు (42y 130d) "&amp;"',' 9 వ లాంగెస్ట్ కెరీర్లు (22y 32d) ',' 7 వ ఓల్డెస్ట్ కాప్టెన్ (42y 130d) ',' కెప్టెన్సీ తొలి 3 వ ఓల్డెస్ట్ కాప్టెన్ (42y 43D) ']")</f>
        <v>కోసం [ '10 వ ఇన్నింగ్స్ లో అత్యధిక పరుగులు (బ్యాటింగ్ స్థానంలో ప్రకారం) (201)', '36 వ అత్యధిక తొలి వంద (201)' '37 వ పరాజయం వైపు (217) ఒక మ్యాచ్లో అత్యధిక పరుగులు', '8 వ అత్యధిక భాగస్వామ్యం తొమ్మిదవ వికెట్ (154) ',' 38 వ ఓల్డెస్ట్ క్రీడాకారులు (42y 130d) ',' 9 వ లాంగెస్ట్ కెరీర్లు (22y 32d) ',' 7 వ ఓల్డెస్ట్ కాప్టెన్ (42y 130d) ',' కెప్టెన్సీ తొలి 3 వ ఓల్డెస్ట్ కాప్టెన్ (42y 43D) ']</v>
      </c>
      <c r="E2616" s="2"/>
      <c r="F2616" s="2" t="str">
        <f>IFERROR(__xludf.DUMMYFUNCTION("IF(E2616&lt;&gt;"""", GOOGLETRANSLATE(E2616, ""en"", ""te""),"""")"),"")</f>
        <v/>
      </c>
      <c r="G2616" s="2"/>
      <c r="H2616" s="2" t="str">
        <f>IFERROR(__xludf.DUMMYFUNCTION("IF(G2616&lt;&gt;"""", GOOGLETRANSLATE(G2616, ""en"", ""te""),"""")"),"")</f>
        <v/>
      </c>
      <c r="I2616" s="3"/>
    </row>
    <row r="2617" customHeight="1" spans="1:9">
      <c r="A2617" s="2"/>
      <c r="B2617" s="2" t="str">
        <f>IFERROR(__xludf.DUMMYFUNCTION("IF(A2617&lt;&gt;"""", GOOGLETRANSLATE(A2617, ""en"", ""te""),"""")"),"")</f>
        <v/>
      </c>
      <c r="C2617" s="2"/>
      <c r="D2617" s="2" t="str">
        <f>IFERROR(__xludf.DUMMYFUNCTION("IF(C2617&lt;&gt;"""", GOOGLETRANSLATE(C2617, ""en"", ""te""),"""")"),"")</f>
        <v/>
      </c>
      <c r="E2617" s="2"/>
      <c r="F2617" s="2" t="str">
        <f>IFERROR(__xludf.DUMMYFUNCTION("IF(E2617&lt;&gt;"""", GOOGLETRANSLATE(E2617, ""en"", ""te""),"""")"),"")</f>
        <v/>
      </c>
      <c r="G2617" s="2"/>
      <c r="H2617" s="2" t="str">
        <f>IFERROR(__xludf.DUMMYFUNCTION("IF(G2617&lt;&gt;"""", GOOGLETRANSLATE(G2617, ""en"", ""te""),"""")"),"")</f>
        <v/>
      </c>
      <c r="I2617" s="3"/>
    </row>
    <row r="2618" customHeight="1" spans="1:9">
      <c r="A2618" s="2"/>
      <c r="B2618" s="2" t="str">
        <f>IFERROR(__xludf.DUMMYFUNCTION("IF(A2618&lt;&gt;"""", GOOGLETRANSLATE(A2618, ""en"", ""te""),"""")"),"")</f>
        <v/>
      </c>
      <c r="C2618" s="2"/>
      <c r="D2618" s="2" t="str">
        <f>IFERROR(__xludf.DUMMYFUNCTION("IF(C2618&lt;&gt;"""", GOOGLETRANSLATE(C2618, ""en"", ""te""),"""")"),"")</f>
        <v/>
      </c>
      <c r="E2618" s="2"/>
      <c r="F2618" s="2" t="str">
        <f>IFERROR(__xludf.DUMMYFUNCTION("IF(E2618&lt;&gt;"""", GOOGLETRANSLATE(E2618, ""en"", ""te""),"""")"),"")</f>
        <v/>
      </c>
      <c r="G2618" s="2"/>
      <c r="H2618" s="2" t="str">
        <f>IFERROR(__xludf.DUMMYFUNCTION("IF(G2618&lt;&gt;"""", GOOGLETRANSLATE(G2618, ""en"", ""te""),"""")"),"")</f>
        <v/>
      </c>
      <c r="I2618" s="3"/>
    </row>
    <row r="2619" customHeight="1" spans="1:9">
      <c r="A2619" s="2"/>
      <c r="B2619" s="2" t="str">
        <f>IFERROR(__xludf.DUMMYFUNCTION("IF(A2619&lt;&gt;"""", GOOGLETRANSLATE(A2619, ""en"", ""te""),"""")"),"")</f>
        <v/>
      </c>
      <c r="C2619" s="2"/>
      <c r="D2619" s="2" t="str">
        <f>IFERROR(__xludf.DUMMYFUNCTION("IF(C2619&lt;&gt;"""", GOOGLETRANSLATE(C2619, ""en"", ""te""),"""")"),"")</f>
        <v/>
      </c>
      <c r="E2619" s="2"/>
      <c r="F2619" s="2" t="str">
        <f>IFERROR(__xludf.DUMMYFUNCTION("IF(E2619&lt;&gt;"""", GOOGLETRANSLATE(E2619, ""en"", ""te""),"""")"),"")</f>
        <v/>
      </c>
      <c r="G2619" s="2"/>
      <c r="H2619" s="2" t="str">
        <f>IFERROR(__xludf.DUMMYFUNCTION("IF(G2619&lt;&gt;"""", GOOGLETRANSLATE(G2619, ""en"", ""te""),"""")"),"")</f>
        <v/>
      </c>
      <c r="I2619" s="3"/>
    </row>
    <row r="2620" customHeight="1" spans="1:9">
      <c r="A2620" s="2" t="s">
        <v>1896</v>
      </c>
      <c r="B2620" s="2" t="str">
        <f>IFERROR(__xludf.DUMMYFUNCTION("IF(A2620&lt;&gt;"""", GOOGLETRANSLATE(A2620, ""en"", ""te""),"""")"),"[ '6 వ అత్యుత్తమ బౌలింగ్ ఇన్నింగ్స్ లో విశ్లేషించడం (3/4)', 'ఇన్నింగ్స్ లో 4 వ ఉత్తమ ఆర్థిక రేటు (0.30)', 'ఒకే మ్యాచ్ లో బ్యాటింగ్ ప్రారంభించుటకు మరియు బౌలింగ్']")</f>
        <v>[ '6 వ అత్యుత్తమ బౌలింగ్ ఇన్నింగ్స్ లో విశ్లేషించడం (3/4)', 'ఇన్నింగ్స్ లో 4 వ ఉత్తమ ఆర్థిక రేటు (0.30)', 'ఒకే మ్యాచ్ లో బ్యాటింగ్ ప్రారంభించుటకు మరియు బౌలింగ్']</v>
      </c>
      <c r="C2620" s="2" t="s">
        <v>1897</v>
      </c>
      <c r="D2620" s="2" t="str">
        <f>IFERROR(__xludf.DUMMYFUNCTION("IF(C2620&lt;&gt;"""", GOOGLETRANSLATE(C2620, ""en"", ""te""),"""")"),"[ '6 వ అత్యుత్తమ బౌలింగ్ ఇన్నింగ్స్ లో విశ్లేషించడం (3/4)', 'ఇన్నింగ్స్ లో 4 వ ఉత్తమ ఆర్థిక రేటు (0.30)', '19 వ లాంగెస్ట్ క్రీడాకారులు (93y 353d) నివసించారు']")</f>
        <v>[ '6 వ అత్యుత్తమ బౌలింగ్ ఇన్నింగ్స్ లో విశ్లేషించడం (3/4)', 'ఇన్నింగ్స్ లో 4 వ ఉత్తమ ఆర్థిక రేటు (0.30)', '19 వ లాంగెస్ట్ క్రీడాకారులు (93y 353d) నివసించారు']</v>
      </c>
      <c r="E2620" s="2"/>
      <c r="F2620" s="2" t="str">
        <f>IFERROR(__xludf.DUMMYFUNCTION("IF(E2620&lt;&gt;"""", GOOGLETRANSLATE(E2620, ""en"", ""te""),"""")"),"")</f>
        <v/>
      </c>
      <c r="G2620" s="2"/>
      <c r="H2620" s="2" t="str">
        <f>IFERROR(__xludf.DUMMYFUNCTION("IF(G2620&lt;&gt;"""", GOOGLETRANSLATE(G2620, ""en"", ""te""),"""")"),"")</f>
        <v/>
      </c>
      <c r="I2620" s="3"/>
    </row>
    <row r="2621" customHeight="1" spans="1:9">
      <c r="A2621" s="2"/>
      <c r="B2621" s="2" t="str">
        <f>IFERROR(__xludf.DUMMYFUNCTION("IF(A2621&lt;&gt;"""", GOOGLETRANSLATE(A2621, ""en"", ""te""),"""")"),"")</f>
        <v/>
      </c>
      <c r="C2621" s="2"/>
      <c r="D2621" s="2" t="str">
        <f>IFERROR(__xludf.DUMMYFUNCTION("IF(C2621&lt;&gt;"""", GOOGLETRANSLATE(C2621, ""en"", ""te""),"""")"),"")</f>
        <v/>
      </c>
      <c r="E2621" s="2"/>
      <c r="F2621" s="2" t="str">
        <f>IFERROR(__xludf.DUMMYFUNCTION("IF(E2621&lt;&gt;"""", GOOGLETRANSLATE(E2621, ""en"", ""te""),"""")"),"")</f>
        <v/>
      </c>
      <c r="G2621" s="2"/>
      <c r="H2621" s="2" t="str">
        <f>IFERROR(__xludf.DUMMYFUNCTION("IF(G2621&lt;&gt;"""", GOOGLETRANSLATE(G2621, ""en"", ""te""),"""")"),"")</f>
        <v/>
      </c>
      <c r="I2621" s="3"/>
    </row>
    <row r="2622" customHeight="1" spans="1:9">
      <c r="A2622" s="2"/>
      <c r="B2622" s="2" t="str">
        <f>IFERROR(__xludf.DUMMYFUNCTION("IF(A2622&lt;&gt;"""", GOOGLETRANSLATE(A2622, ""en"", ""te""),"""")"),"")</f>
        <v/>
      </c>
      <c r="C2622" s="2"/>
      <c r="D2622" s="2" t="str">
        <f>IFERROR(__xludf.DUMMYFUNCTION("IF(C2622&lt;&gt;"""", GOOGLETRANSLATE(C2622, ""en"", ""te""),"""")"),"")</f>
        <v/>
      </c>
      <c r="E2622" s="2"/>
      <c r="F2622" s="2" t="str">
        <f>IFERROR(__xludf.DUMMYFUNCTION("IF(E2622&lt;&gt;"""", GOOGLETRANSLATE(E2622, ""en"", ""te""),"""")"),"")</f>
        <v/>
      </c>
      <c r="G2622" s="2"/>
      <c r="H2622" s="2" t="str">
        <f>IFERROR(__xludf.DUMMYFUNCTION("IF(G2622&lt;&gt;"""", GOOGLETRANSLATE(G2622, ""en"", ""te""),"""")"),"")</f>
        <v/>
      </c>
      <c r="I2622" s="3"/>
    </row>
    <row r="2623" customHeight="1" spans="1:9">
      <c r="A2623" s="2"/>
      <c r="B2623" s="2" t="str">
        <f>IFERROR(__xludf.DUMMYFUNCTION("IF(A2623&lt;&gt;"""", GOOGLETRANSLATE(A2623, ""en"", ""te""),"""")"),"")</f>
        <v/>
      </c>
      <c r="C2623" s="2"/>
      <c r="D2623" s="2" t="str">
        <f>IFERROR(__xludf.DUMMYFUNCTION("IF(C2623&lt;&gt;"""", GOOGLETRANSLATE(C2623, ""en"", ""te""),"""")"),"")</f>
        <v/>
      </c>
      <c r="E2623" s="2"/>
      <c r="F2623" s="2" t="str">
        <f>IFERROR(__xludf.DUMMYFUNCTION("IF(E2623&lt;&gt;"""", GOOGLETRANSLATE(E2623, ""en"", ""te""),"""")"),"")</f>
        <v/>
      </c>
      <c r="G2623" s="2"/>
      <c r="H2623" s="2" t="str">
        <f>IFERROR(__xludf.DUMMYFUNCTION("IF(G2623&lt;&gt;"""", GOOGLETRANSLATE(G2623, ""en"", ""te""),"""")"),"")</f>
        <v/>
      </c>
      <c r="I2623" s="3"/>
    </row>
    <row r="2624" customHeight="1" spans="1:9">
      <c r="A2624" s="2"/>
      <c r="B2624" s="2" t="str">
        <f>IFERROR(__xludf.DUMMYFUNCTION("IF(A2624&lt;&gt;"""", GOOGLETRANSLATE(A2624, ""en"", ""te""),"""")"),"")</f>
        <v/>
      </c>
      <c r="C2624" s="2"/>
      <c r="D2624" s="2" t="str">
        <f>IFERROR(__xludf.DUMMYFUNCTION("IF(C2624&lt;&gt;"""", GOOGLETRANSLATE(C2624, ""en"", ""te""),"""")"),"")</f>
        <v/>
      </c>
      <c r="E2624" s="2"/>
      <c r="F2624" s="2" t="str">
        <f>IFERROR(__xludf.DUMMYFUNCTION("IF(E2624&lt;&gt;"""", GOOGLETRANSLATE(E2624, ""en"", ""te""),"""")"),"")</f>
        <v/>
      </c>
      <c r="G2624" s="2"/>
      <c r="H2624" s="2" t="str">
        <f>IFERROR(__xludf.DUMMYFUNCTION("IF(G2624&lt;&gt;"""", GOOGLETRANSLATE(G2624, ""en"", ""te""),"""")"),"")</f>
        <v/>
      </c>
      <c r="I2624" s="3"/>
    </row>
    <row r="2625" customHeight="1" spans="1:9">
      <c r="A2625" s="2" t="s">
        <v>1898</v>
      </c>
      <c r="B2625" s="2" t="str">
        <f>IFERROR(__xludf.DUMMYFUNCTION("IF(A2625&lt;&gt;"""", GOOGLETRANSLATE(A2625, ""en"", ""te""),"""")"),"[ 'తొలి వికెట్కు (235) 5 వ అత్యధిక భాగస్వామ్యం']")</f>
        <v>[ 'తొలి వికెట్కు (235) 5 వ అత్యధిక భాగస్వామ్యం']</v>
      </c>
      <c r="C2625" s="2"/>
      <c r="D2625" s="2" t="str">
        <f>IFERROR(__xludf.DUMMYFUNCTION("IF(C2625&lt;&gt;"""", GOOGLETRANSLATE(C2625, ""en"", ""te""),"""")"),"")</f>
        <v/>
      </c>
      <c r="E2625" s="2" t="s">
        <v>1899</v>
      </c>
      <c r="F2625" s="2" t="str">
        <f>IFERROR(__xludf.DUMMYFUNCTION("IF(E2625&lt;&gt;"""", GOOGLETRANSLATE(E2625, ""en"", ""te""),"""")"),"[ '41 వ ఒక సిరీస్లో అత్యధిక పరుగులు (480)', '20 వ అత్యధిక తొలి వంద (123)', '32 వ కెరీర్ లో అతి తక్కువ బాతులు (21.5)', 'వరుస 47 వ అత్యధిక క్యాచ్లు (6)', '9 వ అత్యధిక భాగస్వామ్యాలు ఏ వికెట్కు (235) ',' తొలి వికెట్కు (235) 5 వ అత్యధిక భాగస్వామ్యం ']")</f>
        <v>[ '41 వ ఒక సిరీస్లో అత్యధిక పరుగులు (480)', '20 వ అత్యధిక తొలి వంద (123)', '32 వ కెరీర్ లో అతి తక్కువ బాతులు (21.5)', 'వరుస 47 వ అత్యధిక క్యాచ్లు (6)', '9 వ అత్యధిక భాగస్వామ్యాలు ఏ వికెట్కు (235) ',' తొలి వికెట్కు (235) 5 వ అత్యధిక భాగస్వామ్యం ']</v>
      </c>
      <c r="G2625" s="2" t="s">
        <v>1900</v>
      </c>
      <c r="H2625" s="2" t="str">
        <f>IFERROR(__xludf.DUMMYFUNCTION("IF(G2625&lt;&gt;"""", GOOGLETRANSLATE(G2625, ""en"", ""te""),"""")"),"[ '34 వ కెరీర్ అర్ధ (3)', 'కెరీర్లో 43 వ అతి తక్కువ బాతులు (15.5)', 'ఏ వికెట్కు 15 అత్యధిక భాగస్వామ్యాల (147)', 'ఒక ఇన్నింగ్స్లో పరుగులు (58.73) 26 అత్యధిక శాతం', 'మొదటి వికెట్కు 9 వ అత్యధిక భాగస్వామ్యం (147)', 'ఆరవ వికెట్కు 11 వ అత్యధిక భాగస్వామ్యం (55 *"&amp;")']")</f>
        <v>[ '34 వ కెరీర్ అర్ధ (3)', 'కెరీర్లో 43 వ అతి తక్కువ బాతులు (15.5)', 'ఏ వికెట్కు 15 అత్యధిక భాగస్వామ్యాల (147)', 'ఒక ఇన్నింగ్స్లో పరుగులు (58.73) 26 అత్యధిక శాతం', 'మొదటి వికెట్కు 9 వ అత్యధిక భాగస్వామ్యం (147)', 'ఆరవ వికెట్కు 11 వ అత్యధిక భాగస్వామ్యం (55 *)']</v>
      </c>
      <c r="I2625" s="3"/>
    </row>
    <row r="2626" customHeight="1" spans="1:9">
      <c r="A2626" s="2"/>
      <c r="B2626" s="2" t="str">
        <f>IFERROR(__xludf.DUMMYFUNCTION("IF(A2626&lt;&gt;"""", GOOGLETRANSLATE(A2626, ""en"", ""te""),"""")"),"")</f>
        <v/>
      </c>
      <c r="C2626" s="2"/>
      <c r="D2626" s="2" t="str">
        <f>IFERROR(__xludf.DUMMYFUNCTION("IF(C2626&lt;&gt;"""", GOOGLETRANSLATE(C2626, ""en"", ""te""),"""")"),"")</f>
        <v/>
      </c>
      <c r="E2626" s="2"/>
      <c r="F2626" s="2" t="str">
        <f>IFERROR(__xludf.DUMMYFUNCTION("IF(E2626&lt;&gt;"""", GOOGLETRANSLATE(E2626, ""en"", ""te""),"""")"),"")</f>
        <v/>
      </c>
      <c r="G2626" s="2"/>
      <c r="H2626" s="2" t="str">
        <f>IFERROR(__xludf.DUMMYFUNCTION("IF(G2626&lt;&gt;"""", GOOGLETRANSLATE(G2626, ""en"", ""te""),"""")"),"")</f>
        <v/>
      </c>
      <c r="I2626" s="3"/>
    </row>
    <row r="2627" customHeight="1" spans="1:9">
      <c r="A2627" s="2"/>
      <c r="B2627" s="2" t="str">
        <f>IFERROR(__xludf.DUMMYFUNCTION("IF(A2627&lt;&gt;"""", GOOGLETRANSLATE(A2627, ""en"", ""te""),"""")"),"")</f>
        <v/>
      </c>
      <c r="C2627" s="2"/>
      <c r="D2627" s="2" t="str">
        <f>IFERROR(__xludf.DUMMYFUNCTION("IF(C2627&lt;&gt;"""", GOOGLETRANSLATE(C2627, ""en"", ""te""),"""")"),"")</f>
        <v/>
      </c>
      <c r="E2627" s="2"/>
      <c r="F2627" s="2" t="str">
        <f>IFERROR(__xludf.DUMMYFUNCTION("IF(E2627&lt;&gt;"""", GOOGLETRANSLATE(E2627, ""en"", ""te""),"""")"),"")</f>
        <v/>
      </c>
      <c r="G2627" s="2"/>
      <c r="H2627" s="2" t="str">
        <f>IFERROR(__xludf.DUMMYFUNCTION("IF(G2627&lt;&gt;"""", GOOGLETRANSLATE(G2627, ""en"", ""te""),"""")"),"")</f>
        <v/>
      </c>
      <c r="I2627" s="3"/>
    </row>
    <row r="2628" customHeight="1" spans="1:9">
      <c r="A2628" s="2"/>
      <c r="B2628" s="2" t="str">
        <f>IFERROR(__xludf.DUMMYFUNCTION("IF(A2628&lt;&gt;"""", GOOGLETRANSLATE(A2628, ""en"", ""te""),"""")"),"")</f>
        <v/>
      </c>
      <c r="C2628" s="2"/>
      <c r="D2628" s="2" t="str">
        <f>IFERROR(__xludf.DUMMYFUNCTION("IF(C2628&lt;&gt;"""", GOOGLETRANSLATE(C2628, ""en"", ""te""),"""")"),"")</f>
        <v/>
      </c>
      <c r="E2628" s="2"/>
      <c r="F2628" s="2" t="str">
        <f>IFERROR(__xludf.DUMMYFUNCTION("IF(E2628&lt;&gt;"""", GOOGLETRANSLATE(E2628, ""en"", ""te""),"""")"),"")</f>
        <v/>
      </c>
      <c r="G2628" s="2"/>
      <c r="H2628" s="2" t="str">
        <f>IFERROR(__xludf.DUMMYFUNCTION("IF(G2628&lt;&gt;"""", GOOGLETRANSLATE(G2628, ""en"", ""te""),"""")"),"")</f>
        <v/>
      </c>
      <c r="I2628" s="3"/>
    </row>
    <row r="2629" customHeight="1" spans="1:9">
      <c r="A2629" s="2"/>
      <c r="B2629" s="2" t="str">
        <f>IFERROR(__xludf.DUMMYFUNCTION("IF(A2629&lt;&gt;"""", GOOGLETRANSLATE(A2629, ""en"", ""te""),"""")"),"")</f>
        <v/>
      </c>
      <c r="C2629" s="2" t="s">
        <v>1901</v>
      </c>
      <c r="D2629" s="2" t="str">
        <f>IFERROR(__xludf.DUMMYFUNCTION("IF(C2629&lt;&gt;"""", GOOGLETRANSLATE(C2629, ""en"", ""te""),"""")"),"[ 'తొలి 16 తొంభై (90)']")</f>
        <v>[ 'తొలి 16 తొంభై (90)']</v>
      </c>
      <c r="E2629" s="2" t="s">
        <v>1902</v>
      </c>
      <c r="F2629" s="2" t="str">
        <f>IFERROR(__xludf.DUMMYFUNCTION("IF(E2629&lt;&gt;"""", GOOGLETRANSLATE(E2629, ""en"", ""te""),"""")"),"[ '16 వ ఉత్తమ ఇన్నింగ్స్ లో ఆర్థిక రేటు (0.80)', '36 వ పురాతన దేశం ఆటగాళ్ళు (78y 157d)']")</f>
        <v>[ '16 వ ఉత్తమ ఇన్నింగ్స్ లో ఆర్థిక రేటు (0.80)', '36 వ పురాతన దేశం ఆటగాళ్ళు (78y 157d)']</v>
      </c>
      <c r="G2629" s="2"/>
      <c r="H2629" s="2" t="str">
        <f>IFERROR(__xludf.DUMMYFUNCTION("IF(G2629&lt;&gt;"""", GOOGLETRANSLATE(G2629, ""en"", ""te""),"""")"),"")</f>
        <v/>
      </c>
      <c r="I2629" s="3"/>
    </row>
    <row r="2630" customHeight="1" spans="1:9">
      <c r="A2630" s="2"/>
      <c r="B2630" s="2" t="str">
        <f>IFERROR(__xludf.DUMMYFUNCTION("IF(A2630&lt;&gt;"""", GOOGLETRANSLATE(A2630, ""en"", ""te""),"""")"),"")</f>
        <v/>
      </c>
      <c r="C2630" s="2"/>
      <c r="D2630" s="2" t="str">
        <f>IFERROR(__xludf.DUMMYFUNCTION("IF(C2630&lt;&gt;"""", GOOGLETRANSLATE(C2630, ""en"", ""te""),"""")"),"")</f>
        <v/>
      </c>
      <c r="E2630" s="2"/>
      <c r="F2630" s="2" t="str">
        <f>IFERROR(__xludf.DUMMYFUNCTION("IF(E2630&lt;&gt;"""", GOOGLETRANSLATE(E2630, ""en"", ""te""),"""")"),"")</f>
        <v/>
      </c>
      <c r="G2630" s="2"/>
      <c r="H2630" s="2" t="str">
        <f>IFERROR(__xludf.DUMMYFUNCTION("IF(G2630&lt;&gt;"""", GOOGLETRANSLATE(G2630, ""en"", ""te""),"""")"),"")</f>
        <v/>
      </c>
      <c r="I2630" s="3"/>
    </row>
    <row r="2631" customHeight="1" spans="1:9">
      <c r="A2631" s="2"/>
      <c r="B2631" s="2" t="str">
        <f>IFERROR(__xludf.DUMMYFUNCTION("IF(A2631&lt;&gt;"""", GOOGLETRANSLATE(A2631, ""en"", ""te""),"""")"),"")</f>
        <v/>
      </c>
      <c r="C2631" s="2"/>
      <c r="D2631" s="2" t="str">
        <f>IFERROR(__xludf.DUMMYFUNCTION("IF(C2631&lt;&gt;"""", GOOGLETRANSLATE(C2631, ""en"", ""te""),"""")"),"")</f>
        <v/>
      </c>
      <c r="E2631" s="2"/>
      <c r="F2631" s="2" t="str">
        <f>IFERROR(__xludf.DUMMYFUNCTION("IF(E2631&lt;&gt;"""", GOOGLETRANSLATE(E2631, ""en"", ""te""),"""")"),"")</f>
        <v/>
      </c>
      <c r="G2631" s="2"/>
      <c r="H2631" s="2" t="str">
        <f>IFERROR(__xludf.DUMMYFUNCTION("IF(G2631&lt;&gt;"""", GOOGLETRANSLATE(G2631, ""en"", ""te""),"""")"),"")</f>
        <v/>
      </c>
      <c r="I2631" s="3"/>
    </row>
    <row r="2632" customHeight="1" spans="1:9">
      <c r="A2632" s="2"/>
      <c r="B2632" s="2" t="str">
        <f>IFERROR(__xludf.DUMMYFUNCTION("IF(A2632&lt;&gt;"""", GOOGLETRANSLATE(A2632, ""en"", ""te""),"""")"),"")</f>
        <v/>
      </c>
      <c r="C2632" s="2"/>
      <c r="D2632" s="2" t="str">
        <f>IFERROR(__xludf.DUMMYFUNCTION("IF(C2632&lt;&gt;"""", GOOGLETRANSLATE(C2632, ""en"", ""te""),"""")"),"")</f>
        <v/>
      </c>
      <c r="E2632" s="2"/>
      <c r="F2632" s="2" t="str">
        <f>IFERROR(__xludf.DUMMYFUNCTION("IF(E2632&lt;&gt;"""", GOOGLETRANSLATE(E2632, ""en"", ""te""),"""")"),"")</f>
        <v/>
      </c>
      <c r="G2632" s="2"/>
      <c r="H2632" s="2" t="str">
        <f>IFERROR(__xludf.DUMMYFUNCTION("IF(G2632&lt;&gt;"""", GOOGLETRANSLATE(G2632, ""en"", ""te""),"""")"),"")</f>
        <v/>
      </c>
      <c r="I2632" s="3"/>
    </row>
    <row r="2633" customHeight="1" spans="1:9">
      <c r="A2633" s="2"/>
      <c r="B2633" s="2" t="str">
        <f>IFERROR(__xludf.DUMMYFUNCTION("IF(A2633&lt;&gt;"""", GOOGLETRANSLATE(A2633, ""en"", ""te""),"""")"),"")</f>
        <v/>
      </c>
      <c r="C2633" s="2"/>
      <c r="D2633" s="2" t="str">
        <f>IFERROR(__xludf.DUMMYFUNCTION("IF(C2633&lt;&gt;"""", GOOGLETRANSLATE(C2633, ""en"", ""te""),"""")"),"")</f>
        <v/>
      </c>
      <c r="E2633" s="2"/>
      <c r="F2633" s="2" t="str">
        <f>IFERROR(__xludf.DUMMYFUNCTION("IF(E2633&lt;&gt;"""", GOOGLETRANSLATE(E2633, ""en"", ""te""),"""")"),"")</f>
        <v/>
      </c>
      <c r="G2633" s="2"/>
      <c r="H2633" s="2" t="str">
        <f>IFERROR(__xludf.DUMMYFUNCTION("IF(G2633&lt;&gt;"""", GOOGLETRANSLATE(G2633, ""en"", ""te""),"""")"),"")</f>
        <v/>
      </c>
      <c r="I2633" s="3"/>
    </row>
    <row r="2634" customHeight="1" spans="1:9">
      <c r="A2634" s="2"/>
      <c r="B2634" s="2" t="str">
        <f>IFERROR(__xludf.DUMMYFUNCTION("IF(A2634&lt;&gt;"""", GOOGLETRANSLATE(A2634, ""en"", ""te""),"""")"),"")</f>
        <v/>
      </c>
      <c r="C2634" s="2" t="s">
        <v>1903</v>
      </c>
      <c r="D2634" s="2" t="str">
        <f>IFERROR(__xludf.DUMMYFUNCTION("IF(C2634&lt;&gt;"""", GOOGLETRANSLATE(C2634, ""en"", ""te""),"""")"),"[ '35 వ అత్యధిక ఇన్నింగ్స్ లో సమ్మె రేటు (182.60)', 'పదవ వికెట్కు 48 వ అత్యధిక భాగస్వామ్యం (82)']")</f>
        <v>[ '35 వ అత్యధిక ఇన్నింగ్స్ లో సమ్మె రేటు (182.60)', 'పదవ వికెట్కు 48 వ అత్యధిక భాగస్వామ్యం (82)']</v>
      </c>
      <c r="E2634" s="2" t="s">
        <v>1904</v>
      </c>
      <c r="F2634" s="2" t="str">
        <f>IFERROR(__xludf.DUMMYFUNCTION("IF(E2634&lt;&gt;"""", GOOGLETRANSLATE(E2634, ""en"", ""te""),"""")"),"[ '42 వ ఒక సిరీస్లో అత్యధిక వికెట్లు (18)']")</f>
        <v>[ '42 వ ఒక సిరీస్లో అత్యధిక వికెట్లు (18)']</v>
      </c>
      <c r="G2634" s="2"/>
      <c r="H2634" s="2" t="str">
        <f>IFERROR(__xludf.DUMMYFUNCTION("IF(G2634&lt;&gt;"""", GOOGLETRANSLATE(G2634, ""en"", ""te""),"""")"),"")</f>
        <v/>
      </c>
      <c r="I2634" s="3"/>
    </row>
    <row r="2635" customHeight="1" spans="1:9">
      <c r="A2635" s="2"/>
      <c r="B2635" s="2" t="str">
        <f>IFERROR(__xludf.DUMMYFUNCTION("IF(A2635&lt;&gt;"""", GOOGLETRANSLATE(A2635, ""en"", ""te""),"""")"),"")</f>
        <v/>
      </c>
      <c r="C2635" s="2"/>
      <c r="D2635" s="2" t="str">
        <f>IFERROR(__xludf.DUMMYFUNCTION("IF(C2635&lt;&gt;"""", GOOGLETRANSLATE(C2635, ""en"", ""te""),"""")"),"")</f>
        <v/>
      </c>
      <c r="E2635" s="2"/>
      <c r="F2635" s="2" t="str">
        <f>IFERROR(__xludf.DUMMYFUNCTION("IF(E2635&lt;&gt;"""", GOOGLETRANSLATE(E2635, ""en"", ""te""),"""")"),"")</f>
        <v/>
      </c>
      <c r="G2635" s="2"/>
      <c r="H2635" s="2" t="str">
        <f>IFERROR(__xludf.DUMMYFUNCTION("IF(G2635&lt;&gt;"""", GOOGLETRANSLATE(G2635, ""en"", ""te""),"""")"),"")</f>
        <v/>
      </c>
      <c r="I2635" s="3"/>
    </row>
    <row r="2636" customHeight="1" spans="1:9">
      <c r="A2636" s="2"/>
      <c r="B2636" s="2" t="str">
        <f>IFERROR(__xludf.DUMMYFUNCTION("IF(A2636&lt;&gt;"""", GOOGLETRANSLATE(A2636, ""en"", ""te""),"""")"),"")</f>
        <v/>
      </c>
      <c r="C2636" s="2"/>
      <c r="D2636" s="2" t="str">
        <f>IFERROR(__xludf.DUMMYFUNCTION("IF(C2636&lt;&gt;"""", GOOGLETRANSLATE(C2636, ""en"", ""te""),"""")"),"")</f>
        <v/>
      </c>
      <c r="E2636" s="2"/>
      <c r="F2636" s="2" t="str">
        <f>IFERROR(__xludf.DUMMYFUNCTION("IF(E2636&lt;&gt;"""", GOOGLETRANSLATE(E2636, ""en"", ""te""),"""")"),"")</f>
        <v/>
      </c>
      <c r="G2636" s="2"/>
      <c r="H2636" s="2" t="str">
        <f>IFERROR(__xludf.DUMMYFUNCTION("IF(G2636&lt;&gt;"""", GOOGLETRANSLATE(G2636, ""en"", ""te""),"""")"),"")</f>
        <v/>
      </c>
      <c r="I2636" s="3"/>
    </row>
    <row r="2637" customHeight="1" spans="1:9">
      <c r="A2637" s="2" t="s">
        <v>153</v>
      </c>
      <c r="B2637" s="2" t="str">
        <f>IFERROR(__xludf.DUMMYFUNCTION("IF(A2637&lt;&gt;"""", GOOGLETRANSLATE(A2637, ""en"", ""te""),"""")"),"[ 'రెండు దేశాలకు ప్రాతినిధ్యం']")</f>
        <v>[ 'రెండు దేశాలకు ప్రాతినిధ్యం']</v>
      </c>
      <c r="C2637" s="2"/>
      <c r="D2637" s="2" t="str">
        <f>IFERROR(__xludf.DUMMYFUNCTION("IF(C2637&lt;&gt;"""", GOOGLETRANSLATE(C2637, ""en"", ""te""),"""")"),"")</f>
        <v/>
      </c>
      <c r="E2637" s="2"/>
      <c r="F2637" s="2" t="str">
        <f>IFERROR(__xludf.DUMMYFUNCTION("IF(E2637&lt;&gt;"""", GOOGLETRANSLATE(E2637, ""en"", ""te""),"""")"),"")</f>
        <v/>
      </c>
      <c r="G2637" s="2"/>
      <c r="H2637" s="2" t="str">
        <f>IFERROR(__xludf.DUMMYFUNCTION("IF(G2637&lt;&gt;"""", GOOGLETRANSLATE(G2637, ""en"", ""te""),"""")"),"")</f>
        <v/>
      </c>
      <c r="I2637" s="3"/>
    </row>
    <row r="2638" customHeight="1" spans="1:9">
      <c r="A2638" s="2"/>
      <c r="B2638" s="2" t="str">
        <f>IFERROR(__xludf.DUMMYFUNCTION("IF(A2638&lt;&gt;"""", GOOGLETRANSLATE(A2638, ""en"", ""te""),"""")"),"")</f>
        <v/>
      </c>
      <c r="C2638" s="2"/>
      <c r="D2638" s="2" t="str">
        <f>IFERROR(__xludf.DUMMYFUNCTION("IF(C2638&lt;&gt;"""", GOOGLETRANSLATE(C2638, ""en"", ""te""),"""")"),"")</f>
        <v/>
      </c>
      <c r="E2638" s="2"/>
      <c r="F2638" s="2" t="str">
        <f>IFERROR(__xludf.DUMMYFUNCTION("IF(E2638&lt;&gt;"""", GOOGLETRANSLATE(E2638, ""en"", ""te""),"""")"),"")</f>
        <v/>
      </c>
      <c r="G2638" s="2"/>
      <c r="H2638" s="2" t="str">
        <f>IFERROR(__xludf.DUMMYFUNCTION("IF(G2638&lt;&gt;"""", GOOGLETRANSLATE(G2638, ""en"", ""te""),"""")"),"")</f>
        <v/>
      </c>
      <c r="I2638" s="3"/>
    </row>
    <row r="2639" customHeight="1" spans="1:9">
      <c r="A2639" s="2"/>
      <c r="B2639" s="2" t="str">
        <f>IFERROR(__xludf.DUMMYFUNCTION("IF(A2639&lt;&gt;"""", GOOGLETRANSLATE(A2639, ""en"", ""te""),"""")"),"")</f>
        <v/>
      </c>
      <c r="C2639" s="2"/>
      <c r="D2639" s="2" t="str">
        <f>IFERROR(__xludf.DUMMYFUNCTION("IF(C2639&lt;&gt;"""", GOOGLETRANSLATE(C2639, ""en"", ""te""),"""")"),"")</f>
        <v/>
      </c>
      <c r="E2639" s="2"/>
      <c r="F2639" s="2" t="str">
        <f>IFERROR(__xludf.DUMMYFUNCTION("IF(E2639&lt;&gt;"""", GOOGLETRANSLATE(E2639, ""en"", ""te""),"""")"),"")</f>
        <v/>
      </c>
      <c r="G2639" s="2"/>
      <c r="H2639" s="2" t="str">
        <f>IFERROR(__xludf.DUMMYFUNCTION("IF(G2639&lt;&gt;"""", GOOGLETRANSLATE(G2639, ""en"", ""te""),"""")"),"")</f>
        <v/>
      </c>
      <c r="I2639" s="3"/>
    </row>
    <row r="2640" customHeight="1" spans="1:9">
      <c r="A2640" s="2"/>
      <c r="B2640" s="2" t="str">
        <f>IFERROR(__xludf.DUMMYFUNCTION("IF(A2640&lt;&gt;"""", GOOGLETRANSLATE(A2640, ""en"", ""te""),"""")"),"")</f>
        <v/>
      </c>
      <c r="C2640" s="2"/>
      <c r="D2640" s="2" t="str">
        <f>IFERROR(__xludf.DUMMYFUNCTION("IF(C2640&lt;&gt;"""", GOOGLETRANSLATE(C2640, ""en"", ""te""),"""")"),"")</f>
        <v/>
      </c>
      <c r="E2640" s="2"/>
      <c r="F2640" s="2" t="str">
        <f>IFERROR(__xludf.DUMMYFUNCTION("IF(E2640&lt;&gt;"""", GOOGLETRANSLATE(E2640, ""en"", ""te""),"""")"),"")</f>
        <v/>
      </c>
      <c r="G2640" s="2"/>
      <c r="H2640" s="2" t="str">
        <f>IFERROR(__xludf.DUMMYFUNCTION("IF(G2640&lt;&gt;"""", GOOGLETRANSLATE(G2640, ""en"", ""te""),"""")"),"")</f>
        <v/>
      </c>
      <c r="I2640" s="3"/>
    </row>
    <row r="2641" customHeight="1" spans="1:9">
      <c r="A2641" s="2"/>
      <c r="B2641" s="2" t="str">
        <f>IFERROR(__xludf.DUMMYFUNCTION("IF(A2641&lt;&gt;"""", GOOGLETRANSLATE(A2641, ""en"", ""te""),"""")"),"")</f>
        <v/>
      </c>
      <c r="C2641" s="2"/>
      <c r="D2641" s="2" t="str">
        <f>IFERROR(__xludf.DUMMYFUNCTION("IF(C2641&lt;&gt;"""", GOOGLETRANSLATE(C2641, ""en"", ""te""),"""")"),"")</f>
        <v/>
      </c>
      <c r="E2641" s="2"/>
      <c r="F2641" s="2" t="str">
        <f>IFERROR(__xludf.DUMMYFUNCTION("IF(E2641&lt;&gt;"""", GOOGLETRANSLATE(E2641, ""en"", ""te""),"""")"),"")</f>
        <v/>
      </c>
      <c r="G2641" s="2"/>
      <c r="H2641" s="2" t="str">
        <f>IFERROR(__xludf.DUMMYFUNCTION("IF(G2641&lt;&gt;"""", GOOGLETRANSLATE(G2641, ""en"", ""te""),"""")"),"")</f>
        <v/>
      </c>
      <c r="I2641" s="3"/>
    </row>
    <row r="2642" customHeight="1" spans="1:9">
      <c r="A2642" s="2"/>
      <c r="B2642" s="2" t="str">
        <f>IFERROR(__xludf.DUMMYFUNCTION("IF(A2642&lt;&gt;"""", GOOGLETRANSLATE(A2642, ""en"", ""te""),"""")"),"")</f>
        <v/>
      </c>
      <c r="C2642" s="2"/>
      <c r="D2642" s="2" t="str">
        <f>IFERROR(__xludf.DUMMYFUNCTION("IF(C2642&lt;&gt;"""", GOOGLETRANSLATE(C2642, ""en"", ""te""),"""")"),"")</f>
        <v/>
      </c>
      <c r="E2642" s="2"/>
      <c r="F2642" s="2" t="str">
        <f>IFERROR(__xludf.DUMMYFUNCTION("IF(E2642&lt;&gt;"""", GOOGLETRANSLATE(E2642, ""en"", ""te""),"""")"),"")</f>
        <v/>
      </c>
      <c r="G2642" s="2"/>
      <c r="H2642" s="2" t="str">
        <f>IFERROR(__xludf.DUMMYFUNCTION("IF(G2642&lt;&gt;"""", GOOGLETRANSLATE(G2642, ""en"", ""te""),"""")"),"")</f>
        <v/>
      </c>
      <c r="I2642" s="3"/>
    </row>
    <row r="2643" customHeight="1" spans="1:9">
      <c r="A2643" s="2"/>
      <c r="B2643" s="2" t="str">
        <f>IFERROR(__xludf.DUMMYFUNCTION("IF(A2643&lt;&gt;"""", GOOGLETRANSLATE(A2643, ""en"", ""te""),"""")"),"")</f>
        <v/>
      </c>
      <c r="C2643" s="2"/>
      <c r="D2643" s="2" t="str">
        <f>IFERROR(__xludf.DUMMYFUNCTION("IF(C2643&lt;&gt;"""", GOOGLETRANSLATE(C2643, ""en"", ""te""),"""")"),"")</f>
        <v/>
      </c>
      <c r="E2643" s="2"/>
      <c r="F2643" s="2" t="str">
        <f>IFERROR(__xludf.DUMMYFUNCTION("IF(E2643&lt;&gt;"""", GOOGLETRANSLATE(E2643, ""en"", ""te""),"""")"),"")</f>
        <v/>
      </c>
      <c r="G2643" s="2"/>
      <c r="H2643" s="2" t="str">
        <f>IFERROR(__xludf.DUMMYFUNCTION("IF(G2643&lt;&gt;"""", GOOGLETRANSLATE(G2643, ""en"", ""te""),"""")"),"")</f>
        <v/>
      </c>
      <c r="I2643" s="3"/>
    </row>
    <row r="2644" customHeight="1" spans="1:9">
      <c r="A2644" s="2" t="s">
        <v>1905</v>
      </c>
      <c r="B2644" s="2" t="str">
        <f>IFERROR(__xludf.DUMMYFUNCTION("IF(A2644&lt;&gt;"""", GOOGLETRANSLATE(A2644, ""en"", ""te""),"""")"),"[ '6 వ చెత్త కెరీర్లో సమ్మె రేటు (79.3)']")</f>
        <v>[ '6 వ చెత్త కెరీర్లో సమ్మె రేటు (79.3)']</v>
      </c>
      <c r="C2644" s="2" t="s">
        <v>1906</v>
      </c>
      <c r="D2644" s="2" t="str">
        <f>IFERROR(__xludf.DUMMYFUNCTION("IF(C2644&lt;&gt;"""", GOOGLETRANSLATE(C2644, ""en"", ""te""),"""")"),"[ 'కెరీర్లో 46 వ అతి తక్కువ బాతులు (25)', 'పదవ వికెట్కు 15 అత్యధిక భాగస్వామ్యం (117 *)']")</f>
        <v>[ 'కెరీర్లో 46 వ అతి తక్కువ బాతులు (25)', 'పదవ వికెట్కు 15 అత్యధిక భాగస్వామ్యం (117 *)']</v>
      </c>
      <c r="E2644" s="2" t="s">
        <v>1907</v>
      </c>
      <c r="F2644" s="2" t="str">
        <f>IFERROR(__xludf.DUMMYFUNCTION("IF(E2644&lt;&gt;"""", GOOGLETRANSLATE(E2644, ""en"", ""te""),"""")"),"[ '33 వ ఉత్తమ కెరీర్ ఆర్థిక రేటు (3.83)', '27 చెత్త కెరీర్ సగటు (50.69) బౌలింగ్', '6 వ చెత్త కెరీర్లో సమ్మె రేటు (79.3)']")</f>
        <v>[ '33 వ ఉత్తమ కెరీర్ ఆర్థిక రేటు (3.83)', '27 చెత్త కెరీర్ సగటు (50.69) బౌలింగ్', '6 వ చెత్త కెరీర్లో సమ్మె రేటు (79.3)']</v>
      </c>
      <c r="G2644" s="2"/>
      <c r="H2644" s="2" t="str">
        <f>IFERROR(__xludf.DUMMYFUNCTION("IF(G2644&lt;&gt;"""", GOOGLETRANSLATE(G2644, ""en"", ""te""),"""")"),"")</f>
        <v/>
      </c>
      <c r="I2644" s="3"/>
    </row>
    <row r="2645" customHeight="1" spans="1:9">
      <c r="A2645" s="2"/>
      <c r="B2645" s="2" t="str">
        <f>IFERROR(__xludf.DUMMYFUNCTION("IF(A2645&lt;&gt;"""", GOOGLETRANSLATE(A2645, ""en"", ""te""),"""")"),"")</f>
        <v/>
      </c>
      <c r="C2645" s="2"/>
      <c r="D2645" s="2" t="str">
        <f>IFERROR(__xludf.DUMMYFUNCTION("IF(C2645&lt;&gt;"""", GOOGLETRANSLATE(C2645, ""en"", ""te""),"""")"),"")</f>
        <v/>
      </c>
      <c r="E2645" s="2"/>
      <c r="F2645" s="2" t="str">
        <f>IFERROR(__xludf.DUMMYFUNCTION("IF(E2645&lt;&gt;"""", GOOGLETRANSLATE(E2645, ""en"", ""te""),"""")"),"")</f>
        <v/>
      </c>
      <c r="G2645" s="2"/>
      <c r="H2645" s="2" t="str">
        <f>IFERROR(__xludf.DUMMYFUNCTION("IF(G2645&lt;&gt;"""", GOOGLETRANSLATE(G2645, ""en"", ""te""),"""")"),"")</f>
        <v/>
      </c>
      <c r="I2645" s="3"/>
    </row>
    <row r="2646" customHeight="1" spans="1:9">
      <c r="A2646" s="2"/>
      <c r="B2646" s="2" t="str">
        <f>IFERROR(__xludf.DUMMYFUNCTION("IF(A2646&lt;&gt;"""", GOOGLETRANSLATE(A2646, ""en"", ""te""),"""")"),"")</f>
        <v/>
      </c>
      <c r="C2646" s="2"/>
      <c r="D2646" s="2" t="str">
        <f>IFERROR(__xludf.DUMMYFUNCTION("IF(C2646&lt;&gt;"""", GOOGLETRANSLATE(C2646, ""en"", ""te""),"""")"),"")</f>
        <v/>
      </c>
      <c r="E2646" s="2"/>
      <c r="F2646" s="2" t="str">
        <f>IFERROR(__xludf.DUMMYFUNCTION("IF(E2646&lt;&gt;"""", GOOGLETRANSLATE(E2646, ""en"", ""te""),"""")"),"")</f>
        <v/>
      </c>
      <c r="G2646" s="2"/>
      <c r="H2646" s="2" t="str">
        <f>IFERROR(__xludf.DUMMYFUNCTION("IF(G2646&lt;&gt;"""", GOOGLETRANSLATE(G2646, ""en"", ""te""),"""")"),"")</f>
        <v/>
      </c>
      <c r="I2646" s="3"/>
    </row>
    <row r="2647" customHeight="1" spans="1:9">
      <c r="A2647" s="2"/>
      <c r="B2647" s="2" t="str">
        <f>IFERROR(__xludf.DUMMYFUNCTION("IF(A2647&lt;&gt;"""", GOOGLETRANSLATE(A2647, ""en"", ""te""),"""")"),"")</f>
        <v/>
      </c>
      <c r="C2647" s="2" t="s">
        <v>1908</v>
      </c>
      <c r="D2647" s="2" t="str">
        <f>IFERROR(__xludf.DUMMYFUNCTION("IF(C2647&lt;&gt;"""", GOOGLETRANSLATE(C2647, ""en"", ""te""),"""")"),"[ 'తొలి 47 వ ఓల్డెస్ట్ క్రీడాకారులు (37y 77d)', '30 వ ఓల్డెస్ట్ క్రీడాకారులు (42y 295d)']")</f>
        <v>[ 'తొలి 47 వ ఓల్డెస్ట్ క్రీడాకారులు (37y 77d)', '30 వ ఓల్డెస్ట్ క్రీడాకారులు (42y 295d)']</v>
      </c>
      <c r="E2647" s="2"/>
      <c r="F2647" s="2" t="str">
        <f>IFERROR(__xludf.DUMMYFUNCTION("IF(E2647&lt;&gt;"""", GOOGLETRANSLATE(E2647, ""en"", ""te""),"""")"),"")</f>
        <v/>
      </c>
      <c r="G2647" s="2"/>
      <c r="H2647" s="2" t="str">
        <f>IFERROR(__xludf.DUMMYFUNCTION("IF(G2647&lt;&gt;"""", GOOGLETRANSLATE(G2647, ""en"", ""te""),"""")"),"")</f>
        <v/>
      </c>
      <c r="I2647" s="3"/>
    </row>
    <row r="2648" customHeight="1" spans="1:9">
      <c r="A2648" s="2" t="s">
        <v>1909</v>
      </c>
      <c r="B2648" s="2" t="str">
        <f>IFERROR(__xludf.DUMMYFUNCTION("IF(A2648&lt;&gt;"""", GOOGLETRANSLATE(A2648, ""en"", ""te""),"""")"),"[ '1000 పరుగులు మరియు 100 వికెట్లు', '1 వ ఇన్నింగ్స్ లో అత్యధిక పరుగులు (బ్యాటింగ్ స్థానంలో ప్రకారం) (95 *)', '1st ఒక ఇన్నింగ్స్ లోని బెస్ట్ ఫిగర్స్ ఉన్నప్పుడు పరాజయం వైపు (6)', '2 వ చాల వరకు ఒక లో క్యాచ్లు ఇన్నింగ్స్ (4) ',' 1000 పరుగులు మరియు 100 వికెట"&amp;"్లు ']")</f>
        <v>[ '1000 పరుగులు మరియు 100 వికెట్లు', '1 వ ఇన్నింగ్స్ లో అత్యధిక పరుగులు (బ్యాటింగ్ స్థానంలో ప్రకారం) (95 *)', '1st ఒక ఇన్నింగ్స్ లోని బెస్ట్ ఫిగర్స్ ఉన్నప్పుడు పరాజయం వైపు (6)', '2 వ చాల వరకు ఒక లో క్యాచ్లు ఇన్నింగ్స్ (4) ',' 1000 పరుగులు మరియు 100 వికెట్లు ']</v>
      </c>
      <c r="C2648" s="2" t="s">
        <v>1910</v>
      </c>
      <c r="D2648" s="2" t="str">
        <f>IFERROR(__xludf.DUMMYFUNCTION("IF(C2648&lt;&gt;"""", GOOGLETRANSLATE(C2648, ""en"", ""te""),"""")"),"[ '15 మ్యాచ్లో ఉత్తమ సంఖ్యలు ఉన్నప్పుడు పరాజయం వైపు (11)', 'ఇన్నింగ్స్ లో 25 వ ఉత్తమ సమ్మె రేటు (7.6)']")</f>
        <v>[ '15 మ్యాచ్లో ఉత్తమ సంఖ్యలు ఉన్నప్పుడు పరాజయం వైపు (11)', 'ఇన్నింగ్స్ లో 25 వ ఉత్తమ సమ్మె రేటు (7.6)']</v>
      </c>
      <c r="E2648" s="2" t="s">
        <v>1911</v>
      </c>
      <c r="F2648" s="2" t="str">
        <f>IFERROR(__xludf.DUMMYFUNCTION("IF(E2648&lt;&gt;"""", GOOGLETRANSLATE(E2648, ""en"", ""te""),"""")"),"[ '1st ఇన్నింగ్స్ లో అత్యధిక పరుగులు (బ్యాటింగ్ స్థానంలో ప్రకారం) (95 *)', '1st ఒక ఇన్నింగ్స్ లోని బెస్ట్ ఫిగర్స్ ఉన్నప్పుడు పరాజయం వైపు (6)', '25 వ అత్యంత ఐదు-వికెట్ల లో-ఒక-ఇన్నింగ్స్ లో కెరీర్ (3) ',' 16 వ అత్యంత నాలుగు వికెట్లు-ఇన్-ఒక-ఇన్నింగ్స్ కెరీర"&amp;"్లో (12) ',' 13 వ వరుస నాలుగు వికెట్లు-ఇన్-ఒక-ఇన్నింగ్స్ (2) ',' తీసుకోవాలని 33 వ పిన్న ఆటగాడు ఐదు వికెట్లు-ఇన్-ఒక-ఇన్నింగ్స్ (91) ',' 40 వ బౌలర్ / ఫీల్డర్ కలయికలు (21y 334d) ',' 48 వ అత్యధిక పరుగులు ఇన్నింగ్స్ లో సాధించిన (26) ',' 49 వ అత్యధిక వికెట్లు ఆ"&amp;"కర్షించింది తీసుకున్న (118) ', 'వరుస (8) 24 వ అత్యధిక క్యాచ్లు', 'ఇన్నింగ్స్ (4) 2 వ అత్యధిక క్యాచ్లు' '42 వ అత్యధిక వికెట్లు ఒక ఫీల్డర్ చేత క్యాచ్ తీసుకున్న (90)',]")</f>
        <v>[ '1st ఇన్నింగ్స్ లో అత్యధిక పరుగులు (బ్యాటింగ్ స్థానంలో ప్రకారం) (95 *)', '1st ఒక ఇన్నింగ్స్ లోని బెస్ట్ ఫిగర్స్ ఉన్నప్పుడు పరాజయం వైపు (6)', '25 వ అత్యంత ఐదు-వికెట్ల లో-ఒక-ఇన్నింగ్స్ లో కెరీర్ (3) ',' 16 వ అత్యంత నాలుగు వికెట్లు-ఇన్-ఒక-ఇన్నింగ్స్ కెరీర్లో (12) ',' 13 వ వరుస నాలుగు వికెట్లు-ఇన్-ఒక-ఇన్నింగ్స్ (2) ',' తీసుకోవాలని 33 వ పిన్న ఆటగాడు ఐదు వికెట్లు-ఇన్-ఒక-ఇన్నింగ్స్ (91) ',' 40 వ బౌలర్ / ఫీల్డర్ కలయికలు (21y 334d) ',' 48 వ అత్యధిక పరుగులు ఇన్నింగ్స్ లో సాధించిన (26) ',' 49 వ అత్యధిక వికెట్లు ఆకర్షించింది తీసుకున్న (118) ', 'వరుస (8) 24 వ అత్యధిక క్యాచ్లు', 'ఇన్నింగ్స్ (4) 2 వ అత్యధిక క్యాచ్లు' '42 వ అత్యధిక వికెట్లు ఒక ఫీల్డర్ చేత క్యాచ్ తీసుకున్న (90)',]</v>
      </c>
      <c r="G2648" s="2" t="s">
        <v>1912</v>
      </c>
      <c r="H2648" s="2" t="str">
        <f>IFERROR(__xludf.DUMMYFUNCTION("IF(G2648&lt;&gt;"""", GOOGLETRANSLATE(G2648, ""en"", ""te""),"""")"),"[ '14 వ ఇన్నింగ్స్ లో అత్యధిక పరుగులు (బ్యాటింగ్ స్థానంలో ప్రకారం) (37)']")</f>
        <v>[ '14 వ ఇన్నింగ్స్ లో అత్యధిక పరుగులు (బ్యాటింగ్ స్థానంలో ప్రకారం) (37)']</v>
      </c>
      <c r="I2648" s="3"/>
    </row>
    <row r="2649" customHeight="1" spans="1:9">
      <c r="A2649" s="2"/>
      <c r="B2649" s="2" t="str">
        <f>IFERROR(__xludf.DUMMYFUNCTION("IF(A2649&lt;&gt;"""", GOOGLETRANSLATE(A2649, ""en"", ""te""),"""")"),"")</f>
        <v/>
      </c>
      <c r="C2649" s="2"/>
      <c r="D2649" s="2" t="str">
        <f>IFERROR(__xludf.DUMMYFUNCTION("IF(C2649&lt;&gt;"""", GOOGLETRANSLATE(C2649, ""en"", ""te""),"""")"),"")</f>
        <v/>
      </c>
      <c r="E2649" s="2"/>
      <c r="F2649" s="2" t="str">
        <f>IFERROR(__xludf.DUMMYFUNCTION("IF(E2649&lt;&gt;"""", GOOGLETRANSLATE(E2649, ""en"", ""te""),"""")"),"")</f>
        <v/>
      </c>
      <c r="G2649" s="2"/>
      <c r="H2649" s="2" t="str">
        <f>IFERROR(__xludf.DUMMYFUNCTION("IF(G2649&lt;&gt;"""", GOOGLETRANSLATE(G2649, ""en"", ""te""),"""")"),"")</f>
        <v/>
      </c>
      <c r="I2649" s="3"/>
    </row>
    <row r="2650" customHeight="1" spans="1:9">
      <c r="A2650" s="2"/>
      <c r="B2650" s="2" t="str">
        <f>IFERROR(__xludf.DUMMYFUNCTION("IF(A2650&lt;&gt;"""", GOOGLETRANSLATE(A2650, ""en"", ""te""),"""")"),"")</f>
        <v/>
      </c>
      <c r="C2650" s="2"/>
      <c r="D2650" s="2" t="str">
        <f>IFERROR(__xludf.DUMMYFUNCTION("IF(C2650&lt;&gt;"""", GOOGLETRANSLATE(C2650, ""en"", ""te""),"""")"),"")</f>
        <v/>
      </c>
      <c r="E2650" s="2"/>
      <c r="F2650" s="2" t="str">
        <f>IFERROR(__xludf.DUMMYFUNCTION("IF(E2650&lt;&gt;"""", GOOGLETRANSLATE(E2650, ""en"", ""te""),"""")"),"")</f>
        <v/>
      </c>
      <c r="G2650" s="2"/>
      <c r="H2650" s="2" t="str">
        <f>IFERROR(__xludf.DUMMYFUNCTION("IF(G2650&lt;&gt;"""", GOOGLETRANSLATE(G2650, ""en"", ""te""),"""")"),"")</f>
        <v/>
      </c>
      <c r="I2650" s="3"/>
    </row>
    <row r="2651" customHeight="1" spans="1:9">
      <c r="A2651" s="2"/>
      <c r="B2651" s="2" t="str">
        <f>IFERROR(__xludf.DUMMYFUNCTION("IF(A2651&lt;&gt;"""", GOOGLETRANSLATE(A2651, ""en"", ""te""),"""")"),"")</f>
        <v/>
      </c>
      <c r="C2651" s="2"/>
      <c r="D2651" s="2" t="str">
        <f>IFERROR(__xludf.DUMMYFUNCTION("IF(C2651&lt;&gt;"""", GOOGLETRANSLATE(C2651, ""en"", ""te""),"""")"),"")</f>
        <v/>
      </c>
      <c r="E2651" s="2"/>
      <c r="F2651" s="2" t="str">
        <f>IFERROR(__xludf.DUMMYFUNCTION("IF(E2651&lt;&gt;"""", GOOGLETRANSLATE(E2651, ""en"", ""te""),"""")"),"")</f>
        <v/>
      </c>
      <c r="G2651" s="2"/>
      <c r="H2651" s="2" t="str">
        <f>IFERROR(__xludf.DUMMYFUNCTION("IF(G2651&lt;&gt;"""", GOOGLETRANSLATE(G2651, ""en"", ""te""),"""")"),"")</f>
        <v/>
      </c>
      <c r="I2651" s="3"/>
    </row>
    <row r="2652" customHeight="1" spans="1:9">
      <c r="A2652" s="2"/>
      <c r="B2652" s="2" t="str">
        <f>IFERROR(__xludf.DUMMYFUNCTION("IF(A2652&lt;&gt;"""", GOOGLETRANSLATE(A2652, ""en"", ""te""),"""")"),"")</f>
        <v/>
      </c>
      <c r="C2652" s="2" t="s">
        <v>1913</v>
      </c>
      <c r="D2652" s="2" t="str">
        <f>IFERROR(__xludf.DUMMYFUNCTION("IF(C2652&lt;&gt;"""", GOOGLETRANSLATE(C2652, ""en"", ""te""),"""")"),"[ 'తొలి 15 నాడు ఓల్డెస్ట్ క్రీడాకారులు (39y 360d)']")</f>
        <v>[ 'తొలి 15 నాడు ఓల్డెస్ట్ క్రీడాకారులు (39y 360d)']</v>
      </c>
      <c r="E2652" s="2"/>
      <c r="F2652" s="2" t="str">
        <f>IFERROR(__xludf.DUMMYFUNCTION("IF(E2652&lt;&gt;"""", GOOGLETRANSLATE(E2652, ""en"", ""te""),"""")"),"")</f>
        <v/>
      </c>
      <c r="G2652" s="2"/>
      <c r="H2652" s="2" t="str">
        <f>IFERROR(__xludf.DUMMYFUNCTION("IF(G2652&lt;&gt;"""", GOOGLETRANSLATE(G2652, ""en"", ""te""),"""")"),"")</f>
        <v/>
      </c>
      <c r="I2652" s="3"/>
    </row>
    <row r="2653" customHeight="1" spans="1:9">
      <c r="A2653" s="2"/>
      <c r="B2653" s="2" t="str">
        <f>IFERROR(__xludf.DUMMYFUNCTION("IF(A2653&lt;&gt;"""", GOOGLETRANSLATE(A2653, ""en"", ""te""),"""")"),"")</f>
        <v/>
      </c>
      <c r="C2653" s="2"/>
      <c r="D2653" s="2" t="str">
        <f>IFERROR(__xludf.DUMMYFUNCTION("IF(C2653&lt;&gt;"""", GOOGLETRANSLATE(C2653, ""en"", ""te""),"""")"),"")</f>
        <v/>
      </c>
      <c r="E2653" s="2"/>
      <c r="F2653" s="2" t="str">
        <f>IFERROR(__xludf.DUMMYFUNCTION("IF(E2653&lt;&gt;"""", GOOGLETRANSLATE(E2653, ""en"", ""te""),"""")"),"")</f>
        <v/>
      </c>
      <c r="G2653" s="2"/>
      <c r="H2653" s="2" t="str">
        <f>IFERROR(__xludf.DUMMYFUNCTION("IF(G2653&lt;&gt;"""", GOOGLETRANSLATE(G2653, ""en"", ""te""),"""")"),"")</f>
        <v/>
      </c>
      <c r="I2653" s="3"/>
    </row>
    <row r="2654" customHeight="1" spans="1:9">
      <c r="A2654" s="2"/>
      <c r="B2654" s="2" t="str">
        <f>IFERROR(__xludf.DUMMYFUNCTION("IF(A2654&lt;&gt;"""", GOOGLETRANSLATE(A2654, ""en"", ""te""),"""")"),"")</f>
        <v/>
      </c>
      <c r="C2654" s="2"/>
      <c r="D2654" s="2" t="str">
        <f>IFERROR(__xludf.DUMMYFUNCTION("IF(C2654&lt;&gt;"""", GOOGLETRANSLATE(C2654, ""en"", ""te""),"""")"),"")</f>
        <v/>
      </c>
      <c r="E2654" s="2"/>
      <c r="F2654" s="2" t="str">
        <f>IFERROR(__xludf.DUMMYFUNCTION("IF(E2654&lt;&gt;"""", GOOGLETRANSLATE(E2654, ""en"", ""te""),"""")"),"")</f>
        <v/>
      </c>
      <c r="G2654" s="2"/>
      <c r="H2654" s="2" t="str">
        <f>IFERROR(__xludf.DUMMYFUNCTION("IF(G2654&lt;&gt;"""", GOOGLETRANSLATE(G2654, ""en"", ""te""),"""")"),"")</f>
        <v/>
      </c>
      <c r="I2654" s="3"/>
    </row>
    <row r="2655" customHeight="1" spans="1:9">
      <c r="A2655" s="2"/>
      <c r="B2655" s="2" t="str">
        <f>IFERROR(__xludf.DUMMYFUNCTION("IF(A2655&lt;&gt;"""", GOOGLETRANSLATE(A2655, ""en"", ""te""),"""")"),"")</f>
        <v/>
      </c>
      <c r="C2655" s="2"/>
      <c r="D2655" s="2" t="str">
        <f>IFERROR(__xludf.DUMMYFUNCTION("IF(C2655&lt;&gt;"""", GOOGLETRANSLATE(C2655, ""en"", ""te""),"""")"),"")</f>
        <v/>
      </c>
      <c r="E2655" s="2"/>
      <c r="F2655" s="2" t="str">
        <f>IFERROR(__xludf.DUMMYFUNCTION("IF(E2655&lt;&gt;"""", GOOGLETRANSLATE(E2655, ""en"", ""te""),"""")"),"")</f>
        <v/>
      </c>
      <c r="G2655" s="2"/>
      <c r="H2655" s="2" t="str">
        <f>IFERROR(__xludf.DUMMYFUNCTION("IF(G2655&lt;&gt;"""", GOOGLETRANSLATE(G2655, ""en"", ""te""),"""")"),"")</f>
        <v/>
      </c>
      <c r="I2655" s="3"/>
    </row>
    <row r="2656" customHeight="1" spans="1:9">
      <c r="A2656" s="2"/>
      <c r="B2656" s="2" t="str">
        <f>IFERROR(__xludf.DUMMYFUNCTION("IF(A2656&lt;&gt;"""", GOOGLETRANSLATE(A2656, ""en"", ""te""),"""")"),"")</f>
        <v/>
      </c>
      <c r="C2656" s="2"/>
      <c r="D2656" s="2" t="str">
        <f>IFERROR(__xludf.DUMMYFUNCTION("IF(C2656&lt;&gt;"""", GOOGLETRANSLATE(C2656, ""en"", ""te""),"""")"),"")</f>
        <v/>
      </c>
      <c r="E2656" s="2"/>
      <c r="F2656" s="2" t="str">
        <f>IFERROR(__xludf.DUMMYFUNCTION("IF(E2656&lt;&gt;"""", GOOGLETRANSLATE(E2656, ""en"", ""te""),"""")"),"")</f>
        <v/>
      </c>
      <c r="G2656" s="2"/>
      <c r="H2656" s="2" t="str">
        <f>IFERROR(__xludf.DUMMYFUNCTION("IF(G2656&lt;&gt;"""", GOOGLETRANSLATE(G2656, ""en"", ""te""),"""")"),"")</f>
        <v/>
      </c>
      <c r="I2656" s="3"/>
    </row>
    <row r="2657" customHeight="1" spans="1:9">
      <c r="A2657" s="2"/>
      <c r="B2657" s="2" t="str">
        <f>IFERROR(__xludf.DUMMYFUNCTION("IF(A2657&lt;&gt;"""", GOOGLETRANSLATE(A2657, ""en"", ""te""),"""")"),"")</f>
        <v/>
      </c>
      <c r="C2657" s="2" t="s">
        <v>1914</v>
      </c>
      <c r="D2657" s="2" t="str">
        <f>IFERROR(__xludf.DUMMYFUNCTION("IF(C2657&lt;&gt;"""", GOOGLETRANSLATE(C2657, ""en"", ""te""),"""")"),"[18 వ చెత్త ఇన్నింగ్స్ లో సమ్మె రేటు (216.0) ', '21 వ మ్యాచ్లో (408) లో బౌల్డ్ చాలా బంతుల్లో']")</f>
        <v>[18 వ చెత్త ఇన్నింగ్స్ లో సమ్మె రేటు (216.0) ', '21 వ మ్యాచ్లో (408) లో బౌల్డ్ చాలా బంతుల్లో']</v>
      </c>
      <c r="E2657" s="2"/>
      <c r="F2657" s="2" t="str">
        <f>IFERROR(__xludf.DUMMYFUNCTION("IF(E2657&lt;&gt;"""", GOOGLETRANSLATE(E2657, ""en"", ""te""),"""")"),"")</f>
        <v/>
      </c>
      <c r="G2657" s="2"/>
      <c r="H2657" s="2" t="str">
        <f>IFERROR(__xludf.DUMMYFUNCTION("IF(G2657&lt;&gt;"""", GOOGLETRANSLATE(G2657, ""en"", ""te""),"""")"),"")</f>
        <v/>
      </c>
      <c r="I2657" s="3"/>
    </row>
    <row r="2658" customHeight="1" spans="1:9">
      <c r="A2658" s="2"/>
      <c r="B2658" s="2" t="str">
        <f>IFERROR(__xludf.DUMMYFUNCTION("IF(A2658&lt;&gt;"""", GOOGLETRANSLATE(A2658, ""en"", ""te""),"""")"),"")</f>
        <v/>
      </c>
      <c r="C2658" s="2"/>
      <c r="D2658" s="2" t="str">
        <f>IFERROR(__xludf.DUMMYFUNCTION("IF(C2658&lt;&gt;"""", GOOGLETRANSLATE(C2658, ""en"", ""te""),"""")"),"")</f>
        <v/>
      </c>
      <c r="E2658" s="2"/>
      <c r="F2658" s="2" t="str">
        <f>IFERROR(__xludf.DUMMYFUNCTION("IF(E2658&lt;&gt;"""", GOOGLETRANSLATE(E2658, ""en"", ""te""),"""")"),"")</f>
        <v/>
      </c>
      <c r="G2658" s="2"/>
      <c r="H2658" s="2" t="str">
        <f>IFERROR(__xludf.DUMMYFUNCTION("IF(G2658&lt;&gt;"""", GOOGLETRANSLATE(G2658, ""en"", ""te""),"""")"),"")</f>
        <v/>
      </c>
      <c r="I2658" s="3"/>
    </row>
    <row r="2659" customHeight="1" spans="1:9">
      <c r="A2659" s="2"/>
      <c r="B2659" s="2" t="str">
        <f>IFERROR(__xludf.DUMMYFUNCTION("IF(A2659&lt;&gt;"""", GOOGLETRANSLATE(A2659, ""en"", ""te""),"""")"),"")</f>
        <v/>
      </c>
      <c r="C2659" s="2" t="s">
        <v>1915</v>
      </c>
      <c r="D2659" s="2" t="str">
        <f>IFERROR(__xludf.DUMMYFUNCTION("IF(C2659&lt;&gt;"""", GOOGLETRANSLATE(C2659, ""en"", ""te""),"""")"),"[ '17 వ వంద (436) లేకుండా ఒక జీవితంలో అత్యధిక పరుగులు']")</f>
        <v>[ '17 వ వంద (436) లేకుండా ఒక జీవితంలో అత్యధిక పరుగులు']</v>
      </c>
      <c r="E2659" s="2"/>
      <c r="F2659" s="2" t="str">
        <f>IFERROR(__xludf.DUMMYFUNCTION("IF(E2659&lt;&gt;"""", GOOGLETRANSLATE(E2659, ""en"", ""te""),"""")"),"")</f>
        <v/>
      </c>
      <c r="G2659" s="2"/>
      <c r="H2659" s="2" t="str">
        <f>IFERROR(__xludf.DUMMYFUNCTION("IF(G2659&lt;&gt;"""", GOOGLETRANSLATE(G2659, ""en"", ""te""),"""")"),"")</f>
        <v/>
      </c>
      <c r="I2659" s="3"/>
    </row>
    <row r="2660" customHeight="1" spans="1:9">
      <c r="A2660" s="2"/>
      <c r="B2660" s="2" t="str">
        <f>IFERROR(__xludf.DUMMYFUNCTION("IF(A2660&lt;&gt;"""", GOOGLETRANSLATE(A2660, ""en"", ""te""),"""")"),"")</f>
        <v/>
      </c>
      <c r="C2660" s="2"/>
      <c r="D2660" s="2" t="str">
        <f>IFERROR(__xludf.DUMMYFUNCTION("IF(C2660&lt;&gt;"""", GOOGLETRANSLATE(C2660, ""en"", ""te""),"""")"),"")</f>
        <v/>
      </c>
      <c r="E2660" s="2"/>
      <c r="F2660" s="2" t="str">
        <f>IFERROR(__xludf.DUMMYFUNCTION("IF(E2660&lt;&gt;"""", GOOGLETRANSLATE(E2660, ""en"", ""te""),"""")"),"")</f>
        <v/>
      </c>
      <c r="G2660" s="2"/>
      <c r="H2660" s="2" t="str">
        <f>IFERROR(__xludf.DUMMYFUNCTION("IF(G2660&lt;&gt;"""", GOOGLETRANSLATE(G2660, ""en"", ""te""),"""")"),"")</f>
        <v/>
      </c>
      <c r="I2660" s="3"/>
    </row>
    <row r="2661" customHeight="1" spans="1:9">
      <c r="A2661" s="2"/>
      <c r="B2661" s="2" t="str">
        <f>IFERROR(__xludf.DUMMYFUNCTION("IF(A2661&lt;&gt;"""", GOOGLETRANSLATE(A2661, ""en"", ""te""),"""")"),"")</f>
        <v/>
      </c>
      <c r="C2661" s="2"/>
      <c r="D2661" s="2" t="str">
        <f>IFERROR(__xludf.DUMMYFUNCTION("IF(C2661&lt;&gt;"""", GOOGLETRANSLATE(C2661, ""en"", ""te""),"""")"),"")</f>
        <v/>
      </c>
      <c r="E2661" s="2"/>
      <c r="F2661" s="2" t="str">
        <f>IFERROR(__xludf.DUMMYFUNCTION("IF(E2661&lt;&gt;"""", GOOGLETRANSLATE(E2661, ""en"", ""te""),"""")"),"")</f>
        <v/>
      </c>
      <c r="G2661" s="2"/>
      <c r="H2661" s="2" t="str">
        <f>IFERROR(__xludf.DUMMYFUNCTION("IF(G2661&lt;&gt;"""", GOOGLETRANSLATE(G2661, ""en"", ""te""),"""")"),"")</f>
        <v/>
      </c>
      <c r="I2661" s="3"/>
    </row>
    <row r="2662" customHeight="1" spans="1:9">
      <c r="A2662" s="2"/>
      <c r="B2662" s="2" t="str">
        <f>IFERROR(__xludf.DUMMYFUNCTION("IF(A2662&lt;&gt;"""", GOOGLETRANSLATE(A2662, ""en"", ""te""),"""")"),"")</f>
        <v/>
      </c>
      <c r="C2662" s="2"/>
      <c r="D2662" s="2" t="str">
        <f>IFERROR(__xludf.DUMMYFUNCTION("IF(C2662&lt;&gt;"""", GOOGLETRANSLATE(C2662, ""en"", ""te""),"""")"),"")</f>
        <v/>
      </c>
      <c r="E2662" s="2"/>
      <c r="F2662" s="2" t="str">
        <f>IFERROR(__xludf.DUMMYFUNCTION("IF(E2662&lt;&gt;"""", GOOGLETRANSLATE(E2662, ""en"", ""te""),"""")"),"")</f>
        <v/>
      </c>
      <c r="G2662" s="2"/>
      <c r="H2662" s="2" t="str">
        <f>IFERROR(__xludf.DUMMYFUNCTION("IF(G2662&lt;&gt;"""", GOOGLETRANSLATE(G2662, ""en"", ""te""),"""")"),"")</f>
        <v/>
      </c>
      <c r="I2662" s="3"/>
    </row>
    <row r="2663" customHeight="1" spans="1:9">
      <c r="A2663" s="2" t="s">
        <v>584</v>
      </c>
      <c r="B2663" s="2" t="str">
        <f>IFERROR(__xludf.DUMMYFUNCTION("IF(A2663&lt;&gt;"""", GOOGLETRANSLATE(A2663, ""en"", ""te""),"""")"),"[ '1st వరుస బాతులు (4)']")</f>
        <v>[ '1st వరుస బాతులు (4)']</v>
      </c>
      <c r="C2663" s="2" t="s">
        <v>1916</v>
      </c>
      <c r="D2663" s="2" t="str">
        <f>IFERROR(__xludf.DUMMYFUNCTION("IF(C2663&lt;&gt;"""", GOOGLETRANSLATE(C2663, ""en"", ""te""),"""")"),"[ 'తొమ్మిదవ వికెట్ (103) కోసం 46 వ అత్యధిక భాగస్వామ్యం']")</f>
        <v>[ 'తొమ్మిదవ వికెట్ (103) కోసం 46 వ అత్యధిక భాగస్వామ్యం']</v>
      </c>
      <c r="E2663" s="2" t="s">
        <v>584</v>
      </c>
      <c r="F2663" s="2" t="str">
        <f>IFERROR(__xludf.DUMMYFUNCTION("IF(E2663&lt;&gt;"""", GOOGLETRANSLATE(E2663, ""en"", ""te""),"""")"),"[ '1st వరుస బాతులు (4)']")</f>
        <v>[ '1st వరుస బాతులు (4)']</v>
      </c>
      <c r="G2663" s="2"/>
      <c r="H2663" s="2" t="str">
        <f>IFERROR(__xludf.DUMMYFUNCTION("IF(G2663&lt;&gt;"""", GOOGLETRANSLATE(G2663, ""en"", ""te""),"""")"),"")</f>
        <v/>
      </c>
      <c r="I2663" s="3"/>
    </row>
    <row r="2664" customHeight="1" spans="1:9">
      <c r="A2664" s="2"/>
      <c r="B2664" s="2" t="str">
        <f>IFERROR(__xludf.DUMMYFUNCTION("IF(A2664&lt;&gt;"""", GOOGLETRANSLATE(A2664, ""en"", ""te""),"""")"),"")</f>
        <v/>
      </c>
      <c r="C2664" s="2"/>
      <c r="D2664" s="2" t="str">
        <f>IFERROR(__xludf.DUMMYFUNCTION("IF(C2664&lt;&gt;"""", GOOGLETRANSLATE(C2664, ""en"", ""te""),"""")"),"")</f>
        <v/>
      </c>
      <c r="E2664" s="2"/>
      <c r="F2664" s="2" t="str">
        <f>IFERROR(__xludf.DUMMYFUNCTION("IF(E2664&lt;&gt;"""", GOOGLETRANSLATE(E2664, ""en"", ""te""),"""")"),"")</f>
        <v/>
      </c>
      <c r="G2664" s="2"/>
      <c r="H2664" s="2" t="str">
        <f>IFERROR(__xludf.DUMMYFUNCTION("IF(G2664&lt;&gt;"""", GOOGLETRANSLATE(G2664, ""en"", ""te""),"""")"),"")</f>
        <v/>
      </c>
      <c r="I2664" s="3"/>
    </row>
    <row r="2665" customHeight="1" spans="1:9">
      <c r="A2665" s="2"/>
      <c r="B2665" s="2" t="str">
        <f>IFERROR(__xludf.DUMMYFUNCTION("IF(A2665&lt;&gt;"""", GOOGLETRANSLATE(A2665, ""en"", ""te""),"""")"),"")</f>
        <v/>
      </c>
      <c r="C2665" s="2"/>
      <c r="D2665" s="2" t="str">
        <f>IFERROR(__xludf.DUMMYFUNCTION("IF(C2665&lt;&gt;"""", GOOGLETRANSLATE(C2665, ""en"", ""te""),"""")"),"")</f>
        <v/>
      </c>
      <c r="E2665" s="2"/>
      <c r="F2665" s="2" t="str">
        <f>IFERROR(__xludf.DUMMYFUNCTION("IF(E2665&lt;&gt;"""", GOOGLETRANSLATE(E2665, ""en"", ""te""),"""")"),"")</f>
        <v/>
      </c>
      <c r="G2665" s="2"/>
      <c r="H2665" s="2" t="str">
        <f>IFERROR(__xludf.DUMMYFUNCTION("IF(G2665&lt;&gt;"""", GOOGLETRANSLATE(G2665, ""en"", ""te""),"""")"),"")</f>
        <v/>
      </c>
      <c r="I2665" s="3"/>
    </row>
    <row r="2666" customHeight="1" spans="1:9">
      <c r="A2666" s="2" t="s">
        <v>1917</v>
      </c>
      <c r="B2666" s="2" t="str">
        <f>IFERROR(__xludf.DUMMYFUNCTION("IF(A2666&lt;&gt;"""", GOOGLETRANSLATE(A2666, ""en"", ""te""),"""")"),"[ 'హండ్రెడ్ తొలి (132 *)', 'ఒక ఇన్నింగ్స్లో ద్వారా బ్యాట్ నిదర్శన (132 *)']")</f>
        <v>[ 'హండ్రెడ్ తొలి (132 *)', 'ఒక ఇన్నింగ్స్లో ద్వారా బ్యాట్ నిదర్శన (132 *)']</v>
      </c>
      <c r="C2666" s="2" t="s">
        <v>1918</v>
      </c>
      <c r="D2666" s="2" t="str">
        <f>IFERROR(__xludf.DUMMYFUNCTION("IF(C2666&lt;&gt;"""", GOOGLETRANSLATE(C2666, ""en"", ""te""),"""")"),"[ '48 వ తొలి మ్యాచ్లో అత్యధిక పరుగులు (153)']")</f>
        <v>[ '48 వ తొలి మ్యాచ్లో అత్యధిక పరుగులు (153)']</v>
      </c>
      <c r="E2666" s="2"/>
      <c r="F2666" s="2" t="str">
        <f>IFERROR(__xludf.DUMMYFUNCTION("IF(E2666&lt;&gt;"""", GOOGLETRANSLATE(E2666, ""en"", ""te""),"""")"),"")</f>
        <v/>
      </c>
      <c r="G2666" s="2"/>
      <c r="H2666" s="2" t="str">
        <f>IFERROR(__xludf.DUMMYFUNCTION("IF(G2666&lt;&gt;"""", GOOGLETRANSLATE(G2666, ""en"", ""te""),"""")"),"")</f>
        <v/>
      </c>
      <c r="I2666" s="3"/>
    </row>
    <row r="2667" customHeight="1" spans="1:9">
      <c r="A2667" s="2"/>
      <c r="B2667" s="2" t="str">
        <f>IFERROR(__xludf.DUMMYFUNCTION("IF(A2667&lt;&gt;"""", GOOGLETRANSLATE(A2667, ""en"", ""te""),"""")"),"")</f>
        <v/>
      </c>
      <c r="C2667" s="2"/>
      <c r="D2667" s="2" t="str">
        <f>IFERROR(__xludf.DUMMYFUNCTION("IF(C2667&lt;&gt;"""", GOOGLETRANSLATE(C2667, ""en"", ""te""),"""")"),"")</f>
        <v/>
      </c>
      <c r="E2667" s="2"/>
      <c r="F2667" s="2" t="str">
        <f>IFERROR(__xludf.DUMMYFUNCTION("IF(E2667&lt;&gt;"""", GOOGLETRANSLATE(E2667, ""en"", ""te""),"""")"),"")</f>
        <v/>
      </c>
      <c r="G2667" s="2"/>
      <c r="H2667" s="2" t="str">
        <f>IFERROR(__xludf.DUMMYFUNCTION("IF(G2667&lt;&gt;"""", GOOGLETRANSLATE(G2667, ""en"", ""te""),"""")"),"")</f>
        <v/>
      </c>
      <c r="I2667" s="3"/>
    </row>
    <row r="2668" customHeight="1" spans="1:9">
      <c r="A2668" s="2"/>
      <c r="B2668" s="2" t="str">
        <f>IFERROR(__xludf.DUMMYFUNCTION("IF(A2668&lt;&gt;"""", GOOGLETRANSLATE(A2668, ""en"", ""te""),"""")"),"")</f>
        <v/>
      </c>
      <c r="C2668" s="2"/>
      <c r="D2668" s="2" t="str">
        <f>IFERROR(__xludf.DUMMYFUNCTION("IF(C2668&lt;&gt;"""", GOOGLETRANSLATE(C2668, ""en"", ""te""),"""")"),"")</f>
        <v/>
      </c>
      <c r="E2668" s="2"/>
      <c r="F2668" s="2" t="str">
        <f>IFERROR(__xludf.DUMMYFUNCTION("IF(E2668&lt;&gt;"""", GOOGLETRANSLATE(E2668, ""en"", ""te""),"""")"),"")</f>
        <v/>
      </c>
      <c r="G2668" s="2"/>
      <c r="H2668" s="2" t="str">
        <f>IFERROR(__xludf.DUMMYFUNCTION("IF(G2668&lt;&gt;"""", GOOGLETRANSLATE(G2668, ""en"", ""te""),"""")"),"")</f>
        <v/>
      </c>
      <c r="I2668" s="3"/>
    </row>
    <row r="2669" customHeight="1" spans="1:9">
      <c r="A2669" s="2"/>
      <c r="B2669" s="2" t="str">
        <f>IFERROR(__xludf.DUMMYFUNCTION("IF(A2669&lt;&gt;"""", GOOGLETRANSLATE(A2669, ""en"", ""te""),"""")"),"")</f>
        <v/>
      </c>
      <c r="C2669" s="2" t="s">
        <v>1919</v>
      </c>
      <c r="D2669" s="2" t="str">
        <f>IFERROR(__xludf.DUMMYFUNCTION("IF(C2669&lt;&gt;"""", GOOGLETRANSLATE(C2669, ""en"", ""te""),"""")"),"[ '17 వ ఓల్డెస్ట్ క్రీడాకారులు (44y 341d)', '34 వ లాంగెస్ట్ వ్యవధిలో ప్రదర్శనల మధ్య (9y 143d)']")</f>
        <v>[ '17 వ ఓల్డెస్ట్ క్రీడాకారులు (44y 341d)', '34 వ లాంగెస్ట్ వ్యవధిలో ప్రదర్శనల మధ్య (9y 143d)']</v>
      </c>
      <c r="E2669" s="2"/>
      <c r="F2669" s="2" t="str">
        <f>IFERROR(__xludf.DUMMYFUNCTION("IF(E2669&lt;&gt;"""", GOOGLETRANSLATE(E2669, ""en"", ""te""),"""")"),"")</f>
        <v/>
      </c>
      <c r="G2669" s="2"/>
      <c r="H2669" s="2" t="str">
        <f>IFERROR(__xludf.DUMMYFUNCTION("IF(G2669&lt;&gt;"""", GOOGLETRANSLATE(G2669, ""en"", ""te""),"""")"),"")</f>
        <v/>
      </c>
      <c r="I2669" s="3"/>
    </row>
    <row r="2670" customHeight="1" spans="1:9">
      <c r="A2670" s="2" t="s">
        <v>1920</v>
      </c>
      <c r="B2670" s="2" t="str">
        <f>IFERROR(__xludf.DUMMYFUNCTION("IF(A2670&lt;&gt;"""", GOOGLETRANSLATE(A2670, ""en"", ""te""),"""")"),"[ 'తొలి 6 వ ఓల్డెస్ట్ క్రీడాకారులు (41y 337d)']")</f>
        <v>[ 'తొలి 6 వ ఓల్డెస్ట్ క్రీడాకారులు (41y 337d)']</v>
      </c>
      <c r="C2670" s="2" t="s">
        <v>1921</v>
      </c>
      <c r="D2670" s="2" t="str">
        <f>IFERROR(__xludf.DUMMYFUNCTION("IF(C2670&lt;&gt;"""", GOOGLETRANSLATE(C2670, ""en"", ""te""),"""")"),"[ '(41y 337d) తొలి 6 వ ఓల్డెస్ట్ క్రీడాకారుల' 38 వ ఉత్తమ కెరీర్ సగటు (12.00) (అర్హత లేకుండా) బౌలింగ్ ',]")</f>
        <v>[ '(41y 337d) తొలి 6 వ ఓల్డెస్ట్ క్రీడాకారుల' 38 వ ఉత్తమ కెరీర్ సగటు (12.00) (అర్హత లేకుండా) బౌలింగ్ ',]</v>
      </c>
      <c r="E2670" s="2"/>
      <c r="F2670" s="2" t="str">
        <f>IFERROR(__xludf.DUMMYFUNCTION("IF(E2670&lt;&gt;"""", GOOGLETRANSLATE(E2670, ""en"", ""te""),"""")"),"")</f>
        <v/>
      </c>
      <c r="G2670" s="2"/>
      <c r="H2670" s="2" t="str">
        <f>IFERROR(__xludf.DUMMYFUNCTION("IF(G2670&lt;&gt;"""", GOOGLETRANSLATE(G2670, ""en"", ""te""),"""")"),"")</f>
        <v/>
      </c>
      <c r="I2670" s="3"/>
    </row>
    <row r="2671" customHeight="1" spans="1:9">
      <c r="A2671" s="2"/>
      <c r="B2671" s="2" t="str">
        <f>IFERROR(__xludf.DUMMYFUNCTION("IF(A2671&lt;&gt;"""", GOOGLETRANSLATE(A2671, ""en"", ""te""),"""")"),"")</f>
        <v/>
      </c>
      <c r="C2671" s="2"/>
      <c r="D2671" s="2" t="str">
        <f>IFERROR(__xludf.DUMMYFUNCTION("IF(C2671&lt;&gt;"""", GOOGLETRANSLATE(C2671, ""en"", ""te""),"""")"),"")</f>
        <v/>
      </c>
      <c r="E2671" s="2"/>
      <c r="F2671" s="2" t="str">
        <f>IFERROR(__xludf.DUMMYFUNCTION("IF(E2671&lt;&gt;"""", GOOGLETRANSLATE(E2671, ""en"", ""te""),"""")"),"")</f>
        <v/>
      </c>
      <c r="G2671" s="2"/>
      <c r="H2671" s="2" t="str">
        <f>IFERROR(__xludf.DUMMYFUNCTION("IF(G2671&lt;&gt;"""", GOOGLETRANSLATE(G2671, ""en"", ""te""),"""")"),"")</f>
        <v/>
      </c>
      <c r="I2671" s="3"/>
    </row>
    <row r="2672" customHeight="1" spans="1:9">
      <c r="A2672" s="2"/>
      <c r="B2672" s="2" t="str">
        <f>IFERROR(__xludf.DUMMYFUNCTION("IF(A2672&lt;&gt;"""", GOOGLETRANSLATE(A2672, ""en"", ""te""),"""")"),"")</f>
        <v/>
      </c>
      <c r="C2672" s="2"/>
      <c r="D2672" s="2" t="str">
        <f>IFERROR(__xludf.DUMMYFUNCTION("IF(C2672&lt;&gt;"""", GOOGLETRANSLATE(C2672, ""en"", ""te""),"""")"),"")</f>
        <v/>
      </c>
      <c r="E2672" s="2"/>
      <c r="F2672" s="2" t="str">
        <f>IFERROR(__xludf.DUMMYFUNCTION("IF(E2672&lt;&gt;"""", GOOGLETRANSLATE(E2672, ""en"", ""te""),"""")"),"")</f>
        <v/>
      </c>
      <c r="G2672" s="2"/>
      <c r="H2672" s="2" t="str">
        <f>IFERROR(__xludf.DUMMYFUNCTION("IF(G2672&lt;&gt;"""", GOOGLETRANSLATE(G2672, ""en"", ""te""),"""")"),"")</f>
        <v/>
      </c>
      <c r="I2672" s="3"/>
    </row>
    <row r="2673" customHeight="1" spans="1:9">
      <c r="A2673" s="2"/>
      <c r="B2673" s="2" t="str">
        <f>IFERROR(__xludf.DUMMYFUNCTION("IF(A2673&lt;&gt;"""", GOOGLETRANSLATE(A2673, ""en"", ""te""),"""")"),"")</f>
        <v/>
      </c>
      <c r="C2673" s="2"/>
      <c r="D2673" s="2" t="str">
        <f>IFERROR(__xludf.DUMMYFUNCTION("IF(C2673&lt;&gt;"""", GOOGLETRANSLATE(C2673, ""en"", ""te""),"""")"),"")</f>
        <v/>
      </c>
      <c r="E2673" s="2"/>
      <c r="F2673" s="2" t="str">
        <f>IFERROR(__xludf.DUMMYFUNCTION("IF(E2673&lt;&gt;"""", GOOGLETRANSLATE(E2673, ""en"", ""te""),"""")"),"")</f>
        <v/>
      </c>
      <c r="G2673" s="2"/>
      <c r="H2673" s="2" t="str">
        <f>IFERROR(__xludf.DUMMYFUNCTION("IF(G2673&lt;&gt;"""", GOOGLETRANSLATE(G2673, ""en"", ""te""),"""")"),"")</f>
        <v/>
      </c>
      <c r="I2673" s="3"/>
    </row>
    <row r="2674" customHeight="1" spans="1:9">
      <c r="A2674" s="2"/>
      <c r="B2674" s="2" t="str">
        <f>IFERROR(__xludf.DUMMYFUNCTION("IF(A2674&lt;&gt;"""", GOOGLETRANSLATE(A2674, ""en"", ""te""),"""")"),"")</f>
        <v/>
      </c>
      <c r="C2674" s="2"/>
      <c r="D2674" s="2" t="str">
        <f>IFERROR(__xludf.DUMMYFUNCTION("IF(C2674&lt;&gt;"""", GOOGLETRANSLATE(C2674, ""en"", ""te""),"""")"),"")</f>
        <v/>
      </c>
      <c r="E2674" s="2"/>
      <c r="F2674" s="2" t="str">
        <f>IFERROR(__xludf.DUMMYFUNCTION("IF(E2674&lt;&gt;"""", GOOGLETRANSLATE(E2674, ""en"", ""te""),"""")"),"")</f>
        <v/>
      </c>
      <c r="G2674" s="2"/>
      <c r="H2674" s="2" t="str">
        <f>IFERROR(__xludf.DUMMYFUNCTION("IF(G2674&lt;&gt;"""", GOOGLETRANSLATE(G2674, ""en"", ""te""),"""")"),"")</f>
        <v/>
      </c>
      <c r="I2674" s="3"/>
    </row>
    <row r="2675" customHeight="1" spans="1:9">
      <c r="A2675" s="2"/>
      <c r="B2675" s="2" t="str">
        <f>IFERROR(__xludf.DUMMYFUNCTION("IF(A2675&lt;&gt;"""", GOOGLETRANSLATE(A2675, ""en"", ""te""),"""")"),"")</f>
        <v/>
      </c>
      <c r="C2675" s="2"/>
      <c r="D2675" s="2" t="str">
        <f>IFERROR(__xludf.DUMMYFUNCTION("IF(C2675&lt;&gt;"""", GOOGLETRANSLATE(C2675, ""en"", ""te""),"""")"),"")</f>
        <v/>
      </c>
      <c r="E2675" s="2"/>
      <c r="F2675" s="2" t="str">
        <f>IFERROR(__xludf.DUMMYFUNCTION("IF(E2675&lt;&gt;"""", GOOGLETRANSLATE(E2675, ""en"", ""te""),"""")"),"")</f>
        <v/>
      </c>
      <c r="G2675" s="2"/>
      <c r="H2675" s="2" t="str">
        <f>IFERROR(__xludf.DUMMYFUNCTION("IF(G2675&lt;&gt;"""", GOOGLETRANSLATE(G2675, ""en"", ""te""),"""")"),"")</f>
        <v/>
      </c>
      <c r="I2675" s="3"/>
    </row>
    <row r="2676" customHeight="1" spans="1:9">
      <c r="A2676" s="2"/>
      <c r="B2676" s="2" t="str">
        <f>IFERROR(__xludf.DUMMYFUNCTION("IF(A2676&lt;&gt;"""", GOOGLETRANSLATE(A2676, ""en"", ""te""),"""")"),"")</f>
        <v/>
      </c>
      <c r="C2676" s="2"/>
      <c r="D2676" s="2" t="str">
        <f>IFERROR(__xludf.DUMMYFUNCTION("IF(C2676&lt;&gt;"""", GOOGLETRANSLATE(C2676, ""en"", ""te""),"""")"),"")</f>
        <v/>
      </c>
      <c r="E2676" s="2"/>
      <c r="F2676" s="2" t="str">
        <f>IFERROR(__xludf.DUMMYFUNCTION("IF(E2676&lt;&gt;"""", GOOGLETRANSLATE(E2676, ""en"", ""te""),"""")"),"")</f>
        <v/>
      </c>
      <c r="G2676" s="2"/>
      <c r="H2676" s="2" t="str">
        <f>IFERROR(__xludf.DUMMYFUNCTION("IF(G2676&lt;&gt;"""", GOOGLETRANSLATE(G2676, ""en"", ""te""),"""")"),"")</f>
        <v/>
      </c>
      <c r="I2676" s="3"/>
    </row>
    <row r="2677" customHeight="1" spans="1:9">
      <c r="A2677" s="2"/>
      <c r="B2677" s="2" t="str">
        <f>IFERROR(__xludf.DUMMYFUNCTION("IF(A2677&lt;&gt;"""", GOOGLETRANSLATE(A2677, ""en"", ""te""),"""")"),"")</f>
        <v/>
      </c>
      <c r="C2677" s="2"/>
      <c r="D2677" s="2" t="str">
        <f>IFERROR(__xludf.DUMMYFUNCTION("IF(C2677&lt;&gt;"""", GOOGLETRANSLATE(C2677, ""en"", ""te""),"""")"),"")</f>
        <v/>
      </c>
      <c r="E2677" s="2"/>
      <c r="F2677" s="2" t="str">
        <f>IFERROR(__xludf.DUMMYFUNCTION("IF(E2677&lt;&gt;"""", GOOGLETRANSLATE(E2677, ""en"", ""te""),"""")"),"")</f>
        <v/>
      </c>
      <c r="G2677" s="2"/>
      <c r="H2677" s="2" t="str">
        <f>IFERROR(__xludf.DUMMYFUNCTION("IF(G2677&lt;&gt;"""", GOOGLETRANSLATE(G2677, ""en"", ""te""),"""")"),"")</f>
        <v/>
      </c>
      <c r="I2677" s="3"/>
    </row>
    <row r="2678" customHeight="1" spans="1:9">
      <c r="A2678" s="2" t="s">
        <v>1922</v>
      </c>
      <c r="B2678" s="2" t="str">
        <f>IFERROR(__xludf.DUMMYFUNCTION("IF(A2678&lt;&gt;"""", GOOGLETRANSLATE(A2678, ""en"", ""te""),"""")"),"[ 'ఇన్నింగ్స్ లో 9 వ అత్యధిక పరుగులు (బ్యాటింగ్ స్థానంలో ప్రకారం) (134 *)', 'గత మ్యాచ్ (134 *) లో 1 వ హండ్రెడ్', '8 వ అత్యంత వృద్ధ ఆటగాడు తొలి వంద (38y 96d) స్కోర్']")</f>
        <v>[ 'ఇన్నింగ్స్ లో 9 వ అత్యధిక పరుగులు (బ్యాటింగ్ స్థానంలో ప్రకారం) (134 *)', 'గత మ్యాచ్ (134 *) లో 1 వ హండ్రెడ్', '8 వ అత్యంత వృద్ధ ఆటగాడు తొలి వంద (38y 96d) స్కోర్']</v>
      </c>
      <c r="C2678" s="2" t="s">
        <v>1922</v>
      </c>
      <c r="D2678" s="2" t="str">
        <f>IFERROR(__xludf.DUMMYFUNCTION("IF(C2678&lt;&gt;"""", GOOGLETRANSLATE(C2678, ""en"", ""te""),"""")"),"[ 'ఇన్నింగ్స్ లో 9 వ అత్యధిక పరుగులు (బ్యాటింగ్ స్థానంలో ప్రకారం) (134 *)', 'గత మ్యాచ్ (134 *) లో 1 వ హండ్రెడ్', '8 వ అత్యంత వృద్ధ ఆటగాడు తొలి వంద (38y 96d) స్కోర్']")</f>
        <v>[ 'ఇన్నింగ్స్ లో 9 వ అత్యధిక పరుగులు (బ్యాటింగ్ స్థానంలో ప్రకారం) (134 *)', 'గత మ్యాచ్ (134 *) లో 1 వ హండ్రెడ్', '8 వ అత్యంత వృద్ధ ఆటగాడు తొలి వంద (38y 96d) స్కోర్']</v>
      </c>
      <c r="E2678" s="2"/>
      <c r="F2678" s="2" t="str">
        <f>IFERROR(__xludf.DUMMYFUNCTION("IF(E2678&lt;&gt;"""", GOOGLETRANSLATE(E2678, ""en"", ""te""),"""")"),"")</f>
        <v/>
      </c>
      <c r="G2678" s="2"/>
      <c r="H2678" s="2" t="str">
        <f>IFERROR(__xludf.DUMMYFUNCTION("IF(G2678&lt;&gt;"""", GOOGLETRANSLATE(G2678, ""en"", ""te""),"""")"),"")</f>
        <v/>
      </c>
      <c r="I2678" s="3"/>
    </row>
    <row r="2679" customHeight="1" spans="1:9">
      <c r="A2679" s="2" t="s">
        <v>1923</v>
      </c>
      <c r="B2679" s="2" t="str">
        <f>IFERROR(__xludf.DUMMYFUNCTION("IF(A2679&lt;&gt;"""", GOOGLETRANSLATE(A2679, ""en"", ""te""),"""")"),"[ 'చాలా 5 వ బృందం వరుసగా మ్యాచ్లు (63)', '4 వ ఇన్నింగ్స్ లో అత్యధిక పరుగులు (బ్యాటింగ్ స్థానంలో ప్రకారం) (124)', '10 వ బౌలర్ / ఫీల్డర్ కాంబినేషన్' 1st కెరీర్ (13) అత్యంత బాతులు '(11 ) ',' నాలుగవ వికెట్కు (139 కోసం 2 వ అత్యధిక భాగస్వామ్యం) ']")</f>
        <v>[ 'చాలా 5 వ బృందం వరుసగా మ్యాచ్లు (63)', '4 వ ఇన్నింగ్స్ లో అత్యధిక పరుగులు (బ్యాటింగ్ స్థానంలో ప్రకారం) (124)', '10 వ బౌలర్ / ఫీల్డర్ కాంబినేషన్' 1st కెరీర్ (13) అత్యంత బాతులు '(11 ) ',' నాలుగవ వికెట్కు (139 కోసం 2 వ అత్యధిక భాగస్వామ్యం) ']</v>
      </c>
      <c r="C2679" s="2"/>
      <c r="D2679" s="2" t="str">
        <f>IFERROR(__xludf.DUMMYFUNCTION("IF(C2679&lt;&gt;"""", GOOGLETRANSLATE(C2679, ""en"", ""te""),"""")"),"")</f>
        <v/>
      </c>
      <c r="E2679" s="2" t="s">
        <v>1924</v>
      </c>
      <c r="F2679" s="2" t="str">
        <f>IFERROR(__xludf.DUMMYFUNCTION("IF(E2679&lt;&gt;"""", GOOGLETRANSLATE(E2679, ""en"", ""te""),"""")"),"[ '44 వ అత్యధిక తొలి వంద (110)', '48 వ వరుస ఇన్నింగ్స్లో డకౌట్ లేకుండా (31)', 'పదవ వికెట్కు 40 వ అత్యధిక భాగస్వామ్యం (26)']")</f>
        <v>[ '44 వ అత్యధిక తొలి వంద (110)', '48 వ వరుస ఇన్నింగ్స్లో డకౌట్ లేకుండా (31)', 'పదవ వికెట్కు 40 వ అత్యధిక భాగస్వామ్యం (26)']</v>
      </c>
      <c r="G2679" s="2" t="s">
        <v>1925</v>
      </c>
      <c r="H2679" s="2" t="str">
        <f>IFERROR(__xludf.DUMMYFUNCTION("IF(G2679&lt;&gt;"""", GOOGLETRANSLATE(G2679, ""en"", ""te""),"""")"),"[ 'ఇన్నింగ్స్ లో 6 వ అత్యధిక పరుగులు (124)' 'ఒక క్యాలెండర్ సంవత్సరంలో 26 అత్యధిక పరుగులు (422)' '18 వ అత్యధిక కెరీర్ లో పరుగులు (1675)', '4 వ ఇన్నింగ్స్ లో అత్యధిక పరుగులు (బ్యాటింగ్ స్థానంలో ప్రకారం) ( 124) ',' ఒకే మైదానంలో 21 వ అత్యధిక పరుగులు (213) ',"&amp;"' 16 వ కెరీర్ అర్ధ (9) ',' 1 వ కెరీర్ బాతులు (13) ',' 48 వ కెరీర్ లో అత్యధిక వికెట్లు (46) ', '22 ఒక క్యాలెండర్ సంవత్సరంలో అత్యధిక వికెట్లు (20)', '14 వ సగటు (15.54) బౌలింగ్ ఉత్తమ జీవితం' '38 వ ఉత్తమ కెరీర్ ఆర్థిక రేటు (5.65)', '11 వ ఉత్తమ కెరీర్ సమ్మె రే"&amp;"టు (16.5)', '30 వ ఉత్తమ సమ్మె ఒక ఇన్నింగ్స్ లో రేటు (3.6) ',' 10 వ బౌలర్ / ఫీల్డర్ కలయికలు (11) ',' 26th అత్యధిక వికెట్లు తీసుకున్న ఆకర్షించింది (33) ',' 27 వ అత్యధిక వికెట్లు ఒక ఫీల్డర్ చేత క్యాచ్ తీసుకున్న (28) ',' 23 వ అత్యధిక వికెట్లు తీసుకున్న ఒక విక"&amp;"ెట్ కీపర్ చే కాట్ (5) ',' 32 వ అత్యధిక వికెట్లు కెరీర్ (27) ',' 15 వ అత్యధిక భాగస్వామ్య ఏ వికెట్కు (147) ',' 9 వ అత్యధిక భాగస్వామ్యం మొదటి కోసం తీసుకున్న స్టంప్ (6) ', '21 వ అత్యధిక క్యాచ్లు వికెట్ (147) ',' రెండవ వికెట్కు 35 వ అత్యధిక భాగస్వామ్యం (96) ',"&amp;"' నాలుగవ WIC కోసం 2 వ అత్యధిక భాగస్వామ్యం Ket (139) ',' 5 వ కెరీర్లో అత్యధిక మ్యాచ్లు (116) ',' బృందం (63) 5 వ వరుస మ్యాచ్లు ']")</f>
        <v>[ 'ఇన్నింగ్స్ లో 6 వ అత్యధిక పరుగులు (124)' 'ఒక క్యాలెండర్ సంవత్సరంలో 26 అత్యధిక పరుగులు (422)' '18 వ అత్యధిక కెరీర్ లో పరుగులు (1675)', '4 వ ఇన్నింగ్స్ లో అత్యధిక పరుగులు (బ్యాటింగ్ స్థానంలో ప్రకారం) ( 124) ',' ఒకే మైదానంలో 21 వ అత్యధిక పరుగులు (213) ',' 16 వ కెరీర్ అర్ధ (9) ',' 1 వ కెరీర్ బాతులు (13) ',' 48 వ కెరీర్ లో అత్యధిక వికెట్లు (46) ', '22 ఒక క్యాలెండర్ సంవత్సరంలో అత్యధిక వికెట్లు (20)', '14 వ సగటు (15.54) బౌలింగ్ ఉత్తమ జీవితం' '38 వ ఉత్తమ కెరీర్ ఆర్థిక రేటు (5.65)', '11 వ ఉత్తమ కెరీర్ సమ్మె రేటు (16.5)', '30 వ ఉత్తమ సమ్మె ఒక ఇన్నింగ్స్ లో రేటు (3.6) ',' 10 వ బౌలర్ / ఫీల్డర్ కలయికలు (11) ',' 26th అత్యధిక వికెట్లు తీసుకున్న ఆకర్షించింది (33) ',' 27 వ అత్యధిక వికెట్లు ఒక ఫీల్డర్ చేత క్యాచ్ తీసుకున్న (28) ',' 23 వ అత్యధిక వికెట్లు తీసుకున్న ఒక వికెట్ కీపర్ చే కాట్ (5) ',' 32 వ అత్యధిక వికెట్లు కెరీర్ (27) ',' 15 వ అత్యధిక భాగస్వామ్య ఏ వికెట్కు (147) ',' 9 వ అత్యధిక భాగస్వామ్యం మొదటి కోసం తీసుకున్న స్టంప్ (6) ', '21 వ అత్యధిక క్యాచ్లు వికెట్ (147) ',' రెండవ వికెట్కు 35 వ అత్యధిక భాగస్వామ్యం (96) ',' నాలుగవ WIC కోసం 2 వ అత్యధిక భాగస్వామ్యం Ket (139) ',' 5 వ కెరీర్లో అత్యధిక మ్యాచ్లు (116) ',' బృందం (63) 5 వ వరుస మ్యాచ్లు ']</v>
      </c>
      <c r="I2679" s="3"/>
    </row>
    <row r="2680" customHeight="1" spans="1:9">
      <c r="A2680" s="2"/>
      <c r="B2680" s="2" t="str">
        <f>IFERROR(__xludf.DUMMYFUNCTION("IF(A2680&lt;&gt;"""", GOOGLETRANSLATE(A2680, ""en"", ""te""),"""")"),"")</f>
        <v/>
      </c>
      <c r="C2680" s="2" t="s">
        <v>1926</v>
      </c>
      <c r="D2680" s="2" t="str">
        <f>IFERROR(__xludf.DUMMYFUNCTION("IF(C2680&lt;&gt;"""", GOOGLETRANSLATE(C2680, ""en"", ""te""),"""")"),"[ '16 వ చెత్త ఇన్నింగ్స్ లో ఆర్థిక రేటు (6.86)']")</f>
        <v>[ '16 వ చెత్త ఇన్నింగ్స్ లో ఆర్థిక రేటు (6.86)']</v>
      </c>
      <c r="E2680" s="2"/>
      <c r="F2680" s="2" t="str">
        <f>IFERROR(__xludf.DUMMYFUNCTION("IF(E2680&lt;&gt;"""", GOOGLETRANSLATE(E2680, ""en"", ""te""),"""")"),"")</f>
        <v/>
      </c>
      <c r="G2680" s="2"/>
      <c r="H2680" s="2" t="str">
        <f>IFERROR(__xludf.DUMMYFUNCTION("IF(G2680&lt;&gt;"""", GOOGLETRANSLATE(G2680, ""en"", ""te""),"""")"),"")</f>
        <v/>
      </c>
      <c r="I2680" s="3"/>
    </row>
    <row r="2681" customHeight="1" spans="1:9">
      <c r="A2681" s="2"/>
      <c r="B2681" s="2" t="str">
        <f>IFERROR(__xludf.DUMMYFUNCTION("IF(A2681&lt;&gt;"""", GOOGLETRANSLATE(A2681, ""en"", ""te""),"""")"),"")</f>
        <v/>
      </c>
      <c r="C2681" s="2"/>
      <c r="D2681" s="2" t="str">
        <f>IFERROR(__xludf.DUMMYFUNCTION("IF(C2681&lt;&gt;"""", GOOGLETRANSLATE(C2681, ""en"", ""te""),"""")"),"")</f>
        <v/>
      </c>
      <c r="E2681" s="2"/>
      <c r="F2681" s="2" t="str">
        <f>IFERROR(__xludf.DUMMYFUNCTION("IF(E2681&lt;&gt;"""", GOOGLETRANSLATE(E2681, ""en"", ""te""),"""")"),"")</f>
        <v/>
      </c>
      <c r="G2681" s="2"/>
      <c r="H2681" s="2" t="str">
        <f>IFERROR(__xludf.DUMMYFUNCTION("IF(G2681&lt;&gt;"""", GOOGLETRANSLATE(G2681, ""en"", ""te""),"""")"),"")</f>
        <v/>
      </c>
      <c r="I2681" s="3"/>
    </row>
    <row r="2682" customHeight="1" spans="1:9">
      <c r="A2682" s="2"/>
      <c r="B2682" s="2" t="str">
        <f>IFERROR(__xludf.DUMMYFUNCTION("IF(A2682&lt;&gt;"""", GOOGLETRANSLATE(A2682, ""en"", ""te""),"""")"),"")</f>
        <v/>
      </c>
      <c r="C2682" s="2"/>
      <c r="D2682" s="2" t="str">
        <f>IFERROR(__xludf.DUMMYFUNCTION("IF(C2682&lt;&gt;"""", GOOGLETRANSLATE(C2682, ""en"", ""te""),"""")"),"")</f>
        <v/>
      </c>
      <c r="E2682" s="2"/>
      <c r="F2682" s="2" t="str">
        <f>IFERROR(__xludf.DUMMYFUNCTION("IF(E2682&lt;&gt;"""", GOOGLETRANSLATE(E2682, ""en"", ""te""),"""")"),"")</f>
        <v/>
      </c>
      <c r="G2682" s="2"/>
      <c r="H2682" s="2" t="str">
        <f>IFERROR(__xludf.DUMMYFUNCTION("IF(G2682&lt;&gt;"""", GOOGLETRANSLATE(G2682, ""en"", ""te""),"""")"),"")</f>
        <v/>
      </c>
      <c r="I2682" s="3"/>
    </row>
    <row r="2683" customHeight="1" spans="1:9">
      <c r="A2683" s="2"/>
      <c r="B2683" s="2" t="str">
        <f>IFERROR(__xludf.DUMMYFUNCTION("IF(A2683&lt;&gt;"""", GOOGLETRANSLATE(A2683, ""en"", ""te""),"""")"),"")</f>
        <v/>
      </c>
      <c r="C2683" s="2"/>
      <c r="D2683" s="2" t="str">
        <f>IFERROR(__xludf.DUMMYFUNCTION("IF(C2683&lt;&gt;"""", GOOGLETRANSLATE(C2683, ""en"", ""te""),"""")"),"")</f>
        <v/>
      </c>
      <c r="E2683" s="2"/>
      <c r="F2683" s="2" t="str">
        <f>IFERROR(__xludf.DUMMYFUNCTION("IF(E2683&lt;&gt;"""", GOOGLETRANSLATE(E2683, ""en"", ""te""),"""")"),"")</f>
        <v/>
      </c>
      <c r="G2683" s="2"/>
      <c r="H2683" s="2" t="str">
        <f>IFERROR(__xludf.DUMMYFUNCTION("IF(G2683&lt;&gt;"""", GOOGLETRANSLATE(G2683, ""en"", ""te""),"""")"),"")</f>
        <v/>
      </c>
      <c r="I2683" s="3"/>
    </row>
    <row r="2684" customHeight="1" spans="1:9">
      <c r="A2684" s="2" t="s">
        <v>1927</v>
      </c>
      <c r="B2684" s="2" t="str">
        <f>IFERROR(__xludf.DUMMYFUNCTION("IF(A2684&lt;&gt;"""", GOOGLETRANSLATE(A2684, ""en"", ""te""),"""")"),"[ '5 వ అత్యుత్తమ బౌలింగ్ ఇన్నింగ్స్ లో విశ్లేషించడం (4/7)', 'పది వికెట్లు లో ఒక మ్యాచ్ తీసుకోవాలని 7 వ అత్యంత వృద్ధ ఆటగాడు (37y 348d)', '3 వ అత్యంత బంతుల్లో ఒక మ్యాచ్ (749) లో బౌల్డ్']")</f>
        <v>[ '5 వ అత్యుత్తమ బౌలింగ్ ఇన్నింగ్స్ లో విశ్లేషించడం (4/7)', 'పది వికెట్లు లో ఒక మ్యాచ్ తీసుకోవాలని 7 వ అత్యంత వృద్ధ ఆటగాడు (37y 348d)', '3 వ అత్యంత బంతుల్లో ఒక మ్యాచ్ (749) లో బౌల్డ్']</v>
      </c>
      <c r="C2684" s="2" t="s">
        <v>1928</v>
      </c>
      <c r="D2684" s="2" t="str">
        <f>IFERROR(__xludf.DUMMYFUNCTION("IF(C2684&lt;&gt;"""", GOOGLETRANSLATE(C2684, ""en"", ""te""),"""")"),"[ '25 వ మ్యాచ్ లో బెస్ట్ ఫిగర్స్ (13)', '5 వ అత్యుత్తమ బౌలింగ్ ఇన్నింగ్స్ లో విశ్లేషించడం (4/7)', '30 వ ఉత్తమ కెరీర్ ఆర్థిక రేటు (1.97)', ఒక ఇన్నింగ్స్ లో '43 వ చెత్త సమ్మె రేటు (342.0) ',' 18 వ వరుస ఐదు వికెట్ల లో-ఒక-ఇన్నింగ్స్ (3) ',' ఐదు వికెట్ల లో-ఒక-"&amp;"ఇన్నింగ్స్ (37y 348d) పది వికెట్లు తీసుకోవాలని తీసుకోవాలని 28 ఓల్డెస్ట్ ఆటగాడు ',' 7 వ అత్యంత వృద్ధ ఆటగాడు -ఇన్-ఒక-మ్యాచ్ (37y 348d) ',' 14 వ అత్యంత వృద్ధ ఆటగాడు (453) ',' 3 వ ఒక ఐదు మైడెన్-వికెట్ల లో-ఒక-ఇన్నింగ్స్ ఇన్నింగ్స్ లో బౌల్డ్ (37y 314d) ',' 22 "&amp;"వ అత్యంత బంతుల్లో తీసుకోవాలని ఒక మ్యాచ్లో బౌల్డ్ అత్యంత బంతుల్లో (749) ',' 48 వ అత్యధిక పరుగులు ఒక మ్యాచ్లో సాధించిన (256) ',' 41 వ ఓల్డెస్ట్ కాప్టెన్ (38y 147d) ',' కెప్టెన్సీ తొలి 18 వ ఓల్డెస్ట్ కాప్టెన్ (38y 17d) ']")</f>
        <v>[ '25 వ మ్యాచ్ లో బెస్ట్ ఫిగర్స్ (13)', '5 వ అత్యుత్తమ బౌలింగ్ ఇన్నింగ్స్ లో విశ్లేషించడం (4/7)', '30 వ ఉత్తమ కెరీర్ ఆర్థిక రేటు (1.97)', ఒక ఇన్నింగ్స్ లో '43 వ చెత్త సమ్మె రేటు (342.0) ',' 18 వ వరుస ఐదు వికెట్ల లో-ఒక-ఇన్నింగ్స్ (3) ',' ఐదు వికెట్ల లో-ఒక-ఇన్నింగ్స్ (37y 348d) పది వికెట్లు తీసుకోవాలని తీసుకోవాలని 28 ఓల్డెస్ట్ ఆటగాడు ',' 7 వ అత్యంత వృద్ధ ఆటగాడు -ఇన్-ఒక-మ్యాచ్ (37y 348d) ',' 14 వ అత్యంత వృద్ధ ఆటగాడు (453) ',' 3 వ ఒక ఐదు మైడెన్-వికెట్ల లో-ఒక-ఇన్నింగ్స్ ఇన్నింగ్స్ లో బౌల్డ్ (37y 314d) ',' 22 వ అత్యంత బంతుల్లో తీసుకోవాలని ఒక మ్యాచ్లో బౌల్డ్ అత్యంత బంతుల్లో (749) ',' 48 వ అత్యధిక పరుగులు ఒక మ్యాచ్లో సాధించిన (256) ',' 41 వ ఓల్డెస్ట్ కాప్టెన్ (38y 147d) ',' కెప్టెన్సీ తొలి 18 వ ఓల్డెస్ట్ కాప్టెన్ (38y 17d) ']</v>
      </c>
      <c r="E2684" s="2"/>
      <c r="F2684" s="2" t="str">
        <f>IFERROR(__xludf.DUMMYFUNCTION("IF(E2684&lt;&gt;"""", GOOGLETRANSLATE(E2684, ""en"", ""te""),"""")"),"")</f>
        <v/>
      </c>
      <c r="G2684" s="2"/>
      <c r="H2684" s="2" t="str">
        <f>IFERROR(__xludf.DUMMYFUNCTION("IF(G2684&lt;&gt;"""", GOOGLETRANSLATE(G2684, ""en"", ""te""),"""")"),"")</f>
        <v/>
      </c>
      <c r="I2684" s="3"/>
    </row>
    <row r="2685" customHeight="1" spans="1:9">
      <c r="A2685" s="2"/>
      <c r="B2685" s="2" t="str">
        <f>IFERROR(__xludf.DUMMYFUNCTION("IF(A2685&lt;&gt;"""", GOOGLETRANSLATE(A2685, ""en"", ""te""),"""")"),"")</f>
        <v/>
      </c>
      <c r="C2685" s="2"/>
      <c r="D2685" s="2" t="str">
        <f>IFERROR(__xludf.DUMMYFUNCTION("IF(C2685&lt;&gt;"""", GOOGLETRANSLATE(C2685, ""en"", ""te""),"""")"),"")</f>
        <v/>
      </c>
      <c r="E2685" s="2"/>
      <c r="F2685" s="2" t="str">
        <f>IFERROR(__xludf.DUMMYFUNCTION("IF(E2685&lt;&gt;"""", GOOGLETRANSLATE(E2685, ""en"", ""te""),"""")"),"")</f>
        <v/>
      </c>
      <c r="G2685" s="2"/>
      <c r="H2685" s="2" t="str">
        <f>IFERROR(__xludf.DUMMYFUNCTION("IF(G2685&lt;&gt;"""", GOOGLETRANSLATE(G2685, ""en"", ""te""),"""")"),"")</f>
        <v/>
      </c>
      <c r="I2685" s="3"/>
    </row>
    <row r="2686" customHeight="1" spans="1:9">
      <c r="A2686" s="2" t="s">
        <v>1929</v>
      </c>
      <c r="B2686" s="2" t="str">
        <f>IFERROR(__xludf.DUMMYFUNCTION("IF(A2686&lt;&gt;"""", GOOGLETRANSLATE(A2686, ""en"", ""te""),"""")"),"[ '3 వ లాంగెస్ట్ కెరీర్లు (25y 13d)', 'హండ్రెడ్ మరియు ఒక మ్యాచ్లో ఒక డక్', '1 వ అత్యుత్తమ బౌలింగ్ విశ్లేషిస్తుంది ఒక ఇన్నింగ్స్ లో (1/0)' '5 వ అత్యంత వృద్ధ ఆటగాడు వంద (42y 61d) స్కోర్', '8 వ అత్యధిక క్యాచ్లు ఒక మ్యాచ్లో (6)' 1000 పరుగులు '5 వ ఓల్డెస్ట్ క్"&amp;"రీడాకారుడు ఐదు-వికెట్ల లో-ఒక-ఇన్నింగ్స్ (42y 242d) తీసుకోవాలని', 'ఒకే మ్యాచ్ లో బ్యాటింగ్ ప్రారంభించుటకు మరియు బౌలింగ్', ', 50 వికెట్లు, 50 క్యాచ్లు ',' 3 వ లాంగెస్ట్ కెరీర్లు (25y 13d) ']")</f>
        <v>[ '3 వ లాంగెస్ట్ కెరీర్లు (25y 13d)', 'హండ్రెడ్ మరియు ఒక మ్యాచ్లో ఒక డక్', '1 వ అత్యుత్తమ బౌలింగ్ విశ్లేషిస్తుంది ఒక ఇన్నింగ్స్ లో (1/0)' '5 వ అత్యంత వృద్ధ ఆటగాడు వంద (42y 61d) స్కోర్', '8 వ అత్యధిక క్యాచ్లు ఒక మ్యాచ్లో (6)' 1000 పరుగులు '5 వ ఓల్డెస్ట్ క్రీడాకారుడు ఐదు-వికెట్ల లో-ఒక-ఇన్నింగ్స్ (42y 242d) తీసుకోవాలని', 'ఒకే మ్యాచ్ లో బ్యాటింగ్ ప్రారంభించుటకు మరియు బౌలింగ్', ', 50 వికెట్లు, 50 క్యాచ్లు ',' 3 వ లాంగెస్ట్ కెరీర్లు (25y 13d) ']</v>
      </c>
      <c r="C2686" s="2" t="s">
        <v>1930</v>
      </c>
      <c r="D2686" s="2" t="str">
        <f>IFERROR(__xludf.DUMMYFUNCTION("IF(C2686&lt;&gt;"""", GOOGLETRANSLATE(C2686, ""en"", ""te""),"""")"),"[ '1st అత్యుత్తమ బౌలింగ్ విశ్లేషిస్తుంది ఒక ఇన్నింగ్స్ లో (1/0)' '44 వ ఉత్తమ సమ్మె రేటు ఇన్నింగ్స్ లో (9.2)' ఒక లో 40 వ చెత్త సమ్మె రేటు '5 వ అత్యంత వృద్ధ ఆటగాడు వంద (42y 61d) స్కోర్', ' ఇన్నింగ్స్ (344.0) ',' ఐదు వికెట్ల లో-ఒక-ఇన్నింగ్స్ తీసుకోవాలని 5 వ "&amp;"అత్యంత వృద్ధ ఆటగాడు ఒక మ్యాచ్లో (42y 242d) ',' 8 వ అత్యధిక క్యాచ్లు (6) ',' 42 వ ఒక సిరీస్లో అత్యధిక క్యాచ్లు (10) ' 'తొమ్మిదవ వికెట్కు 21 అత్యధిక భాగస్వామ్యం (128)', '8 వ ఓల్డెస్ట్ క్రీడాకారులు (47y 87d)', '3 వ లాంగెస్ట్ కెరీర్లు (25y 13d)', '44th లాంగెస"&amp;"్ట్ క్రీడాకారులు నివసించారు (91y 144d)']")</f>
        <v>[ '1st అత్యుత్తమ బౌలింగ్ విశ్లేషిస్తుంది ఒక ఇన్నింగ్స్ లో (1/0)' '44 వ ఉత్తమ సమ్మె రేటు ఇన్నింగ్స్ లో (9.2)' ఒక లో 40 వ చెత్త సమ్మె రేటు '5 వ అత్యంత వృద్ధ ఆటగాడు వంద (42y 61d) స్కోర్', ' ఇన్నింగ్స్ (344.0) ',' ఐదు వికెట్ల లో-ఒక-ఇన్నింగ్స్ తీసుకోవాలని 5 వ అత్యంత వృద్ధ ఆటగాడు ఒక మ్యాచ్లో (42y 242d) ',' 8 వ అత్యధిక క్యాచ్లు (6) ',' 42 వ ఒక సిరీస్లో అత్యధిక క్యాచ్లు (10) ' 'తొమ్మిదవ వికెట్కు 21 అత్యధిక భాగస్వామ్యం (128)', '8 వ ఓల్డెస్ట్ క్రీడాకారులు (47y 87d)', '3 వ లాంగెస్ట్ కెరీర్లు (25y 13d)', '44th లాంగెస్ట్ క్రీడాకారులు నివసించారు (91y 144d)']</v>
      </c>
      <c r="E2686" s="2"/>
      <c r="F2686" s="2" t="str">
        <f>IFERROR(__xludf.DUMMYFUNCTION("IF(E2686&lt;&gt;"""", GOOGLETRANSLATE(E2686, ""en"", ""te""),"""")"),"")</f>
        <v/>
      </c>
      <c r="G2686" s="2"/>
      <c r="H2686" s="2" t="str">
        <f>IFERROR(__xludf.DUMMYFUNCTION("IF(G2686&lt;&gt;"""", GOOGLETRANSLATE(G2686, ""en"", ""te""),"""")"),"")</f>
        <v/>
      </c>
      <c r="I2686" s="3"/>
    </row>
    <row r="2687" customHeight="1" spans="1:9">
      <c r="A2687" s="2"/>
      <c r="B2687" s="2" t="str">
        <f>IFERROR(__xludf.DUMMYFUNCTION("IF(A2687&lt;&gt;"""", GOOGLETRANSLATE(A2687, ""en"", ""te""),"""")"),"")</f>
        <v/>
      </c>
      <c r="C2687" s="2"/>
      <c r="D2687" s="2" t="str">
        <f>IFERROR(__xludf.DUMMYFUNCTION("IF(C2687&lt;&gt;"""", GOOGLETRANSLATE(C2687, ""en"", ""te""),"""")"),"")</f>
        <v/>
      </c>
      <c r="E2687" s="2"/>
      <c r="F2687" s="2" t="str">
        <f>IFERROR(__xludf.DUMMYFUNCTION("IF(E2687&lt;&gt;"""", GOOGLETRANSLATE(E2687, ""en"", ""te""),"""")"),"")</f>
        <v/>
      </c>
      <c r="G2687" s="2"/>
      <c r="H2687" s="2" t="str">
        <f>IFERROR(__xludf.DUMMYFUNCTION("IF(G2687&lt;&gt;"""", GOOGLETRANSLATE(G2687, ""en"", ""te""),"""")"),"")</f>
        <v/>
      </c>
      <c r="I2687" s="3"/>
    </row>
    <row r="2688" customHeight="1" spans="1:9">
      <c r="A2688" s="2"/>
      <c r="B2688" s="2" t="str">
        <f>IFERROR(__xludf.DUMMYFUNCTION("IF(A2688&lt;&gt;"""", GOOGLETRANSLATE(A2688, ""en"", ""te""),"""")"),"")</f>
        <v/>
      </c>
      <c r="C2688" s="2"/>
      <c r="D2688" s="2" t="str">
        <f>IFERROR(__xludf.DUMMYFUNCTION("IF(C2688&lt;&gt;"""", GOOGLETRANSLATE(C2688, ""en"", ""te""),"""")"),"")</f>
        <v/>
      </c>
      <c r="E2688" s="2"/>
      <c r="F2688" s="2" t="str">
        <f>IFERROR(__xludf.DUMMYFUNCTION("IF(E2688&lt;&gt;"""", GOOGLETRANSLATE(E2688, ""en"", ""te""),"""")"),"")</f>
        <v/>
      </c>
      <c r="G2688" s="2"/>
      <c r="H2688" s="2" t="str">
        <f>IFERROR(__xludf.DUMMYFUNCTION("IF(G2688&lt;&gt;"""", GOOGLETRANSLATE(G2688, ""en"", ""te""),"""")"),"")</f>
        <v/>
      </c>
      <c r="I2688" s="3"/>
    </row>
    <row r="2689" customHeight="1" spans="1:9">
      <c r="A2689" s="2"/>
      <c r="B2689" s="2" t="str">
        <f>IFERROR(__xludf.DUMMYFUNCTION("IF(A2689&lt;&gt;"""", GOOGLETRANSLATE(A2689, ""en"", ""te""),"""")"),"")</f>
        <v/>
      </c>
      <c r="C2689" s="2"/>
      <c r="D2689" s="2" t="str">
        <f>IFERROR(__xludf.DUMMYFUNCTION("IF(C2689&lt;&gt;"""", GOOGLETRANSLATE(C2689, ""en"", ""te""),"""")"),"")</f>
        <v/>
      </c>
      <c r="E2689" s="2"/>
      <c r="F2689" s="2" t="str">
        <f>IFERROR(__xludf.DUMMYFUNCTION("IF(E2689&lt;&gt;"""", GOOGLETRANSLATE(E2689, ""en"", ""te""),"""")"),"")</f>
        <v/>
      </c>
      <c r="G2689" s="2"/>
      <c r="H2689" s="2" t="str">
        <f>IFERROR(__xludf.DUMMYFUNCTION("IF(G2689&lt;&gt;"""", GOOGLETRANSLATE(G2689, ""en"", ""te""),"""")"),"")</f>
        <v/>
      </c>
      <c r="I2689" s="3"/>
    </row>
    <row r="2690" customHeight="1" spans="1:9">
      <c r="A2690" s="2" t="s">
        <v>1931</v>
      </c>
      <c r="B2690" s="2" t="str">
        <f>IFERROR(__xludf.DUMMYFUNCTION("IF(A2690&lt;&gt;"""", GOOGLETRANSLATE(A2690, ""en"", ""te""),"""")"),"[ '8 వ అత్యధిక కెరీర్ బ్యాటింగ్ సగటు (48.00)', '10 వ కెరీర్ లో అత్యంత తొంభైల (2)']")</f>
        <v>[ '8 వ అత్యధిక కెరీర్ బ్యాటింగ్ సగటు (48.00)', '10 వ కెరీర్ లో అత్యంత తొంభైల (2)']</v>
      </c>
      <c r="C2690" s="2"/>
      <c r="D2690" s="2" t="str">
        <f>IFERROR(__xludf.DUMMYFUNCTION("IF(C2690&lt;&gt;"""", GOOGLETRANSLATE(C2690, ""en"", ""te""),"""")"),"")</f>
        <v/>
      </c>
      <c r="E2690" s="2" t="s">
        <v>1932</v>
      </c>
      <c r="F2690" s="2" t="str">
        <f>IFERROR(__xludf.DUMMYFUNCTION("IF(E2690&lt;&gt;"""", GOOGLETRANSLATE(E2690, ""en"", ""te""),"""")"),"[ '8 వ అత్యధిక కెరీర్ బ్యాటింగ్ సగటు (48.00)', '49 వ అత్యధిక తొలి వంద (107 *)', స్కోర్ '33 వ అత్యంత వృద్ధ ఆటగాడు వంద (30y 14D) స్కోర్', '21 వ అత్యంత వృద్ధ ఆటగాడు తొలి వంద (30y 14D) ',' 10 వ కెరీర్ లో అత్యంత తొంభైల (2) ',' 33 వ అత్యంత ఇన్నింగ్స్ తొలి డక్ "&amp;"ముందు (16) ']")</f>
        <v>[ '8 వ అత్యధిక కెరీర్ బ్యాటింగ్ సగటు (48.00)', '49 వ అత్యధిక తొలి వంద (107 *)', స్కోర్ '33 వ అత్యంత వృద్ధ ఆటగాడు వంద (30y 14D) స్కోర్', '21 వ అత్యంత వృద్ధ ఆటగాడు తొలి వంద (30y 14D) ',' 10 వ కెరీర్ లో అత్యంత తొంభైల (2) ',' 33 వ అత్యంత ఇన్నింగ్స్ తొలి డక్ ముందు (16) ']</v>
      </c>
      <c r="G2690" s="2"/>
      <c r="H2690" s="2" t="str">
        <f>IFERROR(__xludf.DUMMYFUNCTION("IF(G2690&lt;&gt;"""", GOOGLETRANSLATE(G2690, ""en"", ""te""),"""")"),"")</f>
        <v/>
      </c>
      <c r="I2690" s="3"/>
    </row>
    <row r="2691" customHeight="1" spans="1:9">
      <c r="A2691" s="2"/>
      <c r="B2691" s="2" t="str">
        <f>IFERROR(__xludf.DUMMYFUNCTION("IF(A2691&lt;&gt;"""", GOOGLETRANSLATE(A2691, ""en"", ""te""),"""")"),"")</f>
        <v/>
      </c>
      <c r="C2691" s="2"/>
      <c r="D2691" s="2" t="str">
        <f>IFERROR(__xludf.DUMMYFUNCTION("IF(C2691&lt;&gt;"""", GOOGLETRANSLATE(C2691, ""en"", ""te""),"""")"),"")</f>
        <v/>
      </c>
      <c r="E2691" s="2"/>
      <c r="F2691" s="2" t="str">
        <f>IFERROR(__xludf.DUMMYFUNCTION("IF(E2691&lt;&gt;"""", GOOGLETRANSLATE(E2691, ""en"", ""te""),"""")"),"")</f>
        <v/>
      </c>
      <c r="G2691" s="2"/>
      <c r="H2691" s="2" t="str">
        <f>IFERROR(__xludf.DUMMYFUNCTION("IF(G2691&lt;&gt;"""", GOOGLETRANSLATE(G2691, ""en"", ""te""),"""")"),"")</f>
        <v/>
      </c>
      <c r="I2691" s="3"/>
    </row>
    <row r="2692" customHeight="1" spans="1:9">
      <c r="A2692" s="2"/>
      <c r="B2692" s="2" t="str">
        <f>IFERROR(__xludf.DUMMYFUNCTION("IF(A2692&lt;&gt;"""", GOOGLETRANSLATE(A2692, ""en"", ""te""),"""")"),"")</f>
        <v/>
      </c>
      <c r="C2692" s="2"/>
      <c r="D2692" s="2" t="str">
        <f>IFERROR(__xludf.DUMMYFUNCTION("IF(C2692&lt;&gt;"""", GOOGLETRANSLATE(C2692, ""en"", ""te""),"""")"),"")</f>
        <v/>
      </c>
      <c r="E2692" s="2"/>
      <c r="F2692" s="2" t="str">
        <f>IFERROR(__xludf.DUMMYFUNCTION("IF(E2692&lt;&gt;"""", GOOGLETRANSLATE(E2692, ""en"", ""te""),"""")"),"")</f>
        <v/>
      </c>
      <c r="G2692" s="2"/>
      <c r="H2692" s="2" t="str">
        <f>IFERROR(__xludf.DUMMYFUNCTION("IF(G2692&lt;&gt;"""", GOOGLETRANSLATE(G2692, ""en"", ""te""),"""")"),"")</f>
        <v/>
      </c>
      <c r="I2692" s="3"/>
    </row>
    <row r="2693" customHeight="1" spans="1:9">
      <c r="A2693" s="2"/>
      <c r="B2693" s="2" t="str">
        <f>IFERROR(__xludf.DUMMYFUNCTION("IF(A2693&lt;&gt;"""", GOOGLETRANSLATE(A2693, ""en"", ""te""),"""")"),"")</f>
        <v/>
      </c>
      <c r="C2693" s="2"/>
      <c r="D2693" s="2" t="str">
        <f>IFERROR(__xludf.DUMMYFUNCTION("IF(C2693&lt;&gt;"""", GOOGLETRANSLATE(C2693, ""en"", ""te""),"""")"),"")</f>
        <v/>
      </c>
      <c r="E2693" s="2"/>
      <c r="F2693" s="2" t="str">
        <f>IFERROR(__xludf.DUMMYFUNCTION("IF(E2693&lt;&gt;"""", GOOGLETRANSLATE(E2693, ""en"", ""te""),"""")"),"")</f>
        <v/>
      </c>
      <c r="G2693" s="2"/>
      <c r="H2693" s="2" t="str">
        <f>IFERROR(__xludf.DUMMYFUNCTION("IF(G2693&lt;&gt;"""", GOOGLETRANSLATE(G2693, ""en"", ""te""),"""")"),"")</f>
        <v/>
      </c>
      <c r="I2693" s="3"/>
    </row>
    <row r="2694" customHeight="1" spans="1:9">
      <c r="A2694" s="2"/>
      <c r="B2694" s="2" t="str">
        <f>IFERROR(__xludf.DUMMYFUNCTION("IF(A2694&lt;&gt;"""", GOOGLETRANSLATE(A2694, ""en"", ""te""),"""")"),"")</f>
        <v/>
      </c>
      <c r="C2694" s="2"/>
      <c r="D2694" s="2" t="str">
        <f>IFERROR(__xludf.DUMMYFUNCTION("IF(C2694&lt;&gt;"""", GOOGLETRANSLATE(C2694, ""en"", ""te""),"""")"),"")</f>
        <v/>
      </c>
      <c r="E2694" s="2"/>
      <c r="F2694" s="2" t="str">
        <f>IFERROR(__xludf.DUMMYFUNCTION("IF(E2694&lt;&gt;"""", GOOGLETRANSLATE(E2694, ""en"", ""te""),"""")"),"")</f>
        <v/>
      </c>
      <c r="G2694" s="2"/>
      <c r="H2694" s="2" t="str">
        <f>IFERROR(__xludf.DUMMYFUNCTION("IF(G2694&lt;&gt;"""", GOOGLETRANSLATE(G2694, ""en"", ""te""),"""")"),"")</f>
        <v/>
      </c>
      <c r="I2694" s="3"/>
    </row>
    <row r="2695" customHeight="1" spans="1:9">
      <c r="A2695" s="2"/>
      <c r="B2695" s="2" t="str">
        <f>IFERROR(__xludf.DUMMYFUNCTION("IF(A2695&lt;&gt;"""", GOOGLETRANSLATE(A2695, ""en"", ""te""),"""")"),"")</f>
        <v/>
      </c>
      <c r="C2695" s="2"/>
      <c r="D2695" s="2" t="str">
        <f>IFERROR(__xludf.DUMMYFUNCTION("IF(C2695&lt;&gt;"""", GOOGLETRANSLATE(C2695, ""en"", ""te""),"""")"),"")</f>
        <v/>
      </c>
      <c r="E2695" s="2"/>
      <c r="F2695" s="2" t="str">
        <f>IFERROR(__xludf.DUMMYFUNCTION("IF(E2695&lt;&gt;"""", GOOGLETRANSLATE(E2695, ""en"", ""te""),"""")"),"")</f>
        <v/>
      </c>
      <c r="G2695" s="2"/>
      <c r="H2695" s="2" t="str">
        <f>IFERROR(__xludf.DUMMYFUNCTION("IF(G2695&lt;&gt;"""", GOOGLETRANSLATE(G2695, ""en"", ""te""),"""")"),"")</f>
        <v/>
      </c>
      <c r="I2695" s="3"/>
    </row>
    <row r="2696" customHeight="1" spans="1:9">
      <c r="A2696" s="2"/>
      <c r="B2696" s="2" t="str">
        <f>IFERROR(__xludf.DUMMYFUNCTION("IF(A2696&lt;&gt;"""", GOOGLETRANSLATE(A2696, ""en"", ""te""),"""")"),"")</f>
        <v/>
      </c>
      <c r="C2696" s="2"/>
      <c r="D2696" s="2" t="str">
        <f>IFERROR(__xludf.DUMMYFUNCTION("IF(C2696&lt;&gt;"""", GOOGLETRANSLATE(C2696, ""en"", ""te""),"""")"),"")</f>
        <v/>
      </c>
      <c r="E2696" s="2"/>
      <c r="F2696" s="2" t="str">
        <f>IFERROR(__xludf.DUMMYFUNCTION("IF(E2696&lt;&gt;"""", GOOGLETRANSLATE(E2696, ""en"", ""te""),"""")"),"")</f>
        <v/>
      </c>
      <c r="G2696" s="2"/>
      <c r="H2696" s="2" t="str">
        <f>IFERROR(__xludf.DUMMYFUNCTION("IF(G2696&lt;&gt;"""", GOOGLETRANSLATE(G2696, ""en"", ""te""),"""")"),"")</f>
        <v/>
      </c>
      <c r="I2696" s="3"/>
    </row>
    <row r="2697" customHeight="1" spans="1:9">
      <c r="A2697" s="2"/>
      <c r="B2697" s="2" t="str">
        <f>IFERROR(__xludf.DUMMYFUNCTION("IF(A2697&lt;&gt;"""", GOOGLETRANSLATE(A2697, ""en"", ""te""),"""")"),"")</f>
        <v/>
      </c>
      <c r="C2697" s="2"/>
      <c r="D2697" s="2" t="str">
        <f>IFERROR(__xludf.DUMMYFUNCTION("IF(C2697&lt;&gt;"""", GOOGLETRANSLATE(C2697, ""en"", ""te""),"""")"),"")</f>
        <v/>
      </c>
      <c r="E2697" s="2"/>
      <c r="F2697" s="2" t="str">
        <f>IFERROR(__xludf.DUMMYFUNCTION("IF(E2697&lt;&gt;"""", GOOGLETRANSLATE(E2697, ""en"", ""te""),"""")"),"")</f>
        <v/>
      </c>
      <c r="G2697" s="2"/>
      <c r="H2697" s="2" t="str">
        <f>IFERROR(__xludf.DUMMYFUNCTION("IF(G2697&lt;&gt;"""", GOOGLETRANSLATE(G2697, ""en"", ""te""),"""")"),"")</f>
        <v/>
      </c>
      <c r="I2697" s="3"/>
    </row>
    <row r="2698" customHeight="1" spans="1:9">
      <c r="A2698" s="2"/>
      <c r="B2698" s="2" t="str">
        <f>IFERROR(__xludf.DUMMYFUNCTION("IF(A2698&lt;&gt;"""", GOOGLETRANSLATE(A2698, ""en"", ""te""),"""")"),"")</f>
        <v/>
      </c>
      <c r="C2698" s="2"/>
      <c r="D2698" s="2" t="str">
        <f>IFERROR(__xludf.DUMMYFUNCTION("IF(C2698&lt;&gt;"""", GOOGLETRANSLATE(C2698, ""en"", ""te""),"""")"),"")</f>
        <v/>
      </c>
      <c r="E2698" s="2"/>
      <c r="F2698" s="2" t="str">
        <f>IFERROR(__xludf.DUMMYFUNCTION("IF(E2698&lt;&gt;"""", GOOGLETRANSLATE(E2698, ""en"", ""te""),"""")"),"")</f>
        <v/>
      </c>
      <c r="G2698" s="2"/>
      <c r="H2698" s="2" t="str">
        <f>IFERROR(__xludf.DUMMYFUNCTION("IF(G2698&lt;&gt;"""", GOOGLETRANSLATE(G2698, ""en"", ""te""),"""")"),"")</f>
        <v/>
      </c>
      <c r="I2698" s="3"/>
    </row>
    <row r="2699" customHeight="1" spans="1:9">
      <c r="A2699" s="2"/>
      <c r="B2699" s="2" t="str">
        <f>IFERROR(__xludf.DUMMYFUNCTION("IF(A2699&lt;&gt;"""", GOOGLETRANSLATE(A2699, ""en"", ""te""),"""")"),"")</f>
        <v/>
      </c>
      <c r="C2699" s="2"/>
      <c r="D2699" s="2" t="str">
        <f>IFERROR(__xludf.DUMMYFUNCTION("IF(C2699&lt;&gt;"""", GOOGLETRANSLATE(C2699, ""en"", ""te""),"""")"),"")</f>
        <v/>
      </c>
      <c r="E2699" s="2"/>
      <c r="F2699" s="2" t="str">
        <f>IFERROR(__xludf.DUMMYFUNCTION("IF(E2699&lt;&gt;"""", GOOGLETRANSLATE(E2699, ""en"", ""te""),"""")"),"")</f>
        <v/>
      </c>
      <c r="G2699" s="2"/>
      <c r="H2699" s="2" t="str">
        <f>IFERROR(__xludf.DUMMYFUNCTION("IF(G2699&lt;&gt;"""", GOOGLETRANSLATE(G2699, ""en"", ""te""),"""")"),"")</f>
        <v/>
      </c>
      <c r="I2699" s="3"/>
    </row>
    <row r="2700" customHeight="1" spans="1:9">
      <c r="A2700" s="2"/>
      <c r="B2700" s="2" t="str">
        <f>IFERROR(__xludf.DUMMYFUNCTION("IF(A2700&lt;&gt;"""", GOOGLETRANSLATE(A2700, ""en"", ""te""),"""")"),"")</f>
        <v/>
      </c>
      <c r="C2700" s="2"/>
      <c r="D2700" s="2" t="str">
        <f>IFERROR(__xludf.DUMMYFUNCTION("IF(C2700&lt;&gt;"""", GOOGLETRANSLATE(C2700, ""en"", ""te""),"""")"),"")</f>
        <v/>
      </c>
      <c r="E2700" s="2"/>
      <c r="F2700" s="2" t="str">
        <f>IFERROR(__xludf.DUMMYFUNCTION("IF(E2700&lt;&gt;"""", GOOGLETRANSLATE(E2700, ""en"", ""te""),"""")"),"")</f>
        <v/>
      </c>
      <c r="G2700" s="2"/>
      <c r="H2700" s="2" t="str">
        <f>IFERROR(__xludf.DUMMYFUNCTION("IF(G2700&lt;&gt;"""", GOOGLETRANSLATE(G2700, ""en"", ""te""),"""")"),"")</f>
        <v/>
      </c>
      <c r="I2700" s="3"/>
    </row>
    <row r="2701" customHeight="1" spans="1:9">
      <c r="A2701" s="2" t="s">
        <v>1933</v>
      </c>
      <c r="B2701" s="2" t="str">
        <f>IFERROR(__xludf.DUMMYFUNCTION("IF(A2701&lt;&gt;"""", GOOGLETRANSLATE(A2701, ""en"", ""te""),"""")"),"[ 'కెరీర్ (9) 4 వ అత్యంత బాతులు' '5 వ చెత్త కెరీర్ సగటు (58.93) బౌలింగ్']")</f>
        <v>[ 'కెరీర్ (9) 4 వ అత్యంత బాతులు' '5 వ చెత్త కెరీర్ సగటు (58.93) బౌలింగ్']</v>
      </c>
      <c r="C2701" s="2"/>
      <c r="D2701" s="2" t="str">
        <f>IFERROR(__xludf.DUMMYFUNCTION("IF(C2701&lt;&gt;"""", GOOGLETRANSLATE(C2701, ""en"", ""te""),"""")"),"")</f>
        <v/>
      </c>
      <c r="E2701" s="2" t="s">
        <v>1934</v>
      </c>
      <c r="F2701" s="2" t="str">
        <f>IFERROR(__xludf.DUMMYFUNCTION("IF(E2701&lt;&gt;"""", GOOGLETRANSLATE(E2701, ""en"", ""te""),"""")"),"[ '5 వ చెత్త కెరీర్ బౌలింగ్ సరాసరి (58.93)', '14 వ చెత్త కెరీర్లో సమ్మె రేటు (69.2)', 'ఏడవ వికెట్ (107) కోసం 29 అత్యధిక భాగస్వామ్యం']")</f>
        <v>[ '5 వ చెత్త కెరీర్ బౌలింగ్ సరాసరి (58.93)', '14 వ చెత్త కెరీర్లో సమ్మె రేటు (69.2)', 'ఏడవ వికెట్ (107) కోసం 29 అత్యధిక భాగస్వామ్యం']</v>
      </c>
      <c r="G2701" s="2" t="s">
        <v>1935</v>
      </c>
      <c r="H2701" s="2" t="str">
        <f>IFERROR(__xludf.DUMMYFUNCTION("IF(G2701&lt;&gt;"""", GOOGLETRANSLATE(G2701, ""en"", ""te""),"""")"),"[ '11 వ ఇన్నింగ్స్ లో అత్యధిక పరుగులు (బ్యాటింగ్ స్థానంలో ప్రకారం) (99 *)', 'కెరీర్లో 4 వ అత్యంత బాతులు (9)', '48 వ అత్యధిక వికెట్లు చిక్కుకున్న వికెట్కీపర్గా (5) తీసుకున్న']")</f>
        <v>[ '11 వ ఇన్నింగ్స్ లో అత్యధిక పరుగులు (బ్యాటింగ్ స్థానంలో ప్రకారం) (99 *)', 'కెరీర్లో 4 వ అత్యంత బాతులు (9)', '48 వ అత్యధిక వికెట్లు చిక్కుకున్న వికెట్కీపర్గా (5) తీసుకున్న']</v>
      </c>
      <c r="I2701" s="3"/>
    </row>
    <row r="2702" customHeight="1" spans="1:9">
      <c r="A2702" s="2" t="s">
        <v>1936</v>
      </c>
      <c r="B2702" s="2" t="str">
        <f>IFERROR(__xludf.DUMMYFUNCTION("IF(A2702&lt;&gt;"""", GOOGLETRANSLATE(A2702, ""en"", ""te""),"""")"),"[ 'ఇన్నింగ్స్ లో 4 వ అత్యధిక క్యాచ్లు (3)' 'ఇన్నింగ్స్ లో 2 వ అత్యధిక పరుగులు (బ్యాటింగ్ స్థానంలో ప్రకారం) (85 *)' '10 వ వరుస మ్యాచ్లు ప్రదర్శనల మధ్య బృందం (57) కోసం తప్పిన',]")</f>
        <v>[ 'ఇన్నింగ్స్ లో 4 వ అత్యధిక క్యాచ్లు (3)' 'ఇన్నింగ్స్ లో 2 వ అత్యధిక పరుగులు (బ్యాటింగ్ స్థానంలో ప్రకారం) (85 *)' '10 వ వరుస మ్యాచ్లు ప్రదర్శనల మధ్య బృందం (57) కోసం తప్పిన',]</v>
      </c>
      <c r="C2702" s="2"/>
      <c r="D2702" s="2" t="str">
        <f>IFERROR(__xludf.DUMMYFUNCTION("IF(C2702&lt;&gt;"""", GOOGLETRANSLATE(C2702, ""en"", ""te""),"""")"),"")</f>
        <v/>
      </c>
      <c r="E2702" s="2" t="s">
        <v>1937</v>
      </c>
      <c r="F2702" s="2" t="str">
        <f>IFERROR(__xludf.DUMMYFUNCTION("IF(E2702&lt;&gt;"""", GOOGLETRANSLATE(E2702, ""en"", ""te""),"""")"),"[ 'ఇన్నింగ్స్ లో 2 వ అత్యధిక పరుగులు (బ్యాటింగ్ స్థానంలో ప్రకారం) (85 *)', '4 వ అత్యధిక క్యాచ్లు ఒక ఇన్నింగ్స్ లో (3)', 'ఆరవ వికెట్కు 39 వ అత్యధిక భాగస్వామ్యం (68)', '10 వ వరుస మ్యాచ్లు ఆడలేకపోయాడు 'ప్రదర్శనల మధ్య (57) జట్టు]")</f>
        <v>[ 'ఇన్నింగ్స్ లో 2 వ అత్యధిక పరుగులు (బ్యాటింగ్ స్థానంలో ప్రకారం) (85 *)', '4 వ అత్యధిక క్యాచ్లు ఒక ఇన్నింగ్స్ లో (3)', 'ఆరవ వికెట్కు 39 వ అత్యధిక భాగస్వామ్యం (68)', '10 వ వరుస మ్యాచ్లు ఆడలేకపోయాడు 'ప్రదర్శనల మధ్య (57) జట్టు]</v>
      </c>
      <c r="G2702" s="2" t="s">
        <v>1938</v>
      </c>
      <c r="H2702" s="2" t="str">
        <f>IFERROR(__xludf.DUMMYFUNCTION("IF(G2702&lt;&gt;"""", GOOGLETRANSLATE(G2702, ""en"", ""te""),"""")"),"[ 'ఆరవ వికెట్కు 34 వ అత్యధిక భాగస్వామ్యం (43 *)']")</f>
        <v>[ 'ఆరవ వికెట్కు 34 వ అత్యధిక భాగస్వామ్యం (43 *)']</v>
      </c>
      <c r="I2702" s="3"/>
    </row>
    <row r="2703" customHeight="1" spans="1:9">
      <c r="A2703" s="2"/>
      <c r="B2703" s="2" t="str">
        <f>IFERROR(__xludf.DUMMYFUNCTION("IF(A2703&lt;&gt;"""", GOOGLETRANSLATE(A2703, ""en"", ""te""),"""")"),"")</f>
        <v/>
      </c>
      <c r="C2703" s="2"/>
      <c r="D2703" s="2" t="str">
        <f>IFERROR(__xludf.DUMMYFUNCTION("IF(C2703&lt;&gt;"""", GOOGLETRANSLATE(C2703, ""en"", ""te""),"""")"),"")</f>
        <v/>
      </c>
      <c r="E2703" s="2"/>
      <c r="F2703" s="2" t="str">
        <f>IFERROR(__xludf.DUMMYFUNCTION("IF(E2703&lt;&gt;"""", GOOGLETRANSLATE(E2703, ""en"", ""te""),"""")"),"")</f>
        <v/>
      </c>
      <c r="G2703" s="2"/>
      <c r="H2703" s="2" t="str">
        <f>IFERROR(__xludf.DUMMYFUNCTION("IF(G2703&lt;&gt;"""", GOOGLETRANSLATE(G2703, ""en"", ""te""),"""")"),"")</f>
        <v/>
      </c>
      <c r="I2703" s="3"/>
    </row>
    <row r="2704" customHeight="1" spans="1:9">
      <c r="A2704" s="2" t="s">
        <v>1939</v>
      </c>
      <c r="B2704" s="2" t="str">
        <f>IFERROR(__xludf.DUMMYFUNCTION("IF(A2704&lt;&gt;"""", GOOGLETRANSLATE(A2704, ""en"", ""te""),"""")"),"[ '4 వ చెత్త కెరీర్ బౌలింగ్ సరాసరి (అర్హత లేకుండా) (281.00)']")</f>
        <v>[ '4 వ చెత్త కెరీర్ బౌలింగ్ సరాసరి (అర్హత లేకుండా) (281.00)']</v>
      </c>
      <c r="C2704" s="2" t="s">
        <v>1939</v>
      </c>
      <c r="D2704" s="2" t="str">
        <f>IFERROR(__xludf.DUMMYFUNCTION("IF(C2704&lt;&gt;"""", GOOGLETRANSLATE(C2704, ""en"", ""te""),"""")"),"[ '4 వ చెత్త కెరీర్ బౌలింగ్ సరాసరి (అర్హత లేకుండా) (281.00)']")</f>
        <v>[ '4 వ చెత్త కెరీర్ బౌలింగ్ సరాసరి (అర్హత లేకుండా) (281.00)']</v>
      </c>
      <c r="E2704" s="2"/>
      <c r="F2704" s="2" t="str">
        <f>IFERROR(__xludf.DUMMYFUNCTION("IF(E2704&lt;&gt;"""", GOOGLETRANSLATE(E2704, ""en"", ""te""),"""")"),"")</f>
        <v/>
      </c>
      <c r="G2704" s="2"/>
      <c r="H2704" s="2" t="str">
        <f>IFERROR(__xludf.DUMMYFUNCTION("IF(G2704&lt;&gt;"""", GOOGLETRANSLATE(G2704, ""en"", ""te""),"""")"),"")</f>
        <v/>
      </c>
      <c r="I2704" s="3"/>
    </row>
    <row r="2705" customHeight="1" spans="1:9">
      <c r="A2705" s="2"/>
      <c r="B2705" s="2" t="str">
        <f>IFERROR(__xludf.DUMMYFUNCTION("IF(A2705&lt;&gt;"""", GOOGLETRANSLATE(A2705, ""en"", ""te""),"""")"),"")</f>
        <v/>
      </c>
      <c r="C2705" s="2"/>
      <c r="D2705" s="2" t="str">
        <f>IFERROR(__xludf.DUMMYFUNCTION("IF(C2705&lt;&gt;"""", GOOGLETRANSLATE(C2705, ""en"", ""te""),"""")"),"")</f>
        <v/>
      </c>
      <c r="E2705" s="2"/>
      <c r="F2705" s="2" t="str">
        <f>IFERROR(__xludf.DUMMYFUNCTION("IF(E2705&lt;&gt;"""", GOOGLETRANSLATE(E2705, ""en"", ""te""),"""")"),"")</f>
        <v/>
      </c>
      <c r="G2705" s="2"/>
      <c r="H2705" s="2" t="str">
        <f>IFERROR(__xludf.DUMMYFUNCTION("IF(G2705&lt;&gt;"""", GOOGLETRANSLATE(G2705, ""en"", ""te""),"""")"),"")</f>
        <v/>
      </c>
      <c r="I2705" s="3"/>
    </row>
    <row r="2706" customHeight="1" spans="1:9">
      <c r="A2706" s="2"/>
      <c r="B2706" s="2" t="str">
        <f>IFERROR(__xludf.DUMMYFUNCTION("IF(A2706&lt;&gt;"""", GOOGLETRANSLATE(A2706, ""en"", ""te""),"""")"),"")</f>
        <v/>
      </c>
      <c r="C2706" s="2"/>
      <c r="D2706" s="2" t="str">
        <f>IFERROR(__xludf.DUMMYFUNCTION("IF(C2706&lt;&gt;"""", GOOGLETRANSLATE(C2706, ""en"", ""te""),"""")"),"")</f>
        <v/>
      </c>
      <c r="E2706" s="2"/>
      <c r="F2706" s="2" t="str">
        <f>IFERROR(__xludf.DUMMYFUNCTION("IF(E2706&lt;&gt;"""", GOOGLETRANSLATE(E2706, ""en"", ""te""),"""")"),"")</f>
        <v/>
      </c>
      <c r="G2706" s="2"/>
      <c r="H2706" s="2" t="str">
        <f>IFERROR(__xludf.DUMMYFUNCTION("IF(G2706&lt;&gt;"""", GOOGLETRANSLATE(G2706, ""en"", ""te""),"""")"),"")</f>
        <v/>
      </c>
      <c r="I2706" s="3"/>
    </row>
    <row r="2707" customHeight="1" spans="1:9">
      <c r="A2707" s="2" t="s">
        <v>694</v>
      </c>
      <c r="B2707" s="2" t="str">
        <f>IFERROR(__xludf.DUMMYFUNCTION("IF(A2707&lt;&gt;"""", GOOGLETRANSLATE(A2707, ""en"", ""te""),"""")"),"[ '1st అత్యుత్తమ ఇన్నింగ్స్ (1/0) విశ్లేషణలలో బౌలింగ్']")</f>
        <v>[ '1st అత్యుత్తమ ఇన్నింగ్స్ (1/0) విశ్లేషణలలో బౌలింగ్']</v>
      </c>
      <c r="C2707" s="2" t="s">
        <v>1940</v>
      </c>
      <c r="D2707" s="2" t="str">
        <f>IFERROR(__xludf.DUMMYFUNCTION("IF(C2707&lt;&gt;"""", GOOGLETRANSLATE(C2707, ""en"", ""te""),"""")"),"[ '1st అత్యుత్తమ బౌలింగ్ ఇన్నింగ్స్ (1/0) విశ్లేషణలలో' '24 ఒక ఇన్నింగ్స్ లోని బెస్ట్ ఫిగర్స్ ఉన్నప్పుడు పరాజయం వైపు (7) న', '13 వ సగటు (20.39) బౌలింగ్ ఉత్తమ జీవితం', '16 వ ఉత్తమ కెరీర్ ఎకానమీ రేట్ (1.89) ',' ఇన్నింగ్స్ లో 24 వ ఉత్తమ సమ్మె రేటు (7.5) ',' "&amp;"18 వ వరుస ఐదు వికెట్ల లో-ఒక-ఇన్నింగ్స్ (3) ',' పది వికెట్లు ఇన్ ఒక- తీసుకోవాలని 36 వ అత్యంత వృద్ధ ఆటగాడు మ్యాచ్ (33y 359d) ']")</f>
        <v>[ '1st అత్యుత్తమ బౌలింగ్ ఇన్నింగ్స్ (1/0) విశ్లేషణలలో' '24 ఒక ఇన్నింగ్స్ లోని బెస్ట్ ఫిగర్స్ ఉన్నప్పుడు పరాజయం వైపు (7) న', '13 వ సగటు (20.39) బౌలింగ్ ఉత్తమ జీవితం', '16 వ ఉత్తమ కెరీర్ ఎకానమీ రేట్ (1.89) ',' ఇన్నింగ్స్ లో 24 వ ఉత్తమ సమ్మె రేటు (7.5) ',' 18 వ వరుస ఐదు వికెట్ల లో-ఒక-ఇన్నింగ్స్ (3) ',' పది వికెట్లు ఇన్ ఒక- తీసుకోవాలని 36 వ అత్యంత వృద్ధ ఆటగాడు మ్యాచ్ (33y 359d) ']</v>
      </c>
      <c r="E2707" s="2"/>
      <c r="F2707" s="2" t="str">
        <f>IFERROR(__xludf.DUMMYFUNCTION("IF(E2707&lt;&gt;"""", GOOGLETRANSLATE(E2707, ""en"", ""te""),"""")"),"")</f>
        <v/>
      </c>
      <c r="G2707" s="2"/>
      <c r="H2707" s="2" t="str">
        <f>IFERROR(__xludf.DUMMYFUNCTION("IF(G2707&lt;&gt;"""", GOOGLETRANSLATE(G2707, ""en"", ""te""),"""")"),"")</f>
        <v/>
      </c>
      <c r="I2707" s="3"/>
    </row>
    <row r="2708" customHeight="1" spans="1:9">
      <c r="A2708" s="2"/>
      <c r="B2708" s="2" t="str">
        <f>IFERROR(__xludf.DUMMYFUNCTION("IF(A2708&lt;&gt;"""", GOOGLETRANSLATE(A2708, ""en"", ""te""),"""")"),"")</f>
        <v/>
      </c>
      <c r="C2708" s="2"/>
      <c r="D2708" s="2" t="str">
        <f>IFERROR(__xludf.DUMMYFUNCTION("IF(C2708&lt;&gt;"""", GOOGLETRANSLATE(C2708, ""en"", ""te""),"""")"),"")</f>
        <v/>
      </c>
      <c r="E2708" s="2"/>
      <c r="F2708" s="2" t="str">
        <f>IFERROR(__xludf.DUMMYFUNCTION("IF(E2708&lt;&gt;"""", GOOGLETRANSLATE(E2708, ""en"", ""te""),"""")"),"")</f>
        <v/>
      </c>
      <c r="G2708" s="2"/>
      <c r="H2708" s="2" t="str">
        <f>IFERROR(__xludf.DUMMYFUNCTION("IF(G2708&lt;&gt;"""", GOOGLETRANSLATE(G2708, ""en"", ""te""),"""")"),"")</f>
        <v/>
      </c>
      <c r="I2708" s="3"/>
    </row>
    <row r="2709" customHeight="1" spans="1:9">
      <c r="A2709" s="2"/>
      <c r="B2709" s="2" t="str">
        <f>IFERROR(__xludf.DUMMYFUNCTION("IF(A2709&lt;&gt;"""", GOOGLETRANSLATE(A2709, ""en"", ""te""),"""")"),"")</f>
        <v/>
      </c>
      <c r="C2709" s="2"/>
      <c r="D2709" s="2" t="str">
        <f>IFERROR(__xludf.DUMMYFUNCTION("IF(C2709&lt;&gt;"""", GOOGLETRANSLATE(C2709, ""en"", ""te""),"""")"),"")</f>
        <v/>
      </c>
      <c r="E2709" s="2"/>
      <c r="F2709" s="2" t="str">
        <f>IFERROR(__xludf.DUMMYFUNCTION("IF(E2709&lt;&gt;"""", GOOGLETRANSLATE(E2709, ""en"", ""te""),"""")"),"")</f>
        <v/>
      </c>
      <c r="G2709" s="2"/>
      <c r="H2709" s="2" t="str">
        <f>IFERROR(__xludf.DUMMYFUNCTION("IF(G2709&lt;&gt;"""", GOOGLETRANSLATE(G2709, ""en"", ""te""),"""")"),"")</f>
        <v/>
      </c>
      <c r="I2709" s="3"/>
    </row>
    <row r="2710" customHeight="1" spans="1:9">
      <c r="A2710" s="2"/>
      <c r="B2710" s="2" t="str">
        <f>IFERROR(__xludf.DUMMYFUNCTION("IF(A2710&lt;&gt;"""", GOOGLETRANSLATE(A2710, ""en"", ""te""),"""")"),"")</f>
        <v/>
      </c>
      <c r="C2710" s="2"/>
      <c r="D2710" s="2" t="str">
        <f>IFERROR(__xludf.DUMMYFUNCTION("IF(C2710&lt;&gt;"""", GOOGLETRANSLATE(C2710, ""en"", ""te""),"""")"),"")</f>
        <v/>
      </c>
      <c r="E2710" s="2"/>
      <c r="F2710" s="2" t="str">
        <f>IFERROR(__xludf.DUMMYFUNCTION("IF(E2710&lt;&gt;"""", GOOGLETRANSLATE(E2710, ""en"", ""te""),"""")"),"")</f>
        <v/>
      </c>
      <c r="G2710" s="2"/>
      <c r="H2710" s="2" t="str">
        <f>IFERROR(__xludf.DUMMYFUNCTION("IF(G2710&lt;&gt;"""", GOOGLETRANSLATE(G2710, ""en"", ""te""),"""")"),"")</f>
        <v/>
      </c>
      <c r="I2710" s="3"/>
    </row>
    <row r="2711" customHeight="1" spans="1:9">
      <c r="A2711" s="2"/>
      <c r="B2711" s="2" t="str">
        <f>IFERROR(__xludf.DUMMYFUNCTION("IF(A2711&lt;&gt;"""", GOOGLETRANSLATE(A2711, ""en"", ""te""),"""")"),"")</f>
        <v/>
      </c>
      <c r="C2711" s="2" t="s">
        <v>1941</v>
      </c>
      <c r="D2711" s="2" t="str">
        <f>IFERROR(__xludf.DUMMYFUNCTION("IF(C2711&lt;&gt;"""", GOOGLETRANSLATE(C2711, ""en"", ""te""),"""")"),"[ '33 వ వరుస మ్యాచ్లు ప్రదర్శనల మధ్య బృందం (60) కోసం తప్పిన']")</f>
        <v>[ '33 వ వరుస మ్యాచ్లు ప్రదర్శనల మధ్య బృందం (60) కోసం తప్పిన']</v>
      </c>
      <c r="E2711" s="2"/>
      <c r="F2711" s="2" t="str">
        <f>IFERROR(__xludf.DUMMYFUNCTION("IF(E2711&lt;&gt;"""", GOOGLETRANSLATE(E2711, ""en"", ""te""),"""")"),"")</f>
        <v/>
      </c>
      <c r="G2711" s="2"/>
      <c r="H2711" s="2" t="str">
        <f>IFERROR(__xludf.DUMMYFUNCTION("IF(G2711&lt;&gt;"""", GOOGLETRANSLATE(G2711, ""en"", ""te""),"""")"),"")</f>
        <v/>
      </c>
      <c r="I2711" s="3"/>
    </row>
    <row r="2712" customHeight="1" spans="1:9">
      <c r="A2712" s="2"/>
      <c r="B2712" s="2" t="str">
        <f>IFERROR(__xludf.DUMMYFUNCTION("IF(A2712&lt;&gt;"""", GOOGLETRANSLATE(A2712, ""en"", ""te""),"""")"),"")</f>
        <v/>
      </c>
      <c r="C2712" s="2"/>
      <c r="D2712" s="2" t="str">
        <f>IFERROR(__xludf.DUMMYFUNCTION("IF(C2712&lt;&gt;"""", GOOGLETRANSLATE(C2712, ""en"", ""te""),"""")"),"")</f>
        <v/>
      </c>
      <c r="E2712" s="2"/>
      <c r="F2712" s="2" t="str">
        <f>IFERROR(__xludf.DUMMYFUNCTION("IF(E2712&lt;&gt;"""", GOOGLETRANSLATE(E2712, ""en"", ""te""),"""")"),"")</f>
        <v/>
      </c>
      <c r="G2712" s="2"/>
      <c r="H2712" s="2" t="str">
        <f>IFERROR(__xludf.DUMMYFUNCTION("IF(G2712&lt;&gt;"""", GOOGLETRANSLATE(G2712, ""en"", ""te""),"""")"),"")</f>
        <v/>
      </c>
      <c r="I2712" s="3"/>
    </row>
    <row r="2713" customHeight="1" spans="1:9">
      <c r="A2713" s="2"/>
      <c r="B2713" s="2" t="str">
        <f>IFERROR(__xludf.DUMMYFUNCTION("IF(A2713&lt;&gt;"""", GOOGLETRANSLATE(A2713, ""en"", ""te""),"""")"),"")</f>
        <v/>
      </c>
      <c r="C2713" s="2"/>
      <c r="D2713" s="2" t="str">
        <f>IFERROR(__xludf.DUMMYFUNCTION("IF(C2713&lt;&gt;"""", GOOGLETRANSLATE(C2713, ""en"", ""te""),"""")"),"")</f>
        <v/>
      </c>
      <c r="E2713" s="2"/>
      <c r="F2713" s="2" t="str">
        <f>IFERROR(__xludf.DUMMYFUNCTION("IF(E2713&lt;&gt;"""", GOOGLETRANSLATE(E2713, ""en"", ""te""),"""")"),"")</f>
        <v/>
      </c>
      <c r="G2713" s="2"/>
      <c r="H2713" s="2" t="str">
        <f>IFERROR(__xludf.DUMMYFUNCTION("IF(G2713&lt;&gt;"""", GOOGLETRANSLATE(G2713, ""en"", ""te""),"""")"),"")</f>
        <v/>
      </c>
      <c r="I2713" s="3"/>
    </row>
    <row r="2714" customHeight="1" spans="1:9">
      <c r="A2714" s="2"/>
      <c r="B2714" s="2" t="str">
        <f>IFERROR(__xludf.DUMMYFUNCTION("IF(A2714&lt;&gt;"""", GOOGLETRANSLATE(A2714, ""en"", ""te""),"""")"),"")</f>
        <v/>
      </c>
      <c r="C2714" s="2"/>
      <c r="D2714" s="2" t="str">
        <f>IFERROR(__xludf.DUMMYFUNCTION("IF(C2714&lt;&gt;"""", GOOGLETRANSLATE(C2714, ""en"", ""te""),"""")"),"")</f>
        <v/>
      </c>
      <c r="E2714" s="2"/>
      <c r="F2714" s="2" t="str">
        <f>IFERROR(__xludf.DUMMYFUNCTION("IF(E2714&lt;&gt;"""", GOOGLETRANSLATE(E2714, ""en"", ""te""),"""")"),"")</f>
        <v/>
      </c>
      <c r="G2714" s="2"/>
      <c r="H2714" s="2" t="str">
        <f>IFERROR(__xludf.DUMMYFUNCTION("IF(G2714&lt;&gt;"""", GOOGLETRANSLATE(G2714, ""en"", ""te""),"""")"),"")</f>
        <v/>
      </c>
      <c r="I2714" s="3"/>
    </row>
    <row r="2715" customHeight="1" spans="1:9">
      <c r="A2715" s="2"/>
      <c r="B2715" s="2" t="str">
        <f>IFERROR(__xludf.DUMMYFUNCTION("IF(A2715&lt;&gt;"""", GOOGLETRANSLATE(A2715, ""en"", ""te""),"""")"),"")</f>
        <v/>
      </c>
      <c r="C2715" s="2"/>
      <c r="D2715" s="2" t="str">
        <f>IFERROR(__xludf.DUMMYFUNCTION("IF(C2715&lt;&gt;"""", GOOGLETRANSLATE(C2715, ""en"", ""te""),"""")"),"")</f>
        <v/>
      </c>
      <c r="E2715" s="2"/>
      <c r="F2715" s="2" t="str">
        <f>IFERROR(__xludf.DUMMYFUNCTION("IF(E2715&lt;&gt;"""", GOOGLETRANSLATE(E2715, ""en"", ""te""),"""")"),"")</f>
        <v/>
      </c>
      <c r="G2715" s="2"/>
      <c r="H2715" s="2" t="str">
        <f>IFERROR(__xludf.DUMMYFUNCTION("IF(G2715&lt;&gt;"""", GOOGLETRANSLATE(G2715, ""en"", ""te""),"""")"),"")</f>
        <v/>
      </c>
      <c r="I2715" s="3"/>
    </row>
    <row r="2716" customHeight="1" spans="1:9">
      <c r="A2716" s="2" t="s">
        <v>1942</v>
      </c>
      <c r="B2716" s="2" t="str">
        <f>IFERROR(__xludf.DUMMYFUNCTION("IF(A2716&lt;&gt;"""", GOOGLETRANSLATE(A2716, ""en"", ""te""),"""")"),"[ '5 వ అత్యుత్తమ ఇన్నింగ్స్ (4/7) విశ్లేషణలలో బౌలింగ్']")</f>
        <v>[ '5 వ అత్యుత్తమ ఇన్నింగ్స్ (4/7) విశ్లేషణలలో బౌలింగ్']</v>
      </c>
      <c r="C2716" s="2"/>
      <c r="D2716" s="2" t="str">
        <f>IFERROR(__xludf.DUMMYFUNCTION("IF(C2716&lt;&gt;"""", GOOGLETRANSLATE(C2716, ""en"", ""te""),"""")"),"")</f>
        <v/>
      </c>
      <c r="E2716" s="2" t="s">
        <v>1943</v>
      </c>
      <c r="F2716" s="2" t="str">
        <f>IFERROR(__xludf.DUMMYFUNCTION("IF(E2716&lt;&gt;"""", GOOGLETRANSLATE(E2716, ""en"", ""te""),"""")"),"[ '38 వ చెత్త కెరీర్లో ఆర్థిక రేటు (5.70)', '46 వ అత్యంత వృద్ధ ఆటగాడు తొలి తీసుకుని ఐదు-వికెట్ల లో-ఒక-ఇన్నింగ్స్ (30y 153d)']")</f>
        <v>[ '38 వ చెత్త కెరీర్లో ఆర్థిక రేటు (5.70)', '46 వ అత్యంత వృద్ధ ఆటగాడు తొలి తీసుకుని ఐదు-వికెట్ల లో-ఒక-ఇన్నింగ్స్ (30y 153d)']</v>
      </c>
      <c r="G2716" s="2" t="s">
        <v>1944</v>
      </c>
      <c r="H2716" s="2" t="str">
        <f>IFERROR(__xludf.DUMMYFUNCTION("IF(G2716&lt;&gt;"""", GOOGLETRANSLATE(G2716, ""en"", ""te""),"""")"),"[ '5 వ అత్యుత్తమ ఇన్నింగ్స్ లో బౌలింగ్ విశ్లేషణలు (4/7)', '24 వ ఉత్తమ కెరీర్ సమ్మె రేటు (16.3)', 'ఇన్నింగ్స్ లో 31 ఉత్తమ సమ్మె రేటు (4.5)', '28th చెత్త కెరీర్లో ఆర్థిక రేటు (8.19)' '17 వ బౌలర్ / బ్యాట్స్ కలయికలు (3)']")</f>
        <v>[ '5 వ అత్యుత్తమ ఇన్నింగ్స్ లో బౌలింగ్ విశ్లేషణలు (4/7)', '24 వ ఉత్తమ కెరీర్ సమ్మె రేటు (16.3)', 'ఇన్నింగ్స్ లో 31 ఉత్తమ సమ్మె రేటు (4.5)', '28th చెత్త కెరీర్లో ఆర్థిక రేటు (8.19)' '17 వ బౌలర్ / బ్యాట్స్ కలయికలు (3)']</v>
      </c>
      <c r="I2716" s="3"/>
    </row>
    <row r="2717" customHeight="1" spans="1:9">
      <c r="A2717" s="2"/>
      <c r="B2717" s="2" t="str">
        <f>IFERROR(__xludf.DUMMYFUNCTION("IF(A2717&lt;&gt;"""", GOOGLETRANSLATE(A2717, ""en"", ""te""),"""")"),"")</f>
        <v/>
      </c>
      <c r="C2717" s="2"/>
      <c r="D2717" s="2" t="str">
        <f>IFERROR(__xludf.DUMMYFUNCTION("IF(C2717&lt;&gt;"""", GOOGLETRANSLATE(C2717, ""en"", ""te""),"""")"),"")</f>
        <v/>
      </c>
      <c r="E2717" s="2"/>
      <c r="F2717" s="2" t="str">
        <f>IFERROR(__xludf.DUMMYFUNCTION("IF(E2717&lt;&gt;"""", GOOGLETRANSLATE(E2717, ""en"", ""te""),"""")"),"")</f>
        <v/>
      </c>
      <c r="G2717" s="2"/>
      <c r="H2717" s="2" t="str">
        <f>IFERROR(__xludf.DUMMYFUNCTION("IF(G2717&lt;&gt;"""", GOOGLETRANSLATE(G2717, ""en"", ""te""),"""")"),"")</f>
        <v/>
      </c>
      <c r="I2717" s="3"/>
    </row>
    <row r="2718" customHeight="1" spans="1:9">
      <c r="A2718" s="2" t="s">
        <v>1945</v>
      </c>
      <c r="B2718" s="2" t="str">
        <f>IFERROR(__xludf.DUMMYFUNCTION("IF(A2718&lt;&gt;"""", GOOGLETRANSLATE(A2718, ""en"", ""te""),"""")"),"[ '10 వ లాంగెస్ట్ కెరీర్లు (16y 19d)', 'కెరీర్ (4) 6 వ అత్యంత బాతులు']")</f>
        <v>[ '10 వ లాంగెస్ట్ కెరీర్లు (16y 19d)', 'కెరీర్ (4) 6 వ అత్యంత బాతులు']</v>
      </c>
      <c r="C2718" s="2" t="s">
        <v>1946</v>
      </c>
      <c r="D2718" s="2" t="str">
        <f>IFERROR(__xludf.DUMMYFUNCTION("IF(C2718&lt;&gt;"""", GOOGLETRANSLATE(C2718, ""en"", ""te""),"""")"),"[ '14 వ ఇన్నింగ్స్ లో అత్యధిక పరుగులు (బ్యాటింగ్ స్థానంలో ప్రకారం) (70)', '6 వ కెరీర్ బాతులు (4)', 'ఆరవ వికెట్కు 14 అత్యధిక భాగస్వామ్యం (83)', '10 వ లాంగెస్ట్ కెరీర్లు (16y 19d) ']")</f>
        <v>[ '14 వ ఇన్నింగ్స్ లో అత్యధిక పరుగులు (బ్యాటింగ్ స్థానంలో ప్రకారం) (70)', '6 వ కెరీర్ బాతులు (4)', 'ఆరవ వికెట్కు 14 అత్యధిక భాగస్వామ్యం (83)', '10 వ లాంగెస్ట్ కెరీర్లు (16y 19d) ']</v>
      </c>
      <c r="E2718" s="2" t="s">
        <v>1947</v>
      </c>
      <c r="F2718" s="2" t="str">
        <f>IFERROR(__xludf.DUMMYFUNCTION("IF(E2718&lt;&gt;"""", GOOGLETRANSLATE(E2718, ""en"", ""te""),"""")"),"[ '3 వ కెరీర్ (25) వెనుదిరిగాడు']")</f>
        <v>[ '3 వ కెరీర్ (25) వెనుదిరిగాడు']</v>
      </c>
      <c r="G2718" s="2"/>
      <c r="H2718" s="2" t="str">
        <f>IFERROR(__xludf.DUMMYFUNCTION("IF(G2718&lt;&gt;"""", GOOGLETRANSLATE(G2718, ""en"", ""te""),"""")"),"")</f>
        <v/>
      </c>
      <c r="I2718" s="3"/>
    </row>
    <row r="2719" customHeight="1" spans="1:9">
      <c r="A2719" s="2"/>
      <c r="B2719" s="2" t="str">
        <f>IFERROR(__xludf.DUMMYFUNCTION("IF(A2719&lt;&gt;"""", GOOGLETRANSLATE(A2719, ""en"", ""te""),"""")"),"")</f>
        <v/>
      </c>
      <c r="C2719" s="2"/>
      <c r="D2719" s="2" t="str">
        <f>IFERROR(__xludf.DUMMYFUNCTION("IF(C2719&lt;&gt;"""", GOOGLETRANSLATE(C2719, ""en"", ""te""),"""")"),"")</f>
        <v/>
      </c>
      <c r="E2719" s="2" t="s">
        <v>1948</v>
      </c>
      <c r="F2719" s="2" t="str">
        <f>IFERROR(__xludf.DUMMYFUNCTION("IF(E2719&lt;&gt;"""", GOOGLETRANSLATE(E2719, ""en"", ""te""),"""")"),"[ '32 వ ఉత్తమ కెరీర్ సమ్మె రేటు (30.7)', 'ఇన్నింగ్స్ లో 23 చెత్త ఆర్థిక రేటు (11.40)']")</f>
        <v>[ '32 వ ఉత్తమ కెరీర్ సమ్మె రేటు (30.7)', 'ఇన్నింగ్స్ లో 23 చెత్త ఆర్థిక రేటు (11.40)']</v>
      </c>
      <c r="G2719" s="2"/>
      <c r="H2719" s="2" t="str">
        <f>IFERROR(__xludf.DUMMYFUNCTION("IF(G2719&lt;&gt;"""", GOOGLETRANSLATE(G2719, ""en"", ""te""),"""")"),"")</f>
        <v/>
      </c>
      <c r="I2719" s="3"/>
    </row>
    <row r="2720" customHeight="1" spans="1:9">
      <c r="A2720" s="2"/>
      <c r="B2720" s="2" t="str">
        <f>IFERROR(__xludf.DUMMYFUNCTION("IF(A2720&lt;&gt;"""", GOOGLETRANSLATE(A2720, ""en"", ""te""),"""")"),"")</f>
        <v/>
      </c>
      <c r="C2720" s="2"/>
      <c r="D2720" s="2" t="str">
        <f>IFERROR(__xludf.DUMMYFUNCTION("IF(C2720&lt;&gt;"""", GOOGLETRANSLATE(C2720, ""en"", ""te""),"""")"),"")</f>
        <v/>
      </c>
      <c r="E2720" s="2"/>
      <c r="F2720" s="2" t="str">
        <f>IFERROR(__xludf.DUMMYFUNCTION("IF(E2720&lt;&gt;"""", GOOGLETRANSLATE(E2720, ""en"", ""te""),"""")"),"")</f>
        <v/>
      </c>
      <c r="G2720" s="2"/>
      <c r="H2720" s="2" t="str">
        <f>IFERROR(__xludf.DUMMYFUNCTION("IF(G2720&lt;&gt;"""", GOOGLETRANSLATE(G2720, ""en"", ""te""),"""")"),"")</f>
        <v/>
      </c>
      <c r="I2720" s="3"/>
    </row>
    <row r="2721" customHeight="1" spans="1:9">
      <c r="A2721" s="2"/>
      <c r="B2721" s="2" t="str">
        <f>IFERROR(__xludf.DUMMYFUNCTION("IF(A2721&lt;&gt;"""", GOOGLETRANSLATE(A2721, ""en"", ""te""),"""")"),"")</f>
        <v/>
      </c>
      <c r="C2721" s="2"/>
      <c r="D2721" s="2" t="str">
        <f>IFERROR(__xludf.DUMMYFUNCTION("IF(C2721&lt;&gt;"""", GOOGLETRANSLATE(C2721, ""en"", ""te""),"""")"),"")</f>
        <v/>
      </c>
      <c r="E2721" s="2"/>
      <c r="F2721" s="2" t="str">
        <f>IFERROR(__xludf.DUMMYFUNCTION("IF(E2721&lt;&gt;"""", GOOGLETRANSLATE(E2721, ""en"", ""te""),"""")"),"")</f>
        <v/>
      </c>
      <c r="G2721" s="2"/>
      <c r="H2721" s="2" t="str">
        <f>IFERROR(__xludf.DUMMYFUNCTION("IF(G2721&lt;&gt;"""", GOOGLETRANSLATE(G2721, ""en"", ""te""),"""")"),"")</f>
        <v/>
      </c>
      <c r="I2721" s="3"/>
    </row>
    <row r="2722" customHeight="1" spans="1:9">
      <c r="A2722" s="2"/>
      <c r="B2722" s="2" t="str">
        <f>IFERROR(__xludf.DUMMYFUNCTION("IF(A2722&lt;&gt;"""", GOOGLETRANSLATE(A2722, ""en"", ""te""),"""")"),"")</f>
        <v/>
      </c>
      <c r="C2722" s="2"/>
      <c r="D2722" s="2" t="str">
        <f>IFERROR(__xludf.DUMMYFUNCTION("IF(C2722&lt;&gt;"""", GOOGLETRANSLATE(C2722, ""en"", ""te""),"""")"),"")</f>
        <v/>
      </c>
      <c r="E2722" s="2"/>
      <c r="F2722" s="2" t="str">
        <f>IFERROR(__xludf.DUMMYFUNCTION("IF(E2722&lt;&gt;"""", GOOGLETRANSLATE(E2722, ""en"", ""te""),"""")"),"")</f>
        <v/>
      </c>
      <c r="G2722" s="2"/>
      <c r="H2722" s="2" t="str">
        <f>IFERROR(__xludf.DUMMYFUNCTION("IF(G2722&lt;&gt;"""", GOOGLETRANSLATE(G2722, ""en"", ""te""),"""")"),"")</f>
        <v/>
      </c>
      <c r="I2722" s="3"/>
    </row>
    <row r="2723" customHeight="1" spans="1:9">
      <c r="A2723" s="2" t="s">
        <v>352</v>
      </c>
      <c r="B2723" s="2" t="str">
        <f>IFERROR(__xludf.DUMMYFUNCTION("IF(A2723&lt;&gt;"""", GOOGLETRANSLATE(A2723, ""en"", ""te""),"""")"),"[ 'బ్యాటింగ్ ప్రారంభించుటకు మరియు అదే మ్యాచ్ లో బౌలింగ్']")</f>
        <v>[ 'బ్యాటింగ్ ప్రారంభించుటకు మరియు అదే మ్యాచ్ లో బౌలింగ్']</v>
      </c>
      <c r="C2723" s="2" t="s">
        <v>1949</v>
      </c>
      <c r="D2723" s="2" t="str">
        <f>IFERROR(__xludf.DUMMYFUNCTION("IF(C2723&lt;&gt;"""", GOOGLETRANSLATE(C2723, ""en"", ""te""),"""")"),"[ '19 కెరీర్లో అతి తక్కువ బాతులు (33)', '27th లాంగెస్ట్ కెరీర్లు (19y 14D)', 'ప్రదర్శనల మధ్య 42 వ లాంగెస్ట్ వ్యవధిలో (8y 309d)']")</f>
        <v>[ '19 కెరీర్లో అతి తక్కువ బాతులు (33)', '27th లాంగెస్ట్ కెరీర్లు (19y 14D)', 'ప్రదర్శనల మధ్య 42 వ లాంగెస్ట్ వ్యవధిలో (8y 309d)']</v>
      </c>
      <c r="E2723" s="2"/>
      <c r="F2723" s="2" t="str">
        <f>IFERROR(__xludf.DUMMYFUNCTION("IF(E2723&lt;&gt;"""", GOOGLETRANSLATE(E2723, ""en"", ""te""),"""")"),"")</f>
        <v/>
      </c>
      <c r="G2723" s="2"/>
      <c r="H2723" s="2" t="str">
        <f>IFERROR(__xludf.DUMMYFUNCTION("IF(G2723&lt;&gt;"""", GOOGLETRANSLATE(G2723, ""en"", ""te""),"""")"),"")</f>
        <v/>
      </c>
      <c r="I2723" s="3"/>
    </row>
    <row r="2724" customHeight="1" spans="1:9">
      <c r="A2724" s="2"/>
      <c r="B2724" s="2" t="str">
        <f>IFERROR(__xludf.DUMMYFUNCTION("IF(A2724&lt;&gt;"""", GOOGLETRANSLATE(A2724, ""en"", ""te""),"""")"),"")</f>
        <v/>
      </c>
      <c r="C2724" s="2"/>
      <c r="D2724" s="2" t="str">
        <f>IFERROR(__xludf.DUMMYFUNCTION("IF(C2724&lt;&gt;"""", GOOGLETRANSLATE(C2724, ""en"", ""te""),"""")"),"")</f>
        <v/>
      </c>
      <c r="E2724" s="2"/>
      <c r="F2724" s="2" t="str">
        <f>IFERROR(__xludf.DUMMYFUNCTION("IF(E2724&lt;&gt;"""", GOOGLETRANSLATE(E2724, ""en"", ""te""),"""")"),"")</f>
        <v/>
      </c>
      <c r="G2724" s="2"/>
      <c r="H2724" s="2" t="str">
        <f>IFERROR(__xludf.DUMMYFUNCTION("IF(G2724&lt;&gt;"""", GOOGLETRANSLATE(G2724, ""en"", ""te""),"""")"),"")</f>
        <v/>
      </c>
      <c r="I2724" s="3"/>
    </row>
    <row r="2725" customHeight="1" spans="1:9">
      <c r="A2725" s="2"/>
      <c r="B2725" s="2" t="str">
        <f>IFERROR(__xludf.DUMMYFUNCTION("IF(A2725&lt;&gt;"""", GOOGLETRANSLATE(A2725, ""en"", ""te""),"""")"),"")</f>
        <v/>
      </c>
      <c r="C2725" s="2"/>
      <c r="D2725" s="2" t="str">
        <f>IFERROR(__xludf.DUMMYFUNCTION("IF(C2725&lt;&gt;"""", GOOGLETRANSLATE(C2725, ""en"", ""te""),"""")"),"")</f>
        <v/>
      </c>
      <c r="E2725" s="2"/>
      <c r="F2725" s="2" t="str">
        <f>IFERROR(__xludf.DUMMYFUNCTION("IF(E2725&lt;&gt;"""", GOOGLETRANSLATE(E2725, ""en"", ""te""),"""")"),"")</f>
        <v/>
      </c>
      <c r="G2725" s="2"/>
      <c r="H2725" s="2" t="str">
        <f>IFERROR(__xludf.DUMMYFUNCTION("IF(G2725&lt;&gt;"""", GOOGLETRANSLATE(G2725, ""en"", ""te""),"""")"),"")</f>
        <v/>
      </c>
      <c r="I2725" s="3"/>
    </row>
    <row r="2726" customHeight="1" spans="1:9">
      <c r="A2726" s="2"/>
      <c r="B2726" s="2" t="str">
        <f>IFERROR(__xludf.DUMMYFUNCTION("IF(A2726&lt;&gt;"""", GOOGLETRANSLATE(A2726, ""en"", ""te""),"""")"),"")</f>
        <v/>
      </c>
      <c r="C2726" s="2" t="s">
        <v>1950</v>
      </c>
      <c r="D2726" s="2" t="str">
        <f>IFERROR(__xludf.DUMMYFUNCTION("IF(C2726&lt;&gt;"""", GOOGLETRANSLATE(C2726, ""en"", ""te""),"""")"),"[ '24 ఒక ఇన్నింగ్స్ లోని బెస్ట్ ఫిగర్స్ ఉన్నప్పుడు పరాజయం వైపు (7)', 'ఇన్నింగ్స్ లో 24 చెత్త సమ్మె రేటు (368.0)', '50 వ అత్యంత వృద్ధ ఆటగాడు పది వికెట్లు లో ఒక మ్యాచ్ తీసుకోవాలని (32y 304d) ',' 11 వ అత్యంత ఒక మ్యాచ్లో సాధించిన పరుగులు (288) ',' 18 వ బౌలర్"&amp;" / బ్యాటర్ కలయికలు (12) ']")</f>
        <v>[ '24 ఒక ఇన్నింగ్స్ లోని బెస్ట్ ఫిగర్స్ ఉన్నప్పుడు పరాజయం వైపు (7)', 'ఇన్నింగ్స్ లో 24 చెత్త సమ్మె రేటు (368.0)', '50 వ అత్యంత వృద్ధ ఆటగాడు పది వికెట్లు లో ఒక మ్యాచ్ తీసుకోవాలని (32y 304d) ',' 11 వ అత్యంత ఒక మ్యాచ్లో సాధించిన పరుగులు (288) ',' 18 వ బౌలర్ / బ్యాటర్ కలయికలు (12) ']</v>
      </c>
      <c r="E2726" s="2"/>
      <c r="F2726" s="2" t="str">
        <f>IFERROR(__xludf.DUMMYFUNCTION("IF(E2726&lt;&gt;"""", GOOGLETRANSLATE(E2726, ""en"", ""te""),"""")"),"")</f>
        <v/>
      </c>
      <c r="G2726" s="2"/>
      <c r="H2726" s="2" t="str">
        <f>IFERROR(__xludf.DUMMYFUNCTION("IF(G2726&lt;&gt;"""", GOOGLETRANSLATE(G2726, ""en"", ""te""),"""")"),"")</f>
        <v/>
      </c>
      <c r="I2726" s="3"/>
    </row>
    <row r="2727" customHeight="1" spans="1:9">
      <c r="A2727" s="2" t="s">
        <v>1951</v>
      </c>
      <c r="B2727" s="2" t="str">
        <f>IFERROR(__xludf.DUMMYFUNCTION("IF(A2727&lt;&gt;"""", GOOGLETRANSLATE(A2727, ""en"", ""te""),"""")"),"[ '9 వ చెత్త ఆర్థిక వ్యవస్థ ఇన్నింగ్స్లో రేటు (7.07)']")</f>
        <v>[ '9 వ చెత్త ఆర్థిక వ్యవస్థ ఇన్నింగ్స్లో రేటు (7.07)']</v>
      </c>
      <c r="C2727" s="2" t="s">
        <v>1952</v>
      </c>
      <c r="D2727" s="2" t="str">
        <f>IFERROR(__xludf.DUMMYFUNCTION("IF(C2727&lt;&gt;"""", GOOGLETRANSLATE(C2727, ""en"", ""te""),"""")"),"[ '27 కెరీర్లో అత్యధిక వికెట్లు (325)', '34 వ ఉత్తమ ఇన్నింగ్స్ లో సంఖ్యలు (8/43)', 'ఒక కెప్టెన్తో 16 ఒక ఇన్నింగ్స్ లోని బెస్ట్ ఫిగర్స్ (6)', '21 వ ఉత్తమ ఒక ద్వారా ఒక మ్యాచ్లో గణాంకాలు కెప్టెన్ (9) ',' ఇన్నింగ్స్ లో 9 వ చెత్త ఆర్థిక రేటు (7.07) ',' 32 వ అత"&amp;"్యంత ఐదు-వికెట్ల లో-ఒక-ఇన్నింగ్స్ కెరీర్లో (16) ',' 36 వ కెరీర్ (17357) లో బౌల్డ్ చాలా బంతుల్లో ' '35 వ కెరీర్ లో సాధించిన అత్యధిక పరుగులు (8190)', '32 వ బౌలర్ / బ్యాటర్ కలయికలు (11)', '27 వ అత్యధిక వికెట్లు తీసుకున్న బౌల్డ్ (68)', '26th అత్యధిక వికెట్లు "&amp;"తీసుకున్న ఆకర్షించింది (222)', '21 వ అత్యధిక వికెట్లు ఒక ఫీల్డర్ తీసుకున్న ఆకర్షించింది (155) ',' 27 వ అత్యధిక వికెట్లు సాధించిన వికెట్కీపర్గా (67) ',' 37 వ పట్టుకుంటే తీసుకున్న 250 వికెట్లు వేగంగా (70) ',' 27th 300 వికెట్లు (81) ',' 23 అన్ని విన్నింగ్ వే"&amp;"గంగా వరుస పొడుస్తాడు (3) ']")</f>
        <v>[ '27 కెరీర్లో అత్యధిక వికెట్లు (325)', '34 వ ఉత్తమ ఇన్నింగ్స్ లో సంఖ్యలు (8/43)', 'ఒక కెప్టెన్తో 16 ఒక ఇన్నింగ్స్ లోని బెస్ట్ ఫిగర్స్ (6)', '21 వ ఉత్తమ ఒక ద్వారా ఒక మ్యాచ్లో గణాంకాలు కెప్టెన్ (9) ',' ఇన్నింగ్స్ లో 9 వ చెత్త ఆర్థిక రేటు (7.07) ',' 32 వ అత్యంత ఐదు-వికెట్ల లో-ఒక-ఇన్నింగ్స్ కెరీర్లో (16) ',' 36 వ కెరీర్ (17357) లో బౌల్డ్ చాలా బంతుల్లో ' '35 వ కెరీర్ లో సాధించిన అత్యధిక పరుగులు (8190)', '32 వ బౌలర్ / బ్యాటర్ కలయికలు (11)', '27 వ అత్యధిక వికెట్లు తీసుకున్న బౌల్డ్ (68)', '26th అత్యధిక వికెట్లు తీసుకున్న ఆకర్షించింది (222)', '21 వ అత్యధిక వికెట్లు ఒక ఫీల్డర్ తీసుకున్న ఆకర్షించింది (155) ',' 27 వ అత్యధిక వికెట్లు సాధించిన వికెట్కీపర్గా (67) ',' 37 వ పట్టుకుంటే తీసుకున్న 250 వికెట్లు వేగంగా (70) ',' 27th 300 వికెట్లు (81) ',' 23 అన్ని విన్నింగ్ వేగంగా వరుస పొడుస్తాడు (3) ']</v>
      </c>
      <c r="E2727" s="2" t="s">
        <v>1953</v>
      </c>
      <c r="F2727" s="2" t="str">
        <f>IFERROR(__xludf.DUMMYFUNCTION("IF(E2727&lt;&gt;"""", GOOGLETRANSLATE(E2727, ""en"", ""te""),"""")"),"[ '26 బెస్ట్ కెప్టెన్ ద్వారా ఒక ఇన్నింగ్స్ లో బొమ్మలు (4)', '4 వ ఉత్తమ కెరీర్ ఆర్థిక రేటు (3.28)', 'ఇన్నింగ్స్ లో 48 వ బెస్ట్ ఆర్థిక రేటు (1.00)', '25 వ బౌలర్ / బ్యాట్స్ కలయికలు (8)' , '20th లాంగెస్ట్ క్రీడాకారులు (70y 188d) నివసించారు']")</f>
        <v>[ '26 బెస్ట్ కెప్టెన్ ద్వారా ఒక ఇన్నింగ్స్ లో బొమ్మలు (4)', '4 వ ఉత్తమ కెరీర్ ఆర్థిక రేటు (3.28)', 'ఇన్నింగ్స్ లో 48 వ బెస్ట్ ఆర్థిక రేటు (1.00)', '25 వ బౌలర్ / బ్యాట్స్ కలయికలు (8)' , '20th లాంగెస్ట్ క్రీడాకారులు (70y 188d) నివసించారు']</v>
      </c>
      <c r="G2727" s="2"/>
      <c r="H2727" s="2" t="str">
        <f>IFERROR(__xludf.DUMMYFUNCTION("IF(G2727&lt;&gt;"""", GOOGLETRANSLATE(G2727, ""en"", ""te""),"""")"),"")</f>
        <v/>
      </c>
      <c r="I2727" s="3"/>
    </row>
    <row r="2728" customHeight="1" spans="1:9">
      <c r="A2728" s="2"/>
      <c r="B2728" s="2" t="str">
        <f>IFERROR(__xludf.DUMMYFUNCTION("IF(A2728&lt;&gt;"""", GOOGLETRANSLATE(A2728, ""en"", ""te""),"""")"),"")</f>
        <v/>
      </c>
      <c r="C2728" s="2"/>
      <c r="D2728" s="2" t="str">
        <f>IFERROR(__xludf.DUMMYFUNCTION("IF(C2728&lt;&gt;"""", GOOGLETRANSLATE(C2728, ""en"", ""te""),"""")"),"")</f>
        <v/>
      </c>
      <c r="E2728" s="2"/>
      <c r="F2728" s="2" t="str">
        <f>IFERROR(__xludf.DUMMYFUNCTION("IF(E2728&lt;&gt;"""", GOOGLETRANSLATE(E2728, ""en"", ""te""),"""")"),"")</f>
        <v/>
      </c>
      <c r="G2728" s="2"/>
      <c r="H2728" s="2" t="str">
        <f>IFERROR(__xludf.DUMMYFUNCTION("IF(G2728&lt;&gt;"""", GOOGLETRANSLATE(G2728, ""en"", ""te""),"""")"),"")</f>
        <v/>
      </c>
      <c r="I2728" s="3"/>
    </row>
    <row r="2729" customHeight="1" spans="1:9">
      <c r="A2729" s="2"/>
      <c r="B2729" s="2" t="str">
        <f>IFERROR(__xludf.DUMMYFUNCTION("IF(A2729&lt;&gt;"""", GOOGLETRANSLATE(A2729, ""en"", ""te""),"""")"),"")</f>
        <v/>
      </c>
      <c r="C2729" s="2"/>
      <c r="D2729" s="2" t="str">
        <f>IFERROR(__xludf.DUMMYFUNCTION("IF(C2729&lt;&gt;"""", GOOGLETRANSLATE(C2729, ""en"", ""te""),"""")"),"")</f>
        <v/>
      </c>
      <c r="E2729" s="2"/>
      <c r="F2729" s="2" t="str">
        <f>IFERROR(__xludf.DUMMYFUNCTION("IF(E2729&lt;&gt;"""", GOOGLETRANSLATE(E2729, ""en"", ""te""),"""")"),"")</f>
        <v/>
      </c>
      <c r="G2729" s="2"/>
      <c r="H2729" s="2" t="str">
        <f>IFERROR(__xludf.DUMMYFUNCTION("IF(G2729&lt;&gt;"""", GOOGLETRANSLATE(G2729, ""en"", ""te""),"""")"),"")</f>
        <v/>
      </c>
      <c r="I2729" s="3"/>
    </row>
    <row r="2730" customHeight="1" spans="1:9">
      <c r="A2730" s="2"/>
      <c r="B2730" s="2" t="str">
        <f>IFERROR(__xludf.DUMMYFUNCTION("IF(A2730&lt;&gt;"""", GOOGLETRANSLATE(A2730, ""en"", ""te""),"""")"),"")</f>
        <v/>
      </c>
      <c r="C2730" s="2"/>
      <c r="D2730" s="2" t="str">
        <f>IFERROR(__xludf.DUMMYFUNCTION("IF(C2730&lt;&gt;"""", GOOGLETRANSLATE(C2730, ""en"", ""te""),"""")"),"")</f>
        <v/>
      </c>
      <c r="E2730" s="2"/>
      <c r="F2730" s="2" t="str">
        <f>IFERROR(__xludf.DUMMYFUNCTION("IF(E2730&lt;&gt;"""", GOOGLETRANSLATE(E2730, ""en"", ""te""),"""")"),"")</f>
        <v/>
      </c>
      <c r="G2730" s="2" t="s">
        <v>1954</v>
      </c>
      <c r="H2730" s="2" t="str">
        <f>IFERROR(__xludf.DUMMYFUNCTION("IF(G2730&lt;&gt;"""", GOOGLETRANSLATE(G2730, ""en"", ""te""),"""")"),"[ '30 వ అంపాయర్ (22) గా అత్యధిక మ్యాచ్లు']")</f>
        <v>[ '30 వ అంపాయర్ (22) గా అత్యధిక మ్యాచ్లు']</v>
      </c>
      <c r="I2730" s="3"/>
    </row>
    <row r="2731" customHeight="1" spans="1:9">
      <c r="A2731" s="2"/>
      <c r="B2731" s="2" t="str">
        <f>IFERROR(__xludf.DUMMYFUNCTION("IF(A2731&lt;&gt;"""", GOOGLETRANSLATE(A2731, ""en"", ""te""),"""")"),"")</f>
        <v/>
      </c>
      <c r="C2731" s="2"/>
      <c r="D2731" s="2" t="str">
        <f>IFERROR(__xludf.DUMMYFUNCTION("IF(C2731&lt;&gt;"""", GOOGLETRANSLATE(C2731, ""en"", ""te""),"""")"),"")</f>
        <v/>
      </c>
      <c r="E2731" s="2"/>
      <c r="F2731" s="2" t="str">
        <f>IFERROR(__xludf.DUMMYFUNCTION("IF(E2731&lt;&gt;"""", GOOGLETRANSLATE(E2731, ""en"", ""te""),"""")"),"")</f>
        <v/>
      </c>
      <c r="G2731" s="2"/>
      <c r="H2731" s="2" t="str">
        <f>IFERROR(__xludf.DUMMYFUNCTION("IF(G2731&lt;&gt;"""", GOOGLETRANSLATE(G2731, ""en"", ""te""),"""")"),"")</f>
        <v/>
      </c>
      <c r="I2731" s="3"/>
    </row>
    <row r="2732" customHeight="1" spans="1:9">
      <c r="A2732" s="2"/>
      <c r="B2732" s="2" t="str">
        <f>IFERROR(__xludf.DUMMYFUNCTION("IF(A2732&lt;&gt;"""", GOOGLETRANSLATE(A2732, ""en"", ""te""),"""")"),"")</f>
        <v/>
      </c>
      <c r="C2732" s="2"/>
      <c r="D2732" s="2" t="str">
        <f>IFERROR(__xludf.DUMMYFUNCTION("IF(C2732&lt;&gt;"""", GOOGLETRANSLATE(C2732, ""en"", ""te""),"""")"),"")</f>
        <v/>
      </c>
      <c r="E2732" s="2"/>
      <c r="F2732" s="2" t="str">
        <f>IFERROR(__xludf.DUMMYFUNCTION("IF(E2732&lt;&gt;"""", GOOGLETRANSLATE(E2732, ""en"", ""te""),"""")"),"")</f>
        <v/>
      </c>
      <c r="G2732" s="2"/>
      <c r="H2732" s="2" t="str">
        <f>IFERROR(__xludf.DUMMYFUNCTION("IF(G2732&lt;&gt;"""", GOOGLETRANSLATE(G2732, ""en"", ""te""),"""")"),"")</f>
        <v/>
      </c>
      <c r="I2732" s="3"/>
    </row>
    <row r="2733" customHeight="1" spans="1:9">
      <c r="A2733" s="2"/>
      <c r="B2733" s="2" t="str">
        <f>IFERROR(__xludf.DUMMYFUNCTION("IF(A2733&lt;&gt;"""", GOOGLETRANSLATE(A2733, ""en"", ""te""),"""")"),"")</f>
        <v/>
      </c>
      <c r="C2733" s="2"/>
      <c r="D2733" s="2" t="str">
        <f>IFERROR(__xludf.DUMMYFUNCTION("IF(C2733&lt;&gt;"""", GOOGLETRANSLATE(C2733, ""en"", ""te""),"""")"),"")</f>
        <v/>
      </c>
      <c r="E2733" s="2"/>
      <c r="F2733" s="2" t="str">
        <f>IFERROR(__xludf.DUMMYFUNCTION("IF(E2733&lt;&gt;"""", GOOGLETRANSLATE(E2733, ""en"", ""te""),"""")"),"")</f>
        <v/>
      </c>
      <c r="G2733" s="2"/>
      <c r="H2733" s="2" t="str">
        <f>IFERROR(__xludf.DUMMYFUNCTION("IF(G2733&lt;&gt;"""", GOOGLETRANSLATE(G2733, ""en"", ""te""),"""")"),"")</f>
        <v/>
      </c>
      <c r="I2733" s="3"/>
    </row>
    <row r="2734" customHeight="1" spans="1:9">
      <c r="A2734" s="2"/>
      <c r="B2734" s="2" t="str">
        <f>IFERROR(__xludf.DUMMYFUNCTION("IF(A2734&lt;&gt;"""", GOOGLETRANSLATE(A2734, ""en"", ""te""),"""")"),"")</f>
        <v/>
      </c>
      <c r="C2734" s="2"/>
      <c r="D2734" s="2" t="str">
        <f>IFERROR(__xludf.DUMMYFUNCTION("IF(C2734&lt;&gt;"""", GOOGLETRANSLATE(C2734, ""en"", ""te""),"""")"),"")</f>
        <v/>
      </c>
      <c r="E2734" s="2"/>
      <c r="F2734" s="2" t="str">
        <f>IFERROR(__xludf.DUMMYFUNCTION("IF(E2734&lt;&gt;"""", GOOGLETRANSLATE(E2734, ""en"", ""te""),"""")"),"")</f>
        <v/>
      </c>
      <c r="G2734" s="2"/>
      <c r="H2734" s="2" t="str">
        <f>IFERROR(__xludf.DUMMYFUNCTION("IF(G2734&lt;&gt;"""", GOOGLETRANSLATE(G2734, ""en"", ""te""),"""")"),"")</f>
        <v/>
      </c>
      <c r="I2734" s="3"/>
    </row>
    <row r="2735" customHeight="1" spans="1:9">
      <c r="A2735" s="2"/>
      <c r="B2735" s="2" t="str">
        <f>IFERROR(__xludf.DUMMYFUNCTION("IF(A2735&lt;&gt;"""", GOOGLETRANSLATE(A2735, ""en"", ""te""),"""")"),"")</f>
        <v/>
      </c>
      <c r="C2735" s="2"/>
      <c r="D2735" s="2" t="str">
        <f>IFERROR(__xludf.DUMMYFUNCTION("IF(C2735&lt;&gt;"""", GOOGLETRANSLATE(C2735, ""en"", ""te""),"""")"),"")</f>
        <v/>
      </c>
      <c r="E2735" s="2"/>
      <c r="F2735" s="2" t="str">
        <f>IFERROR(__xludf.DUMMYFUNCTION("IF(E2735&lt;&gt;"""", GOOGLETRANSLATE(E2735, ""en"", ""te""),"""")"),"")</f>
        <v/>
      </c>
      <c r="G2735" s="2"/>
      <c r="H2735" s="2" t="str">
        <f>IFERROR(__xludf.DUMMYFUNCTION("IF(G2735&lt;&gt;"""", GOOGLETRANSLATE(G2735, ""en"", ""te""),"""")"),"")</f>
        <v/>
      </c>
      <c r="I2735" s="3"/>
    </row>
    <row r="2736" customHeight="1" spans="1:9">
      <c r="A2736" s="2"/>
      <c r="B2736" s="2" t="str">
        <f>IFERROR(__xludf.DUMMYFUNCTION("IF(A2736&lt;&gt;"""", GOOGLETRANSLATE(A2736, ""en"", ""te""),"""")"),"")</f>
        <v/>
      </c>
      <c r="C2736" s="2" t="s">
        <v>1955</v>
      </c>
      <c r="D2736" s="2" t="str">
        <f>IFERROR(__xludf.DUMMYFUNCTION("IF(C2736&lt;&gt;"""", GOOGLETRANSLATE(C2736, ""en"", ""te""),"""")"),"[18 వ ఉత్తమ కెరీర్ ఆర్థిక రేటు (1.91) ',' 13 వ చెత్త కెరీర్లో సమ్మె రేటు (139.2) ',' ఇన్నింగ్స్ లో 30 వ చెత్త సమ్మె రేటు (360.0) ']")</f>
        <v>[18 వ ఉత్తమ కెరీర్ ఆర్థిక రేటు (1.91) ',' 13 వ చెత్త కెరీర్లో సమ్మె రేటు (139.2) ',' ఇన్నింగ్స్ లో 30 వ చెత్త సమ్మె రేటు (360.0) ']</v>
      </c>
      <c r="E2736" s="2"/>
      <c r="F2736" s="2" t="str">
        <f>IFERROR(__xludf.DUMMYFUNCTION("IF(E2736&lt;&gt;"""", GOOGLETRANSLATE(E2736, ""en"", ""te""),"""")"),"")</f>
        <v/>
      </c>
      <c r="G2736" s="2"/>
      <c r="H2736" s="2" t="str">
        <f>IFERROR(__xludf.DUMMYFUNCTION("IF(G2736&lt;&gt;"""", GOOGLETRANSLATE(G2736, ""en"", ""te""),"""")"),"")</f>
        <v/>
      </c>
      <c r="I2736" s="3"/>
    </row>
    <row r="2737" customHeight="1" spans="1:9">
      <c r="A2737" s="2"/>
      <c r="B2737" s="2" t="str">
        <f>IFERROR(__xludf.DUMMYFUNCTION("IF(A2737&lt;&gt;"""", GOOGLETRANSLATE(A2737, ""en"", ""te""),"""")"),"")</f>
        <v/>
      </c>
      <c r="C2737" s="2"/>
      <c r="D2737" s="2" t="str">
        <f>IFERROR(__xludf.DUMMYFUNCTION("IF(C2737&lt;&gt;"""", GOOGLETRANSLATE(C2737, ""en"", ""te""),"""")"),"")</f>
        <v/>
      </c>
      <c r="E2737" s="2"/>
      <c r="F2737" s="2" t="str">
        <f>IFERROR(__xludf.DUMMYFUNCTION("IF(E2737&lt;&gt;"""", GOOGLETRANSLATE(E2737, ""en"", ""te""),"""")"),"")</f>
        <v/>
      </c>
      <c r="G2737" s="2"/>
      <c r="H2737" s="2" t="str">
        <f>IFERROR(__xludf.DUMMYFUNCTION("IF(G2737&lt;&gt;"""", GOOGLETRANSLATE(G2737, ""en"", ""te""),"""")"),"")</f>
        <v/>
      </c>
      <c r="I2737" s="3"/>
    </row>
    <row r="2738" customHeight="1" spans="1:9">
      <c r="A2738" s="2"/>
      <c r="B2738" s="2" t="str">
        <f>IFERROR(__xludf.DUMMYFUNCTION("IF(A2738&lt;&gt;"""", GOOGLETRANSLATE(A2738, ""en"", ""te""),"""")"),"")</f>
        <v/>
      </c>
      <c r="C2738" s="2"/>
      <c r="D2738" s="2" t="str">
        <f>IFERROR(__xludf.DUMMYFUNCTION("IF(C2738&lt;&gt;"""", GOOGLETRANSLATE(C2738, ""en"", ""te""),"""")"),"")</f>
        <v/>
      </c>
      <c r="E2738" s="2"/>
      <c r="F2738" s="2" t="str">
        <f>IFERROR(__xludf.DUMMYFUNCTION("IF(E2738&lt;&gt;"""", GOOGLETRANSLATE(E2738, ""en"", ""te""),"""")"),"")</f>
        <v/>
      </c>
      <c r="G2738" s="2"/>
      <c r="H2738" s="2" t="str">
        <f>IFERROR(__xludf.DUMMYFUNCTION("IF(G2738&lt;&gt;"""", GOOGLETRANSLATE(G2738, ""en"", ""te""),"""")"),"")</f>
        <v/>
      </c>
      <c r="I2738" s="3"/>
    </row>
    <row r="2739" customHeight="1" spans="1:9">
      <c r="A2739" s="2" t="s">
        <v>349</v>
      </c>
      <c r="B2739" s="2" t="str">
        <f>IFERROR(__xludf.DUMMYFUNCTION("IF(A2739&lt;&gt;"""", GOOGLETRANSLATE(A2739, ""en"", ""te""),"""")"),"[ '99 పరుగుల 1st (మరియు 199, 299 etc) (99)']")</f>
        <v>[ '99 పరుగుల 1st (మరియు 199, 299 etc) (99)']</v>
      </c>
      <c r="C2739" s="2" t="s">
        <v>349</v>
      </c>
      <c r="D2739" s="2" t="str">
        <f>IFERROR(__xludf.DUMMYFUNCTION("IF(C2739&lt;&gt;"""", GOOGLETRANSLATE(C2739, ""en"", ""te""),"""")"),"[ '99 పరుగుల 1st (మరియు 199, 299 etc) (99)']")</f>
        <v>[ '99 పరుగుల 1st (మరియు 199, 299 etc) (99)']</v>
      </c>
      <c r="E2739" s="2"/>
      <c r="F2739" s="2" t="str">
        <f>IFERROR(__xludf.DUMMYFUNCTION("IF(E2739&lt;&gt;"""", GOOGLETRANSLATE(E2739, ""en"", ""te""),"""")"),"")</f>
        <v/>
      </c>
      <c r="G2739" s="2"/>
      <c r="H2739" s="2" t="str">
        <f>IFERROR(__xludf.DUMMYFUNCTION("IF(G2739&lt;&gt;"""", GOOGLETRANSLATE(G2739, ""en"", ""te""),"""")"),"")</f>
        <v/>
      </c>
      <c r="I2739" s="3"/>
    </row>
    <row r="2740" customHeight="1" spans="1:9">
      <c r="A2740" s="2"/>
      <c r="B2740" s="2" t="str">
        <f>IFERROR(__xludf.DUMMYFUNCTION("IF(A2740&lt;&gt;"""", GOOGLETRANSLATE(A2740, ""en"", ""te""),"""")"),"")</f>
        <v/>
      </c>
      <c r="C2740" s="2"/>
      <c r="D2740" s="2" t="str">
        <f>IFERROR(__xludf.DUMMYFUNCTION("IF(C2740&lt;&gt;"""", GOOGLETRANSLATE(C2740, ""en"", ""te""),"""")"),"")</f>
        <v/>
      </c>
      <c r="E2740" s="2"/>
      <c r="F2740" s="2" t="str">
        <f>IFERROR(__xludf.DUMMYFUNCTION("IF(E2740&lt;&gt;"""", GOOGLETRANSLATE(E2740, ""en"", ""te""),"""")"),"")</f>
        <v/>
      </c>
      <c r="G2740" s="2"/>
      <c r="H2740" s="2" t="str">
        <f>IFERROR(__xludf.DUMMYFUNCTION("IF(G2740&lt;&gt;"""", GOOGLETRANSLATE(G2740, ""en"", ""te""),"""")"),"")</f>
        <v/>
      </c>
      <c r="I2740" s="3"/>
    </row>
    <row r="2741" customHeight="1" spans="1:9">
      <c r="A2741" s="2"/>
      <c r="B2741" s="2" t="str">
        <f>IFERROR(__xludf.DUMMYFUNCTION("IF(A2741&lt;&gt;"""", GOOGLETRANSLATE(A2741, ""en"", ""te""),"""")"),"")</f>
        <v/>
      </c>
      <c r="C2741" s="2"/>
      <c r="D2741" s="2" t="str">
        <f>IFERROR(__xludf.DUMMYFUNCTION("IF(C2741&lt;&gt;"""", GOOGLETRANSLATE(C2741, ""en"", ""te""),"""")"),"")</f>
        <v/>
      </c>
      <c r="E2741" s="2" t="s">
        <v>1956</v>
      </c>
      <c r="F2741" s="2" t="str">
        <f>IFERROR(__xludf.DUMMYFUNCTION("IF(E2741&lt;&gt;"""", GOOGLETRANSLATE(E2741, ""en"", ""te""),"""")"),"[ '24 చెత్త కెరీర్ బౌలింగ్ సరాసరి (51.19)', '27 చెత్త కెరీర్లో సమ్మె రేటు (63.4)']")</f>
        <v>[ '24 చెత్త కెరీర్ బౌలింగ్ సరాసరి (51.19)', '27 చెత్త కెరీర్లో సమ్మె రేటు (63.4)']</v>
      </c>
      <c r="G2741" s="2"/>
      <c r="H2741" s="2" t="str">
        <f>IFERROR(__xludf.DUMMYFUNCTION("IF(G2741&lt;&gt;"""", GOOGLETRANSLATE(G2741, ""en"", ""te""),"""")"),"")</f>
        <v/>
      </c>
      <c r="I2741" s="3"/>
    </row>
    <row r="2742" customHeight="1" spans="1:9">
      <c r="A2742" s="2"/>
      <c r="B2742" s="2" t="str">
        <f>IFERROR(__xludf.DUMMYFUNCTION("IF(A2742&lt;&gt;"""", GOOGLETRANSLATE(A2742, ""en"", ""te""),"""")"),"")</f>
        <v/>
      </c>
      <c r="C2742" s="2"/>
      <c r="D2742" s="2" t="str">
        <f>IFERROR(__xludf.DUMMYFUNCTION("IF(C2742&lt;&gt;"""", GOOGLETRANSLATE(C2742, ""en"", ""te""),"""")"),"")</f>
        <v/>
      </c>
      <c r="E2742" s="2"/>
      <c r="F2742" s="2" t="str">
        <f>IFERROR(__xludf.DUMMYFUNCTION("IF(E2742&lt;&gt;"""", GOOGLETRANSLATE(E2742, ""en"", ""te""),"""")"),"")</f>
        <v/>
      </c>
      <c r="G2742" s="2"/>
      <c r="H2742" s="2" t="str">
        <f>IFERROR(__xludf.DUMMYFUNCTION("IF(G2742&lt;&gt;"""", GOOGLETRANSLATE(G2742, ""en"", ""te""),"""")"),"")</f>
        <v/>
      </c>
      <c r="I2742" s="3"/>
    </row>
    <row r="2743" customHeight="1" spans="1:9">
      <c r="A2743" s="2"/>
      <c r="B2743" s="2" t="str">
        <f>IFERROR(__xludf.DUMMYFUNCTION("IF(A2743&lt;&gt;"""", GOOGLETRANSLATE(A2743, ""en"", ""te""),"""")"),"")</f>
        <v/>
      </c>
      <c r="C2743" s="2" t="s">
        <v>1957</v>
      </c>
      <c r="D2743" s="2" t="str">
        <f>IFERROR(__xludf.DUMMYFUNCTION("IF(C2743&lt;&gt;"""", GOOGLETRANSLATE(C2743, ""en"", ""te""),"""")"),"[ '21 వ ఉత్తమ కెరీర్ బౌలింగ్ సరాసరి (అర్హత లేకుండా) (8.71)', '41 వ పిన్న కాప్టెన్ (25y 234d)']")</f>
        <v>[ '21 వ ఉత్తమ కెరీర్ బౌలింగ్ సరాసరి (అర్హత లేకుండా) (8.71)', '41 వ పిన్న కాప్టెన్ (25y 234d)']</v>
      </c>
      <c r="E2743" s="2"/>
      <c r="F2743" s="2" t="str">
        <f>IFERROR(__xludf.DUMMYFUNCTION("IF(E2743&lt;&gt;"""", GOOGLETRANSLATE(E2743, ""en"", ""te""),"""")"),"")</f>
        <v/>
      </c>
      <c r="G2743" s="2"/>
      <c r="H2743" s="2" t="str">
        <f>IFERROR(__xludf.DUMMYFUNCTION("IF(G2743&lt;&gt;"""", GOOGLETRANSLATE(G2743, ""en"", ""te""),"""")"),"")</f>
        <v/>
      </c>
      <c r="I2743" s="3"/>
    </row>
    <row r="2744" customHeight="1" spans="1:9">
      <c r="A2744" s="2"/>
      <c r="B2744" s="2" t="str">
        <f>IFERROR(__xludf.DUMMYFUNCTION("IF(A2744&lt;&gt;"""", GOOGLETRANSLATE(A2744, ""en"", ""te""),"""")"),"")</f>
        <v/>
      </c>
      <c r="C2744" s="2"/>
      <c r="D2744" s="2" t="str">
        <f>IFERROR(__xludf.DUMMYFUNCTION("IF(C2744&lt;&gt;"""", GOOGLETRANSLATE(C2744, ""en"", ""te""),"""")"),"")</f>
        <v/>
      </c>
      <c r="E2744" s="2"/>
      <c r="F2744" s="2" t="str">
        <f>IFERROR(__xludf.DUMMYFUNCTION("IF(E2744&lt;&gt;"""", GOOGLETRANSLATE(E2744, ""en"", ""te""),"""")"),"")</f>
        <v/>
      </c>
      <c r="G2744" s="2"/>
      <c r="H2744" s="2" t="str">
        <f>IFERROR(__xludf.DUMMYFUNCTION("IF(G2744&lt;&gt;"""", GOOGLETRANSLATE(G2744, ""en"", ""te""),"""")"),"")</f>
        <v/>
      </c>
      <c r="I2744" s="3"/>
    </row>
    <row r="2745" customHeight="1" spans="1:9">
      <c r="A2745" s="2"/>
      <c r="B2745" s="2" t="str">
        <f>IFERROR(__xludf.DUMMYFUNCTION("IF(A2745&lt;&gt;"""", GOOGLETRANSLATE(A2745, ""en"", ""te""),"""")"),"")</f>
        <v/>
      </c>
      <c r="C2745" s="2"/>
      <c r="D2745" s="2" t="str">
        <f>IFERROR(__xludf.DUMMYFUNCTION("IF(C2745&lt;&gt;"""", GOOGLETRANSLATE(C2745, ""en"", ""te""),"""")"),"")</f>
        <v/>
      </c>
      <c r="E2745" s="2"/>
      <c r="F2745" s="2" t="str">
        <f>IFERROR(__xludf.DUMMYFUNCTION("IF(E2745&lt;&gt;"""", GOOGLETRANSLATE(E2745, ""en"", ""te""),"""")"),"")</f>
        <v/>
      </c>
      <c r="G2745" s="2"/>
      <c r="H2745" s="2" t="str">
        <f>IFERROR(__xludf.DUMMYFUNCTION("IF(G2745&lt;&gt;"""", GOOGLETRANSLATE(G2745, ""en"", ""te""),"""")"),"")</f>
        <v/>
      </c>
      <c r="I2745" s="3"/>
    </row>
    <row r="2746" customHeight="1" spans="1:9">
      <c r="A2746" s="2" t="s">
        <v>1958</v>
      </c>
      <c r="B2746" s="2" t="str">
        <f>IFERROR(__xludf.DUMMYFUNCTION("IF(A2746&lt;&gt;"""", GOOGLETRANSLATE(A2746, ""en"", ""te""),"""")"),"[ 'ఇన్నింగ్స్ లో 5 వ అత్యధిక క్యాచ్లు (6)', 'వికెట్ను కాపాడుకున్నాడు చేసిన 10 వ కెప్టెన్ల (12)', '10 వ అత్యధిక ఇన్నింగ్స్ బై గూడా ఇవ్వకుండా సంపూర్ణమైనది' ఇన్నింగ్స్ (6) లో 5 వ అత్యధిక వికెట్లు '(632 / 4D ) ',' ఒక వికెట్ శ్రేణిలో 7 వ అత్యధిక పరుగులు (465"&amp;") ',' హండ్రెడ్ ఒక మ్యాచ్లో ప్రతి ఇన్నింగ్స్లో ',' వరుస మ్యాచ్లలో 9 వ యాభైల్లో (9) ',' ఒక డక్ లేకుండా 5 వ అత్యధిక వరుస ఇన్నింగ్స్ (86) ',' ఒక ఇన్నింగ్స్లో ద్వారా బ్యాట్ వాహక ఇన్నింగ్స్ లో (69 *) ',' 300 పరుగులు మరియు ఒక సిరీస్లో 15 వికెట్కీపింగ్ తొలగింపుల"&amp;"కు ',' 1st ఎక్కువ సార్లు అవుట్ ఇన్నింగ్స్ లో (6) ',' 1 వ అత్యధిక క్యాచ్లు (6) ' 'వికెట్ను కాపాడుకున్నాడు మరియు బ్యాటింగ్ తెరిచారు 1 వ కెప్టెన్ల (28)', '6 వ అత్యధిక వరుస బాతులు (3)', 'ఒక ఇన్నింగ్స్లో ద్వారా బ్యాట్ నిదర్శన (100 *)', 'నూట ఇన్నింగ్స్ లో నాలుగ"&amp;"ు తొలగింపులకు' 'ఒక డక్ లేకుండా 3 వరుస ఇన్నింగ్స్ (135)']")</f>
        <v>[ 'ఇన్నింగ్స్ లో 5 వ అత్యధిక క్యాచ్లు (6)', 'వికెట్ను కాపాడుకున్నాడు చేసిన 10 వ కెప్టెన్ల (12)', '10 వ అత్యధిక ఇన్నింగ్స్ బై గూడా ఇవ్వకుండా సంపూర్ణమైనది' ఇన్నింగ్స్ (6) లో 5 వ అత్యధిక వికెట్లు '(632 / 4D ) ',' ఒక వికెట్ శ్రేణిలో 7 వ అత్యధిక పరుగులు (465) ',' హండ్రెడ్ ఒక మ్యాచ్లో ప్రతి ఇన్నింగ్స్లో ',' వరుస మ్యాచ్లలో 9 వ యాభైల్లో (9) ',' ఒక డక్ లేకుండా 5 వ అత్యధిక వరుస ఇన్నింగ్స్ (86) ',' ఒక ఇన్నింగ్స్లో ద్వారా బ్యాట్ వాహక ఇన్నింగ్స్ లో (69 *) ',' 300 పరుగులు మరియు ఒక సిరీస్లో 15 వికెట్కీపింగ్ తొలగింపులకు ',' 1st ఎక్కువ సార్లు అవుట్ ఇన్నింగ్స్ లో (6) ',' 1 వ అత్యధిక క్యాచ్లు (6) ' 'వికెట్ను కాపాడుకున్నాడు మరియు బ్యాటింగ్ తెరిచారు 1 వ కెప్టెన్ల (28)', '6 వ అత్యధిక వరుస బాతులు (3)', 'ఒక ఇన్నింగ్స్లో ద్వారా బ్యాట్ నిదర్శన (100 *)', 'నూట ఇన్నింగ్స్ లో నాలుగు తొలగింపులకు' 'ఒక డక్ లేకుండా 3 వరుస ఇన్నింగ్స్ (135)']</v>
      </c>
      <c r="C2746" s="2" t="s">
        <v>1959</v>
      </c>
      <c r="D2746" s="2" t="str">
        <f>IFERROR(__xludf.DUMMYFUNCTION("IF(C2746&lt;&gt;"""", GOOGLETRANSLATE(C2746, ""en"", ""te""),"""")"),"[ 'ఒకే మైదానంలో 17 వ అత్యధిక పరుగులు (1476)' '26 వ అధిక కెరీర్లో పరుగులు (8463)', '48 వ ఒక క్యాలెండర్ సంవత్సరంలో అత్యధిక పరుగులు (1222)', 'ఒక వికెట్ శ్రేణిలో 7 వ అత్యధిక పరుగులు (465 ) ',' అత్యధిక వికెట్లు ఇన్నింగ్స్ లో 17 వ అత్యధిక పరుగులు (173) ',' వంద"&amp;"వ మ్యాచ్లో 4 వ హండ్రెడ్ (105) ',' 27 వ అర్ధ కెరీర్లో (60) ',' వరుస ఇన్నింగ్స్లో 32 వ యాభైల్లో (5) ' 'వరుస మ్యాచ్లలో 9 వ యాభైల్లో (9)', '19 వ అత్యంత ఇన్నింగ్స్ తొలి డక్ ముందు (40)', 'ఒక డక్ లేకుండా 5 వ అత్యధిక వరుస ఇన్నింగ్స్ (86)', '16 వ అత్యంత ఫోర్లు క"&amp;"ెరీర్లో (1121)', '25 వ పదవ వికెట్కు అత్యధిక భాగస్వామ్యం (103) ',' 16 వ కెరీర్ లో అత్యధిక మ్యాచ్లు (133) ',' ఒక జట్టుకు 32 వ వరుస మ్యాచ్లు (62) ',' 46 వ ఓల్డెస్ట్ కాప్టెన్ (38y 57d) ',' 10th కలిగిన కెప్టెన్ల ఉంచింది వికెట్ (12) ',' 11 వ కెరీర్ లో అత్యధిక వ"&amp;"ికెట్లు (241) ',' 5 వ ఇన్నింగ్స్ లో అత్యధిక వికెట్లు (6) ',' 35 వ మ్యాచ్ లో అత్యధిక వికెట్లు (8) ',' 19 వ ఒక సిరీస్లో అత్యధిక వికెట్లు ( 23) ',' 11 వ కెరీర్ లో అత్యధిక క్యాచ్లు (227) ',' 5 వ ఇన్నింగ్స్ లో అత్యధిక క్యాచ్లు (6) ',' 26th అత్యధిక క్యాచ్లు i n"&amp;"a వరుస మ్యాచ్ (8) ',' 20 వ అత్యధిక క్యాచ్లు (23) ',' 32 వ అత్యంత స్టంపింగ్లు కెరీర్లో (14) ',' 10 వ అత్యధిక ఇన్నింగ్స్ బై చేయక (632 / 4D) ',' 23 వ బైలు లేకుండా మొత్తం ఒక ఇన్నింగ్స్ లో సాధించిన (25) ']")</f>
        <v>[ 'ఒకే మైదానంలో 17 వ అత్యధిక పరుగులు (1476)' '26 వ అధిక కెరీర్లో పరుగులు (8463)', '48 వ ఒక క్యాలెండర్ సంవత్సరంలో అత్యధిక పరుగులు (1222)', 'ఒక వికెట్ శ్రేణిలో 7 వ అత్యధిక పరుగులు (465 ) ',' అత్యధిక వికెట్లు ఇన్నింగ్స్ లో 17 వ అత్యధిక పరుగులు (173) ',' వందవ మ్యాచ్లో 4 వ హండ్రెడ్ (105) ',' 27 వ అర్ధ కెరీర్లో (60) ',' వరుస ఇన్నింగ్స్లో 32 వ యాభైల్లో (5) ' 'వరుస మ్యాచ్లలో 9 వ యాభైల్లో (9)', '19 వ అత్యంత ఇన్నింగ్స్ తొలి డక్ ముందు (40)', 'ఒక డక్ లేకుండా 5 వ అత్యధిక వరుస ఇన్నింగ్స్ (86)', '16 వ అత్యంత ఫోర్లు కెరీర్లో (1121)', '25 వ పదవ వికెట్కు అత్యధిక భాగస్వామ్యం (103) ',' 16 వ కెరీర్ లో అత్యధిక మ్యాచ్లు (133) ',' ఒక జట్టుకు 32 వ వరుస మ్యాచ్లు (62) ',' 46 వ ఓల్డెస్ట్ కాప్టెన్ (38y 57d) ',' 10th కలిగిన కెప్టెన్ల ఉంచింది వికెట్ (12) ',' 11 వ కెరీర్ లో అత్యధిక వికెట్లు (241) ',' 5 వ ఇన్నింగ్స్ లో అత్యధిక వికెట్లు (6) ',' 35 వ మ్యాచ్ లో అత్యధిక వికెట్లు (8) ',' 19 వ ఒక సిరీస్లో అత్యధిక వికెట్లు ( 23) ',' 11 వ కెరీర్ లో అత్యధిక క్యాచ్లు (227) ',' 5 వ ఇన్నింగ్స్ లో అత్యధిక క్యాచ్లు (6) ',' 26th అత్యధిక క్యాచ్లు i na వరుస మ్యాచ్ (8) ',' 20 వ అత్యధిక క్యాచ్లు (23) ',' 32 వ అత్యంత స్టంపింగ్లు కెరీర్లో (14) ',' 10 వ అత్యధిక ఇన్నింగ్స్ బై చేయక (632 / 4D) ',' 23 వ బైలు లేకుండా మొత్తం ఒక ఇన్నింగ్స్ లో సాధించిన (25) ']</v>
      </c>
      <c r="E2746" s="2" t="s">
        <v>1960</v>
      </c>
      <c r="F2746" s="2" t="str">
        <f>IFERROR(__xludf.DUMMYFUNCTION("IF(E2746&lt;&gt;"""", GOOGLETRANSLATE(E2746, ""en"", ""te""),"""")"),"[ '12 వ అత్యంత వికెట్కీపర్ శ్రేణిలో పరుగులు (408)', '16 వ అత్యంత వృద్ధ ఆటగాడు వంద స్కోర్ (37y 103d)', 'వరుస ఇన్నింగ్స్లో 11 వ యాభైల్లో (5)', '6 వ అత్యధిక వరుస బాతులు (3)' '34 వ వరుస అన్ని టాస్ గెలిచిన (5)', '16 వ ఓల్డెస్ట్ కాప్టెన్ (39y 317d)', 'వికెట్ ("&amp;"39) ఉంచింది చేసిన 5 వ కెప్టెన్ల', 'వికెట్ను కాపాడుకున్నాడు మరియు బ్యాటింగ్ తెరిచారు 1 వ కెప్టెన్ల (28) ',' కెరీర్లో 20 వ అత్యధిక వికెట్లు (163) ',' 1 వ ఇన్నింగ్స్ లో అత్యధిక వికెట్లు (6) ',' కెరీర్లో 17 వ అత్యధిక క్యాచ్లు (148) ',' 1 వ ఇన్నింగ్స్ లో అత్యధ"&amp;"ిక క్యాచ్లు (6) ',' 25 వ జీవితంలో అత్యధిక స్టంపింగ్లు (15) ']")</f>
        <v>[ '12 వ అత్యంత వికెట్కీపర్ శ్రేణిలో పరుగులు (408)', '16 వ అత్యంత వృద్ధ ఆటగాడు వంద స్కోర్ (37y 103d)', 'వరుస ఇన్నింగ్స్లో 11 వ యాభైల్లో (5)', '6 వ అత్యధిక వరుస బాతులు (3)' '34 వ వరుస అన్ని టాస్ గెలిచిన (5)', '16 వ ఓల్డెస్ట్ కాప్టెన్ (39y 317d)', 'వికెట్ (39) ఉంచింది చేసిన 5 వ కెప్టెన్ల', 'వికెట్ను కాపాడుకున్నాడు మరియు బ్యాటింగ్ తెరిచారు 1 వ కెప్టెన్ల (28) ',' కెరీర్లో 20 వ అత్యధిక వికెట్లు (163) ',' 1 వ ఇన్నింగ్స్ లో అత్యధిక వికెట్లు (6) ',' కెరీర్లో 17 వ అత్యధిక క్యాచ్లు (148) ',' 1 వ ఇన్నింగ్స్ లో అత్యధిక క్యాచ్లు (6) ',' 25 వ జీవితంలో అత్యధిక స్టంపింగ్లు (15) ']</v>
      </c>
      <c r="G2746" s="2"/>
      <c r="H2746" s="2" t="str">
        <f>IFERROR(__xludf.DUMMYFUNCTION("IF(G2746&lt;&gt;"""", GOOGLETRANSLATE(G2746, ""en"", ""te""),"""")"),"")</f>
        <v/>
      </c>
      <c r="I2746" s="3"/>
    </row>
    <row r="2747" customHeight="1" spans="1:9">
      <c r="A2747" s="2"/>
      <c r="B2747" s="2" t="str">
        <f>IFERROR(__xludf.DUMMYFUNCTION("IF(A2747&lt;&gt;"""", GOOGLETRANSLATE(A2747, ""en"", ""te""),"""")"),"")</f>
        <v/>
      </c>
      <c r="C2747" s="2"/>
      <c r="D2747" s="2" t="str">
        <f>IFERROR(__xludf.DUMMYFUNCTION("IF(C2747&lt;&gt;"""", GOOGLETRANSLATE(C2747, ""en"", ""te""),"""")"),"")</f>
        <v/>
      </c>
      <c r="E2747" s="2" t="s">
        <v>549</v>
      </c>
      <c r="F2747" s="2" t="str">
        <f>IFERROR(__xludf.DUMMYFUNCTION("IF(E2747&lt;&gt;"""", GOOGLETRANSLATE(E2747, ""en"", ""te""),"""")"),"[ 'తొలి ఇన్నింగ్స్ 15 వ బెస్ట్ ఫిగర్స్ (4)']")</f>
        <v>[ 'తొలి ఇన్నింగ్స్ 15 వ బెస్ట్ ఫిగర్స్ (4)']</v>
      </c>
      <c r="G2747" s="2"/>
      <c r="H2747" s="2" t="str">
        <f>IFERROR(__xludf.DUMMYFUNCTION("IF(G2747&lt;&gt;"""", GOOGLETRANSLATE(G2747, ""en"", ""te""),"""")"),"")</f>
        <v/>
      </c>
      <c r="I2747" s="3"/>
    </row>
    <row r="2748" customHeight="1" spans="1:9">
      <c r="A2748" s="2"/>
      <c r="B2748" s="2" t="str">
        <f>IFERROR(__xludf.DUMMYFUNCTION("IF(A2748&lt;&gt;"""", GOOGLETRANSLATE(A2748, ""en"", ""te""),"""")"),"")</f>
        <v/>
      </c>
      <c r="C2748" s="2"/>
      <c r="D2748" s="2" t="str">
        <f>IFERROR(__xludf.DUMMYFUNCTION("IF(C2748&lt;&gt;"""", GOOGLETRANSLATE(C2748, ""en"", ""te""),"""")"),"")</f>
        <v/>
      </c>
      <c r="E2748" s="2"/>
      <c r="F2748" s="2" t="str">
        <f>IFERROR(__xludf.DUMMYFUNCTION("IF(E2748&lt;&gt;"""", GOOGLETRANSLATE(E2748, ""en"", ""te""),"""")"),"")</f>
        <v/>
      </c>
      <c r="G2748" s="2"/>
      <c r="H2748" s="2" t="str">
        <f>IFERROR(__xludf.DUMMYFUNCTION("IF(G2748&lt;&gt;"""", GOOGLETRANSLATE(G2748, ""en"", ""te""),"""")"),"")</f>
        <v/>
      </c>
      <c r="I2748" s="3"/>
    </row>
    <row r="2749" customHeight="1" spans="1:9">
      <c r="A2749" s="2"/>
      <c r="B2749" s="2" t="str">
        <f>IFERROR(__xludf.DUMMYFUNCTION("IF(A2749&lt;&gt;"""", GOOGLETRANSLATE(A2749, ""en"", ""te""),"""")"),"")</f>
        <v/>
      </c>
      <c r="C2749" s="2"/>
      <c r="D2749" s="2" t="str">
        <f>IFERROR(__xludf.DUMMYFUNCTION("IF(C2749&lt;&gt;"""", GOOGLETRANSLATE(C2749, ""en"", ""te""),"""")"),"")</f>
        <v/>
      </c>
      <c r="E2749" s="2"/>
      <c r="F2749" s="2" t="str">
        <f>IFERROR(__xludf.DUMMYFUNCTION("IF(E2749&lt;&gt;"""", GOOGLETRANSLATE(E2749, ""en"", ""te""),"""")"),"")</f>
        <v/>
      </c>
      <c r="G2749" s="2"/>
      <c r="H2749" s="2" t="str">
        <f>IFERROR(__xludf.DUMMYFUNCTION("IF(G2749&lt;&gt;"""", GOOGLETRANSLATE(G2749, ""en"", ""te""),"""")"),"")</f>
        <v/>
      </c>
      <c r="I2749" s="3"/>
    </row>
    <row r="2750" customHeight="1" spans="1:9">
      <c r="A2750" s="2"/>
      <c r="B2750" s="2" t="str">
        <f>IFERROR(__xludf.DUMMYFUNCTION("IF(A2750&lt;&gt;"""", GOOGLETRANSLATE(A2750, ""en"", ""te""),"""")"),"")</f>
        <v/>
      </c>
      <c r="C2750" s="2"/>
      <c r="D2750" s="2" t="str">
        <f>IFERROR(__xludf.DUMMYFUNCTION("IF(C2750&lt;&gt;"""", GOOGLETRANSLATE(C2750, ""en"", ""te""),"""")"),"")</f>
        <v/>
      </c>
      <c r="E2750" s="2"/>
      <c r="F2750" s="2" t="str">
        <f>IFERROR(__xludf.DUMMYFUNCTION("IF(E2750&lt;&gt;"""", GOOGLETRANSLATE(E2750, ""en"", ""te""),"""")"),"")</f>
        <v/>
      </c>
      <c r="G2750" s="2"/>
      <c r="H2750" s="2" t="str">
        <f>IFERROR(__xludf.DUMMYFUNCTION("IF(G2750&lt;&gt;"""", GOOGLETRANSLATE(G2750, ""en"", ""te""),"""")"),"")</f>
        <v/>
      </c>
      <c r="I2750" s="3"/>
    </row>
    <row r="2751" customHeight="1" spans="1:9">
      <c r="A2751" s="2" t="s">
        <v>1961</v>
      </c>
      <c r="B2751" s="2" t="str">
        <f>IFERROR(__xludf.DUMMYFUNCTION("IF(A2751&lt;&gt;"""", GOOGLETRANSLATE(A2751, ""en"", ""te""),"""")"),"[ 'ఇన్నింగ్స్ లో 1 వ అత్యధిక పరుగులు (బ్యాటింగ్ స్థానంలో ప్రకారం) (258)' ఇన్నింగ్స్ లో, '1st అత్యధిక క్యాచ్లు' ఇన్నింగ్స్ (11) లో 2 వ ఎక్కువ సిక్స్ ',' హండ్రెడ్ మరియు ఒక మ్యాచ్లో తొంభై ', (5) '' 1000 పరుగులు మరియు 100 వికెట్లు ',' 1000 పరుగులు, 50 వికెట్"&amp;"లు, 50 క్యాచ్లు ',' ఆరవ వికెట్కు 1st అత్యధిక భాగస్వామ్యం (399) ',' 1 వ 99 (199, 299 etc) తీసివేసిన (99) ' '5 వ అసాధారణ వికెట్లు (అడ్డుకోవడం)', '9 వ చెత్త కెరీర్లో ఆర్థిక రేటు (6.01)', '4 వ అత్యధిక వరుస బాతులు (4)']")</f>
        <v>[ 'ఇన్నింగ్స్ లో 1 వ అత్యధిక పరుగులు (బ్యాటింగ్ స్థానంలో ప్రకారం) (258)' ఇన్నింగ్స్ లో, '1st అత్యధిక క్యాచ్లు' ఇన్నింగ్స్ (11) లో 2 వ ఎక్కువ సిక్స్ ',' హండ్రెడ్ మరియు ఒక మ్యాచ్లో తొంభై ', (5) '' 1000 పరుగులు మరియు 100 వికెట్లు ',' 1000 పరుగులు, 50 వికెట్లు, 50 క్యాచ్లు ',' ఆరవ వికెట్కు 1st అత్యధిక భాగస్వామ్యం (399) ',' 1 వ 99 (199, 299 etc) తీసివేసిన (99) ' '5 వ అసాధారణ వికెట్లు (అడ్డుకోవడం)', '9 వ చెత్త కెరీర్లో ఆర్థిక రేటు (6.01)', '4 వ అత్యధిక వరుస బాతులు (4)']</v>
      </c>
      <c r="C2751" s="2" t="s">
        <v>1962</v>
      </c>
      <c r="D2751" s="2" t="str">
        <f>IFERROR(__xludf.DUMMYFUNCTION("IF(C2751&lt;&gt;"""", GOOGLETRANSLATE(C2751, ""en"", ""te""),"""")"),"[ 'ఇన్నింగ్స్ లో 1 వ అత్యధిక పరుగులు (బ్యాటింగ్ స్థానంలో ప్రకారం) (258)', ఒక ఇన్నింగ్స్ లో '23 వ ఎత్తైన సమ్మె ఇన్నింగ్స్ లో రేటు (200.00)', '13 వ కెరీర్ లో వచ్చిన ఎక్కువ సిక్స్ (79)', '2 వ ఎక్కువ సిక్స్ ( 11) ',' ఒక మ్యాచ్లో ఇన్నింగ్స్ (5) ',' 8 వ అత్యధి"&amp;"క క్యాచ్లు లో ఒక ఇన్నింగ్స్ లో ఫోర్లు, సిక్సర్లు (186) ',' 1 వ అత్యధిక క్యాచ్లు నుండి 12 వ అత్యధిక పరుగులు (6) ',' 10th చాలా లో క్యాచ్లు సిరీస్ (12) ',' 16 వ ఏ వికెట్కు (399) ',' వికెట్ తేడాతో 6 వ అత్యధిక భాగస్వామ్యాల (6) ',' ఆరవ వికెట్కు 1st అత్యధిక భాగస"&amp;"్వామ్యం (399) ',' మోస్ట్ ప్లేయర్ ఆఫ్ 32 వ అత్యధిక భాగస్వామ్యాలు మ్యాచ్ అవార్డులు (9) ',' 44 వ అత్యంత ప్లేయర్ ఆఫ్ ది సిరీస్ అవార్డులు (3) ']")</f>
        <v>[ 'ఇన్నింగ్స్ లో 1 వ అత్యధిక పరుగులు (బ్యాటింగ్ స్థానంలో ప్రకారం) (258)', ఒక ఇన్నింగ్స్ లో '23 వ ఎత్తైన సమ్మె ఇన్నింగ్స్ లో రేటు (200.00)', '13 వ కెరీర్ లో వచ్చిన ఎక్కువ సిక్స్ (79)', '2 వ ఎక్కువ సిక్స్ ( 11) ',' ఒక మ్యాచ్లో ఇన్నింగ్స్ (5) ',' 8 వ అత్యధిక క్యాచ్లు లో ఒక ఇన్నింగ్స్ లో ఫోర్లు, సిక్సర్లు (186) ',' 1 వ అత్యధిక క్యాచ్లు నుండి 12 వ అత్యధిక పరుగులు (6) ',' 10th చాలా లో క్యాచ్లు సిరీస్ (12) ',' 16 వ ఏ వికెట్కు (399) ',' వికెట్ తేడాతో 6 వ అత్యధిక భాగస్వామ్యాల (6) ',' ఆరవ వికెట్కు 1st అత్యధిక భాగస్వామ్యం (399) ',' మోస్ట్ ప్లేయర్ ఆఫ్ 32 వ అత్యధిక భాగస్వామ్యాలు మ్యాచ్ అవార్డులు (9) ',' 44 వ అత్యంత ప్లేయర్ ఆఫ్ ది సిరీస్ అవార్డులు (3) ']</v>
      </c>
      <c r="E2751" s="2" t="s">
        <v>1963</v>
      </c>
      <c r="F2751" s="2" t="str">
        <f>IFERROR(__xludf.DUMMYFUNCTION("IF(E2751&lt;&gt;"""", GOOGLETRANSLATE(E2751, ""en"", ""te""),"""")"),"[ '99 పరుగుల 1st (మరియు 199, 299 etc) (99)', '22 వ ఇన్నింగ్స్ లో వచ్చిన ఎక్కువ సిక్స్ (10)', '5 వ అసాధారణ వికెట్లు (అడ్డుకోవడం)', '14 వ ఒక ఇన్నింగ్స్ లోని బెస్ట్ ఫిగర్స్ ఉన్నప్పుడు వైపు కోల్పోకుండా (5) ',' 9 వ చెత్త కెరీర్లో ఆర్థిక రేటు (6.01) ',' ఐదు వి"&amp;"కెట్ల లో-ఒక-ఇన్నింగ్స్ తీసుకోవాలని 40 వ పిన్న వయస్కుడిగా నిలిచాడు (22y 104d) ']")</f>
        <v>[ '99 పరుగుల 1st (మరియు 199, 299 etc) (99)', '22 వ ఇన్నింగ్స్ లో వచ్చిన ఎక్కువ సిక్స్ (10)', '5 వ అసాధారణ వికెట్లు (అడ్డుకోవడం)', '14 వ ఒక ఇన్నింగ్స్ లోని బెస్ట్ ఫిగర్స్ ఉన్నప్పుడు వైపు కోల్పోకుండా (5) ',' 9 వ చెత్త కెరీర్లో ఆర్థిక రేటు (6.01) ',' ఐదు వికెట్ల లో-ఒక-ఇన్నింగ్స్ తీసుకోవాలని 40 వ పిన్న వయస్కుడిగా నిలిచాడు (22y 104d) ']</v>
      </c>
      <c r="G2751" s="2" t="s">
        <v>933</v>
      </c>
      <c r="H2751" s="2" t="str">
        <f>IFERROR(__xludf.DUMMYFUNCTION("IF(G2751&lt;&gt;"""", GOOGLETRANSLATE(G2751, ""en"", ""te""),"""")"),"[ '15 వ ఇన్నింగ్స్ లో అత్యధిక క్యాచ్లు (3)']")</f>
        <v>[ '15 వ ఇన్నింగ్స్ లో అత్యధిక క్యాచ్లు (3)']</v>
      </c>
      <c r="I2751" s="3"/>
    </row>
    <row r="2752" customHeight="1" spans="1:9">
      <c r="A2752" s="2"/>
      <c r="B2752" s="2" t="str">
        <f>IFERROR(__xludf.DUMMYFUNCTION("IF(A2752&lt;&gt;"""", GOOGLETRANSLATE(A2752, ""en"", ""te""),"""")"),"")</f>
        <v/>
      </c>
      <c r="C2752" s="2"/>
      <c r="D2752" s="2" t="str">
        <f>IFERROR(__xludf.DUMMYFUNCTION("IF(C2752&lt;&gt;"""", GOOGLETRANSLATE(C2752, ""en"", ""te""),"""")"),"")</f>
        <v/>
      </c>
      <c r="E2752" s="2"/>
      <c r="F2752" s="2" t="str">
        <f>IFERROR(__xludf.DUMMYFUNCTION("IF(E2752&lt;&gt;"""", GOOGLETRANSLATE(E2752, ""en"", ""te""),"""")"),"")</f>
        <v/>
      </c>
      <c r="G2752" s="2" t="s">
        <v>1964</v>
      </c>
      <c r="H2752" s="2" t="str">
        <f>IFERROR(__xludf.DUMMYFUNCTION("IF(G2752&lt;&gt;"""", GOOGLETRANSLATE(G2752, ""en"", ""te""),"""")"),"[ '24 వ ఇన్నింగ్స్ లో అత్యధిక పరుగులు (బ్యాటింగ్ స్థానంలో ప్రకారం) (55 *)', 'కెరీర్లో 40 వ లేవు బాతులు (15)', 'ఆరవ వికెట్కు 26 అత్యధిక భాగస్వామ్యం (69 *)']")</f>
        <v>[ '24 వ ఇన్నింగ్స్ లో అత్యధిక పరుగులు (బ్యాటింగ్ స్థానంలో ప్రకారం) (55 *)', 'కెరీర్లో 40 వ లేవు బాతులు (15)', 'ఆరవ వికెట్కు 26 అత్యధిక భాగస్వామ్యం (69 *)']</v>
      </c>
      <c r="I2752" s="3"/>
    </row>
    <row r="2753" customHeight="1" spans="1:9">
      <c r="A2753" s="2"/>
      <c r="B2753" s="2" t="str">
        <f>IFERROR(__xludf.DUMMYFUNCTION("IF(A2753&lt;&gt;"""", GOOGLETRANSLATE(A2753, ""en"", ""te""),"""")"),"")</f>
        <v/>
      </c>
      <c r="C2753" s="2"/>
      <c r="D2753" s="2" t="str">
        <f>IFERROR(__xludf.DUMMYFUNCTION("IF(C2753&lt;&gt;"""", GOOGLETRANSLATE(C2753, ""en"", ""te""),"""")"),"")</f>
        <v/>
      </c>
      <c r="E2753" s="2"/>
      <c r="F2753" s="2" t="str">
        <f>IFERROR(__xludf.DUMMYFUNCTION("IF(E2753&lt;&gt;"""", GOOGLETRANSLATE(E2753, ""en"", ""te""),"""")"),"")</f>
        <v/>
      </c>
      <c r="G2753" s="2"/>
      <c r="H2753" s="2" t="str">
        <f>IFERROR(__xludf.DUMMYFUNCTION("IF(G2753&lt;&gt;"""", GOOGLETRANSLATE(G2753, ""en"", ""te""),"""")"),"")</f>
        <v/>
      </c>
      <c r="I2753" s="3"/>
    </row>
    <row r="2754" customHeight="1" spans="1:9">
      <c r="A2754" s="2"/>
      <c r="B2754" s="2" t="str">
        <f>IFERROR(__xludf.DUMMYFUNCTION("IF(A2754&lt;&gt;"""", GOOGLETRANSLATE(A2754, ""en"", ""te""),"""")"),"")</f>
        <v/>
      </c>
      <c r="C2754" s="2"/>
      <c r="D2754" s="2" t="str">
        <f>IFERROR(__xludf.DUMMYFUNCTION("IF(C2754&lt;&gt;"""", GOOGLETRANSLATE(C2754, ""en"", ""te""),"""")"),"")</f>
        <v/>
      </c>
      <c r="E2754" s="2"/>
      <c r="F2754" s="2" t="str">
        <f>IFERROR(__xludf.DUMMYFUNCTION("IF(E2754&lt;&gt;"""", GOOGLETRANSLATE(E2754, ""en"", ""te""),"""")"),"")</f>
        <v/>
      </c>
      <c r="G2754" s="2"/>
      <c r="H2754" s="2" t="str">
        <f>IFERROR(__xludf.DUMMYFUNCTION("IF(G2754&lt;&gt;"""", GOOGLETRANSLATE(G2754, ""en"", ""te""),"""")"),"")</f>
        <v/>
      </c>
      <c r="I2754" s="3"/>
    </row>
    <row r="2755" customHeight="1" spans="1:9">
      <c r="A2755" s="2"/>
      <c r="B2755" s="2" t="str">
        <f>IFERROR(__xludf.DUMMYFUNCTION("IF(A2755&lt;&gt;"""", GOOGLETRANSLATE(A2755, ""en"", ""te""),"""")"),"")</f>
        <v/>
      </c>
      <c r="C2755" s="2"/>
      <c r="D2755" s="2" t="str">
        <f>IFERROR(__xludf.DUMMYFUNCTION("IF(C2755&lt;&gt;"""", GOOGLETRANSLATE(C2755, ""en"", ""te""),"""")"),"")</f>
        <v/>
      </c>
      <c r="E2755" s="2"/>
      <c r="F2755" s="2" t="str">
        <f>IFERROR(__xludf.DUMMYFUNCTION("IF(E2755&lt;&gt;"""", GOOGLETRANSLATE(E2755, ""en"", ""te""),"""")"),"")</f>
        <v/>
      </c>
      <c r="G2755" s="2"/>
      <c r="H2755" s="2" t="str">
        <f>IFERROR(__xludf.DUMMYFUNCTION("IF(G2755&lt;&gt;"""", GOOGLETRANSLATE(G2755, ""en"", ""te""),"""")"),"")</f>
        <v/>
      </c>
      <c r="I2755" s="3"/>
    </row>
    <row r="2756" customHeight="1" spans="1:9">
      <c r="A2756" s="2"/>
      <c r="B2756" s="2" t="str">
        <f>IFERROR(__xludf.DUMMYFUNCTION("IF(A2756&lt;&gt;"""", GOOGLETRANSLATE(A2756, ""en"", ""te""),"""")"),"")</f>
        <v/>
      </c>
      <c r="C2756" s="2"/>
      <c r="D2756" s="2" t="str">
        <f>IFERROR(__xludf.DUMMYFUNCTION("IF(C2756&lt;&gt;"""", GOOGLETRANSLATE(C2756, ""en"", ""te""),"""")"),"")</f>
        <v/>
      </c>
      <c r="E2756" s="2"/>
      <c r="F2756" s="2" t="str">
        <f>IFERROR(__xludf.DUMMYFUNCTION("IF(E2756&lt;&gt;"""", GOOGLETRANSLATE(E2756, ""en"", ""te""),"""")"),"")</f>
        <v/>
      </c>
      <c r="G2756" s="2"/>
      <c r="H2756" s="2" t="str">
        <f>IFERROR(__xludf.DUMMYFUNCTION("IF(G2756&lt;&gt;"""", GOOGLETRANSLATE(G2756, ""en"", ""te""),"""")"),"")</f>
        <v/>
      </c>
      <c r="I2756" s="3"/>
    </row>
    <row r="2757" customHeight="1" spans="1:9">
      <c r="A2757" s="2"/>
      <c r="B2757" s="2" t="str">
        <f>IFERROR(__xludf.DUMMYFUNCTION("IF(A2757&lt;&gt;"""", GOOGLETRANSLATE(A2757, ""en"", ""te""),"""")"),"")</f>
        <v/>
      </c>
      <c r="C2757" s="2"/>
      <c r="D2757" s="2" t="str">
        <f>IFERROR(__xludf.DUMMYFUNCTION("IF(C2757&lt;&gt;"""", GOOGLETRANSLATE(C2757, ""en"", ""te""),"""")"),"")</f>
        <v/>
      </c>
      <c r="E2757" s="2"/>
      <c r="F2757" s="2" t="str">
        <f>IFERROR(__xludf.DUMMYFUNCTION("IF(E2757&lt;&gt;"""", GOOGLETRANSLATE(E2757, ""en"", ""te""),"""")"),"")</f>
        <v/>
      </c>
      <c r="G2757" s="2"/>
      <c r="H2757" s="2" t="str">
        <f>IFERROR(__xludf.DUMMYFUNCTION("IF(G2757&lt;&gt;"""", GOOGLETRANSLATE(G2757, ""en"", ""te""),"""")"),"")</f>
        <v/>
      </c>
      <c r="I2757" s="3"/>
    </row>
    <row r="2758" customHeight="1" spans="1:9">
      <c r="A2758" s="2"/>
      <c r="B2758" s="2" t="str">
        <f>IFERROR(__xludf.DUMMYFUNCTION("IF(A2758&lt;&gt;"""", GOOGLETRANSLATE(A2758, ""en"", ""te""),"""")"),"")</f>
        <v/>
      </c>
      <c r="C2758" s="2"/>
      <c r="D2758" s="2" t="str">
        <f>IFERROR(__xludf.DUMMYFUNCTION("IF(C2758&lt;&gt;"""", GOOGLETRANSLATE(C2758, ""en"", ""te""),"""")"),"")</f>
        <v/>
      </c>
      <c r="E2758" s="2"/>
      <c r="F2758" s="2" t="str">
        <f>IFERROR(__xludf.DUMMYFUNCTION("IF(E2758&lt;&gt;"""", GOOGLETRANSLATE(E2758, ""en"", ""te""),"""")"),"")</f>
        <v/>
      </c>
      <c r="G2758" s="2"/>
      <c r="H2758" s="2" t="str">
        <f>IFERROR(__xludf.DUMMYFUNCTION("IF(G2758&lt;&gt;"""", GOOGLETRANSLATE(G2758, ""en"", ""te""),"""")"),"")</f>
        <v/>
      </c>
      <c r="I2758" s="3"/>
    </row>
    <row r="2759" customHeight="1" spans="1:9">
      <c r="A2759" s="2"/>
      <c r="B2759" s="2" t="str">
        <f>IFERROR(__xludf.DUMMYFUNCTION("IF(A2759&lt;&gt;"""", GOOGLETRANSLATE(A2759, ""en"", ""te""),"""")"),"")</f>
        <v/>
      </c>
      <c r="C2759" s="2"/>
      <c r="D2759" s="2" t="str">
        <f>IFERROR(__xludf.DUMMYFUNCTION("IF(C2759&lt;&gt;"""", GOOGLETRANSLATE(C2759, ""en"", ""te""),"""")"),"")</f>
        <v/>
      </c>
      <c r="E2759" s="2"/>
      <c r="F2759" s="2" t="str">
        <f>IFERROR(__xludf.DUMMYFUNCTION("IF(E2759&lt;&gt;"""", GOOGLETRANSLATE(E2759, ""en"", ""te""),"""")"),"")</f>
        <v/>
      </c>
      <c r="G2759" s="2"/>
      <c r="H2759" s="2" t="str">
        <f>IFERROR(__xludf.DUMMYFUNCTION("IF(G2759&lt;&gt;"""", GOOGLETRANSLATE(G2759, ""en"", ""te""),"""")"),"")</f>
        <v/>
      </c>
      <c r="I2759" s="3"/>
    </row>
    <row r="2760" customHeight="1" spans="1:9">
      <c r="A2760" s="2" t="s">
        <v>1965</v>
      </c>
      <c r="B2760" s="2" t="str">
        <f>IFERROR(__xludf.DUMMYFUNCTION("IF(A2760&lt;&gt;"""", GOOGLETRANSLATE(A2760, ""en"", ""te""),"""")"),"[ '10 వ అత్యుత్తమ ఇన్నింగ్స్ (2/2) విశ్లేషణలలో బౌలింగ్']")</f>
        <v>[ '10 వ అత్యుత్తమ ఇన్నింగ్స్ (2/2) విశ్లేషణలలో బౌలింగ్']</v>
      </c>
      <c r="C2760" s="2" t="s">
        <v>1966</v>
      </c>
      <c r="D2760" s="2" t="str">
        <f>IFERROR(__xludf.DUMMYFUNCTION("IF(C2760&lt;&gt;"""", GOOGLETRANSLATE(C2760, ""en"", ""te""),"""")"),"[ '24 వ ఉత్తమ ఇన్నింగ్స్ లో సమ్మె రేటు (18.0)', 'ఇన్నింగ్స్ లో 13 వ చెత్త సమ్మె రేటు (234.0)', '17 వ ఇన్నింగ్స్ (102) లో సాధించిన అత్యధిక పరుగులు']")</f>
        <v>[ '24 వ ఉత్తమ ఇన్నింగ్స్ లో సమ్మె రేటు (18.0)', 'ఇన్నింగ్స్ లో 13 వ చెత్త సమ్మె రేటు (234.0)', '17 వ ఇన్నింగ్స్ (102) లో సాధించిన అత్యధిక పరుగులు']</v>
      </c>
      <c r="E2760" s="2" t="s">
        <v>1965</v>
      </c>
      <c r="F2760" s="2" t="str">
        <f>IFERROR(__xludf.DUMMYFUNCTION("IF(E2760&lt;&gt;"""", GOOGLETRANSLATE(E2760, ""en"", ""te""),"""")"),"[ '10 వ అత్యుత్తమ ఇన్నింగ్స్ (2/2) విశ్లేషణలలో బౌలింగ్']")</f>
        <v>[ '10 వ అత్యుత్తమ ఇన్నింగ్స్ (2/2) విశ్లేషణలలో బౌలింగ్']</v>
      </c>
      <c r="G2760" s="2"/>
      <c r="H2760" s="2" t="str">
        <f>IFERROR(__xludf.DUMMYFUNCTION("IF(G2760&lt;&gt;"""", GOOGLETRANSLATE(G2760, ""en"", ""te""),"""")"),"")</f>
        <v/>
      </c>
      <c r="I2760" s="3"/>
    </row>
    <row r="2761" customHeight="1" spans="1:9">
      <c r="A2761" s="2"/>
      <c r="B2761" s="2" t="str">
        <f>IFERROR(__xludf.DUMMYFUNCTION("IF(A2761&lt;&gt;"""", GOOGLETRANSLATE(A2761, ""en"", ""te""),"""")"),"")</f>
        <v/>
      </c>
      <c r="C2761" s="2" t="s">
        <v>1535</v>
      </c>
      <c r="D2761" s="2" t="str">
        <f>IFERROR(__xludf.DUMMYFUNCTION("IF(C2761&lt;&gt;"""", GOOGLETRANSLATE(C2761, ""en"", ""te""),"""")"),"[ '46 వ ఉత్తమ కెరీర్ బౌలింగ్ సరాసరి (అర్హత లేకుండా) (13.00)']")</f>
        <v>[ '46 వ ఉత్తమ కెరీర్ బౌలింగ్ సరాసరి (అర్హత లేకుండా) (13.00)']</v>
      </c>
      <c r="E2761" s="2" t="s">
        <v>1967</v>
      </c>
      <c r="F2761" s="2" t="str">
        <f>IFERROR(__xludf.DUMMYFUNCTION("IF(E2761&lt;&gt;"""", GOOGLETRANSLATE(E2761, ""en"", ""te""),"""")"),"[ '45 వ ఉత్తమ కెరీర్ బౌలింగ్ సరాసరి (అర్హత లేకుండా) (14.00)']")</f>
        <v>[ '45 వ ఉత్తమ కెరీర్ బౌలింగ్ సరాసరి (అర్హత లేకుండా) (14.00)']</v>
      </c>
      <c r="G2761" s="2"/>
      <c r="H2761" s="2" t="str">
        <f>IFERROR(__xludf.DUMMYFUNCTION("IF(G2761&lt;&gt;"""", GOOGLETRANSLATE(G2761, ""en"", ""te""),"""")"),"")</f>
        <v/>
      </c>
      <c r="I2761" s="3"/>
    </row>
    <row r="2762" customHeight="1" spans="1:9">
      <c r="A2762" s="2"/>
      <c r="B2762" s="2" t="str">
        <f>IFERROR(__xludf.DUMMYFUNCTION("IF(A2762&lt;&gt;"""", GOOGLETRANSLATE(A2762, ""en"", ""te""),"""")"),"")</f>
        <v/>
      </c>
      <c r="C2762" s="2"/>
      <c r="D2762" s="2" t="str">
        <f>IFERROR(__xludf.DUMMYFUNCTION("IF(C2762&lt;&gt;"""", GOOGLETRANSLATE(C2762, ""en"", ""te""),"""")"),"")</f>
        <v/>
      </c>
      <c r="E2762" s="2"/>
      <c r="F2762" s="2" t="str">
        <f>IFERROR(__xludf.DUMMYFUNCTION("IF(E2762&lt;&gt;"""", GOOGLETRANSLATE(E2762, ""en"", ""te""),"""")"),"")</f>
        <v/>
      </c>
      <c r="G2762" s="2"/>
      <c r="H2762" s="2" t="str">
        <f>IFERROR(__xludf.DUMMYFUNCTION("IF(G2762&lt;&gt;"""", GOOGLETRANSLATE(G2762, ""en"", ""te""),"""")"),"")</f>
        <v/>
      </c>
      <c r="I2762" s="3"/>
    </row>
    <row r="2763" customHeight="1" spans="1:9">
      <c r="A2763" s="2"/>
      <c r="B2763" s="2" t="str">
        <f>IFERROR(__xludf.DUMMYFUNCTION("IF(A2763&lt;&gt;"""", GOOGLETRANSLATE(A2763, ""en"", ""te""),"""")"),"")</f>
        <v/>
      </c>
      <c r="C2763" s="2"/>
      <c r="D2763" s="2" t="str">
        <f>IFERROR(__xludf.DUMMYFUNCTION("IF(C2763&lt;&gt;"""", GOOGLETRANSLATE(C2763, ""en"", ""te""),"""")"),"")</f>
        <v/>
      </c>
      <c r="E2763" s="2"/>
      <c r="F2763" s="2" t="str">
        <f>IFERROR(__xludf.DUMMYFUNCTION("IF(E2763&lt;&gt;"""", GOOGLETRANSLATE(E2763, ""en"", ""te""),"""")"),"")</f>
        <v/>
      </c>
      <c r="G2763" s="2"/>
      <c r="H2763" s="2" t="str">
        <f>IFERROR(__xludf.DUMMYFUNCTION("IF(G2763&lt;&gt;"""", GOOGLETRANSLATE(G2763, ""en"", ""te""),"""")"),"")</f>
        <v/>
      </c>
      <c r="I2763" s="3"/>
    </row>
    <row r="2764" customHeight="1" spans="1:9">
      <c r="A2764" s="2"/>
      <c r="B2764" s="2" t="str">
        <f>IFERROR(__xludf.DUMMYFUNCTION("IF(A2764&lt;&gt;"""", GOOGLETRANSLATE(A2764, ""en"", ""te""),"""")"),"")</f>
        <v/>
      </c>
      <c r="C2764" s="2"/>
      <c r="D2764" s="2" t="str">
        <f>IFERROR(__xludf.DUMMYFUNCTION("IF(C2764&lt;&gt;"""", GOOGLETRANSLATE(C2764, ""en"", ""te""),"""")"),"")</f>
        <v/>
      </c>
      <c r="E2764" s="2"/>
      <c r="F2764" s="2" t="str">
        <f>IFERROR(__xludf.DUMMYFUNCTION("IF(E2764&lt;&gt;"""", GOOGLETRANSLATE(E2764, ""en"", ""te""),"""")"),"")</f>
        <v/>
      </c>
      <c r="G2764" s="2"/>
      <c r="H2764" s="2" t="str">
        <f>IFERROR(__xludf.DUMMYFUNCTION("IF(G2764&lt;&gt;"""", GOOGLETRANSLATE(G2764, ""en"", ""te""),"""")"),"")</f>
        <v/>
      </c>
      <c r="I2764" s="3"/>
    </row>
    <row r="2765" customHeight="1" spans="1:9">
      <c r="A2765" s="2" t="s">
        <v>1968</v>
      </c>
      <c r="B2765" s="2" t="str">
        <f>IFERROR(__xludf.DUMMYFUNCTION("IF(A2765&lt;&gt;"""", GOOGLETRANSLATE(A2765, ""en"", ""te""),"""")"),"[ 'ఇన్నింగ్స్ లో 3 వ అత్యధిక క్యాచ్లు ప్రత్యామ్నాయంగా (3)' '10 వ ఓల్డెస్ట్ క్రీడాకారులు (46y 202d)',]")</f>
        <v>[ 'ఇన్నింగ్స్ లో 3 వ అత్యధిక క్యాచ్లు ప్రత్యామ్నాయంగా (3)' '10 వ ఓల్డెస్ట్ క్రీడాకారులు (46y 202d)',]</v>
      </c>
      <c r="C2765" s="2" t="s">
        <v>1969</v>
      </c>
      <c r="D2765" s="2" t="str">
        <f>IFERROR(__xludf.DUMMYFUNCTION("IF(C2765&lt;&gt;"""", GOOGLETRANSLATE(C2765, ""en"", ""te""),"""")"),"[ 'ఇన్నింగ్స్ (3) లో ఒక ప్రత్యామ్నాయంగా 3 వ అత్యధిక క్యాచ్లు' 'ఒక ఆటలో బదులు 6 వ అత్యధిక క్యాచ్లు (3)', ఒక సిరీస్లో '10 వ ఓల్డెస్ట్ క్రీడాకారులు (46y 202d)', '37 వ అత్యధిక వికెట్లు (21 ) ',' 37 వ కెరీర్ స్టంపింగ్లు (12) ',' 12 వ మ్యాచ్ లో అత్యంత స్టంపింగ్"&amp;"లు (3) ',' 12 వ ఒక సిరీస్లో అత్యధిక స్టంపింగ్లు (6) ']")</f>
        <v>[ 'ఇన్నింగ్స్ (3) లో ఒక ప్రత్యామ్నాయంగా 3 వ అత్యధిక క్యాచ్లు' 'ఒక ఆటలో బదులు 6 వ అత్యధిక క్యాచ్లు (3)', ఒక సిరీస్లో '10 వ ఓల్డెస్ట్ క్రీడాకారులు (46y 202d)', '37 వ అత్యధిక వికెట్లు (21 ) ',' 37 వ కెరీర్ స్టంపింగ్లు (12) ',' 12 వ మ్యాచ్ లో అత్యంత స్టంపింగ్లు (3) ',' 12 వ ఒక సిరీస్లో అత్యధిక స్టంపింగ్లు (6) ']</v>
      </c>
      <c r="E2765" s="2"/>
      <c r="F2765" s="2" t="str">
        <f>IFERROR(__xludf.DUMMYFUNCTION("IF(E2765&lt;&gt;"""", GOOGLETRANSLATE(E2765, ""en"", ""te""),"""")"),"")</f>
        <v/>
      </c>
      <c r="G2765" s="2"/>
      <c r="H2765" s="2" t="str">
        <f>IFERROR(__xludf.DUMMYFUNCTION("IF(G2765&lt;&gt;"""", GOOGLETRANSLATE(G2765, ""en"", ""te""),"""")"),"")</f>
        <v/>
      </c>
      <c r="I2765" s="3"/>
    </row>
    <row r="2766" customHeight="1" spans="1:9">
      <c r="A2766" s="2" t="s">
        <v>1970</v>
      </c>
      <c r="B2766" s="2" t="str">
        <f>IFERROR(__xludf.DUMMYFUNCTION("IF(A2766&lt;&gt;"""", GOOGLETRANSLATE(A2766, ""en"", ""te""),"""")"),"[ '1st ఇన్నింగ్స్ లో అత్యధిక పరుగులు (బ్యాటింగ్ స్థానంలో ప్రకారం) (129)', '5 వ ఒక క్యాలెండర్ సంవత్సరంలో అత్యధిక వందలు (2)', '1 వ అత్యుత్తమ బౌలింగ్ ఇన్నింగ్స్ లో విశ్లేషించడం (1/0)', ​​'250 పరుగులు మరియు ఒక సిరీస్లో 10 వికెట్లు ',' ఏడవ వికెట్కు 2 వ అత్యధిక"&amp;" భాగస్వామ్యం (104) ',' 10 వ ఇన్నింగ్స్ లో అత్యధిక పరుగులు (బ్యాటింగ్ స్థానంలో ప్రకారం) (82) ',' ఇన్నింగ్స్ లో 3 వ అత్యధిక క్యాచ్లు (3) ',' మూడో వికెట్కు 2 వ అత్యధిక భాగస్వామ్యం (169 *) ']")</f>
        <v>[ '1st ఇన్నింగ్స్ లో అత్యధిక పరుగులు (బ్యాటింగ్ స్థానంలో ప్రకారం) (129)', '5 వ ఒక క్యాలెండర్ సంవత్సరంలో అత్యధిక వందలు (2)', '1 వ అత్యుత్తమ బౌలింగ్ ఇన్నింగ్స్ లో విశ్లేషించడం (1/0)', ​​'250 పరుగులు మరియు ఒక సిరీస్లో 10 వికెట్లు ',' ఏడవ వికెట్కు 2 వ అత్యధిక భాగస్వామ్యం (104) ',' 10 వ ఇన్నింగ్స్ లో అత్యధిక పరుగులు (బ్యాటింగ్ స్థానంలో ప్రకారం) (82) ',' ఇన్నింగ్స్ లో 3 వ అత్యధిక క్యాచ్లు (3) ',' మూడో వికెట్కు 2 వ అత్యధిక భాగస్వామ్యం (169 *) ']</v>
      </c>
      <c r="C2766" s="2" t="s">
        <v>1971</v>
      </c>
      <c r="D2766" s="2" t="str">
        <f>IFERROR(__xludf.DUMMYFUNCTION("IF(C2766&lt;&gt;"""", GOOGLETRANSLATE(C2766, ""en"", ""te""),"""")"),"[ '12 వ చెత్త కెరీర్ బౌలింగ్ సరాసరి (అర్హత లేకుండా) (87.00)']")</f>
        <v>[ '12 వ చెత్త కెరీర్ బౌలింగ్ సరాసరి (అర్హత లేకుండా) (87.00)']</v>
      </c>
      <c r="E2766" s="2" t="s">
        <v>1972</v>
      </c>
      <c r="F2766" s="2" t="str">
        <f>IFERROR(__xludf.DUMMYFUNCTION("IF(E2766&lt;&gt;"""", GOOGLETRANSLATE(E2766, ""en"", ""te""),"""")"),"[ '43 వ అత్యధిక కెరీర్ లో పరుగులు (1981)', '38 వ ఇన్నింగ్స్ లో అత్యధిక పరుగులు (137)', 'వరుస 28 వ అత్యధిక పరుగులు (575)', '1 వ ఇన్నింగ్స్ లో అత్యధిక పరుగులు (బ్యాటింగ్ స్థానంలో ప్రకారం) (129 ) ',' ఒకే మైదానంలో 47 వ అత్యధిక పరుగులు (286) ',' 23 వ అత్యధిక "&amp;"కెరీర్ బ్యాటింగ్ సగటు (39.62) ',' 19 వ అత్యధిక వందలు ఒక వృత్తిలో (3) ',' 6 వ అత్యధిక వందలు వరుస (2 లో) ' 'ఒక క్యాలెండర్ సంవత్సరంలో 5 వ అత్యధిక వందలు (2)', '12 వ అత్యధిక తొలి వంద (137)', '29th కెరీర్ అర్ధ (17)' '11 వ ఒక జట్టు (2) వ్యతిరేకంగా అత్యధిక వందలు'"&amp;", '38 వ అతి తక్కువ కెరీర్లో బాతులు (20.33) ',' ఒక ఇన్నింగ్స్లో పరుగుల 33 వ అత్యధిక శాతం (52.79) ',' 1 వ అత్యుత్తమ బౌలింగ్ ఇన్నింగ్స్ లో విశ్లేషించడం (1/0) ',' 23 వ చెత్త కెరీర్లో ఆర్థిక రేటు (4.36) ',' వరుస (8) ',' వికెట్ తేడాతో 7 వ అత్యధిక భాగస్వామ్యాల ("&amp;"7) ',' ఐదవ వికెట్కు 3 వ అత్యధిక భాగస్వామ్యం (146 *) ',' 46 వ అత్యధిక కెరీర్ లో 42 వ అత్యధిక క్యాచ్లు (29) ',' 20 వ అత్యధిక క్యాచ్లు ఆరవ వికెట్కు భాగస్వామ్యం (65 *) ',' ఏడవ వికెట్కు 2 వ అత్యధిక భాగస్వామ్యం (104) ',' 9 వ అత్యధిక భాగస్వాములు పదవ వికెట్కు హిప"&amp;"్ (42) ',' బృందం (41) కోసం 38 వ వరుస మ్యాచ్లు ']")</f>
        <v>[ '43 వ అత్యధిక కెరీర్ లో పరుగులు (1981)', '38 వ ఇన్నింగ్స్ లో అత్యధిక పరుగులు (137)', 'వరుస 28 వ అత్యధిక పరుగులు (575)', '1 వ ఇన్నింగ్స్ లో అత్యధిక పరుగులు (బ్యాటింగ్ స్థానంలో ప్రకారం) (129 ) ',' ఒకే మైదానంలో 47 వ అత్యధిక పరుగులు (286) ',' 23 వ అత్యధిక కెరీర్ బ్యాటింగ్ సగటు (39.62) ',' 19 వ అత్యధిక వందలు ఒక వృత్తిలో (3) ',' 6 వ అత్యధిక వందలు వరుస (2 లో) ' 'ఒక క్యాలెండర్ సంవత్సరంలో 5 వ అత్యధిక వందలు (2)', '12 వ అత్యధిక తొలి వంద (137)', '29th కెరీర్ అర్ధ (17)' '11 వ ఒక జట్టు (2) వ్యతిరేకంగా అత్యధిక వందలు', '38 వ అతి తక్కువ కెరీర్లో బాతులు (20.33) ',' ఒక ఇన్నింగ్స్లో పరుగుల 33 వ అత్యధిక శాతం (52.79) ',' 1 వ అత్యుత్తమ బౌలింగ్ ఇన్నింగ్స్ లో విశ్లేషించడం (1/0) ',' 23 వ చెత్త కెరీర్లో ఆర్థిక రేటు (4.36) ',' వరుస (8) ',' వికెట్ తేడాతో 7 వ అత్యధిక భాగస్వామ్యాల (7) ',' ఐదవ వికెట్కు 3 వ అత్యధిక భాగస్వామ్యం (146 *) ',' 46 వ అత్యధిక కెరీర్ లో 42 వ అత్యధిక క్యాచ్లు (29) ',' 20 వ అత్యధిక క్యాచ్లు ఆరవ వికెట్కు భాగస్వామ్యం (65 *) ',' ఏడవ వికెట్కు 2 వ అత్యధిక భాగస్వామ్యం (104) ',' 9 వ అత్యధిక భాగస్వాములు పదవ వికెట్కు హిప్ (42) ',' బృందం (41) కోసం 38 వ వరుస మ్యాచ్లు ']</v>
      </c>
      <c r="G2766" s="2" t="s">
        <v>1973</v>
      </c>
      <c r="H2766" s="2" t="str">
        <f>IFERROR(__xludf.DUMMYFUNCTION("IF(G2766&lt;&gt;"""", GOOGLETRANSLATE(G2766, ""en"", ""te""),"""")"),"[ '20 వ కెరీర్ లో అత్యధిక పరుగులు (1570)', '30th ఒక క్యాలెండర్ సంవత్సరంలో అత్యధిక పరుగులు (406)', 'ఇన్నింగ్స్ లో 10 వ అత్యధిక పరుగులు (బ్యాటింగ్ స్థానంలో ప్రకారం) (82)', '24 వ అత్యధిక కెరీర్ బ్యాటింగ్ సగటు (25.32 ) ',' 16 వ అర్ధ కెరీర్లో (9) ',' 13 వ అత్య"&amp;"ంత ఇన్నింగ్స్ తొలి డక్ ముందు (23) ',' 25 వ అతి తక్కువ బాతులు కెరీర్ లో (20) ',' 18 వ అత్యధిక వికెట్లు కెరీర్లో (67) ',' 26 ఒక ఇన్నింగ్స్ లో అత్యుత్తమ బౌలింగ్ విశ్లేషణలు (3/4) ',' 36 వ ఉత్తమ కెరీర్ సగటు (19.02) ',' 18 వ ఉత్తమ కెరీర్ సమ్మె రేటు బౌలింగ్ (17."&amp;"9) ',' 15 వ చెత్త కెరీర్లో ఆర్థిక రేటు (6.37) ',' 13 వ అత్యంత నాలుగు -wickets-ఇన్-ఒక-ఇన్నింగ్స్ కెరీర్లో (2) ',' 26th కెరీర్లో బౌల్డ్ చాలా బంతుల్లో (1200) ',' 19 వ కెరీర్ లో సాధించిన అత్యధిక పరుగులు (1275) ',' 27 వ అత్యధిక వికెట్లు తీసుకున్న బౌల్డ్ (14) '"&amp;" , '20 వ అత్యంత క్యాచ్ మరియు బౌల్డ్ (3) వికెట్లను తీసుకున్నారో' '16 వ అత్యధిక వికెట్లు ఆకర్షించింది (42) తీసుకున్న', '25 వ అత్యధిక వికెట్లు స్టంప్ (7) తీసుకున్న' '13 వ అత్యధిక వికెట్లు ఒక ఫీల్డర్ చేత క్యాచ్ (39) తీసుకున్న', 'కెరీర్ లో 5 వ అత్యధిక క్యాచ్లు"&amp;" (40)', 'ఏ వికెట్కు (169 *) 9 వ అత్యధిక భాగస్వామ్యాలు' 'ఇన్నింగ్స్ లో 3 వ అత్యధిక క్యాచ్లు (3)', 'మూడో వికెట్కు (169 *) కోసం 2 వ అత్యధిక భాగస్వామ్యం', 'ఐదవ వికెట్కు 18 అత్యధిక భాగస్వామ్యం (66)', '33 వ కెరీర్ లో అత్యధిక మ్యాచ్లు (83)', 'ఒక జట్టుకు 30 వ వరు"&amp;"స మ్యాచ్లు (39)' ]")</f>
        <v>[ '20 వ కెరీర్ లో అత్యధిక పరుగులు (1570)', '30th ఒక క్యాలెండర్ సంవత్సరంలో అత్యధిక పరుగులు (406)', 'ఇన్నింగ్స్ లో 10 వ అత్యధిక పరుగులు (బ్యాటింగ్ స్థానంలో ప్రకారం) (82)', '24 వ అత్యధిక కెరీర్ బ్యాటింగ్ సగటు (25.32 ) ',' 16 వ అర్ధ కెరీర్లో (9) ',' 13 వ అత్యంత ఇన్నింగ్స్ తొలి డక్ ముందు (23) ',' 25 వ అతి తక్కువ బాతులు కెరీర్ లో (20) ',' 18 వ అత్యధిక వికెట్లు కెరీర్లో (67) ',' 26 ఒక ఇన్నింగ్స్ లో అత్యుత్తమ బౌలింగ్ విశ్లేషణలు (3/4) ',' 36 వ ఉత్తమ కెరీర్ సగటు (19.02) ',' 18 వ ఉత్తమ కెరీర్ సమ్మె రేటు బౌలింగ్ (17.9) ',' 15 వ చెత్త కెరీర్లో ఆర్థిక రేటు (6.37) ',' 13 వ అత్యంత నాలుగు -wickets-ఇన్-ఒక-ఇన్నింగ్స్ కెరీర్లో (2) ',' 26th కెరీర్లో బౌల్డ్ చాలా బంతుల్లో (1200) ',' 19 వ కెరీర్ లో సాధించిన అత్యధిక పరుగులు (1275) ',' 27 వ అత్యధిక వికెట్లు తీసుకున్న బౌల్డ్ (14) ' , '20 వ అత్యంత క్యాచ్ మరియు బౌల్డ్ (3) వికెట్లను తీసుకున్నారో' '16 వ అత్యధిక వికెట్లు ఆకర్షించింది (42) తీసుకున్న', '25 వ అత్యధిక వికెట్లు స్టంప్ (7) తీసుకున్న' '13 వ అత్యధిక వికెట్లు ఒక ఫీల్డర్ చేత క్యాచ్ (39) తీసుకున్న', 'కెరీర్ లో 5 వ అత్యధిక క్యాచ్లు (40)', 'ఏ వికెట్కు (169 *) 9 వ అత్యధిక భాగస్వామ్యాలు' 'ఇన్నింగ్స్ లో 3 వ అత్యధిక క్యాచ్లు (3)', 'మూడో వికెట్కు (169 *) కోసం 2 వ అత్యధిక భాగస్వామ్యం', 'ఐదవ వికెట్కు 18 అత్యధిక భాగస్వామ్యం (66)', '33 వ కెరీర్ లో అత్యధిక మ్యాచ్లు (83)', 'ఒక జట్టుకు 30 వ వరుస మ్యాచ్లు (39)' ]</v>
      </c>
      <c r="I2766" s="3"/>
    </row>
    <row r="2767" customHeight="1" spans="1:9">
      <c r="A2767" s="2"/>
      <c r="B2767" s="2" t="str">
        <f>IFERROR(__xludf.DUMMYFUNCTION("IF(A2767&lt;&gt;"""", GOOGLETRANSLATE(A2767, ""en"", ""te""),"""")"),"")</f>
        <v/>
      </c>
      <c r="C2767" s="2"/>
      <c r="D2767" s="2" t="str">
        <f>IFERROR(__xludf.DUMMYFUNCTION("IF(C2767&lt;&gt;"""", GOOGLETRANSLATE(C2767, ""en"", ""te""),"""")"),"")</f>
        <v/>
      </c>
      <c r="E2767" s="2"/>
      <c r="F2767" s="2" t="str">
        <f>IFERROR(__xludf.DUMMYFUNCTION("IF(E2767&lt;&gt;"""", GOOGLETRANSLATE(E2767, ""en"", ""te""),"""")"),"")</f>
        <v/>
      </c>
      <c r="G2767" s="2"/>
      <c r="H2767" s="2" t="str">
        <f>IFERROR(__xludf.DUMMYFUNCTION("IF(G2767&lt;&gt;"""", GOOGLETRANSLATE(G2767, ""en"", ""te""),"""")"),"")</f>
        <v/>
      </c>
      <c r="I2767" s="3"/>
    </row>
    <row r="2768" customHeight="1" spans="1:9">
      <c r="A2768" s="2"/>
      <c r="B2768" s="2" t="str">
        <f>IFERROR(__xludf.DUMMYFUNCTION("IF(A2768&lt;&gt;"""", GOOGLETRANSLATE(A2768, ""en"", ""te""),"""")"),"")</f>
        <v/>
      </c>
      <c r="C2768" s="2"/>
      <c r="D2768" s="2" t="str">
        <f>IFERROR(__xludf.DUMMYFUNCTION("IF(C2768&lt;&gt;"""", GOOGLETRANSLATE(C2768, ""en"", ""te""),"""")"),"")</f>
        <v/>
      </c>
      <c r="E2768" s="2"/>
      <c r="F2768" s="2" t="str">
        <f>IFERROR(__xludf.DUMMYFUNCTION("IF(E2768&lt;&gt;"""", GOOGLETRANSLATE(E2768, ""en"", ""te""),"""")"),"")</f>
        <v/>
      </c>
      <c r="G2768" s="2"/>
      <c r="H2768" s="2" t="str">
        <f>IFERROR(__xludf.DUMMYFUNCTION("IF(G2768&lt;&gt;"""", GOOGLETRANSLATE(G2768, ""en"", ""te""),"""")"),"")</f>
        <v/>
      </c>
      <c r="I2768" s="3"/>
    </row>
    <row r="2769" customHeight="1" spans="1:9">
      <c r="A2769" s="2"/>
      <c r="B2769" s="2" t="str">
        <f>IFERROR(__xludf.DUMMYFUNCTION("IF(A2769&lt;&gt;"""", GOOGLETRANSLATE(A2769, ""en"", ""te""),"""")"),"")</f>
        <v/>
      </c>
      <c r="C2769" s="2"/>
      <c r="D2769" s="2" t="str">
        <f>IFERROR(__xludf.DUMMYFUNCTION("IF(C2769&lt;&gt;"""", GOOGLETRANSLATE(C2769, ""en"", ""te""),"""")"),"")</f>
        <v/>
      </c>
      <c r="E2769" s="2"/>
      <c r="F2769" s="2" t="str">
        <f>IFERROR(__xludf.DUMMYFUNCTION("IF(E2769&lt;&gt;"""", GOOGLETRANSLATE(E2769, ""en"", ""te""),"""")"),"")</f>
        <v/>
      </c>
      <c r="G2769" s="2"/>
      <c r="H2769" s="2" t="str">
        <f>IFERROR(__xludf.DUMMYFUNCTION("IF(G2769&lt;&gt;"""", GOOGLETRANSLATE(G2769, ""en"", ""te""),"""")"),"")</f>
        <v/>
      </c>
      <c r="I2769" s="3"/>
    </row>
    <row r="2770" customHeight="1" spans="1:9">
      <c r="A2770" s="2"/>
      <c r="B2770" s="2" t="str">
        <f>IFERROR(__xludf.DUMMYFUNCTION("IF(A2770&lt;&gt;"""", GOOGLETRANSLATE(A2770, ""en"", ""te""),"""")"),"")</f>
        <v/>
      </c>
      <c r="C2770" s="2"/>
      <c r="D2770" s="2" t="str">
        <f>IFERROR(__xludf.DUMMYFUNCTION("IF(C2770&lt;&gt;"""", GOOGLETRANSLATE(C2770, ""en"", ""te""),"""")"),"")</f>
        <v/>
      </c>
      <c r="E2770" s="2"/>
      <c r="F2770" s="2" t="str">
        <f>IFERROR(__xludf.DUMMYFUNCTION("IF(E2770&lt;&gt;"""", GOOGLETRANSLATE(E2770, ""en"", ""te""),"""")"),"")</f>
        <v/>
      </c>
      <c r="G2770" s="2" t="s">
        <v>1974</v>
      </c>
      <c r="H2770" s="2" t="str">
        <f>IFERROR(__xludf.DUMMYFUNCTION("IF(G2770&lt;&gt;"""", GOOGLETRANSLATE(G2770, ""en"", ""te""),"""")"),"[ '48 వ పురాతన దేశం ఆటగాళ్ళు (47y 322d)']")</f>
        <v>[ '48 వ పురాతన దేశం ఆటగాళ్ళు (47y 322d)']</v>
      </c>
      <c r="I2770" s="3"/>
    </row>
    <row r="2771" customHeight="1" spans="1:9">
      <c r="A2771" s="2"/>
      <c r="B2771" s="2" t="str">
        <f>IFERROR(__xludf.DUMMYFUNCTION("IF(A2771&lt;&gt;"""", GOOGLETRANSLATE(A2771, ""en"", ""te""),"""")"),"")</f>
        <v/>
      </c>
      <c r="C2771" s="2"/>
      <c r="D2771" s="2" t="str">
        <f>IFERROR(__xludf.DUMMYFUNCTION("IF(C2771&lt;&gt;"""", GOOGLETRANSLATE(C2771, ""en"", ""te""),"""")"),"")</f>
        <v/>
      </c>
      <c r="E2771" s="2"/>
      <c r="F2771" s="2" t="str">
        <f>IFERROR(__xludf.DUMMYFUNCTION("IF(E2771&lt;&gt;"""", GOOGLETRANSLATE(E2771, ""en"", ""te""),"""")"),"")</f>
        <v/>
      </c>
      <c r="G2771" s="2"/>
      <c r="H2771" s="2" t="str">
        <f>IFERROR(__xludf.DUMMYFUNCTION("IF(G2771&lt;&gt;"""", GOOGLETRANSLATE(G2771, ""en"", ""te""),"""")"),"")</f>
        <v/>
      </c>
      <c r="I2771" s="3"/>
    </row>
    <row r="2772" customHeight="1" spans="1:9">
      <c r="A2772" s="2"/>
      <c r="B2772" s="2" t="str">
        <f>IFERROR(__xludf.DUMMYFUNCTION("IF(A2772&lt;&gt;"""", GOOGLETRANSLATE(A2772, ""en"", ""te""),"""")"),"")</f>
        <v/>
      </c>
      <c r="C2772" s="2" t="s">
        <v>1975</v>
      </c>
      <c r="D2772" s="2" t="str">
        <f>IFERROR(__xludf.DUMMYFUNCTION("IF(C2772&lt;&gt;"""", GOOGLETRANSLATE(C2772, ""en"", ""te""),"""")"),"[ '41 వ షార్టేస్ట్ క్రీడాకారులు నివసించారు (34y 34d)']")</f>
        <v>[ '41 వ షార్టేస్ట్ క్రీడాకారులు నివసించారు (34y 34d)']</v>
      </c>
      <c r="E2772" s="2" t="s">
        <v>1976</v>
      </c>
      <c r="F2772" s="2" t="str">
        <f>IFERROR(__xludf.DUMMYFUNCTION("IF(E2772&lt;&gt;"""", GOOGLETRANSLATE(E2772, ""en"", ""te""),"""")"),"[ '15 వ షార్టేస్ట్ క్రీడాకారులు నివసించారు (34y 34d)']")</f>
        <v>[ '15 వ షార్టేస్ట్ క్రీడాకారులు నివసించారు (34y 34d)']</v>
      </c>
      <c r="G2772" s="2"/>
      <c r="H2772" s="2" t="str">
        <f>IFERROR(__xludf.DUMMYFUNCTION("IF(G2772&lt;&gt;"""", GOOGLETRANSLATE(G2772, ""en"", ""te""),"""")"),"")</f>
        <v/>
      </c>
      <c r="I2772" s="3"/>
    </row>
    <row r="2773" customHeight="1" spans="1:9">
      <c r="A2773" s="2" t="s">
        <v>1977</v>
      </c>
      <c r="B2773" s="2" t="str">
        <f>IFERROR(__xludf.DUMMYFUNCTION("IF(A2773&lt;&gt;"""", GOOGLETRANSLATE(A2773, ""en"", ""te""),"""")"),"[ 'తొమ్మిదవ వికెట్ (151) 9 వ అత్యధిక భాగస్వామ్యం']")</f>
        <v>[ 'తొమ్మిదవ వికెట్ (151) 9 వ అత్యధిక భాగస్వామ్యం']</v>
      </c>
      <c r="C2773" s="2" t="s">
        <v>1977</v>
      </c>
      <c r="D2773" s="2" t="str">
        <f>IFERROR(__xludf.DUMMYFUNCTION("IF(C2773&lt;&gt;"""", GOOGLETRANSLATE(C2773, ""en"", ""te""),"""")"),"[ 'తొమ్మిదవ వికెట్ (151) 9 వ అత్యధిక భాగస్వామ్యం']")</f>
        <v>[ 'తొమ్మిదవ వికెట్ (151) 9 వ అత్యధిక భాగస్వామ్యం']</v>
      </c>
      <c r="E2773" s="2"/>
      <c r="F2773" s="2" t="str">
        <f>IFERROR(__xludf.DUMMYFUNCTION("IF(E2773&lt;&gt;"""", GOOGLETRANSLATE(E2773, ""en"", ""te""),"""")"),"")</f>
        <v/>
      </c>
      <c r="G2773" s="2"/>
      <c r="H2773" s="2" t="str">
        <f>IFERROR(__xludf.DUMMYFUNCTION("IF(G2773&lt;&gt;"""", GOOGLETRANSLATE(G2773, ""en"", ""te""),"""")"),"")</f>
        <v/>
      </c>
      <c r="I2773" s="3"/>
    </row>
    <row r="2774" customHeight="1" spans="1:9">
      <c r="A2774" s="2"/>
      <c r="B2774" s="2" t="str">
        <f>IFERROR(__xludf.DUMMYFUNCTION("IF(A2774&lt;&gt;"""", GOOGLETRANSLATE(A2774, ""en"", ""te""),"""")"),"")</f>
        <v/>
      </c>
      <c r="C2774" s="2"/>
      <c r="D2774" s="2" t="str">
        <f>IFERROR(__xludf.DUMMYFUNCTION("IF(C2774&lt;&gt;"""", GOOGLETRANSLATE(C2774, ""en"", ""te""),"""")"),"")</f>
        <v/>
      </c>
      <c r="E2774" s="2"/>
      <c r="F2774" s="2" t="str">
        <f>IFERROR(__xludf.DUMMYFUNCTION("IF(E2774&lt;&gt;"""", GOOGLETRANSLATE(E2774, ""en"", ""te""),"""")"),"")</f>
        <v/>
      </c>
      <c r="G2774" s="2"/>
      <c r="H2774" s="2" t="str">
        <f>IFERROR(__xludf.DUMMYFUNCTION("IF(G2774&lt;&gt;"""", GOOGLETRANSLATE(G2774, ""en"", ""te""),"""")"),"")</f>
        <v/>
      </c>
      <c r="I2774" s="3"/>
    </row>
    <row r="2775" customHeight="1" spans="1:9">
      <c r="A2775" s="2"/>
      <c r="B2775" s="2" t="str">
        <f>IFERROR(__xludf.DUMMYFUNCTION("IF(A2775&lt;&gt;"""", GOOGLETRANSLATE(A2775, ""en"", ""te""),"""")"),"")</f>
        <v/>
      </c>
      <c r="C2775" s="2"/>
      <c r="D2775" s="2" t="str">
        <f>IFERROR(__xludf.DUMMYFUNCTION("IF(C2775&lt;&gt;"""", GOOGLETRANSLATE(C2775, ""en"", ""te""),"""")"),"")</f>
        <v/>
      </c>
      <c r="E2775" s="2"/>
      <c r="F2775" s="2" t="str">
        <f>IFERROR(__xludf.DUMMYFUNCTION("IF(E2775&lt;&gt;"""", GOOGLETRANSLATE(E2775, ""en"", ""te""),"""")"),"")</f>
        <v/>
      </c>
      <c r="G2775" s="2"/>
      <c r="H2775" s="2" t="str">
        <f>IFERROR(__xludf.DUMMYFUNCTION("IF(G2775&lt;&gt;"""", GOOGLETRANSLATE(G2775, ""en"", ""te""),"""")"),"")</f>
        <v/>
      </c>
      <c r="I2775" s="3"/>
    </row>
    <row r="2776" customHeight="1" spans="1:9">
      <c r="A2776" s="2"/>
      <c r="B2776" s="2" t="str">
        <f>IFERROR(__xludf.DUMMYFUNCTION("IF(A2776&lt;&gt;"""", GOOGLETRANSLATE(A2776, ""en"", ""te""),"""")"),"")</f>
        <v/>
      </c>
      <c r="C2776" s="2"/>
      <c r="D2776" s="2" t="str">
        <f>IFERROR(__xludf.DUMMYFUNCTION("IF(C2776&lt;&gt;"""", GOOGLETRANSLATE(C2776, ""en"", ""te""),"""")"),"")</f>
        <v/>
      </c>
      <c r="E2776" s="2"/>
      <c r="F2776" s="2" t="str">
        <f>IFERROR(__xludf.DUMMYFUNCTION("IF(E2776&lt;&gt;"""", GOOGLETRANSLATE(E2776, ""en"", ""te""),"""")"),"")</f>
        <v/>
      </c>
      <c r="G2776" s="2"/>
      <c r="H2776" s="2" t="str">
        <f>IFERROR(__xludf.DUMMYFUNCTION("IF(G2776&lt;&gt;"""", GOOGLETRANSLATE(G2776, ""en"", ""te""),"""")"),"")</f>
        <v/>
      </c>
      <c r="I2776" s="3"/>
    </row>
    <row r="2777" customHeight="1" spans="1:9">
      <c r="A2777" s="2"/>
      <c r="B2777" s="2" t="str">
        <f>IFERROR(__xludf.DUMMYFUNCTION("IF(A2777&lt;&gt;"""", GOOGLETRANSLATE(A2777, ""en"", ""te""),"""")"),"")</f>
        <v/>
      </c>
      <c r="C2777" s="2"/>
      <c r="D2777" s="2" t="str">
        <f>IFERROR(__xludf.DUMMYFUNCTION("IF(C2777&lt;&gt;"""", GOOGLETRANSLATE(C2777, ""en"", ""te""),"""")"),"")</f>
        <v/>
      </c>
      <c r="E2777" s="2"/>
      <c r="F2777" s="2" t="str">
        <f>IFERROR(__xludf.DUMMYFUNCTION("IF(E2777&lt;&gt;"""", GOOGLETRANSLATE(E2777, ""en"", ""te""),"""")"),"")</f>
        <v/>
      </c>
      <c r="G2777" s="2"/>
      <c r="H2777" s="2" t="str">
        <f>IFERROR(__xludf.DUMMYFUNCTION("IF(G2777&lt;&gt;"""", GOOGLETRANSLATE(G2777, ""en"", ""te""),"""")"),"")</f>
        <v/>
      </c>
      <c r="I2777" s="3"/>
    </row>
    <row r="2778" customHeight="1" spans="1:9">
      <c r="A2778" s="2"/>
      <c r="B2778" s="2" t="str">
        <f>IFERROR(__xludf.DUMMYFUNCTION("IF(A2778&lt;&gt;"""", GOOGLETRANSLATE(A2778, ""en"", ""te""),"""")"),"")</f>
        <v/>
      </c>
      <c r="C2778" s="2"/>
      <c r="D2778" s="2" t="str">
        <f>IFERROR(__xludf.DUMMYFUNCTION("IF(C2778&lt;&gt;"""", GOOGLETRANSLATE(C2778, ""en"", ""te""),"""")"),"")</f>
        <v/>
      </c>
      <c r="E2778" s="2"/>
      <c r="F2778" s="2" t="str">
        <f>IFERROR(__xludf.DUMMYFUNCTION("IF(E2778&lt;&gt;"""", GOOGLETRANSLATE(E2778, ""en"", ""te""),"""")"),"")</f>
        <v/>
      </c>
      <c r="G2778" s="2"/>
      <c r="H2778" s="2" t="str">
        <f>IFERROR(__xludf.DUMMYFUNCTION("IF(G2778&lt;&gt;"""", GOOGLETRANSLATE(G2778, ""en"", ""te""),"""")"),"")</f>
        <v/>
      </c>
      <c r="I2778" s="3"/>
    </row>
    <row r="2779" customHeight="1" spans="1:9">
      <c r="A2779" s="2" t="s">
        <v>1978</v>
      </c>
      <c r="B2779" s="2" t="str">
        <f>IFERROR(__xludf.DUMMYFUNCTION("IF(A2779&lt;&gt;"""", GOOGLETRANSLATE(A2779, ""en"", ""te""),"""")"),"[ 'పరాజయం వైపు ఒక మ్యాచ్లో 3 వ అత్యధిక పరుగులు (303)', '7 వ అత్యధిక కెరీర్ బ్యాటింగ్ సగటు (60.73)', 'హండ్రెడ్ ఒక మ్యాచ్లో ప్రతి ఇన్నింగ్స్లో', '1 వ 99 పరుగుల (199, 299 etc) (99) ',' ఫాస్టెస్ట్ 1000 పరుగులు 1st (12) ',' వరుస ఇన్నింగ్స్లో 6 వ వందల (3) ']")</f>
        <v>[ 'పరాజయం వైపు ఒక మ్యాచ్లో 3 వ అత్యధిక పరుగులు (303)', '7 వ అత్యధిక కెరీర్ బ్యాటింగ్ సగటు (60.73)', 'హండ్రెడ్ ఒక మ్యాచ్లో ప్రతి ఇన్నింగ్స్లో', '1 వ 99 పరుగుల (199, 299 etc) (99) ',' ఫాస్టెస్ట్ 1000 పరుగులు 1st (12) ',' వరుస ఇన్నింగ్స్లో 6 వ వందల (3) ']</v>
      </c>
      <c r="C2779" s="2" t="s">
        <v>1979</v>
      </c>
      <c r="D2779" s="2" t="str">
        <f>IFERROR(__xludf.DUMMYFUNCTION("IF(C2779&lt;&gt;"""", GOOGLETRANSLATE(C2779, ""en"", ""te""),"""")"),"[ '21 వ ఒక సిరీస్లో అత్యధిక పరుగులు (734)', '3 వ అత్యంత పరాజయం వైపు ఒక మ్యాచ్లో పరుగులు (303)', '7 వ అత్యధిక కెరీర్ బ్యాటింగ్ సగటు (60.73)', 'వరుస 2 వ అత్యధిక వందలు (4) ',' 19 ఒక క్యాలెండర్ సంవత్సరంలో అత్యధిక వందలు (5) ',' 15 వ ఒక జట్టు వ్యతిరేకంగా అత్యధ"&amp;"ిక వందలు (8) ',' వరుస ఇన్నింగ్స్లో 5 వ వందల (3) ',' వరుస మ్యాచ్లలో 21 వందల (3) ',' 1 వ 99 (199, 299 etc) (99) ',' వరుస ఇన్నింగ్స్లో 32 వ యాభైల్లో (5) ',' ఒక డక్ లేకుండా 38 వ వరుస ఇన్నింగ్స్ (56) ',' కెరీర్లో 11 వ అతి తక్కువ బాతులు (42) 'అవుట్ '1000 పరుగు"&amp;"లు వేగంగా 1st (12)', '2000 పరుగులు వేగంగా 3 వ (33)', '3000 పరుగులు 3 వ అత్యంత వేగంగా (52)', '2nd 4000 వేగవంతమైన పరుగులు (68)']")</f>
        <v>[ '21 వ ఒక సిరీస్లో అత్యధిక పరుగులు (734)', '3 వ అత్యంత పరాజయం వైపు ఒక మ్యాచ్లో పరుగులు (303)', '7 వ అత్యధిక కెరీర్ బ్యాటింగ్ సగటు (60.73)', 'వరుస 2 వ అత్యధిక వందలు (4) ',' 19 ఒక క్యాలెండర్ సంవత్సరంలో అత్యధిక వందలు (5) ',' 15 వ ఒక జట్టు వ్యతిరేకంగా అత్యధిక వందలు (8) ',' వరుస ఇన్నింగ్స్లో 5 వ వందల (3) ',' వరుస మ్యాచ్లలో 21 వందల (3) ',' 1 వ 99 (199, 299 etc) (99) ',' వరుస ఇన్నింగ్స్లో 32 వ యాభైల్లో (5) ',' ఒక డక్ లేకుండా 38 వ వరుస ఇన్నింగ్స్ (56) ',' కెరీర్లో 11 వ అతి తక్కువ బాతులు (42) 'అవుట్ '1000 పరుగులు వేగంగా 1st (12)', '2000 పరుగులు వేగంగా 3 వ (33)', '3000 పరుగులు 3 వ అత్యంత వేగంగా (52)', '2nd 4000 వేగవంతమైన పరుగులు (68)']</v>
      </c>
      <c r="E2779" s="2"/>
      <c r="F2779" s="2" t="str">
        <f>IFERROR(__xludf.DUMMYFUNCTION("IF(E2779&lt;&gt;"""", GOOGLETRANSLATE(E2779, ""en"", ""te""),"""")"),"")</f>
        <v/>
      </c>
      <c r="G2779" s="2"/>
      <c r="H2779" s="2" t="str">
        <f>IFERROR(__xludf.DUMMYFUNCTION("IF(G2779&lt;&gt;"""", GOOGLETRANSLATE(G2779, ""en"", ""te""),"""")"),"")</f>
        <v/>
      </c>
      <c r="I2779" s="3"/>
    </row>
    <row r="2780" customHeight="1" spans="1:9">
      <c r="A2780" s="2"/>
      <c r="B2780" s="2" t="str">
        <f>IFERROR(__xludf.DUMMYFUNCTION("IF(A2780&lt;&gt;"""", GOOGLETRANSLATE(A2780, ""en"", ""te""),"""")"),"")</f>
        <v/>
      </c>
      <c r="C2780" s="2"/>
      <c r="D2780" s="2" t="str">
        <f>IFERROR(__xludf.DUMMYFUNCTION("IF(C2780&lt;&gt;"""", GOOGLETRANSLATE(C2780, ""en"", ""te""),"""")"),"")</f>
        <v/>
      </c>
      <c r="E2780" s="2"/>
      <c r="F2780" s="2" t="str">
        <f>IFERROR(__xludf.DUMMYFUNCTION("IF(E2780&lt;&gt;"""", GOOGLETRANSLATE(E2780, ""en"", ""te""),"""")"),"")</f>
        <v/>
      </c>
      <c r="G2780" s="2"/>
      <c r="H2780" s="2" t="str">
        <f>IFERROR(__xludf.DUMMYFUNCTION("IF(G2780&lt;&gt;"""", GOOGLETRANSLATE(G2780, ""en"", ""te""),"""")"),"")</f>
        <v/>
      </c>
      <c r="I2780" s="3"/>
    </row>
    <row r="2781" customHeight="1" spans="1:9">
      <c r="A2781" s="2"/>
      <c r="B2781" s="2" t="str">
        <f>IFERROR(__xludf.DUMMYFUNCTION("IF(A2781&lt;&gt;"""", GOOGLETRANSLATE(A2781, ""en"", ""te""),"""")"),"")</f>
        <v/>
      </c>
      <c r="C2781" s="2"/>
      <c r="D2781" s="2" t="str">
        <f>IFERROR(__xludf.DUMMYFUNCTION("IF(C2781&lt;&gt;"""", GOOGLETRANSLATE(C2781, ""en"", ""te""),"""")"),"")</f>
        <v/>
      </c>
      <c r="E2781" s="2"/>
      <c r="F2781" s="2" t="str">
        <f>IFERROR(__xludf.DUMMYFUNCTION("IF(E2781&lt;&gt;"""", GOOGLETRANSLATE(E2781, ""en"", ""te""),"""")"),"")</f>
        <v/>
      </c>
      <c r="G2781" s="2"/>
      <c r="H2781" s="2" t="str">
        <f>IFERROR(__xludf.DUMMYFUNCTION("IF(G2781&lt;&gt;"""", GOOGLETRANSLATE(G2781, ""en"", ""te""),"""")"),"")</f>
        <v/>
      </c>
      <c r="I2781" s="3"/>
    </row>
    <row r="2782" customHeight="1" spans="1:9">
      <c r="A2782" s="2" t="s">
        <v>1980</v>
      </c>
      <c r="B2782" s="2" t="str">
        <f>IFERROR(__xludf.DUMMYFUNCTION("IF(A2782&lt;&gt;"""", GOOGLETRANSLATE(A2782, ""en"", ""te""),"""")"),"[ 'కెరీర్లో 2 వ అత్యధిక వికెట్లు (43)', '4 వ కెరీర్లో అత్యధిక మ్యాచ్లు (21)', '5 వ అత్యధిక వికెట్లు వరుస (11)', 'వరుస 2 వ అత్యధిక క్యాచ్లు (10)', '4 వ అత్యధిక ఇన్నింగ్స్ కెరీర్లో వంద (554) ',' 4 వ లేకుండా ఒక కెరీర్లో ఒక బై (303/5 రో) ',' 5 వ అత్యధిక పరుగ"&amp;"ులు చేయక కెరీర్లో అత్యధిక వికెట్లు (114) ',' 6 వ అత్యధిక క్యాచ్లు (69) లేకుండా మొత్తం ', 'వరుస 3 వ అత్యంత స్టంపింగ్లు (9)']")</f>
        <v>[ 'కెరీర్లో 2 వ అత్యధిక వికెట్లు (43)', '4 వ కెరీర్లో అత్యధిక మ్యాచ్లు (21)', '5 వ అత్యధిక వికెట్లు వరుస (11)', 'వరుస 2 వ అత్యధిక క్యాచ్లు (10)', '4 వ అత్యధిక ఇన్నింగ్స్ కెరీర్లో వంద (554) ',' 4 వ లేకుండా ఒక కెరీర్లో ఒక బై (303/5 రో) ',' 5 వ అత్యధిక పరుగులు చేయక కెరీర్లో అత్యధిక వికెట్లు (114) ',' 6 వ అత్యధిక క్యాచ్లు (69) లేకుండా మొత్తం ', 'వరుస 3 వ అత్యంత స్టంపింగ్లు (9)']</v>
      </c>
      <c r="C2782" s="2" t="s">
        <v>1981</v>
      </c>
      <c r="D2782" s="2" t="str">
        <f>IFERROR(__xludf.DUMMYFUNCTION("IF(C2782&lt;&gt;"""", GOOGLETRANSLATE(C2782, ""en"", ""te""),"""")"),"[ '31 కెరీర్లో అత్యధిక పరుగులు (554)', 'ఇన్నింగ్స్ లో 10 వ అత్యధిక పరుగులు (బ్యాటింగ్ స్థానంలో ప్రకారం) (69)', 'ఒక వికెట్ 17 వ ఒక సిరీస్లో అత్యధిక పరుగులు (118)', 'చాలా 5 వ ఒక లో పరుగులు వంద (554) ',' 11 వ కెరీర్లో మొదటి డక్ (12) ',' 18 వ ముందే అత్యంత ఇన్"&amp;"నింగ్స్ అతి తక్కువ బాతులు (15) ',' ఎనిమిదవ వికెట్కు 18 అత్యధిక భాగస్వామ్యం (56) ',' 13 వ అత్యధిక భాగస్వామ్యం లేకుండా వృత్తి పదవ వికెట్ను (41) ',' కెరీర్లో 4 వ అత్యధిక మ్యాచ్లు (21) ',' ఒక జట్టుకు 23 వ వరుస మ్యాచ్లు (12) ',' 17 వ లాంగెస్ట్ కెరీర్లు (14y 19"&amp;"4d) ',' కెరీర్ లో 2 వ అత్యధిక వికెట్లు (43 ) ',' వరుస ఒకే మ్యాచ్లో 13 వ అత్యధిక వికెట్లు (5) ',' 5 వ అత్యధిక వికెట్లు (11) ',' ఇన్నింగ్స్ లో కెరీర్లో 2 వ అత్యధిక క్యాచ్లు (39) ',' 8 వ అత్యధిక క్యాచ్లు (3) ', 'ఒక మ్యాచ్లో 11 వ అత్యధిక క్యాచ్లు (4)', 'వరుస "&amp;"2 వ అత్యధిక క్యాచ్లు (10)', '10 వ అత్యంత ఇన్నింగ్స్ లో సాధించిన బైస్' 4 వ అత్యధిక ఇన్నింగ్స్ బై (303/5 రో) గూడా ఇవ్వకుండా మొత్తం '(16 ) ']")</f>
        <v>[ '31 కెరీర్లో అత్యధిక పరుగులు (554)', 'ఇన్నింగ్స్ లో 10 వ అత్యధిక పరుగులు (బ్యాటింగ్ స్థానంలో ప్రకారం) (69)', 'ఒక వికెట్ 17 వ ఒక సిరీస్లో అత్యధిక పరుగులు (118)', 'చాలా 5 వ ఒక లో పరుగులు వంద (554) ',' 11 వ కెరీర్లో మొదటి డక్ (12) ',' 18 వ ముందే అత్యంత ఇన్నింగ్స్ అతి తక్కువ బాతులు (15) ',' ఎనిమిదవ వికెట్కు 18 అత్యధిక భాగస్వామ్యం (56) ',' 13 వ అత్యధిక భాగస్వామ్యం లేకుండా వృత్తి పదవ వికెట్ను (41) ',' కెరీర్లో 4 వ అత్యధిక మ్యాచ్లు (21) ',' ఒక జట్టుకు 23 వ వరుస మ్యాచ్లు (12) ',' 17 వ లాంగెస్ట్ కెరీర్లు (14y 194d) ',' కెరీర్ లో 2 వ అత్యధిక వికెట్లు (43 ) ',' వరుస ఒకే మ్యాచ్లో 13 వ అత్యధిక వికెట్లు (5) ',' 5 వ అత్యధిక వికెట్లు (11) ',' ఇన్నింగ్స్ లో కెరీర్లో 2 వ అత్యధిక క్యాచ్లు (39) ',' 8 వ అత్యధిక క్యాచ్లు (3) ', 'ఒక మ్యాచ్లో 11 వ అత్యధిక క్యాచ్లు (4)', 'వరుస 2 వ అత్యధిక క్యాచ్లు (10)', '10 వ అత్యంత ఇన్నింగ్స్ లో సాధించిన బైస్' 4 వ అత్యధిక ఇన్నింగ్స్ బై (303/5 రో) గూడా ఇవ్వకుండా మొత్తం '(16 ) ']</v>
      </c>
      <c r="E2782" s="2" t="s">
        <v>1982</v>
      </c>
      <c r="F2782" s="2" t="str">
        <f>IFERROR(__xludf.DUMMYFUNCTION("IF(E2782&lt;&gt;"""", GOOGLETRANSLATE(E2782, ""en"", ""te""),"""")"),"[ 'అత్యధిక వికెట్లు ఇన్నింగ్స్ 24 వ అత్యధిక పరుగులు (91)', 'వంద (1003) లేకుండా ఒక వృత్తిలో 34 వ అత్యధిక పరుగులు' 'ఐదవ వికెట్కు 33 వ అత్యధిక భాగస్వామ్యం (93)', '30 వ అత్యధిక కొరకు చేసిన భాగస్వామ్యం తొమ్మిదవ వికెట్ (37) ',' 32 వ కెరీర్ లో అత్యధిక మ్యాచ్లు ("&amp;"109) ',' ఒక జట్టుకు 49 వ వరుస మ్యాచ్లు (39) ',' 36 వ లాంగెస్ట్ కెరీర్లు (14y 34d) ',' 4 వ కెరీర్ లో అత్యధిక వికెట్లు (114) ',' వరుస ఇన్నింగ్స్ (4) ',' 22 వ అత్యధిక వికెట్లు లో 17 వ అత్యధిక వికెట్లు కెరీర్లో (13) ',' 6 వ అత్యధిక క్యాచ్లు (69) ', '21 వ ఇన్న"&amp;"ింగ్స్ లో అత్యధిక క్యాచ్లు (3)', ' ఇన్నింగ్స్ వరుస (3) ',' 3 వ అత్యంత స్టంపింగ్లు కెరీర్ లో (8) ',' చాలా 5 వ స్టంపింగ్లు (45) ',' 6 వ అత్యంత స్టంపింగ్లు వరుస 23 వ అత్యధిక క్యాచ్లు (9) ']")</f>
        <v>[ 'అత్యధిక వికెట్లు ఇన్నింగ్స్ 24 వ అత్యధిక పరుగులు (91)', 'వంద (1003) లేకుండా ఒక వృత్తిలో 34 వ అత్యధిక పరుగులు' 'ఐదవ వికెట్కు 33 వ అత్యధిక భాగస్వామ్యం (93)', '30 వ అత్యధిక కొరకు చేసిన భాగస్వామ్యం తొమ్మిదవ వికెట్ (37) ',' 32 వ కెరీర్ లో అత్యధిక మ్యాచ్లు (109) ',' ఒక జట్టుకు 49 వ వరుస మ్యాచ్లు (39) ',' 36 వ లాంగెస్ట్ కెరీర్లు (14y 34d) ',' 4 వ కెరీర్ లో అత్యధిక వికెట్లు (114) ',' వరుస ఇన్నింగ్స్ (4) ',' 22 వ అత్యధిక వికెట్లు లో 17 వ అత్యధిక వికెట్లు కెరీర్లో (13) ',' 6 వ అత్యధిక క్యాచ్లు (69) ', '21 వ ఇన్నింగ్స్ లో అత్యధిక క్యాచ్లు (3)', ' ఇన్నింగ్స్ వరుస (3) ',' 3 వ అత్యంత స్టంపింగ్లు కెరీర్ లో (8) ',' చాలా 5 వ స్టంపింగ్లు (45) ',' 6 వ అత్యంత స్టంపింగ్లు వరుస 23 వ అత్యధిక క్యాచ్లు (9) ']</v>
      </c>
      <c r="G2782" s="2"/>
      <c r="H2782" s="2" t="str">
        <f>IFERROR(__xludf.DUMMYFUNCTION("IF(G2782&lt;&gt;"""", GOOGLETRANSLATE(G2782, ""en"", ""te""),"""")"),"")</f>
        <v/>
      </c>
      <c r="I2782" s="3"/>
    </row>
    <row r="2783" customHeight="1" spans="1:9">
      <c r="A2783" s="2"/>
      <c r="B2783" s="2" t="str">
        <f>IFERROR(__xludf.DUMMYFUNCTION("IF(A2783&lt;&gt;"""", GOOGLETRANSLATE(A2783, ""en"", ""te""),"""")"),"")</f>
        <v/>
      </c>
      <c r="C2783" s="2"/>
      <c r="D2783" s="2" t="str">
        <f>IFERROR(__xludf.DUMMYFUNCTION("IF(C2783&lt;&gt;"""", GOOGLETRANSLATE(C2783, ""en"", ""te""),"""")"),"")</f>
        <v/>
      </c>
      <c r="E2783" s="2"/>
      <c r="F2783" s="2" t="str">
        <f>IFERROR(__xludf.DUMMYFUNCTION("IF(E2783&lt;&gt;"""", GOOGLETRANSLATE(E2783, ""en"", ""te""),"""")"),"")</f>
        <v/>
      </c>
      <c r="G2783" s="2"/>
      <c r="H2783" s="2" t="str">
        <f>IFERROR(__xludf.DUMMYFUNCTION("IF(G2783&lt;&gt;"""", GOOGLETRANSLATE(G2783, ""en"", ""te""),"""")"),"")</f>
        <v/>
      </c>
      <c r="I2783" s="3"/>
    </row>
    <row r="2784" customHeight="1" spans="1:9">
      <c r="A2784" s="2"/>
      <c r="B2784" s="2" t="str">
        <f>IFERROR(__xludf.DUMMYFUNCTION("IF(A2784&lt;&gt;"""", GOOGLETRANSLATE(A2784, ""en"", ""te""),"""")"),"")</f>
        <v/>
      </c>
      <c r="C2784" s="2"/>
      <c r="D2784" s="2" t="str">
        <f>IFERROR(__xludf.DUMMYFUNCTION("IF(C2784&lt;&gt;"""", GOOGLETRANSLATE(C2784, ""en"", ""te""),"""")"),"")</f>
        <v/>
      </c>
      <c r="E2784" s="2"/>
      <c r="F2784" s="2" t="str">
        <f>IFERROR(__xludf.DUMMYFUNCTION("IF(E2784&lt;&gt;"""", GOOGLETRANSLATE(E2784, ""en"", ""te""),"""")"),"")</f>
        <v/>
      </c>
      <c r="G2784" s="2"/>
      <c r="H2784" s="2" t="str">
        <f>IFERROR(__xludf.DUMMYFUNCTION("IF(G2784&lt;&gt;"""", GOOGLETRANSLATE(G2784, ""en"", ""te""),"""")"),"")</f>
        <v/>
      </c>
      <c r="I2784" s="3"/>
    </row>
    <row r="2785" customHeight="1" spans="1:9">
      <c r="A2785" s="2" t="s">
        <v>1983</v>
      </c>
      <c r="B2785" s="2" t="str">
        <f>IFERROR(__xludf.DUMMYFUNCTION("IF(A2785&lt;&gt;"""", GOOGLETRANSLATE(A2785, ""en"", ""te""),"""")"),"[ '1st అత్యుత్తమ బౌలింగ్ ఇన్నింగ్స్ లో విశ్లేషించడం (2/0)', ​​'ఇన్నింగ్స్ లో 1 వ ఉత్తమ ఆర్థిక రేటు (0.00)', '7 వ అత్యంత ఐదు-వికెట్ల లో-ఒక-ఇన్నింగ్స్ కెరీర్లో (2)', ' ఒక ఇన్నింగ్స్ లో 4 వ అత్యధిక క్యాచ్లు (3) ']")</f>
        <v>[ '1st అత్యుత్తమ బౌలింగ్ ఇన్నింగ్స్ లో విశ్లేషించడం (2/0)', ​​'ఇన్నింగ్స్ లో 1 వ ఉత్తమ ఆర్థిక రేటు (0.00)', '7 వ అత్యంత ఐదు-వికెట్ల లో-ఒక-ఇన్నింగ్స్ కెరీర్లో (2)', ' ఒక ఇన్నింగ్స్ లో 4 వ అత్యధిక క్యాచ్లు (3) ']</v>
      </c>
      <c r="C2785" s="2"/>
      <c r="D2785" s="2" t="str">
        <f>IFERROR(__xludf.DUMMYFUNCTION("IF(C2785&lt;&gt;"""", GOOGLETRANSLATE(C2785, ""en"", ""te""),"""")"),"")</f>
        <v/>
      </c>
      <c r="E2785" s="2" t="s">
        <v>1984</v>
      </c>
      <c r="F2785" s="2" t="str">
        <f>IFERROR(__xludf.DUMMYFUNCTION("IF(E2785&lt;&gt;"""", GOOGLETRANSLATE(E2785, ""en"", ""te""),"""")"),"[ '34 వ ఇన్నింగ్స్ లో బెస్ట్ ఫిగర్స్ (5/15)', '1 వ అత్యుత్తమ బౌలింగ్ ఇన్నింగ్స్ లో విశ్లేషించడం (2/0)', ​​'1st బెస్ట్ కెరీర్ బౌలింగ్ సరాసరి (12.53)', '5 వ ఉత్తమ కెరీర్ ఆర్థిక రేటు (2.02) ',' ఇన్నింగ్స్ లో 1 వ ఉత్తమ ఆర్థిక రేటు (0.00) ',' ఇన్నింగ్స్ లో 14 "&amp;"వ ఉత్తమ సమ్మె రేటు (6.6) ',' 7 వ అత్యంత ఐదు-వికెట్ల లో-ఒక-ఇన్నింగ్స్ కెరీర్లో (2) ',' 4 వ ఒక ఇన్నింగ్స్ లో అత్యధిక క్యాచ్లు (3) ']")</f>
        <v>[ '34 వ ఇన్నింగ్స్ లో బెస్ట్ ఫిగర్స్ (5/15)', '1 వ అత్యుత్తమ బౌలింగ్ ఇన్నింగ్స్ లో విశ్లేషించడం (2/0)', ​​'1st బెస్ట్ కెరీర్ బౌలింగ్ సరాసరి (12.53)', '5 వ ఉత్తమ కెరీర్ ఆర్థిక రేటు (2.02) ',' ఇన్నింగ్స్ లో 1 వ ఉత్తమ ఆర్థిక రేటు (0.00) ',' ఇన్నింగ్స్ లో 14 వ ఉత్తమ సమ్మె రేటు (6.6) ',' 7 వ అత్యంత ఐదు-వికెట్ల లో-ఒక-ఇన్నింగ్స్ కెరీర్లో (2) ',' 4 వ ఒక ఇన్నింగ్స్ లో అత్యధిక క్యాచ్లు (3) ']</v>
      </c>
      <c r="G2785" s="2"/>
      <c r="H2785" s="2" t="str">
        <f>IFERROR(__xludf.DUMMYFUNCTION("IF(G2785&lt;&gt;"""", GOOGLETRANSLATE(G2785, ""en"", ""te""),"""")"),"")</f>
        <v/>
      </c>
      <c r="I2785" s="3"/>
    </row>
    <row r="2786" customHeight="1" spans="1:9">
      <c r="A2786" s="2"/>
      <c r="B2786" s="2" t="str">
        <f>IFERROR(__xludf.DUMMYFUNCTION("IF(A2786&lt;&gt;"""", GOOGLETRANSLATE(A2786, ""en"", ""te""),"""")"),"")</f>
        <v/>
      </c>
      <c r="C2786" s="2"/>
      <c r="D2786" s="2" t="str">
        <f>IFERROR(__xludf.DUMMYFUNCTION("IF(C2786&lt;&gt;"""", GOOGLETRANSLATE(C2786, ""en"", ""te""),"""")"),"")</f>
        <v/>
      </c>
      <c r="E2786" s="2"/>
      <c r="F2786" s="2" t="str">
        <f>IFERROR(__xludf.DUMMYFUNCTION("IF(E2786&lt;&gt;"""", GOOGLETRANSLATE(E2786, ""en"", ""te""),"""")"),"")</f>
        <v/>
      </c>
      <c r="G2786" s="2"/>
      <c r="H2786" s="2" t="str">
        <f>IFERROR(__xludf.DUMMYFUNCTION("IF(G2786&lt;&gt;"""", GOOGLETRANSLATE(G2786, ""en"", ""te""),"""")"),"")</f>
        <v/>
      </c>
      <c r="I2786" s="3"/>
    </row>
    <row r="2787" customHeight="1" spans="1:9">
      <c r="A2787" s="2" t="s">
        <v>1985</v>
      </c>
      <c r="B2787" s="2" t="str">
        <f>IFERROR(__xludf.DUMMYFUNCTION("IF(A2787&lt;&gt;"""", GOOGLETRANSLATE(A2787, ""en"", ""te""),"""")"),"[ '5 వ వరుస మ్యాచ్లు ఆడి మధ్య జట్టు (103) కోసం తప్పిన']")</f>
        <v>[ '5 వ వరుస మ్యాచ్లు ఆడి మధ్య జట్టు (103) కోసం తప్పిన']</v>
      </c>
      <c r="C2787" s="2" t="s">
        <v>1986</v>
      </c>
      <c r="D2787" s="2" t="str">
        <f>IFERROR(__xludf.DUMMYFUNCTION("IF(C2787&lt;&gt;"""", GOOGLETRANSLATE(C2787, ""en"", ""te""),"""")"),"[ '35 వ చెత్త కెరీర్లో సమ్మె రేటు (115.4)', 'ప్రదర్శనల మధ్య 16 వ లాంగెస్ట్ వ్యవధిలో (11y 225d)', '5 వ వరుస మ్యాచ్లు ఆడి మధ్య జట్టు (103) కోసం తప్పిన']")</f>
        <v>[ '35 వ చెత్త కెరీర్లో సమ్మె రేటు (115.4)', 'ప్రదర్శనల మధ్య 16 వ లాంగెస్ట్ వ్యవధిలో (11y 225d)', '5 వ వరుస మ్యాచ్లు ఆడి మధ్య జట్టు (103) కోసం తప్పిన']</v>
      </c>
      <c r="E2787" s="2"/>
      <c r="F2787" s="2" t="str">
        <f>IFERROR(__xludf.DUMMYFUNCTION("IF(E2787&lt;&gt;"""", GOOGLETRANSLATE(E2787, ""en"", ""te""),"""")"),"")</f>
        <v/>
      </c>
      <c r="G2787" s="2"/>
      <c r="H2787" s="2" t="str">
        <f>IFERROR(__xludf.DUMMYFUNCTION("IF(G2787&lt;&gt;"""", GOOGLETRANSLATE(G2787, ""en"", ""te""),"""")"),"")</f>
        <v/>
      </c>
      <c r="I2787" s="3"/>
    </row>
    <row r="2788" customHeight="1" spans="1:9">
      <c r="A2788" s="2"/>
      <c r="B2788" s="2" t="str">
        <f>IFERROR(__xludf.DUMMYFUNCTION("IF(A2788&lt;&gt;"""", GOOGLETRANSLATE(A2788, ""en"", ""te""),"""")"),"")</f>
        <v/>
      </c>
      <c r="C2788" s="2"/>
      <c r="D2788" s="2" t="str">
        <f>IFERROR(__xludf.DUMMYFUNCTION("IF(C2788&lt;&gt;"""", GOOGLETRANSLATE(C2788, ""en"", ""te""),"""")"),"")</f>
        <v/>
      </c>
      <c r="E2788" s="2"/>
      <c r="F2788" s="2" t="str">
        <f>IFERROR(__xludf.DUMMYFUNCTION("IF(E2788&lt;&gt;"""", GOOGLETRANSLATE(E2788, ""en"", ""te""),"""")"),"")</f>
        <v/>
      </c>
      <c r="G2788" s="2"/>
      <c r="H2788" s="2" t="str">
        <f>IFERROR(__xludf.DUMMYFUNCTION("IF(G2788&lt;&gt;"""", GOOGLETRANSLATE(G2788, ""en"", ""te""),"""")"),"")</f>
        <v/>
      </c>
      <c r="I2788" s="3"/>
    </row>
    <row r="2789" customHeight="1" spans="1:9">
      <c r="A2789" s="2"/>
      <c r="B2789" s="2" t="str">
        <f>IFERROR(__xludf.DUMMYFUNCTION("IF(A2789&lt;&gt;"""", GOOGLETRANSLATE(A2789, ""en"", ""te""),"""")"),"")</f>
        <v/>
      </c>
      <c r="C2789" s="2"/>
      <c r="D2789" s="2" t="str">
        <f>IFERROR(__xludf.DUMMYFUNCTION("IF(C2789&lt;&gt;"""", GOOGLETRANSLATE(C2789, ""en"", ""te""),"""")"),"")</f>
        <v/>
      </c>
      <c r="E2789" s="2"/>
      <c r="F2789" s="2" t="str">
        <f>IFERROR(__xludf.DUMMYFUNCTION("IF(E2789&lt;&gt;"""", GOOGLETRANSLATE(E2789, ""en"", ""te""),"""")"),"")</f>
        <v/>
      </c>
      <c r="G2789" s="2"/>
      <c r="H2789" s="2" t="str">
        <f>IFERROR(__xludf.DUMMYFUNCTION("IF(G2789&lt;&gt;"""", GOOGLETRANSLATE(G2789, ""en"", ""te""),"""")"),"")</f>
        <v/>
      </c>
      <c r="I2789" s="3"/>
    </row>
    <row r="2790" customHeight="1" spans="1:9">
      <c r="A2790" s="2"/>
      <c r="B2790" s="2" t="str">
        <f>IFERROR(__xludf.DUMMYFUNCTION("IF(A2790&lt;&gt;"""", GOOGLETRANSLATE(A2790, ""en"", ""te""),"""")"),"")</f>
        <v/>
      </c>
      <c r="C2790" s="2"/>
      <c r="D2790" s="2" t="str">
        <f>IFERROR(__xludf.DUMMYFUNCTION("IF(C2790&lt;&gt;"""", GOOGLETRANSLATE(C2790, ""en"", ""te""),"""")"),"")</f>
        <v/>
      </c>
      <c r="E2790" s="2"/>
      <c r="F2790" s="2" t="str">
        <f>IFERROR(__xludf.DUMMYFUNCTION("IF(E2790&lt;&gt;"""", GOOGLETRANSLATE(E2790, ""en"", ""te""),"""")"),"")</f>
        <v/>
      </c>
      <c r="G2790" s="2"/>
      <c r="H2790" s="2" t="str">
        <f>IFERROR(__xludf.DUMMYFUNCTION("IF(G2790&lt;&gt;"""", GOOGLETRANSLATE(G2790, ""en"", ""te""),"""")"),"")</f>
        <v/>
      </c>
      <c r="I2790" s="3"/>
    </row>
    <row r="2791" customHeight="1" spans="1:9">
      <c r="A2791" s="2"/>
      <c r="B2791" s="2" t="str">
        <f>IFERROR(__xludf.DUMMYFUNCTION("IF(A2791&lt;&gt;"""", GOOGLETRANSLATE(A2791, ""en"", ""te""),"""")"),"")</f>
        <v/>
      </c>
      <c r="C2791" s="2"/>
      <c r="D2791" s="2" t="str">
        <f>IFERROR(__xludf.DUMMYFUNCTION("IF(C2791&lt;&gt;"""", GOOGLETRANSLATE(C2791, ""en"", ""te""),"""")"),"")</f>
        <v/>
      </c>
      <c r="E2791" s="2"/>
      <c r="F2791" s="2" t="str">
        <f>IFERROR(__xludf.DUMMYFUNCTION("IF(E2791&lt;&gt;"""", GOOGLETRANSLATE(E2791, ""en"", ""te""),"""")"),"")</f>
        <v/>
      </c>
      <c r="G2791" s="2"/>
      <c r="H2791" s="2" t="str">
        <f>IFERROR(__xludf.DUMMYFUNCTION("IF(G2791&lt;&gt;"""", GOOGLETRANSLATE(G2791, ""en"", ""te""),"""")"),"")</f>
        <v/>
      </c>
      <c r="I2791" s="3"/>
    </row>
    <row r="2792" customHeight="1" spans="1:9">
      <c r="A2792" s="2" t="s">
        <v>352</v>
      </c>
      <c r="B2792" s="2" t="str">
        <f>IFERROR(__xludf.DUMMYFUNCTION("IF(A2792&lt;&gt;"""", GOOGLETRANSLATE(A2792, ""en"", ""te""),"""")"),"[ 'బ్యాటింగ్ ప్రారంభించుటకు మరియు అదే మ్యాచ్ లో బౌలింగ్']")</f>
        <v>[ 'బ్యాటింగ్ ప్రారంభించుటకు మరియు అదే మ్యాచ్ లో బౌలింగ్']</v>
      </c>
      <c r="C2792" s="2"/>
      <c r="D2792" s="2" t="str">
        <f>IFERROR(__xludf.DUMMYFUNCTION("IF(C2792&lt;&gt;"""", GOOGLETRANSLATE(C2792, ""en"", ""te""),"""")"),"")</f>
        <v/>
      </c>
      <c r="E2792" s="2"/>
      <c r="F2792" s="2" t="str">
        <f>IFERROR(__xludf.DUMMYFUNCTION("IF(E2792&lt;&gt;"""", GOOGLETRANSLATE(E2792, ""en"", ""te""),"""")"),"")</f>
        <v/>
      </c>
      <c r="G2792" s="2"/>
      <c r="H2792" s="2" t="str">
        <f>IFERROR(__xludf.DUMMYFUNCTION("IF(G2792&lt;&gt;"""", GOOGLETRANSLATE(G2792, ""en"", ""te""),"""")"),"")</f>
        <v/>
      </c>
      <c r="I2792" s="3"/>
    </row>
    <row r="2793" customHeight="1" spans="1:9">
      <c r="A2793" s="2"/>
      <c r="B2793" s="2" t="str">
        <f>IFERROR(__xludf.DUMMYFUNCTION("IF(A2793&lt;&gt;"""", GOOGLETRANSLATE(A2793, ""en"", ""te""),"""")"),"")</f>
        <v/>
      </c>
      <c r="C2793" s="2" t="s">
        <v>1987</v>
      </c>
      <c r="D2793" s="2" t="str">
        <f>IFERROR(__xludf.DUMMYFUNCTION("IF(C2793&lt;&gt;"""", GOOGLETRANSLATE(C2793, ""en"", ""te""),"""")"),"[ '24 ఒక మ్యాచ్ రిఫరీ (9) వంటి అత్యధిక మ్యాచ్లు']")</f>
        <v>[ '24 ఒక మ్యాచ్ రిఫరీ (9) వంటి అత్యధిక మ్యాచ్లు']</v>
      </c>
      <c r="E2793" s="2" t="s">
        <v>1988</v>
      </c>
      <c r="F2793" s="2" t="str">
        <f>IFERROR(__xludf.DUMMYFUNCTION("IF(E2793&lt;&gt;"""", GOOGLETRANSLATE(E2793, ""en"", ""te""),"""")"),"[ '35 వ ఒక మ్యాచ్ రిఫరీ గా అత్యధిక మ్యాచ్లు (13)']")</f>
        <v>[ '35 వ ఒక మ్యాచ్ రిఫరీ గా అత్యధిక మ్యాచ్లు (13)']</v>
      </c>
      <c r="G2793" s="2"/>
      <c r="H2793" s="2" t="str">
        <f>IFERROR(__xludf.DUMMYFUNCTION("IF(G2793&lt;&gt;"""", GOOGLETRANSLATE(G2793, ""en"", ""te""),"""")"),"")</f>
        <v/>
      </c>
      <c r="I2793" s="3"/>
    </row>
    <row r="2794" customHeight="1" spans="1:9">
      <c r="A2794" s="2"/>
      <c r="B2794" s="2" t="str">
        <f>IFERROR(__xludf.DUMMYFUNCTION("IF(A2794&lt;&gt;"""", GOOGLETRANSLATE(A2794, ""en"", ""te""),"""")"),"")</f>
        <v/>
      </c>
      <c r="C2794" s="2"/>
      <c r="D2794" s="2" t="str">
        <f>IFERROR(__xludf.DUMMYFUNCTION("IF(C2794&lt;&gt;"""", GOOGLETRANSLATE(C2794, ""en"", ""te""),"""")"),"")</f>
        <v/>
      </c>
      <c r="E2794" s="2"/>
      <c r="F2794" s="2" t="str">
        <f>IFERROR(__xludf.DUMMYFUNCTION("IF(E2794&lt;&gt;"""", GOOGLETRANSLATE(E2794, ""en"", ""te""),"""")"),"")</f>
        <v/>
      </c>
      <c r="G2794" s="2"/>
      <c r="H2794" s="2" t="str">
        <f>IFERROR(__xludf.DUMMYFUNCTION("IF(G2794&lt;&gt;"""", GOOGLETRANSLATE(G2794, ""en"", ""te""),"""")"),"")</f>
        <v/>
      </c>
      <c r="I2794" s="3"/>
    </row>
    <row r="2795" customHeight="1" spans="1:9">
      <c r="A2795" s="2"/>
      <c r="B2795" s="2" t="str">
        <f>IFERROR(__xludf.DUMMYFUNCTION("IF(A2795&lt;&gt;"""", GOOGLETRANSLATE(A2795, ""en"", ""te""),"""")"),"")</f>
        <v/>
      </c>
      <c r="C2795" s="2"/>
      <c r="D2795" s="2" t="str">
        <f>IFERROR(__xludf.DUMMYFUNCTION("IF(C2795&lt;&gt;"""", GOOGLETRANSLATE(C2795, ""en"", ""te""),"""")"),"")</f>
        <v/>
      </c>
      <c r="E2795" s="2"/>
      <c r="F2795" s="2" t="str">
        <f>IFERROR(__xludf.DUMMYFUNCTION("IF(E2795&lt;&gt;"""", GOOGLETRANSLATE(E2795, ""en"", ""te""),"""")"),"")</f>
        <v/>
      </c>
      <c r="G2795" s="2"/>
      <c r="H2795" s="2" t="str">
        <f>IFERROR(__xludf.DUMMYFUNCTION("IF(G2795&lt;&gt;"""", GOOGLETRANSLATE(G2795, ""en"", ""te""),"""")"),"")</f>
        <v/>
      </c>
      <c r="I2795" s="3"/>
    </row>
    <row r="2796" customHeight="1" spans="1:9">
      <c r="A2796" s="2" t="s">
        <v>1989</v>
      </c>
      <c r="B2796" s="2" t="str">
        <f>IFERROR(__xludf.DUMMYFUNCTION("IF(A2796&lt;&gt;"""", GOOGLETRANSLATE(A2796, ""en"", ""te""),"""")"),"[ '1st వరుస అన్ని టాస్ గెలిచిన (4)', 'బ్యాటింగ్ తెరవడం మరియు అదే మ్యాచ్ లో బౌలింగ్']")</f>
        <v>[ '1st వరుస అన్ని టాస్ గెలిచిన (4)', 'బ్యాటింగ్ తెరవడం మరియు అదే మ్యాచ్ లో బౌలింగ్']</v>
      </c>
      <c r="C2796" s="2" t="s">
        <v>1990</v>
      </c>
      <c r="D2796" s="2" t="str">
        <f>IFERROR(__xludf.DUMMYFUNCTION("IF(C2796&lt;&gt;"""", GOOGLETRANSLATE(C2796, ""en"", ""te""),"""")"),"[ '33 వ అరంగేట్రంలోనే మ్యాచ్లో బెస్ట్ ఫిగర్స్ (8)', '1 వ వరుస అన్ని టాస్ గెలిచిన (4)', '27 వ ఓల్డెస్ట్ కాప్టెన్ (39y 197d)', 'కెప్టెన్సీ తొలి 12 వ ఓల్డెస్ట్ కాప్టెన్ (39y 124d)' ]")</f>
        <v>[ '33 వ అరంగేట్రంలోనే మ్యాచ్లో బెస్ట్ ఫిగర్స్ (8)', '1 వ వరుస అన్ని టాస్ గెలిచిన (4)', '27 వ ఓల్డెస్ట్ కాప్టెన్ (39y 197d)', 'కెప్టెన్సీ తొలి 12 వ ఓల్డెస్ట్ కాప్టెన్ (39y 124d)' ]</v>
      </c>
      <c r="E2796" s="2"/>
      <c r="F2796" s="2" t="str">
        <f>IFERROR(__xludf.DUMMYFUNCTION("IF(E2796&lt;&gt;"""", GOOGLETRANSLATE(E2796, ""en"", ""te""),"""")"),"")</f>
        <v/>
      </c>
      <c r="G2796" s="2"/>
      <c r="H2796" s="2" t="str">
        <f>IFERROR(__xludf.DUMMYFUNCTION("IF(G2796&lt;&gt;"""", GOOGLETRANSLATE(G2796, ""en"", ""te""),"""")"),"")</f>
        <v/>
      </c>
      <c r="I2796" s="3"/>
    </row>
    <row r="2797" customHeight="1" spans="1:9">
      <c r="A2797" s="2"/>
      <c r="B2797" s="2" t="str">
        <f>IFERROR(__xludf.DUMMYFUNCTION("IF(A2797&lt;&gt;"""", GOOGLETRANSLATE(A2797, ""en"", ""te""),"""")"),"")</f>
        <v/>
      </c>
      <c r="C2797" s="2"/>
      <c r="D2797" s="2" t="str">
        <f>IFERROR(__xludf.DUMMYFUNCTION("IF(C2797&lt;&gt;"""", GOOGLETRANSLATE(C2797, ""en"", ""te""),"""")"),"")</f>
        <v/>
      </c>
      <c r="E2797" s="2"/>
      <c r="F2797" s="2" t="str">
        <f>IFERROR(__xludf.DUMMYFUNCTION("IF(E2797&lt;&gt;"""", GOOGLETRANSLATE(E2797, ""en"", ""te""),"""")"),"")</f>
        <v/>
      </c>
      <c r="G2797" s="2"/>
      <c r="H2797" s="2" t="str">
        <f>IFERROR(__xludf.DUMMYFUNCTION("IF(G2797&lt;&gt;"""", GOOGLETRANSLATE(G2797, ""en"", ""te""),"""")"),"")</f>
        <v/>
      </c>
      <c r="I2797" s="3"/>
    </row>
    <row r="2798" customHeight="1" spans="1:9">
      <c r="A2798" s="2"/>
      <c r="B2798" s="2" t="str">
        <f>IFERROR(__xludf.DUMMYFUNCTION("IF(A2798&lt;&gt;"""", GOOGLETRANSLATE(A2798, ""en"", ""te""),"""")"),"")</f>
        <v/>
      </c>
      <c r="C2798" s="2"/>
      <c r="D2798" s="2" t="str">
        <f>IFERROR(__xludf.DUMMYFUNCTION("IF(C2798&lt;&gt;"""", GOOGLETRANSLATE(C2798, ""en"", ""te""),"""")"),"")</f>
        <v/>
      </c>
      <c r="E2798" s="2"/>
      <c r="F2798" s="2" t="str">
        <f>IFERROR(__xludf.DUMMYFUNCTION("IF(E2798&lt;&gt;"""", GOOGLETRANSLATE(E2798, ""en"", ""te""),"""")"),"")</f>
        <v/>
      </c>
      <c r="G2798" s="2"/>
      <c r="H2798" s="2" t="str">
        <f>IFERROR(__xludf.DUMMYFUNCTION("IF(G2798&lt;&gt;"""", GOOGLETRANSLATE(G2798, ""en"", ""te""),"""")"),"")</f>
        <v/>
      </c>
      <c r="I2798" s="3"/>
    </row>
    <row r="2799" customHeight="1" spans="1:9">
      <c r="A2799" s="2"/>
      <c r="B2799" s="2" t="str">
        <f>IFERROR(__xludf.DUMMYFUNCTION("IF(A2799&lt;&gt;"""", GOOGLETRANSLATE(A2799, ""en"", ""te""),"""")"),"")</f>
        <v/>
      </c>
      <c r="C2799" s="2"/>
      <c r="D2799" s="2" t="str">
        <f>IFERROR(__xludf.DUMMYFUNCTION("IF(C2799&lt;&gt;"""", GOOGLETRANSLATE(C2799, ""en"", ""te""),"""")"),"")</f>
        <v/>
      </c>
      <c r="E2799" s="2"/>
      <c r="F2799" s="2" t="str">
        <f>IFERROR(__xludf.DUMMYFUNCTION("IF(E2799&lt;&gt;"""", GOOGLETRANSLATE(E2799, ""en"", ""te""),"""")"),"")</f>
        <v/>
      </c>
      <c r="G2799" s="2"/>
      <c r="H2799" s="2" t="str">
        <f>IFERROR(__xludf.DUMMYFUNCTION("IF(G2799&lt;&gt;"""", GOOGLETRANSLATE(G2799, ""en"", ""te""),"""")"),"")</f>
        <v/>
      </c>
      <c r="I2799" s="3"/>
    </row>
    <row r="2800" customHeight="1" spans="1:9">
      <c r="A2800" s="2"/>
      <c r="B2800" s="2" t="str">
        <f>IFERROR(__xludf.DUMMYFUNCTION("IF(A2800&lt;&gt;"""", GOOGLETRANSLATE(A2800, ""en"", ""te""),"""")"),"")</f>
        <v/>
      </c>
      <c r="C2800" s="2"/>
      <c r="D2800" s="2" t="str">
        <f>IFERROR(__xludf.DUMMYFUNCTION("IF(C2800&lt;&gt;"""", GOOGLETRANSLATE(C2800, ""en"", ""te""),"""")"),"")</f>
        <v/>
      </c>
      <c r="E2800" s="2"/>
      <c r="F2800" s="2" t="str">
        <f>IFERROR(__xludf.DUMMYFUNCTION("IF(E2800&lt;&gt;"""", GOOGLETRANSLATE(E2800, ""en"", ""te""),"""")"),"")</f>
        <v/>
      </c>
      <c r="G2800" s="2"/>
      <c r="H2800" s="2" t="str">
        <f>IFERROR(__xludf.DUMMYFUNCTION("IF(G2800&lt;&gt;"""", GOOGLETRANSLATE(G2800, ""en"", ""te""),"""")"),"")</f>
        <v/>
      </c>
      <c r="I2800" s="3"/>
    </row>
    <row r="2801" customHeight="1" spans="1:9">
      <c r="A2801" s="2"/>
      <c r="B2801" s="2" t="str">
        <f>IFERROR(__xludf.DUMMYFUNCTION("IF(A2801&lt;&gt;"""", GOOGLETRANSLATE(A2801, ""en"", ""te""),"""")"),"")</f>
        <v/>
      </c>
      <c r="C2801" s="2"/>
      <c r="D2801" s="2" t="str">
        <f>IFERROR(__xludf.DUMMYFUNCTION("IF(C2801&lt;&gt;"""", GOOGLETRANSLATE(C2801, ""en"", ""te""),"""")"),"")</f>
        <v/>
      </c>
      <c r="E2801" s="2"/>
      <c r="F2801" s="2" t="str">
        <f>IFERROR(__xludf.DUMMYFUNCTION("IF(E2801&lt;&gt;"""", GOOGLETRANSLATE(E2801, ""en"", ""te""),"""")"),"")</f>
        <v/>
      </c>
      <c r="G2801" s="2"/>
      <c r="H2801" s="2" t="str">
        <f>IFERROR(__xludf.DUMMYFUNCTION("IF(G2801&lt;&gt;"""", GOOGLETRANSLATE(G2801, ""en"", ""te""),"""")"),"")</f>
        <v/>
      </c>
      <c r="I2801" s="3"/>
    </row>
    <row r="2802" customHeight="1" spans="1:9">
      <c r="A2802" s="2"/>
      <c r="B2802" s="2" t="str">
        <f>IFERROR(__xludf.DUMMYFUNCTION("IF(A2802&lt;&gt;"""", GOOGLETRANSLATE(A2802, ""en"", ""te""),"""")"),"")</f>
        <v/>
      </c>
      <c r="C2802" s="2"/>
      <c r="D2802" s="2" t="str">
        <f>IFERROR(__xludf.DUMMYFUNCTION("IF(C2802&lt;&gt;"""", GOOGLETRANSLATE(C2802, ""en"", ""te""),"""")"),"")</f>
        <v/>
      </c>
      <c r="E2802" s="2"/>
      <c r="F2802" s="2" t="str">
        <f>IFERROR(__xludf.DUMMYFUNCTION("IF(E2802&lt;&gt;"""", GOOGLETRANSLATE(E2802, ""en"", ""te""),"""")"),"")</f>
        <v/>
      </c>
      <c r="G2802" s="2"/>
      <c r="H2802" s="2" t="str">
        <f>IFERROR(__xludf.DUMMYFUNCTION("IF(G2802&lt;&gt;"""", GOOGLETRANSLATE(G2802, ""en"", ""te""),"""")"),"")</f>
        <v/>
      </c>
      <c r="I2802" s="3"/>
    </row>
    <row r="2803" customHeight="1" spans="1:9">
      <c r="A2803" s="2"/>
      <c r="B2803" s="2" t="str">
        <f>IFERROR(__xludf.DUMMYFUNCTION("IF(A2803&lt;&gt;"""", GOOGLETRANSLATE(A2803, ""en"", ""te""),"""")"),"")</f>
        <v/>
      </c>
      <c r="C2803" s="2" t="s">
        <v>1991</v>
      </c>
      <c r="D2803" s="2" t="str">
        <f>IFERROR(__xludf.DUMMYFUNCTION("IF(C2803&lt;&gt;"""", GOOGLETRANSLATE(C2803, ""en"", ""te""),"""")"),"[ '33 వ పురాతన దేశం ఆటగాళ్ళు (87y 219d)']")</f>
        <v>[ '33 వ పురాతన దేశం ఆటగాళ్ళు (87y 219d)']</v>
      </c>
      <c r="E2803" s="2"/>
      <c r="F2803" s="2" t="str">
        <f>IFERROR(__xludf.DUMMYFUNCTION("IF(E2803&lt;&gt;"""", GOOGLETRANSLATE(E2803, ""en"", ""te""),"""")"),"")</f>
        <v/>
      </c>
      <c r="G2803" s="2"/>
      <c r="H2803" s="2" t="str">
        <f>IFERROR(__xludf.DUMMYFUNCTION("IF(G2803&lt;&gt;"""", GOOGLETRANSLATE(G2803, ""en"", ""te""),"""")"),"")</f>
        <v/>
      </c>
      <c r="I2803" s="3"/>
    </row>
    <row r="2804" customHeight="1" spans="1:9">
      <c r="A2804" s="2"/>
      <c r="B2804" s="2" t="str">
        <f>IFERROR(__xludf.DUMMYFUNCTION("IF(A2804&lt;&gt;"""", GOOGLETRANSLATE(A2804, ""en"", ""te""),"""")"),"")</f>
        <v/>
      </c>
      <c r="C2804" s="2"/>
      <c r="D2804" s="2" t="str">
        <f>IFERROR(__xludf.DUMMYFUNCTION("IF(C2804&lt;&gt;"""", GOOGLETRANSLATE(C2804, ""en"", ""te""),"""")"),"")</f>
        <v/>
      </c>
      <c r="E2804" s="2"/>
      <c r="F2804" s="2" t="str">
        <f>IFERROR(__xludf.DUMMYFUNCTION("IF(E2804&lt;&gt;"""", GOOGLETRANSLATE(E2804, ""en"", ""te""),"""")"),"")</f>
        <v/>
      </c>
      <c r="G2804" s="2"/>
      <c r="H2804" s="2" t="str">
        <f>IFERROR(__xludf.DUMMYFUNCTION("IF(G2804&lt;&gt;"""", GOOGLETRANSLATE(G2804, ""en"", ""te""),"""")"),"")</f>
        <v/>
      </c>
      <c r="I2804" s="3"/>
    </row>
    <row r="2805" customHeight="1" spans="1:9">
      <c r="A2805" s="2"/>
      <c r="B2805" s="2" t="str">
        <f>IFERROR(__xludf.DUMMYFUNCTION("IF(A2805&lt;&gt;"""", GOOGLETRANSLATE(A2805, ""en"", ""te""),"""")"),"")</f>
        <v/>
      </c>
      <c r="C2805" s="2"/>
      <c r="D2805" s="2" t="str">
        <f>IFERROR(__xludf.DUMMYFUNCTION("IF(C2805&lt;&gt;"""", GOOGLETRANSLATE(C2805, ""en"", ""te""),"""")"),"")</f>
        <v/>
      </c>
      <c r="E2805" s="2"/>
      <c r="F2805" s="2" t="str">
        <f>IFERROR(__xludf.DUMMYFUNCTION("IF(E2805&lt;&gt;"""", GOOGLETRANSLATE(E2805, ""en"", ""te""),"""")"),"")</f>
        <v/>
      </c>
      <c r="G2805" s="2"/>
      <c r="H2805" s="2" t="str">
        <f>IFERROR(__xludf.DUMMYFUNCTION("IF(G2805&lt;&gt;"""", GOOGLETRANSLATE(G2805, ""en"", ""te""),"""")"),"")</f>
        <v/>
      </c>
      <c r="I2805" s="3"/>
    </row>
    <row r="2806" customHeight="1" spans="1:9">
      <c r="A2806" s="2"/>
      <c r="B2806" s="2" t="str">
        <f>IFERROR(__xludf.DUMMYFUNCTION("IF(A2806&lt;&gt;"""", GOOGLETRANSLATE(A2806, ""en"", ""te""),"""")"),"")</f>
        <v/>
      </c>
      <c r="C2806" s="2"/>
      <c r="D2806" s="2" t="str">
        <f>IFERROR(__xludf.DUMMYFUNCTION("IF(C2806&lt;&gt;"""", GOOGLETRANSLATE(C2806, ""en"", ""te""),"""")"),"")</f>
        <v/>
      </c>
      <c r="E2806" s="2"/>
      <c r="F2806" s="2" t="str">
        <f>IFERROR(__xludf.DUMMYFUNCTION("IF(E2806&lt;&gt;"""", GOOGLETRANSLATE(E2806, ""en"", ""te""),"""")"),"")</f>
        <v/>
      </c>
      <c r="G2806" s="2"/>
      <c r="H2806" s="2" t="str">
        <f>IFERROR(__xludf.DUMMYFUNCTION("IF(G2806&lt;&gt;"""", GOOGLETRANSLATE(G2806, ""en"", ""te""),"""")"),"")</f>
        <v/>
      </c>
      <c r="I2806" s="3"/>
    </row>
    <row r="2807" customHeight="1" spans="1:9">
      <c r="A2807" s="2"/>
      <c r="B2807" s="2" t="str">
        <f>IFERROR(__xludf.DUMMYFUNCTION("IF(A2807&lt;&gt;"""", GOOGLETRANSLATE(A2807, ""en"", ""te""),"""")"),"")</f>
        <v/>
      </c>
      <c r="C2807" s="2"/>
      <c r="D2807" s="2" t="str">
        <f>IFERROR(__xludf.DUMMYFUNCTION("IF(C2807&lt;&gt;"""", GOOGLETRANSLATE(C2807, ""en"", ""te""),"""")"),"")</f>
        <v/>
      </c>
      <c r="E2807" s="2"/>
      <c r="F2807" s="2" t="str">
        <f>IFERROR(__xludf.DUMMYFUNCTION("IF(E2807&lt;&gt;"""", GOOGLETRANSLATE(E2807, ""en"", ""te""),"""")"),"")</f>
        <v/>
      </c>
      <c r="G2807" s="2"/>
      <c r="H2807" s="2" t="str">
        <f>IFERROR(__xludf.DUMMYFUNCTION("IF(G2807&lt;&gt;"""", GOOGLETRANSLATE(G2807, ""en"", ""te""),"""")"),"")</f>
        <v/>
      </c>
      <c r="I2807" s="3"/>
    </row>
    <row r="2808" customHeight="1" spans="1:9">
      <c r="A2808" s="2"/>
      <c r="B2808" s="2" t="str">
        <f>IFERROR(__xludf.DUMMYFUNCTION("IF(A2808&lt;&gt;"""", GOOGLETRANSLATE(A2808, ""en"", ""te""),"""")"),"")</f>
        <v/>
      </c>
      <c r="C2808" s="2" t="s">
        <v>1992</v>
      </c>
      <c r="D2808" s="2" t="str">
        <f>IFERROR(__xludf.DUMMYFUNCTION("IF(C2808&lt;&gt;"""", GOOGLETRANSLATE(C2808, ""en"", ""te""),"""")"),"[ 'తొలి 40 వ ఓల్డెస్ట్ క్రీడాకారులు (37y 168d)']")</f>
        <v>[ 'తొలి 40 వ ఓల్డెస్ట్ క్రీడాకారులు (37y 168d)']</v>
      </c>
      <c r="E2808" s="2"/>
      <c r="F2808" s="2" t="str">
        <f>IFERROR(__xludf.DUMMYFUNCTION("IF(E2808&lt;&gt;"""", GOOGLETRANSLATE(E2808, ""en"", ""te""),"""")"),"")</f>
        <v/>
      </c>
      <c r="G2808" s="2"/>
      <c r="H2808" s="2" t="str">
        <f>IFERROR(__xludf.DUMMYFUNCTION("IF(G2808&lt;&gt;"""", GOOGLETRANSLATE(G2808, ""en"", ""te""),"""")"),"")</f>
        <v/>
      </c>
      <c r="I2808" s="3"/>
    </row>
    <row r="2809" customHeight="1" spans="1:9">
      <c r="A2809" s="2" t="s">
        <v>1993</v>
      </c>
      <c r="B2809" s="2" t="str">
        <f>IFERROR(__xludf.DUMMYFUNCTION("IF(A2809&lt;&gt;"""", GOOGLETRANSLATE(A2809, ""en"", ""te""),"""")"),"[ 'ఇన్నింగ్స్ లో 4 వ అత్యధిక పరుగులు (ప్రగతిశీల రికార్డు హోల్డర్) (325)', '8 వ హండ్రెడ్ గత మ్యాచ్లో (325)', '3 వ అత్యంత వృద్ధ ఆటగాడు తొలి వంద (39y 189d) స్కోర్', '6 వ లాంగెస్ట్ వ్యక్తిగత ఇన్నింగ్స్ ( బంతులతో) (640) ']")</f>
        <v>[ 'ఇన్నింగ్స్ లో 4 వ అత్యధిక పరుగులు (ప్రగతిశీల రికార్డు హోల్డర్) (325)', '8 వ హండ్రెడ్ గత మ్యాచ్లో (325)', '3 వ అత్యంత వృద్ధ ఆటగాడు తొలి వంద (39y 189d) స్కోర్', '6 వ లాంగెస్ట్ వ్యక్తిగత ఇన్నింగ్స్ ( బంతులతో) (640) ']</v>
      </c>
      <c r="C2809" s="2" t="s">
        <v>1994</v>
      </c>
      <c r="D2809" s="2" t="str">
        <f>IFERROR(__xludf.DUMMYFUNCTION("IF(C2809&lt;&gt;"""", GOOGLETRANSLATE(C2809, ""en"", ""te""),"""")"),"[ '17 వ ఇన్నింగ్స్ లో అత్యధిక పరుగులు (325)', 'ఇన్నింగ్స్ లో 4 వ అత్యధిక పరుగులు (ప్రగతిశీల రికార్డు హోల్డర్) (325)', 'ఒక మ్యాచ్లో 7 వ అత్యధిక పరుగులు (375)', '9 వ ఇన్నింగ్స్ లో అత్యధిక పరుగులు ( బ్యాటింగ్ స్థానంలో) (325) ',' 8 వ హండ్రెడ్ గత మ్యాచ్లో ద్వా"&amp;"రా (325) ',' ఒక వృత్తిలో 5 వ అత్యధిక ట్రిపుల్ సెంచరీలు (1) ',' 3 వ అత్యంత వృద్ధ ఆటగాడు తొలి వంద (39y 189d) ',' 6 వ స్కోర్ లాంగెస్ట్ వ్యక్తిగత ఇన్నింగ్స్ (బంతులతో) (640) ',' నాలుగవ వికెట్కు 48 వ అత్యధిక భాగస్వామ్యం (249) ',' 40 వ లాంగెస్ట్ క్రీడాకారులు నివ"&amp;"సించారు (91y 288d) ']")</f>
        <v>[ '17 వ ఇన్నింగ్స్ లో అత్యధిక పరుగులు (325)', 'ఇన్నింగ్స్ లో 4 వ అత్యధిక పరుగులు (ప్రగతిశీల రికార్డు హోల్డర్) (325)', 'ఒక మ్యాచ్లో 7 వ అత్యధిక పరుగులు (375)', '9 వ ఇన్నింగ్స్ లో అత్యధిక పరుగులు ( బ్యాటింగ్ స్థానంలో) (325) ',' 8 వ హండ్రెడ్ గత మ్యాచ్లో ద్వారా (325) ',' ఒక వృత్తిలో 5 వ అత్యధిక ట్రిపుల్ సెంచరీలు (1) ',' 3 వ అత్యంత వృద్ధ ఆటగాడు తొలి వంద (39y 189d) ',' 6 వ స్కోర్ లాంగెస్ట్ వ్యక్తిగత ఇన్నింగ్స్ (బంతులతో) (640) ',' నాలుగవ వికెట్కు 48 వ అత్యధిక భాగస్వామ్యం (249) ',' 40 వ లాంగెస్ట్ క్రీడాకారులు నివసించారు (91y 288d) ']</v>
      </c>
      <c r="E2809" s="2"/>
      <c r="F2809" s="2" t="str">
        <f>IFERROR(__xludf.DUMMYFUNCTION("IF(E2809&lt;&gt;"""", GOOGLETRANSLATE(E2809, ""en"", ""te""),"""")"),"")</f>
        <v/>
      </c>
      <c r="G2809" s="2"/>
      <c r="H2809" s="2" t="str">
        <f>IFERROR(__xludf.DUMMYFUNCTION("IF(G2809&lt;&gt;"""", GOOGLETRANSLATE(G2809, ""en"", ""te""),"""")"),"")</f>
        <v/>
      </c>
      <c r="I2809" s="3"/>
    </row>
    <row r="2810" customHeight="1" spans="1:9">
      <c r="A2810" s="2" t="s">
        <v>1995</v>
      </c>
      <c r="B2810" s="2" t="str">
        <f>IFERROR(__xludf.DUMMYFUNCTION("IF(A2810&lt;&gt;"""", GOOGLETRANSLATE(A2810, ""en"", ""te""),"""")"),"[ 'చాలా 5 వ బౌల్డ్ వికెట్లు తీసుకున్నారు (102)']")</f>
        <v>[ 'చాలా 5 వ బౌల్డ్ వికెట్లు తీసుకున్నారు (102)']</v>
      </c>
      <c r="C2810" s="2" t="s">
        <v>1996</v>
      </c>
      <c r="D2810" s="2" t="str">
        <f>IFERROR(__xludf.DUMMYFUNCTION("IF(C2810&lt;&gt;"""", GOOGLETRANSLATE(C2810, ""en"", ""te""),"""")"),"[ '46 వ కెరీర్ లో అత్యధిక వికెట్లు (252)', '24th ఒక ఇన్నింగ్స్ లోని బెస్ట్ ఫిగర్స్ ఉన్నప్పుడు పరాజయం వైపు (7)', '42 వ కెరీర్ లో బౌల్డ్ చాలా బంతుల్లో (16056)', '32 వ బౌలర్ / బ్యాటర్ కలయికలు (11) ',' 5 వ అత్యధిక వికెట్లు 'ఫాస్టెస్ట్ 250 వికెట్లు తీసుకున్న "&amp;"వికెట్కీపర్గా (51)', '37 వ బౌలింగ్లో (102)', '48 వ అత్యంత ఆకర్షించింది తీసుకోబడిన వికెట్ల (70)]")</f>
        <v>[ '46 వ కెరీర్ లో అత్యధిక వికెట్లు (252)', '24th ఒక ఇన్నింగ్స్ లోని బెస్ట్ ఫిగర్స్ ఉన్నప్పుడు పరాజయం వైపు (7)', '42 వ కెరీర్ లో బౌల్డ్ చాలా బంతుల్లో (16056)', '32 వ బౌలర్ / బ్యాటర్ కలయికలు (11) ',' 5 వ అత్యధిక వికెట్లు 'ఫాస్టెస్ట్ 250 వికెట్లు తీసుకున్న వికెట్కీపర్గా (51)', '37 వ బౌలింగ్లో (102)', '48 వ అత్యంత ఆకర్షించింది తీసుకోబడిన వికెట్ల (70)]</v>
      </c>
      <c r="E2810" s="2"/>
      <c r="F2810" s="2" t="str">
        <f>IFERROR(__xludf.DUMMYFUNCTION("IF(E2810&lt;&gt;"""", GOOGLETRANSLATE(E2810, ""en"", ""te""),"""")"),"")</f>
        <v/>
      </c>
      <c r="G2810" s="2"/>
      <c r="H2810" s="2" t="str">
        <f>IFERROR(__xludf.DUMMYFUNCTION("IF(G2810&lt;&gt;"""", GOOGLETRANSLATE(G2810, ""en"", ""te""),"""")"),"")</f>
        <v/>
      </c>
      <c r="I2810" s="3"/>
    </row>
    <row r="2811" customHeight="1" spans="1:9">
      <c r="A2811" s="2"/>
      <c r="B2811" s="2" t="str">
        <f>IFERROR(__xludf.DUMMYFUNCTION("IF(A2811&lt;&gt;"""", GOOGLETRANSLATE(A2811, ""en"", ""te""),"""")"),"")</f>
        <v/>
      </c>
      <c r="C2811" s="2"/>
      <c r="D2811" s="2" t="str">
        <f>IFERROR(__xludf.DUMMYFUNCTION("IF(C2811&lt;&gt;"""", GOOGLETRANSLATE(C2811, ""en"", ""te""),"""")"),"")</f>
        <v/>
      </c>
      <c r="E2811" s="2"/>
      <c r="F2811" s="2" t="str">
        <f>IFERROR(__xludf.DUMMYFUNCTION("IF(E2811&lt;&gt;"""", GOOGLETRANSLATE(E2811, ""en"", ""te""),"""")"),"")</f>
        <v/>
      </c>
      <c r="G2811" s="2"/>
      <c r="H2811" s="2" t="str">
        <f>IFERROR(__xludf.DUMMYFUNCTION("IF(G2811&lt;&gt;"""", GOOGLETRANSLATE(G2811, ""en"", ""te""),"""")"),"")</f>
        <v/>
      </c>
      <c r="I2811" s="3"/>
    </row>
    <row r="2812" customHeight="1" spans="1:9">
      <c r="A2812" s="2"/>
      <c r="B2812" s="2" t="str">
        <f>IFERROR(__xludf.DUMMYFUNCTION("IF(A2812&lt;&gt;"""", GOOGLETRANSLATE(A2812, ""en"", ""te""),"""")"),"")</f>
        <v/>
      </c>
      <c r="C2812" s="2"/>
      <c r="D2812" s="2" t="str">
        <f>IFERROR(__xludf.DUMMYFUNCTION("IF(C2812&lt;&gt;"""", GOOGLETRANSLATE(C2812, ""en"", ""te""),"""")"),"")</f>
        <v/>
      </c>
      <c r="E2812" s="2"/>
      <c r="F2812" s="2" t="str">
        <f>IFERROR(__xludf.DUMMYFUNCTION("IF(E2812&lt;&gt;"""", GOOGLETRANSLATE(E2812, ""en"", ""te""),"""")"),"")</f>
        <v/>
      </c>
      <c r="G2812" s="2"/>
      <c r="H2812" s="2" t="str">
        <f>IFERROR(__xludf.DUMMYFUNCTION("IF(G2812&lt;&gt;"""", GOOGLETRANSLATE(G2812, ""en"", ""te""),"""")"),"")</f>
        <v/>
      </c>
      <c r="I2812" s="3"/>
    </row>
    <row r="2813" customHeight="1" spans="1:9">
      <c r="A2813" s="2"/>
      <c r="B2813" s="2" t="str">
        <f>IFERROR(__xludf.DUMMYFUNCTION("IF(A2813&lt;&gt;"""", GOOGLETRANSLATE(A2813, ""en"", ""te""),"""")"),"")</f>
        <v/>
      </c>
      <c r="C2813" s="2"/>
      <c r="D2813" s="2" t="str">
        <f>IFERROR(__xludf.DUMMYFUNCTION("IF(C2813&lt;&gt;"""", GOOGLETRANSLATE(C2813, ""en"", ""te""),"""")"),"")</f>
        <v/>
      </c>
      <c r="E2813" s="2"/>
      <c r="F2813" s="2" t="str">
        <f>IFERROR(__xludf.DUMMYFUNCTION("IF(E2813&lt;&gt;"""", GOOGLETRANSLATE(E2813, ""en"", ""te""),"""")"),"")</f>
        <v/>
      </c>
      <c r="G2813" s="2"/>
      <c r="H2813" s="2" t="str">
        <f>IFERROR(__xludf.DUMMYFUNCTION("IF(G2813&lt;&gt;"""", GOOGLETRANSLATE(G2813, ""en"", ""te""),"""")"),"")</f>
        <v/>
      </c>
      <c r="I2813" s="3"/>
    </row>
    <row r="2814" customHeight="1" spans="1:9">
      <c r="A2814" s="2"/>
      <c r="B2814" s="2" t="str">
        <f>IFERROR(__xludf.DUMMYFUNCTION("IF(A2814&lt;&gt;"""", GOOGLETRANSLATE(A2814, ""en"", ""te""),"""")"),"")</f>
        <v/>
      </c>
      <c r="C2814" s="2"/>
      <c r="D2814" s="2" t="str">
        <f>IFERROR(__xludf.DUMMYFUNCTION("IF(C2814&lt;&gt;"""", GOOGLETRANSLATE(C2814, ""en"", ""te""),"""")"),"")</f>
        <v/>
      </c>
      <c r="E2814" s="2" t="s">
        <v>1997</v>
      </c>
      <c r="F2814" s="2" t="str">
        <f>IFERROR(__xludf.DUMMYFUNCTION("IF(E2814&lt;&gt;"""", GOOGLETRANSLATE(E2814, ""en"", ""te""),"""")"),"[ '46 వ చెత్త కెరీర్ బౌలింగ్ సరాసరి (అర్హత లేకుండా) (105.00)']")</f>
        <v>[ '46 వ చెత్త కెరీర్ బౌలింగ్ సరాసరి (అర్హత లేకుండా) (105.00)']</v>
      </c>
      <c r="G2814" s="2"/>
      <c r="H2814" s="2" t="str">
        <f>IFERROR(__xludf.DUMMYFUNCTION("IF(G2814&lt;&gt;"""", GOOGLETRANSLATE(G2814, ""en"", ""te""),"""")"),"")</f>
        <v/>
      </c>
      <c r="I2814" s="3"/>
    </row>
    <row r="2815" customHeight="1" spans="1:9">
      <c r="A2815" s="2"/>
      <c r="B2815" s="2" t="str">
        <f>IFERROR(__xludf.DUMMYFUNCTION("IF(A2815&lt;&gt;"""", GOOGLETRANSLATE(A2815, ""en"", ""te""),"""")"),"")</f>
        <v/>
      </c>
      <c r="C2815" s="2"/>
      <c r="D2815" s="2" t="str">
        <f>IFERROR(__xludf.DUMMYFUNCTION("IF(C2815&lt;&gt;"""", GOOGLETRANSLATE(C2815, ""en"", ""te""),"""")"),"")</f>
        <v/>
      </c>
      <c r="E2815" s="2"/>
      <c r="F2815" s="2" t="str">
        <f>IFERROR(__xludf.DUMMYFUNCTION("IF(E2815&lt;&gt;"""", GOOGLETRANSLATE(E2815, ""en"", ""te""),"""")"),"")</f>
        <v/>
      </c>
      <c r="G2815" s="2"/>
      <c r="H2815" s="2" t="str">
        <f>IFERROR(__xludf.DUMMYFUNCTION("IF(G2815&lt;&gt;"""", GOOGLETRANSLATE(G2815, ""en"", ""te""),"""")"),"")</f>
        <v/>
      </c>
      <c r="I2815" s="3"/>
    </row>
    <row r="2816" customHeight="1" spans="1:9">
      <c r="A2816" s="2" t="s">
        <v>1998</v>
      </c>
      <c r="B2816" s="2" t="str">
        <f>IFERROR(__xludf.DUMMYFUNCTION("IF(A2816&lt;&gt;"""", GOOGLETRANSLATE(A2816, ""en"", ""te""),"""")"),"[ '3 వ చెత్త కెరీర్ బౌలింగ్ సరాసరి (76.95)']")</f>
        <v>[ '3 వ చెత్త కెరీర్ బౌలింగ్ సరాసరి (76.95)']</v>
      </c>
      <c r="C2816" s="2" t="s">
        <v>1999</v>
      </c>
      <c r="D2816" s="2" t="str">
        <f>IFERROR(__xludf.DUMMYFUNCTION("IF(C2816&lt;&gt;"""", GOOGLETRANSLATE(C2816, ""en"", ""te""),"""")"),"[ '3 వ చెత్త కెరీర్ సగటు (76.95) బౌలింగ్', '18 వ చెత్త కెరీర్లో ఆర్థిక రేటు (3.70)', '22 వ చెత్త కెరీర్లో సమ్మె రేటు (124.6)']")</f>
        <v>[ '3 వ చెత్త కెరీర్ సగటు (76.95) బౌలింగ్', '18 వ చెత్త కెరీర్లో ఆర్థిక రేటు (3.70)', '22 వ చెత్త కెరీర్లో సమ్మె రేటు (124.6)']</v>
      </c>
      <c r="E2816" s="2"/>
      <c r="F2816" s="2" t="str">
        <f>IFERROR(__xludf.DUMMYFUNCTION("IF(E2816&lt;&gt;"""", GOOGLETRANSLATE(E2816, ""en"", ""te""),"""")"),"")</f>
        <v/>
      </c>
      <c r="G2816" s="2"/>
      <c r="H2816" s="2" t="str">
        <f>IFERROR(__xludf.DUMMYFUNCTION("IF(G2816&lt;&gt;"""", GOOGLETRANSLATE(G2816, ""en"", ""te""),"""")"),"")</f>
        <v/>
      </c>
      <c r="I2816" s="3"/>
    </row>
    <row r="2817" customHeight="1" spans="1:9">
      <c r="A2817" s="2" t="s">
        <v>2000</v>
      </c>
      <c r="B2817" s="2" t="str">
        <f>IFERROR(__xludf.DUMMYFUNCTION("IF(A2817&lt;&gt;"""", GOOGLETRANSLATE(A2817, ""en"", ""te""),"""")"),"[ '10 వ ఒక మ్యాచ్ రిఫరీ (119) వంటి అత్యధిక మ్యాచ్లు']")</f>
        <v>[ '10 వ ఒక మ్యాచ్ రిఫరీ (119) వంటి అత్యధిక మ్యాచ్లు']</v>
      </c>
      <c r="C2817" s="2" t="s">
        <v>2001</v>
      </c>
      <c r="D2817" s="2" t="str">
        <f>IFERROR(__xludf.DUMMYFUNCTION("IF(C2817&lt;&gt;"""", GOOGLETRANSLATE(C2817, ""en"", ""te""),"""")"),"[ '17 వ హండ్రెడ్ గత మ్యాచ్లో (137)', 'కెరీర్లో 21 వ లేవు బాతులు (22)', '19 వ పురాతన దేశం ఆటగాళ్ళు (89y 123d)', '13 వ అత్యధిక మ్యాచ్లు ఒక మ్యాచ్ రిఫరీ గా (41)']")</f>
        <v>[ '17 వ హండ్రెడ్ గత మ్యాచ్లో (137)', 'కెరీర్లో 21 వ లేవు బాతులు (22)', '19 వ పురాతన దేశం ఆటగాళ్ళు (89y 123d)', '13 వ అత్యధిక మ్యాచ్లు ఒక మ్యాచ్ రిఫరీ గా (41)']</v>
      </c>
      <c r="E2817" s="2" t="s">
        <v>2000</v>
      </c>
      <c r="F2817" s="2" t="str">
        <f>IFERROR(__xludf.DUMMYFUNCTION("IF(E2817&lt;&gt;"""", GOOGLETRANSLATE(E2817, ""en"", ""te""),"""")"),"[ '10 వ ఒక మ్యాచ్ రిఫరీ (119) వంటి అత్యధిక మ్యాచ్లు']")</f>
        <v>[ '10 వ ఒక మ్యాచ్ రిఫరీ (119) వంటి అత్యధిక మ్యాచ్లు']</v>
      </c>
      <c r="G2817" s="2"/>
      <c r="H2817" s="2" t="str">
        <f>IFERROR(__xludf.DUMMYFUNCTION("IF(G2817&lt;&gt;"""", GOOGLETRANSLATE(G2817, ""en"", ""te""),"""")"),"")</f>
        <v/>
      </c>
      <c r="I2817" s="3"/>
    </row>
    <row r="2818" customHeight="1" spans="1:9">
      <c r="A2818" s="2" t="s">
        <v>2002</v>
      </c>
      <c r="B2818" s="2" t="str">
        <f>IFERROR(__xludf.DUMMYFUNCTION("IF(A2818&lt;&gt;"""", GOOGLETRANSLATE(A2818, ""en"", ""te""),"""")"),"[ 'బ్యాటింగ్ ప్రారంభించుటకు మరియు అదే మ్యాచ్ లో బౌలింగ్', 'ఎనిమిదవ వికెట్కు 9 వ అత్యధిక భాగస్వామ్యం (76 *)']")</f>
        <v>[ 'బ్యాటింగ్ ప్రారంభించుటకు మరియు అదే మ్యాచ్ లో బౌలింగ్', 'ఎనిమిదవ వికెట్కు 9 వ అత్యధిక భాగస్వామ్యం (76 *)']</v>
      </c>
      <c r="C2818" s="2" t="s">
        <v>2003</v>
      </c>
      <c r="D2818" s="2" t="str">
        <f>IFERROR(__xludf.DUMMYFUNCTION("IF(C2818&lt;&gt;"""", GOOGLETRANSLATE(C2818, ""en"", ""te""),"""")"),"[ '15 వ ఇన్నింగ్స్ లో అత్యధిక పరుగులు (బ్యాటింగ్ స్థానంలో ప్రకారం) (50 *)', '34 వ ఉత్తమ కెరీర్ ఆర్థిక రేటు (1.72)', '27 చెత్త కెరీర్ సగటు (30.72) బౌలింగ్', '19 చెత్త కెరీర్లో సమ్మె రేటు (107.1) ',' కోసం 14 అరంగేట్రంలోనే ఇన్నింగ్స్ లోని బెస్ట్ ఫిగర్స్ (4) "&amp;"',' 35 వ కెరీర్ లో బౌల్డ్ చాలా బంతుల్లో (1928) ',' ఎనిమిదవ వికెట్ (76 *) 9 వ అత్యధిక భాగస్వామ్యం ',' 23 వ వరుస మ్యాచ్లు బృందం (12) ']")</f>
        <v>[ '15 వ ఇన్నింగ్స్ లో అత్యధిక పరుగులు (బ్యాటింగ్ స్థానంలో ప్రకారం) (50 *)', '34 వ ఉత్తమ కెరీర్ ఆర్థిక రేటు (1.72)', '27 చెత్త కెరీర్ సగటు (30.72) బౌలింగ్', '19 చెత్త కెరీర్లో సమ్మె రేటు (107.1) ',' కోసం 14 అరంగేట్రంలోనే ఇన్నింగ్స్ లోని బెస్ట్ ఫిగర్స్ (4) ',' 35 వ కెరీర్ లో బౌల్డ్ చాలా బంతుల్లో (1928) ',' ఎనిమిదవ వికెట్ (76 *) 9 వ అత్యధిక భాగస్వామ్యం ',' 23 వ వరుస మ్యాచ్లు బృందం (12) ']</v>
      </c>
      <c r="E2818" s="2" t="s">
        <v>2004</v>
      </c>
      <c r="F2818" s="2" t="str">
        <f>IFERROR(__xludf.DUMMYFUNCTION("IF(E2818&lt;&gt;"""", GOOGLETRANSLATE(E2818, ""en"", ""te""),"""")"),"[ '45 వ ఉత్తమ ఇన్నింగ్స్ లో ఆర్థిక రేటు (0.50)']")</f>
        <v>[ '45 వ ఉత్తమ ఇన్నింగ్స్ లో ఆర్థిక రేటు (0.50)']</v>
      </c>
      <c r="G2818" s="2"/>
      <c r="H2818" s="2" t="str">
        <f>IFERROR(__xludf.DUMMYFUNCTION("IF(G2818&lt;&gt;"""", GOOGLETRANSLATE(G2818, ""en"", ""te""),"""")"),"")</f>
        <v/>
      </c>
      <c r="I2818" s="3"/>
    </row>
    <row r="2819" customHeight="1" spans="1:9">
      <c r="A2819" s="2"/>
      <c r="B2819" s="2" t="str">
        <f>IFERROR(__xludf.DUMMYFUNCTION("IF(A2819&lt;&gt;"""", GOOGLETRANSLATE(A2819, ""en"", ""te""),"""")"),"")</f>
        <v/>
      </c>
      <c r="C2819" s="2"/>
      <c r="D2819" s="2" t="str">
        <f>IFERROR(__xludf.DUMMYFUNCTION("IF(C2819&lt;&gt;"""", GOOGLETRANSLATE(C2819, ""en"", ""te""),"""")"),"")</f>
        <v/>
      </c>
      <c r="E2819" s="2"/>
      <c r="F2819" s="2" t="str">
        <f>IFERROR(__xludf.DUMMYFUNCTION("IF(E2819&lt;&gt;"""", GOOGLETRANSLATE(E2819, ""en"", ""te""),"""")"),"")</f>
        <v/>
      </c>
      <c r="G2819" s="2"/>
      <c r="H2819" s="2" t="str">
        <f>IFERROR(__xludf.DUMMYFUNCTION("IF(G2819&lt;&gt;"""", GOOGLETRANSLATE(G2819, ""en"", ""te""),"""")"),"")</f>
        <v/>
      </c>
      <c r="I2819" s="3"/>
    </row>
    <row r="2820" customHeight="1" spans="1:9">
      <c r="A2820" s="2"/>
      <c r="B2820" s="2" t="str">
        <f>IFERROR(__xludf.DUMMYFUNCTION("IF(A2820&lt;&gt;"""", GOOGLETRANSLATE(A2820, ""en"", ""te""),"""")"),"")</f>
        <v/>
      </c>
      <c r="C2820" s="2"/>
      <c r="D2820" s="2" t="str">
        <f>IFERROR(__xludf.DUMMYFUNCTION("IF(C2820&lt;&gt;"""", GOOGLETRANSLATE(C2820, ""en"", ""te""),"""")"),"")</f>
        <v/>
      </c>
      <c r="E2820" s="2"/>
      <c r="F2820" s="2" t="str">
        <f>IFERROR(__xludf.DUMMYFUNCTION("IF(E2820&lt;&gt;"""", GOOGLETRANSLATE(E2820, ""en"", ""te""),"""")"),"")</f>
        <v/>
      </c>
      <c r="G2820" s="2"/>
      <c r="H2820" s="2" t="str">
        <f>IFERROR(__xludf.DUMMYFUNCTION("IF(G2820&lt;&gt;"""", GOOGLETRANSLATE(G2820, ""en"", ""te""),"""")"),"")</f>
        <v/>
      </c>
      <c r="I2820" s="3"/>
    </row>
    <row r="2821" customHeight="1" spans="1:9">
      <c r="A2821" s="2" t="s">
        <v>2005</v>
      </c>
      <c r="B2821" s="2" t="str">
        <f>IFERROR(__xludf.DUMMYFUNCTION("IF(A2821&lt;&gt;"""", GOOGLETRANSLATE(A2821, ""en"", ""te""),"""")"),"[ '1st వరుస మ్యాచ్లు ఆడి (10) మధ్య ఒక జట్టుకు దూరమయ్యాడు' 'వరుస 1st చాలా బాతులు (3)', 'ఇన్నింగ్స్ లో 3 వ చెత్త ఆర్థిక రేటు (5.45)']")</f>
        <v>[ '1st వరుస మ్యాచ్లు ఆడి (10) మధ్య ఒక జట్టుకు దూరమయ్యాడు' 'వరుస 1st చాలా బాతులు (3)', 'ఇన్నింగ్స్ లో 3 వ చెత్త ఆర్థిక రేటు (5.45)']</v>
      </c>
      <c r="C2821" s="2" t="s">
        <v>2006</v>
      </c>
      <c r="D2821" s="2" t="str">
        <f>IFERROR(__xludf.DUMMYFUNCTION("IF(C2821&lt;&gt;"""", GOOGLETRANSLATE(C2821, ""en"", ""te""),"""")"),"[ 'కెరీర్లో 6 వ అత్యంత బాతులు (4)', '1st ఒక సిరీస్లో అత్యధిక బాతులు (3)', 'కెరీర్ లో 2 వ పెద్ద జతల (1)', 'ఇన్నింగ్స్ లో 3 వ చెత్త ఆర్థిక రేటు (5.45)', '1st వరుస మ్యాచ్లు ప్రదర్శనల మధ్య బృందం (10) కోసం తప్పిన ']")</f>
        <v>[ 'కెరీర్లో 6 వ అత్యంత బాతులు (4)', '1st ఒక సిరీస్లో అత్యధిక బాతులు (3)', 'కెరీర్ లో 2 వ పెద్ద జతల (1)', 'ఇన్నింగ్స్ లో 3 వ చెత్త ఆర్థిక రేటు (5.45)', '1st వరుస మ్యాచ్లు ప్రదర్శనల మధ్య బృందం (10) కోసం తప్పిన ']</v>
      </c>
      <c r="E2821" s="2" t="s">
        <v>2007</v>
      </c>
      <c r="F2821" s="2" t="str">
        <f>IFERROR(__xludf.DUMMYFUNCTION("IF(E2821&lt;&gt;"""", GOOGLETRANSLATE(E2821, ""en"", ""te""),"""")"),"[ '26 ఉత్తమ ఇన్నింగ్స్ లో ఆర్థిక రేటు (0.40)', '48 వ చెత్త కెరీర్లో సమ్మె రేటు (52.0)', '32 వ వికెట్కీపర్గా (10) పట్టుకుంటే తీసుకున్న అత్యధిక వికెట్లు']")</f>
        <v>[ '26 ఉత్తమ ఇన్నింగ్స్ లో ఆర్థిక రేటు (0.40)', '48 వ చెత్త కెరీర్లో సమ్మె రేటు (52.0)', '32 వ వికెట్కీపర్గా (10) పట్టుకుంటే తీసుకున్న అత్యధిక వికెట్లు']</v>
      </c>
      <c r="G2821" s="2"/>
      <c r="H2821" s="2" t="str">
        <f>IFERROR(__xludf.DUMMYFUNCTION("IF(G2821&lt;&gt;"""", GOOGLETRANSLATE(G2821, ""en"", ""te""),"""")"),"")</f>
        <v/>
      </c>
      <c r="I2821" s="3"/>
    </row>
    <row r="2822" customHeight="1" spans="1:9">
      <c r="A2822" s="2" t="s">
        <v>2008</v>
      </c>
      <c r="B2822" s="2" t="str">
        <f>IFERROR(__xludf.DUMMYFUNCTION("IF(A2822&lt;&gt;"""", GOOGLETRANSLATE(A2822, ""en"", ""te""),"""")"),"[ 'పరాజయం వైపు (167 *) ఒక మ్యాచ్లో 8 వ అత్యధిక పరుగులు' 'ఒక మ్యాచ్ లో రెండు అజేయంగా అర్ధ', '10 వ లాంగెస్ట్ వ్యక్తిగత ఇన్నింగ్స్ (బంతులతో) (168)']")</f>
        <v>[ 'పరాజయం వైపు (167 *) ఒక మ్యాచ్లో 8 వ అత్యధిక పరుగులు' 'ఒక మ్యాచ్ లో రెండు అజేయంగా అర్ధ', '10 వ లాంగెస్ట్ వ్యక్తిగత ఇన్నింగ్స్ (బంతులతో) (168)']</v>
      </c>
      <c r="C2822" s="2" t="s">
        <v>2009</v>
      </c>
      <c r="D2822" s="2" t="str">
        <f>IFERROR(__xludf.DUMMYFUNCTION("IF(C2822&lt;&gt;"""", GOOGLETRANSLATE(C2822, ""en"", ""te""),"""")"),"[ 'వరుస మ్యాచ్లలో 15 వ యాభైల్లో (8)']")</f>
        <v>[ 'వరుస మ్యాచ్లలో 15 వ యాభైల్లో (8)']</v>
      </c>
      <c r="E2822" s="2" t="s">
        <v>2010</v>
      </c>
      <c r="F2822" s="2" t="str">
        <f>IFERROR(__xludf.DUMMYFUNCTION("IF(E2822&lt;&gt;"""", GOOGLETRANSLATE(E2822, ""en"", ""te""),"""")"),"[ 'పరాజయం వైపు ఒక మ్యాచ్ (167 *) లో 8 వ అత్యధిక పరుగులు' 'ఇన్నింగ్స్ లో 8 వ అత్యధిక పరుగులు (167 *) (బ్యాటింగ్ స్థానం)', '10 వ లాంగెస్ట్ వ్యక్తిగత ఇన్నింగ్స్ (బంతులతో) (168)', '2000 పరుగులు వేగంగా 34 వ (56)' '12 వ అత్యధిక ఒక ఇన్నింగ్స్లో పరుగుల శాతం (60."&amp;"28)',]")</f>
        <v>[ 'పరాజయం వైపు ఒక మ్యాచ్ (167 *) లో 8 వ అత్యధిక పరుగులు' 'ఇన్నింగ్స్ లో 8 వ అత్యధిక పరుగులు (167 *) (బ్యాటింగ్ స్థానం)', '10 వ లాంగెస్ట్ వ్యక్తిగత ఇన్నింగ్స్ (బంతులతో) (168)', '2000 పరుగులు వేగంగా 34 వ (56)' '12 వ అత్యధిక ఒక ఇన్నింగ్స్లో పరుగుల శాతం (60.28)',]</v>
      </c>
      <c r="G2822" s="2"/>
      <c r="H2822" s="2" t="str">
        <f>IFERROR(__xludf.DUMMYFUNCTION("IF(G2822&lt;&gt;"""", GOOGLETRANSLATE(G2822, ""en"", ""te""),"""")"),"")</f>
        <v/>
      </c>
      <c r="I2822" s="3"/>
    </row>
    <row r="2823" customHeight="1" spans="1:9">
      <c r="A2823" s="2"/>
      <c r="B2823" s="2" t="str">
        <f>IFERROR(__xludf.DUMMYFUNCTION("IF(A2823&lt;&gt;"""", GOOGLETRANSLATE(A2823, ""en"", ""te""),"""")"),"")</f>
        <v/>
      </c>
      <c r="C2823" s="2"/>
      <c r="D2823" s="2" t="str">
        <f>IFERROR(__xludf.DUMMYFUNCTION("IF(C2823&lt;&gt;"""", GOOGLETRANSLATE(C2823, ""en"", ""te""),"""")"),"")</f>
        <v/>
      </c>
      <c r="E2823" s="2"/>
      <c r="F2823" s="2" t="str">
        <f>IFERROR(__xludf.DUMMYFUNCTION("IF(E2823&lt;&gt;"""", GOOGLETRANSLATE(E2823, ""en"", ""te""),"""")"),"")</f>
        <v/>
      </c>
      <c r="G2823" s="2"/>
      <c r="H2823" s="2" t="str">
        <f>IFERROR(__xludf.DUMMYFUNCTION("IF(G2823&lt;&gt;"""", GOOGLETRANSLATE(G2823, ""en"", ""te""),"""")"),"")</f>
        <v/>
      </c>
      <c r="I2823" s="3"/>
    </row>
    <row r="2824" customHeight="1" spans="1:9">
      <c r="A2824" s="2"/>
      <c r="B2824" s="2" t="str">
        <f>IFERROR(__xludf.DUMMYFUNCTION("IF(A2824&lt;&gt;"""", GOOGLETRANSLATE(A2824, ""en"", ""te""),"""")"),"")</f>
        <v/>
      </c>
      <c r="C2824" s="2"/>
      <c r="D2824" s="2" t="str">
        <f>IFERROR(__xludf.DUMMYFUNCTION("IF(C2824&lt;&gt;"""", GOOGLETRANSLATE(C2824, ""en"", ""te""),"""")"),"")</f>
        <v/>
      </c>
      <c r="E2824" s="2"/>
      <c r="F2824" s="2" t="str">
        <f>IFERROR(__xludf.DUMMYFUNCTION("IF(E2824&lt;&gt;"""", GOOGLETRANSLATE(E2824, ""en"", ""te""),"""")"),"")</f>
        <v/>
      </c>
      <c r="G2824" s="2"/>
      <c r="H2824" s="2" t="str">
        <f>IFERROR(__xludf.DUMMYFUNCTION("IF(G2824&lt;&gt;"""", GOOGLETRANSLATE(G2824, ""en"", ""te""),"""")"),"")</f>
        <v/>
      </c>
      <c r="I2824" s="3"/>
    </row>
    <row r="2825" customHeight="1" spans="1:9">
      <c r="A2825" s="2"/>
      <c r="B2825" s="2" t="str">
        <f>IFERROR(__xludf.DUMMYFUNCTION("IF(A2825&lt;&gt;"""", GOOGLETRANSLATE(A2825, ""en"", ""te""),"""")"),"")</f>
        <v/>
      </c>
      <c r="C2825" s="2"/>
      <c r="D2825" s="2" t="str">
        <f>IFERROR(__xludf.DUMMYFUNCTION("IF(C2825&lt;&gt;"""", GOOGLETRANSLATE(C2825, ""en"", ""te""),"""")"),"")</f>
        <v/>
      </c>
      <c r="E2825" s="2" t="s">
        <v>2011</v>
      </c>
      <c r="F2825" s="2" t="str">
        <f>IFERROR(__xludf.DUMMYFUNCTION("IF(E2825&lt;&gt;"""", GOOGLETRANSLATE(E2825, ""en"", ""te""),"""")"),"[ '28 పురాతన దేశం ఆటగాళ్ళు (79y 245d)']")</f>
        <v>[ '28 పురాతన దేశం ఆటగాళ్ళు (79y 245d)']</v>
      </c>
      <c r="G2825" s="2"/>
      <c r="H2825" s="2" t="str">
        <f>IFERROR(__xludf.DUMMYFUNCTION("IF(G2825&lt;&gt;"""", GOOGLETRANSLATE(G2825, ""en"", ""te""),"""")"),"")</f>
        <v/>
      </c>
      <c r="I2825" s="3"/>
    </row>
    <row r="2826" customHeight="1" spans="1:9">
      <c r="A2826" s="2"/>
      <c r="B2826" s="2" t="str">
        <f>IFERROR(__xludf.DUMMYFUNCTION("IF(A2826&lt;&gt;"""", GOOGLETRANSLATE(A2826, ""en"", ""te""),"""")"),"")</f>
        <v/>
      </c>
      <c r="C2826" s="2" t="s">
        <v>2012</v>
      </c>
      <c r="D2826" s="2" t="str">
        <f>IFERROR(__xludf.DUMMYFUNCTION("IF(C2826&lt;&gt;"""", GOOGLETRANSLATE(C2826, ""en"", ""te""),"""")"),"[ '25 లాంగెస్ట్ క్రీడాకారులు నివసించారు (93y 206d)', '20 వ ఇన్నింగ్స్ లో సాధించిన (26) చాలా బైలు']")</f>
        <v>[ '25 లాంగెస్ట్ క్రీడాకారులు నివసించారు (93y 206d)', '20 వ ఇన్నింగ్స్ లో సాధించిన (26) చాలా బైలు']</v>
      </c>
      <c r="E2826" s="2"/>
      <c r="F2826" s="2" t="str">
        <f>IFERROR(__xludf.DUMMYFUNCTION("IF(E2826&lt;&gt;"""", GOOGLETRANSLATE(E2826, ""en"", ""te""),"""")"),"")</f>
        <v/>
      </c>
      <c r="G2826" s="2"/>
      <c r="H2826" s="2" t="str">
        <f>IFERROR(__xludf.DUMMYFUNCTION("IF(G2826&lt;&gt;"""", GOOGLETRANSLATE(G2826, ""en"", ""te""),"""")"),"")</f>
        <v/>
      </c>
      <c r="I2826" s="3"/>
    </row>
    <row r="2827" customHeight="1" spans="1:9">
      <c r="A2827" s="2" t="s">
        <v>2013</v>
      </c>
      <c r="B2827" s="2" t="str">
        <f>IFERROR(__xludf.DUMMYFUNCTION("IF(A2827&lt;&gt;"""", GOOGLETRANSLATE(A2827, ""en"", ""te""),"""")"),"[ '9 వ ఎక్కువ (59 *) ఒక ఇన్నింగ్స్ లో నడుస్తుంది (బ్యాటింగ్ స్థానం)']")</f>
        <v>[ '9 వ ఎక్కువ (59 *) ఒక ఇన్నింగ్స్ లో నడుస్తుంది (బ్యాటింగ్ స్థానం)']</v>
      </c>
      <c r="C2827" s="2" t="s">
        <v>2014</v>
      </c>
      <c r="D2827" s="2" t="str">
        <f>IFERROR(__xludf.DUMMYFUNCTION("IF(C2827&lt;&gt;"""", GOOGLETRANSLATE(C2827, ""en"", ""te""),"""")"),"[ 'ఇన్నింగ్స్ లో 9 వ అత్యధిక పరుగులు (బ్యాటింగ్ స్థానంలో ప్రకారం) (59 *)', '39 వ కెరీర్ బాతులు (17)', '43 వ అత్యధిక వికెట్లు తీసుకున్న బౌల్డ్ (57)', '36 వ 150 వికెట్లు వేగంగా (36) ',' 200 వికెట్లు వేగంగా 34 వ (49) ']")</f>
        <v>[ 'ఇన్నింగ్స్ లో 9 వ అత్యధిక పరుగులు (బ్యాటింగ్ స్థానంలో ప్రకారం) (59 *)', '39 వ కెరీర్ బాతులు (17)', '43 వ అత్యధిక వికెట్లు తీసుకున్న బౌల్డ్ (57)', '36 వ 150 వికెట్లు వేగంగా (36) ',' 200 వికెట్లు వేగంగా 34 వ (49) ']</v>
      </c>
      <c r="E2827" s="2" t="s">
        <v>2015</v>
      </c>
      <c r="F2827" s="2" t="str">
        <f>IFERROR(__xludf.DUMMYFUNCTION("IF(E2827&lt;&gt;"""", GOOGLETRANSLATE(E2827, ""en"", ""te""),"""")"),"[ '43 వ ఉత్తమ ఇన్నింగ్స్ లో ఆర్థిక రేటు (0.91)', '29th పురాతన దేశం ఆటగాళ్ళు (79y 231d)']")</f>
        <v>[ '43 వ ఉత్తమ ఇన్నింగ్స్ లో ఆర్థిక రేటు (0.91)', '29th పురాతన దేశం ఆటగాళ్ళు (79y 231d)']</v>
      </c>
      <c r="G2827" s="2"/>
      <c r="H2827" s="2" t="str">
        <f>IFERROR(__xludf.DUMMYFUNCTION("IF(G2827&lt;&gt;"""", GOOGLETRANSLATE(G2827, ""en"", ""te""),"""")"),"")</f>
        <v/>
      </c>
      <c r="I2827" s="3"/>
    </row>
    <row r="2828" customHeight="1" spans="1:9">
      <c r="A2828" s="2"/>
      <c r="B2828" s="2" t="str">
        <f>IFERROR(__xludf.DUMMYFUNCTION("IF(A2828&lt;&gt;"""", GOOGLETRANSLATE(A2828, ""en"", ""te""),"""")"),"")</f>
        <v/>
      </c>
      <c r="C2828" s="2"/>
      <c r="D2828" s="2" t="str">
        <f>IFERROR(__xludf.DUMMYFUNCTION("IF(C2828&lt;&gt;"""", GOOGLETRANSLATE(C2828, ""en"", ""te""),"""")"),"")</f>
        <v/>
      </c>
      <c r="E2828" s="2"/>
      <c r="F2828" s="2" t="str">
        <f>IFERROR(__xludf.DUMMYFUNCTION("IF(E2828&lt;&gt;"""", GOOGLETRANSLATE(E2828, ""en"", ""te""),"""")"),"")</f>
        <v/>
      </c>
      <c r="G2828" s="2"/>
      <c r="H2828" s="2" t="str">
        <f>IFERROR(__xludf.DUMMYFUNCTION("IF(G2828&lt;&gt;"""", GOOGLETRANSLATE(G2828, ""en"", ""te""),"""")"),"")</f>
        <v/>
      </c>
      <c r="I2828" s="3"/>
    </row>
    <row r="2829" customHeight="1" spans="1:9">
      <c r="A2829" s="2"/>
      <c r="B2829" s="2" t="str">
        <f>IFERROR(__xludf.DUMMYFUNCTION("IF(A2829&lt;&gt;"""", GOOGLETRANSLATE(A2829, ""en"", ""te""),"""")"),"")</f>
        <v/>
      </c>
      <c r="C2829" s="2"/>
      <c r="D2829" s="2" t="str">
        <f>IFERROR(__xludf.DUMMYFUNCTION("IF(C2829&lt;&gt;"""", GOOGLETRANSLATE(C2829, ""en"", ""te""),"""")"),"")</f>
        <v/>
      </c>
      <c r="E2829" s="2"/>
      <c r="F2829" s="2" t="str">
        <f>IFERROR(__xludf.DUMMYFUNCTION("IF(E2829&lt;&gt;"""", GOOGLETRANSLATE(E2829, ""en"", ""te""),"""")"),"")</f>
        <v/>
      </c>
      <c r="G2829" s="2"/>
      <c r="H2829" s="2" t="str">
        <f>IFERROR(__xludf.DUMMYFUNCTION("IF(G2829&lt;&gt;"""", GOOGLETRANSLATE(G2829, ""en"", ""te""),"""")"),"")</f>
        <v/>
      </c>
      <c r="I2829" s="3"/>
    </row>
    <row r="2830" customHeight="1" spans="1:9">
      <c r="A2830" s="2"/>
      <c r="B2830" s="2" t="str">
        <f>IFERROR(__xludf.DUMMYFUNCTION("IF(A2830&lt;&gt;"""", GOOGLETRANSLATE(A2830, ""en"", ""te""),"""")"),"")</f>
        <v/>
      </c>
      <c r="C2830" s="2"/>
      <c r="D2830" s="2" t="str">
        <f>IFERROR(__xludf.DUMMYFUNCTION("IF(C2830&lt;&gt;"""", GOOGLETRANSLATE(C2830, ""en"", ""te""),"""")"),"")</f>
        <v/>
      </c>
      <c r="E2830" s="2"/>
      <c r="F2830" s="2" t="str">
        <f>IFERROR(__xludf.DUMMYFUNCTION("IF(E2830&lt;&gt;"""", GOOGLETRANSLATE(E2830, ""en"", ""te""),"""")"),"")</f>
        <v/>
      </c>
      <c r="G2830" s="2"/>
      <c r="H2830" s="2" t="str">
        <f>IFERROR(__xludf.DUMMYFUNCTION("IF(G2830&lt;&gt;"""", GOOGLETRANSLATE(G2830, ""en"", ""te""),"""")"),"")</f>
        <v/>
      </c>
      <c r="I2830" s="3"/>
    </row>
    <row r="2831" customHeight="1" spans="1:9">
      <c r="A2831" s="2" t="s">
        <v>2016</v>
      </c>
      <c r="B2831" s="2" t="str">
        <f>IFERROR(__xludf.DUMMYFUNCTION("IF(A2831&lt;&gt;"""", GOOGLETRANSLATE(A2831, ""en"", ""te""),"""")"),"[ 'హండ్రెడ్ తొలి (112)', 'హండ్రెడ్ ఒక మ్యాచ్లో ప్రతి ఇన్నింగ్స్లో', 'హండ్రెడ్ మరియు ఒక మ్యాచ్లో తొంభై', 'హండ్రెడ్ మరియు ఒక మ్యాచ్లో ఒక డక్', '5000 పరుగులు మరియు 50 ఫీల్డింగ్ వికెట్లు', ' నాలుగో వికెట్కు 7 వ అత్యధిక భాగస్వామ్యం (226) ']")</f>
        <v>[ 'హండ్రెడ్ తొలి (112)', 'హండ్రెడ్ ఒక మ్యాచ్లో ప్రతి ఇన్నింగ్స్లో', 'హండ్రెడ్ మరియు ఒక మ్యాచ్లో తొంభై', 'హండ్రెడ్ మరియు ఒక మ్యాచ్లో ఒక డక్', '5000 పరుగులు మరియు 50 ఫీల్డింగ్ వికెట్లు', ' నాలుగో వికెట్కు 7 వ అత్యధిక భాగస్వామ్యం (226) ']</v>
      </c>
      <c r="C2831" s="2" t="s">
        <v>2017</v>
      </c>
      <c r="D2831" s="2" t="str">
        <f>IFERROR(__xludf.DUMMYFUNCTION("IF(C2831&lt;&gt;"""", GOOGLETRANSLATE(C2831, ""en"", ""te""),"""")"),"[ '21 వ పరాజయం వైపు ఒక మ్యాచ్లో అత్యధిక పరుగులు (231)', '11 వ ఒకే మైదానంలో అత్యధిక పరుగులు (1562)', 'ఒక కెప్టెన్ ద్వారా ఒక సిరీస్లో 35 వ అత్యధిక పరుగులు (541)', '15 వ అత్యంత పరుగులు తొలి మ్యాచ్ (195) ',' 38 వ ఒక వృత్తిలో అత్యధిక వందలు (21) ',' వరుస మ్యా"&amp;"చ్లలో 21 వందల (3) ',' 40 వ అత్యంత ఫోర్లు కెరీర్లో (867) ',' 22 వ 1000 పరుగులు వేగంగా (19) ',' ఫాస్టెస్ట్ 5000 పరుగులు 6000 పరుగులు (146) ',' 22 వ అత్యధిక క్యాచ్లు కెరీర్ లో 43 వ (117) ',' 44 వ వేగవంతమైన (121) ',' మొదటి వికెట్కు 50 వ అత్యధిక భాగస్వామ్యం ("&amp;"229) ',' 22 వ రెండవ వికెట్కు అత్యధిక భాగస్వామ్యం (291) ',' 12 వ అత్యంత ప్లేయర్ ఆఫ్ ది సిరీస్ అవార్డులు (5) ',' 15 వ కెప్టెన్గా అత్యధిక మ్యాచ్లు (50) ',' 24th ఒక జట్టు కెప్టెన్గా వరుస మ్యాచ్లు (29 ) ']")</f>
        <v>[ '21 వ పరాజయం వైపు ఒక మ్యాచ్లో అత్యధిక పరుగులు (231)', '11 వ ఒకే మైదానంలో అత్యధిక పరుగులు (1562)', 'ఒక కెప్టెన్ ద్వారా ఒక సిరీస్లో 35 వ అత్యధిక పరుగులు (541)', '15 వ అత్యంత పరుగులు తొలి మ్యాచ్ (195) ',' 38 వ ఒక వృత్తిలో అత్యధిక వందలు (21) ',' వరుస మ్యాచ్లలో 21 వందల (3) ',' 40 వ అత్యంత ఫోర్లు కెరీర్లో (867) ',' 22 వ 1000 పరుగులు వేగంగా (19) ',' ఫాస్టెస్ట్ 5000 పరుగులు 6000 పరుగులు (146) ',' 22 వ అత్యధిక క్యాచ్లు కెరీర్ లో 43 వ (117) ',' 44 వ వేగవంతమైన (121) ',' మొదటి వికెట్కు 50 వ అత్యధిక భాగస్వామ్యం (229) ',' 22 వ రెండవ వికెట్కు అత్యధిక భాగస్వామ్యం (291) ',' 12 వ అత్యంత ప్లేయర్ ఆఫ్ ది సిరీస్ అవార్డులు (5) ',' 15 వ కెప్టెన్గా అత్యధిక మ్యాచ్లు (50) ',' 24th ఒక జట్టు కెప్టెన్గా వరుస మ్యాచ్లు (29 ) ']</v>
      </c>
      <c r="E2831" s="2" t="s">
        <v>2018</v>
      </c>
      <c r="F2831" s="2" t="str">
        <f>IFERROR(__xludf.DUMMYFUNCTION("IF(E2831&lt;&gt;"""", GOOGLETRANSLATE(E2831, ""en"", ""te""),"""")"),"[ '46 వ అత్యంత కెప్టెన్ ద్వారా ఒక సిరీస్లో పరుగులు (334)', 'ఒక కెప్టెన్తో ఇన్నింగ్స్ 12 వ అత్యధిక పరుగులు (158)', '25 వ అత్యంత ఇన్నింగ్స్ తొలి డక్ ముందు (39)', '39 వ అత్యంత ఇన్నింగ్స్ లో ఫోర్లు (19) ',' ఏ వికెట్కు 26 అత్యధిక భాగస్వామ్యాల (250) ',' రెండవ వ"&amp;"ికెట్కు 8 వ అత్యధిక భాగస్వామ్యం (250) ',' నాలుగవ వికెట్కు 7 వ అత్యధిక భాగస్వామ్యం (226) ',' 45 వ వరుస ఒక మ్యాచ్ జట్టు (74) ',' 45 వ అత్యంత ప్లేయర్ ఆఫ్ ది సిరీస్ అవార్డులు (3) ',' 43 వ అత్యధిక మ్యాచ్లు కెప్టెన్గా (62) ']")</f>
        <v>[ '46 వ అత్యంత కెప్టెన్ ద్వారా ఒక సిరీస్లో పరుగులు (334)', 'ఒక కెప్టెన్తో ఇన్నింగ్స్ 12 వ అత్యధిక పరుగులు (158)', '25 వ అత్యంత ఇన్నింగ్స్ తొలి డక్ ముందు (39)', '39 వ అత్యంత ఇన్నింగ్స్ లో ఫోర్లు (19) ',' ఏ వికెట్కు 26 అత్యధిక భాగస్వామ్యాల (250) ',' రెండవ వికెట్కు 8 వ అత్యధిక భాగస్వామ్యం (250) ',' నాలుగవ వికెట్కు 7 వ అత్యధిక భాగస్వామ్యం (226) ',' 45 వ వరుస ఒక మ్యాచ్ జట్టు (74) ',' 45 వ అత్యంత ప్లేయర్ ఆఫ్ ది సిరీస్ అవార్డులు (3) ',' 43 వ అత్యధిక మ్యాచ్లు కెప్టెన్గా (62) ']</v>
      </c>
      <c r="G2831" s="2"/>
      <c r="H2831" s="2" t="str">
        <f>IFERROR(__xludf.DUMMYFUNCTION("IF(G2831&lt;&gt;"""", GOOGLETRANSLATE(G2831, ""en"", ""te""),"""")"),"")</f>
        <v/>
      </c>
      <c r="I2831" s="3"/>
    </row>
    <row r="2832" customHeight="1" spans="1:9">
      <c r="A2832" s="2"/>
      <c r="B2832" s="2" t="str">
        <f>IFERROR(__xludf.DUMMYFUNCTION("IF(A2832&lt;&gt;"""", GOOGLETRANSLATE(A2832, ""en"", ""te""),"""")"),"")</f>
        <v/>
      </c>
      <c r="C2832" s="2"/>
      <c r="D2832" s="2" t="str">
        <f>IFERROR(__xludf.DUMMYFUNCTION("IF(C2832&lt;&gt;"""", GOOGLETRANSLATE(C2832, ""en"", ""te""),"""")"),"")</f>
        <v/>
      </c>
      <c r="E2832" s="2"/>
      <c r="F2832" s="2" t="str">
        <f>IFERROR(__xludf.DUMMYFUNCTION("IF(E2832&lt;&gt;"""", GOOGLETRANSLATE(E2832, ""en"", ""te""),"""")"),"")</f>
        <v/>
      </c>
      <c r="G2832" s="2"/>
      <c r="H2832" s="2" t="str">
        <f>IFERROR(__xludf.DUMMYFUNCTION("IF(G2832&lt;&gt;"""", GOOGLETRANSLATE(G2832, ""en"", ""te""),"""")"),"")</f>
        <v/>
      </c>
      <c r="I2832" s="3"/>
    </row>
    <row r="2833" customHeight="1" spans="1:9">
      <c r="A2833" s="2"/>
      <c r="B2833" s="2" t="str">
        <f>IFERROR(__xludf.DUMMYFUNCTION("IF(A2833&lt;&gt;"""", GOOGLETRANSLATE(A2833, ""en"", ""te""),"""")"),"")</f>
        <v/>
      </c>
      <c r="C2833" s="2"/>
      <c r="D2833" s="2" t="str">
        <f>IFERROR(__xludf.DUMMYFUNCTION("IF(C2833&lt;&gt;"""", GOOGLETRANSLATE(C2833, ""en"", ""te""),"""")"),"")</f>
        <v/>
      </c>
      <c r="E2833" s="2"/>
      <c r="F2833" s="2" t="str">
        <f>IFERROR(__xludf.DUMMYFUNCTION("IF(E2833&lt;&gt;"""", GOOGLETRANSLATE(E2833, ""en"", ""te""),"""")"),"")</f>
        <v/>
      </c>
      <c r="G2833" s="2"/>
      <c r="H2833" s="2" t="str">
        <f>IFERROR(__xludf.DUMMYFUNCTION("IF(G2833&lt;&gt;"""", GOOGLETRANSLATE(G2833, ""en"", ""te""),"""")"),"")</f>
        <v/>
      </c>
      <c r="I2833" s="3"/>
    </row>
    <row r="2834" customHeight="1" spans="1:9">
      <c r="A2834" s="2" t="s">
        <v>2019</v>
      </c>
      <c r="B2834" s="2" t="str">
        <f>IFERROR(__xludf.DUMMYFUNCTION("IF(A2834&lt;&gt;"""", GOOGLETRANSLATE(A2834, ""en"", ""te""),"""")"),"[ 'ఇన్నింగ్స్ లో 6 వ అత్యధిక పరుగులు (బ్యాటింగ్ స్థానంలో ద్వారా) (29)', '7 వ అత్యంత ఐదు-వికెట్ల లో-ఒక-ఇన్నింగ్స్ కెరీర్లో (2)', '8 వ అత్యధిక వికెట్లు తీసుకున్న ఎల్బిడబ్ల్యు (23)', ' ఒక ఇన్నింగ్స్ లో 4 వ అత్యధిక క్యాచ్లు (3) ',' ఇన్నింగ్స్ లో పదవ వికెట్ను "&amp;"(41 *) ',' 7 వ అత్యధిక పరుగులు (బ్యాటింగ్ స్థానంలో ద్వారా) 10 వ అత్యధిక భాగస్వామ్యం (29) ',' 4 వ కెరీర్ లో అత్యధిక వికెట్లు (102 ) ',' 6 వ ఉత్తమ కెరీర్ సమ్మె రేటు (15.6) ',' 4 వ అత్యంత నాలుగు వికెట్లు-ఇన్-ఒక-ఇన్నింగ్స్ కెరీర్లో కెరీర్లో (3) ',' 8 వ అత్యంత"&amp;" పనికత్తెలయొద్ద (10) ',' 10 వ అత్యధిక పరుగులు సాధించిన కెరీర్లో (1587) ',' 3 వ అత్యంత బౌల్డ్ వికెట్లు తీసుకున్నారు (30) ']")</f>
        <v>[ 'ఇన్నింగ్స్ లో 6 వ అత్యధిక పరుగులు (బ్యాటింగ్ స్థానంలో ద్వారా) (29)', '7 వ అత్యంత ఐదు-వికెట్ల లో-ఒక-ఇన్నింగ్స్ కెరీర్లో (2)', '8 వ అత్యధిక వికెట్లు తీసుకున్న ఎల్బిడబ్ల్యు (23)', ' ఒక ఇన్నింగ్స్ లో 4 వ అత్యధిక క్యాచ్లు (3) ',' ఇన్నింగ్స్ లో పదవ వికెట్ను (41 *) ',' 7 వ అత్యధిక పరుగులు (బ్యాటింగ్ స్థానంలో ద్వారా) 10 వ అత్యధిక భాగస్వామ్యం (29) ',' 4 వ కెరీర్ లో అత్యధిక వికెట్లు (102 ) ',' 6 వ ఉత్తమ కెరీర్ సమ్మె రేటు (15.6) ',' 4 వ అత్యంత నాలుగు వికెట్లు-ఇన్-ఒక-ఇన్నింగ్స్ కెరీర్లో కెరీర్లో (3) ',' 8 వ అత్యంత పనికత్తెలయొద్ద (10) ',' 10 వ అత్యధిక పరుగులు సాధించిన కెరీర్లో (1587) ',' 3 వ అత్యంత బౌల్డ్ వికెట్లు తీసుకున్నారు (30) ']</v>
      </c>
      <c r="C2834" s="2" t="s">
        <v>2020</v>
      </c>
      <c r="D2834" s="2" t="str">
        <f>IFERROR(__xludf.DUMMYFUNCTION("IF(C2834&lt;&gt;"""", GOOGLETRANSLATE(C2834, ""en"", ""te""),"""")"),"[ '15 ఇన్నింగ్స్లో ఉత్తమ సంఖ్యలు ఉన్నప్పుడు పరాజయం వైపు (4)', 'పరాజయం వైపు 17 బెస్ట్ ఫిగర్స్ ఒక మ్యాచ్లో ఉన్నప్పుడు (5)']")</f>
        <v>[ '15 ఇన్నింగ్స్లో ఉత్తమ సంఖ్యలు ఉన్నప్పుడు పరాజయం వైపు (4)', 'పరాజయం వైపు 17 బెస్ట్ ఫిగర్స్ ఒక మ్యాచ్లో ఉన్నప్పుడు (5)']</v>
      </c>
      <c r="E2834" s="2" t="s">
        <v>2021</v>
      </c>
      <c r="F2834" s="2" t="str">
        <f>IFERROR(__xludf.DUMMYFUNCTION("IF(E2834&lt;&gt;"""", GOOGLETRANSLATE(E2834, ""en"", ""te""),"""")"),"[ 'ఇన్నింగ్స్ లో 6 వ అత్యధిక పరుగులు (బ్యాటింగ్ స్థానంలో ద్వారా) (29)', '26th కెరీర్లో అత్యధిక వికెట్లు (90)', '16 వ ఇన్నింగ్స్ లో బెస్ట్ ఫిగర్స్ (6/46)', '11 వ ఒక సిరీస్లో అత్యధిక వికెట్లు (24) ',' 40 వ ఒక క్యాలెండర్ సంవత్సరంలో అత్యధిక వికెట్లు (22) ',' "&amp;"11 వ అత్యుత్తమ ఇన్నింగ్స్ లో బౌలింగ్ విశ్లేషణలు (6/46) ',' 37 వ చెత్త కెరీర్లో ఆర్థిక రేటు (4.16) ',' 7 వ అత్యంత ఐదు-వికెట్ల -ఇన్-ఒక-ఇన్నింగ్స్ కెరీర్లో (2) ',' 9 వ అత్యంత నాలుగు వికెట్లు-ఇన్-ఒక-ఇన్నింగ్స్ కెరీర్లో (6) ',' ఐదు వికెట్ల లో-ఒక-ఇన్నింగ్స్ (తీ"&amp;"సుకోవాలని 17 వ పిన్న ఆటగాడు 21y 65d) ',' 28th కెరీర్లో బౌల్డ్ చాలా బంతుల్లో (3318) ',' 25 వ అత్యధిక పరుగులు కెరీర్లో సాధించిన (2306) ',' 27 వ బౌలర్ / ఫీల్డర్ కలయికలు (12) ',' 25 వ అత్యధిక వికెట్లు తీసుకున్న బౌల్డ్ (22) ' '38 వ అత్యధిక వికెట్లు తీసుకున్న ఆ"&amp;"కర్షించింది (43)', '15 వ అత్యధిక వికెట్లు ఒక వికెట్ కీపర్ చే కాట్ తీసుకోకూడదు (13)', '8 వ అత్యధిక వికెట్లు తీసుకున్న ఎల్బిడబ్ల్యు (23)', '4 వ అత్యధిక క్యాచ్లు ఒక ఇన్నింగ్స్ లో (3)', ' పదవ వికెట్కు 10 వ అత్యధిక భాగస్వామ్యం (41 *) ',' 46 వ పిన్న క్రీడాకారుల"&amp;"ు (16y 251d) ']")</f>
        <v>[ 'ఇన్నింగ్స్ లో 6 వ అత్యధిక పరుగులు (బ్యాటింగ్ స్థానంలో ద్వారా) (29)', '26th కెరీర్లో అత్యధిక వికెట్లు (90)', '16 వ ఇన్నింగ్స్ లో బెస్ట్ ఫిగర్స్ (6/46)', '11 వ ఒక సిరీస్లో అత్యధిక వికెట్లు (24) ',' 40 వ ఒక క్యాలెండర్ సంవత్సరంలో అత్యధిక వికెట్లు (22) ',' 11 వ అత్యుత్తమ ఇన్నింగ్స్ లో బౌలింగ్ విశ్లేషణలు (6/46) ',' 37 వ చెత్త కెరీర్లో ఆర్థిక రేటు (4.16) ',' 7 వ అత్యంత ఐదు-వికెట్ల -ఇన్-ఒక-ఇన్నింగ్స్ కెరీర్లో (2) ',' 9 వ అత్యంత నాలుగు వికెట్లు-ఇన్-ఒక-ఇన్నింగ్స్ కెరీర్లో (6) ',' ఐదు వికెట్ల లో-ఒక-ఇన్నింగ్స్ (తీసుకోవాలని 17 వ పిన్న ఆటగాడు 21y 65d) ',' 28th కెరీర్లో బౌల్డ్ చాలా బంతుల్లో (3318) ',' 25 వ అత్యధిక పరుగులు కెరీర్లో సాధించిన (2306) ',' 27 వ బౌలర్ / ఫీల్డర్ కలయికలు (12) ',' 25 వ అత్యధిక వికెట్లు తీసుకున్న బౌల్డ్ (22) ' '38 వ అత్యధిక వికెట్లు తీసుకున్న ఆకర్షించింది (43)', '15 వ అత్యధిక వికెట్లు ఒక వికెట్ కీపర్ చే కాట్ తీసుకోకూడదు (13)', '8 వ అత్యధిక వికెట్లు తీసుకున్న ఎల్బిడబ్ల్యు (23)', '4 వ అత్యధిక క్యాచ్లు ఒక ఇన్నింగ్స్ లో (3)', ' పదవ వికెట్కు 10 వ అత్యధిక భాగస్వామ్యం (41 *) ',' 46 వ పిన్న క్రీడాకారులు (16y 251d) ']</v>
      </c>
      <c r="G2834" s="2" t="s">
        <v>2022</v>
      </c>
      <c r="H2834" s="2" t="str">
        <f>IFERROR(__xludf.DUMMYFUNCTION("IF(G2834&lt;&gt;"""", GOOGLETRANSLATE(G2834, ""en"", ""te""),"""")"),"[ 'ఇన్నింగ్స్ లో 7 వ అత్యధిక పరుగులు (బ్యాటింగ్ స్థానంలో ద్వారా) (29)', '4 వ కెరీర్ లో అత్యధిక వికెట్లు (102)', '21 వ ఇన్నింగ్స్ లో బెస్ట్ ఫిగర్స్ (5/11) ',' 37 వ ఒక క్యాలెండర్ లో అత్యధిక వికెట్లు సంవత్సరం (19) ',' 15 వ అత్యుత్తమ ఇన్నింగ్స్ లో బౌలింగ్ విశ"&amp;"్లేషణలు (5/11) ',' 19 ఒకే మైదానంలో అత్యధిక వికెట్లు (10) ',' 15 వ ఉత్తమ కెరీర్ బౌలింగ్ సరాసరి (15.55) ',' 6 వ ఉత్తమ కెరీర్ సమ్మె రేటు (15.6) ',' ఇన్నింగ్స్ లో 11 వ చెత్త ఆర్థిక రేటు (16.66) ',' 12 వ అరంగేట్రంలోనే ఇన్నింగ్స్ లోని బెస్ట్ ఫిగర్స్ (3) ',' 4 "&amp;"వ అత్యంత నాలుగు వికెట్లు-ఇన్-ఒక-ఇన్నింగ్స్ కెరీర్లో (3 ) ',' 11 వ కెరీర్ లో బౌల్డ్ చాలా బంతుల్లో (1598) ',' 10 వ కెరీర్ లో సాధించిన అత్యధిక పరుగులు (1587) ',' 20 వ ఇన్నింగ్స్ లో సాధించిన అత్యధిక పరుగులు (50) ',' 6 వ బౌలర్ / బ్యాట్స్ కలయికలు (5) ' '34 వ బౌ"&amp;"లర్ / ఫీల్డర్ కలయికలు (8)', '3 వ అత్యంత బౌల్డ్ వికెట్లు తీసుకున్నారు (30)', '8 వ అత్యధిక వికెట్లు తీసుకున్న ఆకర్షించింది (54)', '12 వ అత్యధిక వికెట్లు ఆకర్షించింది తీసుకున్న మరియు బౌల్డ్ (4)', '6 వ అత్యంత వికెట్లు ఒక ఫీల్డర్ చేత క్యాచ్ తీసుకున్న (50) ',' "&amp;"8 వ అత్యధిక వికెట్లు తీసుకున్న ఎల్బిడబ్ల్యు (11) ',' 25 వ అత్యధిక వికెట్లు తీసుకున్న స్టంప్ (7) ',' 41 వ అత్యధిక క్యాచ్లు i n కెరీర్ (20) ',' ఎనిమిదవ వికెట్కు 29 అత్యధిక భాగస్వామ్యం (25) ',' 40 వ అత్యధిక కెరీర్ లో మ్యాచ్లు (79) ',' 8 వ అత్యంత పనికత్తెలయొద"&amp;"్ద కెరీర్లో (10) ',' 12 వ అత్యంత ఇన్నింగ్స్ లో పనికత్తెలయొద్ద ( 2) ']")</f>
        <v>[ 'ఇన్నింగ్స్ లో 7 వ అత్యధిక పరుగులు (బ్యాటింగ్ స్థానంలో ద్వారా) (29)', '4 వ కెరీర్ లో అత్యధిక వికెట్లు (102)', '21 వ ఇన్నింగ్స్ లో బెస్ట్ ఫిగర్స్ (5/11) ',' 37 వ ఒక క్యాలెండర్ లో అత్యధిక వికెట్లు సంవత్సరం (19) ',' 15 వ అత్యుత్తమ ఇన్నింగ్స్ లో బౌలింగ్ విశ్లేషణలు (5/11) ',' 19 ఒకే మైదానంలో అత్యధిక వికెట్లు (10) ',' 15 వ ఉత్తమ కెరీర్ బౌలింగ్ సరాసరి (15.55) ',' 6 వ ఉత్తమ కెరీర్ సమ్మె రేటు (15.6) ',' ఇన్నింగ్స్ లో 11 వ చెత్త ఆర్థిక రేటు (16.66) ',' 12 వ అరంగేట్రంలోనే ఇన్నింగ్స్ లోని బెస్ట్ ఫిగర్స్ (3) ',' 4 వ అత్యంత నాలుగు వికెట్లు-ఇన్-ఒక-ఇన్నింగ్స్ కెరీర్లో (3 ) ',' 11 వ కెరీర్ లో బౌల్డ్ చాలా బంతుల్లో (1598) ',' 10 వ కెరీర్ లో సాధించిన అత్యధిక పరుగులు (1587) ',' 20 వ ఇన్నింగ్స్ లో సాధించిన అత్యధిక పరుగులు (50) ',' 6 వ బౌలర్ / బ్యాట్స్ కలయికలు (5) ' '34 వ బౌలర్ / ఫీల్డర్ కలయికలు (8)', '3 వ అత్యంత బౌల్డ్ వికెట్లు తీసుకున్నారు (30)', '8 వ అత్యధిక వికెట్లు తీసుకున్న ఆకర్షించింది (54)', '12 వ అత్యధిక వికెట్లు ఆకర్షించింది తీసుకున్న మరియు బౌల్డ్ (4)', '6 వ అత్యంత వికెట్లు ఒక ఫీల్డర్ చేత క్యాచ్ తీసుకున్న (50) ',' 8 వ అత్యధిక వికెట్లు తీసుకున్న ఎల్బిడబ్ల్యు (11) ',' 25 వ అత్యధిక వికెట్లు తీసుకున్న స్టంప్ (7) ',' 41 వ అత్యధిక క్యాచ్లు i n కెరీర్ (20) ',' ఎనిమిదవ వికెట్కు 29 అత్యధిక భాగస్వామ్యం (25) ',' 40 వ అత్యధిక కెరీర్ లో మ్యాచ్లు (79) ',' 8 వ అత్యంత పనికత్తెలయొద్ద కెరీర్లో (10) ',' 12 వ అత్యంత ఇన్నింగ్స్ లో పనికత్తెలయొద్ద ( 2) ']</v>
      </c>
      <c r="I2834" s="3"/>
    </row>
    <row r="2835" customHeight="1" spans="1:9">
      <c r="A2835" s="2" t="s">
        <v>1101</v>
      </c>
      <c r="B2835" s="2" t="str">
        <f>IFERROR(__xludf.DUMMYFUNCTION("IF(A2835&lt;&gt;"""", GOOGLETRANSLATE(A2835, ""en"", ""te""),"""")"),"[ 'ఒక మ్యాచ్లో 8 వ అత్యధిక క్యాచ్లు (6)']")</f>
        <v>[ 'ఒక మ్యాచ్లో 8 వ అత్యధిక క్యాచ్లు (6)']</v>
      </c>
      <c r="C2835" s="2" t="s">
        <v>1101</v>
      </c>
      <c r="D2835" s="2" t="str">
        <f>IFERROR(__xludf.DUMMYFUNCTION("IF(C2835&lt;&gt;"""", GOOGLETRANSLATE(C2835, ""en"", ""te""),"""")"),"[ 'ఒక మ్యాచ్లో 8 వ అత్యధిక క్యాచ్లు (6)']")</f>
        <v>[ 'ఒక మ్యాచ్లో 8 వ అత్యధిక క్యాచ్లు (6)']</v>
      </c>
      <c r="E2835" s="2"/>
      <c r="F2835" s="2" t="str">
        <f>IFERROR(__xludf.DUMMYFUNCTION("IF(E2835&lt;&gt;"""", GOOGLETRANSLATE(E2835, ""en"", ""te""),"""")"),"")</f>
        <v/>
      </c>
      <c r="G2835" s="2"/>
      <c r="H2835" s="2" t="str">
        <f>IFERROR(__xludf.DUMMYFUNCTION("IF(G2835&lt;&gt;"""", GOOGLETRANSLATE(G2835, ""en"", ""te""),"""")"),"")</f>
        <v/>
      </c>
      <c r="I2835" s="3"/>
    </row>
    <row r="2836" customHeight="1" spans="1:9">
      <c r="A2836" s="2"/>
      <c r="B2836" s="2" t="str">
        <f>IFERROR(__xludf.DUMMYFUNCTION("IF(A2836&lt;&gt;"""", GOOGLETRANSLATE(A2836, ""en"", ""te""),"""")"),"")</f>
        <v/>
      </c>
      <c r="C2836" s="2"/>
      <c r="D2836" s="2" t="str">
        <f>IFERROR(__xludf.DUMMYFUNCTION("IF(C2836&lt;&gt;"""", GOOGLETRANSLATE(C2836, ""en"", ""te""),"""")"),"")</f>
        <v/>
      </c>
      <c r="E2836" s="2"/>
      <c r="F2836" s="2" t="str">
        <f>IFERROR(__xludf.DUMMYFUNCTION("IF(E2836&lt;&gt;"""", GOOGLETRANSLATE(E2836, ""en"", ""te""),"""")"),"")</f>
        <v/>
      </c>
      <c r="G2836" s="2"/>
      <c r="H2836" s="2" t="str">
        <f>IFERROR(__xludf.DUMMYFUNCTION("IF(G2836&lt;&gt;"""", GOOGLETRANSLATE(G2836, ""en"", ""te""),"""")"),"")</f>
        <v/>
      </c>
      <c r="I2836" s="3"/>
    </row>
    <row r="2837" customHeight="1" spans="1:9">
      <c r="A2837" s="2"/>
      <c r="B2837" s="2" t="str">
        <f>IFERROR(__xludf.DUMMYFUNCTION("IF(A2837&lt;&gt;"""", GOOGLETRANSLATE(A2837, ""en"", ""te""),"""")"),"")</f>
        <v/>
      </c>
      <c r="C2837" s="2"/>
      <c r="D2837" s="2" t="str">
        <f>IFERROR(__xludf.DUMMYFUNCTION("IF(C2837&lt;&gt;"""", GOOGLETRANSLATE(C2837, ""en"", ""te""),"""")"),"")</f>
        <v/>
      </c>
      <c r="E2837" s="2"/>
      <c r="F2837" s="2" t="str">
        <f>IFERROR(__xludf.DUMMYFUNCTION("IF(E2837&lt;&gt;"""", GOOGLETRANSLATE(E2837, ""en"", ""te""),"""")"),"")</f>
        <v/>
      </c>
      <c r="G2837" s="2"/>
      <c r="H2837" s="2" t="str">
        <f>IFERROR(__xludf.DUMMYFUNCTION("IF(G2837&lt;&gt;"""", GOOGLETRANSLATE(G2837, ""en"", ""te""),"""")"),"")</f>
        <v/>
      </c>
      <c r="I2837" s="3"/>
    </row>
    <row r="2838" customHeight="1" spans="1:9">
      <c r="A2838" s="2"/>
      <c r="B2838" s="2" t="str">
        <f>IFERROR(__xludf.DUMMYFUNCTION("IF(A2838&lt;&gt;"""", GOOGLETRANSLATE(A2838, ""en"", ""te""),"""")"),"")</f>
        <v/>
      </c>
      <c r="C2838" s="2"/>
      <c r="D2838" s="2" t="str">
        <f>IFERROR(__xludf.DUMMYFUNCTION("IF(C2838&lt;&gt;"""", GOOGLETRANSLATE(C2838, ""en"", ""te""),"""")"),"")</f>
        <v/>
      </c>
      <c r="E2838" s="2"/>
      <c r="F2838" s="2" t="str">
        <f>IFERROR(__xludf.DUMMYFUNCTION("IF(E2838&lt;&gt;"""", GOOGLETRANSLATE(E2838, ""en"", ""te""),"""")"),"")</f>
        <v/>
      </c>
      <c r="G2838" s="2"/>
      <c r="H2838" s="2" t="str">
        <f>IFERROR(__xludf.DUMMYFUNCTION("IF(G2838&lt;&gt;"""", GOOGLETRANSLATE(G2838, ""en"", ""te""),"""")"),"")</f>
        <v/>
      </c>
      <c r="I2838" s="3"/>
    </row>
    <row r="2839" customHeight="1" spans="1:9">
      <c r="A2839" s="2"/>
      <c r="B2839" s="2" t="str">
        <f>IFERROR(__xludf.DUMMYFUNCTION("IF(A2839&lt;&gt;"""", GOOGLETRANSLATE(A2839, ""en"", ""te""),"""")"),"")</f>
        <v/>
      </c>
      <c r="C2839" s="2"/>
      <c r="D2839" s="2" t="str">
        <f>IFERROR(__xludf.DUMMYFUNCTION("IF(C2839&lt;&gt;"""", GOOGLETRANSLATE(C2839, ""en"", ""te""),"""")"),"")</f>
        <v/>
      </c>
      <c r="E2839" s="2"/>
      <c r="F2839" s="2" t="str">
        <f>IFERROR(__xludf.DUMMYFUNCTION("IF(E2839&lt;&gt;"""", GOOGLETRANSLATE(E2839, ""en"", ""te""),"""")"),"")</f>
        <v/>
      </c>
      <c r="G2839" s="2"/>
      <c r="H2839" s="2" t="str">
        <f>IFERROR(__xludf.DUMMYFUNCTION("IF(G2839&lt;&gt;"""", GOOGLETRANSLATE(G2839, ""en"", ""te""),"""")"),"")</f>
        <v/>
      </c>
      <c r="I2839" s="3"/>
    </row>
    <row r="2840" customHeight="1" spans="1:9">
      <c r="A2840" s="2"/>
      <c r="B2840" s="2" t="str">
        <f>IFERROR(__xludf.DUMMYFUNCTION("IF(A2840&lt;&gt;"""", GOOGLETRANSLATE(A2840, ""en"", ""te""),"""")"),"")</f>
        <v/>
      </c>
      <c r="C2840" s="2" t="s">
        <v>2023</v>
      </c>
      <c r="D2840" s="2" t="str">
        <f>IFERROR(__xludf.DUMMYFUNCTION("IF(C2840&lt;&gt;"""", GOOGLETRANSLATE(C2840, ""en"", ""te""),"""")"),"[ 'తొలి 33 వ ఓల్డెస్ట్ క్రీడాకారులు (37y 291d)']")</f>
        <v>[ 'తొలి 33 వ ఓల్డెస్ట్ క్రీడాకారులు (37y 291d)']</v>
      </c>
      <c r="E2840" s="2"/>
      <c r="F2840" s="2" t="str">
        <f>IFERROR(__xludf.DUMMYFUNCTION("IF(E2840&lt;&gt;"""", GOOGLETRANSLATE(E2840, ""en"", ""te""),"""")"),"")</f>
        <v/>
      </c>
      <c r="G2840" s="2"/>
      <c r="H2840" s="2" t="str">
        <f>IFERROR(__xludf.DUMMYFUNCTION("IF(G2840&lt;&gt;"""", GOOGLETRANSLATE(G2840, ""en"", ""te""),"""")"),"")</f>
        <v/>
      </c>
      <c r="I2840" s="3"/>
    </row>
    <row r="2841" customHeight="1" spans="1:9">
      <c r="A2841" s="2"/>
      <c r="B2841" s="2" t="str">
        <f>IFERROR(__xludf.DUMMYFUNCTION("IF(A2841&lt;&gt;"""", GOOGLETRANSLATE(A2841, ""en"", ""te""),"""")"),"")</f>
        <v/>
      </c>
      <c r="C2841" s="2"/>
      <c r="D2841" s="2" t="str">
        <f>IFERROR(__xludf.DUMMYFUNCTION("IF(C2841&lt;&gt;"""", GOOGLETRANSLATE(C2841, ""en"", ""te""),"""")"),"")</f>
        <v/>
      </c>
      <c r="E2841" s="2"/>
      <c r="F2841" s="2" t="str">
        <f>IFERROR(__xludf.DUMMYFUNCTION("IF(E2841&lt;&gt;"""", GOOGLETRANSLATE(E2841, ""en"", ""te""),"""")"),"")</f>
        <v/>
      </c>
      <c r="G2841" s="2"/>
      <c r="H2841" s="2" t="str">
        <f>IFERROR(__xludf.DUMMYFUNCTION("IF(G2841&lt;&gt;"""", GOOGLETRANSLATE(G2841, ""en"", ""te""),"""")"),"")</f>
        <v/>
      </c>
      <c r="I2841" s="3"/>
    </row>
    <row r="2842" customHeight="1" spans="1:9">
      <c r="A2842" s="2"/>
      <c r="B2842" s="2" t="str">
        <f>IFERROR(__xludf.DUMMYFUNCTION("IF(A2842&lt;&gt;"""", GOOGLETRANSLATE(A2842, ""en"", ""te""),"""")"),"")</f>
        <v/>
      </c>
      <c r="C2842" s="2"/>
      <c r="D2842" s="2" t="str">
        <f>IFERROR(__xludf.DUMMYFUNCTION("IF(C2842&lt;&gt;"""", GOOGLETRANSLATE(C2842, ""en"", ""te""),"""")"),"")</f>
        <v/>
      </c>
      <c r="E2842" s="2"/>
      <c r="F2842" s="2" t="str">
        <f>IFERROR(__xludf.DUMMYFUNCTION("IF(E2842&lt;&gt;"""", GOOGLETRANSLATE(E2842, ""en"", ""te""),"""")"),"")</f>
        <v/>
      </c>
      <c r="G2842" s="2"/>
      <c r="H2842" s="2" t="str">
        <f>IFERROR(__xludf.DUMMYFUNCTION("IF(G2842&lt;&gt;"""", GOOGLETRANSLATE(G2842, ""en"", ""te""),"""")"),"")</f>
        <v/>
      </c>
      <c r="I2842" s="3"/>
    </row>
    <row r="2843" customHeight="1" spans="1:9">
      <c r="A2843" s="2"/>
      <c r="B2843" s="2" t="str">
        <f>IFERROR(__xludf.DUMMYFUNCTION("IF(A2843&lt;&gt;"""", GOOGLETRANSLATE(A2843, ""en"", ""te""),"""")"),"")</f>
        <v/>
      </c>
      <c r="C2843" s="2"/>
      <c r="D2843" s="2" t="str">
        <f>IFERROR(__xludf.DUMMYFUNCTION("IF(C2843&lt;&gt;"""", GOOGLETRANSLATE(C2843, ""en"", ""te""),"""")"),"")</f>
        <v/>
      </c>
      <c r="E2843" s="2"/>
      <c r="F2843" s="2" t="str">
        <f>IFERROR(__xludf.DUMMYFUNCTION("IF(E2843&lt;&gt;"""", GOOGLETRANSLATE(E2843, ""en"", ""te""),"""")"),"")</f>
        <v/>
      </c>
      <c r="G2843" s="2"/>
      <c r="H2843" s="2" t="str">
        <f>IFERROR(__xludf.DUMMYFUNCTION("IF(G2843&lt;&gt;"""", GOOGLETRANSLATE(G2843, ""en"", ""te""),"""")"),"")</f>
        <v/>
      </c>
      <c r="I2843" s="3"/>
    </row>
    <row r="2844" customHeight="1" spans="1:9">
      <c r="A2844" s="2" t="s">
        <v>2024</v>
      </c>
      <c r="B2844" s="2" t="str">
        <f>IFERROR(__xludf.DUMMYFUNCTION("IF(A2844&lt;&gt;"""", GOOGLETRANSLATE(A2844, ""en"", ""te""),"""")"),"[ 'వరుస 3 వ అత్యధిక వికెట్లు (21)', '9 వ అత్యంత వృద్ధ ఆటగాడు ఒక ఐదు మైడెన్-వికెట్ల లో-ఒక-ఇన్నింగ్స్ (31y 246d) తీసుకోవాలని' '7th అత్యధిక వికెట్లు తీసుకున్న ఫీల్డర్ చేత క్యాచ్ (21)', '10 వ ఉత్తమ కెరీర్ ఆర్థిక రేటు (2.19)']")</f>
        <v>[ 'వరుస 3 వ అత్యధిక వికెట్లు (21)', '9 వ అత్యంత వృద్ధ ఆటగాడు ఒక ఐదు మైడెన్-వికెట్ల లో-ఒక-ఇన్నింగ్స్ (31y 246d) తీసుకోవాలని' '7th అత్యధిక వికెట్లు తీసుకున్న ఫీల్డర్ చేత క్యాచ్ (21)', '10 వ ఉత్తమ కెరీర్ ఆర్థిక రేటు (2.19)']</v>
      </c>
      <c r="C2844" s="2" t="s">
        <v>2025</v>
      </c>
      <c r="D2844" s="2" t="str">
        <f>IFERROR(__xludf.DUMMYFUNCTION("IF(C2844&lt;&gt;"""", GOOGLETRANSLATE(C2844, ""en"", ""te""),"""")"),"[ '16 వ కెరీర్ లో అత్యధిక వికెట్లు (37)', 'వరుస 3 వ అత్యధిక వికెట్లు (21)', '16 వ ఒక క్యాలెండర్ సంవత్సరంలో అత్యధిక వికెట్లు (17)', '15 వ పరాజయం వైపు ఉన్నప్పుడు ఒక ఇన్నింగ్స్ లోని బెస్ట్ ఫిగర్స్ ( 4) ',' 17 వ మ్యాచ్ లో బెస్ట్ ఫిగర్స్ పరాజయం వైపు (5) ',' "&amp;"44 వ ఉత్తమ కెరీర్ సగటు (24.64) ',' 9 వ అత్యంత వృద్ధ ఆటగాడు బౌలింగ్ కన్య తీసుకోవాలని ఉన్నప్పుడు ఐదుగురు వికెట్ల లో-ఒక-ఇన్నింగ్స్ ( 31y 246d) ',' 13 వ కెరీర్ లో బౌల్డ్ చాలా బంతుల్లో (2738) ',' 13 వ కెరీర్ లో సాధించిన అత్యధిక పరుగులు (912) ',' 10 వ అత్యధిక వ"&amp;"ికెట్లు తీసుకున్న ఆకర్షించింది (25) ',' 7 వ అత్యధిక వికెట్లు ఒక ఫీల్డర్ చేత క్యాచ్ తీసుకున్న ( 21) ']")</f>
        <v>[ '16 వ కెరీర్ లో అత్యధిక వికెట్లు (37)', 'వరుస 3 వ అత్యధిక వికెట్లు (21)', '16 వ ఒక క్యాలెండర్ సంవత్సరంలో అత్యధిక వికెట్లు (17)', '15 వ పరాజయం వైపు ఉన్నప్పుడు ఒక ఇన్నింగ్స్ లోని బెస్ట్ ఫిగర్స్ ( 4) ',' 17 వ మ్యాచ్ లో బెస్ట్ ఫిగర్స్ పరాజయం వైపు (5) ',' 44 వ ఉత్తమ కెరీర్ సగటు (24.64) ',' 9 వ అత్యంత వృద్ధ ఆటగాడు బౌలింగ్ కన్య తీసుకోవాలని ఉన్నప్పుడు ఐదుగురు వికెట్ల లో-ఒక-ఇన్నింగ్స్ ( 31y 246d) ',' 13 వ కెరీర్ లో బౌల్డ్ చాలా బంతుల్లో (2738) ',' 13 వ కెరీర్ లో సాధించిన అత్యధిక పరుగులు (912) ',' 10 వ అత్యధిక వికెట్లు తీసుకున్న ఆకర్షించింది (25) ',' 7 వ అత్యధిక వికెట్లు ఒక ఫీల్డర్ చేత క్యాచ్ తీసుకున్న ( 21) ']</v>
      </c>
      <c r="E2844" s="2" t="s">
        <v>2026</v>
      </c>
      <c r="F2844" s="2" t="str">
        <f>IFERROR(__xludf.DUMMYFUNCTION("IF(E2844&lt;&gt;"""", GOOGLETRANSLATE(E2844, ""en"", ""te""),"""")"),"[ '25 వ ఉత్తమ కెరీర్ బౌలింగ్ సరాసరి (18.16)', '10 వ ఉత్తమ కెరీర్ ఆర్థిక రేటు (2.19)', 'తొలి ఇన్నింగ్స్ 15 వ బెస్ట్ ఫిగర్స్ (3)']")</f>
        <v>[ '25 వ ఉత్తమ కెరీర్ బౌలింగ్ సరాసరి (18.16)', '10 వ ఉత్తమ కెరీర్ ఆర్థిక రేటు (2.19)', 'తొలి ఇన్నింగ్స్ 15 వ బెస్ట్ ఫిగర్స్ (3)']</v>
      </c>
      <c r="G2844" s="2"/>
      <c r="H2844" s="2" t="str">
        <f>IFERROR(__xludf.DUMMYFUNCTION("IF(G2844&lt;&gt;"""", GOOGLETRANSLATE(G2844, ""en"", ""te""),"""")"),"")</f>
        <v/>
      </c>
      <c r="I2844" s="3"/>
    </row>
    <row r="2845" customHeight="1" spans="1:9">
      <c r="A2845" s="2"/>
      <c r="B2845" s="2" t="str">
        <f>IFERROR(__xludf.DUMMYFUNCTION("IF(A2845&lt;&gt;"""", GOOGLETRANSLATE(A2845, ""en"", ""te""),"""")"),"")</f>
        <v/>
      </c>
      <c r="C2845" s="2" t="s">
        <v>2027</v>
      </c>
      <c r="D2845" s="2" t="str">
        <f>IFERROR(__xludf.DUMMYFUNCTION("IF(C2845&lt;&gt;"""", GOOGLETRANSLATE(C2845, ""en"", ""te""),"""")"),"[ '34 వ అత్యంత బంతుల్లో ఒక మ్యాచ్ (630) లో బౌల్డ్']")</f>
        <v>[ '34 వ అత్యంత బంతుల్లో ఒక మ్యాచ్ (630) లో బౌల్డ్']</v>
      </c>
      <c r="E2845" s="2"/>
      <c r="F2845" s="2" t="str">
        <f>IFERROR(__xludf.DUMMYFUNCTION("IF(E2845&lt;&gt;"""", GOOGLETRANSLATE(E2845, ""en"", ""te""),"""")"),"")</f>
        <v/>
      </c>
      <c r="G2845" s="2"/>
      <c r="H2845" s="2" t="str">
        <f>IFERROR(__xludf.DUMMYFUNCTION("IF(G2845&lt;&gt;"""", GOOGLETRANSLATE(G2845, ""en"", ""te""),"""")"),"")</f>
        <v/>
      </c>
      <c r="I2845" s="3"/>
    </row>
    <row r="2846" customHeight="1" spans="1:9">
      <c r="A2846" s="2"/>
      <c r="B2846" s="2" t="str">
        <f>IFERROR(__xludf.DUMMYFUNCTION("IF(A2846&lt;&gt;"""", GOOGLETRANSLATE(A2846, ""en"", ""te""),"""")"),"")</f>
        <v/>
      </c>
      <c r="C2846" s="2"/>
      <c r="D2846" s="2" t="str">
        <f>IFERROR(__xludf.DUMMYFUNCTION("IF(C2846&lt;&gt;"""", GOOGLETRANSLATE(C2846, ""en"", ""te""),"""")"),"")</f>
        <v/>
      </c>
      <c r="E2846" s="2"/>
      <c r="F2846" s="2" t="str">
        <f>IFERROR(__xludf.DUMMYFUNCTION("IF(E2846&lt;&gt;"""", GOOGLETRANSLATE(E2846, ""en"", ""te""),"""")"),"")</f>
        <v/>
      </c>
      <c r="G2846" s="2"/>
      <c r="H2846" s="2" t="str">
        <f>IFERROR(__xludf.DUMMYFUNCTION("IF(G2846&lt;&gt;"""", GOOGLETRANSLATE(G2846, ""en"", ""te""),"""")"),"")</f>
        <v/>
      </c>
      <c r="I2846" s="3"/>
    </row>
    <row r="2847" customHeight="1" spans="1:9">
      <c r="A2847" s="2"/>
      <c r="B2847" s="2" t="str">
        <f>IFERROR(__xludf.DUMMYFUNCTION("IF(A2847&lt;&gt;"""", GOOGLETRANSLATE(A2847, ""en"", ""te""),"""")"),"")</f>
        <v/>
      </c>
      <c r="C2847" s="2"/>
      <c r="D2847" s="2" t="str">
        <f>IFERROR(__xludf.DUMMYFUNCTION("IF(C2847&lt;&gt;"""", GOOGLETRANSLATE(C2847, ""en"", ""te""),"""")"),"")</f>
        <v/>
      </c>
      <c r="E2847" s="2"/>
      <c r="F2847" s="2" t="str">
        <f>IFERROR(__xludf.DUMMYFUNCTION("IF(E2847&lt;&gt;"""", GOOGLETRANSLATE(E2847, ""en"", ""te""),"""")"),"")</f>
        <v/>
      </c>
      <c r="G2847" s="2"/>
      <c r="H2847" s="2" t="str">
        <f>IFERROR(__xludf.DUMMYFUNCTION("IF(G2847&lt;&gt;"""", GOOGLETRANSLATE(G2847, ""en"", ""te""),"""")"),"")</f>
        <v/>
      </c>
      <c r="I2847" s="3"/>
    </row>
    <row r="2848" customHeight="1" spans="1:9">
      <c r="A2848" s="2" t="s">
        <v>2028</v>
      </c>
      <c r="B2848" s="2" t="str">
        <f>IFERROR(__xludf.DUMMYFUNCTION("IF(A2848&lt;&gt;"""", GOOGLETRANSLATE(A2848, ""en"", ""te""),"""")"),"[ '1st అత్యుత్తమ బౌలింగ్ ఇన్నింగ్స్ లో విశ్లేషించడం (1/0)', ​​'1000 పరుగులు మరియు 100 వికెట్లు', '1000 పరుగులు, 50 వికెట్లు, 50 క్యాచ్లు', '6 వ అత్యధిక పరుగులు ఇన్నింగ్స్ లో (బ్యాటింగ్ స్థానం) (34) ',' 7 వ 50 వికెట్లు (39) ',' 6 వ అత్యంత ఒక ఇన్నింగ్స్ (2)"&amp;" ',' 1 వ బౌలర్ / బ్యాట్స్ కలయికలు (4) ',' 10 వ వేగవంతమైన బౌలింగ్ సరాసరి (16.84) ',' 1 వ అత్యంత పనికత్తెలయొద్ద ఉత్తమ కెరీర్ ఒక క్యాలెండర్ ఏడాది (111) వికెట్లు ']")</f>
        <v>[ '1st అత్యుత్తమ బౌలింగ్ ఇన్నింగ్స్ లో విశ్లేషించడం (1/0)', ​​'1000 పరుగులు మరియు 100 వికెట్లు', '1000 పరుగులు, 50 వికెట్లు, 50 క్యాచ్లు', '6 వ అత్యధిక పరుగులు ఇన్నింగ్స్ లో (బ్యాటింగ్ స్థానం) (34) ',' 7 వ 50 వికెట్లు (39) ',' 6 వ అత్యంత ఒక ఇన్నింగ్స్ (2) ',' 1 వ బౌలర్ / బ్యాట్స్ కలయికలు (4) ',' 10 వ వేగవంతమైన బౌలింగ్ సరాసరి (16.84) ',' 1 వ అత్యంత పనికత్తెలయొద్ద ఉత్తమ కెరీర్ ఒక క్యాలెండర్ ఏడాది (111) వికెట్లు ']</v>
      </c>
      <c r="C2848" s="2" t="s">
        <v>2029</v>
      </c>
      <c r="D2848" s="2" t="str">
        <f>IFERROR(__xludf.DUMMYFUNCTION("IF(C2848&lt;&gt;"""", GOOGLETRANSLATE(C2848, ""en"", ""te""),"""")"),"[ '27 ఒక క్యాలెండర్ సంవత్సరంలో అత్యధిక వికెట్లు (64)', '1 వ అత్యుత్తమ బౌలింగ్ ఇన్నింగ్స్ విశ్లేషణలలో,' కెరీర్ లో అత్యధిక వికెట్లు (255) 44 వ '' 19 వ అత్యంత వంద (1370) లేకుండా ఒక వృత్తిలో పరుగులు '(1 / 0) ',' ఇన్నింగ్స్ లో 46 వ ఉత్తమ ఆర్థిక రేటు (0.61) ', "&amp;"'21 వ చెత్త ఇన్నింగ్స్ లో ఆర్థిక రేటు (6.76)', '29 వ అత్యధిక ఐదు వికెట్ల లో-ఒక-ఇన్నింగ్స్ కెరీర్లో (17)' '29 వ అత్యధిక పది వికెట్లు లో ఒక మ్యాచ్ ఒక వృత్తిలో (3)', ( 'పది వికెట్ల లో ఒక మ్యాచ్ పడుతుంది 33 వ ఓల్డెస్ట్ ఆటగాడు (34y 61d)', '50 వ కెరీర్ లో బౌల్డ"&amp;"్ చాలా బంతుల్లో 15349) ',' 42 వ కెరీర్ లో సాధించిన అత్యధిక పరుగులు (7642) ',' 43 వ అత్యధిక వికెట్లు బౌల్డ్ తీసుకోకూడదు (57) ',' 49 వ అత్యధిక వికెట్లు ఒక ఫీల్డర్ చేత క్యాచ్ తీసుకున్న (105) ',' 20 వ అత్యధిక వికెట్లు తీసుకున్న ఎల్బిడబ్ల్యు (70) ''21 వ అత్యధి"&amp;"క వికెట్లు 100 వికెట్లు స్టంప్ (11)', 'ఫాస్టెస్ట్ 37 వ తీసుకున్న (23)', '36 వ 150 వికెట్లు వేగంగా (36)', '32 వ 200 వికెట్లు (48)', '19 వ వేగంగా వేగంగా 250 వికెట్లు (58) ',' తొమ్మిదవ వికెట్ (106) కోసం 38 వ అత్యధిక భాగస్వామ్యం ']")</f>
        <v>[ '27 ఒక క్యాలెండర్ సంవత్సరంలో అత్యధిక వికెట్లు (64)', '1 వ అత్యుత్తమ బౌలింగ్ ఇన్నింగ్స్ విశ్లేషణలలో,' కెరీర్ లో అత్యధిక వికెట్లు (255) 44 వ '' 19 వ అత్యంత వంద (1370) లేకుండా ఒక వృత్తిలో పరుగులు '(1 / 0) ',' ఇన్నింగ్స్ లో 46 వ ఉత్తమ ఆర్థిక రేటు (0.61) ', '21 వ చెత్త ఇన్నింగ్స్ లో ఆర్థిక రేటు (6.76)', '29 వ అత్యధిక ఐదు వికెట్ల లో-ఒక-ఇన్నింగ్స్ కెరీర్లో (17)' '29 వ అత్యధిక పది వికెట్లు లో ఒక మ్యాచ్ ఒక వృత్తిలో (3)', ( 'పది వికెట్ల లో ఒక మ్యాచ్ పడుతుంది 33 వ ఓల్డెస్ట్ ఆటగాడు (34y 61d)', '50 వ కెరీర్ లో బౌల్డ్ చాలా బంతుల్లో 15349) ',' 42 వ కెరీర్ లో సాధించిన అత్యధిక పరుగులు (7642) ',' 43 వ అత్యధిక వికెట్లు బౌల్డ్ తీసుకోకూడదు (57) ',' 49 వ అత్యధిక వికెట్లు ఒక ఫీల్డర్ చేత క్యాచ్ తీసుకున్న (105) ',' 20 వ అత్యధిక వికెట్లు తీసుకున్న ఎల్బిడబ్ల్యు (70) ''21 వ అత్యధిక వికెట్లు 100 వికెట్లు స్టంప్ (11)', 'ఫాస్టెస్ట్ 37 వ తీసుకున్న (23)', '36 వ 150 వికెట్లు వేగంగా (36)', '32 వ 200 వికెట్లు (48)', '19 వ వేగంగా వేగంగా 250 వికెట్లు (58) ',' తొమ్మిదవ వికెట్ (106) కోసం 38 వ అత్యధిక భాగస్వామ్యం ']</v>
      </c>
      <c r="E2848" s="2" t="s">
        <v>2030</v>
      </c>
      <c r="F2848" s="2" t="str">
        <f>IFERROR(__xludf.DUMMYFUNCTION("IF(E2848&lt;&gt;"""", GOOGLETRANSLATE(E2848, ""en"", ""te""),"""")"),"[ '32 వ అత్యధిక వికెట్లు స్టంప్ తీసుకోకూడదు (11)', '44 వ అత్యంత వృద్ధ ఆటగాడు ఒక ఐదు మైడెన్-వికెట్ల లో-ఒక-ఇన్నింగ్స్ (30y 180d) తీసుకోవాలని' 'ప్రదర్శనల మధ్య 19 లాంగెస్ట్ వ్యవధిలో (7y 251d)', '14 వ అత్యంత వరుస మ్యాచ్లు ఆడి మధ్య జట్టు (175) కోసం తప్పిన ']")</f>
        <v>[ '32 వ అత్యధిక వికెట్లు స్టంప్ తీసుకోకూడదు (11)', '44 వ అత్యంత వృద్ధ ఆటగాడు ఒక ఐదు మైడెన్-వికెట్ల లో-ఒక-ఇన్నింగ్స్ (30y 180d) తీసుకోవాలని' 'ప్రదర్శనల మధ్య 19 లాంగెస్ట్ వ్యవధిలో (7y 251d)', '14 వ అత్యంత వరుస మ్యాచ్లు ఆడి మధ్య జట్టు (175) కోసం తప్పిన ']</v>
      </c>
      <c r="G2848" s="2" t="s">
        <v>2031</v>
      </c>
      <c r="H2848" s="2" t="str">
        <f>IFERROR(__xludf.DUMMYFUNCTION("IF(G2848&lt;&gt;"""", GOOGLETRANSLATE(G2848, ""en"", ""te""),"""")"),"[ 'ఇన్నింగ్స్ లో 6 వ అత్యధిక పరుగులు (బ్యాటింగ్ స్థానంలో ప్రకారం) (34)', '35 వ కెరీర్ లో అత్యధిక వికెట్లు (51)', '42 వ ఒక క్యాలెండర్ సంవత్సరంలో అత్యధిక వికెట్లు (19)', '7 వ ఉత్తమ కెరీర్ సగటు బౌలింగ్ (16.84 ) ',' 10 వ ఉత్తమ కెరీర్ ఆర్థిక రేటు (6.36) ',' 18"&amp;" వ ఉత్తమ కెరీర్ సమ్మె రేటు (15.8) ',' 50 వ కెరీర్ లో బౌల్డ్ చాలా బంతుల్లో (810) ',' 1 వ బౌలర్ / బ్యాట్స్ కలయికలు (4) ',' 12 వ బౌలర్ / ఫీల్డర్ కలయికలు (8) ',' 23 వ అత్యధిక వికెట్లు తీసుకున్న ఆకర్షించింది (37) ',' 17 వ అత్యధిక వికెట్లు ఒక ఫీల్డర్ చేత క్యాచ్"&amp;" తీసుకున్న (34) ',' 11 వ అత్యధిక వికెట్లు స్టంప్ (7) ',' 10 వ వేగంగా 50 తీసుకున్న వికెట్లు (39) ',' 40 వ వరుస జట్టు మ్యాచ్లు (30) ',' 10 వ కెరీర్ లో అత్యంత పనికత్తెలయొద్ద (4) ',' 1 వ అత్యంత ఇన్నింగ్స్ లో పనికత్తెలయొద్ద (2) ']")</f>
        <v>[ 'ఇన్నింగ్స్ లో 6 వ అత్యధిక పరుగులు (బ్యాటింగ్ స్థానంలో ప్రకారం) (34)', '35 వ కెరీర్ లో అత్యధిక వికెట్లు (51)', '42 వ ఒక క్యాలెండర్ సంవత్సరంలో అత్యధిక వికెట్లు (19)', '7 వ ఉత్తమ కెరీర్ సగటు బౌలింగ్ (16.84 ) ',' 10 వ ఉత్తమ కెరీర్ ఆర్థిక రేటు (6.36) ',' 18 వ ఉత్తమ కెరీర్ సమ్మె రేటు (15.8) ',' 50 వ కెరీర్ లో బౌల్డ్ చాలా బంతుల్లో (810) ',' 1 వ బౌలర్ / బ్యాట్స్ కలయికలు (4) ',' 12 వ బౌలర్ / ఫీల్డర్ కలయికలు (8) ',' 23 వ అత్యధిక వికెట్లు తీసుకున్న ఆకర్షించింది (37) ',' 17 వ అత్యధిక వికెట్లు ఒక ఫీల్డర్ చేత క్యాచ్ తీసుకున్న (34) ',' 11 వ అత్యధిక వికెట్లు స్టంప్ (7) ',' 10 వ వేగంగా 50 తీసుకున్న వికెట్లు (39) ',' 40 వ వరుస జట్టు మ్యాచ్లు (30) ',' 10 వ కెరీర్ లో అత్యంత పనికత్తెలయొద్ద (4) ',' 1 వ అత్యంత ఇన్నింగ్స్ లో పనికత్తెలయొద్ద (2) ']</v>
      </c>
      <c r="I2848" s="3"/>
    </row>
    <row r="2849" customHeight="1" spans="1:9">
      <c r="A2849" s="2"/>
      <c r="B2849" s="2" t="str">
        <f>IFERROR(__xludf.DUMMYFUNCTION("IF(A2849&lt;&gt;"""", GOOGLETRANSLATE(A2849, ""en"", ""te""),"""")"),"")</f>
        <v/>
      </c>
      <c r="C2849" s="2"/>
      <c r="D2849" s="2" t="str">
        <f>IFERROR(__xludf.DUMMYFUNCTION("IF(C2849&lt;&gt;"""", GOOGLETRANSLATE(C2849, ""en"", ""te""),"""")"),"")</f>
        <v/>
      </c>
      <c r="E2849" s="2"/>
      <c r="F2849" s="2" t="str">
        <f>IFERROR(__xludf.DUMMYFUNCTION("IF(E2849&lt;&gt;"""", GOOGLETRANSLATE(E2849, ""en"", ""te""),"""")"),"")</f>
        <v/>
      </c>
      <c r="G2849" s="2"/>
      <c r="H2849" s="2" t="str">
        <f>IFERROR(__xludf.DUMMYFUNCTION("IF(G2849&lt;&gt;"""", GOOGLETRANSLATE(G2849, ""en"", ""te""),"""")"),"")</f>
        <v/>
      </c>
      <c r="I2849" s="3"/>
    </row>
    <row r="2850" customHeight="1" spans="1:9">
      <c r="A2850" s="2"/>
      <c r="B2850" s="2" t="str">
        <f>IFERROR(__xludf.DUMMYFUNCTION("IF(A2850&lt;&gt;"""", GOOGLETRANSLATE(A2850, ""en"", ""te""),"""")"),"")</f>
        <v/>
      </c>
      <c r="C2850" s="2"/>
      <c r="D2850" s="2" t="str">
        <f>IFERROR(__xludf.DUMMYFUNCTION("IF(C2850&lt;&gt;"""", GOOGLETRANSLATE(C2850, ""en"", ""te""),"""")"),"")</f>
        <v/>
      </c>
      <c r="E2850" s="2"/>
      <c r="F2850" s="2" t="str">
        <f>IFERROR(__xludf.DUMMYFUNCTION("IF(E2850&lt;&gt;"""", GOOGLETRANSLATE(E2850, ""en"", ""te""),"""")"),"")</f>
        <v/>
      </c>
      <c r="G2850" s="2"/>
      <c r="H2850" s="2" t="str">
        <f>IFERROR(__xludf.DUMMYFUNCTION("IF(G2850&lt;&gt;"""", GOOGLETRANSLATE(G2850, ""en"", ""te""),"""")"),"")</f>
        <v/>
      </c>
      <c r="I2850" s="3"/>
    </row>
    <row r="2851" customHeight="1" spans="1:9">
      <c r="A2851" s="2"/>
      <c r="B2851" s="2" t="str">
        <f>IFERROR(__xludf.DUMMYFUNCTION("IF(A2851&lt;&gt;"""", GOOGLETRANSLATE(A2851, ""en"", ""te""),"""")"),"")</f>
        <v/>
      </c>
      <c r="C2851" s="2"/>
      <c r="D2851" s="2" t="str">
        <f>IFERROR(__xludf.DUMMYFUNCTION("IF(C2851&lt;&gt;"""", GOOGLETRANSLATE(C2851, ""en"", ""te""),"""")"),"")</f>
        <v/>
      </c>
      <c r="E2851" s="2"/>
      <c r="F2851" s="2" t="str">
        <f>IFERROR(__xludf.DUMMYFUNCTION("IF(E2851&lt;&gt;"""", GOOGLETRANSLATE(E2851, ""en"", ""te""),"""")"),"")</f>
        <v/>
      </c>
      <c r="G2851" s="2"/>
      <c r="H2851" s="2" t="str">
        <f>IFERROR(__xludf.DUMMYFUNCTION("IF(G2851&lt;&gt;"""", GOOGLETRANSLATE(G2851, ""en"", ""te""),"""")"),"")</f>
        <v/>
      </c>
      <c r="I2851" s="3"/>
    </row>
    <row r="2852" customHeight="1" spans="1:9">
      <c r="A2852" s="2"/>
      <c r="B2852" s="2" t="str">
        <f>IFERROR(__xludf.DUMMYFUNCTION("IF(A2852&lt;&gt;"""", GOOGLETRANSLATE(A2852, ""en"", ""te""),"""")"),"")</f>
        <v/>
      </c>
      <c r="C2852" s="2"/>
      <c r="D2852" s="2" t="str">
        <f>IFERROR(__xludf.DUMMYFUNCTION("IF(C2852&lt;&gt;"""", GOOGLETRANSLATE(C2852, ""en"", ""te""),"""")"),"")</f>
        <v/>
      </c>
      <c r="E2852" s="2"/>
      <c r="F2852" s="2" t="str">
        <f>IFERROR(__xludf.DUMMYFUNCTION("IF(E2852&lt;&gt;"""", GOOGLETRANSLATE(E2852, ""en"", ""te""),"""")"),"")</f>
        <v/>
      </c>
      <c r="G2852" s="2"/>
      <c r="H2852" s="2" t="str">
        <f>IFERROR(__xludf.DUMMYFUNCTION("IF(G2852&lt;&gt;"""", GOOGLETRANSLATE(G2852, ""en"", ""te""),"""")"),"")</f>
        <v/>
      </c>
      <c r="I2852" s="3"/>
    </row>
    <row r="2853" customHeight="1" spans="1:9">
      <c r="A2853" s="2"/>
      <c r="B2853" s="2" t="str">
        <f>IFERROR(__xludf.DUMMYFUNCTION("IF(A2853&lt;&gt;"""", GOOGLETRANSLATE(A2853, ""en"", ""te""),"""")"),"")</f>
        <v/>
      </c>
      <c r="C2853" s="2"/>
      <c r="D2853" s="2" t="str">
        <f>IFERROR(__xludf.DUMMYFUNCTION("IF(C2853&lt;&gt;"""", GOOGLETRANSLATE(C2853, ""en"", ""te""),"""")"),"")</f>
        <v/>
      </c>
      <c r="E2853" s="2"/>
      <c r="F2853" s="2" t="str">
        <f>IFERROR(__xludf.DUMMYFUNCTION("IF(E2853&lt;&gt;"""", GOOGLETRANSLATE(E2853, ""en"", ""te""),"""")"),"")</f>
        <v/>
      </c>
      <c r="G2853" s="2"/>
      <c r="H2853" s="2" t="str">
        <f>IFERROR(__xludf.DUMMYFUNCTION("IF(G2853&lt;&gt;"""", GOOGLETRANSLATE(G2853, ""en"", ""te""),"""")"),"")</f>
        <v/>
      </c>
      <c r="I2853" s="3"/>
    </row>
    <row r="2854" customHeight="1" spans="1:9">
      <c r="A2854" s="2" t="s">
        <v>9</v>
      </c>
      <c r="B2854" s="2" t="str">
        <f>IFERROR(__xludf.DUMMYFUNCTION("IF(A2854&lt;&gt;"""", GOOGLETRANSLATE(A2854, ""en"", ""te""),"""")"),"[ 'హండ్రెడ్ మరియు ఒక మ్యాచ్లో ఒక డక్']")</f>
        <v>[ 'హండ్రెడ్ మరియు ఒక మ్యాచ్లో ఒక డక్']</v>
      </c>
      <c r="C2854" s="2" t="s">
        <v>2032</v>
      </c>
      <c r="D2854" s="2" t="str">
        <f>IFERROR(__xludf.DUMMYFUNCTION("IF(C2854&lt;&gt;"""", GOOGLETRANSLATE(C2854, ""en"", ""te""),"""")"),"[ '31 పిన్న కాప్టెన్ (25y 117d)']")</f>
        <v>[ '31 పిన్న కాప్టెన్ (25y 117d)']</v>
      </c>
      <c r="E2854" s="2"/>
      <c r="F2854" s="2" t="str">
        <f>IFERROR(__xludf.DUMMYFUNCTION("IF(E2854&lt;&gt;"""", GOOGLETRANSLATE(E2854, ""en"", ""te""),"""")"),"")</f>
        <v/>
      </c>
      <c r="G2854" s="2"/>
      <c r="H2854" s="2" t="str">
        <f>IFERROR(__xludf.DUMMYFUNCTION("IF(G2854&lt;&gt;"""", GOOGLETRANSLATE(G2854, ""en"", ""te""),"""")"),"")</f>
        <v/>
      </c>
      <c r="I2854" s="3"/>
    </row>
    <row r="2855" customHeight="1" spans="1:9">
      <c r="A2855" s="2"/>
      <c r="B2855" s="2" t="str">
        <f>IFERROR(__xludf.DUMMYFUNCTION("IF(A2855&lt;&gt;"""", GOOGLETRANSLATE(A2855, ""en"", ""te""),"""")"),"")</f>
        <v/>
      </c>
      <c r="C2855" s="2" t="s">
        <v>2033</v>
      </c>
      <c r="D2855" s="2" t="str">
        <f>IFERROR(__xludf.DUMMYFUNCTION("IF(C2855&lt;&gt;"""", GOOGLETRANSLATE(C2855, ""en"", ""te""),"""")"),"[40 వ మ్యాచ్ లో బెస్ట్ ఫిగర్స్ పరాజయం వైపు (10) ఉన్నప్పుడు ',' 15 వ వరుస మ్యాచ్లు ప్రదర్శనల మధ్య బృందం (78) కోసం తప్పిన ']")</f>
        <v>[40 వ మ్యాచ్ లో బెస్ట్ ఫిగర్స్ పరాజయం వైపు (10) ఉన్నప్పుడు ',' 15 వ వరుస మ్యాచ్లు ప్రదర్శనల మధ్య బృందం (78) కోసం తప్పిన ']</v>
      </c>
      <c r="E2855" s="2" t="s">
        <v>2034</v>
      </c>
      <c r="F2855" s="2" t="str">
        <f>IFERROR(__xludf.DUMMYFUNCTION("IF(E2855&lt;&gt;"""", GOOGLETRANSLATE(E2855, ""en"", ""te""),"""")"),"[ '34 వ వరుస మ్యాచ్లు ఆడి మధ్య జట్టు (133) కోసం తప్పిన']")</f>
        <v>[ '34 వ వరుస మ్యాచ్లు ఆడి మధ్య జట్టు (133) కోసం తప్పిన']</v>
      </c>
      <c r="G2855" s="2"/>
      <c r="H2855" s="2" t="str">
        <f>IFERROR(__xludf.DUMMYFUNCTION("IF(G2855&lt;&gt;"""", GOOGLETRANSLATE(G2855, ""en"", ""te""),"""")"),"")</f>
        <v/>
      </c>
      <c r="I2855" s="3"/>
    </row>
    <row r="2856" customHeight="1" spans="1:9">
      <c r="A2856" s="2" t="s">
        <v>2035</v>
      </c>
      <c r="B2856" s="2" t="str">
        <f>IFERROR(__xludf.DUMMYFUNCTION("IF(A2856&lt;&gt;"""", GOOGLETRANSLATE(A2856, ""en"", ""te""),"""")"),"[ 'వరుస 1st చాలా బాతులు (3)']")</f>
        <v>[ 'వరుస 1st చాలా బాతులు (3)']</v>
      </c>
      <c r="C2856" s="2" t="s">
        <v>2036</v>
      </c>
      <c r="D2856" s="2" t="str">
        <f>IFERROR(__xludf.DUMMYFUNCTION("IF(C2856&lt;&gt;"""", GOOGLETRANSLATE(C2856, ""en"", ""te""),"""")"),"[ 'వరుస 1st చాలా బాతులు (3)', '28th చెత్త కెరీర్ బౌలింగ్ సరాసరి (30.66)']")</f>
        <v>[ 'వరుస 1st చాలా బాతులు (3)', '28th చెత్త కెరీర్ బౌలింగ్ సరాసరి (30.66)']</v>
      </c>
      <c r="E2856" s="2" t="s">
        <v>2037</v>
      </c>
      <c r="F2856" s="2" t="str">
        <f>IFERROR(__xludf.DUMMYFUNCTION("IF(E2856&lt;&gt;"""", GOOGLETRANSLATE(E2856, ""en"", ""te""),"""")"),"[ '38 వ చెత్త కెరీర్ బౌలింగ్ సరాసరి (అర్హత లేకుండా) (72.80)']")</f>
        <v>[ '38 వ చెత్త కెరీర్ బౌలింగ్ సరాసరి (అర్హత లేకుండా) (72.80)']</v>
      </c>
      <c r="G2856" s="2"/>
      <c r="H2856" s="2" t="str">
        <f>IFERROR(__xludf.DUMMYFUNCTION("IF(G2856&lt;&gt;"""", GOOGLETRANSLATE(G2856, ""en"", ""te""),"""")"),"")</f>
        <v/>
      </c>
      <c r="I2856" s="3"/>
    </row>
    <row r="2857" customHeight="1" spans="1:9">
      <c r="A2857" s="2"/>
      <c r="B2857" s="2" t="str">
        <f>IFERROR(__xludf.DUMMYFUNCTION("IF(A2857&lt;&gt;"""", GOOGLETRANSLATE(A2857, ""en"", ""te""),"""")"),"")</f>
        <v/>
      </c>
      <c r="C2857" s="2"/>
      <c r="D2857" s="2" t="str">
        <f>IFERROR(__xludf.DUMMYFUNCTION("IF(C2857&lt;&gt;"""", GOOGLETRANSLATE(C2857, ""en"", ""te""),"""")"),"")</f>
        <v/>
      </c>
      <c r="E2857" s="2"/>
      <c r="F2857" s="2" t="str">
        <f>IFERROR(__xludf.DUMMYFUNCTION("IF(E2857&lt;&gt;"""", GOOGLETRANSLATE(E2857, ""en"", ""te""),"""")"),"")</f>
        <v/>
      </c>
      <c r="G2857" s="2"/>
      <c r="H2857" s="2" t="str">
        <f>IFERROR(__xludf.DUMMYFUNCTION("IF(G2857&lt;&gt;"""", GOOGLETRANSLATE(G2857, ""en"", ""te""),"""")"),"")</f>
        <v/>
      </c>
      <c r="I2857" s="3"/>
    </row>
    <row r="2858" customHeight="1" spans="1:9">
      <c r="A2858" s="2"/>
      <c r="B2858" s="2" t="str">
        <f>IFERROR(__xludf.DUMMYFUNCTION("IF(A2858&lt;&gt;"""", GOOGLETRANSLATE(A2858, ""en"", ""te""),"""")"),"")</f>
        <v/>
      </c>
      <c r="C2858" s="2"/>
      <c r="D2858" s="2" t="str">
        <f>IFERROR(__xludf.DUMMYFUNCTION("IF(C2858&lt;&gt;"""", GOOGLETRANSLATE(C2858, ""en"", ""te""),"""")"),"")</f>
        <v/>
      </c>
      <c r="E2858" s="2"/>
      <c r="F2858" s="2" t="str">
        <f>IFERROR(__xludf.DUMMYFUNCTION("IF(E2858&lt;&gt;"""", GOOGLETRANSLATE(E2858, ""en"", ""te""),"""")"),"")</f>
        <v/>
      </c>
      <c r="G2858" s="2"/>
      <c r="H2858" s="2" t="str">
        <f>IFERROR(__xludf.DUMMYFUNCTION("IF(G2858&lt;&gt;"""", GOOGLETRANSLATE(G2858, ""en"", ""te""),"""")"),"")</f>
        <v/>
      </c>
      <c r="I2858" s="3"/>
    </row>
    <row r="2859" customHeight="1" spans="1:9">
      <c r="A2859" s="2" t="s">
        <v>2038</v>
      </c>
      <c r="B2859" s="2" t="str">
        <f>IFERROR(__xludf.DUMMYFUNCTION("IF(A2859&lt;&gt;"""", GOOGLETRANSLATE(A2859, ""en"", ""te""),"""")"),"[ 'ఒక జట్టు కెప్టెన్గా 6 వ వరుస మ్యాచ్లు (10)', '7 వ చెత్త కెరీర్లో సమ్మె రేటు (137.2)', 'బృందం (39) కెప్టెన్ గా 8 వ వరుస మ్యాచ్లు']")</f>
        <v>[ 'ఒక జట్టు కెప్టెన్గా 6 వ వరుస మ్యాచ్లు (10)', '7 వ చెత్త కెరీర్లో సమ్మె రేటు (137.2)', 'బృందం (39) కెప్టెన్ గా 8 వ వరుస మ్యాచ్లు']</v>
      </c>
      <c r="C2859" s="2" t="s">
        <v>2039</v>
      </c>
      <c r="D2859" s="2" t="str">
        <f>IFERROR(__xludf.DUMMYFUNCTION("IF(C2859&lt;&gt;"""", GOOGLETRANSLATE(C2859, ""en"", ""te""),"""")"),"[ 'బౌలింగ్ 10th చెత్త కెరీర్ సగటు (45.56)', '7 వ చెత్త కెరీర్లో సమ్మె రేటు' వంద (443) లేకుండా 16 ఒక జీవితంలో అత్యధిక పరుగులు '' 11 వ ఇన్నింగ్స్ లో అత్యధిక పరుగులు (బ్యాటింగ్ స్థానంలో ప్రకారం) (64) ', (137.2) ',' ఇన్నింగ్స్ లో 35 వ చెత్త ఆర్థిక రేటు (4.00)"&amp;" ', '21 వ కెరీర్ (2196) లో బౌల్డ్ చాలా బంతుల్లో', '22 వ కెరీర్ లో సాధించిన అత్యధిక పరుగులు (729)', '19 వ కెరీర్ లో అత్యధిక క్యాచ్లు (11 ) ',' 17 వ అత్యధిక మ్యాచ్లు కెరీర్లో (15) ',' 7 వ అత్యధిక మ్యాచ్లు కెప్టెన్గా (ఒక జట్టు కెప్టెన్గా 10) ',' 6 వ వరుస మ్య"&amp;"ాచ్లు (10) ']")</f>
        <v>[ 'బౌలింగ్ 10th చెత్త కెరీర్ సగటు (45.56)', '7 వ చెత్త కెరీర్లో సమ్మె రేటు' వంద (443) లేకుండా 16 ఒక జీవితంలో అత్యధిక పరుగులు '' 11 వ ఇన్నింగ్స్ లో అత్యధిక పరుగులు (బ్యాటింగ్ స్థానంలో ప్రకారం) (64) ', (137.2) ',' ఇన్నింగ్స్ లో 35 వ చెత్త ఆర్థిక రేటు (4.00) ', '21 వ కెరీర్ (2196) లో బౌల్డ్ చాలా బంతుల్లో', '22 వ కెరీర్ లో సాధించిన అత్యధిక పరుగులు (729)', '19 వ కెరీర్ లో అత్యధిక క్యాచ్లు (11 ) ',' 17 వ అత్యధిక మ్యాచ్లు కెరీర్లో (15) ',' 7 వ అత్యధిక మ్యాచ్లు కెప్టెన్గా (ఒక జట్టు కెప్టెన్గా 10) ',' 6 వ వరుస మ్యాచ్లు (10) ']</v>
      </c>
      <c r="E2859" s="2" t="s">
        <v>2040</v>
      </c>
      <c r="F2859" s="2" t="str">
        <f>IFERROR(__xludf.DUMMYFUNCTION("IF(E2859&lt;&gt;"""", GOOGLETRANSLATE(E2859, ""en"", ""te""),"""")"),"[ 'ఒక కెప్టెన్తో ఇన్నింగ్స్ లో 22 వ అత్యధిక పరుగులు (110 *)', '43 వ అత్యధిక తొలి వంద (110 *)', 20 వ అత్యంత వృద్ధ ఆటగాడు తొలి స్కోర్ '32 వ అత్యంత వృద్ధ ఆటగాడు వంద (30y 113d) స్కోర్', ' వందల (30y 113d) ',' 29th ఉత్తమ కెరీర్ సగటు (18.65) ',' 25 వ ఉత్తమ కెరీర"&amp;"్ ఎకానమీ రేట్ బౌలింగ్ (2.67) ',' 27 వ బౌలర్ / ఫీల్డర్ కలయికలు (12) ',' 49 వ అత్యధిక వికెట్లు ఆకర్షించింది తీసుకున్న (39) ' '(7) 16 వ అత్యధిక వికెట్లు ఆకర్షించింది తీసుకున్న మరియు బౌల్డ్', '38 వ అత్యధిక వికెట్లు ఒక ఫీల్డర్ చేత క్యాచ్ తీసుకున్న (34)', 'ఎనిమ"&amp;"ిదవ వికెట్ (44 *) కోసం 39 వ అత్యధిక భాగస్వామ్యం', '19 వ వరుస జట్టు మ్యాచ్లు, (53) ',' 45 వ లాంగెస్ట్ కెరీర్లు (13y 232d) ',' 12 వ అత్యధిక మ్యాచ్లు కెప్టెన్గా (45) ',' 8 వ వరుస మ్యాచ్లు ఒక జట్టు కెప్టెన్గా (39) ',' 10 వ పిన్న కాప్టెన్ (21y 149d) ' ]")</f>
        <v>[ 'ఒక కెప్టెన్తో ఇన్నింగ్స్ లో 22 వ అత్యధిక పరుగులు (110 *)', '43 వ అత్యధిక తొలి వంద (110 *)', 20 వ అత్యంత వృద్ధ ఆటగాడు తొలి స్కోర్ '32 వ అత్యంత వృద్ధ ఆటగాడు వంద (30y 113d) స్కోర్', ' వందల (30y 113d) ',' 29th ఉత్తమ కెరీర్ సగటు (18.65) ',' 25 వ ఉత్తమ కెరీర్ ఎకానమీ రేట్ బౌలింగ్ (2.67) ',' 27 వ బౌలర్ / ఫీల్డర్ కలయికలు (12) ',' 49 వ అత్యధిక వికెట్లు ఆకర్షించింది తీసుకున్న (39) ' '(7) 16 వ అత్యధిక వికెట్లు ఆకర్షించింది తీసుకున్న మరియు బౌల్డ్', '38 వ అత్యధిక వికెట్లు ఒక ఫీల్డర్ చేత క్యాచ్ తీసుకున్న (34)', 'ఎనిమిదవ వికెట్ (44 *) కోసం 39 వ అత్యధిక భాగస్వామ్యం', '19 వ వరుస జట్టు మ్యాచ్లు, (53) ',' 45 వ లాంగెస్ట్ కెరీర్లు (13y 232d) ',' 12 వ అత్యధిక మ్యాచ్లు కెప్టెన్గా (45) ',' 8 వ వరుస మ్యాచ్లు ఒక జట్టు కెప్టెన్గా (39) ',' 10 వ పిన్న కాప్టెన్ (21y 149d) ' ]</v>
      </c>
      <c r="G2859" s="2"/>
      <c r="H2859" s="2" t="str">
        <f>IFERROR(__xludf.DUMMYFUNCTION("IF(G2859&lt;&gt;"""", GOOGLETRANSLATE(G2859, ""en"", ""te""),"""")"),"")</f>
        <v/>
      </c>
      <c r="I2859" s="3"/>
    </row>
    <row r="2860" customHeight="1" spans="1:9">
      <c r="A2860" s="2"/>
      <c r="B2860" s="2" t="str">
        <f>IFERROR(__xludf.DUMMYFUNCTION("IF(A2860&lt;&gt;"""", GOOGLETRANSLATE(A2860, ""en"", ""te""),"""")"),"")</f>
        <v/>
      </c>
      <c r="C2860" s="2" t="s">
        <v>2041</v>
      </c>
      <c r="D2860" s="2" t="str">
        <f>IFERROR(__xludf.DUMMYFUNCTION("IF(C2860&lt;&gt;"""", GOOGLETRANSLATE(C2860, ""en"", ""te""),"""")"),"[ '46 వ అత్యంత వికెట్కీపర్గా (319) శ్రేణిలో పరుగులు']")</f>
        <v>[ '46 వ అత్యంత వికెట్కీపర్గా (319) శ్రేణిలో పరుగులు']</v>
      </c>
      <c r="E2860" s="2"/>
      <c r="F2860" s="2" t="str">
        <f>IFERROR(__xludf.DUMMYFUNCTION("IF(E2860&lt;&gt;"""", GOOGLETRANSLATE(E2860, ""en"", ""te""),"""")"),"")</f>
        <v/>
      </c>
      <c r="G2860" s="2"/>
      <c r="H2860" s="2" t="str">
        <f>IFERROR(__xludf.DUMMYFUNCTION("IF(G2860&lt;&gt;"""", GOOGLETRANSLATE(G2860, ""en"", ""te""),"""")"),"")</f>
        <v/>
      </c>
      <c r="I2860" s="3"/>
    </row>
    <row r="2861" customHeight="1" spans="1:9">
      <c r="A2861" s="2" t="s">
        <v>349</v>
      </c>
      <c r="B2861" s="2" t="str">
        <f>IFERROR(__xludf.DUMMYFUNCTION("IF(A2861&lt;&gt;"""", GOOGLETRANSLATE(A2861, ""en"", ""te""),"""")"),"[ '99 పరుగుల 1st (మరియు 199, 299 etc) (99)']")</f>
        <v>[ '99 పరుగుల 1st (మరియు 199, 299 etc) (99)']</v>
      </c>
      <c r="C2861" s="2" t="s">
        <v>2042</v>
      </c>
      <c r="D2861" s="2" t="str">
        <f>IFERROR(__xludf.DUMMYFUNCTION("IF(C2861&lt;&gt;"""", GOOGLETRANSLATE(C2861, ""en"", ""te""),"""")"),"[ '99 పరుగుల 1st (మరియు 199, 299 etc) (99)', '42 వ ఒక సిరీస్లో అత్యధిక క్యాచ్లు (10)', 'ఏడవ వికెట్కు 20 వ అత్యధిక భాగస్వామ్యం (197)', '28th పురాతన దేశం ఆటగాళ్ళు (87y 336d) ']")</f>
        <v>[ '99 పరుగుల 1st (మరియు 199, 299 etc) (99)', '42 వ ఒక సిరీస్లో అత్యధిక క్యాచ్లు (10)', 'ఏడవ వికెట్కు 20 వ అత్యధిక భాగస్వామ్యం (197)', '28th పురాతన దేశం ఆటగాళ్ళు (87y 336d) ']</v>
      </c>
      <c r="E2861" s="2" t="s">
        <v>2043</v>
      </c>
      <c r="F2861" s="2" t="str">
        <f>IFERROR(__xludf.DUMMYFUNCTION("IF(E2861&lt;&gt;"""", GOOGLETRANSLATE(E2861, ""en"", ""te""),"""")"),"[ '31 మోస్ట్ ఒక మ్యాచ్ రిఫరీ (17) గా పేర్కొంటే']")</f>
        <v>[ '31 మోస్ట్ ఒక మ్యాచ్ రిఫరీ (17) గా పేర్కొంటే']</v>
      </c>
      <c r="G2861" s="2"/>
      <c r="H2861" s="2" t="str">
        <f>IFERROR(__xludf.DUMMYFUNCTION("IF(G2861&lt;&gt;"""", GOOGLETRANSLATE(G2861, ""en"", ""te""),"""")"),"")</f>
        <v/>
      </c>
      <c r="I2861" s="3"/>
    </row>
    <row r="2862" customHeight="1" spans="1:9">
      <c r="A2862" s="2"/>
      <c r="B2862" s="2" t="str">
        <f>IFERROR(__xludf.DUMMYFUNCTION("IF(A2862&lt;&gt;"""", GOOGLETRANSLATE(A2862, ""en"", ""te""),"""")"),"")</f>
        <v/>
      </c>
      <c r="C2862" s="2" t="s">
        <v>2044</v>
      </c>
      <c r="D2862" s="2" t="str">
        <f>IFERROR(__xludf.DUMMYFUNCTION("IF(C2862&lt;&gt;"""", GOOGLETRANSLATE(C2862, ""en"", ""te""),"""")"),"[ '32 వ ఉత్తమ కెరీర్ (11.00) (అర్హత లేకుండా) సగటు బౌలింగ్', '22 వ లాంగెస్ట్ క్రీడాకారులు (93y 270d) నివసించారు']")</f>
        <v>[ '32 వ ఉత్తమ కెరీర్ (11.00) (అర్హత లేకుండా) సగటు బౌలింగ్', '22 వ లాంగెస్ట్ క్రీడాకారులు (93y 270d) నివసించారు']</v>
      </c>
      <c r="E2862" s="2"/>
      <c r="F2862" s="2" t="str">
        <f>IFERROR(__xludf.DUMMYFUNCTION("IF(E2862&lt;&gt;"""", GOOGLETRANSLATE(E2862, ""en"", ""te""),"""")"),"")</f>
        <v/>
      </c>
      <c r="G2862" s="2"/>
      <c r="H2862" s="2" t="str">
        <f>IFERROR(__xludf.DUMMYFUNCTION("IF(G2862&lt;&gt;"""", GOOGLETRANSLATE(G2862, ""en"", ""te""),"""")"),"")</f>
        <v/>
      </c>
      <c r="I2862" s="3"/>
    </row>
    <row r="2863" customHeight="1" spans="1:9">
      <c r="A2863" s="2"/>
      <c r="B2863" s="2" t="str">
        <f>IFERROR(__xludf.DUMMYFUNCTION("IF(A2863&lt;&gt;"""", GOOGLETRANSLATE(A2863, ""en"", ""te""),"""")"),"")</f>
        <v/>
      </c>
      <c r="C2863" s="2" t="s">
        <v>1216</v>
      </c>
      <c r="D2863" s="2" t="str">
        <f>IFERROR(__xludf.DUMMYFUNCTION("IF(C2863&lt;&gt;"""", GOOGLETRANSLATE(C2863, ""en"", ""te""),"""")"),"[ 'తొలి ఇన్నింగ్స్లో 22 బెస్ట్ ఫిగర్స్ (6)', '33 వ ప్రవేశం (8) ఒక మ్యాచ్లో బెస్ట్ ఫిగర్స్']")</f>
        <v>[ 'తొలి ఇన్నింగ్స్లో 22 బెస్ట్ ఫిగర్స్ (6)', '33 వ ప్రవేశం (8) ఒక మ్యాచ్లో బెస్ట్ ఫిగర్స్']</v>
      </c>
      <c r="E2863" s="2"/>
      <c r="F2863" s="2" t="str">
        <f>IFERROR(__xludf.DUMMYFUNCTION("IF(E2863&lt;&gt;"""", GOOGLETRANSLATE(E2863, ""en"", ""te""),"""")"),"")</f>
        <v/>
      </c>
      <c r="G2863" s="2"/>
      <c r="H2863" s="2" t="str">
        <f>IFERROR(__xludf.DUMMYFUNCTION("IF(G2863&lt;&gt;"""", GOOGLETRANSLATE(G2863, ""en"", ""te""),"""")"),"")</f>
        <v/>
      </c>
      <c r="I2863" s="3"/>
    </row>
    <row r="2864" customHeight="1" spans="1:9">
      <c r="A2864" s="2"/>
      <c r="B2864" s="2" t="str">
        <f>IFERROR(__xludf.DUMMYFUNCTION("IF(A2864&lt;&gt;"""", GOOGLETRANSLATE(A2864, ""en"", ""te""),"""")"),"")</f>
        <v/>
      </c>
      <c r="C2864" s="2"/>
      <c r="D2864" s="2" t="str">
        <f>IFERROR(__xludf.DUMMYFUNCTION("IF(C2864&lt;&gt;"""", GOOGLETRANSLATE(C2864, ""en"", ""te""),"""")"),"")</f>
        <v/>
      </c>
      <c r="E2864" s="2"/>
      <c r="F2864" s="2" t="str">
        <f>IFERROR(__xludf.DUMMYFUNCTION("IF(E2864&lt;&gt;"""", GOOGLETRANSLATE(E2864, ""en"", ""te""),"""")"),"")</f>
        <v/>
      </c>
      <c r="G2864" s="2"/>
      <c r="H2864" s="2" t="str">
        <f>IFERROR(__xludf.DUMMYFUNCTION("IF(G2864&lt;&gt;"""", GOOGLETRANSLATE(G2864, ""en"", ""te""),"""")"),"")</f>
        <v/>
      </c>
      <c r="I2864" s="3"/>
    </row>
    <row r="2865" customHeight="1" spans="1:9">
      <c r="A2865" s="2"/>
      <c r="B2865" s="2" t="str">
        <f>IFERROR(__xludf.DUMMYFUNCTION("IF(A2865&lt;&gt;"""", GOOGLETRANSLATE(A2865, ""en"", ""te""),"""")"),"")</f>
        <v/>
      </c>
      <c r="C2865" s="2"/>
      <c r="D2865" s="2" t="str">
        <f>IFERROR(__xludf.DUMMYFUNCTION("IF(C2865&lt;&gt;"""", GOOGLETRANSLATE(C2865, ""en"", ""te""),"""")"),"")</f>
        <v/>
      </c>
      <c r="E2865" s="2"/>
      <c r="F2865" s="2" t="str">
        <f>IFERROR(__xludf.DUMMYFUNCTION("IF(E2865&lt;&gt;"""", GOOGLETRANSLATE(E2865, ""en"", ""te""),"""")"),"")</f>
        <v/>
      </c>
      <c r="G2865" s="2"/>
      <c r="H2865" s="2" t="str">
        <f>IFERROR(__xludf.DUMMYFUNCTION("IF(G2865&lt;&gt;"""", GOOGLETRANSLATE(G2865, ""en"", ""te""),"""")"),"")</f>
        <v/>
      </c>
      <c r="I2865" s="3"/>
    </row>
    <row r="2866" customHeight="1" spans="1:9">
      <c r="A2866" s="2"/>
      <c r="B2866" s="2" t="str">
        <f>IFERROR(__xludf.DUMMYFUNCTION("IF(A2866&lt;&gt;"""", GOOGLETRANSLATE(A2866, ""en"", ""te""),"""")"),"")</f>
        <v/>
      </c>
      <c r="C2866" s="2" t="s">
        <v>2045</v>
      </c>
      <c r="D2866" s="2" t="str">
        <f>IFERROR(__xludf.DUMMYFUNCTION("IF(C2866&lt;&gt;"""", GOOGLETRANSLATE(C2866, ""en"", ""te""),"""")"),"[ '26 పురాతన దేశం ఆటగాళ్ళు (88y 258d)']")</f>
        <v>[ '26 పురాతన దేశం ఆటగాళ్ళు (88y 258d)']</v>
      </c>
      <c r="E2866" s="2"/>
      <c r="F2866" s="2" t="str">
        <f>IFERROR(__xludf.DUMMYFUNCTION("IF(E2866&lt;&gt;"""", GOOGLETRANSLATE(E2866, ""en"", ""te""),"""")"),"")</f>
        <v/>
      </c>
      <c r="G2866" s="2"/>
      <c r="H2866" s="2" t="str">
        <f>IFERROR(__xludf.DUMMYFUNCTION("IF(G2866&lt;&gt;"""", GOOGLETRANSLATE(G2866, ""en"", ""te""),"""")"),"")</f>
        <v/>
      </c>
      <c r="I2866" s="3"/>
    </row>
    <row r="2867" customHeight="1" spans="1:9">
      <c r="A2867" s="2"/>
      <c r="B2867" s="2" t="str">
        <f>IFERROR(__xludf.DUMMYFUNCTION("IF(A2867&lt;&gt;"""", GOOGLETRANSLATE(A2867, ""en"", ""te""),"""")"),"")</f>
        <v/>
      </c>
      <c r="C2867" s="2"/>
      <c r="D2867" s="2" t="str">
        <f>IFERROR(__xludf.DUMMYFUNCTION("IF(C2867&lt;&gt;"""", GOOGLETRANSLATE(C2867, ""en"", ""te""),"""")"),"")</f>
        <v/>
      </c>
      <c r="E2867" s="2"/>
      <c r="F2867" s="2" t="str">
        <f>IFERROR(__xludf.DUMMYFUNCTION("IF(E2867&lt;&gt;"""", GOOGLETRANSLATE(E2867, ""en"", ""te""),"""")"),"")</f>
        <v/>
      </c>
      <c r="G2867" s="2"/>
      <c r="H2867" s="2" t="str">
        <f>IFERROR(__xludf.DUMMYFUNCTION("IF(G2867&lt;&gt;"""", GOOGLETRANSLATE(G2867, ""en"", ""te""),"""")"),"")</f>
        <v/>
      </c>
      <c r="I2867" s="3"/>
    </row>
    <row r="2868" customHeight="1" spans="1:9">
      <c r="A2868" s="2" t="s">
        <v>2046</v>
      </c>
      <c r="B2868" s="2" t="str">
        <f>IFERROR(__xludf.DUMMYFUNCTION("IF(A2868&lt;&gt;"""", GOOGLETRANSLATE(A2868, ""en"", ""te""),"""")"),"[ 'ఒక కెప్టెన్ ద్వారా ఒక సిరీస్లో 5 వ అత్యధిక పరుగులు (306)', 'ఒక మ్యాచ్ (4) 2 వ అత్యధిక క్యాచ్లు']")</f>
        <v>[ 'ఒక కెప్టెన్ ద్వారా ఒక సిరీస్లో 5 వ అత్యధిక పరుగులు (306)', 'ఒక మ్యాచ్ (4) 2 వ అత్యధిక క్యాచ్లు']</v>
      </c>
      <c r="C2868" s="2" t="s">
        <v>2047</v>
      </c>
      <c r="D2868" s="2" t="str">
        <f>IFERROR(__xludf.DUMMYFUNCTION("IF(C2868&lt;&gt;"""", GOOGLETRANSLATE(C2868, ""en"", ""te""),"""")"),"[ '25 ఒక సిరీస్లో అత్యధిక పరుగులు (306)', '22 వ పరాజయం వైపు ఒక మ్యాచ్లో అత్యధిక పరుగులు (85)', 'ఒక కెప్టెన్ ద్వారా ఒక సిరీస్లో 5 వ అత్యధిక పరుగులు (306)', '8 వ చాలా పరుగులు వంద (490) ',' 11 వ కెరీర్ లో అతి తక్కువ బాతులు (22) లేకుండా జీవితం ',' ఒక మ్యాచ్ల"&amp;"ో 2nd అత్యధిక క్యాచ్లు (4) ']")</f>
        <v>[ '25 ఒక సిరీస్లో అత్యధిక పరుగులు (306)', '22 వ పరాజయం వైపు ఒక మ్యాచ్లో అత్యధిక పరుగులు (85)', 'ఒక కెప్టెన్ ద్వారా ఒక సిరీస్లో 5 వ అత్యధిక పరుగులు (306)', '8 వ చాలా పరుగులు వంద (490) ',' 11 వ కెరీర్ లో అతి తక్కువ బాతులు (22) లేకుండా జీవితం ',' ఒక మ్యాచ్లో 2nd అత్యధిక క్యాచ్లు (4) ']</v>
      </c>
      <c r="E2868" s="2"/>
      <c r="F2868" s="2" t="str">
        <f>IFERROR(__xludf.DUMMYFUNCTION("IF(E2868&lt;&gt;"""", GOOGLETRANSLATE(E2868, ""en"", ""te""),"""")"),"")</f>
        <v/>
      </c>
      <c r="G2868" s="2"/>
      <c r="H2868" s="2" t="str">
        <f>IFERROR(__xludf.DUMMYFUNCTION("IF(G2868&lt;&gt;"""", GOOGLETRANSLATE(G2868, ""en"", ""te""),"""")"),"")</f>
        <v/>
      </c>
      <c r="I2868" s="3"/>
    </row>
    <row r="2869" customHeight="1" spans="1:9">
      <c r="A2869" s="2"/>
      <c r="B2869" s="2" t="str">
        <f>IFERROR(__xludf.DUMMYFUNCTION("IF(A2869&lt;&gt;"""", GOOGLETRANSLATE(A2869, ""en"", ""te""),"""")"),"")</f>
        <v/>
      </c>
      <c r="C2869" s="2"/>
      <c r="D2869" s="2" t="str">
        <f>IFERROR(__xludf.DUMMYFUNCTION("IF(C2869&lt;&gt;"""", GOOGLETRANSLATE(C2869, ""en"", ""te""),"""")"),"")</f>
        <v/>
      </c>
      <c r="E2869" s="2"/>
      <c r="F2869" s="2" t="str">
        <f>IFERROR(__xludf.DUMMYFUNCTION("IF(E2869&lt;&gt;"""", GOOGLETRANSLATE(E2869, ""en"", ""te""),"""")"),"")</f>
        <v/>
      </c>
      <c r="G2869" s="2"/>
      <c r="H2869" s="2" t="str">
        <f>IFERROR(__xludf.DUMMYFUNCTION("IF(G2869&lt;&gt;"""", GOOGLETRANSLATE(G2869, ""en"", ""te""),"""")"),"")</f>
        <v/>
      </c>
      <c r="I2869" s="3"/>
    </row>
    <row r="2870" customHeight="1" spans="1:9">
      <c r="A2870" s="2"/>
      <c r="B2870" s="2" t="str">
        <f>IFERROR(__xludf.DUMMYFUNCTION("IF(A2870&lt;&gt;"""", GOOGLETRANSLATE(A2870, ""en"", ""te""),"""")"),"")</f>
        <v/>
      </c>
      <c r="C2870" s="2"/>
      <c r="D2870" s="2" t="str">
        <f>IFERROR(__xludf.DUMMYFUNCTION("IF(C2870&lt;&gt;"""", GOOGLETRANSLATE(C2870, ""en"", ""te""),"""")"),"")</f>
        <v/>
      </c>
      <c r="E2870" s="2"/>
      <c r="F2870" s="2" t="str">
        <f>IFERROR(__xludf.DUMMYFUNCTION("IF(E2870&lt;&gt;"""", GOOGLETRANSLATE(E2870, ""en"", ""te""),"""")"),"")</f>
        <v/>
      </c>
      <c r="G2870" s="2"/>
      <c r="H2870" s="2" t="str">
        <f>IFERROR(__xludf.DUMMYFUNCTION("IF(G2870&lt;&gt;"""", GOOGLETRANSLATE(G2870, ""en"", ""te""),"""")"),"")</f>
        <v/>
      </c>
      <c r="I2870" s="3"/>
    </row>
    <row r="2871" customHeight="1" spans="1:9">
      <c r="A2871" s="2"/>
      <c r="B2871" s="2" t="str">
        <f>IFERROR(__xludf.DUMMYFUNCTION("IF(A2871&lt;&gt;"""", GOOGLETRANSLATE(A2871, ""en"", ""te""),"""")"),"")</f>
        <v/>
      </c>
      <c r="C2871" s="2"/>
      <c r="D2871" s="2" t="str">
        <f>IFERROR(__xludf.DUMMYFUNCTION("IF(C2871&lt;&gt;"""", GOOGLETRANSLATE(C2871, ""en"", ""te""),"""")"),"")</f>
        <v/>
      </c>
      <c r="E2871" s="2"/>
      <c r="F2871" s="2" t="str">
        <f>IFERROR(__xludf.DUMMYFUNCTION("IF(E2871&lt;&gt;"""", GOOGLETRANSLATE(E2871, ""en"", ""te""),"""")"),"")</f>
        <v/>
      </c>
      <c r="G2871" s="2"/>
      <c r="H2871" s="2" t="str">
        <f>IFERROR(__xludf.DUMMYFUNCTION("IF(G2871&lt;&gt;"""", GOOGLETRANSLATE(G2871, ""en"", ""te""),"""")"),"")</f>
        <v/>
      </c>
      <c r="I2871" s="3"/>
    </row>
    <row r="2872" customHeight="1" spans="1:9">
      <c r="A2872" s="2"/>
      <c r="B2872" s="2" t="str">
        <f>IFERROR(__xludf.DUMMYFUNCTION("IF(A2872&lt;&gt;"""", GOOGLETRANSLATE(A2872, ""en"", ""te""),"""")"),"")</f>
        <v/>
      </c>
      <c r="C2872" s="2" t="s">
        <v>2048</v>
      </c>
      <c r="D2872" s="2" t="str">
        <f>IFERROR(__xludf.DUMMYFUNCTION("IF(C2872&lt;&gt;"""", GOOGLETRANSLATE(C2872, ""en"", ""te""),"""")"),"[ 'నాలుగో వికెట్కు (260) కోసం 37 వ అత్యధిక భాగస్వామ్యం']")</f>
        <v>[ 'నాలుగో వికెట్కు (260) కోసం 37 వ అత్యధిక భాగస్వామ్యం']</v>
      </c>
      <c r="E2872" s="2"/>
      <c r="F2872" s="2" t="str">
        <f>IFERROR(__xludf.DUMMYFUNCTION("IF(E2872&lt;&gt;"""", GOOGLETRANSLATE(E2872, ""en"", ""te""),"""")"),"")</f>
        <v/>
      </c>
      <c r="G2872" s="2"/>
      <c r="H2872" s="2" t="str">
        <f>IFERROR(__xludf.DUMMYFUNCTION("IF(G2872&lt;&gt;"""", GOOGLETRANSLATE(G2872, ""en"", ""te""),"""")"),"")</f>
        <v/>
      </c>
      <c r="I2872" s="3"/>
    </row>
    <row r="2873" customHeight="1" spans="1:9">
      <c r="A2873" s="2" t="s">
        <v>2049</v>
      </c>
      <c r="B2873" s="2" t="str">
        <f>IFERROR(__xludf.DUMMYFUNCTION("IF(A2873&lt;&gt;"""", GOOGLETRANSLATE(A2873, ""en"", ""te""),"""")"),"[ '5 వ లాంగెస్ట్ క్రీడాకారులు (97y 209d) నివసించారు']")</f>
        <v>[ '5 వ లాంగెస్ట్ క్రీడాకారులు (97y 209d) నివసించారు']</v>
      </c>
      <c r="C2873" s="2" t="s">
        <v>2049</v>
      </c>
      <c r="D2873" s="2" t="str">
        <f>IFERROR(__xludf.DUMMYFUNCTION("IF(C2873&lt;&gt;"""", GOOGLETRANSLATE(C2873, ""en"", ""te""),"""")"),"[ '5 వ లాంగెస్ట్ క్రీడాకారులు (97y 209d) నివసించారు']")</f>
        <v>[ '5 వ లాంగెస్ట్ క్రీడాకారులు (97y 209d) నివసించారు']</v>
      </c>
      <c r="E2873" s="2"/>
      <c r="F2873" s="2" t="str">
        <f>IFERROR(__xludf.DUMMYFUNCTION("IF(E2873&lt;&gt;"""", GOOGLETRANSLATE(E2873, ""en"", ""te""),"""")"),"")</f>
        <v/>
      </c>
      <c r="G2873" s="2"/>
      <c r="H2873" s="2" t="str">
        <f>IFERROR(__xludf.DUMMYFUNCTION("IF(G2873&lt;&gt;"""", GOOGLETRANSLATE(G2873, ""en"", ""te""),"""")"),"")</f>
        <v/>
      </c>
      <c r="I2873" s="3"/>
    </row>
    <row r="2874" customHeight="1" spans="1:9">
      <c r="A2874" s="2"/>
      <c r="B2874" s="2" t="str">
        <f>IFERROR(__xludf.DUMMYFUNCTION("IF(A2874&lt;&gt;"""", GOOGLETRANSLATE(A2874, ""en"", ""te""),"""")"),"")</f>
        <v/>
      </c>
      <c r="C2874" s="2"/>
      <c r="D2874" s="2" t="str">
        <f>IFERROR(__xludf.DUMMYFUNCTION("IF(C2874&lt;&gt;"""", GOOGLETRANSLATE(C2874, ""en"", ""te""),"""")"),"")</f>
        <v/>
      </c>
      <c r="E2874" s="2"/>
      <c r="F2874" s="2" t="str">
        <f>IFERROR(__xludf.DUMMYFUNCTION("IF(E2874&lt;&gt;"""", GOOGLETRANSLATE(E2874, ""en"", ""te""),"""")"),"")</f>
        <v/>
      </c>
      <c r="G2874" s="2"/>
      <c r="H2874" s="2" t="str">
        <f>IFERROR(__xludf.DUMMYFUNCTION("IF(G2874&lt;&gt;"""", GOOGLETRANSLATE(G2874, ""en"", ""te""),"""")"),"")</f>
        <v/>
      </c>
      <c r="I2874" s="3"/>
    </row>
    <row r="2875" customHeight="1" spans="1:9">
      <c r="A2875" s="2"/>
      <c r="B2875" s="2" t="str">
        <f>IFERROR(__xludf.DUMMYFUNCTION("IF(A2875&lt;&gt;"""", GOOGLETRANSLATE(A2875, ""en"", ""te""),"""")"),"")</f>
        <v/>
      </c>
      <c r="C2875" s="2"/>
      <c r="D2875" s="2" t="str">
        <f>IFERROR(__xludf.DUMMYFUNCTION("IF(C2875&lt;&gt;"""", GOOGLETRANSLATE(C2875, ""en"", ""te""),"""")"),"")</f>
        <v/>
      </c>
      <c r="E2875" s="2"/>
      <c r="F2875" s="2" t="str">
        <f>IFERROR(__xludf.DUMMYFUNCTION("IF(E2875&lt;&gt;"""", GOOGLETRANSLATE(E2875, ""en"", ""te""),"""")"),"")</f>
        <v/>
      </c>
      <c r="G2875" s="2"/>
      <c r="H2875" s="2" t="str">
        <f>IFERROR(__xludf.DUMMYFUNCTION("IF(G2875&lt;&gt;"""", GOOGLETRANSLATE(G2875, ""en"", ""te""),"""")"),"")</f>
        <v/>
      </c>
      <c r="I2875" s="3"/>
    </row>
    <row r="2876" customHeight="1" spans="1:9">
      <c r="A2876" s="2" t="s">
        <v>2050</v>
      </c>
      <c r="B2876" s="2" t="str">
        <f>IFERROR(__xludf.DUMMYFUNCTION("IF(A2876&lt;&gt;"""", GOOGLETRANSLATE(A2876, ""en"", ""te""),"""")"),"[ 'తొలి 1st ఓల్డెస్ట్ క్రీడాకారులు (49y 119d)']")</f>
        <v>[ 'తొలి 1st ఓల్డెస్ట్ క్రీడాకారులు (49y 119d)']</v>
      </c>
      <c r="C2876" s="2" t="s">
        <v>2051</v>
      </c>
      <c r="D2876" s="2" t="str">
        <f>IFERROR(__xludf.DUMMYFUNCTION("IF(C2876&lt;&gt;"""", GOOGLETRANSLATE(C2876, ""en"", ""te""),"""")"),"[ 'తొలి 1st ఓల్డెస్ట్ క్రీడాకారులు (49y 119d)', '5 వ ఓల్డెస్ట్ క్రీడాకారులు (49y 139d)']")</f>
        <v>[ 'తొలి 1st ఓల్డెస్ట్ క్రీడాకారులు (49y 119d)', '5 వ ఓల్డెస్ట్ క్రీడాకారులు (49y 139d)']</v>
      </c>
      <c r="E2876" s="2"/>
      <c r="F2876" s="2" t="str">
        <f>IFERROR(__xludf.DUMMYFUNCTION("IF(E2876&lt;&gt;"""", GOOGLETRANSLATE(E2876, ""en"", ""te""),"""")"),"")</f>
        <v/>
      </c>
      <c r="G2876" s="2"/>
      <c r="H2876" s="2" t="str">
        <f>IFERROR(__xludf.DUMMYFUNCTION("IF(G2876&lt;&gt;"""", GOOGLETRANSLATE(G2876, ""en"", ""te""),"""")"),"")</f>
        <v/>
      </c>
      <c r="I2876" s="3"/>
    </row>
    <row r="2877" customHeight="1" spans="1:9">
      <c r="A2877" s="2"/>
      <c r="B2877" s="2" t="str">
        <f>IFERROR(__xludf.DUMMYFUNCTION("IF(A2877&lt;&gt;"""", GOOGLETRANSLATE(A2877, ""en"", ""te""),"""")"),"")</f>
        <v/>
      </c>
      <c r="C2877" s="2"/>
      <c r="D2877" s="2" t="str">
        <f>IFERROR(__xludf.DUMMYFUNCTION("IF(C2877&lt;&gt;"""", GOOGLETRANSLATE(C2877, ""en"", ""te""),"""")"),"")</f>
        <v/>
      </c>
      <c r="E2877" s="2"/>
      <c r="F2877" s="2" t="str">
        <f>IFERROR(__xludf.DUMMYFUNCTION("IF(E2877&lt;&gt;"""", GOOGLETRANSLATE(E2877, ""en"", ""te""),"""")"),"")</f>
        <v/>
      </c>
      <c r="G2877" s="2"/>
      <c r="H2877" s="2" t="str">
        <f>IFERROR(__xludf.DUMMYFUNCTION("IF(G2877&lt;&gt;"""", GOOGLETRANSLATE(G2877, ""en"", ""te""),"""")"),"")</f>
        <v/>
      </c>
      <c r="I2877" s="3"/>
    </row>
    <row r="2878" customHeight="1" spans="1:9">
      <c r="A2878" s="2"/>
      <c r="B2878" s="2" t="str">
        <f>IFERROR(__xludf.DUMMYFUNCTION("IF(A2878&lt;&gt;"""", GOOGLETRANSLATE(A2878, ""en"", ""te""),"""")"),"")</f>
        <v/>
      </c>
      <c r="C2878" s="2"/>
      <c r="D2878" s="2" t="str">
        <f>IFERROR(__xludf.DUMMYFUNCTION("IF(C2878&lt;&gt;"""", GOOGLETRANSLATE(C2878, ""en"", ""te""),"""")"),"")</f>
        <v/>
      </c>
      <c r="E2878" s="2"/>
      <c r="F2878" s="2" t="str">
        <f>IFERROR(__xludf.DUMMYFUNCTION("IF(E2878&lt;&gt;"""", GOOGLETRANSLATE(E2878, ""en"", ""te""),"""")"),"")</f>
        <v/>
      </c>
      <c r="G2878" s="2"/>
      <c r="H2878" s="2" t="str">
        <f>IFERROR(__xludf.DUMMYFUNCTION("IF(G2878&lt;&gt;"""", GOOGLETRANSLATE(G2878, ""en"", ""te""),"""")"),"")</f>
        <v/>
      </c>
      <c r="I2878" s="3"/>
    </row>
    <row r="2879" customHeight="1" spans="1:9">
      <c r="A2879" s="2"/>
      <c r="B2879" s="2" t="str">
        <f>IFERROR(__xludf.DUMMYFUNCTION("IF(A2879&lt;&gt;"""", GOOGLETRANSLATE(A2879, ""en"", ""te""),"""")"),"")</f>
        <v/>
      </c>
      <c r="C2879" s="2"/>
      <c r="D2879" s="2" t="str">
        <f>IFERROR(__xludf.DUMMYFUNCTION("IF(C2879&lt;&gt;"""", GOOGLETRANSLATE(C2879, ""en"", ""te""),"""")"),"")</f>
        <v/>
      </c>
      <c r="E2879" s="2"/>
      <c r="F2879" s="2" t="str">
        <f>IFERROR(__xludf.DUMMYFUNCTION("IF(E2879&lt;&gt;"""", GOOGLETRANSLATE(E2879, ""en"", ""te""),"""")"),"")</f>
        <v/>
      </c>
      <c r="G2879" s="2"/>
      <c r="H2879" s="2" t="str">
        <f>IFERROR(__xludf.DUMMYFUNCTION("IF(G2879&lt;&gt;"""", GOOGLETRANSLATE(G2879, ""en"", ""te""),"""")"),"")</f>
        <v/>
      </c>
      <c r="I2879" s="3"/>
    </row>
    <row r="2880" customHeight="1" spans="1:9">
      <c r="A2880" s="2"/>
      <c r="B2880" s="2" t="str">
        <f>IFERROR(__xludf.DUMMYFUNCTION("IF(A2880&lt;&gt;"""", GOOGLETRANSLATE(A2880, ""en"", ""te""),"""")"),"")</f>
        <v/>
      </c>
      <c r="C2880" s="2"/>
      <c r="D2880" s="2" t="str">
        <f>IFERROR(__xludf.DUMMYFUNCTION("IF(C2880&lt;&gt;"""", GOOGLETRANSLATE(C2880, ""en"", ""te""),"""")"),"")</f>
        <v/>
      </c>
      <c r="E2880" s="2"/>
      <c r="F2880" s="2" t="str">
        <f>IFERROR(__xludf.DUMMYFUNCTION("IF(E2880&lt;&gt;"""", GOOGLETRANSLATE(E2880, ""en"", ""te""),"""")"),"")</f>
        <v/>
      </c>
      <c r="G2880" s="2"/>
      <c r="H2880" s="2" t="str">
        <f>IFERROR(__xludf.DUMMYFUNCTION("IF(G2880&lt;&gt;"""", GOOGLETRANSLATE(G2880, ""en"", ""te""),"""")"),"")</f>
        <v/>
      </c>
      <c r="I2880" s="3"/>
    </row>
    <row r="2881" customHeight="1" spans="1:9">
      <c r="A2881" s="2" t="s">
        <v>2052</v>
      </c>
      <c r="B2881" s="2" t="str">
        <f>IFERROR(__xludf.DUMMYFUNCTION("IF(A2881&lt;&gt;"""", GOOGLETRANSLATE(A2881, ""en"", ""te""),"""")"),"[ 'గత మ్యాచ్ (105) లో 4 వ హండ్రెడ్']")</f>
        <v>[ 'గత మ్యాచ్ (105) లో 4 వ హండ్రెడ్']</v>
      </c>
      <c r="C2881" s="2" t="s">
        <v>2052</v>
      </c>
      <c r="D2881" s="2" t="str">
        <f>IFERROR(__xludf.DUMMYFUNCTION("IF(C2881&lt;&gt;"""", GOOGLETRANSLATE(C2881, ""en"", ""te""),"""")"),"[ 'గత మ్యాచ్ (105) లో 4 వ హండ్రెడ్']")</f>
        <v>[ 'గత మ్యాచ్ (105) లో 4 వ హండ్రెడ్']</v>
      </c>
      <c r="E2881" s="2"/>
      <c r="F2881" s="2" t="str">
        <f>IFERROR(__xludf.DUMMYFUNCTION("IF(E2881&lt;&gt;"""", GOOGLETRANSLATE(E2881, ""en"", ""te""),"""")"),"")</f>
        <v/>
      </c>
      <c r="G2881" s="2"/>
      <c r="H2881" s="2" t="str">
        <f>IFERROR(__xludf.DUMMYFUNCTION("IF(G2881&lt;&gt;"""", GOOGLETRANSLATE(G2881, ""en"", ""te""),"""")"),"")</f>
        <v/>
      </c>
      <c r="I2881" s="3"/>
    </row>
    <row r="2882" customHeight="1" spans="1:9">
      <c r="A2882" s="2"/>
      <c r="B2882" s="2" t="str">
        <f>IFERROR(__xludf.DUMMYFUNCTION("IF(A2882&lt;&gt;"""", GOOGLETRANSLATE(A2882, ""en"", ""te""),"""")"),"")</f>
        <v/>
      </c>
      <c r="C2882" s="2"/>
      <c r="D2882" s="2" t="str">
        <f>IFERROR(__xludf.DUMMYFUNCTION("IF(C2882&lt;&gt;"""", GOOGLETRANSLATE(C2882, ""en"", ""te""),"""")"),"")</f>
        <v/>
      </c>
      <c r="E2882" s="2"/>
      <c r="F2882" s="2" t="str">
        <f>IFERROR(__xludf.DUMMYFUNCTION("IF(E2882&lt;&gt;"""", GOOGLETRANSLATE(E2882, ""en"", ""te""),"""")"),"")</f>
        <v/>
      </c>
      <c r="G2882" s="2"/>
      <c r="H2882" s="2" t="str">
        <f>IFERROR(__xludf.DUMMYFUNCTION("IF(G2882&lt;&gt;"""", GOOGLETRANSLATE(G2882, ""en"", ""te""),"""")"),"")</f>
        <v/>
      </c>
      <c r="I2882" s="3"/>
    </row>
    <row r="2883" customHeight="1" spans="1:9">
      <c r="A2883" s="2"/>
      <c r="B2883" s="2" t="str">
        <f>IFERROR(__xludf.DUMMYFUNCTION("IF(A2883&lt;&gt;"""", GOOGLETRANSLATE(A2883, ""en"", ""te""),"""")"),"")</f>
        <v/>
      </c>
      <c r="C2883" s="2"/>
      <c r="D2883" s="2" t="str">
        <f>IFERROR(__xludf.DUMMYFUNCTION("IF(C2883&lt;&gt;"""", GOOGLETRANSLATE(C2883, ""en"", ""te""),"""")"),"")</f>
        <v/>
      </c>
      <c r="E2883" s="2"/>
      <c r="F2883" s="2" t="str">
        <f>IFERROR(__xludf.DUMMYFUNCTION("IF(E2883&lt;&gt;"""", GOOGLETRANSLATE(E2883, ""en"", ""te""),"""")"),"")</f>
        <v/>
      </c>
      <c r="G2883" s="2"/>
      <c r="H2883" s="2" t="str">
        <f>IFERROR(__xludf.DUMMYFUNCTION("IF(G2883&lt;&gt;"""", GOOGLETRANSLATE(G2883, ""en"", ""te""),"""")"),"")</f>
        <v/>
      </c>
      <c r="I2883" s="3"/>
    </row>
    <row r="2884" customHeight="1" spans="1:9">
      <c r="A2884" s="2"/>
      <c r="B2884" s="2" t="str">
        <f>IFERROR(__xludf.DUMMYFUNCTION("IF(A2884&lt;&gt;"""", GOOGLETRANSLATE(A2884, ""en"", ""te""),"""")"),"")</f>
        <v/>
      </c>
      <c r="C2884" s="2"/>
      <c r="D2884" s="2" t="str">
        <f>IFERROR(__xludf.DUMMYFUNCTION("IF(C2884&lt;&gt;"""", GOOGLETRANSLATE(C2884, ""en"", ""te""),"""")"),"")</f>
        <v/>
      </c>
      <c r="E2884" s="2"/>
      <c r="F2884" s="2" t="str">
        <f>IFERROR(__xludf.DUMMYFUNCTION("IF(E2884&lt;&gt;"""", GOOGLETRANSLATE(E2884, ""en"", ""te""),"""")"),"")</f>
        <v/>
      </c>
      <c r="G2884" s="2"/>
      <c r="H2884" s="2" t="str">
        <f>IFERROR(__xludf.DUMMYFUNCTION("IF(G2884&lt;&gt;"""", GOOGLETRANSLATE(G2884, ""en"", ""te""),"""")"),"")</f>
        <v/>
      </c>
      <c r="I2884" s="3"/>
    </row>
    <row r="2885" customHeight="1" spans="1:9">
      <c r="A2885" s="2"/>
      <c r="B2885" s="2" t="str">
        <f>IFERROR(__xludf.DUMMYFUNCTION("IF(A2885&lt;&gt;"""", GOOGLETRANSLATE(A2885, ""en"", ""te""),"""")"),"")</f>
        <v/>
      </c>
      <c r="C2885" s="2"/>
      <c r="D2885" s="2" t="str">
        <f>IFERROR(__xludf.DUMMYFUNCTION("IF(C2885&lt;&gt;"""", GOOGLETRANSLATE(C2885, ""en"", ""te""),"""")"),"")</f>
        <v/>
      </c>
      <c r="E2885" s="2"/>
      <c r="F2885" s="2" t="str">
        <f>IFERROR(__xludf.DUMMYFUNCTION("IF(E2885&lt;&gt;"""", GOOGLETRANSLATE(E2885, ""en"", ""te""),"""")"),"")</f>
        <v/>
      </c>
      <c r="G2885" s="2"/>
      <c r="H2885" s="2" t="str">
        <f>IFERROR(__xludf.DUMMYFUNCTION("IF(G2885&lt;&gt;"""", GOOGLETRANSLATE(G2885, ""en"", ""te""),"""")"),"")</f>
        <v/>
      </c>
      <c r="I2885" s="3"/>
    </row>
    <row r="2886" customHeight="1" spans="1:9">
      <c r="A2886" s="2"/>
      <c r="B2886" s="2" t="str">
        <f>IFERROR(__xludf.DUMMYFUNCTION("IF(A2886&lt;&gt;"""", GOOGLETRANSLATE(A2886, ""en"", ""te""),"""")"),"")</f>
        <v/>
      </c>
      <c r="C2886" s="2"/>
      <c r="D2886" s="2" t="str">
        <f>IFERROR(__xludf.DUMMYFUNCTION("IF(C2886&lt;&gt;"""", GOOGLETRANSLATE(C2886, ""en"", ""te""),"""")"),"")</f>
        <v/>
      </c>
      <c r="E2886" s="2"/>
      <c r="F2886" s="2" t="str">
        <f>IFERROR(__xludf.DUMMYFUNCTION("IF(E2886&lt;&gt;"""", GOOGLETRANSLATE(E2886, ""en"", ""te""),"""")"),"")</f>
        <v/>
      </c>
      <c r="G2886" s="2"/>
      <c r="H2886" s="2" t="str">
        <f>IFERROR(__xludf.DUMMYFUNCTION("IF(G2886&lt;&gt;"""", GOOGLETRANSLATE(G2886, ""en"", ""te""),"""")"),"")</f>
        <v/>
      </c>
      <c r="I2886" s="3"/>
    </row>
    <row r="2887" customHeight="1" spans="1:9">
      <c r="A2887" s="2" t="s">
        <v>2053</v>
      </c>
      <c r="B2887" s="2" t="str">
        <f>IFERROR(__xludf.DUMMYFUNCTION("IF(A2887&lt;&gt;"""", GOOGLETRANSLATE(A2887, ""en"", ""te""),"""")"),"[ 'తొలి పెయిర్', 'బ్యాటింగ్ తెరవడం మరియు అదే మ్యాచ్ లో బౌలింగ్']")</f>
        <v>[ 'తొలి పెయిర్', 'బ్యాటింగ్ తెరవడం మరియు అదే మ్యాచ్ లో బౌలింగ్']</v>
      </c>
      <c r="C2887" s="2"/>
      <c r="D2887" s="2" t="str">
        <f>IFERROR(__xludf.DUMMYFUNCTION("IF(C2887&lt;&gt;"""", GOOGLETRANSLATE(C2887, ""en"", ""te""),"""")"),"")</f>
        <v/>
      </c>
      <c r="E2887" s="2"/>
      <c r="F2887" s="2" t="str">
        <f>IFERROR(__xludf.DUMMYFUNCTION("IF(E2887&lt;&gt;"""", GOOGLETRANSLATE(E2887, ""en"", ""te""),"""")"),"")</f>
        <v/>
      </c>
      <c r="G2887" s="2"/>
      <c r="H2887" s="2" t="str">
        <f>IFERROR(__xludf.DUMMYFUNCTION("IF(G2887&lt;&gt;"""", GOOGLETRANSLATE(G2887, ""en"", ""te""),"""")"),"")</f>
        <v/>
      </c>
      <c r="I2887" s="3"/>
    </row>
    <row r="2888" customHeight="1" spans="1:9">
      <c r="A2888" s="2"/>
      <c r="B2888" s="2" t="str">
        <f>IFERROR(__xludf.DUMMYFUNCTION("IF(A2888&lt;&gt;"""", GOOGLETRANSLATE(A2888, ""en"", ""te""),"""")"),"")</f>
        <v/>
      </c>
      <c r="C2888" s="2" t="s">
        <v>1216</v>
      </c>
      <c r="D2888" s="2" t="str">
        <f>IFERROR(__xludf.DUMMYFUNCTION("IF(C2888&lt;&gt;"""", GOOGLETRANSLATE(C2888, ""en"", ""te""),"""")"),"[ 'తొలి ఇన్నింగ్స్లో 22 బెస్ట్ ఫిగర్స్ (6)', '33 వ ప్రవేశం (8) ఒక మ్యాచ్లో బెస్ట్ ఫిగర్స్']")</f>
        <v>[ 'తొలి ఇన్నింగ్స్లో 22 బెస్ట్ ఫిగర్స్ (6)', '33 వ ప్రవేశం (8) ఒక మ్యాచ్లో బెస్ట్ ఫిగర్స్']</v>
      </c>
      <c r="E2888" s="2"/>
      <c r="F2888" s="2" t="str">
        <f>IFERROR(__xludf.DUMMYFUNCTION("IF(E2888&lt;&gt;"""", GOOGLETRANSLATE(E2888, ""en"", ""te""),"""")"),"")</f>
        <v/>
      </c>
      <c r="G2888" s="2"/>
      <c r="H2888" s="2" t="str">
        <f>IFERROR(__xludf.DUMMYFUNCTION("IF(G2888&lt;&gt;"""", GOOGLETRANSLATE(G2888, ""en"", ""te""),"""")"),"")</f>
        <v/>
      </c>
      <c r="I2888" s="3"/>
    </row>
    <row r="2889" customHeight="1" spans="1:9">
      <c r="A2889" s="2"/>
      <c r="B2889" s="2" t="str">
        <f>IFERROR(__xludf.DUMMYFUNCTION("IF(A2889&lt;&gt;"""", GOOGLETRANSLATE(A2889, ""en"", ""te""),"""")"),"")</f>
        <v/>
      </c>
      <c r="C2889" s="2"/>
      <c r="D2889" s="2" t="str">
        <f>IFERROR(__xludf.DUMMYFUNCTION("IF(C2889&lt;&gt;"""", GOOGLETRANSLATE(C2889, ""en"", ""te""),"""")"),"")</f>
        <v/>
      </c>
      <c r="E2889" s="2" t="s">
        <v>2054</v>
      </c>
      <c r="F2889" s="2" t="str">
        <f>IFERROR(__xludf.DUMMYFUNCTION("IF(E2889&lt;&gt;"""", GOOGLETRANSLATE(E2889, ""en"", ""te""),"""")"),"[ '37 వ లాంగెస్ట్ నివసించారు క్రీడాకారులు (62y 313d)']")</f>
        <v>[ '37 వ లాంగెస్ట్ నివసించారు క్రీడాకారులు (62y 313d)']</v>
      </c>
      <c r="G2889" s="2"/>
      <c r="H2889" s="2" t="str">
        <f>IFERROR(__xludf.DUMMYFUNCTION("IF(G2889&lt;&gt;"""", GOOGLETRANSLATE(G2889, ""en"", ""te""),"""")"),"")</f>
        <v/>
      </c>
      <c r="I2889" s="3"/>
    </row>
    <row r="2890" customHeight="1" spans="1:9">
      <c r="A2890" s="2"/>
      <c r="B2890" s="2" t="str">
        <f>IFERROR(__xludf.DUMMYFUNCTION("IF(A2890&lt;&gt;"""", GOOGLETRANSLATE(A2890, ""en"", ""te""),"""")"),"")</f>
        <v/>
      </c>
      <c r="C2890" s="2"/>
      <c r="D2890" s="2" t="str">
        <f>IFERROR(__xludf.DUMMYFUNCTION("IF(C2890&lt;&gt;"""", GOOGLETRANSLATE(C2890, ""en"", ""te""),"""")"),"")</f>
        <v/>
      </c>
      <c r="E2890" s="2"/>
      <c r="F2890" s="2" t="str">
        <f>IFERROR(__xludf.DUMMYFUNCTION("IF(E2890&lt;&gt;"""", GOOGLETRANSLATE(E2890, ""en"", ""te""),"""")"),"")</f>
        <v/>
      </c>
      <c r="G2890" s="2"/>
      <c r="H2890" s="2" t="str">
        <f>IFERROR(__xludf.DUMMYFUNCTION("IF(G2890&lt;&gt;"""", GOOGLETRANSLATE(G2890, ""en"", ""te""),"""")"),"")</f>
        <v/>
      </c>
      <c r="I2890" s="3"/>
    </row>
    <row r="2891" customHeight="1" spans="1:9">
      <c r="A2891" s="2"/>
      <c r="B2891" s="2" t="str">
        <f>IFERROR(__xludf.DUMMYFUNCTION("IF(A2891&lt;&gt;"""", GOOGLETRANSLATE(A2891, ""en"", ""te""),"""")"),"")</f>
        <v/>
      </c>
      <c r="C2891" s="2"/>
      <c r="D2891" s="2" t="str">
        <f>IFERROR(__xludf.DUMMYFUNCTION("IF(C2891&lt;&gt;"""", GOOGLETRANSLATE(C2891, ""en"", ""te""),"""")"),"")</f>
        <v/>
      </c>
      <c r="E2891" s="2"/>
      <c r="F2891" s="2" t="str">
        <f>IFERROR(__xludf.DUMMYFUNCTION("IF(E2891&lt;&gt;"""", GOOGLETRANSLATE(E2891, ""en"", ""te""),"""")"),"")</f>
        <v/>
      </c>
      <c r="G2891" s="2"/>
      <c r="H2891" s="2" t="str">
        <f>IFERROR(__xludf.DUMMYFUNCTION("IF(G2891&lt;&gt;"""", GOOGLETRANSLATE(G2891, ""en"", ""te""),"""")"),"")</f>
        <v/>
      </c>
      <c r="I2891" s="3"/>
    </row>
    <row r="2892" customHeight="1" spans="1:9">
      <c r="A2892" s="2"/>
      <c r="B2892" s="2" t="str">
        <f>IFERROR(__xludf.DUMMYFUNCTION("IF(A2892&lt;&gt;"""", GOOGLETRANSLATE(A2892, ""en"", ""te""),"""")"),"")</f>
        <v/>
      </c>
      <c r="C2892" s="2"/>
      <c r="D2892" s="2" t="str">
        <f>IFERROR(__xludf.DUMMYFUNCTION("IF(C2892&lt;&gt;"""", GOOGLETRANSLATE(C2892, ""en"", ""te""),"""")"),"")</f>
        <v/>
      </c>
      <c r="E2892" s="2"/>
      <c r="F2892" s="2" t="str">
        <f>IFERROR(__xludf.DUMMYFUNCTION("IF(E2892&lt;&gt;"""", GOOGLETRANSLATE(E2892, ""en"", ""te""),"""")"),"")</f>
        <v/>
      </c>
      <c r="G2892" s="2"/>
      <c r="H2892" s="2" t="str">
        <f>IFERROR(__xludf.DUMMYFUNCTION("IF(G2892&lt;&gt;"""", GOOGLETRANSLATE(G2892, ""en"", ""te""),"""")"),"")</f>
        <v/>
      </c>
      <c r="I2892" s="3"/>
    </row>
    <row r="2893" customHeight="1" spans="1:9">
      <c r="A2893" s="2" t="s">
        <v>2055</v>
      </c>
      <c r="B2893" s="2" t="str">
        <f>IFERROR(__xludf.DUMMYFUNCTION("IF(A2893&lt;&gt;"""", GOOGLETRANSLATE(A2893, ""en"", ""te""),"""")"),"[ 'ప్రవేశం (8) ఒక ఇన్నింగ్స్ లో 1 వ బెస్ట్ ఫిగర్స్', 'రెండు దేశాలకు ప్రాతినిధ్యం', 'రెండు దేశాలకు ప్రాతినిధ్యం']")</f>
        <v>[ 'ప్రవేశం (8) ఒక ఇన్నింగ్స్ లో 1 వ బెస్ట్ ఫిగర్స్', 'రెండు దేశాలకు ప్రాతినిధ్యం', 'రెండు దేశాలకు ప్రాతినిధ్యం']</v>
      </c>
      <c r="C2893" s="2" t="s">
        <v>2056</v>
      </c>
      <c r="D2893" s="2" t="str">
        <f>IFERROR(__xludf.DUMMYFUNCTION("IF(C2893&lt;&gt;"""", GOOGLETRANSLATE(C2893, ""en"", ""te""),"""")"),"[ '34 వ ఇన్నింగ్స్ లో బెస్ట్ ఫిగర్స్ (8/43)', '1st అరంగేట్రంలోనే ఇన్నింగ్స్ లోని బెస్ట్ ఫిగర్స్ (8)', 'ప్రవేశం (8) ఒక మ్యాచ్లో 33 వ బెస్ట్ ఫిగర్స్']")</f>
        <v>[ '34 వ ఇన్నింగ్స్ లో బెస్ట్ ఫిగర్స్ (8/43)', '1st అరంగేట్రంలోనే ఇన్నింగ్స్ లోని బెస్ట్ ఫిగర్స్ (8)', 'ప్రవేశం (8) ఒక మ్యాచ్లో 33 వ బెస్ట్ ఫిగర్స్']</v>
      </c>
      <c r="E2893" s="2"/>
      <c r="F2893" s="2" t="str">
        <f>IFERROR(__xludf.DUMMYFUNCTION("IF(E2893&lt;&gt;"""", GOOGLETRANSLATE(E2893, ""en"", ""te""),"""")"),"")</f>
        <v/>
      </c>
      <c r="G2893" s="2"/>
      <c r="H2893" s="2" t="str">
        <f>IFERROR(__xludf.DUMMYFUNCTION("IF(G2893&lt;&gt;"""", GOOGLETRANSLATE(G2893, ""en"", ""te""),"""")"),"")</f>
        <v/>
      </c>
      <c r="I2893" s="3"/>
    </row>
    <row r="2894" customHeight="1" spans="1:9">
      <c r="A2894" s="2"/>
      <c r="B2894" s="2" t="str">
        <f>IFERROR(__xludf.DUMMYFUNCTION("IF(A2894&lt;&gt;"""", GOOGLETRANSLATE(A2894, ""en"", ""te""),"""")"),"")</f>
        <v/>
      </c>
      <c r="C2894" s="2"/>
      <c r="D2894" s="2" t="str">
        <f>IFERROR(__xludf.DUMMYFUNCTION("IF(C2894&lt;&gt;"""", GOOGLETRANSLATE(C2894, ""en"", ""te""),"""")"),"")</f>
        <v/>
      </c>
      <c r="E2894" s="2"/>
      <c r="F2894" s="2" t="str">
        <f>IFERROR(__xludf.DUMMYFUNCTION("IF(E2894&lt;&gt;"""", GOOGLETRANSLATE(E2894, ""en"", ""te""),"""")"),"")</f>
        <v/>
      </c>
      <c r="G2894" s="2"/>
      <c r="H2894" s="2" t="str">
        <f>IFERROR(__xludf.DUMMYFUNCTION("IF(G2894&lt;&gt;"""", GOOGLETRANSLATE(G2894, ""en"", ""te""),"""")"),"")</f>
        <v/>
      </c>
      <c r="I2894" s="3"/>
    </row>
    <row r="2895" customHeight="1" spans="1:9">
      <c r="A2895" s="2"/>
      <c r="B2895" s="2" t="str">
        <f>IFERROR(__xludf.DUMMYFUNCTION("IF(A2895&lt;&gt;"""", GOOGLETRANSLATE(A2895, ""en"", ""te""),"""")"),"")</f>
        <v/>
      </c>
      <c r="C2895" s="2"/>
      <c r="D2895" s="2" t="str">
        <f>IFERROR(__xludf.DUMMYFUNCTION("IF(C2895&lt;&gt;"""", GOOGLETRANSLATE(C2895, ""en"", ""te""),"""")"),"")</f>
        <v/>
      </c>
      <c r="E2895" s="2"/>
      <c r="F2895" s="2" t="str">
        <f>IFERROR(__xludf.DUMMYFUNCTION("IF(E2895&lt;&gt;"""", GOOGLETRANSLATE(E2895, ""en"", ""te""),"""")"),"")</f>
        <v/>
      </c>
      <c r="G2895" s="2"/>
      <c r="H2895" s="2" t="str">
        <f>IFERROR(__xludf.DUMMYFUNCTION("IF(G2895&lt;&gt;"""", GOOGLETRANSLATE(G2895, ""en"", ""te""),"""")"),"")</f>
        <v/>
      </c>
      <c r="I2895" s="3"/>
    </row>
    <row r="2896" customHeight="1" spans="1:9">
      <c r="A2896" s="2"/>
      <c r="B2896" s="2" t="str">
        <f>IFERROR(__xludf.DUMMYFUNCTION("IF(A2896&lt;&gt;"""", GOOGLETRANSLATE(A2896, ""en"", ""te""),"""")"),"")</f>
        <v/>
      </c>
      <c r="C2896" s="2"/>
      <c r="D2896" s="2" t="str">
        <f>IFERROR(__xludf.DUMMYFUNCTION("IF(C2896&lt;&gt;"""", GOOGLETRANSLATE(C2896, ""en"", ""te""),"""")"),"")</f>
        <v/>
      </c>
      <c r="E2896" s="2"/>
      <c r="F2896" s="2" t="str">
        <f>IFERROR(__xludf.DUMMYFUNCTION("IF(E2896&lt;&gt;"""", GOOGLETRANSLATE(E2896, ""en"", ""te""),"""")"),"")</f>
        <v/>
      </c>
      <c r="G2896" s="2"/>
      <c r="H2896" s="2" t="str">
        <f>IFERROR(__xludf.DUMMYFUNCTION("IF(G2896&lt;&gt;"""", GOOGLETRANSLATE(G2896, ""en"", ""te""),"""")"),"")</f>
        <v/>
      </c>
      <c r="I2896" s="3"/>
    </row>
    <row r="2897" customHeight="1" spans="1:9">
      <c r="A2897" s="2" t="s">
        <v>2057</v>
      </c>
      <c r="B2897" s="2" t="str">
        <f>IFERROR(__xludf.DUMMYFUNCTION("IF(A2897&lt;&gt;"""", GOOGLETRANSLATE(A2897, ""en"", ""te""),"""")"),"[50 వికెట్లు (9) వేగంగా 8 వ ',' 6 వ అత్యంత బంతుల్లో ఒక మ్యాచ్ (712) లో బౌల్డ్ ',' బ్యాటింగ్ తెరవడం మరియు అదే మ్యాచ్ లో బౌలింగ్ ']")</f>
        <v>[50 వికెట్లు (9) వేగంగా 8 వ ',' 6 వ అత్యంత బంతుల్లో ఒక మ్యాచ్ (712) లో బౌల్డ్ ',' బ్యాటింగ్ తెరవడం మరియు అదే మ్యాచ్ లో బౌలింగ్ ']</v>
      </c>
      <c r="C2897" s="2" t="s">
        <v>2058</v>
      </c>
      <c r="D2897" s="2" t="str">
        <f>IFERROR(__xludf.DUMMYFUNCTION("IF(C2897&lt;&gt;"""", GOOGLETRANSLATE(C2897, ""en"", ""te""),"""")"),"[ '12 వ ఒక సిరీస్లో అత్యధిక వికెట్లు (38)', '15 మ్యాచ్లో బెస్ట్ ఫిగర్స్ కూడా ఓడిపోయింది వైపు (11)', '21 వ ఉత్తమ కెరీర్ ఆర్థిక రేటు (1.94) ', ఒక ఇన్నింగ్స్ లో 40 వ ఉత్తమ సమ్మె రేటు ( 9.0) ',' 15 వ చెత్త సమ్మె ఇన్నింగ్స్ లో రేటు (391.0) ',' 33 వ అరంగేట్రంల"&amp;"ోనే మ్యాచ్లో బెస్ట్ ఫిగర్స్ (8) ',' 34 వ ఇన్నింగ్స్ లో బౌల్డ్ చాలా బంతుల్లో (441) ',' 6 వ అత్యంత బంతుల్లో బౌల్డ్ ఒక మ్యాచ్ (712) ',' 38 వ అత్యధిక వికెట్లు బౌల్డ్ (59) ',' 8 వ వేగవంతమైన 50 వికెట్లు (9) ',' 13 వ వేగవంతమైన 100 వికెట్లు 'తీసిన (20)]")</f>
        <v>[ '12 వ ఒక సిరీస్లో అత్యధిక వికెట్లు (38)', '15 మ్యాచ్లో బెస్ట్ ఫిగర్స్ కూడా ఓడిపోయింది వైపు (11)', '21 వ ఉత్తమ కెరీర్ ఆర్థిక రేటు (1.94) ', ఒక ఇన్నింగ్స్ లో 40 వ ఉత్తమ సమ్మె రేటు ( 9.0) ',' 15 వ చెత్త సమ్మె ఇన్నింగ్స్ లో రేటు (391.0) ',' 33 వ అరంగేట్రంలోనే మ్యాచ్లో బెస్ట్ ఫిగర్స్ (8) ',' 34 వ ఇన్నింగ్స్ లో బౌల్డ్ చాలా బంతుల్లో (441) ',' 6 వ అత్యంత బంతుల్లో బౌల్డ్ ఒక మ్యాచ్ (712) ',' 38 వ అత్యధిక వికెట్లు బౌల్డ్ (59) ',' 8 వ వేగవంతమైన 50 వికెట్లు (9) ',' 13 వ వేగవంతమైన 100 వికెట్లు 'తీసిన (20)]</v>
      </c>
      <c r="E2897" s="2"/>
      <c r="F2897" s="2" t="str">
        <f>IFERROR(__xludf.DUMMYFUNCTION("IF(E2897&lt;&gt;"""", GOOGLETRANSLATE(E2897, ""en"", ""te""),"""")"),"")</f>
        <v/>
      </c>
      <c r="G2897" s="2"/>
      <c r="H2897" s="2" t="str">
        <f>IFERROR(__xludf.DUMMYFUNCTION("IF(G2897&lt;&gt;"""", GOOGLETRANSLATE(G2897, ""en"", ""te""),"""")"),"")</f>
        <v/>
      </c>
      <c r="I2897" s="3"/>
    </row>
    <row r="2898" customHeight="1" spans="1:9">
      <c r="A2898" s="2"/>
      <c r="B2898" s="2" t="str">
        <f>IFERROR(__xludf.DUMMYFUNCTION("IF(A2898&lt;&gt;"""", GOOGLETRANSLATE(A2898, ""en"", ""te""),"""")"),"")</f>
        <v/>
      </c>
      <c r="C2898" s="2"/>
      <c r="D2898" s="2" t="str">
        <f>IFERROR(__xludf.DUMMYFUNCTION("IF(C2898&lt;&gt;"""", GOOGLETRANSLATE(C2898, ""en"", ""te""),"""")"),"")</f>
        <v/>
      </c>
      <c r="E2898" s="2"/>
      <c r="F2898" s="2" t="str">
        <f>IFERROR(__xludf.DUMMYFUNCTION("IF(E2898&lt;&gt;"""", GOOGLETRANSLATE(E2898, ""en"", ""te""),"""")"),"")</f>
        <v/>
      </c>
      <c r="G2898" s="2"/>
      <c r="H2898" s="2" t="str">
        <f>IFERROR(__xludf.DUMMYFUNCTION("IF(G2898&lt;&gt;"""", GOOGLETRANSLATE(G2898, ""en"", ""te""),"""")"),"")</f>
        <v/>
      </c>
      <c r="I2898" s="3"/>
    </row>
    <row r="2899" customHeight="1" spans="1:9">
      <c r="A2899" s="2"/>
      <c r="B2899" s="2" t="str">
        <f>IFERROR(__xludf.DUMMYFUNCTION("IF(A2899&lt;&gt;"""", GOOGLETRANSLATE(A2899, ""en"", ""te""),"""")"),"")</f>
        <v/>
      </c>
      <c r="C2899" s="2"/>
      <c r="D2899" s="2" t="str">
        <f>IFERROR(__xludf.DUMMYFUNCTION("IF(C2899&lt;&gt;"""", GOOGLETRANSLATE(C2899, ""en"", ""te""),"""")"),"")</f>
        <v/>
      </c>
      <c r="E2899" s="2"/>
      <c r="F2899" s="2" t="str">
        <f>IFERROR(__xludf.DUMMYFUNCTION("IF(E2899&lt;&gt;"""", GOOGLETRANSLATE(E2899, ""en"", ""te""),"""")"),"")</f>
        <v/>
      </c>
      <c r="G2899" s="2"/>
      <c r="H2899" s="2" t="str">
        <f>IFERROR(__xludf.DUMMYFUNCTION("IF(G2899&lt;&gt;"""", GOOGLETRANSLATE(G2899, ""en"", ""te""),"""")"),"")</f>
        <v/>
      </c>
      <c r="I2899" s="3"/>
    </row>
    <row r="2900" customHeight="1" spans="1:9">
      <c r="A2900" s="2"/>
      <c r="B2900" s="2" t="str">
        <f>IFERROR(__xludf.DUMMYFUNCTION("IF(A2900&lt;&gt;"""", GOOGLETRANSLATE(A2900, ""en"", ""te""),"""")"),"")</f>
        <v/>
      </c>
      <c r="C2900" s="2"/>
      <c r="D2900" s="2" t="str">
        <f>IFERROR(__xludf.DUMMYFUNCTION("IF(C2900&lt;&gt;"""", GOOGLETRANSLATE(C2900, ""en"", ""te""),"""")"),"")</f>
        <v/>
      </c>
      <c r="E2900" s="2"/>
      <c r="F2900" s="2" t="str">
        <f>IFERROR(__xludf.DUMMYFUNCTION("IF(E2900&lt;&gt;"""", GOOGLETRANSLATE(E2900, ""en"", ""te""),"""")"),"")</f>
        <v/>
      </c>
      <c r="G2900" s="2"/>
      <c r="H2900" s="2" t="str">
        <f>IFERROR(__xludf.DUMMYFUNCTION("IF(G2900&lt;&gt;"""", GOOGLETRANSLATE(G2900, ""en"", ""te""),"""")"),"")</f>
        <v/>
      </c>
      <c r="I2900" s="3"/>
    </row>
    <row r="2901" customHeight="1" spans="1:9">
      <c r="A2901" s="2" t="s">
        <v>2059</v>
      </c>
      <c r="B2901" s="2" t="str">
        <f>IFERROR(__xludf.DUMMYFUNCTION("IF(A2901&lt;&gt;"""", GOOGLETRANSLATE(A2901, ""en"", ""te""),"""")"),"[ '6 వ అత్యుత్తమ ఇన్నింగ్స్ (2/2) విశ్లేషణలలో బౌలింగ్']")</f>
        <v>[ '6 వ అత్యుత్తమ ఇన్నింగ్స్ (2/2) విశ్లేషణలలో బౌలింగ్']</v>
      </c>
      <c r="C2901" s="2" t="s">
        <v>212</v>
      </c>
      <c r="D2901" s="2" t="str">
        <f>IFERROR(__xludf.DUMMYFUNCTION("IF(C2901&lt;&gt;"""", GOOGLETRANSLATE(C2901, ""en"", ""te""),"""")"),"[ '42 వ వరుస మ్యాచ్లు ప్రదర్శనల మధ్య బృందం (55) తప్పిన']")</f>
        <v>[ '42 వ వరుస మ్యాచ్లు ప్రదర్శనల మధ్య బృందం (55) తప్పిన']</v>
      </c>
      <c r="E2901" s="2" t="s">
        <v>2060</v>
      </c>
      <c r="F2901" s="2" t="str">
        <f>IFERROR(__xludf.DUMMYFUNCTION("IF(E2901&lt;&gt;"""", GOOGLETRANSLATE(E2901, ""en"", ""te""),"""")"),"[ '12 వ ఉత్తమ సమ్మె ఇన్నింగ్స్ లో రేటు (6.0)' '6 వ అత్యుత్తమ (2/2) ఒక ఇన్నింగ్స్ లో విశ్లేషణలు బౌలింగ్']")</f>
        <v>[ '12 వ ఉత్తమ సమ్మె ఇన్నింగ్స్ లో రేటు (6.0)' '6 వ అత్యుత్తమ (2/2) ఒక ఇన్నింగ్స్ లో విశ్లేషణలు బౌలింగ్']</v>
      </c>
      <c r="G2901" s="2"/>
      <c r="H2901" s="2" t="str">
        <f>IFERROR(__xludf.DUMMYFUNCTION("IF(G2901&lt;&gt;"""", GOOGLETRANSLATE(G2901, ""en"", ""te""),"""")"),"")</f>
        <v/>
      </c>
      <c r="I2901" s="3"/>
    </row>
    <row r="2902" customHeight="1" spans="1:9">
      <c r="A2902" s="2"/>
      <c r="B2902" s="2" t="str">
        <f>IFERROR(__xludf.DUMMYFUNCTION("IF(A2902&lt;&gt;"""", GOOGLETRANSLATE(A2902, ""en"", ""te""),"""")"),"")</f>
        <v/>
      </c>
      <c r="C2902" s="2"/>
      <c r="D2902" s="2" t="str">
        <f>IFERROR(__xludf.DUMMYFUNCTION("IF(C2902&lt;&gt;"""", GOOGLETRANSLATE(C2902, ""en"", ""te""),"""")"),"")</f>
        <v/>
      </c>
      <c r="E2902" s="2"/>
      <c r="F2902" s="2" t="str">
        <f>IFERROR(__xludf.DUMMYFUNCTION("IF(E2902&lt;&gt;"""", GOOGLETRANSLATE(E2902, ""en"", ""te""),"""")"),"")</f>
        <v/>
      </c>
      <c r="G2902" s="2"/>
      <c r="H2902" s="2" t="str">
        <f>IFERROR(__xludf.DUMMYFUNCTION("IF(G2902&lt;&gt;"""", GOOGLETRANSLATE(G2902, ""en"", ""te""),"""")"),"")</f>
        <v/>
      </c>
      <c r="I2902" s="3"/>
    </row>
    <row r="2903" customHeight="1" spans="1:9">
      <c r="A2903" s="2"/>
      <c r="B2903" s="2" t="str">
        <f>IFERROR(__xludf.DUMMYFUNCTION("IF(A2903&lt;&gt;"""", GOOGLETRANSLATE(A2903, ""en"", ""te""),"""")"),"")</f>
        <v/>
      </c>
      <c r="C2903" s="2"/>
      <c r="D2903" s="2" t="str">
        <f>IFERROR(__xludf.DUMMYFUNCTION("IF(C2903&lt;&gt;"""", GOOGLETRANSLATE(C2903, ""en"", ""te""),"""")"),"")</f>
        <v/>
      </c>
      <c r="E2903" s="2"/>
      <c r="F2903" s="2" t="str">
        <f>IFERROR(__xludf.DUMMYFUNCTION("IF(E2903&lt;&gt;"""", GOOGLETRANSLATE(E2903, ""en"", ""te""),"""")"),"")</f>
        <v/>
      </c>
      <c r="G2903" s="2"/>
      <c r="H2903" s="2" t="str">
        <f>IFERROR(__xludf.DUMMYFUNCTION("IF(G2903&lt;&gt;"""", GOOGLETRANSLATE(G2903, ""en"", ""te""),"""")"),"")</f>
        <v/>
      </c>
      <c r="I2903" s="3"/>
    </row>
    <row r="2904" customHeight="1" spans="1:9">
      <c r="A2904" s="2"/>
      <c r="B2904" s="2" t="str">
        <f>IFERROR(__xludf.DUMMYFUNCTION("IF(A2904&lt;&gt;"""", GOOGLETRANSLATE(A2904, ""en"", ""te""),"""")"),"")</f>
        <v/>
      </c>
      <c r="C2904" s="2"/>
      <c r="D2904" s="2" t="str">
        <f>IFERROR(__xludf.DUMMYFUNCTION("IF(C2904&lt;&gt;"""", GOOGLETRANSLATE(C2904, ""en"", ""te""),"""")"),"")</f>
        <v/>
      </c>
      <c r="E2904" s="2"/>
      <c r="F2904" s="2" t="str">
        <f>IFERROR(__xludf.DUMMYFUNCTION("IF(E2904&lt;&gt;"""", GOOGLETRANSLATE(E2904, ""en"", ""te""),"""")"),"")</f>
        <v/>
      </c>
      <c r="G2904" s="2"/>
      <c r="H2904" s="2" t="str">
        <f>IFERROR(__xludf.DUMMYFUNCTION("IF(G2904&lt;&gt;"""", GOOGLETRANSLATE(G2904, ""en"", ""te""),"""")"),"")</f>
        <v/>
      </c>
      <c r="I2904" s="3"/>
    </row>
    <row r="2905" customHeight="1" spans="1:9">
      <c r="A2905" s="2"/>
      <c r="B2905" s="2" t="str">
        <f>IFERROR(__xludf.DUMMYFUNCTION("IF(A2905&lt;&gt;"""", GOOGLETRANSLATE(A2905, ""en"", ""te""),"""")"),"")</f>
        <v/>
      </c>
      <c r="C2905" s="2"/>
      <c r="D2905" s="2" t="str">
        <f>IFERROR(__xludf.DUMMYFUNCTION("IF(C2905&lt;&gt;"""", GOOGLETRANSLATE(C2905, ""en"", ""te""),"""")"),"")</f>
        <v/>
      </c>
      <c r="E2905" s="2"/>
      <c r="F2905" s="2" t="str">
        <f>IFERROR(__xludf.DUMMYFUNCTION("IF(E2905&lt;&gt;"""", GOOGLETRANSLATE(E2905, ""en"", ""te""),"""")"),"")</f>
        <v/>
      </c>
      <c r="G2905" s="2"/>
      <c r="H2905" s="2" t="str">
        <f>IFERROR(__xludf.DUMMYFUNCTION("IF(G2905&lt;&gt;"""", GOOGLETRANSLATE(G2905, ""en"", ""te""),"""")"),"")</f>
        <v/>
      </c>
      <c r="I2905" s="3"/>
    </row>
    <row r="2906" customHeight="1" spans="1:9">
      <c r="A2906" s="2"/>
      <c r="B2906" s="2" t="str">
        <f>IFERROR(__xludf.DUMMYFUNCTION("IF(A2906&lt;&gt;"""", GOOGLETRANSLATE(A2906, ""en"", ""te""),"""")"),"")</f>
        <v/>
      </c>
      <c r="C2906" s="2"/>
      <c r="D2906" s="2" t="str">
        <f>IFERROR(__xludf.DUMMYFUNCTION("IF(C2906&lt;&gt;"""", GOOGLETRANSLATE(C2906, ""en"", ""te""),"""")"),"")</f>
        <v/>
      </c>
      <c r="E2906" s="2"/>
      <c r="F2906" s="2" t="str">
        <f>IFERROR(__xludf.DUMMYFUNCTION("IF(E2906&lt;&gt;"""", GOOGLETRANSLATE(E2906, ""en"", ""te""),"""")"),"")</f>
        <v/>
      </c>
      <c r="G2906" s="2"/>
      <c r="H2906" s="2" t="str">
        <f>IFERROR(__xludf.DUMMYFUNCTION("IF(G2906&lt;&gt;"""", GOOGLETRANSLATE(G2906, ""en"", ""te""),"""")"),"")</f>
        <v/>
      </c>
      <c r="I2906" s="3"/>
    </row>
    <row r="2907" customHeight="1" spans="1:9">
      <c r="A2907" s="2" t="s">
        <v>2061</v>
      </c>
      <c r="B2907" s="2" t="str">
        <f>IFERROR(__xludf.DUMMYFUNCTION("IF(A2907&lt;&gt;"""", GOOGLETRANSLATE(A2907, ""en"", ""te""),"""")"),"[ '7th అత్యంత వృద్ధ ఆటగాడు తొలి వంద (38y 322d) స్కోర్']")</f>
        <v>[ '7th అత్యంత వృద్ధ ఆటగాడు తొలి వంద (38y 322d) స్కోర్']</v>
      </c>
      <c r="C2907" s="2" t="s">
        <v>2062</v>
      </c>
      <c r="D2907" s="2" t="str">
        <f>IFERROR(__xludf.DUMMYFUNCTION("IF(C2907&lt;&gt;"""", GOOGLETRANSLATE(C2907, ""en"", ""te""),"""")"),"[18 వ అత్యధిక కెరీర్ బ్యాటింగ్ సగటు (55.00) ',' తొలి వంద (38y 322d) స్కోర్ 7 వ అత్యంత వృద్ధ ఆటగాడు ']")</f>
        <v>[18 వ అత్యధిక కెరీర్ బ్యాటింగ్ సగటు (55.00) ',' తొలి వంద (38y 322d) స్కోర్ 7 వ అత్యంత వృద్ధ ఆటగాడు ']</v>
      </c>
      <c r="E2907" s="2"/>
      <c r="F2907" s="2" t="str">
        <f>IFERROR(__xludf.DUMMYFUNCTION("IF(E2907&lt;&gt;"""", GOOGLETRANSLATE(E2907, ""en"", ""te""),"""")"),"")</f>
        <v/>
      </c>
      <c r="G2907" s="2"/>
      <c r="H2907" s="2" t="str">
        <f>IFERROR(__xludf.DUMMYFUNCTION("IF(G2907&lt;&gt;"""", GOOGLETRANSLATE(G2907, ""en"", ""te""),"""")"),"")</f>
        <v/>
      </c>
      <c r="I2907" s="3"/>
    </row>
    <row r="2908" customHeight="1" spans="1:9">
      <c r="A2908" s="2" t="s">
        <v>2063</v>
      </c>
      <c r="B2908" s="2" t="str">
        <f>IFERROR(__xludf.DUMMYFUNCTION("IF(A2908&lt;&gt;"""", GOOGLETRANSLATE(A2908, ""en"", ""te""),"""")"),"[ '2nd అత్యంత ఇన్నింగ్స్ లో నడుస్తుంది (బ్యాటింగ్ స్థానం) (55 *)', 'కెరీర్ (1) 2 వ అత్యంత జతల']")</f>
        <v>[ '2nd అత్యంత ఇన్నింగ్స్ లో నడుస్తుంది (బ్యాటింగ్ స్థానం) (55 *)', 'కెరీర్ (1) 2 వ అత్యంత జతల']</v>
      </c>
      <c r="C2908" s="2" t="s">
        <v>2064</v>
      </c>
      <c r="D2908" s="2" t="str">
        <f>IFERROR(__xludf.DUMMYFUNCTION("IF(C2908&lt;&gt;"""", GOOGLETRANSLATE(C2908, ""en"", ""te""),"""")"),"[ 'మొదటి డక్ (10) ముందు 16 వ ఇన్నింగ్స్' 'కెరీర్లో 2 వ అత్యంత జతల (1)', '12 వ చెత్త కెరీర్ సగటు బౌలింగ్ యొక్క 2 వ అత్యంత ఇన్నింగ్స్ లో నడుస్తుంది (బ్యాటింగ్ స్థానం) (55 *)', (శుక్రవారం 40.75 ) ',' 12 వ చెత్త కెరీర్లో సమ్మె రేటు (118.7) ', '21 వ అరంగేట్రంల"&amp;"ోనే మ్యాచ్లో ఉత్తమ బొమ్మలు (5)', 'తొమ్మిదవ వికెట్కు 19 అత్యధిక భాగస్వామ్యం (47 *)']")</f>
        <v>[ 'మొదటి డక్ (10) ముందు 16 వ ఇన్నింగ్స్' 'కెరీర్లో 2 వ అత్యంత జతల (1)', '12 వ చెత్త కెరీర్ సగటు బౌలింగ్ యొక్క 2 వ అత్యంత ఇన్నింగ్స్ లో నడుస్తుంది (బ్యాటింగ్ స్థానం) (55 *)', (శుక్రవారం 40.75 ) ',' 12 వ చెత్త కెరీర్లో సమ్మె రేటు (118.7) ', '21 వ అరంగేట్రంలోనే మ్యాచ్లో ఉత్తమ బొమ్మలు (5)', 'తొమ్మిదవ వికెట్కు 19 అత్యధిక భాగస్వామ్యం (47 *)']</v>
      </c>
      <c r="E2908" s="2" t="s">
        <v>2065</v>
      </c>
      <c r="F2908" s="2" t="str">
        <f>IFERROR(__xludf.DUMMYFUNCTION("IF(E2908&lt;&gt;"""", GOOGLETRANSLATE(E2908, ""en"", ""te""),"""")"),"[ '32 వ ఉత్తమ కెరీర్ ఆర్థిక రేటు (2.77)', 'ఇన్నింగ్స్ లో 45 వ ఉత్తమ ఆర్థిక రేటు (0.50)', '26 ఇన్నింగ్స్ లో సాధించిన అత్యధిక పరుగులు (76)', '34 వ అత్యధిక వికెట్లు తీసుకున్న బౌల్డ్ (19)']")</f>
        <v>[ '32 వ ఉత్తమ కెరీర్ ఆర్థిక రేటు (2.77)', 'ఇన్నింగ్స్ లో 45 వ ఉత్తమ ఆర్థిక రేటు (0.50)', '26 ఇన్నింగ్స్ లో సాధించిన అత్యధిక పరుగులు (76)', '34 వ అత్యధిక వికెట్లు తీసుకున్న బౌల్డ్ (19)']</v>
      </c>
      <c r="G2908" s="2"/>
      <c r="H2908" s="2" t="str">
        <f>IFERROR(__xludf.DUMMYFUNCTION("IF(G2908&lt;&gt;"""", GOOGLETRANSLATE(G2908, ""en"", ""te""),"""")"),"")</f>
        <v/>
      </c>
      <c r="I2908" s="3"/>
    </row>
    <row r="2909" customHeight="1" spans="1:9">
      <c r="A2909" s="2"/>
      <c r="B2909" s="2" t="str">
        <f>IFERROR(__xludf.DUMMYFUNCTION("IF(A2909&lt;&gt;"""", GOOGLETRANSLATE(A2909, ""en"", ""te""),"""")"),"")</f>
        <v/>
      </c>
      <c r="C2909" s="2" t="s">
        <v>2066</v>
      </c>
      <c r="D2909" s="2" t="str">
        <f>IFERROR(__xludf.DUMMYFUNCTION("IF(C2909&lt;&gt;"""", GOOGLETRANSLATE(C2909, ""en"", ""te""),"""")"),"[ '30 వ చెత్త ఇన్నింగ్స్ లో సమ్మె రేటు (360.0)']")</f>
        <v>[ '30 వ చెత్త ఇన్నింగ్స్ లో సమ్మె రేటు (360.0)']</v>
      </c>
      <c r="E2909" s="2"/>
      <c r="F2909" s="2" t="str">
        <f>IFERROR(__xludf.DUMMYFUNCTION("IF(E2909&lt;&gt;"""", GOOGLETRANSLATE(E2909, ""en"", ""te""),"""")"),"")</f>
        <v/>
      </c>
      <c r="G2909" s="2"/>
      <c r="H2909" s="2" t="str">
        <f>IFERROR(__xludf.DUMMYFUNCTION("IF(G2909&lt;&gt;"""", GOOGLETRANSLATE(G2909, ""en"", ""te""),"""")"),"")</f>
        <v/>
      </c>
      <c r="I2909" s="3"/>
    </row>
    <row r="2910" customHeight="1" spans="1:9">
      <c r="A2910" s="2" t="s">
        <v>2067</v>
      </c>
      <c r="B2910" s="2" t="str">
        <f>IFERROR(__xludf.DUMMYFUNCTION("IF(A2910&lt;&gt;"""", GOOGLETRANSLATE(A2910, ""en"", ""te""),"""")"),"[ '7th అత్యుత్తమ బౌలింగ్ ఇన్నింగ్స్ లో విశ్లేషించడం (8/31)', '4 వ అత్యధిక వరుస పది వికెట్లు లో ఒక మ్యాచ్ (2)', '2 వ అత్యధిక వికెట్లు తీసిన హిట్ వికెట్ (3)', '10 వ వేగంగా 300 వికెట్లు (65) ',' 5 వ అత్యధిక వరుస ఐదు వికెట్ల లో-ఒక-ఇన్నింగ్స్ (4) ']")</f>
        <v>[ '7th అత్యుత్తమ బౌలింగ్ ఇన్నింగ్స్ లో విశ్లేషించడం (8/31)', '4 వ అత్యధిక వరుస పది వికెట్లు లో ఒక మ్యాచ్ (2)', '2 వ అత్యధిక వికెట్లు తీసిన హిట్ వికెట్ (3)', '10 వ వేగంగా 300 వికెట్లు (65) ',' 5 వ అత్యధిక వరుస ఐదు వికెట్ల లో-ఒక-ఇన్నింగ్స్ (4) ']</v>
      </c>
      <c r="C2910" s="2" t="s">
        <v>2068</v>
      </c>
      <c r="D2910" s="2" t="str">
        <f>IFERROR(__xludf.DUMMYFUNCTION("IF(C2910&lt;&gt;"""", GOOGLETRANSLATE(C2910, ""en"", ""te""),"""")"),"[ '33 వ కెరీర్ లో అత్యధిక వికెట్లు (307)', '26 ఉత్తమ ఇన్నింగ్స్ లో సంఖ్యలు (8/31)', 'వరుస 22 వ అత్యధిక వికెట్లు (34)', '37 వ ఒక క్యాలెండర్ సంవత్సరంలో అత్యధిక వికెట్లు (62)' , '7 వ అత్యుత్తమ బౌలింగ్ ఇన్నింగ్స్ (8/31) విశ్లేషణలలో' 'ఒకే మైదానంలో 19 వ అత్యధి"&amp;"క వికెట్లు (63)', '27th సగటు (21.57) బౌలింగ్ ఉత్తమ జీవితం' '34 వ ఉత్తమ కెరీర్ సమ్మె రేటు (49.4)' '12 వ ఉత్తమ ఇన్నింగ్స్ లో సమ్మె రేటు (6.5)', '29 వ అత్యధిక ఐదు వికెట్ల లో-ఒక-ఇన్నింగ్స్ కెరీర్లో (17)', '29 వ అత్యధిక పది వికెట్లు లో ఒక మ్యాచ్ ఒక వృత్తిలో ( "&amp;"3) ',' 5 వ అత్యధిక వరుస ఐదు వికెట్ల లో-ఒక-ఇన్నింగ్స్ (4) ',' 4 వ అత్యధిక వరుస పది వికెట్లు లో ఒక మ్యాచ్ (2) ',' 4 వ అత్యధిక వికెట్లు తీసుకున్న బౌల్డ్ (103) ' '42 వ అత్యధిక వికెట్లు తీసుకున్న ఆకర్షించింది (161)', '44 వ అత్యధిక వికెట్లు ఒక ఫీల్డర్ (109) పట్"&amp;"టుకుంటే తీసిన' 45 వ అత్యధిక వికెట్లు ఒక వికెట్ కీపర్ చే కాట్ తీసుకున్న (52) ',' 2 వ అత్యంత విజయవంతమైన వికెట్ (3) వికెట్లను తీసుకున్నారో ',' 50 వికెట్లు వేగంగా 20 (10) ',' 27th 200 వికెట్లు వేగంగా (47) ',' 14 వ 250 వికెట్లు వేగంగా (56) ',' 10th 300 వికెట్"&amp;"లు (65) వేగంగా ']")</f>
        <v>[ '33 వ కెరీర్ లో అత్యధిక వికెట్లు (307)', '26 ఉత్తమ ఇన్నింగ్స్ లో సంఖ్యలు (8/31)', 'వరుస 22 వ అత్యధిక వికెట్లు (34)', '37 వ ఒక క్యాలెండర్ సంవత్సరంలో అత్యధిక వికెట్లు (62)' , '7 వ అత్యుత్తమ బౌలింగ్ ఇన్నింగ్స్ (8/31) విశ్లేషణలలో' 'ఒకే మైదానంలో 19 వ అత్యధిక వికెట్లు (63)', '27th సగటు (21.57) బౌలింగ్ ఉత్తమ జీవితం' '34 వ ఉత్తమ కెరీర్ సమ్మె రేటు (49.4)' '12 వ ఉత్తమ ఇన్నింగ్స్ లో సమ్మె రేటు (6.5)', '29 వ అత్యధిక ఐదు వికెట్ల లో-ఒక-ఇన్నింగ్స్ కెరీర్లో (17)', '29 వ అత్యధిక పది వికెట్లు లో ఒక మ్యాచ్ ఒక వృత్తిలో ( 3) ',' 5 వ అత్యధిక వరుస ఐదు వికెట్ల లో-ఒక-ఇన్నింగ్స్ (4) ',' 4 వ అత్యధిక వరుస పది వికెట్లు లో ఒక మ్యాచ్ (2) ',' 4 వ అత్యధిక వికెట్లు తీసుకున్న బౌల్డ్ (103) ' '42 వ అత్యధిక వికెట్లు తీసుకున్న ఆకర్షించింది (161)', '44 వ అత్యధిక వికెట్లు ఒక ఫీల్డర్ (109) పట్టుకుంటే తీసిన' 45 వ అత్యధిక వికెట్లు ఒక వికెట్ కీపర్ చే కాట్ తీసుకున్న (52) ',' 2 వ అత్యంత విజయవంతమైన వికెట్ (3) వికెట్లను తీసుకున్నారో ',' 50 వికెట్లు వేగంగా 20 (10) ',' 27th 200 వికెట్లు వేగంగా (47) ',' 14 వ 250 వికెట్లు వేగంగా (56) ',' 10th 300 వికెట్లు (65) వేగంగా ']</v>
      </c>
      <c r="E2910" s="2"/>
      <c r="F2910" s="2" t="str">
        <f>IFERROR(__xludf.DUMMYFUNCTION("IF(E2910&lt;&gt;"""", GOOGLETRANSLATE(E2910, ""en"", ""te""),"""")"),"")</f>
        <v/>
      </c>
      <c r="G2910" s="2"/>
      <c r="H2910" s="2" t="str">
        <f>IFERROR(__xludf.DUMMYFUNCTION("IF(G2910&lt;&gt;"""", GOOGLETRANSLATE(G2910, ""en"", ""te""),"""")"),"")</f>
        <v/>
      </c>
      <c r="I2910" s="3"/>
    </row>
    <row r="2911" customHeight="1" spans="1:9">
      <c r="A2911" s="2"/>
      <c r="B2911" s="2" t="str">
        <f>IFERROR(__xludf.DUMMYFUNCTION("IF(A2911&lt;&gt;"""", GOOGLETRANSLATE(A2911, ""en"", ""te""),"""")"),"")</f>
        <v/>
      </c>
      <c r="C2911" s="2"/>
      <c r="D2911" s="2" t="str">
        <f>IFERROR(__xludf.DUMMYFUNCTION("IF(C2911&lt;&gt;"""", GOOGLETRANSLATE(C2911, ""en"", ""te""),"""")"),"")</f>
        <v/>
      </c>
      <c r="E2911" s="2"/>
      <c r="F2911" s="2" t="str">
        <f>IFERROR(__xludf.DUMMYFUNCTION("IF(E2911&lt;&gt;"""", GOOGLETRANSLATE(E2911, ""en"", ""te""),"""")"),"")</f>
        <v/>
      </c>
      <c r="G2911" s="2"/>
      <c r="H2911" s="2" t="str">
        <f>IFERROR(__xludf.DUMMYFUNCTION("IF(G2911&lt;&gt;"""", GOOGLETRANSLATE(G2911, ""en"", ""te""),"""")"),"")</f>
        <v/>
      </c>
      <c r="I2911" s="3"/>
    </row>
    <row r="2912" customHeight="1" spans="1:9">
      <c r="A2912" s="2"/>
      <c r="B2912" s="2" t="str">
        <f>IFERROR(__xludf.DUMMYFUNCTION("IF(A2912&lt;&gt;"""", GOOGLETRANSLATE(A2912, ""en"", ""te""),"""")"),"")</f>
        <v/>
      </c>
      <c r="C2912" s="2" t="s">
        <v>2069</v>
      </c>
      <c r="D2912" s="2" t="str">
        <f>IFERROR(__xludf.DUMMYFUNCTION("IF(C2912&lt;&gt;"""", GOOGLETRANSLATE(C2912, ""en"", ""te""),"""")"),"[ '23 చెత్త ఇన్నింగ్స్ లో ఆర్థిక రేటు (6.73)']")</f>
        <v>[ '23 చెత్త ఇన్నింగ్స్ లో ఆర్థిక రేటు (6.73)']</v>
      </c>
      <c r="E2912" s="2"/>
      <c r="F2912" s="2" t="str">
        <f>IFERROR(__xludf.DUMMYFUNCTION("IF(E2912&lt;&gt;"""", GOOGLETRANSLATE(E2912, ""en"", ""te""),"""")"),"")</f>
        <v/>
      </c>
      <c r="G2912" s="2"/>
      <c r="H2912" s="2" t="str">
        <f>IFERROR(__xludf.DUMMYFUNCTION("IF(G2912&lt;&gt;"""", GOOGLETRANSLATE(G2912, ""en"", ""te""),"""")"),"")</f>
        <v/>
      </c>
      <c r="I2912" s="3"/>
    </row>
    <row r="2913" customHeight="1" spans="1:9">
      <c r="A2913" s="2"/>
      <c r="B2913" s="2" t="str">
        <f>IFERROR(__xludf.DUMMYFUNCTION("IF(A2913&lt;&gt;"""", GOOGLETRANSLATE(A2913, ""en"", ""te""),"""")"),"")</f>
        <v/>
      </c>
      <c r="C2913" s="2"/>
      <c r="D2913" s="2" t="str">
        <f>IFERROR(__xludf.DUMMYFUNCTION("IF(C2913&lt;&gt;"""", GOOGLETRANSLATE(C2913, ""en"", ""te""),"""")"),"")</f>
        <v/>
      </c>
      <c r="E2913" s="2"/>
      <c r="F2913" s="2" t="str">
        <f>IFERROR(__xludf.DUMMYFUNCTION("IF(E2913&lt;&gt;"""", GOOGLETRANSLATE(E2913, ""en"", ""te""),"""")"),"")</f>
        <v/>
      </c>
      <c r="G2913" s="2"/>
      <c r="H2913" s="2" t="str">
        <f>IFERROR(__xludf.DUMMYFUNCTION("IF(G2913&lt;&gt;"""", GOOGLETRANSLATE(G2913, ""en"", ""te""),"""")"),"")</f>
        <v/>
      </c>
      <c r="I2913" s="3"/>
    </row>
    <row r="2914" customHeight="1" spans="1:9">
      <c r="A2914" s="2" t="s">
        <v>2070</v>
      </c>
      <c r="B2914" s="2" t="str">
        <f>IFERROR(__xludf.DUMMYFUNCTION("IF(A2914&lt;&gt;"""", GOOGLETRANSLATE(A2914, ""en"", ""te""),"""")"),"[ 'ప్రదర్శనల మధ్య 3 వ లాంగెస్ట్ వ్యవధిలో (10y 207d)']")</f>
        <v>[ 'ప్రదర్శనల మధ్య 3 వ లాంగెస్ట్ వ్యవధిలో (10y 207d)']</v>
      </c>
      <c r="C2914" s="2"/>
      <c r="D2914" s="2" t="str">
        <f>IFERROR(__xludf.DUMMYFUNCTION("IF(C2914&lt;&gt;"""", GOOGLETRANSLATE(C2914, ""en"", ""te""),"""")"),"")</f>
        <v/>
      </c>
      <c r="E2914" s="2" t="s">
        <v>2071</v>
      </c>
      <c r="F2914" s="2" t="str">
        <f>IFERROR(__xludf.DUMMYFUNCTION("IF(E2914&lt;&gt;"""", GOOGLETRANSLATE(E2914, ""en"", ""te""),"""")"),"[ '3 వ లాంగెస్ట్ ప్రదర్శనలు (10y 207d) మధ్య వ్యవధిలో', '7 వ వరుస మ్యాచ్లు ఆడి మధ్య జట్టు (193) కోసం తప్పిన']")</f>
        <v>[ '3 వ లాంగెస్ట్ ప్రదర్శనలు (10y 207d) మధ్య వ్యవధిలో', '7 వ వరుస మ్యాచ్లు ఆడి మధ్య జట్టు (193) కోసం తప్పిన']</v>
      </c>
      <c r="G2914" s="2"/>
      <c r="H2914" s="2" t="str">
        <f>IFERROR(__xludf.DUMMYFUNCTION("IF(G2914&lt;&gt;"""", GOOGLETRANSLATE(G2914, ""en"", ""te""),"""")"),"")</f>
        <v/>
      </c>
      <c r="I2914" s="3"/>
    </row>
    <row r="2915" customHeight="1" spans="1:9">
      <c r="A2915" s="2" t="s">
        <v>2072</v>
      </c>
      <c r="B2915" s="2" t="str">
        <f>IFERROR(__xludf.DUMMYFUNCTION("IF(A2915&lt;&gt;"""", GOOGLETRANSLATE(A2915, ""en"", ""te""),"""")"),"[ 'కెరీర్లో 7 వ అత్యంత జతల (3)', '7 వ అత్యుత్తమ బౌలింగ్ ఇన్నింగ్స్ లో విశ్లేషించడం (6/12)', '10 వ అత్యంత పది వికెట్లు లో ఒక మ్యాచ్ ఒక వృత్తిలో (6)', 'చాలా 5 వ వికెట్లు క్యాచ్ మరియు బౌల్డ్ (20) తీసిన]")</f>
        <v>[ 'కెరీర్లో 7 వ అత్యంత జతల (3)', '7 వ అత్యుత్తమ బౌలింగ్ ఇన్నింగ్స్ లో విశ్లేషించడం (6/12)', '10 వ అత్యంత పది వికెట్లు లో ఒక మ్యాచ్ ఒక వృత్తిలో (6)', 'చాలా 5 వ వికెట్లు క్యాచ్ మరియు బౌల్డ్ (20) తీసిన]</v>
      </c>
      <c r="C2915" s="2" t="s">
        <v>2073</v>
      </c>
      <c r="D2915" s="2" t="str">
        <f>IFERROR(__xludf.DUMMYFUNCTION("IF(C2915&lt;&gt;"""", GOOGLETRANSLATE(C2915, ""en"", ""te""),"""")"),"[ '27 కెరీర్ బాతులు (19)', '11 వ ఒక సిరీస్లో అత్యధిక బాతులు (4)', 'కెరీర్ లో 7 వ అత్యంత జతల (3)', '36 వ కెరీర్ లో అత్యధిక వికెట్లు (297)', '41 వ బెస్ట్ ఫిగర్స్ ఒక మ్యాచ్లో ఇన్నింగ్స్ (8/51) ',' 25 వ ఉత్తమ బొమ్మలు (13) ',' 7 వ అత్యుత్తమ బౌలింగ్ ఇన్నింగ్స్ "&amp;"లో విశ్లేషించడం (6/12) ',' 24th ఒక ఇన్నింగ్స్ పరాజయం వైపు ఉన్నప్పుడు ఉత్తమ బొమ్మలు ( 7) ',' 15 మ్యాచ్లో ఉత్తమ సంఖ్యలు ఉన్నప్పుడు పరాజయం వైపు (11) ',' ఇన్నింగ్స్ లో 14 వ ఉత్తమ ఆర్థిక రేటు (0.44) ',' 29 వ అత్యధిక ఐదు వికెట్ల లో-ఒక-ఇన్నింగ్స్ కెరీర్లో ( 17"&amp;") ',' 10 వ అత్యంత పది వికెట్లు లో ఒక మ్యాచ్ ఒక వృత్తిలో (6) ',' 18 వ వరుస ఐదు వికెట్ల లో-ఒక-ఇన్నింగ్స్ (3) ',' 19 వ కెరీర్ లో బౌల్డ్ చాలా బంతుల్లో ( 21862) ',' 41 వ కెరీర్ లో సాధించిన అత్యధిక పరుగులు (7674) ',' 13 వ బౌలర్ / బ్యాటర్ కలయికలు (13) ', '21 వ అ"&amp;"త్యధిక వికెట్లు తీసుకున్న బౌల్డ్ (79)', '35 వ అత్యధిక వికెట్లు తీసుకున్న ఆకర్షించింది (186)', ' 5 వ అత్యంత క్యాచ్ మరియు బౌల్డ్ తీసుకోబడిన వికెట్ల (20) ',' 19 వ అత్యధిక వికెట్లు వేగంగా 250 వికెట్లు ఒక ఫీల్డర్ (160) ',' 37 వ 100 వికెట్లు వేగంగా (23) ',' 36 "&amp;"వ పట్టుకుంటే తీసుకోకూడదు (69) ']")</f>
        <v>[ '27 కెరీర్ బాతులు (19)', '11 వ ఒక సిరీస్లో అత్యధిక బాతులు (4)', 'కెరీర్ లో 7 వ అత్యంత జతల (3)', '36 వ కెరీర్ లో అత్యధిక వికెట్లు (297)', '41 వ బెస్ట్ ఫిగర్స్ ఒక మ్యాచ్లో ఇన్నింగ్స్ (8/51) ',' 25 వ ఉత్తమ బొమ్మలు (13) ',' 7 వ అత్యుత్తమ బౌలింగ్ ఇన్నింగ్స్ లో విశ్లేషించడం (6/12) ',' 24th ఒక ఇన్నింగ్స్ పరాజయం వైపు ఉన్నప్పుడు ఉత్తమ బొమ్మలు ( 7) ',' 15 మ్యాచ్లో ఉత్తమ సంఖ్యలు ఉన్నప్పుడు పరాజయం వైపు (11) ',' ఇన్నింగ్స్ లో 14 వ ఉత్తమ ఆర్థిక రేటు (0.44) ',' 29 వ అత్యధిక ఐదు వికెట్ల లో-ఒక-ఇన్నింగ్స్ కెరీర్లో ( 17) ',' 10 వ అత్యంత పది వికెట్లు లో ఒక మ్యాచ్ ఒక వృత్తిలో (6) ',' 18 వ వరుస ఐదు వికెట్ల లో-ఒక-ఇన్నింగ్స్ (3) ',' 19 వ కెరీర్ లో బౌల్డ్ చాలా బంతుల్లో ( 21862) ',' 41 వ కెరీర్ లో సాధించిన అత్యధిక పరుగులు (7674) ',' 13 వ బౌలర్ / బ్యాటర్ కలయికలు (13) ', '21 వ అత్యధిక వికెట్లు తీసుకున్న బౌల్డ్ (79)', '35 వ అత్యధిక వికెట్లు తీసుకున్న ఆకర్షించింది (186)', ' 5 వ అత్యంత క్యాచ్ మరియు బౌల్డ్ తీసుకోబడిన వికెట్ల (20) ',' 19 వ అత్యధిక వికెట్లు వేగంగా 250 వికెట్లు ఒక ఫీల్డర్ (160) ',' 37 వ 100 వికెట్లు వేగంగా (23) ',' 36 వ పట్టుకుంటే తీసుకోకూడదు (69) ']</v>
      </c>
      <c r="E2915" s="2" t="s">
        <v>2074</v>
      </c>
      <c r="F2915" s="2" t="str">
        <f>IFERROR(__xludf.DUMMYFUNCTION("IF(E2915&lt;&gt;"""", GOOGLETRANSLATE(E2915, ""en"", ""te""),"""")"),"[ '26 ఉత్తమ కెరీర్ బౌలింగ్ సరాసరి (22.93)', '11 వ ఉత్తమ కెరీర్ ఆర్థిక రేటు (3.44)']")</f>
        <v>[ '26 ఉత్తమ కెరీర్ బౌలింగ్ సరాసరి (22.93)', '11 వ ఉత్తమ కెరీర్ ఆర్థిక రేటు (3.44)']</v>
      </c>
      <c r="G2915" s="2"/>
      <c r="H2915" s="2" t="str">
        <f>IFERROR(__xludf.DUMMYFUNCTION("IF(G2915&lt;&gt;"""", GOOGLETRANSLATE(G2915, ""en"", ""te""),"""")"),"")</f>
        <v/>
      </c>
      <c r="I2915" s="3"/>
    </row>
    <row r="2916" customHeight="1" spans="1:9">
      <c r="A2916" s="2" t="s">
        <v>71</v>
      </c>
      <c r="B2916" s="2" t="str">
        <f>IFERROR(__xludf.DUMMYFUNCTION("IF(A2916&lt;&gt;"""", GOOGLETRANSLATE(A2916, ""en"", ""te""),"""")"),"[ '1st అత్యుత్తమ బౌలింగ్ ఇన్నింగ్స్ లో విశ్లేషించడం (1/0)', ​​'బ్యాటింగ్ తెరవడం మరియు అదే మ్యాచ్ లో బౌలింగ్']")</f>
        <v>[ '1st అత్యుత్తమ బౌలింగ్ ఇన్నింగ్స్ లో విశ్లేషించడం (1/0)', ​​'బ్యాటింగ్ తెరవడం మరియు అదే మ్యాచ్ లో బౌలింగ్']</v>
      </c>
      <c r="C2916" s="2" t="s">
        <v>2075</v>
      </c>
      <c r="D2916" s="2" t="str">
        <f>IFERROR(__xludf.DUMMYFUNCTION("IF(C2916&lt;&gt;"""", GOOGLETRANSLATE(C2916, ""en"", ""te""),"""")"),"[ '1st అత్యుత్తమ ఇన్నింగ్స్ లో బౌలింగ్ విశ్లేషణలు (1/0)', ​​'14 వ బౌలింగ్ ఉత్తమ కెరీర్ సగటు (20.40)']")</f>
        <v>[ '1st అత్యుత్తమ ఇన్నింగ్స్ లో బౌలింగ్ విశ్లేషణలు (1/0)', ​​'14 వ బౌలింగ్ ఉత్తమ కెరీర్ సగటు (20.40)']</v>
      </c>
      <c r="E2916" s="2"/>
      <c r="F2916" s="2" t="str">
        <f>IFERROR(__xludf.DUMMYFUNCTION("IF(E2916&lt;&gt;"""", GOOGLETRANSLATE(E2916, ""en"", ""te""),"""")"),"")</f>
        <v/>
      </c>
      <c r="G2916" s="2"/>
      <c r="H2916" s="2" t="str">
        <f>IFERROR(__xludf.DUMMYFUNCTION("IF(G2916&lt;&gt;"""", GOOGLETRANSLATE(G2916, ""en"", ""te""),"""")"),"")</f>
        <v/>
      </c>
      <c r="I2916" s="3"/>
    </row>
    <row r="2917" customHeight="1" spans="1:9">
      <c r="A2917" s="2"/>
      <c r="B2917" s="2" t="str">
        <f>IFERROR(__xludf.DUMMYFUNCTION("IF(A2917&lt;&gt;"""", GOOGLETRANSLATE(A2917, ""en"", ""te""),"""")"),"")</f>
        <v/>
      </c>
      <c r="C2917" s="2"/>
      <c r="D2917" s="2" t="str">
        <f>IFERROR(__xludf.DUMMYFUNCTION("IF(C2917&lt;&gt;"""", GOOGLETRANSLATE(C2917, ""en"", ""te""),"""")"),"")</f>
        <v/>
      </c>
      <c r="E2917" s="2"/>
      <c r="F2917" s="2" t="str">
        <f>IFERROR(__xludf.DUMMYFUNCTION("IF(E2917&lt;&gt;"""", GOOGLETRANSLATE(E2917, ""en"", ""te""),"""")"),"")</f>
        <v/>
      </c>
      <c r="G2917" s="2"/>
      <c r="H2917" s="2" t="str">
        <f>IFERROR(__xludf.DUMMYFUNCTION("IF(G2917&lt;&gt;"""", GOOGLETRANSLATE(G2917, ""en"", ""te""),"""")"),"")</f>
        <v/>
      </c>
      <c r="I2917" s="3"/>
    </row>
    <row r="2918" customHeight="1" spans="1:9">
      <c r="A2918" s="2" t="s">
        <v>2076</v>
      </c>
      <c r="B2918" s="2" t="str">
        <f>IFERROR(__xludf.DUMMYFUNCTION("IF(A2918&lt;&gt;"""", GOOGLETRANSLATE(A2918, ""en"", ""te""),"""")"),"[ 'ప్రవేశం (136) పై వంద']")</f>
        <v>[ 'ప్రవేశం (136) పై వంద']</v>
      </c>
      <c r="C2918" s="2"/>
      <c r="D2918" s="2" t="str">
        <f>IFERROR(__xludf.DUMMYFUNCTION("IF(C2918&lt;&gt;"""", GOOGLETRANSLATE(C2918, ""en"", ""te""),"""")"),"")</f>
        <v/>
      </c>
      <c r="E2918" s="2"/>
      <c r="F2918" s="2" t="str">
        <f>IFERROR(__xludf.DUMMYFUNCTION("IF(E2918&lt;&gt;"""", GOOGLETRANSLATE(E2918, ""en"", ""te""),"""")"),"")</f>
        <v/>
      </c>
      <c r="G2918" s="2"/>
      <c r="H2918" s="2" t="str">
        <f>IFERROR(__xludf.DUMMYFUNCTION("IF(G2918&lt;&gt;"""", GOOGLETRANSLATE(G2918, ""en"", ""te""),"""")"),"")</f>
        <v/>
      </c>
      <c r="I2918" s="3"/>
    </row>
    <row r="2919" customHeight="1" spans="1:9">
      <c r="A2919" s="2"/>
      <c r="B2919" s="2" t="str">
        <f>IFERROR(__xludf.DUMMYFUNCTION("IF(A2919&lt;&gt;"""", GOOGLETRANSLATE(A2919, ""en"", ""te""),"""")"),"")</f>
        <v/>
      </c>
      <c r="C2919" s="2"/>
      <c r="D2919" s="2" t="str">
        <f>IFERROR(__xludf.DUMMYFUNCTION("IF(C2919&lt;&gt;"""", GOOGLETRANSLATE(C2919, ""en"", ""te""),"""")"),"")</f>
        <v/>
      </c>
      <c r="E2919" s="2"/>
      <c r="F2919" s="2" t="str">
        <f>IFERROR(__xludf.DUMMYFUNCTION("IF(E2919&lt;&gt;"""", GOOGLETRANSLATE(E2919, ""en"", ""te""),"""")"),"")</f>
        <v/>
      </c>
      <c r="G2919" s="2"/>
      <c r="H2919" s="2" t="str">
        <f>IFERROR(__xludf.DUMMYFUNCTION("IF(G2919&lt;&gt;"""", GOOGLETRANSLATE(G2919, ""en"", ""te""),"""")"),"")</f>
        <v/>
      </c>
      <c r="I2919" s="3"/>
    </row>
    <row r="2920" customHeight="1" spans="1:9">
      <c r="A2920" s="2"/>
      <c r="B2920" s="2" t="str">
        <f>IFERROR(__xludf.DUMMYFUNCTION("IF(A2920&lt;&gt;"""", GOOGLETRANSLATE(A2920, ""en"", ""te""),"""")"),"")</f>
        <v/>
      </c>
      <c r="C2920" s="2"/>
      <c r="D2920" s="2" t="str">
        <f>IFERROR(__xludf.DUMMYFUNCTION("IF(C2920&lt;&gt;"""", GOOGLETRANSLATE(C2920, ""en"", ""te""),"""")"),"")</f>
        <v/>
      </c>
      <c r="E2920" s="2"/>
      <c r="F2920" s="2" t="str">
        <f>IFERROR(__xludf.DUMMYFUNCTION("IF(E2920&lt;&gt;"""", GOOGLETRANSLATE(E2920, ""en"", ""te""),"""")"),"")</f>
        <v/>
      </c>
      <c r="G2920" s="2"/>
      <c r="H2920" s="2" t="str">
        <f>IFERROR(__xludf.DUMMYFUNCTION("IF(G2920&lt;&gt;"""", GOOGLETRANSLATE(G2920, ""en"", ""te""),"""")"),"")</f>
        <v/>
      </c>
      <c r="I2920" s="3"/>
    </row>
    <row r="2921" customHeight="1" spans="1:9">
      <c r="A2921" s="2"/>
      <c r="B2921" s="2" t="str">
        <f>IFERROR(__xludf.DUMMYFUNCTION("IF(A2921&lt;&gt;"""", GOOGLETRANSLATE(A2921, ""en"", ""te""),"""")"),"")</f>
        <v/>
      </c>
      <c r="C2921" s="2" t="s">
        <v>2077</v>
      </c>
      <c r="D2921" s="2" t="str">
        <f>IFERROR(__xludf.DUMMYFUNCTION("IF(C2921&lt;&gt;"""", GOOGLETRANSLATE(C2921, ""en"", ""te""),"""")"),"'(4/10) 13 వ అత్యుత్తమ ఇన్నింగ్స్ లో బౌలింగ్ విశ్లేషణలు', 'ఐదు వికెట్ల లో-ఒక-ఇన్నింగ్స్ తీసుకోవాలని 48 వ పిన్న వయస్కుడిగా నిలిచాడు (20y 177d)' [ 'పది వికెట్లు ఇన్ తీసుకోవాలని 11 వ పిన్న ఆటగాడు మ్యాచ్ (20y 177d) ',' ప్రదర్శనలు (9y 21d) మధ్య 36 వ లాంగెస్ట్ "&amp;"వ్యవధిలో ']")</f>
        <v>'(4/10) 13 వ అత్యుత్తమ ఇన్నింగ్స్ లో బౌలింగ్ విశ్లేషణలు', 'ఐదు వికెట్ల లో-ఒక-ఇన్నింగ్స్ తీసుకోవాలని 48 వ పిన్న వయస్కుడిగా నిలిచాడు (20y 177d)' [ 'పది వికెట్లు ఇన్ తీసుకోవాలని 11 వ పిన్న ఆటగాడు మ్యాచ్ (20y 177d) ',' ప్రదర్శనలు (9y 21d) మధ్య 36 వ లాంగెస్ట్ వ్యవధిలో ']</v>
      </c>
      <c r="E2921" s="2"/>
      <c r="F2921" s="2" t="str">
        <f>IFERROR(__xludf.DUMMYFUNCTION("IF(E2921&lt;&gt;"""", GOOGLETRANSLATE(E2921, ""en"", ""te""),"""")"),"")</f>
        <v/>
      </c>
      <c r="G2921" s="2"/>
      <c r="H2921" s="2" t="str">
        <f>IFERROR(__xludf.DUMMYFUNCTION("IF(G2921&lt;&gt;"""", GOOGLETRANSLATE(G2921, ""en"", ""te""),"""")"),"")</f>
        <v/>
      </c>
      <c r="I2921" s="3"/>
    </row>
    <row r="2922" customHeight="1" spans="1:9">
      <c r="A2922" s="2"/>
      <c r="B2922" s="2" t="str">
        <f>IFERROR(__xludf.DUMMYFUNCTION("IF(A2922&lt;&gt;"""", GOOGLETRANSLATE(A2922, ""en"", ""te""),"""")"),"")</f>
        <v/>
      </c>
      <c r="C2922" s="2"/>
      <c r="D2922" s="2" t="str">
        <f>IFERROR(__xludf.DUMMYFUNCTION("IF(C2922&lt;&gt;"""", GOOGLETRANSLATE(C2922, ""en"", ""te""),"""")"),"")</f>
        <v/>
      </c>
      <c r="E2922" s="2"/>
      <c r="F2922" s="2" t="str">
        <f>IFERROR(__xludf.DUMMYFUNCTION("IF(E2922&lt;&gt;"""", GOOGLETRANSLATE(E2922, ""en"", ""te""),"""")"),"")</f>
        <v/>
      </c>
      <c r="G2922" s="2" t="s">
        <v>2078</v>
      </c>
      <c r="H2922" s="2" t="str">
        <f>IFERROR(__xludf.DUMMYFUNCTION("IF(G2922&lt;&gt;"""", GOOGLETRANSLATE(G2922, ""en"", ""te""),"""")"),"[ '33 వ ఉత్తమ ఇన్నింగ్స్ లో సమ్మె రేటు (4.0)']")</f>
        <v>[ '33 వ ఉత్తమ ఇన్నింగ్స్ లో సమ్మె రేటు (4.0)']</v>
      </c>
      <c r="I2922" s="3"/>
    </row>
    <row r="2923" customHeight="1" spans="1:9">
      <c r="A2923" s="2" t="s">
        <v>2079</v>
      </c>
      <c r="B2923" s="2" t="str">
        <f>IFERROR(__xludf.DUMMYFUNCTION("IF(A2923&lt;&gt;"""", GOOGLETRANSLATE(A2923, ""en"", ""te""),"""")"),"[ '10 వ ఒక క్యాలెండర్ సంవత్సరంలో అత్యధిక పరుగులు (1481)', 'ఒక మ్యాచ్లో ప్రతి ఇన్నింగ్స్లో హండ్రెడ్', 'హండ్రెడ్ మరియు ఒక మ్యాచ్లో ఒక డక్', '10 వ అసాధారణ వికెట్లు (bal నిర్వహించింది)']")</f>
        <v>[ '10 వ ఒక క్యాలెండర్ సంవత్సరంలో అత్యధిక పరుగులు (1481)', 'ఒక మ్యాచ్లో ప్రతి ఇన్నింగ్స్లో హండ్రెడ్', 'హండ్రెడ్ మరియు ఒక మ్యాచ్లో ఒక డక్', '10 వ అసాధారణ వికెట్లు (bal నిర్వహించింది)']</v>
      </c>
      <c r="C2923" s="2" t="s">
        <v>2080</v>
      </c>
      <c r="D2923" s="2" t="str">
        <f>IFERROR(__xludf.DUMMYFUNCTION("IF(C2923&lt;&gt;"""", GOOGLETRANSLATE(C2923, ""en"", ""te""),"""")"),"[ '10 వ అత్యంత ఒక క్యాలెండర్ సంవత్సరంలో పరుగులు (1481)', 'పరాజయం వైపు ఒక మ్యాచ్లో 34 వ అత్యధిక పరుగులు (218)', '6 వ ఒక క్యాలెండర్ సంవత్సరంలో అత్యధిక వందలు (6)', '10 వ అసాధారణ వికెట్లు (నిర్వహించింది bal) ',' ఫాస్టెస్ట్ 2000 పరుగులు (కు 41 వ 45) ',' ఫాస్ట"&amp;"ెస్ట్ 3000 పరుగులు (69) ',' మూడో వికెట్కు 37 వ అత్యధిక భాగస్వామ్యం (267) ',' కెప్టెన్ 14 అత్యధిక మ్యాచ్లు (51) 'కు 45 వ, '47 వ వరుస (3) లో అన్ని టాస్ గెలిచి']")</f>
        <v>[ '10 వ అత్యంత ఒక క్యాలెండర్ సంవత్సరంలో పరుగులు (1481)', 'పరాజయం వైపు ఒక మ్యాచ్లో 34 వ అత్యధిక పరుగులు (218)', '6 వ ఒక క్యాలెండర్ సంవత్సరంలో అత్యధిక వందలు (6)', '10 వ అసాధారణ వికెట్లు (నిర్వహించింది bal) ',' ఫాస్టెస్ట్ 2000 పరుగులు (కు 41 వ 45) ',' ఫాస్టెస్ట్ 3000 పరుగులు (69) ',' మూడో వికెట్కు 37 వ అత్యధిక భాగస్వామ్యం (267) ',' కెప్టెన్ 14 అత్యధిక మ్యాచ్లు (51) 'కు 45 వ, '47 వ వరుస (3) లో అన్ని టాస్ గెలిచి']</v>
      </c>
      <c r="E2923" s="2" t="s">
        <v>2081</v>
      </c>
      <c r="F2923" s="2" t="str">
        <f>IFERROR(__xludf.DUMMYFUNCTION("IF(E2923&lt;&gt;"""", GOOGLETRANSLATE(E2923, ""en"", ""te""),"""")"),"[18 వ అత్యంత వంద (1982) లేకుండా ఒక వృత్తిలో పరుగులు '' ఆరవ వికెట్కు 17 అత్యధిక భాగస్వామ్యం (150) '' కెప్టెన్ 49 వ అత్యధిక మ్యాచ్లు (60) ', ఒక జట్టు కెప్టెన్గా,' 48 వ వరుస మ్యాచ్లు (32) ']")</f>
        <v>[18 వ అత్యంత వంద (1982) లేకుండా ఒక వృత్తిలో పరుగులు '' ఆరవ వికెట్కు 17 అత్యధిక భాగస్వామ్యం (150) '' కెప్టెన్ 49 వ అత్యధిక మ్యాచ్లు (60) ', ఒక జట్టు కెప్టెన్గా,' 48 వ వరుస మ్యాచ్లు (32) ']</v>
      </c>
      <c r="G2923" s="2" t="s">
        <v>2082</v>
      </c>
      <c r="H2923" s="2" t="str">
        <f>IFERROR(__xludf.DUMMYFUNCTION("IF(G2923&lt;&gt;"""", GOOGLETRANSLATE(G2923, ""en"", ""te""),"""")"),"[ '48 వ అత్యంత బృందం (32) కెప్టెన్ గా వరుస మ్యాచ్లు']")</f>
        <v>[ '48 వ అత్యంత బృందం (32) కెప్టెన్ గా వరుస మ్యాచ్లు']</v>
      </c>
      <c r="I2923" s="3"/>
    </row>
    <row r="2924" customHeight="1" spans="1:9">
      <c r="A2924" s="2"/>
      <c r="B2924" s="2" t="str">
        <f>IFERROR(__xludf.DUMMYFUNCTION("IF(A2924&lt;&gt;"""", GOOGLETRANSLATE(A2924, ""en"", ""te""),"""")"),"")</f>
        <v/>
      </c>
      <c r="C2924" s="2"/>
      <c r="D2924" s="2" t="str">
        <f>IFERROR(__xludf.DUMMYFUNCTION("IF(C2924&lt;&gt;"""", GOOGLETRANSLATE(C2924, ""en"", ""te""),"""")"),"")</f>
        <v/>
      </c>
      <c r="E2924" s="2"/>
      <c r="F2924" s="2" t="str">
        <f>IFERROR(__xludf.DUMMYFUNCTION("IF(E2924&lt;&gt;"""", GOOGLETRANSLATE(E2924, ""en"", ""te""),"""")"),"")</f>
        <v/>
      </c>
      <c r="G2924" s="2" t="s">
        <v>2083</v>
      </c>
      <c r="H2924" s="2" t="str">
        <f>IFERROR(__xludf.DUMMYFUNCTION("IF(G2924&lt;&gt;"""", GOOGLETRANSLATE(G2924, ""en"", ""te""),"""")"),"[ 'ఏడవ వికెట్కు 16 అత్యధిక భాగస్వామ్యం (60)']")</f>
        <v>[ 'ఏడవ వికెట్కు 16 అత్యధిక భాగస్వామ్యం (60)']</v>
      </c>
      <c r="I2924" s="3"/>
    </row>
    <row r="2925" customHeight="1" spans="1:9">
      <c r="A2925" s="2" t="s">
        <v>2084</v>
      </c>
      <c r="B2925" s="2" t="str">
        <f>IFERROR(__xludf.DUMMYFUNCTION("IF(A2925&lt;&gt;"""", GOOGLETRANSLATE(A2925, ""en"", ""te""),"""")"),"[ 'ఒక మ్యాచ్లో 6 వ ఉత్తమ బొమ్మలు (15)', 'ఇన్నింగ్స్ లో 4 వ ఉత్తమ ఆర్థిక రేటు (0.30)', 'ఒక మ్యాచ్లో బౌల్డ్ 2nd అత్యంత బంతుల్లో (766)', '2 వ అత్యధిక వికెట్లు తీసిన హిట్ వికెట్ (3)' ]")</f>
        <v>[ 'ఒక మ్యాచ్లో 6 వ ఉత్తమ బొమ్మలు (15)', 'ఇన్నింగ్స్ లో 4 వ ఉత్తమ ఆర్థిక రేటు (0.30)', 'ఒక మ్యాచ్లో బౌల్డ్ 2nd అత్యంత బంతుల్లో (766)', '2 వ అత్యధిక వికెట్లు తీసిన హిట్ వికెట్ (3)' ]</v>
      </c>
      <c r="C2925" s="2" t="s">
        <v>2085</v>
      </c>
      <c r="D2925" s="2" t="str">
        <f>IFERROR(__xludf.DUMMYFUNCTION("IF(C2925&lt;&gt;"""", GOOGLETRANSLATE(C2925, ""en"", ""te""),"""")"),"[ '34 వ ఉత్తమ ఇన్నింగ్స్ లో సంఖ్యలు (8/43)', 'ఒక మ్యాచ్లో 6 వ ఉత్తమ బొమ్మలు (15)', '13 వ ఉత్తమ కెరీర్ ఆర్థిక రేటు (1.88)', 'ఇన్నింగ్స్ లో 4 వ ఉత్తమ ఆర్థిక రేటు (0.30)' '29 వ అత్యధిక బంతుల్లో ఇన్నింగ్స్ లో బౌల్డ్ (446)', 'ఒక మ్యాచ్లో బౌల్డ్ 2nd అత్యంత బంతు"&amp;"ల్లో (766)', '2 వ అత్యధిక వికెట్లు తీసిన హిట్ వికెట్ (3)']")</f>
        <v>[ '34 వ ఉత్తమ ఇన్నింగ్స్ లో సంఖ్యలు (8/43)', 'ఒక మ్యాచ్లో 6 వ ఉత్తమ బొమ్మలు (15)', '13 వ ఉత్తమ కెరీర్ ఆర్థిక రేటు (1.88)', 'ఇన్నింగ్స్ లో 4 వ ఉత్తమ ఆర్థిక రేటు (0.30)' '29 వ అత్యధిక బంతుల్లో ఇన్నింగ్స్ లో బౌల్డ్ (446)', 'ఒక మ్యాచ్లో బౌల్డ్ 2nd అత్యంత బంతుల్లో (766)', '2 వ అత్యధిక వికెట్లు తీసిన హిట్ వికెట్ (3)']</v>
      </c>
      <c r="E2925" s="2"/>
      <c r="F2925" s="2" t="str">
        <f>IFERROR(__xludf.DUMMYFUNCTION("IF(E2925&lt;&gt;"""", GOOGLETRANSLATE(E2925, ""en"", ""te""),"""")"),"")</f>
        <v/>
      </c>
      <c r="G2925" s="2"/>
      <c r="H2925" s="2" t="str">
        <f>IFERROR(__xludf.DUMMYFUNCTION("IF(G2925&lt;&gt;"""", GOOGLETRANSLATE(G2925, ""en"", ""te""),"""")"),"")</f>
        <v/>
      </c>
      <c r="I2925" s="3"/>
    </row>
    <row r="2926" customHeight="1" spans="1:9">
      <c r="A2926" s="2"/>
      <c r="B2926" s="2" t="str">
        <f>IFERROR(__xludf.DUMMYFUNCTION("IF(A2926&lt;&gt;"""", GOOGLETRANSLATE(A2926, ""en"", ""te""),"""")"),"")</f>
        <v/>
      </c>
      <c r="C2926" s="2"/>
      <c r="D2926" s="2" t="str">
        <f>IFERROR(__xludf.DUMMYFUNCTION("IF(C2926&lt;&gt;"""", GOOGLETRANSLATE(C2926, ""en"", ""te""),"""")"),"")</f>
        <v/>
      </c>
      <c r="E2926" s="2"/>
      <c r="F2926" s="2" t="str">
        <f>IFERROR(__xludf.DUMMYFUNCTION("IF(E2926&lt;&gt;"""", GOOGLETRANSLATE(E2926, ""en"", ""te""),"""")"),"")</f>
        <v/>
      </c>
      <c r="G2926" s="2"/>
      <c r="H2926" s="2" t="str">
        <f>IFERROR(__xludf.DUMMYFUNCTION("IF(G2926&lt;&gt;"""", GOOGLETRANSLATE(G2926, ""en"", ""te""),"""")"),"")</f>
        <v/>
      </c>
      <c r="I2926" s="3"/>
    </row>
    <row r="2927" customHeight="1" spans="1:9">
      <c r="A2927" s="2"/>
      <c r="B2927" s="2" t="str">
        <f>IFERROR(__xludf.DUMMYFUNCTION("IF(A2927&lt;&gt;"""", GOOGLETRANSLATE(A2927, ""en"", ""te""),"""")"),"")</f>
        <v/>
      </c>
      <c r="C2927" s="2" t="s">
        <v>2086</v>
      </c>
      <c r="D2927" s="2" t="str">
        <f>IFERROR(__xludf.DUMMYFUNCTION("IF(C2927&lt;&gt;"""", GOOGLETRANSLATE(C2927, ""en"", ""te""),"""")"),"[ 'లేకుండా కెరీర్లో 34 వ అత్యధిక పరుగులు వంద (1213)']")</f>
        <v>[ 'లేకుండా కెరీర్లో 34 వ అత్యధిక పరుగులు వంద (1213)']</v>
      </c>
      <c r="E2927" s="2" t="s">
        <v>2087</v>
      </c>
      <c r="F2927" s="2" t="str">
        <f>IFERROR(__xludf.DUMMYFUNCTION("IF(E2927&lt;&gt;"""", GOOGLETRANSLATE(E2927, ""en"", ""te""),"""")"),"[ '35 వ ఉత్తమ కెరీర్ ఆర్థిక రేటు (3.84)']")</f>
        <v>[ '35 వ ఉత్తమ కెరీర్ ఆర్థిక రేటు (3.84)']</v>
      </c>
      <c r="G2927" s="2"/>
      <c r="H2927" s="2" t="str">
        <f>IFERROR(__xludf.DUMMYFUNCTION("IF(G2927&lt;&gt;"""", GOOGLETRANSLATE(G2927, ""en"", ""te""),"""")"),"")</f>
        <v/>
      </c>
      <c r="I2927" s="3"/>
    </row>
    <row r="2928" customHeight="1" spans="1:9">
      <c r="A2928" s="2"/>
      <c r="B2928" s="2" t="str">
        <f>IFERROR(__xludf.DUMMYFUNCTION("IF(A2928&lt;&gt;"""", GOOGLETRANSLATE(A2928, ""en"", ""te""),"""")"),"")</f>
        <v/>
      </c>
      <c r="C2928" s="2"/>
      <c r="D2928" s="2" t="str">
        <f>IFERROR(__xludf.DUMMYFUNCTION("IF(C2928&lt;&gt;"""", GOOGLETRANSLATE(C2928, ""en"", ""te""),"""")"),"")</f>
        <v/>
      </c>
      <c r="E2928" s="2"/>
      <c r="F2928" s="2" t="str">
        <f>IFERROR(__xludf.DUMMYFUNCTION("IF(E2928&lt;&gt;"""", GOOGLETRANSLATE(E2928, ""en"", ""te""),"""")"),"")</f>
        <v/>
      </c>
      <c r="G2928" s="2"/>
      <c r="H2928" s="2" t="str">
        <f>IFERROR(__xludf.DUMMYFUNCTION("IF(G2928&lt;&gt;"""", GOOGLETRANSLATE(G2928, ""en"", ""te""),"""")"),"")</f>
        <v/>
      </c>
      <c r="I2928" s="3"/>
    </row>
    <row r="2929" customHeight="1" spans="1:9">
      <c r="A2929" s="2"/>
      <c r="B2929" s="2" t="str">
        <f>IFERROR(__xludf.DUMMYFUNCTION("IF(A2929&lt;&gt;"""", GOOGLETRANSLATE(A2929, ""en"", ""te""),"""")"),"")</f>
        <v/>
      </c>
      <c r="C2929" s="2"/>
      <c r="D2929" s="2" t="str">
        <f>IFERROR(__xludf.DUMMYFUNCTION("IF(C2929&lt;&gt;"""", GOOGLETRANSLATE(C2929, ""en"", ""te""),"""")"),"")</f>
        <v/>
      </c>
      <c r="E2929" s="2"/>
      <c r="F2929" s="2" t="str">
        <f>IFERROR(__xludf.DUMMYFUNCTION("IF(E2929&lt;&gt;"""", GOOGLETRANSLATE(E2929, ""en"", ""te""),"""")"),"")</f>
        <v/>
      </c>
      <c r="G2929" s="2"/>
      <c r="H2929" s="2" t="str">
        <f>IFERROR(__xludf.DUMMYFUNCTION("IF(G2929&lt;&gt;"""", GOOGLETRANSLATE(G2929, ""en"", ""te""),"""")"),"")</f>
        <v/>
      </c>
      <c r="I2929" s="3"/>
    </row>
    <row r="2930" customHeight="1" spans="1:9">
      <c r="A2930" s="2"/>
      <c r="B2930" s="2" t="str">
        <f>IFERROR(__xludf.DUMMYFUNCTION("IF(A2930&lt;&gt;"""", GOOGLETRANSLATE(A2930, ""en"", ""te""),"""")"),"")</f>
        <v/>
      </c>
      <c r="C2930" s="2"/>
      <c r="D2930" s="2" t="str">
        <f>IFERROR(__xludf.DUMMYFUNCTION("IF(C2930&lt;&gt;"""", GOOGLETRANSLATE(C2930, ""en"", ""te""),"""")"),"")</f>
        <v/>
      </c>
      <c r="E2930" s="2"/>
      <c r="F2930" s="2" t="str">
        <f>IFERROR(__xludf.DUMMYFUNCTION("IF(E2930&lt;&gt;"""", GOOGLETRANSLATE(E2930, ""en"", ""te""),"""")"),"")</f>
        <v/>
      </c>
      <c r="G2930" s="2"/>
      <c r="H2930" s="2" t="str">
        <f>IFERROR(__xludf.DUMMYFUNCTION("IF(G2930&lt;&gt;"""", GOOGLETRANSLATE(G2930, ""en"", ""te""),"""")"),"")</f>
        <v/>
      </c>
      <c r="I2930" s="3"/>
    </row>
    <row r="2931" customHeight="1" spans="1:9">
      <c r="A2931" s="2"/>
      <c r="B2931" s="2" t="str">
        <f>IFERROR(__xludf.DUMMYFUNCTION("IF(A2931&lt;&gt;"""", GOOGLETRANSLATE(A2931, ""en"", ""te""),"""")"),"")</f>
        <v/>
      </c>
      <c r="C2931" s="2"/>
      <c r="D2931" s="2" t="str">
        <f>IFERROR(__xludf.DUMMYFUNCTION("IF(C2931&lt;&gt;"""", GOOGLETRANSLATE(C2931, ""en"", ""te""),"""")"),"")</f>
        <v/>
      </c>
      <c r="E2931" s="2"/>
      <c r="F2931" s="2" t="str">
        <f>IFERROR(__xludf.DUMMYFUNCTION("IF(E2931&lt;&gt;"""", GOOGLETRANSLATE(E2931, ""en"", ""te""),"""")"),"")</f>
        <v/>
      </c>
      <c r="G2931" s="2"/>
      <c r="H2931" s="2" t="str">
        <f>IFERROR(__xludf.DUMMYFUNCTION("IF(G2931&lt;&gt;"""", GOOGLETRANSLATE(G2931, ""en"", ""te""),"""")"),"")</f>
        <v/>
      </c>
      <c r="I2931" s="3"/>
    </row>
    <row r="2932" customHeight="1" spans="1:9">
      <c r="A2932" s="2" t="s">
        <v>2088</v>
      </c>
      <c r="B2932" s="2" t="str">
        <f>IFERROR(__xludf.DUMMYFUNCTION("IF(A2932&lt;&gt;"""", GOOGLETRANSLATE(A2932, ""en"", ""te""),"""")"),"[ '3 వ చెత్త కెరీర్లో సమ్మె రేటు (166.3)']")</f>
        <v>[ '3 వ చెత్త కెరీర్లో సమ్మె రేటు (166.3)']</v>
      </c>
      <c r="C2932" s="2" t="s">
        <v>2089</v>
      </c>
      <c r="D2932" s="2" t="str">
        <f>IFERROR(__xludf.DUMMYFUNCTION("IF(C2932&lt;&gt;"""", GOOGLETRANSLATE(C2932, ""en"", ""te""),"""")"),"[ '26 చెత్త కెరీర్ బౌలింగ్ సరాసరి (56.38)', '3 వ చెత్త కెరీర్లో సమ్మె రేటు (166.3)']")</f>
        <v>[ '26 చెత్త కెరీర్ బౌలింగ్ సరాసరి (56.38)', '3 వ చెత్త కెరీర్లో సమ్మె రేటు (166.3)']</v>
      </c>
      <c r="E2932" s="2"/>
      <c r="F2932" s="2" t="str">
        <f>IFERROR(__xludf.DUMMYFUNCTION("IF(E2932&lt;&gt;"""", GOOGLETRANSLATE(E2932, ""en"", ""te""),"""")"),"")</f>
        <v/>
      </c>
      <c r="G2932" s="2"/>
      <c r="H2932" s="2" t="str">
        <f>IFERROR(__xludf.DUMMYFUNCTION("IF(G2932&lt;&gt;"""", GOOGLETRANSLATE(G2932, ""en"", ""te""),"""")"),"")</f>
        <v/>
      </c>
      <c r="I2932" s="3"/>
    </row>
    <row r="2933" customHeight="1" spans="1:9">
      <c r="A2933" s="2"/>
      <c r="B2933" s="2" t="str">
        <f>IFERROR(__xludf.DUMMYFUNCTION("IF(A2933&lt;&gt;"""", GOOGLETRANSLATE(A2933, ""en"", ""te""),"""")"),"")</f>
        <v/>
      </c>
      <c r="C2933" s="2"/>
      <c r="D2933" s="2" t="str">
        <f>IFERROR(__xludf.DUMMYFUNCTION("IF(C2933&lt;&gt;"""", GOOGLETRANSLATE(C2933, ""en"", ""te""),"""")"),"")</f>
        <v/>
      </c>
      <c r="E2933" s="2"/>
      <c r="F2933" s="2" t="str">
        <f>IFERROR(__xludf.DUMMYFUNCTION("IF(E2933&lt;&gt;"""", GOOGLETRANSLATE(E2933, ""en"", ""te""),"""")"),"")</f>
        <v/>
      </c>
      <c r="G2933" s="2"/>
      <c r="H2933" s="2" t="str">
        <f>IFERROR(__xludf.DUMMYFUNCTION("IF(G2933&lt;&gt;"""", GOOGLETRANSLATE(G2933, ""en"", ""te""),"""")"),"")</f>
        <v/>
      </c>
      <c r="I2933" s="3"/>
    </row>
    <row r="2934" customHeight="1" spans="1:9">
      <c r="A2934" s="2"/>
      <c r="B2934" s="2" t="str">
        <f>IFERROR(__xludf.DUMMYFUNCTION("IF(A2934&lt;&gt;"""", GOOGLETRANSLATE(A2934, ""en"", ""te""),"""")"),"")</f>
        <v/>
      </c>
      <c r="C2934" s="2"/>
      <c r="D2934" s="2" t="str">
        <f>IFERROR(__xludf.DUMMYFUNCTION("IF(C2934&lt;&gt;"""", GOOGLETRANSLATE(C2934, ""en"", ""te""),"""")"),"")</f>
        <v/>
      </c>
      <c r="E2934" s="2"/>
      <c r="F2934" s="2" t="str">
        <f>IFERROR(__xludf.DUMMYFUNCTION("IF(E2934&lt;&gt;"""", GOOGLETRANSLATE(E2934, ""en"", ""te""),"""")"),"")</f>
        <v/>
      </c>
      <c r="G2934" s="2"/>
      <c r="H2934" s="2" t="str">
        <f>IFERROR(__xludf.DUMMYFUNCTION("IF(G2934&lt;&gt;"""", GOOGLETRANSLATE(G2934, ""en"", ""te""),"""")"),"")</f>
        <v/>
      </c>
      <c r="I2934" s="3"/>
    </row>
    <row r="2935" customHeight="1" spans="1:9">
      <c r="A2935" s="2"/>
      <c r="B2935" s="2" t="str">
        <f>IFERROR(__xludf.DUMMYFUNCTION("IF(A2935&lt;&gt;"""", GOOGLETRANSLATE(A2935, ""en"", ""te""),"""")"),"")</f>
        <v/>
      </c>
      <c r="C2935" s="2"/>
      <c r="D2935" s="2" t="str">
        <f>IFERROR(__xludf.DUMMYFUNCTION("IF(C2935&lt;&gt;"""", GOOGLETRANSLATE(C2935, ""en"", ""te""),"""")"),"")</f>
        <v/>
      </c>
      <c r="E2935" s="2"/>
      <c r="F2935" s="2" t="str">
        <f>IFERROR(__xludf.DUMMYFUNCTION("IF(E2935&lt;&gt;"""", GOOGLETRANSLATE(E2935, ""en"", ""te""),"""")"),"")</f>
        <v/>
      </c>
      <c r="G2935" s="2"/>
      <c r="H2935" s="2" t="str">
        <f>IFERROR(__xludf.DUMMYFUNCTION("IF(G2935&lt;&gt;"""", GOOGLETRANSLATE(G2935, ""en"", ""te""),"""")"),"")</f>
        <v/>
      </c>
      <c r="I2935" s="3"/>
    </row>
    <row r="2936" customHeight="1" spans="1:9">
      <c r="A2936" s="2"/>
      <c r="B2936" s="2" t="str">
        <f>IFERROR(__xludf.DUMMYFUNCTION("IF(A2936&lt;&gt;"""", GOOGLETRANSLATE(A2936, ""en"", ""te""),"""")"),"")</f>
        <v/>
      </c>
      <c r="C2936" s="2"/>
      <c r="D2936" s="2" t="str">
        <f>IFERROR(__xludf.DUMMYFUNCTION("IF(C2936&lt;&gt;"""", GOOGLETRANSLATE(C2936, ""en"", ""te""),"""")"),"")</f>
        <v/>
      </c>
      <c r="E2936" s="2"/>
      <c r="F2936" s="2" t="str">
        <f>IFERROR(__xludf.DUMMYFUNCTION("IF(E2936&lt;&gt;"""", GOOGLETRANSLATE(E2936, ""en"", ""te""),"""")"),"")</f>
        <v/>
      </c>
      <c r="G2936" s="2"/>
      <c r="H2936" s="2" t="str">
        <f>IFERROR(__xludf.DUMMYFUNCTION("IF(G2936&lt;&gt;"""", GOOGLETRANSLATE(G2936, ""en"", ""te""),"""")"),"")</f>
        <v/>
      </c>
      <c r="I2936" s="3"/>
    </row>
    <row r="2937" customHeight="1" spans="1:9">
      <c r="A2937" s="2"/>
      <c r="B2937" s="2" t="str">
        <f>IFERROR(__xludf.DUMMYFUNCTION("IF(A2937&lt;&gt;"""", GOOGLETRANSLATE(A2937, ""en"", ""te""),"""")"),"")</f>
        <v/>
      </c>
      <c r="C2937" s="2"/>
      <c r="D2937" s="2" t="str">
        <f>IFERROR(__xludf.DUMMYFUNCTION("IF(C2937&lt;&gt;"""", GOOGLETRANSLATE(C2937, ""en"", ""te""),"""")"),"")</f>
        <v/>
      </c>
      <c r="E2937" s="2"/>
      <c r="F2937" s="2" t="str">
        <f>IFERROR(__xludf.DUMMYFUNCTION("IF(E2937&lt;&gt;"""", GOOGLETRANSLATE(E2937, ""en"", ""te""),"""")"),"")</f>
        <v/>
      </c>
      <c r="G2937" s="2"/>
      <c r="H2937" s="2" t="str">
        <f>IFERROR(__xludf.DUMMYFUNCTION("IF(G2937&lt;&gt;"""", GOOGLETRANSLATE(G2937, ""en"", ""te""),"""")"),"")</f>
        <v/>
      </c>
      <c r="I2937" s="3"/>
    </row>
    <row r="2938" customHeight="1" spans="1:9">
      <c r="A2938" s="2" t="s">
        <v>2090</v>
      </c>
      <c r="B2938" s="2" t="str">
        <f>IFERROR(__xludf.DUMMYFUNCTION("IF(A2938&lt;&gt;"""", GOOGLETRANSLATE(A2938, ""en"", ""te""),"""")"),"[ '1st ఎక్కువ సిక్స్ ఇన్నింగ్స్ లో (17)' '5000 పరుగులు మరియు 50 ఫీల్డింగ్ వికెట్లు' 'రెండు దేశాలకు ప్రాతినిధ్యం', '1 వ 99 (199, 299 etc) తీసివేసిన (99)', 'కోసం 2 వ అత్యధిక భాగస్వామ్యం ఐదో వికెట్కు (226 *) ',' కెరీర్లో 4 వ అత్యధిక మ్యాచ్లు (102) ',' కెప్టె"&amp;"న్ 2 వ అత్యధిక మ్యాచ్లు (59) ',' 7 వ ఇన్నింగ్స్ లో అత్యధిక పరుగులు (బ్యాటింగ్ స్థానంలో ప్రకారం) (85 *) ',' కెరీర్లో 10 వ అత్యంత అర్ధ (14) ',' 9 వ అత్యంత ఇన్నింగ్స్ తొలి డక్ ముందు (35) ',' కెరీర్ లో 3 వ ఎక్కువ సిక్స్ (113) ',' 2000 పరుగులు ద్వారా (84) ',' "&amp;"3 వ అత్యధిక క్యాచ్లు 9 వేగంగా ఒక ఇన్నింగ్స్ లో ప్రత్యామ్నాయంగా (2) ఐదో వికెట్కు (95) ',' కెరీర్ (338) ఇరుదేశాల ',' 8 వ ఎక్కువ సిక్స్ ప్రాతినిధ్యం ',' 7 వ అత్యధిక భాగస్వామ్యం ']")</f>
        <v>[ '1st ఎక్కువ సిక్స్ ఇన్నింగ్స్ లో (17)' '5000 పరుగులు మరియు 50 ఫీల్డింగ్ వికెట్లు' 'రెండు దేశాలకు ప్రాతినిధ్యం', '1 వ 99 (199, 299 etc) తీసివేసిన (99)', 'కోసం 2 వ అత్యధిక భాగస్వామ్యం ఐదో వికెట్కు (226 *) ',' కెరీర్లో 4 వ అత్యధిక మ్యాచ్లు (102) ',' కెప్టెన్ 2 వ అత్యధిక మ్యాచ్లు (59) ',' 7 వ ఇన్నింగ్స్ లో అత్యధిక పరుగులు (బ్యాటింగ్ స్థానంలో ప్రకారం) (85 *) ',' కెరీర్లో 10 వ అత్యంత అర్ధ (14) ',' 9 వ అత్యంత ఇన్నింగ్స్ తొలి డక్ ముందు (35) ',' కెరీర్ లో 3 వ ఎక్కువ సిక్స్ (113) ',' 2000 పరుగులు ద్వారా (84) ',' 3 వ అత్యధిక క్యాచ్లు 9 వేగంగా ఒక ఇన్నింగ్స్ లో ప్రత్యామ్నాయంగా (2) ఐదో వికెట్కు (95) ',' కెరీర్ (338) ఇరుదేశాల ',' 8 వ ఎక్కువ సిక్స్ ప్రాతినిధ్యం ',' 7 వ అత్యధిక భాగస్వామ్యం ']</v>
      </c>
      <c r="C2938" s="2"/>
      <c r="D2938" s="2" t="str">
        <f>IFERROR(__xludf.DUMMYFUNCTION("IF(C2938&lt;&gt;"""", GOOGLETRANSLATE(C2938, ""en"", ""te""),"""")"),"")</f>
        <v/>
      </c>
      <c r="E2938" s="2" t="s">
        <v>2091</v>
      </c>
      <c r="F2938" s="2" t="str">
        <f>IFERROR(__xludf.DUMMYFUNCTION("IF(E2938&lt;&gt;"""", GOOGLETRANSLATE(E2938, ""en"", ""te""),"""")"),"[ '34 వ కెరీర్ లో అత్యధిక పరుగులు (7620)', 'ఇన్నింగ్స్ లో 12 వ అత్యధిక పరుగులు (బ్యాటింగ్ స్థానంలో ప్రకారం) (148)', 'ఒక కెప్టెన్తో 29 ఒక సిరీస్లో అత్యధిక పరుగులు (371)', '22 వ చాల వరకు ఒక లో పరుగులు ఒక కెప్టెన్తో ఇన్నింగ్స్ (148) ',' 17 వ తొలి మ్యాచ్లో అత"&amp;"్యధిక పరుగులు (99) ',' 31 ఒక వృత్తిలో అత్యధిక వందలు (14) ',' 18 వ పిన్న ఆటగాడు వంద (20y 147d) ',' 34 వ అత్యంత స్కోర్ కెరీర్లో తొంభైల (4) ',' 1 వ 99 (199, 299 etc) (99) ',' 3 వ తొంభై తొలి (99) ',' కెరీర్లో 31 మోస్ట్ అర్ధ (60) ',' 44 వ లో యాభైల్లో కోసం క"&amp;"ొట్టివేయబడింది వరుస ఇన్నింగ్స్లో (4) ',' 37 వ కెరీర్ బాతులు (16) ',' 6 వ కెరీర్ లో వచ్చిన ఎక్కువ సిక్స్ (219) ',' 41 వ కెరీర్ ఫోర్లు (645) ',' 1 వ ఇన్నింగ్స్ లో వచ్చిన ఎక్కువ సిక్స్ (17) ',' 17 వ అత్యంత 6000 పరుగులు (185) ',' 22 ఇన్నింగ్స్ 5000 పరుగులు (1"&amp;"58) ',' 35 వ వేగంగా చేయడానికి (118) ',' ఫాస్టెస్ట్ 50 వ లో ఫోర్లు, సిక్సర్లు నుండి పరుగులు వేగంగా 7000 పరుగులు (208) ' '46 వ కెరీర్ లో అత్యధిక క్యాచ్లు (84)', 'నాలుగవ వికెట్కు 14 అత్యధిక భాగస్వామ్యం (204)', 'ఐదో వికెట్కు (226 *) కోసం 2 వ అత్యధిక భాగస్వామ్"&amp;"యం', '49 వ కెరీర్ లో అత్యధిక మ్యాచ్లు ( 243) ',' 24 వ అత్యంత ప్లేయర్ ఆఫ్ ది సిరీస్ అవార్డులు (4) ',' 13 వ అత్యధిక మ్యాచ్లు కెప్టెన్గా (121) ',' 42 వ పిన్న కాప్టెన్ (24y 349d) ']")</f>
        <v>[ '34 వ కెరీర్ లో అత్యధిక పరుగులు (7620)', 'ఇన్నింగ్స్ లో 12 వ అత్యధిక పరుగులు (బ్యాటింగ్ స్థానంలో ప్రకారం) (148)', 'ఒక కెప్టెన్తో 29 ఒక సిరీస్లో అత్యధిక పరుగులు (371)', '22 వ చాల వరకు ఒక లో పరుగులు ఒక కెప్టెన్తో ఇన్నింగ్స్ (148) ',' 17 వ తొలి మ్యాచ్లో అత్యధిక పరుగులు (99) ',' 31 ఒక వృత్తిలో అత్యధిక వందలు (14) ',' 18 వ పిన్న ఆటగాడు వంద (20y 147d) ',' 34 వ అత్యంత స్కోర్ కెరీర్లో తొంభైల (4) ',' 1 వ 99 (199, 299 etc) (99) ',' 3 వ తొంభై తొలి (99) ',' కెరీర్లో 31 మోస్ట్ అర్ధ (60) ',' 44 వ లో యాభైల్లో కోసం కొట్టివేయబడింది వరుస ఇన్నింగ్స్లో (4) ',' 37 వ కెరీర్ బాతులు (16) ',' 6 వ కెరీర్ లో వచ్చిన ఎక్కువ సిక్స్ (219) ',' 41 వ కెరీర్ ఫోర్లు (645) ',' 1 వ ఇన్నింగ్స్ లో వచ్చిన ఎక్కువ సిక్స్ (17) ',' 17 వ అత్యంత 6000 పరుగులు (185) ',' 22 ఇన్నింగ్స్ 5000 పరుగులు (158) ',' 35 వ వేగంగా చేయడానికి (118) ',' ఫాస్టెస్ట్ 50 వ లో ఫోర్లు, సిక్సర్లు నుండి పరుగులు వేగంగా 7000 పరుగులు (208) ' '46 వ కెరీర్ లో అత్యధిక క్యాచ్లు (84)', 'నాలుగవ వికెట్కు 14 అత్యధిక భాగస్వామ్యం (204)', 'ఐదో వికెట్కు (226 *) కోసం 2 వ అత్యధిక భాగస్వామ్యం', '49 వ కెరీర్ లో అత్యధిక మ్యాచ్లు ( 243) ',' 24 వ అత్యంత ప్లేయర్ ఆఫ్ ది సిరీస్ అవార్డులు (4) ',' 13 వ అత్యధిక మ్యాచ్లు కెప్టెన్గా (121) ',' 42 వ పిన్న కాప్టెన్ (24y 349d) ']</v>
      </c>
      <c r="G2938" s="2" t="s">
        <v>2092</v>
      </c>
      <c r="H2938" s="2" t="str">
        <f>IFERROR(__xludf.DUMMYFUNCTION("IF(G2938&lt;&gt;"""", GOOGLETRANSLATE(G2938, ""en"", ""te""),"""")"),"[ 'కెరీర్లో 7 వ అత్యధిక పరుగులు (2311)', 'ఇన్నింగ్స్ లో 7 వ అత్యధిక పరుగులు (బ్యాటింగ్ స్థానంలో ప్రకారం) (85 *)', 'ఒక కెప్టెన్తో 17 ఇన్నింగ్స్ లో అత్యధిక పరుగులు (91)', '46 వ అత్యధిక కెరీర్ సమ్మె రేటు (138.46) ',' 10 వ కెరీర్ లో చాలా అర్ధ (14) ',' 9 వ అత్"&amp;"యంత ఇన్నింగ్స్ తొలి డక్ ముందు (35) ',' ఒక డక్ లేకుండా 29 వరుస ఇన్నింగ్స్ (37 *) ',' కెరీర్లో 17 వ అతి తక్కువ బాతులు ( 32.33) ',' కెరీర్ లో 3 వ ఎక్కువ సిక్స్ (113) ',' 16 వ కెరీర్ ఫోర్లు (176) ',' 42 వ అత్యంత 1000 పరుగులు (ఒక ఇన్నింగ్స్ (7) ',' 38 వ అత్యంత"&amp;" వేగంగా సిక్సర్లు 45) ',' 9 వ 2000 వరకు వేగంగా పరుగులు (84) ',' 11 వ కెరీర్ లో అత్యధిక క్యాచ్లు (41) ',' 15 వ ఇన్నింగ్స్ లో (3) ',' ఒక ఇన్నింగ్స్ లో ఒక ప్రత్యామ్నాయంగా 3 వ అత్యధిక క్యాచ్లు (2) ',' 29 వ అత్యధిక క్యాచ్లు నాలుగో వికెట్కు అత్యధిక భాగస్వామ్యం "&amp;"(96) ',' ఐదవ వికెట్కు 7 వ అత్యధిక భాగస్వామ్యం (95) ',' ఆరవ వికెట్ (67 *) కోసం 33 వ అత్యధిక భాగస్వామ్యం ',' కెరీర్లో 4 వ అత్యధిక మ్యాచ్లు (102) ',' 11 వ అత్యంత ప్లేయర్ ఆఫ్ ది మ్యాచ్ అవార్డులు (8) ',' 38 వ లాంగెస్ట్ కెరీర్లు (11y 288d) ',' కెప్టెన్ 2 వ అత్య"&amp;"ధిక మ్యాచ్లు (59) ',' 14 వ వరుస m ఒక జట్టు కెప్టెన్గా atches (23) ',' 13 వ వరుస (3) లో అన్ని టాస్ గెలిచి ']")</f>
        <v>[ 'కెరీర్లో 7 వ అత్యధిక పరుగులు (2311)', 'ఇన్నింగ్స్ లో 7 వ అత్యధిక పరుగులు (బ్యాటింగ్ స్థానంలో ప్రకారం) (85 *)', 'ఒక కెప్టెన్తో 17 ఇన్నింగ్స్ లో అత్యధిక పరుగులు (91)', '46 వ అత్యధిక కెరీర్ సమ్మె రేటు (138.46) ',' 10 వ కెరీర్ లో చాలా అర్ధ (14) ',' 9 వ అత్యంత ఇన్నింగ్స్ తొలి డక్ ముందు (35) ',' ఒక డక్ లేకుండా 29 వరుస ఇన్నింగ్స్ (37 *) ',' కెరీర్లో 17 వ అతి తక్కువ బాతులు ( 32.33) ',' కెరీర్ లో 3 వ ఎక్కువ సిక్స్ (113) ',' 16 వ కెరీర్ ఫోర్లు (176) ',' 42 వ అత్యంత 1000 పరుగులు (ఒక ఇన్నింగ్స్ (7) ',' 38 వ అత్యంత వేగంగా సిక్సర్లు 45) ',' 9 వ 2000 వరకు వేగంగా పరుగులు (84) ',' 11 వ కెరీర్ లో అత్యధిక క్యాచ్లు (41) ',' 15 వ ఇన్నింగ్స్ లో (3) ',' ఒక ఇన్నింగ్స్ లో ఒక ప్రత్యామ్నాయంగా 3 వ అత్యధిక క్యాచ్లు (2) ',' 29 వ అత్యధిక క్యాచ్లు నాలుగో వికెట్కు అత్యధిక భాగస్వామ్యం (96) ',' ఐదవ వికెట్కు 7 వ అత్యధిక భాగస్వామ్యం (95) ',' ఆరవ వికెట్ (67 *) కోసం 33 వ అత్యధిక భాగస్వామ్యం ',' కెరీర్లో 4 వ అత్యధిక మ్యాచ్లు (102) ',' 11 వ అత్యంత ప్లేయర్ ఆఫ్ ది మ్యాచ్ అవార్డులు (8) ',' 38 వ లాంగెస్ట్ కెరీర్లు (11y 288d) ',' కెప్టెన్ 2 వ అత్యధిక మ్యాచ్లు (59) ',' 14 వ వరుస m ఒక జట్టు కెప్టెన్గా atches (23) ',' 13 వ వరుస (3) లో అన్ని టాస్ గెలిచి ']</v>
      </c>
      <c r="I2938" s="3"/>
    </row>
    <row r="2939" customHeight="1" spans="1:9">
      <c r="A2939" s="2"/>
      <c r="B2939" s="2" t="str">
        <f>IFERROR(__xludf.DUMMYFUNCTION("IF(A2939&lt;&gt;"""", GOOGLETRANSLATE(A2939, ""en"", ""te""),"""")"),"")</f>
        <v/>
      </c>
      <c r="C2939" s="2"/>
      <c r="D2939" s="2" t="str">
        <f>IFERROR(__xludf.DUMMYFUNCTION("IF(C2939&lt;&gt;"""", GOOGLETRANSLATE(C2939, ""en"", ""te""),"""")"),"")</f>
        <v/>
      </c>
      <c r="E2939" s="2"/>
      <c r="F2939" s="2" t="str">
        <f>IFERROR(__xludf.DUMMYFUNCTION("IF(E2939&lt;&gt;"""", GOOGLETRANSLATE(E2939, ""en"", ""te""),"""")"),"")</f>
        <v/>
      </c>
      <c r="G2939" s="2"/>
      <c r="H2939" s="2" t="str">
        <f>IFERROR(__xludf.DUMMYFUNCTION("IF(G2939&lt;&gt;"""", GOOGLETRANSLATE(G2939, ""en"", ""te""),"""")"),"")</f>
        <v/>
      </c>
      <c r="I2939" s="3"/>
    </row>
    <row r="2940" customHeight="1" spans="1:9">
      <c r="A2940" s="2"/>
      <c r="B2940" s="2" t="str">
        <f>IFERROR(__xludf.DUMMYFUNCTION("IF(A2940&lt;&gt;"""", GOOGLETRANSLATE(A2940, ""en"", ""te""),"""")"),"")</f>
        <v/>
      </c>
      <c r="C2940" s="2" t="s">
        <v>2093</v>
      </c>
      <c r="D2940" s="2" t="str">
        <f>IFERROR(__xludf.DUMMYFUNCTION("IF(C2940&lt;&gt;"""", GOOGLETRANSLATE(C2940, ""en"", ""te""),"""")"),"[ '25 షార్టేస్ట్ క్రీడాకారులు నివసించారు (30y 12D)']")</f>
        <v>[ '25 షార్టేస్ట్ క్రీడాకారులు నివసించారు (30y 12D)']</v>
      </c>
      <c r="E2940" s="2"/>
      <c r="F2940" s="2" t="str">
        <f>IFERROR(__xludf.DUMMYFUNCTION("IF(E2940&lt;&gt;"""", GOOGLETRANSLATE(E2940, ""en"", ""te""),"""")"),"")</f>
        <v/>
      </c>
      <c r="G2940" s="2"/>
      <c r="H2940" s="2" t="str">
        <f>IFERROR(__xludf.DUMMYFUNCTION("IF(G2940&lt;&gt;"""", GOOGLETRANSLATE(G2940, ""en"", ""te""),"""")"),"")</f>
        <v/>
      </c>
      <c r="I2940" s="3"/>
    </row>
    <row r="2941" customHeight="1" spans="1:9">
      <c r="A2941" s="2"/>
      <c r="B2941" s="2" t="str">
        <f>IFERROR(__xludf.DUMMYFUNCTION("IF(A2941&lt;&gt;"""", GOOGLETRANSLATE(A2941, ""en"", ""te""),"""")"),"")</f>
        <v/>
      </c>
      <c r="C2941" s="2"/>
      <c r="D2941" s="2" t="str">
        <f>IFERROR(__xludf.DUMMYFUNCTION("IF(C2941&lt;&gt;"""", GOOGLETRANSLATE(C2941, ""en"", ""te""),"""")"),"")</f>
        <v/>
      </c>
      <c r="E2941" s="2"/>
      <c r="F2941" s="2" t="str">
        <f>IFERROR(__xludf.DUMMYFUNCTION("IF(E2941&lt;&gt;"""", GOOGLETRANSLATE(E2941, ""en"", ""te""),"""")"),"")</f>
        <v/>
      </c>
      <c r="G2941" s="2"/>
      <c r="H2941" s="2" t="str">
        <f>IFERROR(__xludf.DUMMYFUNCTION("IF(G2941&lt;&gt;"""", GOOGLETRANSLATE(G2941, ""en"", ""te""),"""")"),"")</f>
        <v/>
      </c>
      <c r="I2941" s="3"/>
    </row>
    <row r="2942" customHeight="1" spans="1:9">
      <c r="A2942" s="2"/>
      <c r="B2942" s="2" t="str">
        <f>IFERROR(__xludf.DUMMYFUNCTION("IF(A2942&lt;&gt;"""", GOOGLETRANSLATE(A2942, ""en"", ""te""),"""")"),"")</f>
        <v/>
      </c>
      <c r="C2942" s="2" t="s">
        <v>2094</v>
      </c>
      <c r="D2942" s="2" t="str">
        <f>IFERROR(__xludf.DUMMYFUNCTION("IF(C2942&lt;&gt;"""", GOOGLETRANSLATE(C2942, ""en"", ""te""),"""")"),"[ '1000 పరుగులు 35 వ వేగంగా (21)' '46 వ అత్యధిక కెరీర్ బ్యాటింగ్ సగటు (49.37)',]")</f>
        <v>[ '1000 పరుగులు 35 వ వేగంగా (21)' '46 వ అత్యధిక కెరీర్ బ్యాటింగ్ సగటు (49.37)',]</v>
      </c>
      <c r="E2942" s="2"/>
      <c r="F2942" s="2" t="str">
        <f>IFERROR(__xludf.DUMMYFUNCTION("IF(E2942&lt;&gt;"""", GOOGLETRANSLATE(E2942, ""en"", ""te""),"""")"),"")</f>
        <v/>
      </c>
      <c r="G2942" s="2"/>
      <c r="H2942" s="2" t="str">
        <f>IFERROR(__xludf.DUMMYFUNCTION("IF(G2942&lt;&gt;"""", GOOGLETRANSLATE(G2942, ""en"", ""te""),"""")"),"")</f>
        <v/>
      </c>
      <c r="I2942" s="3"/>
    </row>
    <row r="2943" customHeight="1" spans="1:9">
      <c r="A2943" s="2"/>
      <c r="B2943" s="2" t="str">
        <f>IFERROR(__xludf.DUMMYFUNCTION("IF(A2943&lt;&gt;"""", GOOGLETRANSLATE(A2943, ""en"", ""te""),"""")"),"")</f>
        <v/>
      </c>
      <c r="C2943" s="2"/>
      <c r="D2943" s="2" t="str">
        <f>IFERROR(__xludf.DUMMYFUNCTION("IF(C2943&lt;&gt;"""", GOOGLETRANSLATE(C2943, ""en"", ""te""),"""")"),"")</f>
        <v/>
      </c>
      <c r="E2943" s="2"/>
      <c r="F2943" s="2" t="str">
        <f>IFERROR(__xludf.DUMMYFUNCTION("IF(E2943&lt;&gt;"""", GOOGLETRANSLATE(E2943, ""en"", ""te""),"""")"),"")</f>
        <v/>
      </c>
      <c r="G2943" s="2"/>
      <c r="H2943" s="2" t="str">
        <f>IFERROR(__xludf.DUMMYFUNCTION("IF(G2943&lt;&gt;"""", GOOGLETRANSLATE(G2943, ""en"", ""te""),"""")"),"")</f>
        <v/>
      </c>
      <c r="I2943" s="3"/>
    </row>
    <row r="2944" customHeight="1" spans="1:9">
      <c r="A2944" s="2" t="s">
        <v>352</v>
      </c>
      <c r="B2944" s="2" t="str">
        <f>IFERROR(__xludf.DUMMYFUNCTION("IF(A2944&lt;&gt;"""", GOOGLETRANSLATE(A2944, ""en"", ""te""),"""")"),"[ 'బ్యాటింగ్ ప్రారంభించుటకు మరియు అదే మ్యాచ్ లో బౌలింగ్']")</f>
        <v>[ 'బ్యాటింగ్ ప్రారంభించుటకు మరియు అదే మ్యాచ్ లో బౌలింగ్']</v>
      </c>
      <c r="C2944" s="2" t="s">
        <v>2095</v>
      </c>
      <c r="D2944" s="2" t="str">
        <f>IFERROR(__xludf.DUMMYFUNCTION("IF(C2944&lt;&gt;"""", GOOGLETRANSLATE(C2944, ""en"", ""te""),"""")"),"[ '11 వ ఇన్నింగ్స్ లో అత్యధిక పరుగులు (బ్యాటింగ్ స్థానంలో ప్రకారం) (76)']")</f>
        <v>[ '11 వ ఇన్నింగ్స్ లో అత్యధిక పరుగులు (బ్యాటింగ్ స్థానంలో ప్రకారం) (76)']</v>
      </c>
      <c r="E2944" s="2"/>
      <c r="F2944" s="2" t="str">
        <f>IFERROR(__xludf.DUMMYFUNCTION("IF(E2944&lt;&gt;"""", GOOGLETRANSLATE(E2944, ""en"", ""te""),"""")"),"")</f>
        <v/>
      </c>
      <c r="G2944" s="2"/>
      <c r="H2944" s="2" t="str">
        <f>IFERROR(__xludf.DUMMYFUNCTION("IF(G2944&lt;&gt;"""", GOOGLETRANSLATE(G2944, ""en"", ""te""),"""")"),"")</f>
        <v/>
      </c>
      <c r="I2944" s="3"/>
    </row>
    <row r="2945" customHeight="1" spans="1:9">
      <c r="A2945" s="2"/>
      <c r="B2945" s="2" t="str">
        <f>IFERROR(__xludf.DUMMYFUNCTION("IF(A2945&lt;&gt;"""", GOOGLETRANSLATE(A2945, ""en"", ""te""),"""")"),"")</f>
        <v/>
      </c>
      <c r="C2945" s="2" t="s">
        <v>655</v>
      </c>
      <c r="D2945" s="2" t="str">
        <f>IFERROR(__xludf.DUMMYFUNCTION("IF(C2945&lt;&gt;"""", GOOGLETRANSLATE(C2945, ""en"", ""te""),"""")"),"[ '33 వ ప్రవేశం (8) ఒక మ్యాచ్లో బెస్ట్ ఫిగర్స్']")</f>
        <v>[ '33 వ ప్రవేశం (8) ఒక మ్యాచ్లో బెస్ట్ ఫిగర్స్']</v>
      </c>
      <c r="E2945" s="2"/>
      <c r="F2945" s="2" t="str">
        <f>IFERROR(__xludf.DUMMYFUNCTION("IF(E2945&lt;&gt;"""", GOOGLETRANSLATE(E2945, ""en"", ""te""),"""")"),"")</f>
        <v/>
      </c>
      <c r="G2945" s="2"/>
      <c r="H2945" s="2" t="str">
        <f>IFERROR(__xludf.DUMMYFUNCTION("IF(G2945&lt;&gt;"""", GOOGLETRANSLATE(G2945, ""en"", ""te""),"""")"),"")</f>
        <v/>
      </c>
      <c r="I2945" s="3"/>
    </row>
    <row r="2946" customHeight="1" spans="1:9">
      <c r="A2946" s="2"/>
      <c r="B2946" s="2" t="str">
        <f>IFERROR(__xludf.DUMMYFUNCTION("IF(A2946&lt;&gt;"""", GOOGLETRANSLATE(A2946, ""en"", ""te""),"""")"),"")</f>
        <v/>
      </c>
      <c r="C2946" s="2"/>
      <c r="D2946" s="2" t="str">
        <f>IFERROR(__xludf.DUMMYFUNCTION("IF(C2946&lt;&gt;"""", GOOGLETRANSLATE(C2946, ""en"", ""te""),"""")"),"")</f>
        <v/>
      </c>
      <c r="E2946" s="2"/>
      <c r="F2946" s="2" t="str">
        <f>IFERROR(__xludf.DUMMYFUNCTION("IF(E2946&lt;&gt;"""", GOOGLETRANSLATE(E2946, ""en"", ""te""),"""")"),"")</f>
        <v/>
      </c>
      <c r="G2946" s="2"/>
      <c r="H2946" s="2" t="str">
        <f>IFERROR(__xludf.DUMMYFUNCTION("IF(G2946&lt;&gt;"""", GOOGLETRANSLATE(G2946, ""en"", ""te""),"""")"),"")</f>
        <v/>
      </c>
      <c r="I2946" s="3"/>
    </row>
    <row r="2947" customHeight="1" spans="1:9">
      <c r="A2947" s="2"/>
      <c r="B2947" s="2" t="str">
        <f>IFERROR(__xludf.DUMMYFUNCTION("IF(A2947&lt;&gt;"""", GOOGLETRANSLATE(A2947, ""en"", ""te""),"""")"),"")</f>
        <v/>
      </c>
      <c r="C2947" s="2"/>
      <c r="D2947" s="2" t="str">
        <f>IFERROR(__xludf.DUMMYFUNCTION("IF(C2947&lt;&gt;"""", GOOGLETRANSLATE(C2947, ""en"", ""te""),"""")"),"")</f>
        <v/>
      </c>
      <c r="E2947" s="2"/>
      <c r="F2947" s="2" t="str">
        <f>IFERROR(__xludf.DUMMYFUNCTION("IF(E2947&lt;&gt;"""", GOOGLETRANSLATE(E2947, ""en"", ""te""),"""")"),"")</f>
        <v/>
      </c>
      <c r="G2947" s="2"/>
      <c r="H2947" s="2" t="str">
        <f>IFERROR(__xludf.DUMMYFUNCTION("IF(G2947&lt;&gt;"""", GOOGLETRANSLATE(G2947, ""en"", ""te""),"""")"),"")</f>
        <v/>
      </c>
      <c r="I2947" s="3"/>
    </row>
    <row r="2948" customHeight="1" spans="1:9">
      <c r="A2948" s="2"/>
      <c r="B2948" s="2" t="str">
        <f>IFERROR(__xludf.DUMMYFUNCTION("IF(A2948&lt;&gt;"""", GOOGLETRANSLATE(A2948, ""en"", ""te""),"""")"),"")</f>
        <v/>
      </c>
      <c r="C2948" s="2"/>
      <c r="D2948" s="2" t="str">
        <f>IFERROR(__xludf.DUMMYFUNCTION("IF(C2948&lt;&gt;"""", GOOGLETRANSLATE(C2948, ""en"", ""te""),"""")"),"")</f>
        <v/>
      </c>
      <c r="E2948" s="2"/>
      <c r="F2948" s="2" t="str">
        <f>IFERROR(__xludf.DUMMYFUNCTION("IF(E2948&lt;&gt;"""", GOOGLETRANSLATE(E2948, ""en"", ""te""),"""")"),"")</f>
        <v/>
      </c>
      <c r="G2948" s="2"/>
      <c r="H2948" s="2" t="str">
        <f>IFERROR(__xludf.DUMMYFUNCTION("IF(G2948&lt;&gt;"""", GOOGLETRANSLATE(G2948, ""en"", ""te""),"""")"),"")</f>
        <v/>
      </c>
      <c r="I2948" s="3"/>
    </row>
    <row r="2949" customHeight="1" spans="1:9">
      <c r="A2949" s="2"/>
      <c r="B2949" s="2" t="str">
        <f>IFERROR(__xludf.DUMMYFUNCTION("IF(A2949&lt;&gt;"""", GOOGLETRANSLATE(A2949, ""en"", ""te""),"""")"),"")</f>
        <v/>
      </c>
      <c r="C2949" s="2"/>
      <c r="D2949" s="2" t="str">
        <f>IFERROR(__xludf.DUMMYFUNCTION("IF(C2949&lt;&gt;"""", GOOGLETRANSLATE(C2949, ""en"", ""te""),"""")"),"")</f>
        <v/>
      </c>
      <c r="E2949" s="2"/>
      <c r="F2949" s="2" t="str">
        <f>IFERROR(__xludf.DUMMYFUNCTION("IF(E2949&lt;&gt;"""", GOOGLETRANSLATE(E2949, ""en"", ""te""),"""")"),"")</f>
        <v/>
      </c>
      <c r="G2949" s="2"/>
      <c r="H2949" s="2" t="str">
        <f>IFERROR(__xludf.DUMMYFUNCTION("IF(G2949&lt;&gt;"""", GOOGLETRANSLATE(G2949, ""en"", ""te""),"""")"),"")</f>
        <v/>
      </c>
      <c r="I2949" s="3"/>
    </row>
    <row r="2950" customHeight="1" spans="1:9">
      <c r="A2950" s="2"/>
      <c r="B2950" s="2" t="str">
        <f>IFERROR(__xludf.DUMMYFUNCTION("IF(A2950&lt;&gt;"""", GOOGLETRANSLATE(A2950, ""en"", ""te""),"""")"),"")</f>
        <v/>
      </c>
      <c r="C2950" s="2" t="s">
        <v>2096</v>
      </c>
      <c r="D2950" s="2" t="str">
        <f>IFERROR(__xludf.DUMMYFUNCTION("IF(C2950&lt;&gt;"""", GOOGLETRANSLATE(C2950, ""en"", ""te""),"""")"),"[ '27 చెత్త ఇన్నింగ్స్ లో సమ్మె రేటు (210.0)']")</f>
        <v>[ '27 చెత్త ఇన్నింగ్స్ లో సమ్మె రేటు (210.0)']</v>
      </c>
      <c r="E2950" s="2"/>
      <c r="F2950" s="2" t="str">
        <f>IFERROR(__xludf.DUMMYFUNCTION("IF(E2950&lt;&gt;"""", GOOGLETRANSLATE(E2950, ""en"", ""te""),"""")"),"")</f>
        <v/>
      </c>
      <c r="G2950" s="2"/>
      <c r="H2950" s="2" t="str">
        <f>IFERROR(__xludf.DUMMYFUNCTION("IF(G2950&lt;&gt;"""", GOOGLETRANSLATE(G2950, ""en"", ""te""),"""")"),"")</f>
        <v/>
      </c>
      <c r="I2950" s="3"/>
    </row>
    <row r="2951" customHeight="1" spans="1:9">
      <c r="A2951" s="2"/>
      <c r="B2951" s="2" t="str">
        <f>IFERROR(__xludf.DUMMYFUNCTION("IF(A2951&lt;&gt;"""", GOOGLETRANSLATE(A2951, ""en"", ""te""),"""")"),"")</f>
        <v/>
      </c>
      <c r="C2951" s="2"/>
      <c r="D2951" s="2" t="str">
        <f>IFERROR(__xludf.DUMMYFUNCTION("IF(C2951&lt;&gt;"""", GOOGLETRANSLATE(C2951, ""en"", ""te""),"""")"),"")</f>
        <v/>
      </c>
      <c r="E2951" s="2"/>
      <c r="F2951" s="2" t="str">
        <f>IFERROR(__xludf.DUMMYFUNCTION("IF(E2951&lt;&gt;"""", GOOGLETRANSLATE(E2951, ""en"", ""te""),"""")"),"")</f>
        <v/>
      </c>
      <c r="G2951" s="2"/>
      <c r="H2951" s="2" t="str">
        <f>IFERROR(__xludf.DUMMYFUNCTION("IF(G2951&lt;&gt;"""", GOOGLETRANSLATE(G2951, ""en"", ""te""),"""")"),"")</f>
        <v/>
      </c>
      <c r="I2951" s="3"/>
    </row>
    <row r="2952" customHeight="1" spans="1:9">
      <c r="A2952" s="2"/>
      <c r="B2952" s="2" t="str">
        <f>IFERROR(__xludf.DUMMYFUNCTION("IF(A2952&lt;&gt;"""", GOOGLETRANSLATE(A2952, ""en"", ""te""),"""")"),"")</f>
        <v/>
      </c>
      <c r="C2952" s="2"/>
      <c r="D2952" s="2" t="str">
        <f>IFERROR(__xludf.DUMMYFUNCTION("IF(C2952&lt;&gt;"""", GOOGLETRANSLATE(C2952, ""en"", ""te""),"""")"),"")</f>
        <v/>
      </c>
      <c r="E2952" s="2"/>
      <c r="F2952" s="2" t="str">
        <f>IFERROR(__xludf.DUMMYFUNCTION("IF(E2952&lt;&gt;"""", GOOGLETRANSLATE(E2952, ""en"", ""te""),"""")"),"")</f>
        <v/>
      </c>
      <c r="G2952" s="2"/>
      <c r="H2952" s="2" t="str">
        <f>IFERROR(__xludf.DUMMYFUNCTION("IF(G2952&lt;&gt;"""", GOOGLETRANSLATE(G2952, ""en"", ""te""),"""")"),"")</f>
        <v/>
      </c>
      <c r="I2952" s="3"/>
    </row>
    <row r="2953" customHeight="1" spans="1:9">
      <c r="A2953" s="2"/>
      <c r="B2953" s="2" t="str">
        <f>IFERROR(__xludf.DUMMYFUNCTION("IF(A2953&lt;&gt;"""", GOOGLETRANSLATE(A2953, ""en"", ""te""),"""")"),"")</f>
        <v/>
      </c>
      <c r="C2953" s="2"/>
      <c r="D2953" s="2" t="str">
        <f>IFERROR(__xludf.DUMMYFUNCTION("IF(C2953&lt;&gt;"""", GOOGLETRANSLATE(C2953, ""en"", ""te""),"""")"),"")</f>
        <v/>
      </c>
      <c r="E2953" s="2"/>
      <c r="F2953" s="2" t="str">
        <f>IFERROR(__xludf.DUMMYFUNCTION("IF(E2953&lt;&gt;"""", GOOGLETRANSLATE(E2953, ""en"", ""te""),"""")"),"")</f>
        <v/>
      </c>
      <c r="G2953" s="2"/>
      <c r="H2953" s="2" t="str">
        <f>IFERROR(__xludf.DUMMYFUNCTION("IF(G2953&lt;&gt;"""", GOOGLETRANSLATE(G2953, ""en"", ""te""),"""")"),"")</f>
        <v/>
      </c>
      <c r="I2953" s="3"/>
    </row>
    <row r="2954" customHeight="1" spans="1:9">
      <c r="A2954" s="2"/>
      <c r="B2954" s="2" t="str">
        <f>IFERROR(__xludf.DUMMYFUNCTION("IF(A2954&lt;&gt;"""", GOOGLETRANSLATE(A2954, ""en"", ""te""),"""")"),"")</f>
        <v/>
      </c>
      <c r="C2954" s="2"/>
      <c r="D2954" s="2" t="str">
        <f>IFERROR(__xludf.DUMMYFUNCTION("IF(C2954&lt;&gt;"""", GOOGLETRANSLATE(C2954, ""en"", ""te""),"""")"),"")</f>
        <v/>
      </c>
      <c r="E2954" s="2"/>
      <c r="F2954" s="2" t="str">
        <f>IFERROR(__xludf.DUMMYFUNCTION("IF(E2954&lt;&gt;"""", GOOGLETRANSLATE(E2954, ""en"", ""te""),"""")"),"")</f>
        <v/>
      </c>
      <c r="G2954" s="2"/>
      <c r="H2954" s="2" t="str">
        <f>IFERROR(__xludf.DUMMYFUNCTION("IF(G2954&lt;&gt;"""", GOOGLETRANSLATE(G2954, ""en"", ""te""),"""")"),"")</f>
        <v/>
      </c>
      <c r="I2954" s="3"/>
    </row>
    <row r="2955" customHeight="1" spans="1:9">
      <c r="A2955" s="2"/>
      <c r="B2955" s="2" t="str">
        <f>IFERROR(__xludf.DUMMYFUNCTION("IF(A2955&lt;&gt;"""", GOOGLETRANSLATE(A2955, ""en"", ""te""),"""")"),"")</f>
        <v/>
      </c>
      <c r="C2955" s="2"/>
      <c r="D2955" s="2" t="str">
        <f>IFERROR(__xludf.DUMMYFUNCTION("IF(C2955&lt;&gt;"""", GOOGLETRANSLATE(C2955, ""en"", ""te""),"""")"),"")</f>
        <v/>
      </c>
      <c r="E2955" s="2"/>
      <c r="F2955" s="2" t="str">
        <f>IFERROR(__xludf.DUMMYFUNCTION("IF(E2955&lt;&gt;"""", GOOGLETRANSLATE(E2955, ""en"", ""te""),"""")"),"")</f>
        <v/>
      </c>
      <c r="G2955" s="2"/>
      <c r="H2955" s="2" t="str">
        <f>IFERROR(__xludf.DUMMYFUNCTION("IF(G2955&lt;&gt;"""", GOOGLETRANSLATE(G2955, ""en"", ""te""),"""")"),"")</f>
        <v/>
      </c>
      <c r="I2955" s="3"/>
    </row>
    <row r="2956" customHeight="1" spans="1:9">
      <c r="A2956" s="2" t="s">
        <v>2097</v>
      </c>
      <c r="B2956" s="2" t="str">
        <f>IFERROR(__xludf.DUMMYFUNCTION("IF(A2956&lt;&gt;"""", GOOGLETRANSLATE(A2956, ""en"", ""te""),"""")"),"[ '7th వరుస మ్యాచ్లు ఆడి మధ్య జట్టుకు దూరమయ్యాడు (7)', '2 వ కెరీర్ లో బాతులు (28)', '4 వ అత్యంత ఇన్నింగ్స్ లో క్యాచ్లు (3)']")</f>
        <v>[ '7th వరుస మ్యాచ్లు ఆడి మధ్య జట్టుకు దూరమయ్యాడు (7)', '2 వ కెరీర్ లో బాతులు (28)', '4 వ అత్యంత ఇన్నింగ్స్ లో క్యాచ్లు (3)']</v>
      </c>
      <c r="C2956" s="2" t="s">
        <v>2098</v>
      </c>
      <c r="D2956" s="2" t="str">
        <f>IFERROR(__xludf.DUMMYFUNCTION("IF(C2956&lt;&gt;"""", GOOGLETRANSLATE(C2956, ""en"", ""te""),"""")"),"[ '44 వ లాంగెస్ట్ కెరీర్లు (12y 9D)', '28th చెత్త కెరీర్ (71.00) (అర్హత లేకుండా) సగటు బౌలింగ్', '7 వ వరుస మ్యాచ్లు ఆడి మధ్య జట్టు (7) కోసం తప్పిన']")</f>
        <v>[ '44 వ లాంగెస్ట్ కెరీర్లు (12y 9D)', '28th చెత్త కెరీర్ (71.00) (అర్హత లేకుండా) సగటు బౌలింగ్', '7 వ వరుస మ్యాచ్లు ఆడి మధ్య జట్టు (7) కోసం తప్పిన']</v>
      </c>
      <c r="E2956" s="2" t="s">
        <v>2099</v>
      </c>
      <c r="F2956" s="2" t="str">
        <f>IFERROR(__xludf.DUMMYFUNCTION("IF(E2956&lt;&gt;"""", GOOGLETRANSLATE(E2956, ""en"", ""te""),"""")"),"[ 'కెరీర్లో 2 వ లేవు బాతులు (28)', '4 వ ఇన్నింగ్స్ లో అత్యధిక క్యాచ్లు (3)', '48 వ లాంగెస్ట్ కెరీర్లు (13y 168d)']")</f>
        <v>[ 'కెరీర్లో 2 వ లేవు బాతులు (28)', '4 వ ఇన్నింగ్స్ లో అత్యధిక క్యాచ్లు (3)', '48 వ లాంగెస్ట్ కెరీర్లు (13y 168d)']</v>
      </c>
      <c r="G2956" s="2"/>
      <c r="H2956" s="2" t="str">
        <f>IFERROR(__xludf.DUMMYFUNCTION("IF(G2956&lt;&gt;"""", GOOGLETRANSLATE(G2956, ""en"", ""te""),"""")"),"")</f>
        <v/>
      </c>
      <c r="I2956" s="3"/>
    </row>
    <row r="2957" customHeight="1" spans="1:9">
      <c r="A2957" s="2"/>
      <c r="B2957" s="2" t="str">
        <f>IFERROR(__xludf.DUMMYFUNCTION("IF(A2957&lt;&gt;"""", GOOGLETRANSLATE(A2957, ""en"", ""te""),"""")"),"")</f>
        <v/>
      </c>
      <c r="C2957" s="2" t="s">
        <v>2100</v>
      </c>
      <c r="D2957" s="2" t="str">
        <f>IFERROR(__xludf.DUMMYFUNCTION("IF(C2957&lt;&gt;"""", GOOGLETRANSLATE(C2957, ""en"", ""te""),"""")"),"[ '33 వ అరంగేట్రంలోనే మ్యాచ్లో బెస్ట్ ఫిగర్స్ (8)', '38 వ షార్టేస్ట్ క్రీడాకారులు నివసించారు (33y 287d)']")</f>
        <v>[ '33 వ అరంగేట్రంలోనే మ్యాచ్లో బెస్ట్ ఫిగర్స్ (8)', '38 వ షార్టేస్ట్ క్రీడాకారులు నివసించారు (33y 287d)']</v>
      </c>
      <c r="E2957" s="2"/>
      <c r="F2957" s="2" t="str">
        <f>IFERROR(__xludf.DUMMYFUNCTION("IF(E2957&lt;&gt;"""", GOOGLETRANSLATE(E2957, ""en"", ""te""),"""")"),"")</f>
        <v/>
      </c>
      <c r="G2957" s="2"/>
      <c r="H2957" s="2" t="str">
        <f>IFERROR(__xludf.DUMMYFUNCTION("IF(G2957&lt;&gt;"""", GOOGLETRANSLATE(G2957, ""en"", ""te""),"""")"),"")</f>
        <v/>
      </c>
      <c r="I2957" s="3"/>
    </row>
    <row r="2958" customHeight="1" spans="1:9">
      <c r="A2958" s="2"/>
      <c r="B2958" s="2" t="str">
        <f>IFERROR(__xludf.DUMMYFUNCTION("IF(A2958&lt;&gt;"""", GOOGLETRANSLATE(A2958, ""en"", ""te""),"""")"),"")</f>
        <v/>
      </c>
      <c r="C2958" s="2"/>
      <c r="D2958" s="2" t="str">
        <f>IFERROR(__xludf.DUMMYFUNCTION("IF(C2958&lt;&gt;"""", GOOGLETRANSLATE(C2958, ""en"", ""te""),"""")"),"")</f>
        <v/>
      </c>
      <c r="E2958" s="2"/>
      <c r="F2958" s="2" t="str">
        <f>IFERROR(__xludf.DUMMYFUNCTION("IF(E2958&lt;&gt;"""", GOOGLETRANSLATE(E2958, ""en"", ""te""),"""")"),"")</f>
        <v/>
      </c>
      <c r="G2958" s="2"/>
      <c r="H2958" s="2" t="str">
        <f>IFERROR(__xludf.DUMMYFUNCTION("IF(G2958&lt;&gt;"""", GOOGLETRANSLATE(G2958, ""en"", ""te""),"""")"),"")</f>
        <v/>
      </c>
      <c r="I2958" s="3"/>
    </row>
    <row r="2959" customHeight="1" spans="1:9">
      <c r="A2959" s="2" t="s">
        <v>2101</v>
      </c>
      <c r="B2959" s="2" t="str">
        <f>IFERROR(__xludf.DUMMYFUNCTION("IF(A2959&lt;&gt;"""", GOOGLETRANSLATE(A2959, ""en"", ""te""),"""")"),"[ 'ఇన్నింగ్స్ లో 6 వ అత్యధిక పరుగులు (బ్యాటింగ్ స్థానంలో ప్రకారం) (103 *)', '2 వ అత్యధిక కెరీర్ బ్యాటింగ్ సగటు (50.15)', '9 వ తొలి మ్యాచ్లో అత్యధిక పరుగులు (78)', '1000 పరుగులు 1st వేగవంతమైన (24 ) ',' మూడో వికెట్కు 2 వ అత్యధిక భాగస్వామ్యం (182) ',' 10 వ "&amp;"అతి తక్కువ కెరీర్ (53 బాతులు) ']")</f>
        <v>[ 'ఇన్నింగ్స్ లో 6 వ అత్యధిక పరుగులు (బ్యాటింగ్ స్థానంలో ప్రకారం) (103 *)', '2 వ అత్యధిక కెరీర్ బ్యాటింగ్ సగటు (50.15)', '9 వ తొలి మ్యాచ్లో అత్యధిక పరుగులు (78)', '1000 పరుగులు 1st వేగవంతమైన (24 ) ',' మూడో వికెట్కు 2 వ అత్యధిక భాగస్వామ్యం (182) ',' 10 వ అతి తక్కువ కెరీర్ (53 బాతులు) ']</v>
      </c>
      <c r="C2959" s="2" t="s">
        <v>2102</v>
      </c>
      <c r="D2959" s="2" t="str">
        <f>IFERROR(__xludf.DUMMYFUNCTION("IF(C2959&lt;&gt;"""", GOOGLETRANSLATE(C2959, ""en"", ""te""),"""")"),"[ 'ఐదో వికెట్కు (237) కోసం 35 వ అత్యధిక భాగస్వామ్యం']")</f>
        <v>[ 'ఐదో వికెట్కు (237) కోసం 35 వ అత్యధిక భాగస్వామ్యం']</v>
      </c>
      <c r="E2959" s="2"/>
      <c r="F2959" s="2" t="str">
        <f>IFERROR(__xludf.DUMMYFUNCTION("IF(E2959&lt;&gt;"""", GOOGLETRANSLATE(E2959, ""en"", ""te""),"""")"),"")</f>
        <v/>
      </c>
      <c r="G2959" s="2" t="s">
        <v>2103</v>
      </c>
      <c r="H2959" s="2" t="str">
        <f>IFERROR(__xludf.DUMMYFUNCTION("IF(G2959&lt;&gt;"""", GOOGLETRANSLATE(G2959, ""en"", ""te""),"""")"),"[ '41 వ ఇన్నింగ్స్ లో అత్యధిక పరుగులు (103 *)', '44th ఒక క్యాలెండర్ సంవత్సరంలో అత్యధిక పరుగులు (397)', '6 వ ఇన్నింగ్స్ లో అత్యధిక పరుగులు (బ్యాటింగ్ స్థానంలో ప్రకారం) (103 *)', '2 వ అత్యధిక కెరీర్ బ్యాటింగ్ సగటు (50.15) ',' 23 వ అత్యధిక కెరీర్ సమ్మె రేటు "&amp;"(144.31) ',' తొలి మ్యాచ్లో 9 వ అత్యధిక పరుగులు (78) ',' 20 వ కెరీర్ అర్ధ (11) ',' 15 వ లేవు బాతులు కెరీర్ లో (24) ' '12 వ ఇన్నింగ్స్ లో వచ్చిన ఎక్కువ ఫోర్లు (12)', ఏ వికెట్కు, '6 వ అత్యధిక భాగస్వామ్యాలు' ఫాస్టెస్ట్ 1000 పరుగులు (24) 1st '' 42 వ ఇన్నింగ్స్"&amp;" లో ఫోర్లు, సిక్సర్లు (74) నుండి అత్యధిక పరుగులు '(182) ',' మూడో వికెట్కు 2 వ అత్యధిక భాగస్వామ్యం (182) ',' 28 వ అతి ప్లేయర్ ఆఫ్ ది మ్యాచ్ అవార్డులు (5) ']")</f>
        <v>[ '41 వ ఇన్నింగ్స్ లో అత్యధిక పరుగులు (103 *)', '44th ఒక క్యాలెండర్ సంవత్సరంలో అత్యధిక పరుగులు (397)', '6 వ ఇన్నింగ్స్ లో అత్యధిక పరుగులు (బ్యాటింగ్ స్థానంలో ప్రకారం) (103 *)', '2 వ అత్యధిక కెరీర్ బ్యాటింగ్ సగటు (50.15) ',' 23 వ అత్యధిక కెరీర్ సమ్మె రేటు (144.31) ',' తొలి మ్యాచ్లో 9 వ అత్యధిక పరుగులు (78) ',' 20 వ కెరీర్ అర్ధ (11) ',' 15 వ లేవు బాతులు కెరీర్ లో (24) ' '12 వ ఇన్నింగ్స్ లో వచ్చిన ఎక్కువ ఫోర్లు (12)', ఏ వికెట్కు, '6 వ అత్యధిక భాగస్వామ్యాలు' ఫాస్టెస్ట్ 1000 పరుగులు (24) 1st '' 42 వ ఇన్నింగ్స్ లో ఫోర్లు, సిక్సర్లు (74) నుండి అత్యధిక పరుగులు '(182) ',' మూడో వికెట్కు 2 వ అత్యధిక భాగస్వామ్యం (182) ',' 28 వ అతి ప్లేయర్ ఆఫ్ ది మ్యాచ్ అవార్డులు (5) ']</v>
      </c>
      <c r="I2959" s="3"/>
    </row>
    <row r="2960" customHeight="1" spans="1:9">
      <c r="A2960" s="2"/>
      <c r="B2960" s="2" t="str">
        <f>IFERROR(__xludf.DUMMYFUNCTION("IF(A2960&lt;&gt;"""", GOOGLETRANSLATE(A2960, ""en"", ""te""),"""")"),"")</f>
        <v/>
      </c>
      <c r="C2960" s="2"/>
      <c r="D2960" s="2" t="str">
        <f>IFERROR(__xludf.DUMMYFUNCTION("IF(C2960&lt;&gt;"""", GOOGLETRANSLATE(C2960, ""en"", ""te""),"""")"),"")</f>
        <v/>
      </c>
      <c r="E2960" s="2"/>
      <c r="F2960" s="2" t="str">
        <f>IFERROR(__xludf.DUMMYFUNCTION("IF(E2960&lt;&gt;"""", GOOGLETRANSLATE(E2960, ""en"", ""te""),"""")"),"")</f>
        <v/>
      </c>
      <c r="G2960" s="2"/>
      <c r="H2960" s="2" t="str">
        <f>IFERROR(__xludf.DUMMYFUNCTION("IF(G2960&lt;&gt;"""", GOOGLETRANSLATE(G2960, ""en"", ""te""),"""")"),"")</f>
        <v/>
      </c>
      <c r="I2960" s="3"/>
    </row>
    <row r="2961" customHeight="1" spans="1:9">
      <c r="A2961" s="2"/>
      <c r="B2961" s="2" t="str">
        <f>IFERROR(__xludf.DUMMYFUNCTION("IF(A2961&lt;&gt;"""", GOOGLETRANSLATE(A2961, ""en"", ""te""),"""")"),"")</f>
        <v/>
      </c>
      <c r="C2961" s="2" t="s">
        <v>2104</v>
      </c>
      <c r="D2961" s="2" t="str">
        <f>IFERROR(__xludf.DUMMYFUNCTION("IF(C2961&lt;&gt;"""", GOOGLETRANSLATE(C2961, ""en"", ""te""),"""")"),"[ '99 పరుగుల 40 వ (మరియు 199, 299 etc) (99)']")</f>
        <v>[ '99 పరుగుల 40 వ (మరియు 199, 299 etc) (99)']</v>
      </c>
      <c r="E2961" s="2" t="s">
        <v>2105</v>
      </c>
      <c r="F2961" s="2" t="str">
        <f>IFERROR(__xludf.DUMMYFUNCTION("IF(E2961&lt;&gt;"""", GOOGLETRANSLATE(E2961, ""en"", ""te""),"""")"),"[ '48 వ తొలి మ్యాచ్లో అత్యధిక పరుగులు (70)']")</f>
        <v>[ '48 వ తొలి మ్యాచ్లో అత్యధిక పరుగులు (70)']</v>
      </c>
      <c r="G2961" s="2"/>
      <c r="H2961" s="2" t="str">
        <f>IFERROR(__xludf.DUMMYFUNCTION("IF(G2961&lt;&gt;"""", GOOGLETRANSLATE(G2961, ""en"", ""te""),"""")"),"")</f>
        <v/>
      </c>
      <c r="I2961" s="3"/>
    </row>
    <row r="2962" customHeight="1" spans="1:9">
      <c r="A2962" s="2"/>
      <c r="B2962" s="2" t="str">
        <f>IFERROR(__xludf.DUMMYFUNCTION("IF(A2962&lt;&gt;"""", GOOGLETRANSLATE(A2962, ""en"", ""te""),"""")"),"")</f>
        <v/>
      </c>
      <c r="C2962" s="2"/>
      <c r="D2962" s="2" t="str">
        <f>IFERROR(__xludf.DUMMYFUNCTION("IF(C2962&lt;&gt;"""", GOOGLETRANSLATE(C2962, ""en"", ""te""),"""")"),"")</f>
        <v/>
      </c>
      <c r="E2962" s="2"/>
      <c r="F2962" s="2" t="str">
        <f>IFERROR(__xludf.DUMMYFUNCTION("IF(E2962&lt;&gt;"""", GOOGLETRANSLATE(E2962, ""en"", ""te""),"""")"),"")</f>
        <v/>
      </c>
      <c r="G2962" s="2"/>
      <c r="H2962" s="2" t="str">
        <f>IFERROR(__xludf.DUMMYFUNCTION("IF(G2962&lt;&gt;"""", GOOGLETRANSLATE(G2962, ""en"", ""te""),"""")"),"")</f>
        <v/>
      </c>
      <c r="I2962" s="3"/>
    </row>
    <row r="2963" customHeight="1" spans="1:9">
      <c r="A2963" s="2"/>
      <c r="B2963" s="2" t="str">
        <f>IFERROR(__xludf.DUMMYFUNCTION("IF(A2963&lt;&gt;"""", GOOGLETRANSLATE(A2963, ""en"", ""te""),"""")"),"")</f>
        <v/>
      </c>
      <c r="C2963" s="2"/>
      <c r="D2963" s="2" t="str">
        <f>IFERROR(__xludf.DUMMYFUNCTION("IF(C2963&lt;&gt;"""", GOOGLETRANSLATE(C2963, ""en"", ""te""),"""")"),"")</f>
        <v/>
      </c>
      <c r="E2963" s="2"/>
      <c r="F2963" s="2" t="str">
        <f>IFERROR(__xludf.DUMMYFUNCTION("IF(E2963&lt;&gt;"""", GOOGLETRANSLATE(E2963, ""en"", ""te""),"""")"),"")</f>
        <v/>
      </c>
      <c r="G2963" s="2"/>
      <c r="H2963" s="2" t="str">
        <f>IFERROR(__xludf.DUMMYFUNCTION("IF(G2963&lt;&gt;"""", GOOGLETRANSLATE(G2963, ""en"", ""te""),"""")"),"")</f>
        <v/>
      </c>
      <c r="I2963" s="3"/>
    </row>
    <row r="2964" customHeight="1" spans="1:9">
      <c r="A2964" s="2" t="s">
        <v>2106</v>
      </c>
      <c r="B2964" s="2" t="str">
        <f>IFERROR(__xludf.DUMMYFUNCTION("IF(A2964&lt;&gt;"""", GOOGLETRANSLATE(A2964, ""en"", ""te""),"""")"),"[ 'ఇన్నింగ్స్ లో 5 వ అత్యధిక క్యాచ్లు (6)', 'ఇన్నింగ్స్ (6) లో 5 వ అత్యధిక వికెట్లు' '4 వ అత్యంత ఇన్నింగ్స్ లో సాధించిన బైస్ (33)', '8 వ ఇన్నింగ్స్ లో అత్యధిక పరుగులు (బ్యాటింగ్ స్థానంలో ద్వారా) (112) ']")</f>
        <v>[ 'ఇన్నింగ్స్ లో 5 వ అత్యధిక క్యాచ్లు (6)', 'ఇన్నింగ్స్ (6) లో 5 వ అత్యధిక వికెట్లు' '4 వ అత్యంత ఇన్నింగ్స్ లో సాధించిన బైస్ (33)', '8 వ ఇన్నింగ్స్ లో అత్యధిక పరుగులు (బ్యాటింగ్ స్థానంలో ద్వారా) (112) ']</v>
      </c>
      <c r="C2964" s="2" t="s">
        <v>2107</v>
      </c>
      <c r="D2964" s="2" t="str">
        <f>IFERROR(__xludf.DUMMYFUNCTION("IF(C2964&lt;&gt;"""", GOOGLETRANSLATE(C2964, ""en"", ""te""),"""")"),"[ 'ఇన్నింగ్స్ లో 8 వ అత్యధిక పరుగులు (బ్యాటింగ్ స్థానంలో ప్రకారం) (112)', '(6) 5 వ ఇన్నింగ్స్ లో అత్యధిక వికెట్లు' 'ఇన్నింగ్స్ లో 5 వ అత్యధిక క్యాచ్లు (6)', '4 వ అత్యంత ఇన్నింగ్స్ లో సాధించిన బైస్ (33) ']")</f>
        <v>[ 'ఇన్నింగ్స్ లో 8 వ అత్యధిక పరుగులు (బ్యాటింగ్ స్థానంలో ప్రకారం) (112)', '(6) 5 వ ఇన్నింగ్స్ లో అత్యధిక వికెట్లు' 'ఇన్నింగ్స్ లో 5 వ అత్యధిక క్యాచ్లు (6)', '4 వ అత్యంత ఇన్నింగ్స్ లో సాధించిన బైస్ (33) ']</v>
      </c>
      <c r="E2964" s="2"/>
      <c r="F2964" s="2" t="str">
        <f>IFERROR(__xludf.DUMMYFUNCTION("IF(E2964&lt;&gt;"""", GOOGLETRANSLATE(E2964, ""en"", ""te""),"""")"),"")</f>
        <v/>
      </c>
      <c r="G2964" s="2"/>
      <c r="H2964" s="2" t="str">
        <f>IFERROR(__xludf.DUMMYFUNCTION("IF(G2964&lt;&gt;"""", GOOGLETRANSLATE(G2964, ""en"", ""te""),"""")"),"")</f>
        <v/>
      </c>
      <c r="I2964" s="3"/>
    </row>
    <row r="2965" customHeight="1" spans="1:9">
      <c r="A2965" s="2"/>
      <c r="B2965" s="2" t="str">
        <f>IFERROR(__xludf.DUMMYFUNCTION("IF(A2965&lt;&gt;"""", GOOGLETRANSLATE(A2965, ""en"", ""te""),"""")"),"")</f>
        <v/>
      </c>
      <c r="C2965" s="2"/>
      <c r="D2965" s="2" t="str">
        <f>IFERROR(__xludf.DUMMYFUNCTION("IF(C2965&lt;&gt;"""", GOOGLETRANSLATE(C2965, ""en"", ""te""),"""")"),"")</f>
        <v/>
      </c>
      <c r="E2965" s="2"/>
      <c r="F2965" s="2" t="str">
        <f>IFERROR(__xludf.DUMMYFUNCTION("IF(E2965&lt;&gt;"""", GOOGLETRANSLATE(E2965, ""en"", ""te""),"""")"),"")</f>
        <v/>
      </c>
      <c r="G2965" s="2"/>
      <c r="H2965" s="2" t="str">
        <f>IFERROR(__xludf.DUMMYFUNCTION("IF(G2965&lt;&gt;"""", GOOGLETRANSLATE(G2965, ""en"", ""te""),"""")"),"")</f>
        <v/>
      </c>
      <c r="I2965" s="3"/>
    </row>
    <row r="2966" customHeight="1" spans="1:9">
      <c r="A2966" s="2"/>
      <c r="B2966" s="2" t="str">
        <f>IFERROR(__xludf.DUMMYFUNCTION("IF(A2966&lt;&gt;"""", GOOGLETRANSLATE(A2966, ""en"", ""te""),"""")"),"")</f>
        <v/>
      </c>
      <c r="C2966" s="2"/>
      <c r="D2966" s="2" t="str">
        <f>IFERROR(__xludf.DUMMYFUNCTION("IF(C2966&lt;&gt;"""", GOOGLETRANSLATE(C2966, ""en"", ""te""),"""")"),"")</f>
        <v/>
      </c>
      <c r="E2966" s="2"/>
      <c r="F2966" s="2" t="str">
        <f>IFERROR(__xludf.DUMMYFUNCTION("IF(E2966&lt;&gt;"""", GOOGLETRANSLATE(E2966, ""en"", ""te""),"""")"),"")</f>
        <v/>
      </c>
      <c r="G2966" s="2"/>
      <c r="H2966" s="2" t="str">
        <f>IFERROR(__xludf.DUMMYFUNCTION("IF(G2966&lt;&gt;"""", GOOGLETRANSLATE(G2966, ""en"", ""te""),"""")"),"")</f>
        <v/>
      </c>
      <c r="I2966" s="3"/>
    </row>
    <row r="2967" customHeight="1" spans="1:9">
      <c r="A2967" s="2"/>
      <c r="B2967" s="2" t="str">
        <f>IFERROR(__xludf.DUMMYFUNCTION("IF(A2967&lt;&gt;"""", GOOGLETRANSLATE(A2967, ""en"", ""te""),"""")"),"")</f>
        <v/>
      </c>
      <c r="C2967" s="2"/>
      <c r="D2967" s="2" t="str">
        <f>IFERROR(__xludf.DUMMYFUNCTION("IF(C2967&lt;&gt;"""", GOOGLETRANSLATE(C2967, ""en"", ""te""),"""")"),"")</f>
        <v/>
      </c>
      <c r="E2967" s="2"/>
      <c r="F2967" s="2" t="str">
        <f>IFERROR(__xludf.DUMMYFUNCTION("IF(E2967&lt;&gt;"""", GOOGLETRANSLATE(E2967, ""en"", ""te""),"""")"),"")</f>
        <v/>
      </c>
      <c r="G2967" s="2"/>
      <c r="H2967" s="2" t="str">
        <f>IFERROR(__xludf.DUMMYFUNCTION("IF(G2967&lt;&gt;"""", GOOGLETRANSLATE(G2967, ""en"", ""te""),"""")"),"")</f>
        <v/>
      </c>
      <c r="I2967" s="3"/>
    </row>
    <row r="2968" customHeight="1" spans="1:9">
      <c r="A2968" s="2"/>
      <c r="B2968" s="2" t="str">
        <f>IFERROR(__xludf.DUMMYFUNCTION("IF(A2968&lt;&gt;"""", GOOGLETRANSLATE(A2968, ""en"", ""te""),"""")"),"")</f>
        <v/>
      </c>
      <c r="C2968" s="2"/>
      <c r="D2968" s="2" t="str">
        <f>IFERROR(__xludf.DUMMYFUNCTION("IF(C2968&lt;&gt;"""", GOOGLETRANSLATE(C2968, ""en"", ""te""),"""")"),"")</f>
        <v/>
      </c>
      <c r="E2968" s="2"/>
      <c r="F2968" s="2" t="str">
        <f>IFERROR(__xludf.DUMMYFUNCTION("IF(E2968&lt;&gt;"""", GOOGLETRANSLATE(E2968, ""en"", ""te""),"""")"),"")</f>
        <v/>
      </c>
      <c r="G2968" s="2"/>
      <c r="H2968" s="2" t="str">
        <f>IFERROR(__xludf.DUMMYFUNCTION("IF(G2968&lt;&gt;"""", GOOGLETRANSLATE(G2968, ""en"", ""te""),"""")"),"")</f>
        <v/>
      </c>
      <c r="I2968" s="3"/>
    </row>
    <row r="2969" customHeight="1" spans="1:9">
      <c r="A2969" s="2"/>
      <c r="B2969" s="2" t="str">
        <f>IFERROR(__xludf.DUMMYFUNCTION("IF(A2969&lt;&gt;"""", GOOGLETRANSLATE(A2969, ""en"", ""te""),"""")"),"")</f>
        <v/>
      </c>
      <c r="C2969" s="2"/>
      <c r="D2969" s="2" t="str">
        <f>IFERROR(__xludf.DUMMYFUNCTION("IF(C2969&lt;&gt;"""", GOOGLETRANSLATE(C2969, ""en"", ""te""),"""")"),"")</f>
        <v/>
      </c>
      <c r="E2969" s="2"/>
      <c r="F2969" s="2" t="str">
        <f>IFERROR(__xludf.DUMMYFUNCTION("IF(E2969&lt;&gt;"""", GOOGLETRANSLATE(E2969, ""en"", ""te""),"""")"),"")</f>
        <v/>
      </c>
      <c r="G2969" s="2"/>
      <c r="H2969" s="2" t="str">
        <f>IFERROR(__xludf.DUMMYFUNCTION("IF(G2969&lt;&gt;"""", GOOGLETRANSLATE(G2969, ""en"", ""te""),"""")"),"")</f>
        <v/>
      </c>
      <c r="I2969" s="3"/>
    </row>
    <row r="2970" customHeight="1" spans="1:9">
      <c r="A2970" s="2"/>
      <c r="B2970" s="2" t="str">
        <f>IFERROR(__xludf.DUMMYFUNCTION("IF(A2970&lt;&gt;"""", GOOGLETRANSLATE(A2970, ""en"", ""te""),"""")"),"")</f>
        <v/>
      </c>
      <c r="C2970" s="2"/>
      <c r="D2970" s="2" t="str">
        <f>IFERROR(__xludf.DUMMYFUNCTION("IF(C2970&lt;&gt;"""", GOOGLETRANSLATE(C2970, ""en"", ""te""),"""")"),"")</f>
        <v/>
      </c>
      <c r="E2970" s="2"/>
      <c r="F2970" s="2" t="str">
        <f>IFERROR(__xludf.DUMMYFUNCTION("IF(E2970&lt;&gt;"""", GOOGLETRANSLATE(E2970, ""en"", ""te""),"""")"),"")</f>
        <v/>
      </c>
      <c r="G2970" s="2"/>
      <c r="H2970" s="2" t="str">
        <f>IFERROR(__xludf.DUMMYFUNCTION("IF(G2970&lt;&gt;"""", GOOGLETRANSLATE(G2970, ""en"", ""te""),"""")"),"")</f>
        <v/>
      </c>
      <c r="I2970" s="3"/>
    </row>
    <row r="2971" customHeight="1" spans="1:9">
      <c r="A2971" s="2"/>
      <c r="B2971" s="2" t="str">
        <f>IFERROR(__xludf.DUMMYFUNCTION("IF(A2971&lt;&gt;"""", GOOGLETRANSLATE(A2971, ""en"", ""te""),"""")"),"")</f>
        <v/>
      </c>
      <c r="C2971" s="2"/>
      <c r="D2971" s="2" t="str">
        <f>IFERROR(__xludf.DUMMYFUNCTION("IF(C2971&lt;&gt;"""", GOOGLETRANSLATE(C2971, ""en"", ""te""),"""")"),"")</f>
        <v/>
      </c>
      <c r="E2971" s="2"/>
      <c r="F2971" s="2" t="str">
        <f>IFERROR(__xludf.DUMMYFUNCTION("IF(E2971&lt;&gt;"""", GOOGLETRANSLATE(E2971, ""en"", ""te""),"""")"),"")</f>
        <v/>
      </c>
      <c r="G2971" s="2"/>
      <c r="H2971" s="2" t="str">
        <f>IFERROR(__xludf.DUMMYFUNCTION("IF(G2971&lt;&gt;"""", GOOGLETRANSLATE(G2971, ""en"", ""te""),"""")"),"")</f>
        <v/>
      </c>
      <c r="I2971" s="3"/>
    </row>
    <row r="2972" customHeight="1" spans="1:9">
      <c r="A2972" s="2"/>
      <c r="B2972" s="2" t="str">
        <f>IFERROR(__xludf.DUMMYFUNCTION("IF(A2972&lt;&gt;"""", GOOGLETRANSLATE(A2972, ""en"", ""te""),"""")"),"")</f>
        <v/>
      </c>
      <c r="C2972" s="2"/>
      <c r="D2972" s="2" t="str">
        <f>IFERROR(__xludf.DUMMYFUNCTION("IF(C2972&lt;&gt;"""", GOOGLETRANSLATE(C2972, ""en"", ""te""),"""")"),"")</f>
        <v/>
      </c>
      <c r="E2972" s="2"/>
      <c r="F2972" s="2" t="str">
        <f>IFERROR(__xludf.DUMMYFUNCTION("IF(E2972&lt;&gt;"""", GOOGLETRANSLATE(E2972, ""en"", ""te""),"""")"),"")</f>
        <v/>
      </c>
      <c r="G2972" s="2"/>
      <c r="H2972" s="2" t="str">
        <f>IFERROR(__xludf.DUMMYFUNCTION("IF(G2972&lt;&gt;"""", GOOGLETRANSLATE(G2972, ""en"", ""te""),"""")"),"")</f>
        <v/>
      </c>
      <c r="I2972" s="3"/>
    </row>
    <row r="2973" customHeight="1" spans="1:9">
      <c r="A2973" s="2" t="s">
        <v>2108</v>
      </c>
      <c r="B2973" s="2" t="str">
        <f>IFERROR(__xludf.DUMMYFUNCTION("IF(A2973&lt;&gt;"""", GOOGLETRANSLATE(A2973, ""en"", ""te""),"""")"),"[ '(38) ఒక ఇన్నింగ్స్ లో 2 వ అత్యధిక పరుగులు (బ్యాటింగ్ స్థానంలో ద్వారా)' '1 వ కెరీర్ జతల (2)', '9 వ అత్యధిక పరుగులు ఇన్నింగ్స్ లో సాధించిన (109)', '5 వ అత్యధిక వికెట్లు తీసుకున్న ఎల్బిడబ్ల్యు (11 ) ',' 9 వ ఇన్నింగ్స్ లో అత్యధిక పరుగులు (బ్యాటింగ్ స్థానంల"&amp;"ో ప్రకారం) (36 *) ',' 1 వ అత్యుత్తమ బౌలింగ్ ఇన్నింగ్స్ లో విశ్లేషించడం (1/0) ',' 3 వ వరుస నాలుగు వికెట్లు-ఇన్-ఒక-ఇన్నింగ్స్ ( 2) ',' 9 వ కెరీర్ లో బౌల్డ్ చాలా బంతుల్లో (5328) ',' 8 వ కెరీర్ లో సాధించిన అత్యధిక పరుగులు (3463) ',' 8 వ అత్యధిక వికెట్లు ఒక ఫీ"&amp;"ల్డర్ చేత క్యాచ్ తీసుకున్న (57) ',' 3 వ అత్యంత ఇన్నింగ్స్ లో నడుస్తుంది ( 'బ్యాటింగ్ స్థానంలో ప్రకారం) (25)]")</f>
        <v>[ '(38) ఒక ఇన్నింగ్స్ లో 2 వ అత్యధిక పరుగులు (బ్యాటింగ్ స్థానంలో ద్వారా)' '1 వ కెరీర్ జతల (2)', '9 వ అత్యధిక పరుగులు ఇన్నింగ్స్ లో సాధించిన (109)', '5 వ అత్యధిక వికెట్లు తీసుకున్న ఎల్బిడబ్ల్యు (11 ) ',' 9 వ ఇన్నింగ్స్ లో అత్యధిక పరుగులు (బ్యాటింగ్ స్థానంలో ప్రకారం) (36 *) ',' 1 వ అత్యుత్తమ బౌలింగ్ ఇన్నింగ్స్ లో విశ్లేషించడం (1/0) ',' 3 వ వరుస నాలుగు వికెట్లు-ఇన్-ఒక-ఇన్నింగ్స్ ( 2) ',' 9 వ కెరీర్ లో బౌల్డ్ చాలా బంతుల్లో (5328) ',' 8 వ కెరీర్ లో సాధించిన అత్యధిక పరుగులు (3463) ',' 8 వ అత్యధిక వికెట్లు ఒక ఫీల్డర్ చేత క్యాచ్ తీసుకున్న (57) ',' 3 వ అత్యంత ఇన్నింగ్స్ లో నడుస్తుంది ( 'బ్యాటింగ్ స్థానంలో ప్రకారం) (25)]</v>
      </c>
      <c r="C2973" s="2" t="s">
        <v>2109</v>
      </c>
      <c r="D2973" s="2" t="str">
        <f>IFERROR(__xludf.DUMMYFUNCTION("IF(C2973&lt;&gt;"""", GOOGLETRANSLATE(C2973, ""en"", ""te""),"""")"),"[ '2nd అత్యంత ఇన్నింగ్స్ లో నడుస్తుంది (బ్యాటింగ్ స్థానం) (38)', '6 వ కెరీర్ బాతులు (4)', '1 వ అత్యంత జతల కెరీర్లో (2)', '37 వ అత్యధిక వికెట్లు కెరీర్లో (24)' , 'కెరీర్ (2045) లో బౌల్డ్ 29 వ అత్యధిక బంతుల్లో' 'సగటు (33.79) బౌలింగ్ 23 చెత్త జీవితం', '17 వ "&amp;"కెరీర్ లో సాధించిన అత్యధిక పరుగులు (811)', '9 వ అత్యంత ఇన్నింగ్స్ లో సాధించిన పరుగులు (109)', ' ఒక మ్యాచ్లో 23 వ సాధించిన పరుగులు (132) ',' 12 వ బౌలర్ / బ్యాట్స్ కలయికలు (4) ',' 5 వ అత్యధిక వికెట్లు తీసుకున్న ఎల్బిడబ్ల్యు (11) ',' 31 లాంగెస్ట్ కెరీర్లు (1"&amp;"2y 347d) ']")</f>
        <v>[ '2nd అత్యంత ఇన్నింగ్స్ లో నడుస్తుంది (బ్యాటింగ్ స్థానం) (38)', '6 వ కెరీర్ బాతులు (4)', '1 వ అత్యంత జతల కెరీర్లో (2)', '37 వ అత్యధిక వికెట్లు కెరీర్లో (24)' , 'కెరీర్ (2045) లో బౌల్డ్ 29 వ అత్యధిక బంతుల్లో' 'సగటు (33.79) బౌలింగ్ 23 చెత్త జీవితం', '17 వ కెరీర్ లో సాధించిన అత్యధిక పరుగులు (811)', '9 వ అత్యంత ఇన్నింగ్స్ లో సాధించిన పరుగులు (109)', ' ఒక మ్యాచ్లో 23 వ సాధించిన పరుగులు (132) ',' 12 వ బౌలర్ / బ్యాట్స్ కలయికలు (4) ',' 5 వ అత్యధిక వికెట్లు తీసుకున్న ఎల్బిడబ్ల్యు (11) ',' 31 లాంగెస్ట్ కెరీర్లు (12y 347d) ']</v>
      </c>
      <c r="E2973" s="2" t="s">
        <v>2110</v>
      </c>
      <c r="F2973" s="2" t="str">
        <f>IFERROR(__xludf.DUMMYFUNCTION("IF(E2973&lt;&gt;"""", GOOGLETRANSLATE(E2973, ""en"", ""te""),"""")"),"[ 'ఇన్నింగ్స్ లో 9 వ అత్యధిక పరుగులు (బ్యాటింగ్ స్థానంలో ప్రకారం) (36 *)', 'కెరీర్లో 13 వ అత్యధిక వికెట్లు (129)', 'ఇన్నింగ్స్ లో 34 వ బెస్ట్ ఫిగర్స్ (5/15)', '14 వ ఒక అత్యధిక వికెట్లు క్యాలెండర్ ఏడాది (26) ',' 1 వ అత్యుత్తమ బౌలింగ్ ఒకే నేలపై ఒక ఇన్నింగ్"&amp;"స్ (1/0) ',' 19 వ అత్యధిక వికెట్లు విశ్లేషణలలో (14) ',' 25 వ అత్యంత నాలుగు వికెట్లు-ఇన్-ఒక-ఇన్నింగ్స్ కెరీర్లో (4) ',' 3 వ వరుస నాలుగు వికెట్లు-ఇన్-ఒక-ఇన్నింగ్స్ (2) ',' ఐదు వికెట్ల లో-ఒక-ఇన్నింగ్స్ తీసుకోవాలని 22 పిన్న వయస్కుడిగా నిలిచాడు (22y 97d) ',' 9"&amp;" వ అత్యంత బంతుల్లో బౌల్డ్ కెరీర్ (5328) ',' కెరీర్ లో సాధించిన 8 వ అత్యధిక పరుగులు (3463) ',' 17 వ బౌలర్ / ఫీల్డర్ కలయికలు (15) ',' 11 వ అత్యధిక వికెట్లు బౌల్డ్ తీసుకున్న (32) ',' 10 వ అత్యధిక వికెట్లు తీసుకున్న ఆకర్షించింది (69) ' '(8) 10 వ అత్యధిక వికెట"&amp;"్లు ఆకర్షించింది తీసుకున్న మరియు బౌల్డ్', '8 వ అత్యధిక వికెట్లు ఒక ఫీల్డర్ చేత క్యాచ్ తీసుకున్న (57)', '19 వ అత్యధిక వికెట్లు ఒక వికెట్ కీపర్ చే కాట్ తీసుకోకూడదు (12)', '11 వ అత్యధిక వికెట్లు తీసుకున్న ఎల్బిడబ్ల్యు (20 ) ',' ఏడవ వికెట్కు 39 వ అత్యధిక భాగస"&amp;"్వామ్యం (60) ',' తొమ్మిదవ వికెట్కు 26 అత్యధిక భాగస్వామ్యం (38) ',' 41 వ అత్యధిక కెరీర్ లో మ్యాచ్లు (103) ',' ఒక జట్టుకు 32 వ వరుస మ్యాచ్లు (43) ']")</f>
        <v>[ 'ఇన్నింగ్స్ లో 9 వ అత్యధిక పరుగులు (బ్యాటింగ్ స్థానంలో ప్రకారం) (36 *)', 'కెరీర్లో 13 వ అత్యధిక వికెట్లు (129)', 'ఇన్నింగ్స్ లో 34 వ బెస్ట్ ఫిగర్స్ (5/15)', '14 వ ఒక అత్యధిక వికెట్లు క్యాలెండర్ ఏడాది (26) ',' 1 వ అత్యుత్తమ బౌలింగ్ ఒకే నేలపై ఒక ఇన్నింగ్స్ (1/0) ',' 19 వ అత్యధిక వికెట్లు విశ్లేషణలలో (14) ',' 25 వ అత్యంత నాలుగు వికెట్లు-ఇన్-ఒక-ఇన్నింగ్స్ కెరీర్లో (4) ',' 3 వ వరుస నాలుగు వికెట్లు-ఇన్-ఒక-ఇన్నింగ్స్ (2) ',' ఐదు వికెట్ల లో-ఒక-ఇన్నింగ్స్ తీసుకోవాలని 22 పిన్న వయస్కుడిగా నిలిచాడు (22y 97d) ',' 9 వ అత్యంత బంతుల్లో బౌల్డ్ కెరీర్ (5328) ',' కెరీర్ లో సాధించిన 8 వ అత్యధిక పరుగులు (3463) ',' 17 వ బౌలర్ / ఫీల్డర్ కలయికలు (15) ',' 11 వ అత్యధిక వికెట్లు బౌల్డ్ తీసుకున్న (32) ',' 10 వ అత్యధిక వికెట్లు తీసుకున్న ఆకర్షించింది (69) ' '(8) 10 వ అత్యధిక వికెట్లు ఆకర్షించింది తీసుకున్న మరియు బౌల్డ్', '8 వ అత్యధిక వికెట్లు ఒక ఫీల్డర్ చేత క్యాచ్ తీసుకున్న (57)', '19 వ అత్యధిక వికెట్లు ఒక వికెట్ కీపర్ చే కాట్ తీసుకోకూడదు (12)', '11 వ అత్యధిక వికెట్లు తీసుకున్న ఎల్బిడబ్ల్యు (20 ) ',' ఏడవ వికెట్కు 39 వ అత్యధిక భాగస్వామ్యం (60) ',' తొమ్మిదవ వికెట్కు 26 అత్యధిక భాగస్వామ్యం (38) ',' 41 వ అత్యధిక కెరీర్ లో మ్యాచ్లు (103) ',' ఒక జట్టుకు 32 వ వరుస మ్యాచ్లు (43) ']</v>
      </c>
      <c r="G2973" s="2" t="s">
        <v>2111</v>
      </c>
      <c r="H2973" s="2" t="str">
        <f>IFERROR(__xludf.DUMMYFUNCTION("IF(G2973&lt;&gt;"""", GOOGLETRANSLATE(G2973, ""en"", ""te""),"""")"),"[ '3 వ భాగం (బ్యాటింగ్ స్థానంలో ద్వారా) ఒక ఇన్నింగ్స్ లో నడుస్తుంది (25)', '34 వ కెరీర్ బాతులు (5)', '20 వ కెరీర్ లో అత్యధిక వికెట్లు (64)', '15 వ ఉత్తమ కెరీర్ ఆర్థిక రేటు (5.29)' '13 వ కెరీర్ లో బౌల్డ్ చాలా బంతుల్లో (1497)', '17 వ అత్యధిక పరుగులు కెరీర్ల"&amp;"ో (1321) సాధించిన', '34 వ బౌలర్ / ఫీల్డర్ కలయికలు (8)', '24 వ అత్యధిక వికెట్లు తీసుకున్న బౌల్డ్ (15)', '30 వ అత్యంత వికెట్లకు ఆకర్షించింది (31) ',' 22 వ అత్యధిక వికెట్లు ఒక ఫీల్డర్ చేత క్యాచ్ తీసుకున్న (31) ',' 18 వ అత్యధిక వికెట్లు తీసుకున్న ఎల్బిడబ్ల్యు"&amp;" (8) ',' 12 వ అత్యధిక వికెట్లు తీసుకున్న స్టంప్ (10) ',' 20 వ అత్యధిక భాగస్వామ్యం తీసుకున్న రెండో వికెట్కు (104) ']")</f>
        <v>[ '3 వ భాగం (బ్యాటింగ్ స్థానంలో ద్వారా) ఒక ఇన్నింగ్స్ లో నడుస్తుంది (25)', '34 వ కెరీర్ బాతులు (5)', '20 వ కెరీర్ లో అత్యధిక వికెట్లు (64)', '15 వ ఉత్తమ కెరీర్ ఆర్థిక రేటు (5.29)' '13 వ కెరీర్ లో బౌల్డ్ చాలా బంతుల్లో (1497)', '17 వ అత్యధిక పరుగులు కెరీర్లో (1321) సాధించిన', '34 వ బౌలర్ / ఫీల్డర్ కలయికలు (8)', '24 వ అత్యధిక వికెట్లు తీసుకున్న బౌల్డ్ (15)', '30 వ అత్యంత వికెట్లకు ఆకర్షించింది (31) ',' 22 వ అత్యధిక వికెట్లు ఒక ఫీల్డర్ చేత క్యాచ్ తీసుకున్న (31) ',' 18 వ అత్యధిక వికెట్లు తీసుకున్న ఎల్బిడబ్ల్యు (8) ',' 12 వ అత్యధిక వికెట్లు తీసుకున్న స్టంప్ (10) ',' 20 వ అత్యధిక భాగస్వామ్యం తీసుకున్న రెండో వికెట్కు (104) ']</v>
      </c>
      <c r="I2973" s="3"/>
    </row>
    <row r="2974" customHeight="1" spans="1:9">
      <c r="A2974" s="2" t="s">
        <v>2112</v>
      </c>
      <c r="B2974" s="2" t="str">
        <f>IFERROR(__xludf.DUMMYFUNCTION("IF(A2974&lt;&gt;"""", GOOGLETRANSLATE(A2974, ""en"", ""te""),"""")"),"'తొలి తీసుకోవాలని 3 వ అత్యంత వృద్ధ ఆటగాడు ఐదు వికెట్ల లో-ఒక-ఇన్నింగ్స్ (36y 65d)' [ 'ఒకే నేలపై 3 వ అత్యధిక వికెట్లు (15)', '3 వ అత్యంత బంతుల్లో కెరీర్ (3826) లో బౌల్డ్', ' ఒక మ్యాచ్లో 4 వ అత్యంత సాధించిన పరుగులు (165) ',' 2 వ అత్యధిక వికెట్లు తీసిన హిట్ "&amp;"వికెట్ (1) ',' 5 వ చెత్త కెరీర్లో సమ్మె రేటు (73.2) ']")</f>
        <v>'తొలి తీసుకోవాలని 3 వ అత్యంత వృద్ధ ఆటగాడు ఐదు వికెట్ల లో-ఒక-ఇన్నింగ్స్ (36y 65d)' [ 'ఒకే నేలపై 3 వ అత్యధిక వికెట్లు (15)', '3 వ అత్యంత బంతుల్లో కెరీర్ (3826) లో బౌల్డ్', ' ఒక మ్యాచ్లో 4 వ అత్యంత సాధించిన పరుగులు (165) ',' 2 వ అత్యధిక వికెట్లు తీసిన హిట్ వికెట్ (1) ',' 5 వ చెత్త కెరీర్లో సమ్మె రేటు (73.2) ']</v>
      </c>
      <c r="C2974" s="2" t="s">
        <v>2113</v>
      </c>
      <c r="D2974" s="2" t="str">
        <f>IFERROR(__xludf.DUMMYFUNCTION("IF(C2974&lt;&gt;"""", GOOGLETRANSLATE(C2974, ""en"", ""te""),"""")"),"[ '14 వ కెరీర్ లో అత్యధిక వికెట్లు (40)', '6 వ అత్యుత్తమ బౌలింగ్ ఇన్నింగ్స్ విశ్లేషణలలో' వరుస (16) 18 వ అత్యధిక వికెట్లు '' 7th ఉత్తమ ఇన్నింగ్స్ లో సంఖ్యలు (7/34) ', (7/34 ) ',' ఒకే నేలపై 3 వ అత్యధిక వికెట్లు (15) ',' 4 వ ఒక ఇన్నింగ్స్ లోని బెస్ట్ ఫిగర్స"&amp;"్ ఉన్నప్పుడు పరాజయం వైపు (6) ',' 9 వ పరాజయం వైపు (6) 'పై ఒక మ్యాచ్ను లో బెస్ట్ ఫిగర్స్, '22 వ ఉత్తమ కెరీర్ ఆర్థిక రేటు (1.59)', '28th చెత్త కెరీర్లో సమ్మె రేటు (95.6)', 'ఇన్నింగ్స్ లో 27 చెత్త సమ్మె రేటు (210.0)', '11 వ అత్యంత ఐదు-వికెట్ల లో-ఒక-ఇన్నింగ"&amp;"్స్ కెరీర్లో (2) ',' ఐదు వికెట్ల లో-ఒక-ఇన్నింగ్స్ (37y 85d) కన్య తీసుకోవాలని తీసుకోవాలని 5 వ ఓల్డెస్ట్ ఆటగాడు ',' 3 వ అత్యంత వృద్ధ ఆటగాడు ఐదు వికెట్ల లో-ఒక-ఇన్నింగ్స్ (36y 65d) ',' కెరీర్లో బౌల్డ్ 3 వ అత్యంత బంతుల్లో (3826) ',' 6 వ అత్యంత బంతుల్లో ఒక మ్యా"&amp;"చ్లో బౌల్డ్ (525) ',' 8 వ అత్యధిక కెరీర్ లో సాధించిన పరుగులు (1019) ',' 19 వ అత్యధిక పరుగులు ఇన్నింగ్స్ లో సాధించిన (100) ',' ఒక మ్యాచ్ (165) ',' 10 వ అత్యధిక వికెట్లు తీసుకున్న ఆకర్షించింది (25) ',' 7 వ అత్యధిక వికెట్లు ఒక ఫీల్డర్ చేత క్యాచ్ తీసుకున్న (2"&amp;"1) ',' 2 వ అత్యంత తీసుకోబడిన వికెట్ల హిట్ WIC లో 4 వ అత్యంత పోగొట్టబడిన పరుగులను Ket (1) ',' 12 వ ఒక సిరీస్లో అత్యధిక క్యాచ్లు (6) ',' ఒక జట్టుకు 13 వ వరుస మ్యాచ్లు (14) ',' తొలి 31 ఓల్డెస్ట్ క్రీడాకారులు (34y 59d) ']")</f>
        <v>[ '14 వ కెరీర్ లో అత్యధిక వికెట్లు (40)', '6 వ అత్యుత్తమ బౌలింగ్ ఇన్నింగ్స్ విశ్లేషణలలో' వరుస (16) 18 వ అత్యధిక వికెట్లు '' 7th ఉత్తమ ఇన్నింగ్స్ లో సంఖ్యలు (7/34) ', (7/34 ) ',' ఒకే నేలపై 3 వ అత్యధిక వికెట్లు (15) ',' 4 వ ఒక ఇన్నింగ్స్ లోని బెస్ట్ ఫిగర్స్ ఉన్నప్పుడు పరాజయం వైపు (6) ',' 9 వ పరాజయం వైపు (6) 'పై ఒక మ్యాచ్ను లో బెస్ట్ ఫిగర్స్, '22 వ ఉత్తమ కెరీర్ ఆర్థిక రేటు (1.59)', '28th చెత్త కెరీర్లో సమ్మె రేటు (95.6)', 'ఇన్నింగ్స్ లో 27 చెత్త సమ్మె రేటు (210.0)', '11 వ అత్యంత ఐదు-వికెట్ల లో-ఒక-ఇన్నింగ్స్ కెరీర్లో (2) ',' ఐదు వికెట్ల లో-ఒక-ఇన్నింగ్స్ (37y 85d) కన్య తీసుకోవాలని తీసుకోవాలని 5 వ ఓల్డెస్ట్ ఆటగాడు ',' 3 వ అత్యంత వృద్ధ ఆటగాడు ఐదు వికెట్ల లో-ఒక-ఇన్నింగ్స్ (36y 65d) ',' కెరీర్లో బౌల్డ్ 3 వ అత్యంత బంతుల్లో (3826) ',' 6 వ అత్యంత బంతుల్లో ఒక మ్యాచ్లో బౌల్డ్ (525) ',' 8 వ అత్యధిక కెరీర్ లో సాధించిన పరుగులు (1019) ',' 19 వ అత్యధిక పరుగులు ఇన్నింగ్స్ లో సాధించిన (100) ',' ఒక మ్యాచ్ (165) ',' 10 వ అత్యధిక వికెట్లు తీసుకున్న ఆకర్షించింది (25) ',' 7 వ అత్యధిక వికెట్లు ఒక ఫీల్డర్ చేత క్యాచ్ తీసుకున్న (21) ',' 2 వ అత్యంత తీసుకోబడిన వికెట్ల హిట్ WIC లో 4 వ అత్యంత పోగొట్టబడిన పరుగులను Ket (1) ',' 12 వ ఒక సిరీస్లో అత్యధిక క్యాచ్లు (6) ',' ఒక జట్టుకు 13 వ వరుస మ్యాచ్లు (14) ',' తొలి 31 ఓల్డెస్ట్ క్రీడాకారులు (34y 59d) ']</v>
      </c>
      <c r="E2974" s="2" t="s">
        <v>2114</v>
      </c>
      <c r="F2974" s="2" t="str">
        <f>IFERROR(__xludf.DUMMYFUNCTION("IF(E2974&lt;&gt;"""", GOOGLETRANSLATE(E2974, ""en"", ""te""),"""")"),"[ '14 వ చెత్త కెరీర్ బౌలింగ్ సరాసరి (39.33)', '5 వ చెత్త కెరీర్లో సమ్మె రేటు (73.2)']")</f>
        <v>[ '14 వ చెత్త కెరీర్ బౌలింగ్ సరాసరి (39.33)', '5 వ చెత్త కెరీర్లో సమ్మె రేటు (73.2)']</v>
      </c>
      <c r="G2974" s="2"/>
      <c r="H2974" s="2" t="str">
        <f>IFERROR(__xludf.DUMMYFUNCTION("IF(G2974&lt;&gt;"""", GOOGLETRANSLATE(G2974, ""en"", ""te""),"""")"),"")</f>
        <v/>
      </c>
      <c r="I2974" s="3"/>
    </row>
    <row r="2975" customHeight="1" spans="1:9">
      <c r="A2975" s="2"/>
      <c r="B2975" s="2" t="str">
        <f>IFERROR(__xludf.DUMMYFUNCTION("IF(A2975&lt;&gt;"""", GOOGLETRANSLATE(A2975, ""en"", ""te""),"""")"),"")</f>
        <v/>
      </c>
      <c r="C2975" s="2"/>
      <c r="D2975" s="2" t="str">
        <f>IFERROR(__xludf.DUMMYFUNCTION("IF(C2975&lt;&gt;"""", GOOGLETRANSLATE(C2975, ""en"", ""te""),"""")"),"")</f>
        <v/>
      </c>
      <c r="E2975" s="2"/>
      <c r="F2975" s="2" t="str">
        <f>IFERROR(__xludf.DUMMYFUNCTION("IF(E2975&lt;&gt;"""", GOOGLETRANSLATE(E2975, ""en"", ""te""),"""")"),"")</f>
        <v/>
      </c>
      <c r="G2975" s="2"/>
      <c r="H2975" s="2" t="str">
        <f>IFERROR(__xludf.DUMMYFUNCTION("IF(G2975&lt;&gt;"""", GOOGLETRANSLATE(G2975, ""en"", ""te""),"""")"),"")</f>
        <v/>
      </c>
      <c r="I2975" s="3"/>
    </row>
    <row r="2976" customHeight="1" spans="1:9">
      <c r="A2976" s="2" t="s">
        <v>2115</v>
      </c>
      <c r="B2976" s="2" t="str">
        <f>IFERROR(__xludf.DUMMYFUNCTION("IF(A2976&lt;&gt;"""", GOOGLETRANSLATE(A2976, ""en"", ""te""),"""")"),"[ 'కెరీర్లో 7 వ అత్యంత జతల (3)', '6 వ అత్యుత్తమ బౌలింగ్ ఇన్నింగ్స్ లో విశ్లేషించడం (9/57)']")</f>
        <v>[ 'కెరీర్లో 7 వ అత్యంత జతల (3)', '6 వ అత్యుత్తమ బౌలింగ్ ఇన్నింగ్స్ లో విశ్లేషించడం (9/57)']</v>
      </c>
      <c r="C2976" s="2" t="s">
        <v>2116</v>
      </c>
      <c r="D2976" s="2" t="str">
        <f>IFERROR(__xludf.DUMMYFUNCTION("IF(C2976&lt;&gt;"""", GOOGLETRANSLATE(C2976, ""en"", ""te""),"""")"),"[ 'కెరీర్లో 7 వ అత్యంత జతల (3)', 'ఇన్నింగ్స్ లో 8 వ బెస్ట్ ఫిగర్స్ (9/57)', '6 వ అత్యుత్తమ బౌలింగ్ ఇన్నింగ్స్ లో విశ్లేషించడం (9/57)', ఒక ఇన్నింగ్స్ లో '35 వ చెత్త ఆర్థిక రేటు ( 6.50) ']")</f>
        <v>[ 'కెరీర్లో 7 వ అత్యంత జతల (3)', 'ఇన్నింగ్స్ లో 8 వ బెస్ట్ ఫిగర్స్ (9/57)', '6 వ అత్యుత్తమ బౌలింగ్ ఇన్నింగ్స్ లో విశ్లేషించడం (9/57)', ఒక ఇన్నింగ్స్ లో '35 వ చెత్త ఆర్థిక రేటు ( 6.50) ']</v>
      </c>
      <c r="E2976" s="2"/>
      <c r="F2976" s="2" t="str">
        <f>IFERROR(__xludf.DUMMYFUNCTION("IF(E2976&lt;&gt;"""", GOOGLETRANSLATE(E2976, ""en"", ""te""),"""")"),"")</f>
        <v/>
      </c>
      <c r="G2976" s="2"/>
      <c r="H2976" s="2" t="str">
        <f>IFERROR(__xludf.DUMMYFUNCTION("IF(G2976&lt;&gt;"""", GOOGLETRANSLATE(G2976, ""en"", ""te""),"""")"),"")</f>
        <v/>
      </c>
      <c r="I2976" s="3"/>
    </row>
    <row r="2977" customHeight="1" spans="1:9">
      <c r="A2977" s="2"/>
      <c r="B2977" s="2" t="str">
        <f>IFERROR(__xludf.DUMMYFUNCTION("IF(A2977&lt;&gt;"""", GOOGLETRANSLATE(A2977, ""en"", ""te""),"""")"),"")</f>
        <v/>
      </c>
      <c r="C2977" s="2"/>
      <c r="D2977" s="2" t="str">
        <f>IFERROR(__xludf.DUMMYFUNCTION("IF(C2977&lt;&gt;"""", GOOGLETRANSLATE(C2977, ""en"", ""te""),"""")"),"")</f>
        <v/>
      </c>
      <c r="E2977" s="2"/>
      <c r="F2977" s="2" t="str">
        <f>IFERROR(__xludf.DUMMYFUNCTION("IF(E2977&lt;&gt;"""", GOOGLETRANSLATE(E2977, ""en"", ""te""),"""")"),"")</f>
        <v/>
      </c>
      <c r="G2977" s="2"/>
      <c r="H2977" s="2" t="str">
        <f>IFERROR(__xludf.DUMMYFUNCTION("IF(G2977&lt;&gt;"""", GOOGLETRANSLATE(G2977, ""en"", ""te""),"""")"),"")</f>
        <v/>
      </c>
      <c r="I2977" s="3"/>
    </row>
    <row r="2978" customHeight="1" spans="1:9">
      <c r="A2978" s="2" t="s">
        <v>2117</v>
      </c>
      <c r="B2978" s="2" t="str">
        <f>IFERROR(__xludf.DUMMYFUNCTION("IF(A2978&lt;&gt;"""", GOOGLETRANSLATE(A2978, ""en"", ""te""),"""")"),"[ 'ఇన్నింగ్స్ లో 6 వ అత్యధిక పరుగులు (బ్యాటింగ్ స్థానంలో ప్రకారం) (285 *)', 'హండ్రెడ్ తొలి (138)', 'హండ్రెడ్ మరియు ఒక మ్యాచ్లో ఒక డక్', 'నాలుగవ వికెట్కు (411) 3 వ అత్యధిక భాగస్వామ్యం' 'వరుస మ్యాచ్లలో 5 వ యాభైల్లో (8)']")</f>
        <v>[ 'ఇన్నింగ్స్ లో 6 వ అత్యధిక పరుగులు (బ్యాటింగ్ స్థానంలో ప్రకారం) (285 *)', 'హండ్రెడ్ తొలి (138)', 'హండ్రెడ్ మరియు ఒక మ్యాచ్లో ఒక డక్', 'నాలుగవ వికెట్కు (411) 3 వ అత్యధిక భాగస్వామ్యం' 'వరుస మ్యాచ్లలో 5 వ యాభైల్లో (8)']</v>
      </c>
      <c r="C2978" s="2" t="s">
        <v>2118</v>
      </c>
      <c r="D2978" s="2" t="str">
        <f>IFERROR(__xludf.DUMMYFUNCTION("IF(C2978&lt;&gt;"""", GOOGLETRANSLATE(C2978, ""en"", ""te""),"""")"),"[ '41 వ ఇన్నింగ్స్ (285 *) లో అత్యధిక పరుగులు' 'ఒక మ్యాచ్లో 35 వ అత్యధిక పరుగులు (315)', '6 వ ఇన్నింగ్స్ లో అత్యధిక పరుగులు (బ్యాటింగ్ స్థానంలో ప్రకారం) (285 *)', '22 వ చాల వరకు ఒక లో పరుగులు ఒక కెప్టెన్తో సిరీస్ (582) ',' ఒక కెప్టెన్తో ఇన్నింగ్స్ లో 10 వ"&amp;" అత్యధిక పరుగులు (285 *) ',' వరుస ఇన్నింగ్స్లో 32 వ యాభైల్లో (5) ',' వరుస మ్యాచ్లలో 15 వ యాభైల్లో (8) ',' 45 వ వేగంగా 3000 పరుగులు (69) ',' ఫాస్టెస్ట్ 4000 పరుగులు (89) ',' 13 వ అత్యధిక వాటా ఏ వికెట్కు 27 వ (411) ',' నాలుగవ వికెట్కు 3 వ అత్యధిక భాగస్వామ"&amp;"్యం (411) ',' 27 వ కెప్టెన్గా మ్యాచ్లు (41) ',' ఒక జట్టు కెప్టెన్గా 13 వ వరుస మ్యాచ్లు (35) ',' 11 వ వరుస అన్ని టాస్ గెలిచిన (3) ',' 35 వ పిన్న కాప్టెన్ (25y 160d) ']")</f>
        <v>[ '41 వ ఇన్నింగ్స్ (285 *) లో అత్యధిక పరుగులు' 'ఒక మ్యాచ్లో 35 వ అత్యధిక పరుగులు (315)', '6 వ ఇన్నింగ్స్ లో అత్యధిక పరుగులు (బ్యాటింగ్ స్థానంలో ప్రకారం) (285 *)', '22 వ చాల వరకు ఒక లో పరుగులు ఒక కెప్టెన్తో సిరీస్ (582) ',' ఒక కెప్టెన్తో ఇన్నింగ్స్ లో 10 వ అత్యధిక పరుగులు (285 *) ',' వరుస ఇన్నింగ్స్లో 32 వ యాభైల్లో (5) ',' వరుస మ్యాచ్లలో 15 వ యాభైల్లో (8) ',' 45 వ వేగంగా 3000 పరుగులు (69) ',' ఫాస్టెస్ట్ 4000 పరుగులు (89) ',' 13 వ అత్యధిక వాటా ఏ వికెట్కు 27 వ (411) ',' నాలుగవ వికెట్కు 3 వ అత్యధిక భాగస్వామ్యం (411) ',' 27 వ కెప్టెన్గా మ్యాచ్లు (41) ',' ఒక జట్టు కెప్టెన్గా 13 వ వరుస మ్యాచ్లు (35) ',' 11 వ వరుస అన్ని టాస్ గెలిచిన (3) ',' 35 వ పిన్న కాప్టెన్ (25y 160d) ']</v>
      </c>
      <c r="E2978" s="2"/>
      <c r="F2978" s="2" t="str">
        <f>IFERROR(__xludf.DUMMYFUNCTION("IF(E2978&lt;&gt;"""", GOOGLETRANSLATE(E2978, ""en"", ""te""),"""")"),"")</f>
        <v/>
      </c>
      <c r="G2978" s="2"/>
      <c r="H2978" s="2" t="str">
        <f>IFERROR(__xludf.DUMMYFUNCTION("IF(G2978&lt;&gt;"""", GOOGLETRANSLATE(G2978, ""en"", ""te""),"""")"),"")</f>
        <v/>
      </c>
      <c r="I2978" s="3"/>
    </row>
    <row r="2979" customHeight="1" spans="1:9">
      <c r="A2979" s="2" t="s">
        <v>942</v>
      </c>
      <c r="B2979" s="2" t="str">
        <f>IFERROR(__xludf.DUMMYFUNCTION("IF(A2979&lt;&gt;"""", GOOGLETRANSLATE(A2979, ""en"", ""te""),"""")"),"[ 'వరుస 2nd అత్యంత బాతులు (5)']")</f>
        <v>[ 'వరుస 2nd అత్యంత బాతులు (5)']</v>
      </c>
      <c r="C2979" s="2" t="s">
        <v>2119</v>
      </c>
      <c r="D2979" s="2" t="str">
        <f>IFERROR(__xludf.DUMMYFUNCTION("IF(C2979&lt;&gt;"""", GOOGLETRANSLATE(C2979, ""en"", ""te""),"""")"),"[ 'వరుస 2nd అత్యంత బాతులు (5)', '4 వ అత్యధిక వరుస బాతులు (4)']")</f>
        <v>[ 'వరుస 2nd అత్యంత బాతులు (5)', '4 వ అత్యధిక వరుస బాతులు (4)']</v>
      </c>
      <c r="E2979" s="2" t="s">
        <v>2120</v>
      </c>
      <c r="F2979" s="2" t="str">
        <f>IFERROR(__xludf.DUMMYFUNCTION("IF(E2979&lt;&gt;"""", GOOGLETRANSLATE(E2979, ""en"", ""te""),"""")"),"[ '6 వ అత్యధిక వరుస బాతులు (3)', '35 వ ఉత్తమ కెరీర్ ఆర్థిక రేటు (3.84)']")</f>
        <v>[ '6 వ అత్యధిక వరుస బాతులు (3)', '35 వ ఉత్తమ కెరీర్ ఆర్థిక రేటు (3.84)']</v>
      </c>
      <c r="G2979" s="2"/>
      <c r="H2979" s="2" t="str">
        <f>IFERROR(__xludf.DUMMYFUNCTION("IF(G2979&lt;&gt;"""", GOOGLETRANSLATE(G2979, ""en"", ""te""),"""")"),"")</f>
        <v/>
      </c>
      <c r="I2979" s="3"/>
    </row>
    <row r="2980" customHeight="1" spans="1:9">
      <c r="A2980" s="2"/>
      <c r="B2980" s="2" t="str">
        <f>IFERROR(__xludf.DUMMYFUNCTION("IF(A2980&lt;&gt;"""", GOOGLETRANSLATE(A2980, ""en"", ""te""),"""")"),"")</f>
        <v/>
      </c>
      <c r="C2980" s="2"/>
      <c r="D2980" s="2" t="str">
        <f>IFERROR(__xludf.DUMMYFUNCTION("IF(C2980&lt;&gt;"""", GOOGLETRANSLATE(C2980, ""en"", ""te""),"""")"),"")</f>
        <v/>
      </c>
      <c r="E2980" s="2"/>
      <c r="F2980" s="2" t="str">
        <f>IFERROR(__xludf.DUMMYFUNCTION("IF(E2980&lt;&gt;"""", GOOGLETRANSLATE(E2980, ""en"", ""te""),"""")"),"")</f>
        <v/>
      </c>
      <c r="G2980" s="2"/>
      <c r="H2980" s="2" t="str">
        <f>IFERROR(__xludf.DUMMYFUNCTION("IF(G2980&lt;&gt;"""", GOOGLETRANSLATE(G2980, ""en"", ""te""),"""")"),"")</f>
        <v/>
      </c>
      <c r="I2980" s="3"/>
    </row>
    <row r="2981" customHeight="1" spans="1:9">
      <c r="A2981" s="2"/>
      <c r="B2981" s="2" t="str">
        <f>IFERROR(__xludf.DUMMYFUNCTION("IF(A2981&lt;&gt;"""", GOOGLETRANSLATE(A2981, ""en"", ""te""),"""")"),"")</f>
        <v/>
      </c>
      <c r="C2981" s="2"/>
      <c r="D2981" s="2" t="str">
        <f>IFERROR(__xludf.DUMMYFUNCTION("IF(C2981&lt;&gt;"""", GOOGLETRANSLATE(C2981, ""en"", ""te""),"""")"),"")</f>
        <v/>
      </c>
      <c r="E2981" s="2"/>
      <c r="F2981" s="2" t="str">
        <f>IFERROR(__xludf.DUMMYFUNCTION("IF(E2981&lt;&gt;"""", GOOGLETRANSLATE(E2981, ""en"", ""te""),"""")"),"")</f>
        <v/>
      </c>
      <c r="G2981" s="2"/>
      <c r="H2981" s="2" t="str">
        <f>IFERROR(__xludf.DUMMYFUNCTION("IF(G2981&lt;&gt;"""", GOOGLETRANSLATE(G2981, ""en"", ""te""),"""")"),"")</f>
        <v/>
      </c>
      <c r="I2981" s="3"/>
    </row>
    <row r="2982" customHeight="1" spans="1:9">
      <c r="A2982" s="2"/>
      <c r="B2982" s="2" t="str">
        <f>IFERROR(__xludf.DUMMYFUNCTION("IF(A2982&lt;&gt;"""", GOOGLETRANSLATE(A2982, ""en"", ""te""),"""")"),"")</f>
        <v/>
      </c>
      <c r="C2982" s="2"/>
      <c r="D2982" s="2" t="str">
        <f>IFERROR(__xludf.DUMMYFUNCTION("IF(C2982&lt;&gt;"""", GOOGLETRANSLATE(C2982, ""en"", ""te""),"""")"),"")</f>
        <v/>
      </c>
      <c r="E2982" s="2" t="s">
        <v>2121</v>
      </c>
      <c r="F2982" s="2" t="str">
        <f>IFERROR(__xludf.DUMMYFUNCTION("IF(E2982&lt;&gt;"""", GOOGLETRANSLATE(E2982, ""en"", ""te""),"""")"),"['21 వ చెత్త కెరీర్లో ఆర్థిక రేటు (5.85) ',' ఇన్నింగ్స్ లో 22 చెత్త ఆర్థిక రేటు (11.42) ']")</f>
        <v>['21 వ చెత్త కెరీర్లో ఆర్థిక రేటు (5.85) ',' ఇన్నింగ్స్ లో 22 చెత్త ఆర్థిక రేటు (11.42) ']</v>
      </c>
      <c r="G2982" s="2" t="s">
        <v>2122</v>
      </c>
      <c r="H2982" s="2" t="str">
        <f>IFERROR(__xludf.DUMMYFUNCTION("IF(G2982&lt;&gt;"""", GOOGLETRANSLATE(G2982, ""en"", ""te""),"""")"),"[18 వ అత్యధిక పరుగులు ఇన్నింగ్స్ (61) లో సాధించిన]")</f>
        <v>[18 వ అత్యధిక పరుగులు ఇన్నింగ్స్ (61) లో సాధించిన]</v>
      </c>
      <c r="I2982" s="3"/>
    </row>
    <row r="2983" customHeight="1" spans="1:9">
      <c r="A2983" s="2"/>
      <c r="B2983" s="2" t="str">
        <f>IFERROR(__xludf.DUMMYFUNCTION("IF(A2983&lt;&gt;"""", GOOGLETRANSLATE(A2983, ""en"", ""te""),"""")"),"")</f>
        <v/>
      </c>
      <c r="C2983" s="2"/>
      <c r="D2983" s="2" t="str">
        <f>IFERROR(__xludf.DUMMYFUNCTION("IF(C2983&lt;&gt;"""", GOOGLETRANSLATE(C2983, ""en"", ""te""),"""")"),"")</f>
        <v/>
      </c>
      <c r="E2983" s="2"/>
      <c r="F2983" s="2" t="str">
        <f>IFERROR(__xludf.DUMMYFUNCTION("IF(E2983&lt;&gt;"""", GOOGLETRANSLATE(E2983, ""en"", ""te""),"""")"),"")</f>
        <v/>
      </c>
      <c r="G2983" s="2"/>
      <c r="H2983" s="2" t="str">
        <f>IFERROR(__xludf.DUMMYFUNCTION("IF(G2983&lt;&gt;"""", GOOGLETRANSLATE(G2983, ""en"", ""te""),"""")"),"")</f>
        <v/>
      </c>
      <c r="I2983" s="3"/>
    </row>
    <row r="2984" customHeight="1" spans="1:9">
      <c r="A2984" s="2"/>
      <c r="B2984" s="2" t="str">
        <f>IFERROR(__xludf.DUMMYFUNCTION("IF(A2984&lt;&gt;"""", GOOGLETRANSLATE(A2984, ""en"", ""te""),"""")"),"")</f>
        <v/>
      </c>
      <c r="C2984" s="2"/>
      <c r="D2984" s="2" t="str">
        <f>IFERROR(__xludf.DUMMYFUNCTION("IF(C2984&lt;&gt;"""", GOOGLETRANSLATE(C2984, ""en"", ""te""),"""")"),"")</f>
        <v/>
      </c>
      <c r="E2984" s="2"/>
      <c r="F2984" s="2" t="str">
        <f>IFERROR(__xludf.DUMMYFUNCTION("IF(E2984&lt;&gt;"""", GOOGLETRANSLATE(E2984, ""en"", ""te""),"""")"),"")</f>
        <v/>
      </c>
      <c r="G2984" s="2"/>
      <c r="H2984" s="2" t="str">
        <f>IFERROR(__xludf.DUMMYFUNCTION("IF(G2984&lt;&gt;"""", GOOGLETRANSLATE(G2984, ""en"", ""te""),"""")"),"")</f>
        <v/>
      </c>
      <c r="I2984" s="3"/>
    </row>
    <row r="2985" customHeight="1" spans="1:9">
      <c r="A2985" s="2" t="s">
        <v>2123</v>
      </c>
      <c r="B2985" s="2" t="str">
        <f>IFERROR(__xludf.DUMMYFUNCTION("IF(A2985&lt;&gt;"""", GOOGLETRANSLATE(A2985, ""en"", ""te""),"""")"),"[ 'తొలి మ్యాచ్లో 6 వ ఉత్తమ బొమ్మలు (7)']")</f>
        <v>[ 'తొలి మ్యాచ్లో 6 వ ఉత్తమ బొమ్మలు (7)']</v>
      </c>
      <c r="C2985" s="2" t="s">
        <v>1321</v>
      </c>
      <c r="D2985" s="2" t="str">
        <f>IFERROR(__xludf.DUMMYFUNCTION("IF(C2985&lt;&gt;"""", GOOGLETRANSLATE(C2985, ""en"", ""te""),"""")"),"[ '14 వ ఉత్తమ తొలి ఇన్నింగ్స్లో గణాంకాలు (4)', 'ప్రవేశం (7) ఒక మ్యాచ్లో 6 వ ఉత్తమ బొమ్మల]")</f>
        <v>[ '14 వ ఉత్తమ తొలి ఇన్నింగ్స్లో గణాంకాలు (4)', 'ప్రవేశం (7) ఒక మ్యాచ్లో 6 వ ఉత్తమ బొమ్మల]</v>
      </c>
      <c r="E2985" s="2"/>
      <c r="F2985" s="2" t="str">
        <f>IFERROR(__xludf.DUMMYFUNCTION("IF(E2985&lt;&gt;"""", GOOGLETRANSLATE(E2985, ""en"", ""te""),"""")"),"")</f>
        <v/>
      </c>
      <c r="G2985" s="2"/>
      <c r="H2985" s="2" t="str">
        <f>IFERROR(__xludf.DUMMYFUNCTION("IF(G2985&lt;&gt;"""", GOOGLETRANSLATE(G2985, ""en"", ""te""),"""")"),"")</f>
        <v/>
      </c>
      <c r="I2985" s="3"/>
    </row>
    <row r="2986" customHeight="1" spans="1:9">
      <c r="A2986" s="2"/>
      <c r="B2986" s="2" t="str">
        <f>IFERROR(__xludf.DUMMYFUNCTION("IF(A2986&lt;&gt;"""", GOOGLETRANSLATE(A2986, ""en"", ""te""),"""")"),"")</f>
        <v/>
      </c>
      <c r="C2986" s="2"/>
      <c r="D2986" s="2" t="str">
        <f>IFERROR(__xludf.DUMMYFUNCTION("IF(C2986&lt;&gt;"""", GOOGLETRANSLATE(C2986, ""en"", ""te""),"""")"),"")</f>
        <v/>
      </c>
      <c r="E2986" s="2"/>
      <c r="F2986" s="2" t="str">
        <f>IFERROR(__xludf.DUMMYFUNCTION("IF(E2986&lt;&gt;"""", GOOGLETRANSLATE(E2986, ""en"", ""te""),"""")"),"")</f>
        <v/>
      </c>
      <c r="G2986" s="2"/>
      <c r="H2986" s="2" t="str">
        <f>IFERROR(__xludf.DUMMYFUNCTION("IF(G2986&lt;&gt;"""", GOOGLETRANSLATE(G2986, ""en"", ""te""),"""")"),"")</f>
        <v/>
      </c>
      <c r="I2986" s="3"/>
    </row>
    <row r="2987" customHeight="1" spans="1:9">
      <c r="A2987" s="2" t="s">
        <v>2124</v>
      </c>
      <c r="B2987" s="2" t="str">
        <f>IFERROR(__xludf.DUMMYFUNCTION("IF(A2987&lt;&gt;"""", GOOGLETRANSLATE(A2987, ""en"", ""te""),"""")"),"[ '8 వ కెరీర్ (34) వెనుదిరిగాడు']")</f>
        <v>[ '8 వ కెరీర్ (34) వెనుదిరిగాడు']</v>
      </c>
      <c r="C2987" s="2"/>
      <c r="D2987" s="2" t="str">
        <f>IFERROR(__xludf.DUMMYFUNCTION("IF(C2987&lt;&gt;"""", GOOGLETRANSLATE(C2987, ""en"", ""te""),"""")"),"")</f>
        <v/>
      </c>
      <c r="E2987" s="2" t="s">
        <v>2125</v>
      </c>
      <c r="F2987" s="2" t="str">
        <f>IFERROR(__xludf.DUMMYFUNCTION("IF(E2987&lt;&gt;"""", GOOGLETRANSLATE(E2987, ""en"", ""te""),"""")"),"[ 'కెరీర్లో 16 వ లేవు బాతులు (24)', '25 వ ఉత్తమ కెరీర్ ఆర్థిక రేటు (3.70)', '43 వ అత్యంత ఐదు-వికెట్ల లో-ఒక-ఇన్నింగ్స్ కెరీర్లో (2)']")</f>
        <v>[ 'కెరీర్లో 16 వ లేవు బాతులు (24)', '25 వ ఉత్తమ కెరీర్ ఆర్థిక రేటు (3.70)', '43 వ అత్యంత ఐదు-వికెట్ల లో-ఒక-ఇన్నింగ్స్ కెరీర్లో (2)']</v>
      </c>
      <c r="G2987" s="2"/>
      <c r="H2987" s="2" t="str">
        <f>IFERROR(__xludf.DUMMYFUNCTION("IF(G2987&lt;&gt;"""", GOOGLETRANSLATE(G2987, ""en"", ""te""),"""")"),"")</f>
        <v/>
      </c>
      <c r="I2987" s="3"/>
    </row>
    <row r="2988" customHeight="1" spans="1:9">
      <c r="A2988" s="2" t="s">
        <v>2126</v>
      </c>
      <c r="B2988" s="2" t="str">
        <f>IFERROR(__xludf.DUMMYFUNCTION("IF(A2988&lt;&gt;"""", GOOGLETRANSLATE(A2988, ""en"", ""te""),"""")"),"[ 'హండ్రెడ్ తొలి (104 *)']")</f>
        <v>[ 'హండ్రెడ్ తొలి (104 *)']</v>
      </c>
      <c r="C2988" s="2"/>
      <c r="D2988" s="2" t="str">
        <f>IFERROR(__xludf.DUMMYFUNCTION("IF(C2988&lt;&gt;"""", GOOGLETRANSLATE(C2988, ""en"", ""te""),"""")"),"")</f>
        <v/>
      </c>
      <c r="E2988" s="2"/>
      <c r="F2988" s="2" t="str">
        <f>IFERROR(__xludf.DUMMYFUNCTION("IF(E2988&lt;&gt;"""", GOOGLETRANSLATE(E2988, ""en"", ""te""),"""")"),"")</f>
        <v/>
      </c>
      <c r="G2988" s="2"/>
      <c r="H2988" s="2" t="str">
        <f>IFERROR(__xludf.DUMMYFUNCTION("IF(G2988&lt;&gt;"""", GOOGLETRANSLATE(G2988, ""en"", ""te""),"""")"),"")</f>
        <v/>
      </c>
      <c r="I2988" s="3"/>
    </row>
    <row r="2989" customHeight="1" spans="1:9">
      <c r="A2989" s="2" t="s">
        <v>2127</v>
      </c>
      <c r="B2989" s="2" t="str">
        <f>IFERROR(__xludf.DUMMYFUNCTION("IF(A2989&lt;&gt;"""", GOOGLETRANSLATE(A2989, ""en"", ""te""),"""")"),"[ 'తొలి మ్యాచ్లో 5 వ ఉత్తమ బొమ్మలు (11)', 'పది వికెట్ల లో ఒక మ్యాచ్ పడుతుంది 8 వ ఓల్డెస్ట్ ఆటగాడు (37y 332d)']")</f>
        <v>[ 'తొలి మ్యాచ్లో 5 వ ఉత్తమ బొమ్మలు (11)', 'పది వికెట్ల లో ఒక మ్యాచ్ పడుతుంది 8 వ ఓల్డెస్ట్ ఆటగాడు (37y 332d)']</v>
      </c>
      <c r="C2989" s="2" t="s">
        <v>2128</v>
      </c>
      <c r="D2989" s="2" t="str">
        <f>IFERROR(__xludf.DUMMYFUNCTION("IF(C2989&lt;&gt;"""", GOOGLETRANSLATE(C2989, ""en"", ""te""),"""")"),"[ '22 వ ఉత్తమ కెరీర్ సగటు (8.72) (అర్హత లేకుండా) బౌలింగ్', 'ఒక ఇన్నింగ్స్ లో తొలి 22 బెస్ట్ ఫిగర్స్ (6)', '5 వ ఉత్తమ తొలి మ్యాచ్లో గణాంకాలు (11)', '30 వ ఓల్డెస్ట్ ఆటగాడు ఐదు వికెట్లు-ఇన్-ఒక-ఇన్నింగ్స్ (37y 332d) ',' ఐదు వికెట్ల తేడాతో in- కన్య తీసుకోవాలని"&amp;" పది వికెట్లు లో ఒక మ్యాచ్ తీసుకోవాలని 8 వ అత్యంత వృద్ధ ఆటగాడు (37y 332d) ',' 13 వ అత్యంత వృద్ధ ఆటగాడు ఒక-ఇన్నింగ్స్ (37y 332d) ',' తొలి 31 ఓల్డెస్ట్ క్రీడాకారులు (37y 332d) ']")</f>
        <v>[ '22 వ ఉత్తమ కెరీర్ సగటు (8.72) (అర్హత లేకుండా) బౌలింగ్', 'ఒక ఇన్నింగ్స్ లో తొలి 22 బెస్ట్ ఫిగర్స్ (6)', '5 వ ఉత్తమ తొలి మ్యాచ్లో గణాంకాలు (11)', '30 వ ఓల్డెస్ట్ ఆటగాడు ఐదు వికెట్లు-ఇన్-ఒక-ఇన్నింగ్స్ (37y 332d) ',' ఐదు వికెట్ల తేడాతో in- కన్య తీసుకోవాలని పది వికెట్లు లో ఒక మ్యాచ్ తీసుకోవాలని 8 వ అత్యంత వృద్ధ ఆటగాడు (37y 332d) ',' 13 వ అత్యంత వృద్ధ ఆటగాడు ఒక-ఇన్నింగ్స్ (37y 332d) ',' తొలి 31 ఓల్డెస్ట్ క్రీడాకారులు (37y 332d) ']</v>
      </c>
      <c r="E2989" s="2"/>
      <c r="F2989" s="2" t="str">
        <f>IFERROR(__xludf.DUMMYFUNCTION("IF(E2989&lt;&gt;"""", GOOGLETRANSLATE(E2989, ""en"", ""te""),"""")"),"")</f>
        <v/>
      </c>
      <c r="G2989" s="2"/>
      <c r="H2989" s="2" t="str">
        <f>IFERROR(__xludf.DUMMYFUNCTION("IF(G2989&lt;&gt;"""", GOOGLETRANSLATE(G2989, ""en"", ""te""),"""")"),"")</f>
        <v/>
      </c>
      <c r="I2989" s="3"/>
    </row>
    <row r="2990" customHeight="1" spans="1:9">
      <c r="A2990" s="2"/>
      <c r="B2990" s="2" t="str">
        <f>IFERROR(__xludf.DUMMYFUNCTION("IF(A2990&lt;&gt;"""", GOOGLETRANSLATE(A2990, ""en"", ""te""),"""")"),"")</f>
        <v/>
      </c>
      <c r="C2990" s="2" t="s">
        <v>2129</v>
      </c>
      <c r="D2990" s="2" t="str">
        <f>IFERROR(__xludf.DUMMYFUNCTION("IF(C2990&lt;&gt;"""", GOOGLETRANSLATE(C2990, ""en"", ""te""),"""")"),"[ '27 లాంగెస్ట్ నివసించారు క్రీడాకారులు (93y 145d)']")</f>
        <v>[ '27 లాంగెస్ట్ నివసించారు క్రీడాకారులు (93y 145d)']</v>
      </c>
      <c r="E2990" s="2"/>
      <c r="F2990" s="2" t="str">
        <f>IFERROR(__xludf.DUMMYFUNCTION("IF(E2990&lt;&gt;"""", GOOGLETRANSLATE(E2990, ""en"", ""te""),"""")"),"")</f>
        <v/>
      </c>
      <c r="G2990" s="2"/>
      <c r="H2990" s="2" t="str">
        <f>IFERROR(__xludf.DUMMYFUNCTION("IF(G2990&lt;&gt;"""", GOOGLETRANSLATE(G2990, ""en"", ""te""),"""")"),"")</f>
        <v/>
      </c>
      <c r="I2990" s="3"/>
    </row>
    <row r="2991" customHeight="1" spans="1:9">
      <c r="A2991" s="2"/>
      <c r="B2991" s="2" t="str">
        <f>IFERROR(__xludf.DUMMYFUNCTION("IF(A2991&lt;&gt;"""", GOOGLETRANSLATE(A2991, ""en"", ""te""),"""")"),"")</f>
        <v/>
      </c>
      <c r="C2991" s="2"/>
      <c r="D2991" s="2" t="str">
        <f>IFERROR(__xludf.DUMMYFUNCTION("IF(C2991&lt;&gt;"""", GOOGLETRANSLATE(C2991, ""en"", ""te""),"""")"),"")</f>
        <v/>
      </c>
      <c r="E2991" s="2"/>
      <c r="F2991" s="2" t="str">
        <f>IFERROR(__xludf.DUMMYFUNCTION("IF(E2991&lt;&gt;"""", GOOGLETRANSLATE(E2991, ""en"", ""te""),"""")"),"")</f>
        <v/>
      </c>
      <c r="G2991" s="2"/>
      <c r="H2991" s="2" t="str">
        <f>IFERROR(__xludf.DUMMYFUNCTION("IF(G2991&lt;&gt;"""", GOOGLETRANSLATE(G2991, ""en"", ""te""),"""")"),"")</f>
        <v/>
      </c>
      <c r="I2991" s="3"/>
    </row>
    <row r="2992" customHeight="1" spans="1:9">
      <c r="A2992" s="2"/>
      <c r="B2992" s="2" t="str">
        <f>IFERROR(__xludf.DUMMYFUNCTION("IF(A2992&lt;&gt;"""", GOOGLETRANSLATE(A2992, ""en"", ""te""),"""")"),"")</f>
        <v/>
      </c>
      <c r="C2992" s="2" t="s">
        <v>2130</v>
      </c>
      <c r="D2992" s="2" t="str">
        <f>IFERROR(__xludf.DUMMYFUNCTION("IF(C2992&lt;&gt;"""", GOOGLETRANSLATE(C2992, ""en"", ""te""),"""")"),"[ '43 వ లాంగెస్ట్ క్రీడాకారులు (91y 226d) నివసించారు']")</f>
        <v>[ '43 వ లాంగెస్ట్ క్రీడాకారులు (91y 226d) నివసించారు']</v>
      </c>
      <c r="E2992" s="2"/>
      <c r="F2992" s="2" t="str">
        <f>IFERROR(__xludf.DUMMYFUNCTION("IF(E2992&lt;&gt;"""", GOOGLETRANSLATE(E2992, ""en"", ""te""),"""")"),"")</f>
        <v/>
      </c>
      <c r="G2992" s="2"/>
      <c r="H2992" s="2" t="str">
        <f>IFERROR(__xludf.DUMMYFUNCTION("IF(G2992&lt;&gt;"""", GOOGLETRANSLATE(G2992, ""en"", ""te""),"""")"),"")</f>
        <v/>
      </c>
      <c r="I2992" s="3"/>
    </row>
    <row r="2993" customHeight="1" spans="1:9">
      <c r="A2993" s="2"/>
      <c r="B2993" s="2" t="str">
        <f>IFERROR(__xludf.DUMMYFUNCTION("IF(A2993&lt;&gt;"""", GOOGLETRANSLATE(A2993, ""en"", ""te""),"""")"),"")</f>
        <v/>
      </c>
      <c r="C2993" s="2"/>
      <c r="D2993" s="2" t="str">
        <f>IFERROR(__xludf.DUMMYFUNCTION("IF(C2993&lt;&gt;"""", GOOGLETRANSLATE(C2993, ""en"", ""te""),"""")"),"")</f>
        <v/>
      </c>
      <c r="E2993" s="2"/>
      <c r="F2993" s="2" t="str">
        <f>IFERROR(__xludf.DUMMYFUNCTION("IF(E2993&lt;&gt;"""", GOOGLETRANSLATE(E2993, ""en"", ""te""),"""")"),"")</f>
        <v/>
      </c>
      <c r="G2993" s="2"/>
      <c r="H2993" s="2" t="str">
        <f>IFERROR(__xludf.DUMMYFUNCTION("IF(G2993&lt;&gt;"""", GOOGLETRANSLATE(G2993, ""en"", ""te""),"""")"),"")</f>
        <v/>
      </c>
      <c r="I2993" s="3"/>
    </row>
    <row r="2994" customHeight="1" spans="1:9">
      <c r="A2994" s="2"/>
      <c r="B2994" s="2" t="str">
        <f>IFERROR(__xludf.DUMMYFUNCTION("IF(A2994&lt;&gt;"""", GOOGLETRANSLATE(A2994, ""en"", ""te""),"""")"),"")</f>
        <v/>
      </c>
      <c r="C2994" s="2"/>
      <c r="D2994" s="2" t="str">
        <f>IFERROR(__xludf.DUMMYFUNCTION("IF(C2994&lt;&gt;"""", GOOGLETRANSLATE(C2994, ""en"", ""te""),"""")"),"")</f>
        <v/>
      </c>
      <c r="E2994" s="2"/>
      <c r="F2994" s="2" t="str">
        <f>IFERROR(__xludf.DUMMYFUNCTION("IF(E2994&lt;&gt;"""", GOOGLETRANSLATE(E2994, ""en"", ""te""),"""")"),"")</f>
        <v/>
      </c>
      <c r="G2994" s="2"/>
      <c r="H2994" s="2" t="str">
        <f>IFERROR(__xludf.DUMMYFUNCTION("IF(G2994&lt;&gt;"""", GOOGLETRANSLATE(G2994, ""en"", ""te""),"""")"),"")</f>
        <v/>
      </c>
      <c r="I2994" s="3"/>
    </row>
    <row r="2995" customHeight="1" spans="1:9">
      <c r="A2995" s="2" t="s">
        <v>2131</v>
      </c>
      <c r="B2995" s="2" t="str">
        <f>IFERROR(__xludf.DUMMYFUNCTION("IF(A2995&lt;&gt;"""", GOOGLETRANSLATE(A2995, ""en"", ""te""),"""")"),"[ 'తొలి మ్యాచ్లో 3 వ ఉత్తమ బొమ్మలు (12)']")</f>
        <v>[ 'తొలి మ్యాచ్లో 3 వ ఉత్తమ బొమ్మలు (12)']</v>
      </c>
      <c r="C2995" s="2" t="s">
        <v>2132</v>
      </c>
      <c r="D2995" s="2" t="str">
        <f>IFERROR(__xludf.DUMMYFUNCTION("IF(C2995&lt;&gt;"""", GOOGLETRANSLATE(C2995, ""en"", ""te""),"""")"),"[ '29 ఉత్తమ కెరీర్ సగటు (10.07) (అర్హత లేకుండా) బౌలింగ్', 'ఒక ఇన్నింగ్స్ లో తొలి 22 బెస్ట్ ఫిగర్స్ (6)', '3 వ ప్రవేశం (12) ఒక మ్యాచ్లో బెస్ట్ ఫిగర్స్']")</f>
        <v>[ '29 ఉత్తమ కెరీర్ సగటు (10.07) (అర్హత లేకుండా) బౌలింగ్', 'ఒక ఇన్నింగ్స్ లో తొలి 22 బెస్ట్ ఫిగర్స్ (6)', '3 వ ప్రవేశం (12) ఒక మ్యాచ్లో బెస్ట్ ఫిగర్స్']</v>
      </c>
      <c r="E2995" s="2"/>
      <c r="F2995" s="2" t="str">
        <f>IFERROR(__xludf.DUMMYFUNCTION("IF(E2995&lt;&gt;"""", GOOGLETRANSLATE(E2995, ""en"", ""te""),"""")"),"")</f>
        <v/>
      </c>
      <c r="G2995" s="2"/>
      <c r="H2995" s="2" t="str">
        <f>IFERROR(__xludf.DUMMYFUNCTION("IF(G2995&lt;&gt;"""", GOOGLETRANSLATE(G2995, ""en"", ""te""),"""")"),"")</f>
        <v/>
      </c>
      <c r="I2995" s="3"/>
    </row>
    <row r="2996" customHeight="1" spans="1:9">
      <c r="A2996" s="2"/>
      <c r="B2996" s="2" t="str">
        <f>IFERROR(__xludf.DUMMYFUNCTION("IF(A2996&lt;&gt;"""", GOOGLETRANSLATE(A2996, ""en"", ""te""),"""")"),"")</f>
        <v/>
      </c>
      <c r="C2996" s="2"/>
      <c r="D2996" s="2" t="str">
        <f>IFERROR(__xludf.DUMMYFUNCTION("IF(C2996&lt;&gt;"""", GOOGLETRANSLATE(C2996, ""en"", ""te""),"""")"),"")</f>
        <v/>
      </c>
      <c r="E2996" s="2"/>
      <c r="F2996" s="2" t="str">
        <f>IFERROR(__xludf.DUMMYFUNCTION("IF(E2996&lt;&gt;"""", GOOGLETRANSLATE(E2996, ""en"", ""te""),"""")"),"")</f>
        <v/>
      </c>
      <c r="G2996" s="2"/>
      <c r="H2996" s="2" t="str">
        <f>IFERROR(__xludf.DUMMYFUNCTION("IF(G2996&lt;&gt;"""", GOOGLETRANSLATE(G2996, ""en"", ""te""),"""")"),"")</f>
        <v/>
      </c>
      <c r="I2996" s="3"/>
    </row>
    <row r="2997" customHeight="1" spans="1:9">
      <c r="A2997" s="2" t="s">
        <v>2133</v>
      </c>
      <c r="B2997" s="2" t="str">
        <f>IFERROR(__xludf.DUMMYFUNCTION("IF(A2997&lt;&gt;"""", GOOGLETRANSLATE(A2997, ""en"", ""te""),"""")"),"[ 'కెప్టెన్సీ ప్రవేశం (39y 288d) 10 వ ఓల్డెస్ట్ కెప్టెన్లు', 'రెండు దేశాలకు ప్రాతినిధ్యం', 'రెండు దేశాలకు ప్రాతినిధ్యం']")</f>
        <v>[ 'కెప్టెన్సీ ప్రవేశం (39y 288d) 10 వ ఓల్డెస్ట్ కెప్టెన్లు', 'రెండు దేశాలకు ప్రాతినిధ్యం', 'రెండు దేశాలకు ప్రాతినిధ్యం']</v>
      </c>
      <c r="C2997" s="2" t="s">
        <v>2134</v>
      </c>
      <c r="D2997" s="2" t="str">
        <f>IFERROR(__xludf.DUMMYFUNCTION("IF(C2997&lt;&gt;"""", GOOGLETRANSLATE(C2997, ""en"", ""te""),"""")"),"[ '25 వ ఓల్డెస్ట్ కాప్టెన్ (39y 339d)', 'ప్రదర్శనలు (13y 53d) మధ్య 6 వ లాంగెస్ట్ వ్యవధిలో' 'కెప్టెన్సీ తొలి 10 వ ఓల్డెస్ట్ కాప్టెన్ (39y 288d)']")</f>
        <v>[ '25 వ ఓల్డెస్ట్ కాప్టెన్ (39y 339d)', 'ప్రదర్శనలు (13y 53d) మధ్య 6 వ లాంగెస్ట్ వ్యవధిలో' 'కెప్టెన్సీ తొలి 10 వ ఓల్డెస్ట్ కాప్టెన్ (39y 288d)']</v>
      </c>
      <c r="E2997" s="2"/>
      <c r="F2997" s="2" t="str">
        <f>IFERROR(__xludf.DUMMYFUNCTION("IF(E2997&lt;&gt;"""", GOOGLETRANSLATE(E2997, ""en"", ""te""),"""")"),"")</f>
        <v/>
      </c>
      <c r="G2997" s="2"/>
      <c r="H2997" s="2" t="str">
        <f>IFERROR(__xludf.DUMMYFUNCTION("IF(G2997&lt;&gt;"""", GOOGLETRANSLATE(G2997, ""en"", ""te""),"""")"),"")</f>
        <v/>
      </c>
      <c r="I2997" s="3"/>
    </row>
    <row r="2998" customHeight="1" spans="1:9">
      <c r="A2998" s="2"/>
      <c r="B2998" s="2" t="str">
        <f>IFERROR(__xludf.DUMMYFUNCTION("IF(A2998&lt;&gt;"""", GOOGLETRANSLATE(A2998, ""en"", ""te""),"""")"),"")</f>
        <v/>
      </c>
      <c r="C2998" s="2"/>
      <c r="D2998" s="2" t="str">
        <f>IFERROR(__xludf.DUMMYFUNCTION("IF(C2998&lt;&gt;"""", GOOGLETRANSLATE(C2998, ""en"", ""te""),"""")"),"")</f>
        <v/>
      </c>
      <c r="E2998" s="2"/>
      <c r="F2998" s="2" t="str">
        <f>IFERROR(__xludf.DUMMYFUNCTION("IF(E2998&lt;&gt;"""", GOOGLETRANSLATE(E2998, ""en"", ""te""),"""")"),"")</f>
        <v/>
      </c>
      <c r="G2998" s="2"/>
      <c r="H2998" s="2" t="str">
        <f>IFERROR(__xludf.DUMMYFUNCTION("IF(G2998&lt;&gt;"""", GOOGLETRANSLATE(G2998, ""en"", ""te""),"""")"),"")</f>
        <v/>
      </c>
      <c r="I2998" s="3"/>
    </row>
    <row r="2999" customHeight="1" spans="1:9">
      <c r="A2999" s="2"/>
      <c r="B2999" s="2" t="str">
        <f>IFERROR(__xludf.DUMMYFUNCTION("IF(A2999&lt;&gt;"""", GOOGLETRANSLATE(A2999, ""en"", ""te""),"""")"),"")</f>
        <v/>
      </c>
      <c r="C2999" s="2"/>
      <c r="D2999" s="2" t="str">
        <f>IFERROR(__xludf.DUMMYFUNCTION("IF(C2999&lt;&gt;"""", GOOGLETRANSLATE(C2999, ""en"", ""te""),"""")"),"")</f>
        <v/>
      </c>
      <c r="E2999" s="2"/>
      <c r="F2999" s="2" t="str">
        <f>IFERROR(__xludf.DUMMYFUNCTION("IF(E2999&lt;&gt;"""", GOOGLETRANSLATE(E2999, ""en"", ""te""),"""")"),"")</f>
        <v/>
      </c>
      <c r="G2999" s="2"/>
      <c r="H2999" s="2" t="str">
        <f>IFERROR(__xludf.DUMMYFUNCTION("IF(G2999&lt;&gt;"""", GOOGLETRANSLATE(G2999, ""en"", ""te""),"""")"),"")</f>
        <v/>
      </c>
      <c r="I2999" s="3"/>
    </row>
    <row r="3000" customHeight="1" spans="1:9">
      <c r="A3000" s="2" t="s">
        <v>2135</v>
      </c>
      <c r="B3000" s="2" t="str">
        <f>IFERROR(__xludf.DUMMYFUNCTION("IF(A3000&lt;&gt;"""", GOOGLETRANSLATE(A3000, ""en"", ""te""),"""")"),"[ '4 వ అత్యంత వృద్ధ ఆటగాడు తొలి వంద (39y 173d) స్కోర్']")</f>
        <v>[ '4 వ అత్యంత వృద్ధ ఆటగాడు తొలి వంద (39y 173d) స్కోర్']</v>
      </c>
      <c r="C3000" s="2" t="s">
        <v>2136</v>
      </c>
      <c r="D3000" s="2" t="str">
        <f>IFERROR(__xludf.DUMMYFUNCTION("IF(C3000&lt;&gt;"""", GOOGLETRANSLATE(C3000, ""en"", ""te""),"""")"),"[ '4 వ అత్యంత వృద్ధ ఆటగాడు తొలి వంద (39y 173d) స్కోర్', 'ప్రవేశం (39y 131d) 20 వ ఓల్డెస్ట్ క్రీడాకారుల]")</f>
        <v>[ '4 వ అత్యంత వృద్ధ ఆటగాడు తొలి వంద (39y 173d) స్కోర్', 'ప్రవేశం (39y 131d) 20 వ ఓల్డెస్ట్ క్రీడాకారుల]</v>
      </c>
      <c r="E3000" s="2"/>
      <c r="F3000" s="2" t="str">
        <f>IFERROR(__xludf.DUMMYFUNCTION("IF(E3000&lt;&gt;"""", GOOGLETRANSLATE(E3000, ""en"", ""te""),"""")"),"")</f>
        <v/>
      </c>
      <c r="G3000" s="2"/>
      <c r="H3000" s="2" t="str">
        <f>IFERROR(__xludf.DUMMYFUNCTION("IF(G3000&lt;&gt;"""", GOOGLETRANSLATE(G3000, ""en"", ""te""),"""")"),"")</f>
        <v/>
      </c>
      <c r="I3000" s="3"/>
    </row>
    <row r="3001" customHeight="1" spans="1:9">
      <c r="A3001" s="2"/>
      <c r="B3001" s="2" t="str">
        <f>IFERROR(__xludf.DUMMYFUNCTION("IF(A3001&lt;&gt;"""", GOOGLETRANSLATE(A3001, ""en"", ""te""),"""")"),"")</f>
        <v/>
      </c>
      <c r="C3001" s="2"/>
      <c r="D3001" s="2" t="str">
        <f>IFERROR(__xludf.DUMMYFUNCTION("IF(C3001&lt;&gt;"""", GOOGLETRANSLATE(C3001, ""en"", ""te""),"""")"),"")</f>
        <v/>
      </c>
      <c r="E3001" s="2"/>
      <c r="F3001" s="2" t="str">
        <f>IFERROR(__xludf.DUMMYFUNCTION("IF(E3001&lt;&gt;"""", GOOGLETRANSLATE(E3001, ""en"", ""te""),"""")"),"")</f>
        <v/>
      </c>
      <c r="G3001" s="2"/>
      <c r="H3001" s="2" t="str">
        <f>IFERROR(__xludf.DUMMYFUNCTION("IF(G3001&lt;&gt;"""", GOOGLETRANSLATE(G3001, ""en"", ""te""),"""")"),"")</f>
        <v/>
      </c>
      <c r="I3001" s="3"/>
    </row>
    <row r="3002" customHeight="1" spans="1:9">
      <c r="A3002" s="2"/>
      <c r="B3002" s="2" t="str">
        <f>IFERROR(__xludf.DUMMYFUNCTION("IF(A3002&lt;&gt;"""", GOOGLETRANSLATE(A3002, ""en"", ""te""),"""")"),"")</f>
        <v/>
      </c>
      <c r="C3002" s="2"/>
      <c r="D3002" s="2" t="str">
        <f>IFERROR(__xludf.DUMMYFUNCTION("IF(C3002&lt;&gt;"""", GOOGLETRANSLATE(C3002, ""en"", ""te""),"""")"),"")</f>
        <v/>
      </c>
      <c r="E3002" s="2"/>
      <c r="F3002" s="2" t="str">
        <f>IFERROR(__xludf.DUMMYFUNCTION("IF(E3002&lt;&gt;"""", GOOGLETRANSLATE(E3002, ""en"", ""te""),"""")"),"")</f>
        <v/>
      </c>
      <c r="G3002" s="2"/>
      <c r="H3002" s="2" t="str">
        <f>IFERROR(__xludf.DUMMYFUNCTION("IF(G3002&lt;&gt;"""", GOOGLETRANSLATE(G3002, ""en"", ""te""),"""")"),"")</f>
        <v/>
      </c>
      <c r="I3002" s="3"/>
    </row>
    <row r="3003" customHeight="1" spans="1:9">
      <c r="A3003" s="2"/>
      <c r="B3003" s="2" t="str">
        <f>IFERROR(__xludf.DUMMYFUNCTION("IF(A3003&lt;&gt;"""", GOOGLETRANSLATE(A3003, ""en"", ""te""),"""")"),"")</f>
        <v/>
      </c>
      <c r="C3003" s="2"/>
      <c r="D3003" s="2" t="str">
        <f>IFERROR(__xludf.DUMMYFUNCTION("IF(C3003&lt;&gt;"""", GOOGLETRANSLATE(C3003, ""en"", ""te""),"""")"),"")</f>
        <v/>
      </c>
      <c r="E3003" s="2"/>
      <c r="F3003" s="2" t="str">
        <f>IFERROR(__xludf.DUMMYFUNCTION("IF(E3003&lt;&gt;"""", GOOGLETRANSLATE(E3003, ""en"", ""te""),"""")"),"")</f>
        <v/>
      </c>
      <c r="G3003" s="2"/>
      <c r="H3003" s="2" t="str">
        <f>IFERROR(__xludf.DUMMYFUNCTION("IF(G3003&lt;&gt;"""", GOOGLETRANSLATE(G3003, ""en"", ""te""),"""")"),"")</f>
        <v/>
      </c>
      <c r="I3003" s="3"/>
    </row>
    <row r="3004" customHeight="1" spans="1:9">
      <c r="A3004" s="2"/>
      <c r="B3004" s="2" t="str">
        <f>IFERROR(__xludf.DUMMYFUNCTION("IF(A3004&lt;&gt;"""", GOOGLETRANSLATE(A3004, ""en"", ""te""),"""")"),"")</f>
        <v/>
      </c>
      <c r="C3004" s="2"/>
      <c r="D3004" s="2" t="str">
        <f>IFERROR(__xludf.DUMMYFUNCTION("IF(C3004&lt;&gt;"""", GOOGLETRANSLATE(C3004, ""en"", ""te""),"""")"),"")</f>
        <v/>
      </c>
      <c r="E3004" s="2"/>
      <c r="F3004" s="2" t="str">
        <f>IFERROR(__xludf.DUMMYFUNCTION("IF(E3004&lt;&gt;"""", GOOGLETRANSLATE(E3004, ""en"", ""te""),"""")"),"")</f>
        <v/>
      </c>
      <c r="G3004" s="2"/>
      <c r="H3004" s="2" t="str">
        <f>IFERROR(__xludf.DUMMYFUNCTION("IF(G3004&lt;&gt;"""", GOOGLETRANSLATE(G3004, ""en"", ""te""),"""")"),"")</f>
        <v/>
      </c>
      <c r="I3004" s="3"/>
    </row>
    <row r="3005" customHeight="1" spans="1:9">
      <c r="A3005" s="2"/>
      <c r="B3005" s="2" t="str">
        <f>IFERROR(__xludf.DUMMYFUNCTION("IF(A3005&lt;&gt;"""", GOOGLETRANSLATE(A3005, ""en"", ""te""),"""")"),"")</f>
        <v/>
      </c>
      <c r="C3005" s="2"/>
      <c r="D3005" s="2" t="str">
        <f>IFERROR(__xludf.DUMMYFUNCTION("IF(C3005&lt;&gt;"""", GOOGLETRANSLATE(C3005, ""en"", ""te""),"""")"),"")</f>
        <v/>
      </c>
      <c r="E3005" s="2" t="s">
        <v>549</v>
      </c>
      <c r="F3005" s="2" t="str">
        <f>IFERROR(__xludf.DUMMYFUNCTION("IF(E3005&lt;&gt;"""", GOOGLETRANSLATE(E3005, ""en"", ""te""),"""")"),"[ 'తొలి ఇన్నింగ్స్ 15 వ బెస్ట్ ఫిగర్స్ (4)']")</f>
        <v>[ 'తొలి ఇన్నింగ్స్ 15 వ బెస్ట్ ఫిగర్స్ (4)']</v>
      </c>
      <c r="G3005" s="2"/>
      <c r="H3005" s="2" t="str">
        <f>IFERROR(__xludf.DUMMYFUNCTION("IF(G3005&lt;&gt;"""", GOOGLETRANSLATE(G3005, ""en"", ""te""),"""")"),"")</f>
        <v/>
      </c>
      <c r="I3005" s="3"/>
    </row>
    <row r="3006" customHeight="1" spans="1:9">
      <c r="A3006" s="2"/>
      <c r="B3006" s="2" t="str">
        <f>IFERROR(__xludf.DUMMYFUNCTION("IF(A3006&lt;&gt;"""", GOOGLETRANSLATE(A3006, ""en"", ""te""),"""")"),"")</f>
        <v/>
      </c>
      <c r="C3006" s="2"/>
      <c r="D3006" s="2" t="str">
        <f>IFERROR(__xludf.DUMMYFUNCTION("IF(C3006&lt;&gt;"""", GOOGLETRANSLATE(C3006, ""en"", ""te""),"""")"),"")</f>
        <v/>
      </c>
      <c r="E3006" s="2"/>
      <c r="F3006" s="2" t="str">
        <f>IFERROR(__xludf.DUMMYFUNCTION("IF(E3006&lt;&gt;"""", GOOGLETRANSLATE(E3006, ""en"", ""te""),"""")"),"")</f>
        <v/>
      </c>
      <c r="G3006" s="2"/>
      <c r="H3006" s="2" t="str">
        <f>IFERROR(__xludf.DUMMYFUNCTION("IF(G3006&lt;&gt;"""", GOOGLETRANSLATE(G3006, ""en"", ""te""),"""")"),"")</f>
        <v/>
      </c>
      <c r="I3006" s="3"/>
    </row>
    <row r="3007" customHeight="1" spans="1:9">
      <c r="A3007" s="2"/>
      <c r="B3007" s="2" t="str">
        <f>IFERROR(__xludf.DUMMYFUNCTION("IF(A3007&lt;&gt;"""", GOOGLETRANSLATE(A3007, ""en"", ""te""),"""")"),"")</f>
        <v/>
      </c>
      <c r="C3007" s="2"/>
      <c r="D3007" s="2" t="str">
        <f>IFERROR(__xludf.DUMMYFUNCTION("IF(C3007&lt;&gt;"""", GOOGLETRANSLATE(C3007, ""en"", ""te""),"""")"),"")</f>
        <v/>
      </c>
      <c r="E3007" s="2"/>
      <c r="F3007" s="2" t="str">
        <f>IFERROR(__xludf.DUMMYFUNCTION("IF(E3007&lt;&gt;"""", GOOGLETRANSLATE(E3007, ""en"", ""te""),"""")"),"")</f>
        <v/>
      </c>
      <c r="G3007" s="2"/>
      <c r="H3007" s="2" t="str">
        <f>IFERROR(__xludf.DUMMYFUNCTION("IF(G3007&lt;&gt;"""", GOOGLETRANSLATE(G3007, ""en"", ""te""),"""")"),"")</f>
        <v/>
      </c>
      <c r="I3007" s="3"/>
    </row>
    <row r="3008" customHeight="1" spans="1:9">
      <c r="A3008" s="2"/>
      <c r="B3008" s="2" t="str">
        <f>IFERROR(__xludf.DUMMYFUNCTION("IF(A3008&lt;&gt;"""", GOOGLETRANSLATE(A3008, ""en"", ""te""),"""")"),"")</f>
        <v/>
      </c>
      <c r="C3008" s="2"/>
      <c r="D3008" s="2" t="str">
        <f>IFERROR(__xludf.DUMMYFUNCTION("IF(C3008&lt;&gt;"""", GOOGLETRANSLATE(C3008, ""en"", ""te""),"""")"),"")</f>
        <v/>
      </c>
      <c r="E3008" s="2"/>
      <c r="F3008" s="2" t="str">
        <f>IFERROR(__xludf.DUMMYFUNCTION("IF(E3008&lt;&gt;"""", GOOGLETRANSLATE(E3008, ""en"", ""te""),"""")"),"")</f>
        <v/>
      </c>
      <c r="G3008" s="2" t="s">
        <v>2137</v>
      </c>
      <c r="H3008" s="2" t="str">
        <f>IFERROR(__xludf.DUMMYFUNCTION("IF(G3008&lt;&gt;"""", GOOGLETRANSLATE(G3008, ""en"", ""te""),"""")"),"[ 'మూడో వికెట్కు 25 అత్యధిక భాగస్వామ్యం (111)', 'ఐదవ వికెట్కు 35 వ అత్యధిక భాగస్వామ్యం (72 *)']")</f>
        <v>[ 'మూడో వికెట్కు 25 అత్యధిక భాగస్వామ్యం (111)', 'ఐదవ వికెట్కు 35 వ అత్యధిక భాగస్వామ్యం (72 *)']</v>
      </c>
      <c r="I3008" s="3"/>
    </row>
    <row r="3009" customHeight="1" spans="1:9">
      <c r="A3009" s="2"/>
      <c r="B3009" s="2" t="str">
        <f>IFERROR(__xludf.DUMMYFUNCTION("IF(A3009&lt;&gt;"""", GOOGLETRANSLATE(A3009, ""en"", ""te""),"""")"),"")</f>
        <v/>
      </c>
      <c r="C3009" s="2"/>
      <c r="D3009" s="2" t="str">
        <f>IFERROR(__xludf.DUMMYFUNCTION("IF(C3009&lt;&gt;"""", GOOGLETRANSLATE(C3009, ""en"", ""te""),"""")"),"")</f>
        <v/>
      </c>
      <c r="E3009" s="2"/>
      <c r="F3009" s="2" t="str">
        <f>IFERROR(__xludf.DUMMYFUNCTION("IF(E3009&lt;&gt;"""", GOOGLETRANSLATE(E3009, ""en"", ""te""),"""")"),"")</f>
        <v/>
      </c>
      <c r="G3009" s="2"/>
      <c r="H3009" s="2" t="str">
        <f>IFERROR(__xludf.DUMMYFUNCTION("IF(G3009&lt;&gt;"""", GOOGLETRANSLATE(G3009, ""en"", ""te""),"""")"),"")</f>
        <v/>
      </c>
      <c r="I3009" s="3"/>
    </row>
    <row r="3010" customHeight="1" spans="1:9">
      <c r="A3010" s="2"/>
      <c r="B3010" s="2" t="str">
        <f>IFERROR(__xludf.DUMMYFUNCTION("IF(A3010&lt;&gt;"""", GOOGLETRANSLATE(A3010, ""en"", ""te""),"""")"),"")</f>
        <v/>
      </c>
      <c r="C3010" s="2"/>
      <c r="D3010" s="2" t="str">
        <f>IFERROR(__xludf.DUMMYFUNCTION("IF(C3010&lt;&gt;"""", GOOGLETRANSLATE(C3010, ""en"", ""te""),"""")"),"")</f>
        <v/>
      </c>
      <c r="E3010" s="2"/>
      <c r="F3010" s="2" t="str">
        <f>IFERROR(__xludf.DUMMYFUNCTION("IF(E3010&lt;&gt;"""", GOOGLETRANSLATE(E3010, ""en"", ""te""),"""")"),"")</f>
        <v/>
      </c>
      <c r="G3010" s="2"/>
      <c r="H3010" s="2" t="str">
        <f>IFERROR(__xludf.DUMMYFUNCTION("IF(G3010&lt;&gt;"""", GOOGLETRANSLATE(G3010, ""en"", ""te""),"""")"),"")</f>
        <v/>
      </c>
      <c r="I3010" s="3"/>
    </row>
    <row r="3011" customHeight="1" spans="1:9">
      <c r="A3011" s="2"/>
      <c r="B3011" s="2" t="str">
        <f>IFERROR(__xludf.DUMMYFUNCTION("IF(A3011&lt;&gt;"""", GOOGLETRANSLATE(A3011, ""en"", ""te""),"""")"),"")</f>
        <v/>
      </c>
      <c r="C3011" s="2" t="s">
        <v>2138</v>
      </c>
      <c r="D3011" s="2" t="str">
        <f>IFERROR(__xludf.DUMMYFUNCTION("IF(C3011&lt;&gt;"""", GOOGLETRANSLATE(C3011, ""en"", ""te""),"""")"),"[ '19 హండ్రెడ్ గత మ్యాచ్లో (139)', '15 వ తొంభై తొలి (94)']")</f>
        <v>[ '19 హండ్రెడ్ గత మ్యాచ్లో (139)', '15 వ తొంభై తొలి (94)']</v>
      </c>
      <c r="E3011" s="2"/>
      <c r="F3011" s="2" t="str">
        <f>IFERROR(__xludf.DUMMYFUNCTION("IF(E3011&lt;&gt;"""", GOOGLETRANSLATE(E3011, ""en"", ""te""),"""")"),"")</f>
        <v/>
      </c>
      <c r="G3011" s="2"/>
      <c r="H3011" s="2" t="str">
        <f>IFERROR(__xludf.DUMMYFUNCTION("IF(G3011&lt;&gt;"""", GOOGLETRANSLATE(G3011, ""en"", ""te""),"""")"),"")</f>
        <v/>
      </c>
      <c r="I3011" s="3"/>
    </row>
    <row r="3012" customHeight="1" spans="1:9">
      <c r="A3012" s="2"/>
      <c r="B3012" s="2" t="str">
        <f>IFERROR(__xludf.DUMMYFUNCTION("IF(A3012&lt;&gt;"""", GOOGLETRANSLATE(A3012, ""en"", ""te""),"""")"),"")</f>
        <v/>
      </c>
      <c r="C3012" s="2"/>
      <c r="D3012" s="2" t="str">
        <f>IFERROR(__xludf.DUMMYFUNCTION("IF(C3012&lt;&gt;"""", GOOGLETRANSLATE(C3012, ""en"", ""te""),"""")"),"")</f>
        <v/>
      </c>
      <c r="E3012" s="2"/>
      <c r="F3012" s="2" t="str">
        <f>IFERROR(__xludf.DUMMYFUNCTION("IF(E3012&lt;&gt;"""", GOOGLETRANSLATE(E3012, ""en"", ""te""),"""")"),"")</f>
        <v/>
      </c>
      <c r="G3012" s="2"/>
      <c r="H3012" s="2" t="str">
        <f>IFERROR(__xludf.DUMMYFUNCTION("IF(G3012&lt;&gt;"""", GOOGLETRANSLATE(G3012, ""en"", ""te""),"""")"),"")</f>
        <v/>
      </c>
      <c r="I3012" s="3"/>
    </row>
    <row r="3013" customHeight="1" spans="1:9">
      <c r="A3013" s="2"/>
      <c r="B3013" s="2" t="str">
        <f>IFERROR(__xludf.DUMMYFUNCTION("IF(A3013&lt;&gt;"""", GOOGLETRANSLATE(A3013, ""en"", ""te""),"""")"),"")</f>
        <v/>
      </c>
      <c r="C3013" s="2"/>
      <c r="D3013" s="2" t="str">
        <f>IFERROR(__xludf.DUMMYFUNCTION("IF(C3013&lt;&gt;"""", GOOGLETRANSLATE(C3013, ""en"", ""te""),"""")"),"")</f>
        <v/>
      </c>
      <c r="E3013" s="2"/>
      <c r="F3013" s="2" t="str">
        <f>IFERROR(__xludf.DUMMYFUNCTION("IF(E3013&lt;&gt;"""", GOOGLETRANSLATE(E3013, ""en"", ""te""),"""")"),"")</f>
        <v/>
      </c>
      <c r="G3013" s="2"/>
      <c r="H3013" s="2" t="str">
        <f>IFERROR(__xludf.DUMMYFUNCTION("IF(G3013&lt;&gt;"""", GOOGLETRANSLATE(G3013, ""en"", ""te""),"""")"),"")</f>
        <v/>
      </c>
      <c r="I3013" s="3"/>
    </row>
    <row r="3014" customHeight="1" spans="1:9">
      <c r="A3014" s="2"/>
      <c r="B3014" s="2" t="str">
        <f>IFERROR(__xludf.DUMMYFUNCTION("IF(A3014&lt;&gt;"""", GOOGLETRANSLATE(A3014, ""en"", ""te""),"""")"),"")</f>
        <v/>
      </c>
      <c r="C3014" s="2"/>
      <c r="D3014" s="2" t="str">
        <f>IFERROR(__xludf.DUMMYFUNCTION("IF(C3014&lt;&gt;"""", GOOGLETRANSLATE(C3014, ""en"", ""te""),"""")"),"")</f>
        <v/>
      </c>
      <c r="E3014" s="2"/>
      <c r="F3014" s="2" t="str">
        <f>IFERROR(__xludf.DUMMYFUNCTION("IF(E3014&lt;&gt;"""", GOOGLETRANSLATE(E3014, ""en"", ""te""),"""")"),"")</f>
        <v/>
      </c>
      <c r="G3014" s="2"/>
      <c r="H3014" s="2" t="str">
        <f>IFERROR(__xludf.DUMMYFUNCTION("IF(G3014&lt;&gt;"""", GOOGLETRANSLATE(G3014, ""en"", ""te""),"""")"),"")</f>
        <v/>
      </c>
      <c r="I3014" s="3"/>
    </row>
    <row r="3015" customHeight="1" spans="1:9">
      <c r="A3015" s="2" t="s">
        <v>2139</v>
      </c>
      <c r="B3015" s="2" t="str">
        <f>IFERROR(__xludf.DUMMYFUNCTION("IF(A3015&lt;&gt;"""", GOOGLETRANSLATE(A3015, ""en"", ""te""),"""")"),"[ 'ఇన్నింగ్స్ లో 4 వ అత్యధిక క్యాచ్లు (3)', '1st చెత్త కెరీర్ సగటు (62.33) బౌలింగ్', 'కెరీర్ (22) లో 4 వ లేవు బాతులు']")</f>
        <v>[ 'ఇన్నింగ్స్ లో 4 వ అత్యధిక క్యాచ్లు (3)', '1st చెత్త కెరీర్ సగటు (62.33) బౌలింగ్', 'కెరీర్ (22) లో 4 వ లేవు బాతులు']</v>
      </c>
      <c r="C3015" s="2" t="s">
        <v>2140</v>
      </c>
      <c r="D3015" s="2" t="str">
        <f>IFERROR(__xludf.DUMMYFUNCTION("IF(C3015&lt;&gt;"""", GOOGLETRANSLATE(C3015, ""en"", ""te""),"""")"),"[ '1st చెత్త కెరీర్ బౌలింగ్ సరాసరి (62.33)', '4 వ చెత్త కెరీర్లో సమ్మె రేటు (170.8)', 'ఆరవ వికెట్ (77) 20 అత్యధిక భాగస్వామ్యం' '43 వ చెత్త కెరీర్ బౌలింగ్ (62.33) సగటు (అర్హత లేకుండా)' 'తొమ్మిదవ వికెట్ (50) 15 వ అత్యధిక భాగస్వామ్యం']")</f>
        <v>[ '1st చెత్త కెరీర్ బౌలింగ్ సరాసరి (62.33)', '4 వ చెత్త కెరీర్లో సమ్మె రేటు (170.8)', 'ఆరవ వికెట్ (77) 20 అత్యధిక భాగస్వామ్యం' '43 వ చెత్త కెరీర్ బౌలింగ్ (62.33) సగటు (అర్హత లేకుండా)' 'తొమ్మిదవ వికెట్ (50) 15 వ అత్యధిక భాగస్వామ్యం']</v>
      </c>
      <c r="E3015" s="2" t="s">
        <v>2141</v>
      </c>
      <c r="F3015" s="2" t="str">
        <f>IFERROR(__xludf.DUMMYFUNCTION("IF(E3015&lt;&gt;"""", GOOGLETRANSLATE(E3015, ""en"", ""te""),"""")"),"[ '26 ఉత్తమ ఇన్నింగ్స్ లో ఆర్థిక రేటు (0.40)', '23 వ చెత్త కెరీర్ సగటు (35.55) బౌలింగ్', '34 వ చెత్త కెరీర్లో ఆర్థిక రేటు (4.23)', '4 వ అత్యధిక క్యాచ్లు ఇన్నింగ్స్ (3) లో', '38 వ ఐదవ వికెట్కు అత్యధిక భాగస్వామ్యం (91) ',' 17 వ వరుస మ్యాచ్లు ప్రదర్శనల మధ్య "&amp;"బృందం (46) కోసం తప్పిన ']")</f>
        <v>[ '26 ఉత్తమ ఇన్నింగ్స్ లో ఆర్థిక రేటు (0.40)', '23 వ చెత్త కెరీర్ సగటు (35.55) బౌలింగ్', '34 వ చెత్త కెరీర్లో ఆర్థిక రేటు (4.23)', '4 వ అత్యధిక క్యాచ్లు ఇన్నింగ్స్ (3) లో', '38 వ ఐదవ వికెట్కు అత్యధిక భాగస్వామ్యం (91) ',' 17 వ వరుస మ్యాచ్లు ప్రదర్శనల మధ్య బృందం (46) కోసం తప్పిన ']</v>
      </c>
      <c r="G3015" s="2" t="s">
        <v>2142</v>
      </c>
      <c r="H3015" s="2" t="str">
        <f>IFERROR(__xludf.DUMMYFUNCTION("IF(G3015&lt;&gt;"""", GOOGLETRANSLATE(G3015, ""en"", ""te""),"""")"),"[ '13 వ ఇన్నింగ్స్ లో అత్యధిక పరుగులు (బ్యాటింగ్ స్థానంలో ప్రకారం) (40 *)', 'కెరీర్ (22) లో 4 వ లేవు బాతులు']")</f>
        <v>[ '13 వ ఇన్నింగ్స్ లో అత్యధిక పరుగులు (బ్యాటింగ్ స్థానంలో ప్రకారం) (40 *)', 'కెరీర్ (22) లో 4 వ లేవు బాతులు']</v>
      </c>
      <c r="I3015" s="3"/>
    </row>
    <row r="3016" customHeight="1" spans="1:9">
      <c r="A3016" s="2"/>
      <c r="B3016" s="2" t="str">
        <f>IFERROR(__xludf.DUMMYFUNCTION("IF(A3016&lt;&gt;"""", GOOGLETRANSLATE(A3016, ""en"", ""te""),"""")"),"")</f>
        <v/>
      </c>
      <c r="C3016" s="2"/>
      <c r="D3016" s="2" t="str">
        <f>IFERROR(__xludf.DUMMYFUNCTION("IF(C3016&lt;&gt;"""", GOOGLETRANSLATE(C3016, ""en"", ""te""),"""")"),"")</f>
        <v/>
      </c>
      <c r="E3016" s="2"/>
      <c r="F3016" s="2" t="str">
        <f>IFERROR(__xludf.DUMMYFUNCTION("IF(E3016&lt;&gt;"""", GOOGLETRANSLATE(E3016, ""en"", ""te""),"""")"),"")</f>
        <v/>
      </c>
      <c r="G3016" s="2"/>
      <c r="H3016" s="2" t="str">
        <f>IFERROR(__xludf.DUMMYFUNCTION("IF(G3016&lt;&gt;"""", GOOGLETRANSLATE(G3016, ""en"", ""te""),"""")"),"")</f>
        <v/>
      </c>
      <c r="I3016" s="3"/>
    </row>
    <row r="3017" customHeight="1" spans="1:9">
      <c r="A3017" s="2" t="s">
        <v>2143</v>
      </c>
      <c r="B3017" s="2" t="str">
        <f>IFERROR(__xludf.DUMMYFUNCTION("IF(A3017&lt;&gt;"""", GOOGLETRANSLATE(A3017, ""en"", ""te""),"""")"),"[ఒక జట్టుతో 'ఇన్నింగ్స్ లో 1 వ అత్యధిక పరుగులు (ప్రగతిశీల రికార్డు హోల్డర్) (72)', '3 వ ఓల్డెస్ట్ కెప్టెన్లు కెప్టెన్సీ ప్రవేశం (40y 75d) న', '3 వ అత్యధిక వందలు' ప్రదర్శనలు (11y 186d) మధ్య 5 వ లాంగెస్ట్ వ్యవధిలో ' వృత్తి (2) ',' 6 వ అత్యంత అర్ధ (8) ',' కె"&amp;"రీర్ లో 3 వ లేవు బాతులు (25) ',' 3 వ అత్యుత్తమ బౌలింగ్ ఇన్నింగ్స్ లో విశ్లేషించడం (7/10) ',' 5 వ ఉత్తమ కెరీర్ సగటు బౌలింగ్ (15.58 ) ',' 1st అరంగేట్రంలోనే ఇన్నింగ్స్ లోని బెస్ట్ ఫిగర్స్ (7) ',' 1 వ ఓల్డెస్ట్ క్రీడాకారుడు ఐదు-వికెట్ల లో-ఒక-ఇన్నింగ్స్ తీసుకో"&amp;"వాలని (40y 75d) ',' 8 వ కెరీర్ లో బౌల్డ్ చాలా బంతుల్లో (3432) ', '1 వ అత్యధిక వికెట్లు తీసిన హిట్ వికెట్ (2)', '10 వ కెరీర్ లో అత్యధిక క్యాచ్లు (12)', 'బ్యాటింగ్ తెరవడం మరియు అదే మ్యాచ్ లో బౌలింగ్']")</f>
        <v>[ఒక జట్టుతో 'ఇన్నింగ్స్ లో 1 వ అత్యధిక పరుగులు (ప్రగతిశీల రికార్డు హోల్డర్) (72)', '3 వ ఓల్డెస్ట్ కెప్టెన్లు కెప్టెన్సీ ప్రవేశం (40y 75d) న', '3 వ అత్యధిక వందలు' ప్రదర్శనలు (11y 186d) మధ్య 5 వ లాంగెస్ట్ వ్యవధిలో ' వృత్తి (2) ',' 6 వ అత్యంత అర్ధ (8) ',' కెరీర్ లో 3 వ లేవు బాతులు (25) ',' 3 వ అత్యుత్తమ బౌలింగ్ ఇన్నింగ్స్ లో విశ్లేషించడం (7/10) ',' 5 వ ఉత్తమ కెరీర్ సగటు బౌలింగ్ (15.58 ) ',' 1st అరంగేట్రంలోనే ఇన్నింగ్స్ లోని బెస్ట్ ఫిగర్స్ (7) ',' 1 వ ఓల్డెస్ట్ క్రీడాకారుడు ఐదు-వికెట్ల లో-ఒక-ఇన్నింగ్స్ తీసుకోవాలని (40y 75d) ',' 8 వ కెరీర్ లో బౌల్డ్ చాలా బంతుల్లో (3432) ', '1 వ అత్యధిక వికెట్లు తీసిన హిట్ వికెట్ (2)', '10 వ కెరీర్ లో అత్యధిక క్యాచ్లు (12)', 'బ్యాటింగ్ తెరవడం మరియు అదే మ్యాచ్ లో బౌలింగ్']</v>
      </c>
      <c r="C3017" s="2" t="s">
        <v>2144</v>
      </c>
      <c r="D3017" s="2" t="str">
        <f>IFERROR(__xludf.DUMMYFUNCTION("IF(C3017&lt;&gt;"""", GOOGLETRANSLATE(C3017, ""en"", ""te""),"""")"),"[ 'కెరీర్లో 9 వ అత్యధిక పరుగులు (1007)', '1 వ ఇన్నింగ్స్ లో అత్యధిక పరుగులు (ప్రగతిశీల రికార్డు హోల్డర్) (72)', '31 ఒక మ్యాచ్లో అత్యధిక పరుగులు (164)', '21 వ ఒక సిరీస్లో అత్యధిక పరుగులు (315 ) ',' 24th ఒక క్యాలెండర్ సంవత్సరంలో అత్యధిక పరుగులు (315) ',' 7 "&amp;"వ పరాజయం వైపు ఒక మ్యాచ్లో అత్యధిక పరుగులు (117) ',' 18 వ అత్యధిక కెరీర్ బ్యాటింగ్ సగటు (41.95) ',' 10th చాలా కెరీర్లో వందల (2) ',' ఒక జట్టు (2) ',' 30 వ అత్యధిక తొలి వంద (119) ',' 19 వ పిన్న ఆటగాడు వ్యతిరేకంగా 3 వ అత్యధిక వందలు వంద స్కోర్ (23y 277d) ',' "&amp;"6 వ కెరీర్ అర్ధ (8) ',' కెరీర్ లో 3 వ లేవు బాతులు (25) ',' ఒక డక్ లేకుండా 4 వ అత్యధిక వరుస ఇన్నింగ్స్ (25 *) ',' ఒక ఇన్నింగ్స్లో పరుగులు అత్యధికంగా 16 శాతం (51.80) ',' 4 వ కెరీర్ లో అత్యధిక వికెట్లు (60 ) ',' వరుస ఇన్నింగ్స్ లో 4 వ బెస్ట్ ఫిగర్స్ (7/10) '"&amp;",' 5 వ అత్యధిక వికెట్లు (20) ',' 11 వ ఒక క్యాలెండర్ సంవత్సరంలో అత్యధిక వికెట్లు (19) ',' 3 వ అత్యుత్తమ బౌలింగ్ ఇన్నింగ్స్ విశ్లేషణలలో (7/10) ',' 14 వ ఒకే మైదానంలో అత్యధిక వికెట్లు (10) ',' ఒక కెప్టెన్తో ఒక ఇన్నింగ్స్ లో 5 వ ఉత్తమ బొమ్మలు (5) ',' 11 వ ఉత్"&amp;"తమ బొమ్మలు ఒక కెప్టెన్ (5) ',' 5 వ ఉత్తమ కెరీర్ సగటు (15.58) ',' 25 వ ఉత్తమ కెరీర్ ఎకానమీ రేట్ బౌలింగ్ ఒక మ్యాచ్ (1.63) ',' 12 వ ఉత్తమ కెరీర్ సమ్మె రేటు (57.2) ',' 13 వ ఉత్తమ సమ్మె ఒక రేటు ఇన్నింగ్స్ (14.5) ',' ఇన్నింగ్స్ లో 33 వ చెత్త ఆర్థిక రేటు (4.05) "&amp;"',' తొలి ఇన్నింగ్స్లో 1st బెస్ట్ ఫిగర్స్ (7) ',' 6 వ ఉత్తమ ఒక మ్యాచ్లో తొలి గణాంకాలు (7) ',' చాలా 5 వ ఐదు వికెట్లు-ఇన్-ఒక-ఇన్నింగ్స్ కెరీర్లో (3) ',' ఐదు వికెట్ల లో-ఒక-ఇన్నింగ్స్ (23y 270d) ',' 1 వ ఓల్డెస్ట్ క్రీడాకారుడు ఐదు-వికెట్ల in- తీసుకోవాలని తీసుకో"&amp;"వాలని 18 వ పిన్న ఆటగాడు ఒక-ఇన్నింగ్స్ (40y 75d) ',' కెరీర్ లో బౌల్డ్ 8 వ అత్యంత బంతుల్లో (3432) ',' 40 వ అత్యంత బంతుల్లో ఒక మ్యాచ్లో బౌల్డ్ (374) ',' 11 వ కెరీర్ లో సాధించిన అత్యధిక పరుగులు (935) ',' 2 వ బౌలర్ / బ్యాట్స్ కలయికలు (5) ',' 6 వ బౌలర్ / ఫీల్డర"&amp;"్ కలయికలు (9) ',' 6 వ అత్యధిక వికెట్లు బౌల్డ్ తీసుకోకూడదు (19) ',' 2 వ అత్యధిక వికెట్లు తీసుకున్న ఆకర్షించింది (33) ',' 1 వ అత్యధిక వికెట్లు తీసుకున్న క్యాచ్ మరియు బౌల్డ్ (9 ) ',' 1 వ అత్యధిక వికెట్లు చిక్కుకున్న ఫీల్డర్ తీసుకున్న (29) ',' 1 వ అత్యధిక విక"&amp;"ెట్లు తీసిన హిట్ వికెట్ (2) ',' 10 వ కెరీర్ లో అత్యధిక క్యాచ్లు (12) ',' 13 వ అత్యంత consecu ఒక జట్టు tive మ్యాచ్లు (14) ',' 17 వ ఓల్డెస్ట్ క్రీడాకారులు (40y 120d) ',' 8 వ లాంగెస్ట్ కెరీర్లు (16y 215d) ',' ప్రదర్శనల మధ్య 5 వ లాంగెస్ట్ వ్యవధిలో (11y 186d) "&amp;"',' 4 వ ఓల్డెస్ట్ కాప్టెన్ (40y 92d) ',' కెప్టెన్సీ ప్రవేశం (40y 75d) న 3 వ ఓల్డెస్ట్ కెప్టెన్లు ']")</f>
        <v>[ 'కెరీర్లో 9 వ అత్యధిక పరుగులు (1007)', '1 వ ఇన్నింగ్స్ లో అత్యధిక పరుగులు (ప్రగతిశీల రికార్డు హోల్డర్) (72)', '31 ఒక మ్యాచ్లో అత్యధిక పరుగులు (164)', '21 వ ఒక సిరీస్లో అత్యధిక పరుగులు (315 ) ',' 24th ఒక క్యాలెండర్ సంవత్సరంలో అత్యధిక పరుగులు (315) ',' 7 వ పరాజయం వైపు ఒక మ్యాచ్లో అత్యధిక పరుగులు (117) ',' 18 వ అత్యధిక కెరీర్ బ్యాటింగ్ సగటు (41.95) ',' 10th చాలా కెరీర్లో వందల (2) ',' ఒక జట్టు (2) ',' 30 వ అత్యధిక తొలి వంద (119) ',' 19 వ పిన్న ఆటగాడు వ్యతిరేకంగా 3 వ అత్యధిక వందలు వంద స్కోర్ (23y 277d) ',' 6 వ కెరీర్ అర్ధ (8) ',' కెరీర్ లో 3 వ లేవు బాతులు (25) ',' ఒక డక్ లేకుండా 4 వ అత్యధిక వరుస ఇన్నింగ్స్ (25 *) ',' ఒక ఇన్నింగ్స్లో పరుగులు అత్యధికంగా 16 శాతం (51.80) ',' 4 వ కెరీర్ లో అత్యధిక వికెట్లు (60 ) ',' వరుస ఇన్నింగ్స్ లో 4 వ బెస్ట్ ఫిగర్స్ (7/10) ',' 5 వ అత్యధిక వికెట్లు (20) ',' 11 వ ఒక క్యాలెండర్ సంవత్సరంలో అత్యధిక వికెట్లు (19) ',' 3 వ అత్యుత్తమ బౌలింగ్ ఇన్నింగ్స్ విశ్లేషణలలో (7/10) ',' 14 వ ఒకే మైదానంలో అత్యధిక వికెట్లు (10) ',' ఒక కెప్టెన్తో ఒక ఇన్నింగ్స్ లో 5 వ ఉత్తమ బొమ్మలు (5) ',' 11 వ ఉత్తమ బొమ్మలు ఒక కెప్టెన్ (5) ',' 5 వ ఉత్తమ కెరీర్ సగటు (15.58) ',' 25 వ ఉత్తమ కెరీర్ ఎకానమీ రేట్ బౌలింగ్ ఒక మ్యాచ్ (1.63) ',' 12 వ ఉత్తమ కెరీర్ సమ్మె రేటు (57.2) ',' 13 వ ఉత్తమ సమ్మె ఒక రేటు ఇన్నింగ్స్ (14.5) ',' ఇన్నింగ్స్ లో 33 వ చెత్త ఆర్థిక రేటు (4.05) ',' తొలి ఇన్నింగ్స్లో 1st బెస్ట్ ఫిగర్స్ (7) ',' 6 వ ఉత్తమ ఒక మ్యాచ్లో తొలి గణాంకాలు (7) ',' చాలా 5 వ ఐదు వికెట్లు-ఇన్-ఒక-ఇన్నింగ్స్ కెరీర్లో (3) ',' ఐదు వికెట్ల లో-ఒక-ఇన్నింగ్స్ (23y 270d) ',' 1 వ ఓల్డెస్ట్ క్రీడాకారుడు ఐదు-వికెట్ల in- తీసుకోవాలని తీసుకోవాలని 18 వ పిన్న ఆటగాడు ఒక-ఇన్నింగ్స్ (40y 75d) ',' కెరీర్ లో బౌల్డ్ 8 వ అత్యంత బంతుల్లో (3432) ',' 40 వ అత్యంత బంతుల్లో ఒక మ్యాచ్లో బౌల్డ్ (374) ',' 11 వ కెరీర్ లో సాధించిన అత్యధిక పరుగులు (935) ',' 2 వ బౌలర్ / బ్యాట్స్ కలయికలు (5) ',' 6 వ బౌలర్ / ఫీల్డర్ కలయికలు (9) ',' 6 వ అత్యధిక వికెట్లు బౌల్డ్ తీసుకోకూడదు (19) ',' 2 వ అత్యధిక వికెట్లు తీసుకున్న ఆకర్షించింది (33) ',' 1 వ అత్యధిక వికెట్లు తీసుకున్న క్యాచ్ మరియు బౌల్డ్ (9 ) ',' 1 వ అత్యధిక వికెట్లు చిక్కుకున్న ఫీల్డర్ తీసుకున్న (29) ',' 1 వ అత్యధిక వికెట్లు తీసిన హిట్ వికెట్ (2) ',' 10 వ కెరీర్ లో అత్యధిక క్యాచ్లు (12) ',' 13 వ అత్యంత consecu ఒక జట్టు tive మ్యాచ్లు (14) ',' 17 వ ఓల్డెస్ట్ క్రీడాకారులు (40y 120d) ',' 8 వ లాంగెస్ట్ కెరీర్లు (16y 215d) ',' ప్రదర్శనల మధ్య 5 వ లాంగెస్ట్ వ్యవధిలో (11y 186d) ',' 4 వ ఓల్డెస్ట్ కాప్టెన్ (40y 92d) ',' కెప్టెన్సీ ప్రవేశం (40y 75d) న 3 వ ఓల్డెస్ట్ కెప్టెన్లు ']</v>
      </c>
      <c r="E3017" s="2"/>
      <c r="F3017" s="2" t="str">
        <f>IFERROR(__xludf.DUMMYFUNCTION("IF(E3017&lt;&gt;"""", GOOGLETRANSLATE(E3017, ""en"", ""te""),"""")"),"")</f>
        <v/>
      </c>
      <c r="G3017" s="2"/>
      <c r="H3017" s="2" t="str">
        <f>IFERROR(__xludf.DUMMYFUNCTION("IF(G3017&lt;&gt;"""", GOOGLETRANSLATE(G3017, ""en"", ""te""),"""")"),"")</f>
        <v/>
      </c>
      <c r="I3017" s="3"/>
    </row>
    <row r="3018" customHeight="1" spans="1:9">
      <c r="A3018" s="2"/>
      <c r="B3018" s="2" t="str">
        <f>IFERROR(__xludf.DUMMYFUNCTION("IF(A3018&lt;&gt;"""", GOOGLETRANSLATE(A3018, ""en"", ""te""),"""")"),"")</f>
        <v/>
      </c>
      <c r="C3018" s="2"/>
      <c r="D3018" s="2" t="str">
        <f>IFERROR(__xludf.DUMMYFUNCTION("IF(C3018&lt;&gt;"""", GOOGLETRANSLATE(C3018, ""en"", ""te""),"""")"),"")</f>
        <v/>
      </c>
      <c r="E3018" s="2"/>
      <c r="F3018" s="2" t="str">
        <f>IFERROR(__xludf.DUMMYFUNCTION("IF(E3018&lt;&gt;"""", GOOGLETRANSLATE(E3018, ""en"", ""te""),"""")"),"")</f>
        <v/>
      </c>
      <c r="G3018" s="2"/>
      <c r="H3018" s="2" t="str">
        <f>IFERROR(__xludf.DUMMYFUNCTION("IF(G3018&lt;&gt;"""", GOOGLETRANSLATE(G3018, ""en"", ""te""),"""")"),"")</f>
        <v/>
      </c>
      <c r="I3018" s="3"/>
    </row>
    <row r="3019" customHeight="1" spans="1:9">
      <c r="A3019" s="2"/>
      <c r="B3019" s="2" t="str">
        <f>IFERROR(__xludf.DUMMYFUNCTION("IF(A3019&lt;&gt;"""", GOOGLETRANSLATE(A3019, ""en"", ""te""),"""")"),"")</f>
        <v/>
      </c>
      <c r="C3019" s="2"/>
      <c r="D3019" s="2" t="str">
        <f>IFERROR(__xludf.DUMMYFUNCTION("IF(C3019&lt;&gt;"""", GOOGLETRANSLATE(C3019, ""en"", ""te""),"""")"),"")</f>
        <v/>
      </c>
      <c r="E3019" s="2"/>
      <c r="F3019" s="2" t="str">
        <f>IFERROR(__xludf.DUMMYFUNCTION("IF(E3019&lt;&gt;"""", GOOGLETRANSLATE(E3019, ""en"", ""te""),"""")"),"")</f>
        <v/>
      </c>
      <c r="G3019" s="2" t="s">
        <v>2145</v>
      </c>
      <c r="H3019" s="2" t="str">
        <f>IFERROR(__xludf.DUMMYFUNCTION("IF(G3019&lt;&gt;"""", GOOGLETRANSLATE(G3019, ""en"", ""te""),"""")"),"[ '44 వ ఉత్తమ కెరీర్ బౌలింగ్ సరాసరి (అర్హత లేకుండా) (8.66)']")</f>
        <v>[ '44 వ ఉత్తమ కెరీర్ బౌలింగ్ సరాసరి (అర్హత లేకుండా) (8.66)']</v>
      </c>
      <c r="I3019" s="3"/>
    </row>
    <row r="3020" customHeight="1" spans="1:9">
      <c r="A3020" s="2"/>
      <c r="B3020" s="2" t="str">
        <f>IFERROR(__xludf.DUMMYFUNCTION("IF(A3020&lt;&gt;"""", GOOGLETRANSLATE(A3020, ""en"", ""te""),"""")"),"")</f>
        <v/>
      </c>
      <c r="C3020" s="2"/>
      <c r="D3020" s="2" t="str">
        <f>IFERROR(__xludf.DUMMYFUNCTION("IF(C3020&lt;&gt;"""", GOOGLETRANSLATE(C3020, ""en"", ""te""),"""")"),"")</f>
        <v/>
      </c>
      <c r="E3020" s="2"/>
      <c r="F3020" s="2" t="str">
        <f>IFERROR(__xludf.DUMMYFUNCTION("IF(E3020&lt;&gt;"""", GOOGLETRANSLATE(E3020, ""en"", ""te""),"""")"),"")</f>
        <v/>
      </c>
      <c r="G3020" s="2"/>
      <c r="H3020" s="2" t="str">
        <f>IFERROR(__xludf.DUMMYFUNCTION("IF(G3020&lt;&gt;"""", GOOGLETRANSLATE(G3020, ""en"", ""te""),"""")"),"")</f>
        <v/>
      </c>
      <c r="I3020" s="3"/>
    </row>
    <row r="3021" customHeight="1" spans="1:9">
      <c r="A3021" s="2"/>
      <c r="B3021" s="2" t="str">
        <f>IFERROR(__xludf.DUMMYFUNCTION("IF(A3021&lt;&gt;"""", GOOGLETRANSLATE(A3021, ""en"", ""te""),"""")"),"")</f>
        <v/>
      </c>
      <c r="C3021" s="2"/>
      <c r="D3021" s="2" t="str">
        <f>IFERROR(__xludf.DUMMYFUNCTION("IF(C3021&lt;&gt;"""", GOOGLETRANSLATE(C3021, ""en"", ""te""),"""")"),"")</f>
        <v/>
      </c>
      <c r="E3021" s="2"/>
      <c r="F3021" s="2" t="str">
        <f>IFERROR(__xludf.DUMMYFUNCTION("IF(E3021&lt;&gt;"""", GOOGLETRANSLATE(E3021, ""en"", ""te""),"""")"),"")</f>
        <v/>
      </c>
      <c r="G3021" s="2"/>
      <c r="H3021" s="2" t="str">
        <f>IFERROR(__xludf.DUMMYFUNCTION("IF(G3021&lt;&gt;"""", GOOGLETRANSLATE(G3021, ""en"", ""te""),"""")"),"")</f>
        <v/>
      </c>
      <c r="I3021" s="3"/>
    </row>
    <row r="3022" customHeight="1" spans="1:9">
      <c r="A3022" s="2"/>
      <c r="B3022" s="2" t="str">
        <f>IFERROR(__xludf.DUMMYFUNCTION("IF(A3022&lt;&gt;"""", GOOGLETRANSLATE(A3022, ""en"", ""te""),"""")"),"")</f>
        <v/>
      </c>
      <c r="C3022" s="2"/>
      <c r="D3022" s="2" t="str">
        <f>IFERROR(__xludf.DUMMYFUNCTION("IF(C3022&lt;&gt;"""", GOOGLETRANSLATE(C3022, ""en"", ""te""),"""")"),"")</f>
        <v/>
      </c>
      <c r="E3022" s="2"/>
      <c r="F3022" s="2" t="str">
        <f>IFERROR(__xludf.DUMMYFUNCTION("IF(E3022&lt;&gt;"""", GOOGLETRANSLATE(E3022, ""en"", ""te""),"""")"),"")</f>
        <v/>
      </c>
      <c r="G3022" s="2"/>
      <c r="H3022" s="2" t="str">
        <f>IFERROR(__xludf.DUMMYFUNCTION("IF(G3022&lt;&gt;"""", GOOGLETRANSLATE(G3022, ""en"", ""te""),"""")"),"")</f>
        <v/>
      </c>
      <c r="I3022" s="3"/>
    </row>
    <row r="3023" customHeight="1" spans="1:9">
      <c r="A3023" s="2"/>
      <c r="B3023" s="2" t="str">
        <f>IFERROR(__xludf.DUMMYFUNCTION("IF(A3023&lt;&gt;"""", GOOGLETRANSLATE(A3023, ""en"", ""te""),"""")"),"")</f>
        <v/>
      </c>
      <c r="C3023" s="2"/>
      <c r="D3023" s="2" t="str">
        <f>IFERROR(__xludf.DUMMYFUNCTION("IF(C3023&lt;&gt;"""", GOOGLETRANSLATE(C3023, ""en"", ""te""),"""")"),"")</f>
        <v/>
      </c>
      <c r="E3023" s="2"/>
      <c r="F3023" s="2" t="str">
        <f>IFERROR(__xludf.DUMMYFUNCTION("IF(E3023&lt;&gt;"""", GOOGLETRANSLATE(E3023, ""en"", ""te""),"""")"),"")</f>
        <v/>
      </c>
      <c r="G3023" s="2"/>
      <c r="H3023" s="2" t="str">
        <f>IFERROR(__xludf.DUMMYFUNCTION("IF(G3023&lt;&gt;"""", GOOGLETRANSLATE(G3023, ""en"", ""te""),"""")"),"")</f>
        <v/>
      </c>
      <c r="I3023" s="3"/>
    </row>
    <row r="3024" customHeight="1" spans="1:9">
      <c r="A3024" s="2"/>
      <c r="B3024" s="2" t="str">
        <f>IFERROR(__xludf.DUMMYFUNCTION("IF(A3024&lt;&gt;"""", GOOGLETRANSLATE(A3024, ""en"", ""te""),"""")"),"")</f>
        <v/>
      </c>
      <c r="C3024" s="2"/>
      <c r="D3024" s="2" t="str">
        <f>IFERROR(__xludf.DUMMYFUNCTION("IF(C3024&lt;&gt;"""", GOOGLETRANSLATE(C3024, ""en"", ""te""),"""")"),"")</f>
        <v/>
      </c>
      <c r="E3024" s="2"/>
      <c r="F3024" s="2" t="str">
        <f>IFERROR(__xludf.DUMMYFUNCTION("IF(E3024&lt;&gt;"""", GOOGLETRANSLATE(E3024, ""en"", ""te""),"""")"),"")</f>
        <v/>
      </c>
      <c r="G3024" s="2"/>
      <c r="H3024" s="2" t="str">
        <f>IFERROR(__xludf.DUMMYFUNCTION("IF(G3024&lt;&gt;"""", GOOGLETRANSLATE(G3024, ""en"", ""te""),"""")"),"")</f>
        <v/>
      </c>
      <c r="I3024" s="3"/>
    </row>
    <row r="3025" customHeight="1" spans="1:9">
      <c r="A3025" s="2"/>
      <c r="B3025" s="2" t="str">
        <f>IFERROR(__xludf.DUMMYFUNCTION("IF(A3025&lt;&gt;"""", GOOGLETRANSLATE(A3025, ""en"", ""te""),"""")"),"")</f>
        <v/>
      </c>
      <c r="C3025" s="2"/>
      <c r="D3025" s="2" t="str">
        <f>IFERROR(__xludf.DUMMYFUNCTION("IF(C3025&lt;&gt;"""", GOOGLETRANSLATE(C3025, ""en"", ""te""),"""")"),"")</f>
        <v/>
      </c>
      <c r="E3025" s="2"/>
      <c r="F3025" s="2" t="str">
        <f>IFERROR(__xludf.DUMMYFUNCTION("IF(E3025&lt;&gt;"""", GOOGLETRANSLATE(E3025, ""en"", ""te""),"""")"),"")</f>
        <v/>
      </c>
      <c r="G3025" s="2"/>
      <c r="H3025" s="2" t="str">
        <f>IFERROR(__xludf.DUMMYFUNCTION("IF(G3025&lt;&gt;"""", GOOGLETRANSLATE(G3025, ""en"", ""te""),"""")"),"")</f>
        <v/>
      </c>
      <c r="I3025" s="3"/>
    </row>
    <row r="3026" customHeight="1" spans="1:9">
      <c r="A3026" s="2"/>
      <c r="B3026" s="2" t="str">
        <f>IFERROR(__xludf.DUMMYFUNCTION("IF(A3026&lt;&gt;"""", GOOGLETRANSLATE(A3026, ""en"", ""te""),"""")"),"")</f>
        <v/>
      </c>
      <c r="C3026" s="2"/>
      <c r="D3026" s="2" t="str">
        <f>IFERROR(__xludf.DUMMYFUNCTION("IF(C3026&lt;&gt;"""", GOOGLETRANSLATE(C3026, ""en"", ""te""),"""")"),"")</f>
        <v/>
      </c>
      <c r="E3026" s="2"/>
      <c r="F3026" s="2" t="str">
        <f>IFERROR(__xludf.DUMMYFUNCTION("IF(E3026&lt;&gt;"""", GOOGLETRANSLATE(E3026, ""en"", ""te""),"""")"),"")</f>
        <v/>
      </c>
      <c r="G3026" s="2"/>
      <c r="H3026" s="2" t="str">
        <f>IFERROR(__xludf.DUMMYFUNCTION("IF(G3026&lt;&gt;"""", GOOGLETRANSLATE(G3026, ""en"", ""te""),"""")"),"")</f>
        <v/>
      </c>
      <c r="I3026" s="3"/>
    </row>
    <row r="3027" customHeight="1" spans="1:9">
      <c r="A3027" s="2"/>
      <c r="B3027" s="2" t="str">
        <f>IFERROR(__xludf.DUMMYFUNCTION("IF(A3027&lt;&gt;"""", GOOGLETRANSLATE(A3027, ""en"", ""te""),"""")"),"")</f>
        <v/>
      </c>
      <c r="C3027" s="2"/>
      <c r="D3027" s="2" t="str">
        <f>IFERROR(__xludf.DUMMYFUNCTION("IF(C3027&lt;&gt;"""", GOOGLETRANSLATE(C3027, ""en"", ""te""),"""")"),"")</f>
        <v/>
      </c>
      <c r="E3027" s="2"/>
      <c r="F3027" s="2" t="str">
        <f>IFERROR(__xludf.DUMMYFUNCTION("IF(E3027&lt;&gt;"""", GOOGLETRANSLATE(E3027, ""en"", ""te""),"""")"),"")</f>
        <v/>
      </c>
      <c r="G3027" s="2"/>
      <c r="H3027" s="2" t="str">
        <f>IFERROR(__xludf.DUMMYFUNCTION("IF(G3027&lt;&gt;"""", GOOGLETRANSLATE(G3027, ""en"", ""te""),"""")"),"")</f>
        <v/>
      </c>
      <c r="I3027" s="3"/>
    </row>
    <row r="3028" customHeight="1" spans="1:9">
      <c r="A3028" s="2"/>
      <c r="B3028" s="2" t="str">
        <f>IFERROR(__xludf.DUMMYFUNCTION("IF(A3028&lt;&gt;"""", GOOGLETRANSLATE(A3028, ""en"", ""te""),"""")"),"")</f>
        <v/>
      </c>
      <c r="C3028" s="2"/>
      <c r="D3028" s="2" t="str">
        <f>IFERROR(__xludf.DUMMYFUNCTION("IF(C3028&lt;&gt;"""", GOOGLETRANSLATE(C3028, ""en"", ""te""),"""")"),"")</f>
        <v/>
      </c>
      <c r="E3028" s="2"/>
      <c r="F3028" s="2" t="str">
        <f>IFERROR(__xludf.DUMMYFUNCTION("IF(E3028&lt;&gt;"""", GOOGLETRANSLATE(E3028, ""en"", ""te""),"""")"),"")</f>
        <v/>
      </c>
      <c r="G3028" s="2" t="s">
        <v>2146</v>
      </c>
      <c r="H3028" s="2" t="str">
        <f>IFERROR(__xludf.DUMMYFUNCTION("IF(G3028&lt;&gt;"""", GOOGLETRANSLATE(G3028, ""en"", ""te""),"""")"),"[ '15 మ్యాచ్ రిఫరీ గా అత్యధిక మ్యాచ్లు (20)']")</f>
        <v>[ '15 మ్యాచ్ రిఫరీ గా అత్యధిక మ్యాచ్లు (20)']</v>
      </c>
      <c r="I3028" s="3"/>
    </row>
    <row r="3029" customHeight="1" spans="1:9">
      <c r="A3029" s="2"/>
      <c r="B3029" s="2" t="str">
        <f>IFERROR(__xludf.DUMMYFUNCTION("IF(A3029&lt;&gt;"""", GOOGLETRANSLATE(A3029, ""en"", ""te""),"""")"),"")</f>
        <v/>
      </c>
      <c r="C3029" s="2"/>
      <c r="D3029" s="2" t="str">
        <f>IFERROR(__xludf.DUMMYFUNCTION("IF(C3029&lt;&gt;"""", GOOGLETRANSLATE(C3029, ""en"", ""te""),"""")"),"")</f>
        <v/>
      </c>
      <c r="E3029" s="2"/>
      <c r="F3029" s="2" t="str">
        <f>IFERROR(__xludf.DUMMYFUNCTION("IF(E3029&lt;&gt;"""", GOOGLETRANSLATE(E3029, ""en"", ""te""),"""")"),"")</f>
        <v/>
      </c>
      <c r="G3029" s="2"/>
      <c r="H3029" s="2" t="str">
        <f>IFERROR(__xludf.DUMMYFUNCTION("IF(G3029&lt;&gt;"""", GOOGLETRANSLATE(G3029, ""en"", ""te""),"""")"),"")</f>
        <v/>
      </c>
      <c r="I3029" s="3"/>
    </row>
    <row r="3030" customHeight="1" spans="1:9">
      <c r="A3030" s="2" t="s">
        <v>2147</v>
      </c>
      <c r="B3030" s="2" t="str">
        <f>IFERROR(__xludf.DUMMYFUNCTION("IF(A3030&lt;&gt;"""", GOOGLETRANSLATE(A3030, ""en"", ""te""),"""")"),"[ 'ఇన్నింగ్స్ లో 3 వ అత్యధిక పరుగులు (బ్యాటింగ్ స్థానంలో ప్రకారం) (98)', '1 వ వరుస బాతులు (3)', '10 వ అత్యుత్తమ బౌలింగ్ ఇన్నింగ్స్ లో విశ్లేషించడం (3/10)', '7 వ కెరీర్లో అత్యధిక క్యాచ్లు ( 13) ',' ఏడవ వికెట్ (106) 4 వ అత్యధిక భాగస్వామ్యం ',' 2 వ చెత్త కెర"&amp;"ీర్ బౌలింగ్ సరాసరి (51.21) ']")</f>
        <v>[ 'ఇన్నింగ్స్ లో 3 వ అత్యధిక పరుగులు (బ్యాటింగ్ స్థానంలో ప్రకారం) (98)', '1 వ వరుస బాతులు (3)', '10 వ అత్యుత్తమ బౌలింగ్ ఇన్నింగ్స్ లో విశ్లేషించడం (3/10)', '7 వ కెరీర్లో అత్యధిక క్యాచ్లు ( 13) ',' ఏడవ వికెట్ (106) 4 వ అత్యధిక భాగస్వామ్యం ',' 2 వ చెత్త కెరీర్ బౌలింగ్ సరాసరి (51.21) ']</v>
      </c>
      <c r="C3030" s="2" t="s">
        <v>2148</v>
      </c>
      <c r="D3030" s="2" t="str">
        <f>IFERROR(__xludf.DUMMYFUNCTION("IF(C3030&lt;&gt;"""", GOOGLETRANSLATE(C3030, ""en"", ""te""),"""")"),"[ '3 వ అత్యంత ఇన్నింగ్స్ లో నడుస్తుంది (బ్యాటింగ్ స్థానం) (98)', 'కెరీర్ లో 2 వ పెద్ద బాతులు (5)', '1st ఒక సిరీస్లో అత్యధిక బాతులు (3)', '1 వ వరుస బాతులు (3)' 'కెరీర్ లో 2 వ పెద్ద జతల (1)', 'ఇన్నింగ్స్ లో 10 వ అత్యుత్తమ బౌలింగ్ విశ్లేషణలు (3/10)', 'ఇన్నిం"&amp;"గ్స్ లో 24 చెత్త ఆర్థిక రేటు (4.27)', '7 వ కెరీర్ (13) లో అత్యధిక క్యాచ్లు' 'ఏ వికెట్కు 25 అత్యధిక భాగస్వామ్యాల (155)', 'రెండవ వికెట్కు 6 వ అత్యధిక భాగస్వామ్యం (155)', 'ఏడవ వికెట్కు 4 వ అత్యధిక భాగస్వామ్యం (106)', 'ఒక జట్టుకు 23 వ వరుస మ్యాచ్లు (12) ']")</f>
        <v>[ '3 వ అత్యంత ఇన్నింగ్స్ లో నడుస్తుంది (బ్యాటింగ్ స్థానం) (98)', 'కెరీర్ లో 2 వ పెద్ద బాతులు (5)', '1st ఒక సిరీస్లో అత్యధిక బాతులు (3)', '1 వ వరుస బాతులు (3)' 'కెరీర్ లో 2 వ పెద్ద జతల (1)', 'ఇన్నింగ్స్ లో 10 వ అత్యుత్తమ బౌలింగ్ విశ్లేషణలు (3/10)', 'ఇన్నింగ్స్ లో 24 చెత్త ఆర్థిక రేటు (4.27)', '7 వ కెరీర్ (13) లో అత్యధిక క్యాచ్లు' 'ఏ వికెట్కు 25 అత్యధిక భాగస్వామ్యాల (155)', 'రెండవ వికెట్కు 6 వ అత్యధిక భాగస్వామ్యం (155)', 'ఏడవ వికెట్కు 4 వ అత్యధిక భాగస్వామ్యం (106)', 'ఒక జట్టుకు 23 వ వరుస మ్యాచ్లు (12) ']</v>
      </c>
      <c r="E3030" s="2" t="s">
        <v>2149</v>
      </c>
      <c r="F3030" s="2" t="str">
        <f>IFERROR(__xludf.DUMMYFUNCTION("IF(E3030&lt;&gt;"""", GOOGLETRANSLATE(E3030, ""en"", ""te""),"""")"),"[ '13 వ అత్యంత లేకుండా కెరీర్లో పరుగులు వంద (1324)', 'వరుస ఇన్నింగ్స్లో 28 యాభైల్లో (3)', '21 వ కెరీర్ బాతులు (9) ',' 2 వ చెత్త కెరీర్ బౌలింగ్ సరాసరి (51.21) ',' 30 వ చెత్త కెరీర్లో ఆర్థిక రేటు (4.26) ',' 6 వ చెత్త కెరీర్లో సమ్మె రేటు (72.0) ',' 49 వ కెర"&amp;"ీర్ లో అత్యధిక క్యాచ్లు (27) ']")</f>
        <v>[ '13 వ అత్యంత లేకుండా కెరీర్లో పరుగులు వంద (1324)', 'వరుస ఇన్నింగ్స్లో 28 యాభైల్లో (3)', '21 వ కెరీర్ బాతులు (9) ',' 2 వ చెత్త కెరీర్ బౌలింగ్ సరాసరి (51.21) ',' 30 వ చెత్త కెరీర్లో ఆర్థిక రేటు (4.26) ',' 6 వ చెత్త కెరీర్లో సమ్మె రేటు (72.0) ',' 49 వ కెరీర్ లో అత్యధిక క్యాచ్లు (27) ']</v>
      </c>
      <c r="G3030" s="2"/>
      <c r="H3030" s="2" t="str">
        <f>IFERROR(__xludf.DUMMYFUNCTION("IF(G3030&lt;&gt;"""", GOOGLETRANSLATE(G3030, ""en"", ""te""),"""")"),"")</f>
        <v/>
      </c>
      <c r="I3030" s="3"/>
    </row>
    <row r="3031" customHeight="1" spans="1:9">
      <c r="A3031" s="2"/>
      <c r="B3031" s="2" t="str">
        <f>IFERROR(__xludf.DUMMYFUNCTION("IF(A3031&lt;&gt;"""", GOOGLETRANSLATE(A3031, ""en"", ""te""),"""")"),"")</f>
        <v/>
      </c>
      <c r="C3031" s="2"/>
      <c r="D3031" s="2" t="str">
        <f>IFERROR(__xludf.DUMMYFUNCTION("IF(C3031&lt;&gt;"""", GOOGLETRANSLATE(C3031, ""en"", ""te""),"""")"),"")</f>
        <v/>
      </c>
      <c r="E3031" s="2"/>
      <c r="F3031" s="2" t="str">
        <f>IFERROR(__xludf.DUMMYFUNCTION("IF(E3031&lt;&gt;"""", GOOGLETRANSLATE(E3031, ""en"", ""te""),"""")"),"")</f>
        <v/>
      </c>
      <c r="G3031" s="2"/>
      <c r="H3031" s="2" t="str">
        <f>IFERROR(__xludf.DUMMYFUNCTION("IF(G3031&lt;&gt;"""", GOOGLETRANSLATE(G3031, ""en"", ""te""),"""")"),"")</f>
        <v/>
      </c>
      <c r="I3031" s="3"/>
    </row>
    <row r="3032" customHeight="1" spans="1:9">
      <c r="A3032" s="2"/>
      <c r="B3032" s="2" t="str">
        <f>IFERROR(__xludf.DUMMYFUNCTION("IF(A3032&lt;&gt;"""", GOOGLETRANSLATE(A3032, ""en"", ""te""),"""")"),"")</f>
        <v/>
      </c>
      <c r="C3032" s="2"/>
      <c r="D3032" s="2" t="str">
        <f>IFERROR(__xludf.DUMMYFUNCTION("IF(C3032&lt;&gt;"""", GOOGLETRANSLATE(C3032, ""en"", ""te""),"""")"),"")</f>
        <v/>
      </c>
      <c r="E3032" s="2" t="s">
        <v>2150</v>
      </c>
      <c r="F3032" s="2" t="str">
        <f>IFERROR(__xludf.DUMMYFUNCTION("IF(E3032&lt;&gt;"""", GOOGLETRANSLATE(E3032, ""en"", ""te""),"""")"),"[ 'వరుస 46 వ అత్యధిక వికెట్లు (14)' 'వరుస 38 వ అత్యధిక క్యాచ్లు (13)' '44 వ అత్యధిక ఎనిమిదవ వికెట్కు భాగస్వామ్యం (76)',]")</f>
        <v>[ 'వరుస 46 వ అత్యధిక వికెట్లు (14)' 'వరుస 38 వ అత్యధిక క్యాచ్లు (13)' '44 వ అత్యధిక ఎనిమిదవ వికెట్కు భాగస్వామ్యం (76)',]</v>
      </c>
      <c r="G3032" s="2" t="s">
        <v>2151</v>
      </c>
      <c r="H3032" s="2" t="str">
        <f>IFERROR(__xludf.DUMMYFUNCTION("IF(G3032&lt;&gt;"""", GOOGLETRANSLATE(G3032, ""en"", ""te""),"""")"),"[ 'ఏడవ వికెట్కు 38 వ అత్యధిక భాగస్వామ్యం (49)', '19 వ పురాతన దేశం ఆటగాళ్ళు (50y 145d)']")</f>
        <v>[ 'ఏడవ వికెట్కు 38 వ అత్యధిక భాగస్వామ్యం (49)', '19 వ పురాతన దేశం ఆటగాళ్ళు (50y 145d)']</v>
      </c>
      <c r="I3032" s="3"/>
    </row>
    <row r="3033" customHeight="1" spans="1:9">
      <c r="A3033" s="2"/>
      <c r="B3033" s="2" t="str">
        <f>IFERROR(__xludf.DUMMYFUNCTION("IF(A3033&lt;&gt;"""", GOOGLETRANSLATE(A3033, ""en"", ""te""),"""")"),"")</f>
        <v/>
      </c>
      <c r="C3033" s="2"/>
      <c r="D3033" s="2" t="str">
        <f>IFERROR(__xludf.DUMMYFUNCTION("IF(C3033&lt;&gt;"""", GOOGLETRANSLATE(C3033, ""en"", ""te""),"""")"),"")</f>
        <v/>
      </c>
      <c r="E3033" s="2"/>
      <c r="F3033" s="2" t="str">
        <f>IFERROR(__xludf.DUMMYFUNCTION("IF(E3033&lt;&gt;"""", GOOGLETRANSLATE(E3033, ""en"", ""te""),"""")"),"")</f>
        <v/>
      </c>
      <c r="G3033" s="2"/>
      <c r="H3033" s="2" t="str">
        <f>IFERROR(__xludf.DUMMYFUNCTION("IF(G3033&lt;&gt;"""", GOOGLETRANSLATE(G3033, ""en"", ""te""),"""")"),"")</f>
        <v/>
      </c>
      <c r="I3033" s="3"/>
    </row>
    <row r="3034" customHeight="1" spans="1:9">
      <c r="A3034" s="2"/>
      <c r="B3034" s="2" t="str">
        <f>IFERROR(__xludf.DUMMYFUNCTION("IF(A3034&lt;&gt;"""", GOOGLETRANSLATE(A3034, ""en"", ""te""),"""")"),"")</f>
        <v/>
      </c>
      <c r="C3034" s="2"/>
      <c r="D3034" s="2" t="str">
        <f>IFERROR(__xludf.DUMMYFUNCTION("IF(C3034&lt;&gt;"""", GOOGLETRANSLATE(C3034, ""en"", ""te""),"""")"),"")</f>
        <v/>
      </c>
      <c r="E3034" s="2"/>
      <c r="F3034" s="2" t="str">
        <f>IFERROR(__xludf.DUMMYFUNCTION("IF(E3034&lt;&gt;"""", GOOGLETRANSLATE(E3034, ""en"", ""te""),"""")"),"")</f>
        <v/>
      </c>
      <c r="G3034" s="2"/>
      <c r="H3034" s="2" t="str">
        <f>IFERROR(__xludf.DUMMYFUNCTION("IF(G3034&lt;&gt;"""", GOOGLETRANSLATE(G3034, ""en"", ""te""),"""")"),"")</f>
        <v/>
      </c>
      <c r="I3034" s="3"/>
    </row>
    <row r="3035" customHeight="1" spans="1:9">
      <c r="A3035" s="2"/>
      <c r="B3035" s="2" t="str">
        <f>IFERROR(__xludf.DUMMYFUNCTION("IF(A3035&lt;&gt;"""", GOOGLETRANSLATE(A3035, ""en"", ""te""),"""")"),"")</f>
        <v/>
      </c>
      <c r="C3035" s="2"/>
      <c r="D3035" s="2" t="str">
        <f>IFERROR(__xludf.DUMMYFUNCTION("IF(C3035&lt;&gt;"""", GOOGLETRANSLATE(C3035, ""en"", ""te""),"""")"),"")</f>
        <v/>
      </c>
      <c r="E3035" s="2"/>
      <c r="F3035" s="2" t="str">
        <f>IFERROR(__xludf.DUMMYFUNCTION("IF(E3035&lt;&gt;"""", GOOGLETRANSLATE(E3035, ""en"", ""te""),"""")"),"")</f>
        <v/>
      </c>
      <c r="G3035" s="2"/>
      <c r="H3035" s="2" t="str">
        <f>IFERROR(__xludf.DUMMYFUNCTION("IF(G3035&lt;&gt;"""", GOOGLETRANSLATE(G3035, ""en"", ""te""),"""")"),"")</f>
        <v/>
      </c>
      <c r="I3035" s="3"/>
    </row>
    <row r="3036" customHeight="1" spans="1:9">
      <c r="A3036" s="2"/>
      <c r="B3036" s="2" t="str">
        <f>IFERROR(__xludf.DUMMYFUNCTION("IF(A3036&lt;&gt;"""", GOOGLETRANSLATE(A3036, ""en"", ""te""),"""")"),"")</f>
        <v/>
      </c>
      <c r="C3036" s="2"/>
      <c r="D3036" s="2" t="str">
        <f>IFERROR(__xludf.DUMMYFUNCTION("IF(C3036&lt;&gt;"""", GOOGLETRANSLATE(C3036, ""en"", ""te""),"""")"),"")</f>
        <v/>
      </c>
      <c r="E3036" s="2"/>
      <c r="F3036" s="2" t="str">
        <f>IFERROR(__xludf.DUMMYFUNCTION("IF(E3036&lt;&gt;"""", GOOGLETRANSLATE(E3036, ""en"", ""te""),"""")"),"")</f>
        <v/>
      </c>
      <c r="G3036" s="2"/>
      <c r="H3036" s="2" t="str">
        <f>IFERROR(__xludf.DUMMYFUNCTION("IF(G3036&lt;&gt;"""", GOOGLETRANSLATE(G3036, ""en"", ""te""),"""")"),"")</f>
        <v/>
      </c>
      <c r="I3036" s="3"/>
    </row>
    <row r="3037" customHeight="1" spans="1:9">
      <c r="A3037" s="2"/>
      <c r="B3037" s="2" t="str">
        <f>IFERROR(__xludf.DUMMYFUNCTION("IF(A3037&lt;&gt;"""", GOOGLETRANSLATE(A3037, ""en"", ""te""),"""")"),"")</f>
        <v/>
      </c>
      <c r="C3037" s="2"/>
      <c r="D3037" s="2" t="str">
        <f>IFERROR(__xludf.DUMMYFUNCTION("IF(C3037&lt;&gt;"""", GOOGLETRANSLATE(C3037, ""en"", ""te""),"""")"),"")</f>
        <v/>
      </c>
      <c r="E3037" s="2"/>
      <c r="F3037" s="2" t="str">
        <f>IFERROR(__xludf.DUMMYFUNCTION("IF(E3037&lt;&gt;"""", GOOGLETRANSLATE(E3037, ""en"", ""te""),"""")"),"")</f>
        <v/>
      </c>
      <c r="G3037" s="2"/>
      <c r="H3037" s="2" t="str">
        <f>IFERROR(__xludf.DUMMYFUNCTION("IF(G3037&lt;&gt;"""", GOOGLETRANSLATE(G3037, ""en"", ""te""),"""")"),"")</f>
        <v/>
      </c>
      <c r="I3037" s="3"/>
    </row>
    <row r="3038" customHeight="1" spans="1:9">
      <c r="A3038" s="2"/>
      <c r="B3038" s="2" t="str">
        <f>IFERROR(__xludf.DUMMYFUNCTION("IF(A3038&lt;&gt;"""", GOOGLETRANSLATE(A3038, ""en"", ""te""),"""")"),"")</f>
        <v/>
      </c>
      <c r="C3038" s="2"/>
      <c r="D3038" s="2" t="str">
        <f>IFERROR(__xludf.DUMMYFUNCTION("IF(C3038&lt;&gt;"""", GOOGLETRANSLATE(C3038, ""en"", ""te""),"""")"),"")</f>
        <v/>
      </c>
      <c r="E3038" s="2"/>
      <c r="F3038" s="2" t="str">
        <f>IFERROR(__xludf.DUMMYFUNCTION("IF(E3038&lt;&gt;"""", GOOGLETRANSLATE(E3038, ""en"", ""te""),"""")"),"")</f>
        <v/>
      </c>
      <c r="G3038" s="2"/>
      <c r="H3038" s="2" t="str">
        <f>IFERROR(__xludf.DUMMYFUNCTION("IF(G3038&lt;&gt;"""", GOOGLETRANSLATE(G3038, ""en"", ""te""),"""")"),"")</f>
        <v/>
      </c>
      <c r="I3038" s="3"/>
    </row>
    <row r="3039" customHeight="1" spans="1:9">
      <c r="A3039" s="2"/>
      <c r="B3039" s="2" t="str">
        <f>IFERROR(__xludf.DUMMYFUNCTION("IF(A3039&lt;&gt;"""", GOOGLETRANSLATE(A3039, ""en"", ""te""),"""")"),"")</f>
        <v/>
      </c>
      <c r="C3039" s="2"/>
      <c r="D3039" s="2" t="str">
        <f>IFERROR(__xludf.DUMMYFUNCTION("IF(C3039&lt;&gt;"""", GOOGLETRANSLATE(C3039, ""en"", ""te""),"""")"),"")</f>
        <v/>
      </c>
      <c r="E3039" s="2"/>
      <c r="F3039" s="2" t="str">
        <f>IFERROR(__xludf.DUMMYFUNCTION("IF(E3039&lt;&gt;"""", GOOGLETRANSLATE(E3039, ""en"", ""te""),"""")"),"")</f>
        <v/>
      </c>
      <c r="G3039" s="2"/>
      <c r="H3039" s="2" t="str">
        <f>IFERROR(__xludf.DUMMYFUNCTION("IF(G3039&lt;&gt;"""", GOOGLETRANSLATE(G3039, ""en"", ""te""),"""")"),"")</f>
        <v/>
      </c>
      <c r="I3039" s="3"/>
    </row>
    <row r="3040" customHeight="1" spans="1:9">
      <c r="A3040" s="2"/>
      <c r="B3040" s="2" t="str">
        <f>IFERROR(__xludf.DUMMYFUNCTION("IF(A3040&lt;&gt;"""", GOOGLETRANSLATE(A3040, ""en"", ""te""),"""")"),"")</f>
        <v/>
      </c>
      <c r="C3040" s="2"/>
      <c r="D3040" s="2" t="str">
        <f>IFERROR(__xludf.DUMMYFUNCTION("IF(C3040&lt;&gt;"""", GOOGLETRANSLATE(C3040, ""en"", ""te""),"""")"),"")</f>
        <v/>
      </c>
      <c r="E3040" s="2"/>
      <c r="F3040" s="2" t="str">
        <f>IFERROR(__xludf.DUMMYFUNCTION("IF(E3040&lt;&gt;"""", GOOGLETRANSLATE(E3040, ""en"", ""te""),"""")"),"")</f>
        <v/>
      </c>
      <c r="G3040" s="2"/>
      <c r="H3040" s="2" t="str">
        <f>IFERROR(__xludf.DUMMYFUNCTION("IF(G3040&lt;&gt;"""", GOOGLETRANSLATE(G3040, ""en"", ""te""),"""")"),"")</f>
        <v/>
      </c>
      <c r="I3040" s="3"/>
    </row>
    <row r="3041" customHeight="1" spans="1:9">
      <c r="A3041" s="2"/>
      <c r="B3041" s="2" t="str">
        <f>IFERROR(__xludf.DUMMYFUNCTION("IF(A3041&lt;&gt;"""", GOOGLETRANSLATE(A3041, ""en"", ""te""),"""")"),"")</f>
        <v/>
      </c>
      <c r="C3041" s="2"/>
      <c r="D3041" s="2" t="str">
        <f>IFERROR(__xludf.DUMMYFUNCTION("IF(C3041&lt;&gt;"""", GOOGLETRANSLATE(C3041, ""en"", ""te""),"""")"),"")</f>
        <v/>
      </c>
      <c r="E3041" s="2"/>
      <c r="F3041" s="2" t="str">
        <f>IFERROR(__xludf.DUMMYFUNCTION("IF(E3041&lt;&gt;"""", GOOGLETRANSLATE(E3041, ""en"", ""te""),"""")"),"")</f>
        <v/>
      </c>
      <c r="G3041" s="2"/>
      <c r="H3041" s="2" t="str">
        <f>IFERROR(__xludf.DUMMYFUNCTION("IF(G3041&lt;&gt;"""", GOOGLETRANSLATE(G3041, ""en"", ""te""),"""")"),"")</f>
        <v/>
      </c>
      <c r="I3041" s="3"/>
    </row>
    <row r="3042" customHeight="1" spans="1:9">
      <c r="A3042" s="2"/>
      <c r="B3042" s="2" t="str">
        <f>IFERROR(__xludf.DUMMYFUNCTION("IF(A3042&lt;&gt;"""", GOOGLETRANSLATE(A3042, ""en"", ""te""),"""")"),"")</f>
        <v/>
      </c>
      <c r="C3042" s="2" t="s">
        <v>2152</v>
      </c>
      <c r="D3042" s="2" t="str">
        <f>IFERROR(__xludf.DUMMYFUNCTION("IF(C3042&lt;&gt;"""", GOOGLETRANSLATE(C3042, ""en"", ""te""),"""")"),"[ '45 వ అత్యధిక ఒక ఇన్నింగ్స్లో పరుగుల శాతం (56.89)']")</f>
        <v>[ '45 వ అత్యధిక ఒక ఇన్నింగ్స్లో పరుగుల శాతం (56.89)']</v>
      </c>
      <c r="E3042" s="2"/>
      <c r="F3042" s="2" t="str">
        <f>IFERROR(__xludf.DUMMYFUNCTION("IF(E3042&lt;&gt;"""", GOOGLETRANSLATE(E3042, ""en"", ""te""),"""")"),"")</f>
        <v/>
      </c>
      <c r="G3042" s="2"/>
      <c r="H3042" s="2" t="str">
        <f>IFERROR(__xludf.DUMMYFUNCTION("IF(G3042&lt;&gt;"""", GOOGLETRANSLATE(G3042, ""en"", ""te""),"""")"),"")</f>
        <v/>
      </c>
      <c r="I3042" s="3"/>
    </row>
    <row r="3043" customHeight="1" spans="1:9">
      <c r="A3043" s="2"/>
      <c r="B3043" s="2" t="str">
        <f>IFERROR(__xludf.DUMMYFUNCTION("IF(A3043&lt;&gt;"""", GOOGLETRANSLATE(A3043, ""en"", ""te""),"""")"),"")</f>
        <v/>
      </c>
      <c r="C3043" s="2"/>
      <c r="D3043" s="2" t="str">
        <f>IFERROR(__xludf.DUMMYFUNCTION("IF(C3043&lt;&gt;"""", GOOGLETRANSLATE(C3043, ""en"", ""te""),"""")"),"")</f>
        <v/>
      </c>
      <c r="E3043" s="2"/>
      <c r="F3043" s="2" t="str">
        <f>IFERROR(__xludf.DUMMYFUNCTION("IF(E3043&lt;&gt;"""", GOOGLETRANSLATE(E3043, ""en"", ""te""),"""")"),"")</f>
        <v/>
      </c>
      <c r="G3043" s="2"/>
      <c r="H3043" s="2" t="str">
        <f>IFERROR(__xludf.DUMMYFUNCTION("IF(G3043&lt;&gt;"""", GOOGLETRANSLATE(G3043, ""en"", ""te""),"""")"),"")</f>
        <v/>
      </c>
      <c r="I3043" s="3"/>
    </row>
    <row r="3044" customHeight="1" spans="1:9">
      <c r="A3044" s="2"/>
      <c r="B3044" s="2" t="str">
        <f>IFERROR(__xludf.DUMMYFUNCTION("IF(A3044&lt;&gt;"""", GOOGLETRANSLATE(A3044, ""en"", ""te""),"""")"),"")</f>
        <v/>
      </c>
      <c r="C3044" s="2"/>
      <c r="D3044" s="2" t="str">
        <f>IFERROR(__xludf.DUMMYFUNCTION("IF(C3044&lt;&gt;"""", GOOGLETRANSLATE(C3044, ""en"", ""te""),"""")"),"")</f>
        <v/>
      </c>
      <c r="E3044" s="2"/>
      <c r="F3044" s="2" t="str">
        <f>IFERROR(__xludf.DUMMYFUNCTION("IF(E3044&lt;&gt;"""", GOOGLETRANSLATE(E3044, ""en"", ""te""),"""")"),"")</f>
        <v/>
      </c>
      <c r="G3044" s="2"/>
      <c r="H3044" s="2" t="str">
        <f>IFERROR(__xludf.DUMMYFUNCTION("IF(G3044&lt;&gt;"""", GOOGLETRANSLATE(G3044, ""en"", ""te""),"""")"),"")</f>
        <v/>
      </c>
      <c r="I3044" s="3"/>
    </row>
    <row r="3045" customHeight="1" spans="1:9">
      <c r="A3045" s="2"/>
      <c r="B3045" s="2" t="str">
        <f>IFERROR(__xludf.DUMMYFUNCTION("IF(A3045&lt;&gt;"""", GOOGLETRANSLATE(A3045, ""en"", ""te""),"""")"),"")</f>
        <v/>
      </c>
      <c r="C3045" s="2"/>
      <c r="D3045" s="2" t="str">
        <f>IFERROR(__xludf.DUMMYFUNCTION("IF(C3045&lt;&gt;"""", GOOGLETRANSLATE(C3045, ""en"", ""te""),"""")"),"")</f>
        <v/>
      </c>
      <c r="E3045" s="2"/>
      <c r="F3045" s="2" t="str">
        <f>IFERROR(__xludf.DUMMYFUNCTION("IF(E3045&lt;&gt;"""", GOOGLETRANSLATE(E3045, ""en"", ""te""),"""")"),"")</f>
        <v/>
      </c>
      <c r="G3045" s="2"/>
      <c r="H3045" s="2" t="str">
        <f>IFERROR(__xludf.DUMMYFUNCTION("IF(G3045&lt;&gt;"""", GOOGLETRANSLATE(G3045, ""en"", ""te""),"""")"),"")</f>
        <v/>
      </c>
      <c r="I3045" s="3"/>
    </row>
    <row r="3046" customHeight="1" spans="1:9">
      <c r="A3046" s="2"/>
      <c r="B3046" s="2" t="str">
        <f>IFERROR(__xludf.DUMMYFUNCTION("IF(A3046&lt;&gt;"""", GOOGLETRANSLATE(A3046, ""en"", ""te""),"""")"),"")</f>
        <v/>
      </c>
      <c r="C3046" s="2"/>
      <c r="D3046" s="2" t="str">
        <f>IFERROR(__xludf.DUMMYFUNCTION("IF(C3046&lt;&gt;"""", GOOGLETRANSLATE(C3046, ""en"", ""te""),"""")"),"")</f>
        <v/>
      </c>
      <c r="E3046" s="2"/>
      <c r="F3046" s="2" t="str">
        <f>IFERROR(__xludf.DUMMYFUNCTION("IF(E3046&lt;&gt;"""", GOOGLETRANSLATE(E3046, ""en"", ""te""),"""")"),"")</f>
        <v/>
      </c>
      <c r="G3046" s="2"/>
      <c r="H3046" s="2" t="str">
        <f>IFERROR(__xludf.DUMMYFUNCTION("IF(G3046&lt;&gt;"""", GOOGLETRANSLATE(G3046, ""en"", ""te""),"""")"),"")</f>
        <v/>
      </c>
      <c r="I3046" s="3"/>
    </row>
    <row r="3047" customHeight="1" spans="1:9">
      <c r="A3047" s="2"/>
      <c r="B3047" s="2" t="str">
        <f>IFERROR(__xludf.DUMMYFUNCTION("IF(A3047&lt;&gt;"""", GOOGLETRANSLATE(A3047, ""en"", ""te""),"""")"),"")</f>
        <v/>
      </c>
      <c r="C3047" s="2"/>
      <c r="D3047" s="2" t="str">
        <f>IFERROR(__xludf.DUMMYFUNCTION("IF(C3047&lt;&gt;"""", GOOGLETRANSLATE(C3047, ""en"", ""te""),"""")"),"")</f>
        <v/>
      </c>
      <c r="E3047" s="2"/>
      <c r="F3047" s="2" t="str">
        <f>IFERROR(__xludf.DUMMYFUNCTION("IF(E3047&lt;&gt;"""", GOOGLETRANSLATE(E3047, ""en"", ""te""),"""")"),"")</f>
        <v/>
      </c>
      <c r="G3047" s="2"/>
      <c r="H3047" s="2" t="str">
        <f>IFERROR(__xludf.DUMMYFUNCTION("IF(G3047&lt;&gt;"""", GOOGLETRANSLATE(G3047, ""en"", ""te""),"""")"),"")</f>
        <v/>
      </c>
      <c r="I3047" s="3"/>
    </row>
    <row r="3048" customHeight="1" spans="1:9">
      <c r="A3048" s="2"/>
      <c r="B3048" s="2" t="str">
        <f>IFERROR(__xludf.DUMMYFUNCTION("IF(A3048&lt;&gt;"""", GOOGLETRANSLATE(A3048, ""en"", ""te""),"""")"),"")</f>
        <v/>
      </c>
      <c r="C3048" s="2"/>
      <c r="D3048" s="2" t="str">
        <f>IFERROR(__xludf.DUMMYFUNCTION("IF(C3048&lt;&gt;"""", GOOGLETRANSLATE(C3048, ""en"", ""te""),"""")"),"")</f>
        <v/>
      </c>
      <c r="E3048" s="2"/>
      <c r="F3048" s="2" t="str">
        <f>IFERROR(__xludf.DUMMYFUNCTION("IF(E3048&lt;&gt;"""", GOOGLETRANSLATE(E3048, ""en"", ""te""),"""")"),"")</f>
        <v/>
      </c>
      <c r="G3048" s="2"/>
      <c r="H3048" s="2" t="str">
        <f>IFERROR(__xludf.DUMMYFUNCTION("IF(G3048&lt;&gt;"""", GOOGLETRANSLATE(G3048, ""en"", ""te""),"""")"),"")</f>
        <v/>
      </c>
      <c r="I3048" s="3"/>
    </row>
    <row r="3049" customHeight="1" spans="1:9">
      <c r="A3049" s="2"/>
      <c r="B3049" s="2" t="str">
        <f>IFERROR(__xludf.DUMMYFUNCTION("IF(A3049&lt;&gt;"""", GOOGLETRANSLATE(A3049, ""en"", ""te""),"""")"),"")</f>
        <v/>
      </c>
      <c r="C3049" s="2"/>
      <c r="D3049" s="2" t="str">
        <f>IFERROR(__xludf.DUMMYFUNCTION("IF(C3049&lt;&gt;"""", GOOGLETRANSLATE(C3049, ""en"", ""te""),"""")"),"")</f>
        <v/>
      </c>
      <c r="E3049" s="2"/>
      <c r="F3049" s="2" t="str">
        <f>IFERROR(__xludf.DUMMYFUNCTION("IF(E3049&lt;&gt;"""", GOOGLETRANSLATE(E3049, ""en"", ""te""),"""")"),"")</f>
        <v/>
      </c>
      <c r="G3049" s="2"/>
      <c r="H3049" s="2" t="str">
        <f>IFERROR(__xludf.DUMMYFUNCTION("IF(G3049&lt;&gt;"""", GOOGLETRANSLATE(G3049, ""en"", ""te""),"""")"),"")</f>
        <v/>
      </c>
      <c r="I3049" s="3"/>
    </row>
    <row r="3050" customHeight="1" spans="1:9">
      <c r="A3050" s="2"/>
      <c r="B3050" s="2" t="str">
        <f>IFERROR(__xludf.DUMMYFUNCTION("IF(A3050&lt;&gt;"""", GOOGLETRANSLATE(A3050, ""en"", ""te""),"""")"),"")</f>
        <v/>
      </c>
      <c r="C3050" s="2"/>
      <c r="D3050" s="2" t="str">
        <f>IFERROR(__xludf.DUMMYFUNCTION("IF(C3050&lt;&gt;"""", GOOGLETRANSLATE(C3050, ""en"", ""te""),"""")"),"")</f>
        <v/>
      </c>
      <c r="E3050" s="2"/>
      <c r="F3050" s="2" t="str">
        <f>IFERROR(__xludf.DUMMYFUNCTION("IF(E3050&lt;&gt;"""", GOOGLETRANSLATE(E3050, ""en"", ""te""),"""")"),"")</f>
        <v/>
      </c>
      <c r="G3050" s="2"/>
      <c r="H3050" s="2" t="str">
        <f>IFERROR(__xludf.DUMMYFUNCTION("IF(G3050&lt;&gt;"""", GOOGLETRANSLATE(G3050, ""en"", ""te""),"""")"),"")</f>
        <v/>
      </c>
      <c r="I3050" s="3"/>
    </row>
    <row r="3051" customHeight="1" spans="1:9">
      <c r="A3051" s="2"/>
      <c r="B3051" s="2" t="str">
        <f>IFERROR(__xludf.DUMMYFUNCTION("IF(A3051&lt;&gt;"""", GOOGLETRANSLATE(A3051, ""en"", ""te""),"""")"),"")</f>
        <v/>
      </c>
      <c r="C3051" s="2"/>
      <c r="D3051" s="2" t="str">
        <f>IFERROR(__xludf.DUMMYFUNCTION("IF(C3051&lt;&gt;"""", GOOGLETRANSLATE(C3051, ""en"", ""te""),"""")"),"")</f>
        <v/>
      </c>
      <c r="E3051" s="2"/>
      <c r="F3051" s="2" t="str">
        <f>IFERROR(__xludf.DUMMYFUNCTION("IF(E3051&lt;&gt;"""", GOOGLETRANSLATE(E3051, ""en"", ""te""),"""")"),"")</f>
        <v/>
      </c>
      <c r="G3051" s="2"/>
      <c r="H3051" s="2" t="str">
        <f>IFERROR(__xludf.DUMMYFUNCTION("IF(G3051&lt;&gt;"""", GOOGLETRANSLATE(G3051, ""en"", ""te""),"""")"),"")</f>
        <v/>
      </c>
      <c r="I3051" s="3"/>
    </row>
    <row r="3052" customHeight="1" spans="1:9">
      <c r="A3052" s="2"/>
      <c r="B3052" s="2" t="str">
        <f>IFERROR(__xludf.DUMMYFUNCTION("IF(A3052&lt;&gt;"""", GOOGLETRANSLATE(A3052, ""en"", ""te""),"""")"),"")</f>
        <v/>
      </c>
      <c r="C3052" s="2"/>
      <c r="D3052" s="2" t="str">
        <f>IFERROR(__xludf.DUMMYFUNCTION("IF(C3052&lt;&gt;"""", GOOGLETRANSLATE(C3052, ""en"", ""te""),"""")"),"")</f>
        <v/>
      </c>
      <c r="E3052" s="2"/>
      <c r="F3052" s="2" t="str">
        <f>IFERROR(__xludf.DUMMYFUNCTION("IF(E3052&lt;&gt;"""", GOOGLETRANSLATE(E3052, ""en"", ""te""),"""")"),"")</f>
        <v/>
      </c>
      <c r="G3052" s="2"/>
      <c r="H3052" s="2" t="str">
        <f>IFERROR(__xludf.DUMMYFUNCTION("IF(G3052&lt;&gt;"""", GOOGLETRANSLATE(G3052, ""en"", ""te""),"""")"),"")</f>
        <v/>
      </c>
      <c r="I3052" s="3"/>
    </row>
    <row r="3053" customHeight="1" spans="1:9">
      <c r="A3053" s="2"/>
      <c r="B3053" s="2" t="str">
        <f>IFERROR(__xludf.DUMMYFUNCTION("IF(A3053&lt;&gt;"""", GOOGLETRANSLATE(A3053, ""en"", ""te""),"""")"),"")</f>
        <v/>
      </c>
      <c r="C3053" s="2"/>
      <c r="D3053" s="2" t="str">
        <f>IFERROR(__xludf.DUMMYFUNCTION("IF(C3053&lt;&gt;"""", GOOGLETRANSLATE(C3053, ""en"", ""te""),"""")"),"")</f>
        <v/>
      </c>
      <c r="E3053" s="2"/>
      <c r="F3053" s="2" t="str">
        <f>IFERROR(__xludf.DUMMYFUNCTION("IF(E3053&lt;&gt;"""", GOOGLETRANSLATE(E3053, ""en"", ""te""),"""")"),"")</f>
        <v/>
      </c>
      <c r="G3053" s="2"/>
      <c r="H3053" s="2" t="str">
        <f>IFERROR(__xludf.DUMMYFUNCTION("IF(G3053&lt;&gt;"""", GOOGLETRANSLATE(G3053, ""en"", ""te""),"""")"),"")</f>
        <v/>
      </c>
      <c r="I3053" s="3"/>
    </row>
    <row r="3054" customHeight="1" spans="1:9">
      <c r="A3054" s="2" t="s">
        <v>2153</v>
      </c>
      <c r="B3054" s="2" t="str">
        <f>IFERROR(__xludf.DUMMYFUNCTION("IF(A3054&lt;&gt;"""", GOOGLETRANSLATE(A3054, ""en"", ""te""),"""")"),"[ '8 వ అత్యుత్తమ ఇన్నింగ్స్ లో బౌలింగ్ విశ్లేషణలు (4/8)', '10 వ ఉత్తమ కెరీర్ ఆర్థిక రేటు (3.41)']")</f>
        <v>[ '8 వ అత్యుత్తమ ఇన్నింగ్స్ లో బౌలింగ్ విశ్లేషణలు (4/8)', '10 వ ఉత్తమ కెరీర్ ఆర్థిక రేటు (3.41)']</v>
      </c>
      <c r="C3054" s="2" t="s">
        <v>2154</v>
      </c>
      <c r="D3054" s="2" t="str">
        <f>IFERROR(__xludf.DUMMYFUNCTION("IF(C3054&lt;&gt;"""", GOOGLETRANSLATE(C3054, ""en"", ""te""),"""")"),"[ '43 వ చెత్త ఇన్నింగ్స్ లో ఆర్థిక రేటు (6.40)']")</f>
        <v>[ '43 వ చెత్త ఇన్నింగ్స్ లో ఆర్థిక రేటు (6.40)']</v>
      </c>
      <c r="E3054" s="2" t="s">
        <v>2155</v>
      </c>
      <c r="F3054" s="2" t="str">
        <f>IFERROR(__xludf.DUMMYFUNCTION("IF(E3054&lt;&gt;"""", GOOGLETRANSLATE(E3054, ""en"", ""te""),"""")"),"[ '8 వ అత్యుత్తమ ఇన్నింగ్స్ లో విశ్లేషణలు బౌలింగ్ (4/8)', '20 వ సగటు (22.20) బౌలింగ్ ఉత్తమ జీవితం' '10 వ ఉత్తమ కెరీర్ ఆర్థిక రేటు (3.41)', 'ఇన్నింగ్స్ లో 16 వ ఉత్తమ ఆర్థిక రేటు (0.80)' ]")</f>
        <v>[ '8 వ అత్యుత్తమ ఇన్నింగ్స్ లో విశ్లేషణలు బౌలింగ్ (4/8)', '20 వ సగటు (22.20) బౌలింగ్ ఉత్తమ జీవితం' '10 వ ఉత్తమ కెరీర్ ఆర్థిక రేటు (3.41)', 'ఇన్నింగ్స్ లో 16 వ ఉత్తమ ఆర్థిక రేటు (0.80)' ]</v>
      </c>
      <c r="G3054" s="2"/>
      <c r="H3054" s="2" t="str">
        <f>IFERROR(__xludf.DUMMYFUNCTION("IF(G3054&lt;&gt;"""", GOOGLETRANSLATE(G3054, ""en"", ""te""),"""")"),"")</f>
        <v/>
      </c>
      <c r="I3054" s="3"/>
    </row>
    <row r="3055" customHeight="1" spans="1:9">
      <c r="A3055" s="2"/>
      <c r="B3055" s="2" t="str">
        <f>IFERROR(__xludf.DUMMYFUNCTION("IF(A3055&lt;&gt;"""", GOOGLETRANSLATE(A3055, ""en"", ""te""),"""")"),"")</f>
        <v/>
      </c>
      <c r="C3055" s="2" t="s">
        <v>2156</v>
      </c>
      <c r="D3055" s="2" t="str">
        <f>IFERROR(__xludf.DUMMYFUNCTION("IF(C3055&lt;&gt;"""", GOOGLETRANSLATE(C3055, ""en"", ""te""),"""")"),"[ '31 ఉత్తమ కెరీర్ బౌలింగ్ సరాసరి (22.03)', '24 వ ఉత్తమ కెరీర్ ఆర్థిక రేటు (1.95)']")</f>
        <v>[ '31 ఉత్తమ కెరీర్ బౌలింగ్ సరాసరి (22.03)', '24 వ ఉత్తమ కెరీర్ ఆర్థిక రేటు (1.95)']</v>
      </c>
      <c r="E3055" s="2"/>
      <c r="F3055" s="2" t="str">
        <f>IFERROR(__xludf.DUMMYFUNCTION("IF(E3055&lt;&gt;"""", GOOGLETRANSLATE(E3055, ""en"", ""te""),"""")"),"")</f>
        <v/>
      </c>
      <c r="G3055" s="2"/>
      <c r="H3055" s="2" t="str">
        <f>IFERROR(__xludf.DUMMYFUNCTION("IF(G3055&lt;&gt;"""", GOOGLETRANSLATE(G3055, ""en"", ""te""),"""")"),"")</f>
        <v/>
      </c>
      <c r="I3055" s="3"/>
    </row>
    <row r="3056" customHeight="1" spans="1:9">
      <c r="A3056" s="2"/>
      <c r="B3056" s="2" t="str">
        <f>IFERROR(__xludf.DUMMYFUNCTION("IF(A3056&lt;&gt;"""", GOOGLETRANSLATE(A3056, ""en"", ""te""),"""")"),"")</f>
        <v/>
      </c>
      <c r="C3056" s="2"/>
      <c r="D3056" s="2" t="str">
        <f>IFERROR(__xludf.DUMMYFUNCTION("IF(C3056&lt;&gt;"""", GOOGLETRANSLATE(C3056, ""en"", ""te""),"""")"),"")</f>
        <v/>
      </c>
      <c r="E3056" s="2"/>
      <c r="F3056" s="2" t="str">
        <f>IFERROR(__xludf.DUMMYFUNCTION("IF(E3056&lt;&gt;"""", GOOGLETRANSLATE(E3056, ""en"", ""te""),"""")"),"")</f>
        <v/>
      </c>
      <c r="G3056" s="2"/>
      <c r="H3056" s="2" t="str">
        <f>IFERROR(__xludf.DUMMYFUNCTION("IF(G3056&lt;&gt;"""", GOOGLETRANSLATE(G3056, ""en"", ""te""),"""")"),"")</f>
        <v/>
      </c>
      <c r="I3056" s="3"/>
    </row>
    <row r="3057" customHeight="1" spans="1:9">
      <c r="A3057" s="2"/>
      <c r="B3057" s="2" t="str">
        <f>IFERROR(__xludf.DUMMYFUNCTION("IF(A3057&lt;&gt;"""", GOOGLETRANSLATE(A3057, ""en"", ""te""),"""")"),"")</f>
        <v/>
      </c>
      <c r="C3057" s="2"/>
      <c r="D3057" s="2" t="str">
        <f>IFERROR(__xludf.DUMMYFUNCTION("IF(C3057&lt;&gt;"""", GOOGLETRANSLATE(C3057, ""en"", ""te""),"""")"),"")</f>
        <v/>
      </c>
      <c r="E3057" s="2"/>
      <c r="F3057" s="2" t="str">
        <f>IFERROR(__xludf.DUMMYFUNCTION("IF(E3057&lt;&gt;"""", GOOGLETRANSLATE(E3057, ""en"", ""te""),"""")"),"")</f>
        <v/>
      </c>
      <c r="G3057" s="2"/>
      <c r="H3057" s="2" t="str">
        <f>IFERROR(__xludf.DUMMYFUNCTION("IF(G3057&lt;&gt;"""", GOOGLETRANSLATE(G3057, ""en"", ""te""),"""")"),"")</f>
        <v/>
      </c>
      <c r="I3057" s="3"/>
    </row>
    <row r="3058" customHeight="1" spans="1:9">
      <c r="A3058" s="2" t="s">
        <v>2157</v>
      </c>
      <c r="B3058" s="2" t="str">
        <f>IFERROR(__xludf.DUMMYFUNCTION("IF(A3058&lt;&gt;"""", GOOGLETRANSLATE(A3058, ""en"", ""te""),"""")"),"[ '10 వ వరుస మ్యాచ్లు ఆడి మధ్య జట్టుకు దూరమయ్యాడు (85)', 'తొమ్మిదవ వికెట్ (100) కోసం 7 వ అత్యధిక భాగస్వామ్యం' '3 వ వరుస మ్యాచ్లు ప్రదర్శనల మధ్య బృందం (74) కోసం తప్పిన']")</f>
        <v>[ '10 వ వరుస మ్యాచ్లు ఆడి మధ్య జట్టుకు దూరమయ్యాడు (85)', 'తొమ్మిదవ వికెట్ (100) కోసం 7 వ అత్యధిక భాగస్వామ్యం' '3 వ వరుస మ్యాచ్లు ప్రదర్శనల మధ్య బృందం (74) కోసం తప్పిన']</v>
      </c>
      <c r="C3058" s="2" t="s">
        <v>2158</v>
      </c>
      <c r="D3058" s="2" t="str">
        <f>IFERROR(__xludf.DUMMYFUNCTION("IF(C3058&lt;&gt;"""", GOOGLETRANSLATE(C3058, ""en"", ""te""),"""")"),"[ '43 వ చెత్త కెరీర్లో ఆర్థిక రేటు (3.46)', '10 వ వరుస మ్యాచ్లు ప్రదర్శనల మధ్య బృందం (85) కోసం తప్పిన']")</f>
        <v>[ '43 వ చెత్త కెరీర్లో ఆర్థిక రేటు (3.46)', '10 వ వరుస మ్యాచ్లు ప్రదర్శనల మధ్య బృందం (85) కోసం తప్పిన']</v>
      </c>
      <c r="E3058" s="2" t="s">
        <v>2159</v>
      </c>
      <c r="F3058" s="2" t="str">
        <f>IFERROR(__xludf.DUMMYFUNCTION("IF(E3058&lt;&gt;"""", GOOGLETRANSLATE(E3058, ""en"", ""te""),"""")"),"[ '27 అత్యధిక కెరీర్ సమ్మె రేటు (102.70)', 'ఇన్నింగ్స్ లో 13 వ అత్యధిక స్ట్రైక్ రేట్ (300.00)', '29th ఉత్తమ కెరీర్ సమ్మె రేటు (30.6)', '27 చెత్త కెరీర్లో ఆర్థిక రేటు (5.81)', '13 వ అత్యంత వరుసగా నాలుగు వికెట్లు-ఇన్-ఒక-ఇన్నింగ్స్ (2) ',' ఐదు వికెట్ల లో-ఒక"&amp;"-ఇన్నింగ్స్ తీసుకోవాలని 35 వ అత్యంత వృద్ధ ఆటగాడు (32y 171d) ',' 20 వ అత్యంత వృద్ధ ఆటగాడు ఐదు వికెట్ల తేడాతో in- కన్య తీసుకోవాలని ఒక-ఇన్నింగ్స్ (32y 171d) ',' 48 వ ఇన్నింగ్స్ లో సాధించిన అత్యధిక పరుగులు (91) ',' 26th 100 వికెట్లు వేగంగా (64) ',' తొమ్మిదవ వ"&amp;"ికెట్ (100) కోసం 7 వ అత్యధిక భాగస్వామ్యం ']")</f>
        <v>[ '27 అత్యధిక కెరీర్ సమ్మె రేటు (102.70)', 'ఇన్నింగ్స్ లో 13 వ అత్యధిక స్ట్రైక్ రేట్ (300.00)', '29th ఉత్తమ కెరీర్ సమ్మె రేటు (30.6)', '27 చెత్త కెరీర్లో ఆర్థిక రేటు (5.81)', '13 వ అత్యంత వరుసగా నాలుగు వికెట్లు-ఇన్-ఒక-ఇన్నింగ్స్ (2) ',' ఐదు వికెట్ల లో-ఒక-ఇన్నింగ్స్ తీసుకోవాలని 35 వ అత్యంత వృద్ధ ఆటగాడు (32y 171d) ',' 20 వ అత్యంత వృద్ధ ఆటగాడు ఐదు వికెట్ల తేడాతో in- కన్య తీసుకోవాలని ఒక-ఇన్నింగ్స్ (32y 171d) ',' 48 వ ఇన్నింగ్స్ లో సాధించిన అత్యధిక పరుగులు (91) ',' 26th 100 వికెట్లు వేగంగా (64) ',' తొమ్మిదవ వికెట్ (100) కోసం 7 వ అత్యధిక భాగస్వామ్యం ']</v>
      </c>
      <c r="G3058" s="2" t="s">
        <v>2160</v>
      </c>
      <c r="H3058" s="2" t="str">
        <f>IFERROR(__xludf.DUMMYFUNCTION("IF(G3058&lt;&gt;"""", GOOGLETRANSLATE(G3058, ""en"", ""te""),"""")"),"[ '48 వ అత్యధిక వికెట్లు ఒక వికెట్ కీపర్ చే కాట్ తీసుకున్న (5)', '20 వ లాంగెస్ట్ కెరీర్లు (12y 266d)', '(ప్రదర్శనల మధ్య 5 వ లాంగెస్ట్ వ్యవధిలో 9y 164' 3 వ వరుస మ్యాచ్లు ప్రదర్శనల మధ్య బృందం (74) కోసం తప్పిన ' ) ']")</f>
        <v>[ '48 వ అత్యధిక వికెట్లు ఒక వికెట్ కీపర్ చే కాట్ తీసుకున్న (5)', '20 వ లాంగెస్ట్ కెరీర్లు (12y 266d)', '(ప్రదర్శనల మధ్య 5 వ లాంగెస్ట్ వ్యవధిలో 9y 164' 3 వ వరుస మ్యాచ్లు ప్రదర్శనల మధ్య బృందం (74) కోసం తప్పిన ' ) ']</v>
      </c>
      <c r="I3058" s="3"/>
    </row>
    <row r="3059" customHeight="1" spans="1:9">
      <c r="A3059" s="2"/>
      <c r="B3059" s="2" t="str">
        <f>IFERROR(__xludf.DUMMYFUNCTION("IF(A3059&lt;&gt;"""", GOOGLETRANSLATE(A3059, ""en"", ""te""),"""")"),"")</f>
        <v/>
      </c>
      <c r="C3059" s="2"/>
      <c r="D3059" s="2" t="str">
        <f>IFERROR(__xludf.DUMMYFUNCTION("IF(C3059&lt;&gt;"""", GOOGLETRANSLATE(C3059, ""en"", ""te""),"""")"),"")</f>
        <v/>
      </c>
      <c r="E3059" s="2"/>
      <c r="F3059" s="2" t="str">
        <f>IFERROR(__xludf.DUMMYFUNCTION("IF(E3059&lt;&gt;"""", GOOGLETRANSLATE(E3059, ""en"", ""te""),"""")"),"")</f>
        <v/>
      </c>
      <c r="G3059" s="2"/>
      <c r="H3059" s="2" t="str">
        <f>IFERROR(__xludf.DUMMYFUNCTION("IF(G3059&lt;&gt;"""", GOOGLETRANSLATE(G3059, ""en"", ""te""),"""")"),"")</f>
        <v/>
      </c>
      <c r="I3059" s="3"/>
    </row>
    <row r="3060" customHeight="1" spans="1:9">
      <c r="A3060" s="2"/>
      <c r="B3060" s="2" t="str">
        <f>IFERROR(__xludf.DUMMYFUNCTION("IF(A3060&lt;&gt;"""", GOOGLETRANSLATE(A3060, ""en"", ""te""),"""")"),"")</f>
        <v/>
      </c>
      <c r="C3060" s="2"/>
      <c r="D3060" s="2" t="str">
        <f>IFERROR(__xludf.DUMMYFUNCTION("IF(C3060&lt;&gt;"""", GOOGLETRANSLATE(C3060, ""en"", ""te""),"""")"),"")</f>
        <v/>
      </c>
      <c r="E3060" s="2"/>
      <c r="F3060" s="2" t="str">
        <f>IFERROR(__xludf.DUMMYFUNCTION("IF(E3060&lt;&gt;"""", GOOGLETRANSLATE(E3060, ""en"", ""te""),"""")"),"")</f>
        <v/>
      </c>
      <c r="G3060" s="2"/>
      <c r="H3060" s="2" t="str">
        <f>IFERROR(__xludf.DUMMYFUNCTION("IF(G3060&lt;&gt;"""", GOOGLETRANSLATE(G3060, ""en"", ""te""),"""")"),"")</f>
        <v/>
      </c>
      <c r="I3060" s="3"/>
    </row>
    <row r="3061" customHeight="1" spans="1:9">
      <c r="A3061" s="2"/>
      <c r="B3061" s="2" t="str">
        <f>IFERROR(__xludf.DUMMYFUNCTION("IF(A3061&lt;&gt;"""", GOOGLETRANSLATE(A3061, ""en"", ""te""),"""")"),"")</f>
        <v/>
      </c>
      <c r="C3061" s="2" t="s">
        <v>2161</v>
      </c>
      <c r="D3061" s="2" t="str">
        <f>IFERROR(__xludf.DUMMYFUNCTION("IF(C3061&lt;&gt;"""", GOOGLETRANSLATE(C3061, ""en"", ""te""),"""")"),"[ '44 వ ఒక సిరీస్లో అత్యధిక పరుగులు (256)', '16 వ ఇన్నింగ్స్ లో అత్యధిక పరుగులు (బ్యాటింగ్ స్థానంలో ప్రకారం) (102)', '37 వ అత్యధిక కెరీర్ బ్యాటింగ్ సగటు (32.72)', '17 వ వరుస మ్యాచ్లు బృందం కోసం తప్పిన ప్రదర్శనల మధ్య (5) ']")</f>
        <v>[ '44 వ ఒక సిరీస్లో అత్యధిక పరుగులు (256)', '16 వ ఇన్నింగ్స్ లో అత్యధిక పరుగులు (బ్యాటింగ్ స్థానంలో ప్రకారం) (102)', '37 వ అత్యధిక కెరీర్ బ్యాటింగ్ సగటు (32.72)', '17 వ వరుస మ్యాచ్లు బృందం కోసం తప్పిన ప్రదర్శనల మధ్య (5) ']</v>
      </c>
      <c r="E3061" s="2"/>
      <c r="F3061" s="2" t="str">
        <f>IFERROR(__xludf.DUMMYFUNCTION("IF(E3061&lt;&gt;"""", GOOGLETRANSLATE(E3061, ""en"", ""te""),"""")"),"")</f>
        <v/>
      </c>
      <c r="G3061" s="2"/>
      <c r="H3061" s="2" t="str">
        <f>IFERROR(__xludf.DUMMYFUNCTION("IF(G3061&lt;&gt;"""", GOOGLETRANSLATE(G3061, ""en"", ""te""),"""")"),"")</f>
        <v/>
      </c>
      <c r="I3061" s="3"/>
    </row>
    <row r="3062" customHeight="1" spans="1:9">
      <c r="A3062" s="2"/>
      <c r="B3062" s="2" t="str">
        <f>IFERROR(__xludf.DUMMYFUNCTION("IF(A3062&lt;&gt;"""", GOOGLETRANSLATE(A3062, ""en"", ""te""),"""")"),"")</f>
        <v/>
      </c>
      <c r="C3062" s="2" t="s">
        <v>2162</v>
      </c>
      <c r="D3062" s="2" t="str">
        <f>IFERROR(__xludf.DUMMYFUNCTION("IF(C3062&lt;&gt;"""", GOOGLETRANSLATE(C3062, ""en"", ""te""),"""")"),"[ '45 వ అత్యంత బంతుల్లో ఇన్నింగ్స్ లో బౌల్డ్ (426)', '26th అత్యధిక పరుగులు ఇన్నింగ్స్ లో సాధించిన (204)']")</f>
        <v>[ '45 వ అత్యంత బంతుల్లో ఇన్నింగ్స్ లో బౌల్డ్ (426)', '26th అత్యధిక పరుగులు ఇన్నింగ్స్ లో సాధించిన (204)']</v>
      </c>
      <c r="E3062" s="2"/>
      <c r="F3062" s="2" t="str">
        <f>IFERROR(__xludf.DUMMYFUNCTION("IF(E3062&lt;&gt;"""", GOOGLETRANSLATE(E3062, ""en"", ""te""),"""")"),"")</f>
        <v/>
      </c>
      <c r="G3062" s="2"/>
      <c r="H3062" s="2" t="str">
        <f>IFERROR(__xludf.DUMMYFUNCTION("IF(G3062&lt;&gt;"""", GOOGLETRANSLATE(G3062, ""en"", ""te""),"""")"),"")</f>
        <v/>
      </c>
      <c r="I3062" s="3"/>
    </row>
    <row r="3063" customHeight="1" spans="1:9">
      <c r="A3063" s="2" t="s">
        <v>2163</v>
      </c>
      <c r="B3063" s="2" t="str">
        <f>IFERROR(__xludf.DUMMYFUNCTION("IF(A3063&lt;&gt;"""", GOOGLETRANSLATE(A3063, ""en"", ""te""),"""")"),"[ 'ఇన్నింగ్స్ లో 5 వ అత్యధిక క్యాచ్లు (6)', 'ఇన్నింగ్స్ (6) లో 5 వ అత్యధిక వికెట్లు' '2 వ అత్యంత ఇన్నింగ్స్ లో సాధించిన బైస్ (35)', 'హండ్రెడ్ తొలి (126 *)', 'ఎ ఒక ఇన్నింగ్స్ లో (6) ',' ఇన్నింగ్స్ లో (6) ',' 5 వ అత్యధిక వికెట్లు ఇన్నింగ్స్ లో 1 వ అత్యధిక "&amp;"క్యాచ్లు (4) ',' 3 వ అత్యధిక క్యాచ్లు లో ఒక ఇన్నింగ్స్ ',' 1st ఎక్కువ సార్లు అవుట్ లో నూట ఐదు తొలగింపులకు ఇన్నింగ్స్ (4) ']")</f>
        <v>[ 'ఇన్నింగ్స్ లో 5 వ అత్యధిక క్యాచ్లు (6)', 'ఇన్నింగ్స్ (6) లో 5 వ అత్యధిక వికెట్లు' '2 వ అత్యంత ఇన్నింగ్స్ లో సాధించిన బైస్ (35)', 'హండ్రెడ్ తొలి (126 *)', 'ఎ ఒక ఇన్నింగ్స్ లో (6) ',' ఇన్నింగ్స్ లో (6) ',' 5 వ అత్యధిక వికెట్లు ఇన్నింగ్స్ లో 1 వ అత్యధిక క్యాచ్లు (4) ',' 3 వ అత్యధిక క్యాచ్లు లో ఒక ఇన్నింగ్స్ ',' 1st ఎక్కువ సార్లు అవుట్ లో నూట ఐదు తొలగింపులకు ఇన్నింగ్స్ (4) ']</v>
      </c>
      <c r="C3063" s="2" t="s">
        <v>2164</v>
      </c>
      <c r="D3063" s="2" t="str">
        <f>IFERROR(__xludf.DUMMYFUNCTION("IF(C3063&lt;&gt;"""", GOOGLETRANSLATE(C3063, ""en"", ""te""),"""")"),"[ '44 వ అత్యంత వికెట్కీపర్ శ్రేణిలో పరుగులు (324)', 'ఏడవ వికెట్ (162 *) కోసం 48 వ అత్యధిక భాగస్వామ్యం', 'ఒక జట్టుకు 35 వ వరుస మ్యాచ్లు (60)', '10 వ అత్యధిక కెరీర్ లో వికెట్లు ( 256) ',' ఒక మ్యాచ్లో ఇన్నింగ్స్ (6) ',' 35 వ అత్యధిక వికెట్లు 5 వ అత్యధిక వికె"&amp;"ట్లు (8) ',' 19 వ ఒక సిరీస్లో అత్యధిక వికెట్లు (23) ',' 10 వ కెరీర్ (243 లో అత్యధిక క్యాచ్లు) ' , '5 వ ఇన్నింగ్స్ (6) లో అత్యధిక క్యాచ్లు' '20 వ అత్యధిక క్యాచ్లు వరుస (23)', '33 వ అత్యంత స్టంపింగ్లు కెరీర్లో (13)', '2 వ అత్యంత ఇన్నింగ్స్ లో సాధించిన బైస్"&amp;" (35)']")</f>
        <v>[ '44 వ అత్యంత వికెట్కీపర్ శ్రేణిలో పరుగులు (324)', 'ఏడవ వికెట్ (162 *) కోసం 48 వ అత్యధిక భాగస్వామ్యం', 'ఒక జట్టుకు 35 వ వరుస మ్యాచ్లు (60)', '10 వ అత్యధిక కెరీర్ లో వికెట్లు ( 256) ',' ఒక మ్యాచ్లో ఇన్నింగ్స్ (6) ',' 35 వ అత్యధిక వికెట్లు 5 వ అత్యధిక వికెట్లు (8) ',' 19 వ ఒక సిరీస్లో అత్యధిక వికెట్లు (23) ',' 10 వ కెరీర్ (243 లో అత్యధిక క్యాచ్లు) ' , '5 వ ఇన్నింగ్స్ (6) లో అత్యధిక క్యాచ్లు' '20 వ అత్యధిక క్యాచ్లు వరుస (23)', '33 వ అత్యంత స్టంపింగ్లు కెరీర్లో (13)', '2 వ అత్యంత ఇన్నింగ్స్ లో సాధించిన బైస్ (35)']</v>
      </c>
      <c r="E3063" s="2" t="s">
        <v>2165</v>
      </c>
      <c r="F3063" s="2" t="str">
        <f>IFERROR(__xludf.DUMMYFUNCTION("IF(E3063&lt;&gt;"""", GOOGLETRANSLATE(E3063, ""en"", ""te""),"""")"),"[ '39 వ కెరీర్ లో అత్యధిక వికెట్లు (77)', '1 వ ఇన్నింగ్స్ (6) లో అత్యధిక వికెట్లు' '36 వ అత్యధిక వికెట్లు వరుస (15)', '37 వ అత్యధిక క్యాచ్లు కెరీర్లో (69)', '1st చాలా ఒక ఇన్నింగ్స్ లో క్యాచ్లు (6) ',' 31 ఒక సిరీస్లో అత్యధిక క్యాచ్లు (14) ']")</f>
        <v>[ '39 వ కెరీర్ లో అత్యధిక వికెట్లు (77)', '1 వ ఇన్నింగ్స్ (6) లో అత్యధిక వికెట్లు' '36 వ అత్యధిక వికెట్లు వరుస (15)', '37 వ అత్యధిక క్యాచ్లు కెరీర్లో (69)', '1st చాలా ఒక ఇన్నింగ్స్ లో క్యాచ్లు (6) ',' 31 ఒక సిరీస్లో అత్యధిక క్యాచ్లు (14) ']</v>
      </c>
      <c r="G3063" s="2" t="s">
        <v>2166</v>
      </c>
      <c r="H3063" s="2" t="str">
        <f>IFERROR(__xludf.DUMMYFUNCTION("IF(G3063&lt;&gt;"""", GOOGLETRANSLATE(G3063, ""en"", ""te""),"""")"),"[ 'ఇన్నింగ్స్ లో 5 వ అత్యధిక వికెట్లు (4)', 'ఇన్నింగ్స్ లో 3 వ అత్యధిక క్యాచ్లు (4)']")</f>
        <v>[ 'ఇన్నింగ్స్ లో 5 వ అత్యధిక వికెట్లు (4)', 'ఇన్నింగ్స్ లో 3 వ అత్యధిక క్యాచ్లు (4)']</v>
      </c>
      <c r="I3063" s="3"/>
    </row>
    <row r="3064" customHeight="1" spans="1:9">
      <c r="A3064" s="2"/>
      <c r="B3064" s="2" t="str">
        <f>IFERROR(__xludf.DUMMYFUNCTION("IF(A3064&lt;&gt;"""", GOOGLETRANSLATE(A3064, ""en"", ""te""),"""")"),"")</f>
        <v/>
      </c>
      <c r="C3064" s="2"/>
      <c r="D3064" s="2" t="str">
        <f>IFERROR(__xludf.DUMMYFUNCTION("IF(C3064&lt;&gt;"""", GOOGLETRANSLATE(C3064, ""en"", ""te""),"""")"),"")</f>
        <v/>
      </c>
      <c r="E3064" s="2"/>
      <c r="F3064" s="2" t="str">
        <f>IFERROR(__xludf.DUMMYFUNCTION("IF(E3064&lt;&gt;"""", GOOGLETRANSLATE(E3064, ""en"", ""te""),"""")"),"")</f>
        <v/>
      </c>
      <c r="G3064" s="2"/>
      <c r="H3064" s="2" t="str">
        <f>IFERROR(__xludf.DUMMYFUNCTION("IF(G3064&lt;&gt;"""", GOOGLETRANSLATE(G3064, ""en"", ""te""),"""")"),"")</f>
        <v/>
      </c>
      <c r="I3064" s="3"/>
    </row>
    <row r="3065" customHeight="1" spans="1:9">
      <c r="A3065" s="2"/>
      <c r="B3065" s="2" t="str">
        <f>IFERROR(__xludf.DUMMYFUNCTION("IF(A3065&lt;&gt;"""", GOOGLETRANSLATE(A3065, ""en"", ""te""),"""")"),"")</f>
        <v/>
      </c>
      <c r="C3065" s="2"/>
      <c r="D3065" s="2" t="str">
        <f>IFERROR(__xludf.DUMMYFUNCTION("IF(C3065&lt;&gt;"""", GOOGLETRANSLATE(C3065, ""en"", ""te""),"""")"),"")</f>
        <v/>
      </c>
      <c r="E3065" s="2"/>
      <c r="F3065" s="2" t="str">
        <f>IFERROR(__xludf.DUMMYFUNCTION("IF(E3065&lt;&gt;"""", GOOGLETRANSLATE(E3065, ""en"", ""te""),"""")"),"")</f>
        <v/>
      </c>
      <c r="G3065" s="2"/>
      <c r="H3065" s="2" t="str">
        <f>IFERROR(__xludf.DUMMYFUNCTION("IF(G3065&lt;&gt;"""", GOOGLETRANSLATE(G3065, ""en"", ""te""),"""")"),"")</f>
        <v/>
      </c>
      <c r="I3065" s="3"/>
    </row>
    <row r="3066" customHeight="1" spans="1:9">
      <c r="A3066" s="2"/>
      <c r="B3066" s="2" t="str">
        <f>IFERROR(__xludf.DUMMYFUNCTION("IF(A3066&lt;&gt;"""", GOOGLETRANSLATE(A3066, ""en"", ""te""),"""")"),"")</f>
        <v/>
      </c>
      <c r="C3066" s="2"/>
      <c r="D3066" s="2" t="str">
        <f>IFERROR(__xludf.DUMMYFUNCTION("IF(C3066&lt;&gt;"""", GOOGLETRANSLATE(C3066, ""en"", ""te""),"""")"),"")</f>
        <v/>
      </c>
      <c r="E3066" s="2"/>
      <c r="F3066" s="2" t="str">
        <f>IFERROR(__xludf.DUMMYFUNCTION("IF(E3066&lt;&gt;"""", GOOGLETRANSLATE(E3066, ""en"", ""te""),"""")"),"")</f>
        <v/>
      </c>
      <c r="G3066" s="2"/>
      <c r="H3066" s="2" t="str">
        <f>IFERROR(__xludf.DUMMYFUNCTION("IF(G3066&lt;&gt;"""", GOOGLETRANSLATE(G3066, ""en"", ""te""),"""")"),"")</f>
        <v/>
      </c>
      <c r="I3066" s="3"/>
    </row>
    <row r="3067" customHeight="1" spans="1:9">
      <c r="A3067" s="2"/>
      <c r="B3067" s="2" t="str">
        <f>IFERROR(__xludf.DUMMYFUNCTION("IF(A3067&lt;&gt;"""", GOOGLETRANSLATE(A3067, ""en"", ""te""),"""")"),"")</f>
        <v/>
      </c>
      <c r="C3067" s="2"/>
      <c r="D3067" s="2" t="str">
        <f>IFERROR(__xludf.DUMMYFUNCTION("IF(C3067&lt;&gt;"""", GOOGLETRANSLATE(C3067, ""en"", ""te""),"""")"),"")</f>
        <v/>
      </c>
      <c r="E3067" s="2"/>
      <c r="F3067" s="2" t="str">
        <f>IFERROR(__xludf.DUMMYFUNCTION("IF(E3067&lt;&gt;"""", GOOGLETRANSLATE(E3067, ""en"", ""te""),"""")"),"")</f>
        <v/>
      </c>
      <c r="G3067" s="2"/>
      <c r="H3067" s="2" t="str">
        <f>IFERROR(__xludf.DUMMYFUNCTION("IF(G3067&lt;&gt;"""", GOOGLETRANSLATE(G3067, ""en"", ""te""),"""")"),"")</f>
        <v/>
      </c>
      <c r="I3067" s="3"/>
    </row>
    <row r="3068" customHeight="1" spans="1:9">
      <c r="A3068" s="2"/>
      <c r="B3068" s="2" t="str">
        <f>IFERROR(__xludf.DUMMYFUNCTION("IF(A3068&lt;&gt;"""", GOOGLETRANSLATE(A3068, ""en"", ""te""),"""")"),"")</f>
        <v/>
      </c>
      <c r="C3068" s="2"/>
      <c r="D3068" s="2" t="str">
        <f>IFERROR(__xludf.DUMMYFUNCTION("IF(C3068&lt;&gt;"""", GOOGLETRANSLATE(C3068, ""en"", ""te""),"""")"),"")</f>
        <v/>
      </c>
      <c r="E3068" s="2"/>
      <c r="F3068" s="2" t="str">
        <f>IFERROR(__xludf.DUMMYFUNCTION("IF(E3068&lt;&gt;"""", GOOGLETRANSLATE(E3068, ""en"", ""te""),"""")"),"")</f>
        <v/>
      </c>
      <c r="G3068" s="2"/>
      <c r="H3068" s="2" t="str">
        <f>IFERROR(__xludf.DUMMYFUNCTION("IF(G3068&lt;&gt;"""", GOOGLETRANSLATE(G3068, ""en"", ""te""),"""")"),"")</f>
        <v/>
      </c>
      <c r="I3068" s="3"/>
    </row>
    <row r="3069" customHeight="1" spans="1:9">
      <c r="A3069" s="2"/>
      <c r="B3069" s="2" t="str">
        <f>IFERROR(__xludf.DUMMYFUNCTION("IF(A3069&lt;&gt;"""", GOOGLETRANSLATE(A3069, ""en"", ""te""),"""")"),"")</f>
        <v/>
      </c>
      <c r="C3069" s="2"/>
      <c r="D3069" s="2" t="str">
        <f>IFERROR(__xludf.DUMMYFUNCTION("IF(C3069&lt;&gt;"""", GOOGLETRANSLATE(C3069, ""en"", ""te""),"""")"),"")</f>
        <v/>
      </c>
      <c r="E3069" s="2"/>
      <c r="F3069" s="2" t="str">
        <f>IFERROR(__xludf.DUMMYFUNCTION("IF(E3069&lt;&gt;"""", GOOGLETRANSLATE(E3069, ""en"", ""te""),"""")"),"")</f>
        <v/>
      </c>
      <c r="G3069" s="2"/>
      <c r="H3069" s="2" t="str">
        <f>IFERROR(__xludf.DUMMYFUNCTION("IF(G3069&lt;&gt;"""", GOOGLETRANSLATE(G3069, ""en"", ""te""),"""")"),"")</f>
        <v/>
      </c>
      <c r="I3069" s="3"/>
    </row>
    <row r="3070" customHeight="1" spans="1:9">
      <c r="A3070" s="2"/>
      <c r="B3070" s="2" t="str">
        <f>IFERROR(__xludf.DUMMYFUNCTION("IF(A3070&lt;&gt;"""", GOOGLETRANSLATE(A3070, ""en"", ""te""),"""")"),"")</f>
        <v/>
      </c>
      <c r="C3070" s="2"/>
      <c r="D3070" s="2" t="str">
        <f>IFERROR(__xludf.DUMMYFUNCTION("IF(C3070&lt;&gt;"""", GOOGLETRANSLATE(C3070, ""en"", ""te""),"""")"),"")</f>
        <v/>
      </c>
      <c r="E3070" s="2"/>
      <c r="F3070" s="2" t="str">
        <f>IFERROR(__xludf.DUMMYFUNCTION("IF(E3070&lt;&gt;"""", GOOGLETRANSLATE(E3070, ""en"", ""te""),"""")"),"")</f>
        <v/>
      </c>
      <c r="G3070" s="2"/>
      <c r="H3070" s="2" t="str">
        <f>IFERROR(__xludf.DUMMYFUNCTION("IF(G3070&lt;&gt;"""", GOOGLETRANSLATE(G3070, ""en"", ""te""),"""")"),"")</f>
        <v/>
      </c>
      <c r="I3070" s="3"/>
    </row>
    <row r="3071" customHeight="1" spans="1:9">
      <c r="A3071" s="2"/>
      <c r="B3071" s="2" t="str">
        <f>IFERROR(__xludf.DUMMYFUNCTION("IF(A3071&lt;&gt;"""", GOOGLETRANSLATE(A3071, ""en"", ""te""),"""")"),"")</f>
        <v/>
      </c>
      <c r="C3071" s="2"/>
      <c r="D3071" s="2" t="str">
        <f>IFERROR(__xludf.DUMMYFUNCTION("IF(C3071&lt;&gt;"""", GOOGLETRANSLATE(C3071, ""en"", ""te""),"""")"),"")</f>
        <v/>
      </c>
      <c r="E3071" s="2"/>
      <c r="F3071" s="2" t="str">
        <f>IFERROR(__xludf.DUMMYFUNCTION("IF(E3071&lt;&gt;"""", GOOGLETRANSLATE(E3071, ""en"", ""te""),"""")"),"")</f>
        <v/>
      </c>
      <c r="G3071" s="2"/>
      <c r="H3071" s="2" t="str">
        <f>IFERROR(__xludf.DUMMYFUNCTION("IF(G3071&lt;&gt;"""", GOOGLETRANSLATE(G3071, ""en"", ""te""),"""")"),"")</f>
        <v/>
      </c>
      <c r="I3071" s="3"/>
    </row>
    <row r="3072" customHeight="1" spans="1:9">
      <c r="A3072" s="2"/>
      <c r="B3072" s="2" t="str">
        <f>IFERROR(__xludf.DUMMYFUNCTION("IF(A3072&lt;&gt;"""", GOOGLETRANSLATE(A3072, ""en"", ""te""),"""")"),"")</f>
        <v/>
      </c>
      <c r="C3072" s="2"/>
      <c r="D3072" s="2" t="str">
        <f>IFERROR(__xludf.DUMMYFUNCTION("IF(C3072&lt;&gt;"""", GOOGLETRANSLATE(C3072, ""en"", ""te""),"""")"),"")</f>
        <v/>
      </c>
      <c r="E3072" s="2"/>
      <c r="F3072" s="2" t="str">
        <f>IFERROR(__xludf.DUMMYFUNCTION("IF(E3072&lt;&gt;"""", GOOGLETRANSLATE(E3072, ""en"", ""te""),"""")"),"")</f>
        <v/>
      </c>
      <c r="G3072" s="2"/>
      <c r="H3072" s="2" t="str">
        <f>IFERROR(__xludf.DUMMYFUNCTION("IF(G3072&lt;&gt;"""", GOOGLETRANSLATE(G3072, ""en"", ""te""),"""")"),"")</f>
        <v/>
      </c>
      <c r="I3072" s="3"/>
    </row>
    <row r="3073" customHeight="1" spans="1:9">
      <c r="A3073" s="2"/>
      <c r="B3073" s="2" t="str">
        <f>IFERROR(__xludf.DUMMYFUNCTION("IF(A3073&lt;&gt;"""", GOOGLETRANSLATE(A3073, ""en"", ""te""),"""")"),"")</f>
        <v/>
      </c>
      <c r="C3073" s="2"/>
      <c r="D3073" s="2" t="str">
        <f>IFERROR(__xludf.DUMMYFUNCTION("IF(C3073&lt;&gt;"""", GOOGLETRANSLATE(C3073, ""en"", ""te""),"""")"),"")</f>
        <v/>
      </c>
      <c r="E3073" s="2"/>
      <c r="F3073" s="2" t="str">
        <f>IFERROR(__xludf.DUMMYFUNCTION("IF(E3073&lt;&gt;"""", GOOGLETRANSLATE(E3073, ""en"", ""te""),"""")"),"")</f>
        <v/>
      </c>
      <c r="G3073" s="2"/>
      <c r="H3073" s="2" t="str">
        <f>IFERROR(__xludf.DUMMYFUNCTION("IF(G3073&lt;&gt;"""", GOOGLETRANSLATE(G3073, ""en"", ""te""),"""")"),"")</f>
        <v/>
      </c>
      <c r="I3073" s="3"/>
    </row>
    <row r="3074" customHeight="1" spans="1:9">
      <c r="A3074" s="2"/>
      <c r="B3074" s="2" t="str">
        <f>IFERROR(__xludf.DUMMYFUNCTION("IF(A3074&lt;&gt;"""", GOOGLETRANSLATE(A3074, ""en"", ""te""),"""")"),"")</f>
        <v/>
      </c>
      <c r="C3074" s="2"/>
      <c r="D3074" s="2" t="str">
        <f>IFERROR(__xludf.DUMMYFUNCTION("IF(C3074&lt;&gt;"""", GOOGLETRANSLATE(C3074, ""en"", ""te""),"""")"),"")</f>
        <v/>
      </c>
      <c r="E3074" s="2"/>
      <c r="F3074" s="2" t="str">
        <f>IFERROR(__xludf.DUMMYFUNCTION("IF(E3074&lt;&gt;"""", GOOGLETRANSLATE(E3074, ""en"", ""te""),"""")"),"")</f>
        <v/>
      </c>
      <c r="G3074" s="2"/>
      <c r="H3074" s="2" t="str">
        <f>IFERROR(__xludf.DUMMYFUNCTION("IF(G3074&lt;&gt;"""", GOOGLETRANSLATE(G3074, ""en"", ""te""),"""")"),"")</f>
        <v/>
      </c>
      <c r="I3074" s="3"/>
    </row>
    <row r="3075" customHeight="1" spans="1:9">
      <c r="A3075" s="2"/>
      <c r="B3075" s="2" t="str">
        <f>IFERROR(__xludf.DUMMYFUNCTION("IF(A3075&lt;&gt;"""", GOOGLETRANSLATE(A3075, ""en"", ""te""),"""")"),"")</f>
        <v/>
      </c>
      <c r="C3075" s="2"/>
      <c r="D3075" s="2" t="str">
        <f>IFERROR(__xludf.DUMMYFUNCTION("IF(C3075&lt;&gt;"""", GOOGLETRANSLATE(C3075, ""en"", ""te""),"""")"),"")</f>
        <v/>
      </c>
      <c r="E3075" s="2"/>
      <c r="F3075" s="2" t="str">
        <f>IFERROR(__xludf.DUMMYFUNCTION("IF(E3075&lt;&gt;"""", GOOGLETRANSLATE(E3075, ""en"", ""te""),"""")"),"")</f>
        <v/>
      </c>
      <c r="G3075" s="2"/>
      <c r="H3075" s="2" t="str">
        <f>IFERROR(__xludf.DUMMYFUNCTION("IF(G3075&lt;&gt;"""", GOOGLETRANSLATE(G3075, ""en"", ""te""),"""")"),"")</f>
        <v/>
      </c>
      <c r="I3075" s="3"/>
    </row>
    <row r="3076" customHeight="1" spans="1:9">
      <c r="A3076" s="2"/>
      <c r="B3076" s="2" t="str">
        <f>IFERROR(__xludf.DUMMYFUNCTION("IF(A3076&lt;&gt;"""", GOOGLETRANSLATE(A3076, ""en"", ""te""),"""")"),"")</f>
        <v/>
      </c>
      <c r="C3076" s="2"/>
      <c r="D3076" s="2" t="str">
        <f>IFERROR(__xludf.DUMMYFUNCTION("IF(C3076&lt;&gt;"""", GOOGLETRANSLATE(C3076, ""en"", ""te""),"""")"),"")</f>
        <v/>
      </c>
      <c r="E3076" s="2"/>
      <c r="F3076" s="2" t="str">
        <f>IFERROR(__xludf.DUMMYFUNCTION("IF(E3076&lt;&gt;"""", GOOGLETRANSLATE(E3076, ""en"", ""te""),"""")"),"")</f>
        <v/>
      </c>
      <c r="G3076" s="2"/>
      <c r="H3076" s="2" t="str">
        <f>IFERROR(__xludf.DUMMYFUNCTION("IF(G3076&lt;&gt;"""", GOOGLETRANSLATE(G3076, ""en"", ""te""),"""")"),"")</f>
        <v/>
      </c>
      <c r="I3076" s="3"/>
    </row>
    <row r="3077" customHeight="1" spans="1:9">
      <c r="A3077" s="2"/>
      <c r="B3077" s="2" t="str">
        <f>IFERROR(__xludf.DUMMYFUNCTION("IF(A3077&lt;&gt;"""", GOOGLETRANSLATE(A3077, ""en"", ""te""),"""")"),"")</f>
        <v/>
      </c>
      <c r="C3077" s="2"/>
      <c r="D3077" s="2" t="str">
        <f>IFERROR(__xludf.DUMMYFUNCTION("IF(C3077&lt;&gt;"""", GOOGLETRANSLATE(C3077, ""en"", ""te""),"""")"),"")</f>
        <v/>
      </c>
      <c r="E3077" s="2"/>
      <c r="F3077" s="2" t="str">
        <f>IFERROR(__xludf.DUMMYFUNCTION("IF(E3077&lt;&gt;"""", GOOGLETRANSLATE(E3077, ""en"", ""te""),"""")"),"")</f>
        <v/>
      </c>
      <c r="G3077" s="2"/>
      <c r="H3077" s="2" t="str">
        <f>IFERROR(__xludf.DUMMYFUNCTION("IF(G3077&lt;&gt;"""", GOOGLETRANSLATE(G3077, ""en"", ""te""),"""")"),"")</f>
        <v/>
      </c>
      <c r="I3077" s="3"/>
    </row>
    <row r="3078" customHeight="1" spans="1:9">
      <c r="A3078" s="2"/>
      <c r="B3078" s="2" t="str">
        <f>IFERROR(__xludf.DUMMYFUNCTION("IF(A3078&lt;&gt;"""", GOOGLETRANSLATE(A3078, ""en"", ""te""),"""")"),"")</f>
        <v/>
      </c>
      <c r="C3078" s="2"/>
      <c r="D3078" s="2" t="str">
        <f>IFERROR(__xludf.DUMMYFUNCTION("IF(C3078&lt;&gt;"""", GOOGLETRANSLATE(C3078, ""en"", ""te""),"""")"),"")</f>
        <v/>
      </c>
      <c r="E3078" s="2"/>
      <c r="F3078" s="2" t="str">
        <f>IFERROR(__xludf.DUMMYFUNCTION("IF(E3078&lt;&gt;"""", GOOGLETRANSLATE(E3078, ""en"", ""te""),"""")"),"")</f>
        <v/>
      </c>
      <c r="G3078" s="2"/>
      <c r="H3078" s="2" t="str">
        <f>IFERROR(__xludf.DUMMYFUNCTION("IF(G3078&lt;&gt;"""", GOOGLETRANSLATE(G3078, ""en"", ""te""),"""")"),"")</f>
        <v/>
      </c>
      <c r="I3078" s="3"/>
    </row>
    <row r="3079" customHeight="1" spans="1:9">
      <c r="A3079" s="2"/>
      <c r="B3079" s="2" t="str">
        <f>IFERROR(__xludf.DUMMYFUNCTION("IF(A3079&lt;&gt;"""", GOOGLETRANSLATE(A3079, ""en"", ""te""),"""")"),"")</f>
        <v/>
      </c>
      <c r="C3079" s="2"/>
      <c r="D3079" s="2" t="str">
        <f>IFERROR(__xludf.DUMMYFUNCTION("IF(C3079&lt;&gt;"""", GOOGLETRANSLATE(C3079, ""en"", ""te""),"""")"),"")</f>
        <v/>
      </c>
      <c r="E3079" s="2"/>
      <c r="F3079" s="2" t="str">
        <f>IFERROR(__xludf.DUMMYFUNCTION("IF(E3079&lt;&gt;"""", GOOGLETRANSLATE(E3079, ""en"", ""te""),"""")"),"")</f>
        <v/>
      </c>
      <c r="G3079" s="2"/>
      <c r="H3079" s="2" t="str">
        <f>IFERROR(__xludf.DUMMYFUNCTION("IF(G3079&lt;&gt;"""", GOOGLETRANSLATE(G3079, ""en"", ""te""),"""")"),"")</f>
        <v/>
      </c>
      <c r="I3079" s="3"/>
    </row>
    <row r="3080" customHeight="1" spans="1:9">
      <c r="A3080" s="2"/>
      <c r="B3080" s="2" t="str">
        <f>IFERROR(__xludf.DUMMYFUNCTION("IF(A3080&lt;&gt;"""", GOOGLETRANSLATE(A3080, ""en"", ""te""),"""")"),"")</f>
        <v/>
      </c>
      <c r="C3080" s="2"/>
      <c r="D3080" s="2" t="str">
        <f>IFERROR(__xludf.DUMMYFUNCTION("IF(C3080&lt;&gt;"""", GOOGLETRANSLATE(C3080, ""en"", ""te""),"""")"),"")</f>
        <v/>
      </c>
      <c r="E3080" s="2"/>
      <c r="F3080" s="2" t="str">
        <f>IFERROR(__xludf.DUMMYFUNCTION("IF(E3080&lt;&gt;"""", GOOGLETRANSLATE(E3080, ""en"", ""te""),"""")"),"")</f>
        <v/>
      </c>
      <c r="G3080" s="2"/>
      <c r="H3080" s="2" t="str">
        <f>IFERROR(__xludf.DUMMYFUNCTION("IF(G3080&lt;&gt;"""", GOOGLETRANSLATE(G3080, ""en"", ""te""),"""")"),"")</f>
        <v/>
      </c>
      <c r="I3080" s="3"/>
    </row>
    <row r="3081" customHeight="1" spans="1:9">
      <c r="A3081" s="2"/>
      <c r="B3081" s="2" t="str">
        <f>IFERROR(__xludf.DUMMYFUNCTION("IF(A3081&lt;&gt;"""", GOOGLETRANSLATE(A3081, ""en"", ""te""),"""")"),"")</f>
        <v/>
      </c>
      <c r="C3081" s="2"/>
      <c r="D3081" s="2" t="str">
        <f>IFERROR(__xludf.DUMMYFUNCTION("IF(C3081&lt;&gt;"""", GOOGLETRANSLATE(C3081, ""en"", ""te""),"""")"),"")</f>
        <v/>
      </c>
      <c r="E3081" s="2"/>
      <c r="F3081" s="2" t="str">
        <f>IFERROR(__xludf.DUMMYFUNCTION("IF(E3081&lt;&gt;"""", GOOGLETRANSLATE(E3081, ""en"", ""te""),"""")"),"")</f>
        <v/>
      </c>
      <c r="G3081" s="2" t="s">
        <v>2167</v>
      </c>
      <c r="H3081" s="2" t="str">
        <f>IFERROR(__xludf.DUMMYFUNCTION("IF(G3081&lt;&gt;"""", GOOGLETRANSLATE(G3081, ""en"", ""te""),"""")"),"[ 'ఎనిమిదవ వికెట్కు 13 వ అత్యధిక భాగస్వామ్యం (51)']")</f>
        <v>[ 'ఎనిమిదవ వికెట్కు 13 వ అత్యధిక భాగస్వామ్యం (51)']</v>
      </c>
      <c r="I3081" s="3"/>
    </row>
    <row r="3082" customHeight="1" spans="1:9">
      <c r="A3082" s="2"/>
      <c r="B3082" s="2" t="str">
        <f>IFERROR(__xludf.DUMMYFUNCTION("IF(A3082&lt;&gt;"""", GOOGLETRANSLATE(A3082, ""en"", ""te""),"""")"),"")</f>
        <v/>
      </c>
      <c r="C3082" s="2" t="s">
        <v>2168</v>
      </c>
      <c r="D3082" s="2" t="str">
        <f>IFERROR(__xludf.DUMMYFUNCTION("IF(C3082&lt;&gt;"""", GOOGLETRANSLATE(C3082, ""en"", ""te""),"""")"),"[ '23 వ కెరీర్ (20) అత్యంత బాతులు']")</f>
        <v>[ '23 వ కెరీర్ (20) అత్యంత బాతులు']</v>
      </c>
      <c r="E3082" s="2"/>
      <c r="F3082" s="2" t="str">
        <f>IFERROR(__xludf.DUMMYFUNCTION("IF(E3082&lt;&gt;"""", GOOGLETRANSLATE(E3082, ""en"", ""te""),"""")"),"")</f>
        <v/>
      </c>
      <c r="G3082" s="2"/>
      <c r="H3082" s="2" t="str">
        <f>IFERROR(__xludf.DUMMYFUNCTION("IF(G3082&lt;&gt;"""", GOOGLETRANSLATE(G3082, ""en"", ""te""),"""")"),"")</f>
        <v/>
      </c>
      <c r="I3082" s="3"/>
    </row>
    <row r="3083" customHeight="1" spans="1:9">
      <c r="A3083" s="2"/>
      <c r="B3083" s="2" t="str">
        <f>IFERROR(__xludf.DUMMYFUNCTION("IF(A3083&lt;&gt;"""", GOOGLETRANSLATE(A3083, ""en"", ""te""),"""")"),"")</f>
        <v/>
      </c>
      <c r="C3083" s="2" t="s">
        <v>2169</v>
      </c>
      <c r="D3083" s="2" t="str">
        <f>IFERROR(__xludf.DUMMYFUNCTION("IF(C3083&lt;&gt;"""", GOOGLETRANSLATE(C3083, ""en"", ""te""),"""")"),"[ '20 వ ఉత్తమ కెరీర్ బౌలింగ్ సరాసరి (అర్హత లేకుండా) (8.66)']")</f>
        <v>[ '20 వ ఉత్తమ కెరీర్ బౌలింగ్ సరాసరి (అర్హత లేకుండా) (8.66)']</v>
      </c>
      <c r="E3083" s="2"/>
      <c r="F3083" s="2" t="str">
        <f>IFERROR(__xludf.DUMMYFUNCTION("IF(E3083&lt;&gt;"""", GOOGLETRANSLATE(E3083, ""en"", ""te""),"""")"),"")</f>
        <v/>
      </c>
      <c r="G3083" s="2"/>
      <c r="H3083" s="2" t="str">
        <f>IFERROR(__xludf.DUMMYFUNCTION("IF(G3083&lt;&gt;"""", GOOGLETRANSLATE(G3083, ""en"", ""te""),"""")"),"")</f>
        <v/>
      </c>
      <c r="I3083" s="3"/>
    </row>
    <row r="3084" customHeight="1" spans="1:9">
      <c r="A3084" s="2"/>
      <c r="B3084" s="2" t="str">
        <f>IFERROR(__xludf.DUMMYFUNCTION("IF(A3084&lt;&gt;"""", GOOGLETRANSLATE(A3084, ""en"", ""te""),"""")"),"")</f>
        <v/>
      </c>
      <c r="C3084" s="2"/>
      <c r="D3084" s="2" t="str">
        <f>IFERROR(__xludf.DUMMYFUNCTION("IF(C3084&lt;&gt;"""", GOOGLETRANSLATE(C3084, ""en"", ""te""),"""")"),"")</f>
        <v/>
      </c>
      <c r="E3084" s="2"/>
      <c r="F3084" s="2" t="str">
        <f>IFERROR(__xludf.DUMMYFUNCTION("IF(E3084&lt;&gt;"""", GOOGLETRANSLATE(E3084, ""en"", ""te""),"""")"),"")</f>
        <v/>
      </c>
      <c r="G3084" s="2"/>
      <c r="H3084" s="2" t="str">
        <f>IFERROR(__xludf.DUMMYFUNCTION("IF(G3084&lt;&gt;"""", GOOGLETRANSLATE(G3084, ""en"", ""te""),"""")"),"")</f>
        <v/>
      </c>
      <c r="I3084" s="3"/>
    </row>
    <row r="3085" customHeight="1" spans="1:9">
      <c r="A3085" s="2"/>
      <c r="B3085" s="2" t="str">
        <f>IFERROR(__xludf.DUMMYFUNCTION("IF(A3085&lt;&gt;"""", GOOGLETRANSLATE(A3085, ""en"", ""te""),"""")"),"")</f>
        <v/>
      </c>
      <c r="C3085" s="2"/>
      <c r="D3085" s="2" t="str">
        <f>IFERROR(__xludf.DUMMYFUNCTION("IF(C3085&lt;&gt;"""", GOOGLETRANSLATE(C3085, ""en"", ""te""),"""")"),"")</f>
        <v/>
      </c>
      <c r="E3085" s="2"/>
      <c r="F3085" s="2" t="str">
        <f>IFERROR(__xludf.DUMMYFUNCTION("IF(E3085&lt;&gt;"""", GOOGLETRANSLATE(E3085, ""en"", ""te""),"""")"),"")</f>
        <v/>
      </c>
      <c r="G3085" s="2"/>
      <c r="H3085" s="2" t="str">
        <f>IFERROR(__xludf.DUMMYFUNCTION("IF(G3085&lt;&gt;"""", GOOGLETRANSLATE(G3085, ""en"", ""te""),"""")"),"")</f>
        <v/>
      </c>
      <c r="I3085" s="3"/>
    </row>
    <row r="3086" customHeight="1" spans="1:9">
      <c r="A3086" s="2"/>
      <c r="B3086" s="2" t="str">
        <f>IFERROR(__xludf.DUMMYFUNCTION("IF(A3086&lt;&gt;"""", GOOGLETRANSLATE(A3086, ""en"", ""te""),"""")"),"")</f>
        <v/>
      </c>
      <c r="C3086" s="2"/>
      <c r="D3086" s="2" t="str">
        <f>IFERROR(__xludf.DUMMYFUNCTION("IF(C3086&lt;&gt;"""", GOOGLETRANSLATE(C3086, ""en"", ""te""),"""")"),"")</f>
        <v/>
      </c>
      <c r="E3086" s="2"/>
      <c r="F3086" s="2" t="str">
        <f>IFERROR(__xludf.DUMMYFUNCTION("IF(E3086&lt;&gt;"""", GOOGLETRANSLATE(E3086, ""en"", ""te""),"""")"),"")</f>
        <v/>
      </c>
      <c r="G3086" s="2"/>
      <c r="H3086" s="2" t="str">
        <f>IFERROR(__xludf.DUMMYFUNCTION("IF(G3086&lt;&gt;"""", GOOGLETRANSLATE(G3086, ""en"", ""te""),"""")"),"")</f>
        <v/>
      </c>
      <c r="I3086" s="3"/>
    </row>
    <row r="3087" customHeight="1" spans="1:9">
      <c r="A3087" s="2"/>
      <c r="B3087" s="2" t="str">
        <f>IFERROR(__xludf.DUMMYFUNCTION("IF(A3087&lt;&gt;"""", GOOGLETRANSLATE(A3087, ""en"", ""te""),"""")"),"")</f>
        <v/>
      </c>
      <c r="C3087" s="2" t="s">
        <v>464</v>
      </c>
      <c r="D3087" s="2" t="str">
        <f>IFERROR(__xludf.DUMMYFUNCTION("IF(C3087&lt;&gt;"""", GOOGLETRANSLATE(C3087, ""en"", ""te""),"""")"),"[ '13 వ చెత్త కెరీర్ బౌలింగ్ సరాసరి (అర్హత లేకుండా) (189.00)']")</f>
        <v>[ '13 వ చెత్త కెరీర్ బౌలింగ్ సరాసరి (అర్హత లేకుండా) (189.00)']</v>
      </c>
      <c r="E3087" s="2"/>
      <c r="F3087" s="2" t="str">
        <f>IFERROR(__xludf.DUMMYFUNCTION("IF(E3087&lt;&gt;"""", GOOGLETRANSLATE(E3087, ""en"", ""te""),"""")"),"")</f>
        <v/>
      </c>
      <c r="G3087" s="2"/>
      <c r="H3087" s="2" t="str">
        <f>IFERROR(__xludf.DUMMYFUNCTION("IF(G3087&lt;&gt;"""", GOOGLETRANSLATE(G3087, ""en"", ""te""),"""")"),"")</f>
        <v/>
      </c>
      <c r="I3087" s="3"/>
    </row>
    <row r="3088" customHeight="1" spans="1:9">
      <c r="A3088" s="2"/>
      <c r="B3088" s="2" t="str">
        <f>IFERROR(__xludf.DUMMYFUNCTION("IF(A3088&lt;&gt;"""", GOOGLETRANSLATE(A3088, ""en"", ""te""),"""")"),"")</f>
        <v/>
      </c>
      <c r="C3088" s="2"/>
      <c r="D3088" s="2" t="str">
        <f>IFERROR(__xludf.DUMMYFUNCTION("IF(C3088&lt;&gt;"""", GOOGLETRANSLATE(C3088, ""en"", ""te""),"""")"),"")</f>
        <v/>
      </c>
      <c r="E3088" s="2"/>
      <c r="F3088" s="2" t="str">
        <f>IFERROR(__xludf.DUMMYFUNCTION("IF(E3088&lt;&gt;"""", GOOGLETRANSLATE(E3088, ""en"", ""te""),"""")"),"")</f>
        <v/>
      </c>
      <c r="G3088" s="2"/>
      <c r="H3088" s="2" t="str">
        <f>IFERROR(__xludf.DUMMYFUNCTION("IF(G3088&lt;&gt;"""", GOOGLETRANSLATE(G3088, ""en"", ""te""),"""")"),"")</f>
        <v/>
      </c>
      <c r="I3088" s="3"/>
    </row>
    <row r="3089" customHeight="1" spans="1:9">
      <c r="A3089" s="2"/>
      <c r="B3089" s="2" t="str">
        <f>IFERROR(__xludf.DUMMYFUNCTION("IF(A3089&lt;&gt;"""", GOOGLETRANSLATE(A3089, ""en"", ""te""),"""")"),"")</f>
        <v/>
      </c>
      <c r="C3089" s="2"/>
      <c r="D3089" s="2" t="str">
        <f>IFERROR(__xludf.DUMMYFUNCTION("IF(C3089&lt;&gt;"""", GOOGLETRANSLATE(C3089, ""en"", ""te""),"""")"),"")</f>
        <v/>
      </c>
      <c r="E3089" s="2"/>
      <c r="F3089" s="2" t="str">
        <f>IFERROR(__xludf.DUMMYFUNCTION("IF(E3089&lt;&gt;"""", GOOGLETRANSLATE(E3089, ""en"", ""te""),"""")"),"")</f>
        <v/>
      </c>
      <c r="G3089" s="2"/>
      <c r="H3089" s="2" t="str">
        <f>IFERROR(__xludf.DUMMYFUNCTION("IF(G3089&lt;&gt;"""", GOOGLETRANSLATE(G3089, ""en"", ""te""),"""")"),"")</f>
        <v/>
      </c>
      <c r="I3089" s="3"/>
    </row>
    <row r="3090" customHeight="1" spans="1:9">
      <c r="A3090" s="2"/>
      <c r="B3090" s="2" t="str">
        <f>IFERROR(__xludf.DUMMYFUNCTION("IF(A3090&lt;&gt;"""", GOOGLETRANSLATE(A3090, ""en"", ""te""),"""")"),"")</f>
        <v/>
      </c>
      <c r="C3090" s="2"/>
      <c r="D3090" s="2" t="str">
        <f>IFERROR(__xludf.DUMMYFUNCTION("IF(C3090&lt;&gt;"""", GOOGLETRANSLATE(C3090, ""en"", ""te""),"""")"),"")</f>
        <v/>
      </c>
      <c r="E3090" s="2"/>
      <c r="F3090" s="2" t="str">
        <f>IFERROR(__xludf.DUMMYFUNCTION("IF(E3090&lt;&gt;"""", GOOGLETRANSLATE(E3090, ""en"", ""te""),"""")"),"")</f>
        <v/>
      </c>
      <c r="G3090" s="2"/>
      <c r="H3090" s="2" t="str">
        <f>IFERROR(__xludf.DUMMYFUNCTION("IF(G3090&lt;&gt;"""", GOOGLETRANSLATE(G3090, ""en"", ""te""),"""")"),"")</f>
        <v/>
      </c>
      <c r="I3090" s="3"/>
    </row>
    <row r="3091" customHeight="1" spans="1:9">
      <c r="A3091" s="2"/>
      <c r="B3091" s="2" t="str">
        <f>IFERROR(__xludf.DUMMYFUNCTION("IF(A3091&lt;&gt;"""", GOOGLETRANSLATE(A3091, ""en"", ""te""),"""")"),"")</f>
        <v/>
      </c>
      <c r="C3091" s="2"/>
      <c r="D3091" s="2" t="str">
        <f>IFERROR(__xludf.DUMMYFUNCTION("IF(C3091&lt;&gt;"""", GOOGLETRANSLATE(C3091, ""en"", ""te""),"""")"),"")</f>
        <v/>
      </c>
      <c r="E3091" s="2"/>
      <c r="F3091" s="2" t="str">
        <f>IFERROR(__xludf.DUMMYFUNCTION("IF(E3091&lt;&gt;"""", GOOGLETRANSLATE(E3091, ""en"", ""te""),"""")"),"")</f>
        <v/>
      </c>
      <c r="G3091" s="2"/>
      <c r="H3091" s="2" t="str">
        <f>IFERROR(__xludf.DUMMYFUNCTION("IF(G3091&lt;&gt;"""", GOOGLETRANSLATE(G3091, ""en"", ""te""),"""")"),"")</f>
        <v/>
      </c>
      <c r="I3091" s="3"/>
    </row>
    <row r="3092" customHeight="1" spans="1:9">
      <c r="A3092" s="2"/>
      <c r="B3092" s="2" t="str">
        <f>IFERROR(__xludf.DUMMYFUNCTION("IF(A3092&lt;&gt;"""", GOOGLETRANSLATE(A3092, ""en"", ""te""),"""")"),"")</f>
        <v/>
      </c>
      <c r="C3092" s="2"/>
      <c r="D3092" s="2" t="str">
        <f>IFERROR(__xludf.DUMMYFUNCTION("IF(C3092&lt;&gt;"""", GOOGLETRANSLATE(C3092, ""en"", ""te""),"""")"),"")</f>
        <v/>
      </c>
      <c r="E3092" s="2"/>
      <c r="F3092" s="2" t="str">
        <f>IFERROR(__xludf.DUMMYFUNCTION("IF(E3092&lt;&gt;"""", GOOGLETRANSLATE(E3092, ""en"", ""te""),"""")"),"")</f>
        <v/>
      </c>
      <c r="G3092" s="2"/>
      <c r="H3092" s="2" t="str">
        <f>IFERROR(__xludf.DUMMYFUNCTION("IF(G3092&lt;&gt;"""", GOOGLETRANSLATE(G3092, ""en"", ""te""),"""")"),"")</f>
        <v/>
      </c>
      <c r="I3092" s="3"/>
    </row>
    <row r="3093" customHeight="1" spans="1:9">
      <c r="A3093" s="2"/>
      <c r="B3093" s="2" t="str">
        <f>IFERROR(__xludf.DUMMYFUNCTION("IF(A3093&lt;&gt;"""", GOOGLETRANSLATE(A3093, ""en"", ""te""),"""")"),"")</f>
        <v/>
      </c>
      <c r="C3093" s="2"/>
      <c r="D3093" s="2" t="str">
        <f>IFERROR(__xludf.DUMMYFUNCTION("IF(C3093&lt;&gt;"""", GOOGLETRANSLATE(C3093, ""en"", ""te""),"""")"),"")</f>
        <v/>
      </c>
      <c r="E3093" s="2"/>
      <c r="F3093" s="2" t="str">
        <f>IFERROR(__xludf.DUMMYFUNCTION("IF(E3093&lt;&gt;"""", GOOGLETRANSLATE(E3093, ""en"", ""te""),"""")"),"")</f>
        <v/>
      </c>
      <c r="G3093" s="2"/>
      <c r="H3093" s="2" t="str">
        <f>IFERROR(__xludf.DUMMYFUNCTION("IF(G3093&lt;&gt;"""", GOOGLETRANSLATE(G3093, ""en"", ""te""),"""")"),"")</f>
        <v/>
      </c>
      <c r="I3093" s="3"/>
    </row>
    <row r="3094" customHeight="1" spans="1:9">
      <c r="A3094" s="2"/>
      <c r="B3094" s="2" t="str">
        <f>IFERROR(__xludf.DUMMYFUNCTION("IF(A3094&lt;&gt;"""", GOOGLETRANSLATE(A3094, ""en"", ""te""),"""")"),"")</f>
        <v/>
      </c>
      <c r="C3094" s="2"/>
      <c r="D3094" s="2" t="str">
        <f>IFERROR(__xludf.DUMMYFUNCTION("IF(C3094&lt;&gt;"""", GOOGLETRANSLATE(C3094, ""en"", ""te""),"""")"),"")</f>
        <v/>
      </c>
      <c r="E3094" s="2"/>
      <c r="F3094" s="2" t="str">
        <f>IFERROR(__xludf.DUMMYFUNCTION("IF(E3094&lt;&gt;"""", GOOGLETRANSLATE(E3094, ""en"", ""te""),"""")"),"")</f>
        <v/>
      </c>
      <c r="G3094" s="2"/>
      <c r="H3094" s="2" t="str">
        <f>IFERROR(__xludf.DUMMYFUNCTION("IF(G3094&lt;&gt;"""", GOOGLETRANSLATE(G3094, ""en"", ""te""),"""")"),"")</f>
        <v/>
      </c>
      <c r="I3094" s="3"/>
    </row>
    <row r="3095" customHeight="1" spans="1:9">
      <c r="A3095" s="2"/>
      <c r="B3095" s="2" t="str">
        <f>IFERROR(__xludf.DUMMYFUNCTION("IF(A3095&lt;&gt;"""", GOOGLETRANSLATE(A3095, ""en"", ""te""),"""")"),"")</f>
        <v/>
      </c>
      <c r="C3095" s="2"/>
      <c r="D3095" s="2" t="str">
        <f>IFERROR(__xludf.DUMMYFUNCTION("IF(C3095&lt;&gt;"""", GOOGLETRANSLATE(C3095, ""en"", ""te""),"""")"),"")</f>
        <v/>
      </c>
      <c r="E3095" s="2"/>
      <c r="F3095" s="2" t="str">
        <f>IFERROR(__xludf.DUMMYFUNCTION("IF(E3095&lt;&gt;"""", GOOGLETRANSLATE(E3095, ""en"", ""te""),"""")"),"")</f>
        <v/>
      </c>
      <c r="G3095" s="2"/>
      <c r="H3095" s="2" t="str">
        <f>IFERROR(__xludf.DUMMYFUNCTION("IF(G3095&lt;&gt;"""", GOOGLETRANSLATE(G3095, ""en"", ""te""),"""")"),"")</f>
        <v/>
      </c>
      <c r="I3095" s="3"/>
    </row>
    <row r="3096" customHeight="1" spans="1:9">
      <c r="A3096" s="2"/>
      <c r="B3096" s="2" t="str">
        <f>IFERROR(__xludf.DUMMYFUNCTION("IF(A3096&lt;&gt;"""", GOOGLETRANSLATE(A3096, ""en"", ""te""),"""")"),"")</f>
        <v/>
      </c>
      <c r="C3096" s="2"/>
      <c r="D3096" s="2" t="str">
        <f>IFERROR(__xludf.DUMMYFUNCTION("IF(C3096&lt;&gt;"""", GOOGLETRANSLATE(C3096, ""en"", ""te""),"""")"),"")</f>
        <v/>
      </c>
      <c r="E3096" s="2"/>
      <c r="F3096" s="2" t="str">
        <f>IFERROR(__xludf.DUMMYFUNCTION("IF(E3096&lt;&gt;"""", GOOGLETRANSLATE(E3096, ""en"", ""te""),"""")"),"")</f>
        <v/>
      </c>
      <c r="G3096" s="2"/>
      <c r="H3096" s="2" t="str">
        <f>IFERROR(__xludf.DUMMYFUNCTION("IF(G3096&lt;&gt;"""", GOOGLETRANSLATE(G3096, ""en"", ""te""),"""")"),"")</f>
        <v/>
      </c>
      <c r="I3096" s="3"/>
    </row>
    <row r="3097" customHeight="1" spans="1:9">
      <c r="A3097" s="2"/>
      <c r="B3097" s="2" t="str">
        <f>IFERROR(__xludf.DUMMYFUNCTION("IF(A3097&lt;&gt;"""", GOOGLETRANSLATE(A3097, ""en"", ""te""),"""")"),"")</f>
        <v/>
      </c>
      <c r="C3097" s="2"/>
      <c r="D3097" s="2" t="str">
        <f>IFERROR(__xludf.DUMMYFUNCTION("IF(C3097&lt;&gt;"""", GOOGLETRANSLATE(C3097, ""en"", ""te""),"""")"),"")</f>
        <v/>
      </c>
      <c r="E3097" s="2"/>
      <c r="F3097" s="2" t="str">
        <f>IFERROR(__xludf.DUMMYFUNCTION("IF(E3097&lt;&gt;"""", GOOGLETRANSLATE(E3097, ""en"", ""te""),"""")"),"")</f>
        <v/>
      </c>
      <c r="G3097" s="2"/>
      <c r="H3097" s="2" t="str">
        <f>IFERROR(__xludf.DUMMYFUNCTION("IF(G3097&lt;&gt;"""", GOOGLETRANSLATE(G3097, ""en"", ""te""),"""")"),"")</f>
        <v/>
      </c>
      <c r="I3097" s="3"/>
    </row>
    <row r="3098" customHeight="1" spans="1:9">
      <c r="A3098" s="2"/>
      <c r="B3098" s="2" t="str">
        <f>IFERROR(__xludf.DUMMYFUNCTION("IF(A3098&lt;&gt;"""", GOOGLETRANSLATE(A3098, ""en"", ""te""),"""")"),"")</f>
        <v/>
      </c>
      <c r="C3098" s="2"/>
      <c r="D3098" s="2" t="str">
        <f>IFERROR(__xludf.DUMMYFUNCTION("IF(C3098&lt;&gt;"""", GOOGLETRANSLATE(C3098, ""en"", ""te""),"""")"),"")</f>
        <v/>
      </c>
      <c r="E3098" s="2"/>
      <c r="F3098" s="2" t="str">
        <f>IFERROR(__xludf.DUMMYFUNCTION("IF(E3098&lt;&gt;"""", GOOGLETRANSLATE(E3098, ""en"", ""te""),"""")"),"")</f>
        <v/>
      </c>
      <c r="G3098" s="2"/>
      <c r="H3098" s="2" t="str">
        <f>IFERROR(__xludf.DUMMYFUNCTION("IF(G3098&lt;&gt;"""", GOOGLETRANSLATE(G3098, ""en"", ""te""),"""")"),"")</f>
        <v/>
      </c>
      <c r="I3098" s="3"/>
    </row>
    <row r="3099" customHeight="1" spans="1:9">
      <c r="A3099" s="2"/>
      <c r="B3099" s="2" t="str">
        <f>IFERROR(__xludf.DUMMYFUNCTION("IF(A3099&lt;&gt;"""", GOOGLETRANSLATE(A3099, ""en"", ""te""),"""")"),"")</f>
        <v/>
      </c>
      <c r="C3099" s="2"/>
      <c r="D3099" s="2" t="str">
        <f>IFERROR(__xludf.DUMMYFUNCTION("IF(C3099&lt;&gt;"""", GOOGLETRANSLATE(C3099, ""en"", ""te""),"""")"),"")</f>
        <v/>
      </c>
      <c r="E3099" s="2"/>
      <c r="F3099" s="2" t="str">
        <f>IFERROR(__xludf.DUMMYFUNCTION("IF(E3099&lt;&gt;"""", GOOGLETRANSLATE(E3099, ""en"", ""te""),"""")"),"")</f>
        <v/>
      </c>
      <c r="G3099" s="2"/>
      <c r="H3099" s="2" t="str">
        <f>IFERROR(__xludf.DUMMYFUNCTION("IF(G3099&lt;&gt;"""", GOOGLETRANSLATE(G3099, ""en"", ""te""),"""")"),"")</f>
        <v/>
      </c>
      <c r="I3099" s="3"/>
    </row>
    <row r="3100" customHeight="1" spans="1:9">
      <c r="A3100" s="2"/>
      <c r="B3100" s="2" t="str">
        <f>IFERROR(__xludf.DUMMYFUNCTION("IF(A3100&lt;&gt;"""", GOOGLETRANSLATE(A3100, ""en"", ""te""),"""")"),"")</f>
        <v/>
      </c>
      <c r="C3100" s="2" t="s">
        <v>2170</v>
      </c>
      <c r="D3100" s="2" t="str">
        <f>IFERROR(__xludf.DUMMYFUNCTION("IF(C3100&lt;&gt;"""", GOOGLETRANSLATE(C3100, ""en"", ""te""),"""")"),"[ '38 వ ఉత్తమ కెరీర్ బౌలింగ్ సరాసరి (అర్హత లేకుండా) (12.00)']")</f>
        <v>[ '38 వ ఉత్తమ కెరీర్ బౌలింగ్ సరాసరి (అర్హత లేకుండా) (12.00)']</v>
      </c>
      <c r="E3100" s="2"/>
      <c r="F3100" s="2" t="str">
        <f>IFERROR(__xludf.DUMMYFUNCTION("IF(E3100&lt;&gt;"""", GOOGLETRANSLATE(E3100, ""en"", ""te""),"""")"),"")</f>
        <v/>
      </c>
      <c r="G3100" s="2"/>
      <c r="H3100" s="2" t="str">
        <f>IFERROR(__xludf.DUMMYFUNCTION("IF(G3100&lt;&gt;"""", GOOGLETRANSLATE(G3100, ""en"", ""te""),"""")"),"")</f>
        <v/>
      </c>
      <c r="I3100" s="3"/>
    </row>
    <row r="3101" customHeight="1" spans="1:9">
      <c r="A3101" s="2"/>
      <c r="B3101" s="2" t="str">
        <f>IFERROR(__xludf.DUMMYFUNCTION("IF(A3101&lt;&gt;"""", GOOGLETRANSLATE(A3101, ""en"", ""te""),"""")"),"")</f>
        <v/>
      </c>
      <c r="C3101" s="2"/>
      <c r="D3101" s="2" t="str">
        <f>IFERROR(__xludf.DUMMYFUNCTION("IF(C3101&lt;&gt;"""", GOOGLETRANSLATE(C3101, ""en"", ""te""),"""")"),"")</f>
        <v/>
      </c>
      <c r="E3101" s="2"/>
      <c r="F3101" s="2" t="str">
        <f>IFERROR(__xludf.DUMMYFUNCTION("IF(E3101&lt;&gt;"""", GOOGLETRANSLATE(E3101, ""en"", ""te""),"""")"),"")</f>
        <v/>
      </c>
      <c r="G3101" s="2"/>
      <c r="H3101" s="2" t="str">
        <f>IFERROR(__xludf.DUMMYFUNCTION("IF(G3101&lt;&gt;"""", GOOGLETRANSLATE(G3101, ""en"", ""te""),"""")"),"")</f>
        <v/>
      </c>
      <c r="I3101" s="3"/>
    </row>
    <row r="3102" customHeight="1" spans="1:9">
      <c r="A3102" s="2" t="s">
        <v>2171</v>
      </c>
      <c r="B3102" s="2" t="str">
        <f>IFERROR(__xludf.DUMMYFUNCTION("IF(A3102&lt;&gt;"""", GOOGLETRANSLATE(A3102, ""en"", ""te""),"""")"),"[ '4 వ అత్యధిక వరుస బాతులు (4)', '4 వ అత్యధిక వరుస బాతులు (4)' '50 వికెట్లు (9) వేగంగా 8 వ', '7 వ ఉత్తమ కెరీర్ సగటు (16.98) బౌలింగ్']")</f>
        <v>[ '4 వ అత్యధిక వరుస బాతులు (4)', '4 వ అత్యధిక వరుస బాతులు (4)' '50 వికెట్లు (9) వేగంగా 8 వ', '7 వ ఉత్తమ కెరీర్ సగటు (16.98) బౌలింగ్']</v>
      </c>
      <c r="C3102" s="2" t="s">
        <v>2172</v>
      </c>
      <c r="D3102" s="2" t="str">
        <f>IFERROR(__xludf.DUMMYFUNCTION("IF(C3102&lt;&gt;"""", GOOGLETRANSLATE(C3102, ""en"", ""te""),"""")"),"[ '4 వ అత్యధిక వరుస బాతులు (4)', '11 వ వరుస (4) అత్యంత బాతులు' '7th కెరీర్ జతల (3)', '30 వ ఉత్తమ కెరీర్ ఆర్థిక' 7th ఉత్తమ కెరీర్ సగటు (16.98) బౌలింగ్ ' రేటు (1.97) ',' 50 వ ఉత్తమ కెరీర్ సమ్మె రేటు (51.6) ',' 33 వ అరంగేట్రంలోనే మ్యాచ్లో బెస్ట్ ఫిగర్స్ (8) "&amp;"',' ఐదు వికెట్ల లో-ఒక-ఇన్నింగ్స్ తీసుకోవాలని 18 వ అత్యంత వృద్ధ ఆటగాడు (39y 180d) ',' 100 వికెట్లు (20) కు 50 వికెట్లు వేగంగా 8 వ (9) ',' 13 వ వేగవంతమైన ']")</f>
        <v>[ '4 వ అత్యధిక వరుస బాతులు (4)', '11 వ వరుస (4) అత్యంత బాతులు' '7th కెరీర్ జతల (3)', '30 వ ఉత్తమ కెరీర్ ఆర్థిక' 7th ఉత్తమ కెరీర్ సగటు (16.98) బౌలింగ్ ' రేటు (1.97) ',' 50 వ ఉత్తమ కెరీర్ సమ్మె రేటు (51.6) ',' 33 వ అరంగేట్రంలోనే మ్యాచ్లో బెస్ట్ ఫిగర్స్ (8) ',' ఐదు వికెట్ల లో-ఒక-ఇన్నింగ్స్ తీసుకోవాలని 18 వ అత్యంత వృద్ధ ఆటగాడు (39y 180d) ',' 100 వికెట్లు (20) కు 50 వికెట్లు వేగంగా 8 వ (9) ',' 13 వ వేగవంతమైన ']</v>
      </c>
      <c r="E3102" s="2"/>
      <c r="F3102" s="2" t="str">
        <f>IFERROR(__xludf.DUMMYFUNCTION("IF(E3102&lt;&gt;"""", GOOGLETRANSLATE(E3102, ""en"", ""te""),"""")"),"")</f>
        <v/>
      </c>
      <c r="G3102" s="2"/>
      <c r="H3102" s="2" t="str">
        <f>IFERROR(__xludf.DUMMYFUNCTION("IF(G3102&lt;&gt;"""", GOOGLETRANSLATE(G3102, ""en"", ""te""),"""")"),"")</f>
        <v/>
      </c>
      <c r="I3102" s="3"/>
    </row>
    <row r="3103" customHeight="1" spans="1:9">
      <c r="A3103" s="2" t="s">
        <v>2173</v>
      </c>
      <c r="B3103" s="2" t="str">
        <f>IFERROR(__xludf.DUMMYFUNCTION("IF(A3103&lt;&gt;"""", GOOGLETRANSLATE(A3103, ""en"", ""te""),"""")"),"[ 'ఇన్నింగ్స్ లో 6 వ అత్యధిక పరుగులు (బ్యాటింగ్ స్థానంలో ప్రకారం) (118)', 'కెరీర్ లో 7 వ అతి తక్కువ బాతులు (35)']")</f>
        <v>[ 'ఇన్నింగ్స్ లో 6 వ అత్యధిక పరుగులు (బ్యాటింగ్ స్థానంలో ప్రకారం) (118)', 'కెరీర్ లో 7 వ అతి తక్కువ బాతులు (35)']</v>
      </c>
      <c r="C3103" s="2" t="s">
        <v>2174</v>
      </c>
      <c r="D3103" s="2" t="str">
        <f>IFERROR(__xludf.DUMMYFUNCTION("IF(C3103&lt;&gt;"""", GOOGLETRANSLATE(C3103, ""en"", ""te""),"""")"),"[ '19 వ ఒక సిరీస్లో అత్యధిక క్యాచ్లు (5)']")</f>
        <v>[ '19 వ ఒక సిరీస్లో అత్యధిక క్యాచ్లు (5)']</v>
      </c>
      <c r="E3103" s="2" t="s">
        <v>2175</v>
      </c>
      <c r="F3103" s="2" t="str">
        <f>IFERROR(__xludf.DUMMYFUNCTION("IF(E3103&lt;&gt;"""", GOOGLETRANSLATE(E3103, ""en"", ""te""),"""")"),"[ 'ఇన్నింగ్స్ లో 6 వ అత్యధిక పరుగులు (బ్యాటింగ్ స్థానంలో ప్రకారం) (118)', '25 వ అత్యధిక తొలి వంద (118)', 'కెరీర్ (35) 7 వ అతి తక్కువ బాతులు']")</f>
        <v>[ 'ఇన్నింగ్స్ లో 6 వ అత్యధిక పరుగులు (బ్యాటింగ్ స్థానంలో ప్రకారం) (118)', '25 వ అత్యధిక తొలి వంద (118)', 'కెరీర్ (35) 7 వ అతి తక్కువ బాతులు']</v>
      </c>
      <c r="G3103" s="2"/>
      <c r="H3103" s="2" t="str">
        <f>IFERROR(__xludf.DUMMYFUNCTION("IF(G3103&lt;&gt;"""", GOOGLETRANSLATE(G3103, ""en"", ""te""),"""")"),"")</f>
        <v/>
      </c>
      <c r="I3103" s="3"/>
    </row>
    <row r="3104" customHeight="1" spans="1:9">
      <c r="A3104" s="2"/>
      <c r="B3104" s="2" t="str">
        <f>IFERROR(__xludf.DUMMYFUNCTION("IF(A3104&lt;&gt;"""", GOOGLETRANSLATE(A3104, ""en"", ""te""),"""")"),"")</f>
        <v/>
      </c>
      <c r="C3104" s="2"/>
      <c r="D3104" s="2" t="str">
        <f>IFERROR(__xludf.DUMMYFUNCTION("IF(C3104&lt;&gt;"""", GOOGLETRANSLATE(C3104, ""en"", ""te""),"""")"),"")</f>
        <v/>
      </c>
      <c r="E3104" s="2"/>
      <c r="F3104" s="2" t="str">
        <f>IFERROR(__xludf.DUMMYFUNCTION("IF(E3104&lt;&gt;"""", GOOGLETRANSLATE(E3104, ""en"", ""te""),"""")"),"")</f>
        <v/>
      </c>
      <c r="G3104" s="2"/>
      <c r="H3104" s="2" t="str">
        <f>IFERROR(__xludf.DUMMYFUNCTION("IF(G3104&lt;&gt;"""", GOOGLETRANSLATE(G3104, ""en"", ""te""),"""")"),"")</f>
        <v/>
      </c>
      <c r="I3104" s="3"/>
    </row>
    <row r="3105" customHeight="1" spans="1:9">
      <c r="A3105" s="2"/>
      <c r="B3105" s="2" t="str">
        <f>IFERROR(__xludf.DUMMYFUNCTION("IF(A3105&lt;&gt;"""", GOOGLETRANSLATE(A3105, ""en"", ""te""),"""")"),"")</f>
        <v/>
      </c>
      <c r="C3105" s="2"/>
      <c r="D3105" s="2" t="str">
        <f>IFERROR(__xludf.DUMMYFUNCTION("IF(C3105&lt;&gt;"""", GOOGLETRANSLATE(C3105, ""en"", ""te""),"""")"),"")</f>
        <v/>
      </c>
      <c r="E3105" s="2"/>
      <c r="F3105" s="2" t="str">
        <f>IFERROR(__xludf.DUMMYFUNCTION("IF(E3105&lt;&gt;"""", GOOGLETRANSLATE(E3105, ""en"", ""te""),"""")"),"")</f>
        <v/>
      </c>
      <c r="G3105" s="2"/>
      <c r="H3105" s="2" t="str">
        <f>IFERROR(__xludf.DUMMYFUNCTION("IF(G3105&lt;&gt;"""", GOOGLETRANSLATE(G3105, ""en"", ""te""),"""")"),"")</f>
        <v/>
      </c>
      <c r="I3105" s="3"/>
    </row>
    <row r="3106" customHeight="1" spans="1:9">
      <c r="A3106" s="2"/>
      <c r="B3106" s="2" t="str">
        <f>IFERROR(__xludf.DUMMYFUNCTION("IF(A3106&lt;&gt;"""", GOOGLETRANSLATE(A3106, ""en"", ""te""),"""")"),"")</f>
        <v/>
      </c>
      <c r="C3106" s="2" t="s">
        <v>2176</v>
      </c>
      <c r="D3106" s="2" t="str">
        <f>IFERROR(__xludf.DUMMYFUNCTION("IF(C3106&lt;&gt;"""", GOOGLETRANSLATE(C3106, ""en"", ""te""),"""")"),"[ '37 వ ఉత్తమ ఇన్నింగ్స్ లో ఆర్థిక రేటు (0.60)']")</f>
        <v>[ '37 వ ఉత్తమ ఇన్నింగ్స్ లో ఆర్థిక రేటు (0.60)']</v>
      </c>
      <c r="E3106" s="2"/>
      <c r="F3106" s="2" t="str">
        <f>IFERROR(__xludf.DUMMYFUNCTION("IF(E3106&lt;&gt;"""", GOOGLETRANSLATE(E3106, ""en"", ""te""),"""")"),"")</f>
        <v/>
      </c>
      <c r="G3106" s="2"/>
      <c r="H3106" s="2" t="str">
        <f>IFERROR(__xludf.DUMMYFUNCTION("IF(G3106&lt;&gt;"""", GOOGLETRANSLATE(G3106, ""en"", ""te""),"""")"),"")</f>
        <v/>
      </c>
      <c r="I3106" s="3"/>
    </row>
    <row r="3107" customHeight="1" spans="1:9">
      <c r="A3107" s="2"/>
      <c r="B3107" s="2" t="str">
        <f>IFERROR(__xludf.DUMMYFUNCTION("IF(A3107&lt;&gt;"""", GOOGLETRANSLATE(A3107, ""en"", ""te""),"""")"),"")</f>
        <v/>
      </c>
      <c r="C3107" s="2"/>
      <c r="D3107" s="2" t="str">
        <f>IFERROR(__xludf.DUMMYFUNCTION("IF(C3107&lt;&gt;"""", GOOGLETRANSLATE(C3107, ""en"", ""te""),"""")"),"")</f>
        <v/>
      </c>
      <c r="E3107" s="2"/>
      <c r="F3107" s="2" t="str">
        <f>IFERROR(__xludf.DUMMYFUNCTION("IF(E3107&lt;&gt;"""", GOOGLETRANSLATE(E3107, ""en"", ""te""),"""")"),"")</f>
        <v/>
      </c>
      <c r="G3107" s="2"/>
      <c r="H3107" s="2" t="str">
        <f>IFERROR(__xludf.DUMMYFUNCTION("IF(G3107&lt;&gt;"""", GOOGLETRANSLATE(G3107, ""en"", ""te""),"""")"),"")</f>
        <v/>
      </c>
      <c r="I3107" s="3"/>
    </row>
    <row r="3108" customHeight="1" spans="1:9">
      <c r="A3108" s="2"/>
      <c r="B3108" s="2" t="str">
        <f>IFERROR(__xludf.DUMMYFUNCTION("IF(A3108&lt;&gt;"""", GOOGLETRANSLATE(A3108, ""en"", ""te""),"""")"),"")</f>
        <v/>
      </c>
      <c r="C3108" s="2"/>
      <c r="D3108" s="2" t="str">
        <f>IFERROR(__xludf.DUMMYFUNCTION("IF(C3108&lt;&gt;"""", GOOGLETRANSLATE(C3108, ""en"", ""te""),"""")"),"")</f>
        <v/>
      </c>
      <c r="E3108" s="2"/>
      <c r="F3108" s="2" t="str">
        <f>IFERROR(__xludf.DUMMYFUNCTION("IF(E3108&lt;&gt;"""", GOOGLETRANSLATE(E3108, ""en"", ""te""),"""")"),"")</f>
        <v/>
      </c>
      <c r="G3108" s="2"/>
      <c r="H3108" s="2" t="str">
        <f>IFERROR(__xludf.DUMMYFUNCTION("IF(G3108&lt;&gt;"""", GOOGLETRANSLATE(G3108, ""en"", ""te""),"""")"),"")</f>
        <v/>
      </c>
      <c r="I3108" s="3"/>
    </row>
    <row r="3109" customHeight="1" spans="1:9">
      <c r="A3109" s="2"/>
      <c r="B3109" s="2" t="str">
        <f>IFERROR(__xludf.DUMMYFUNCTION("IF(A3109&lt;&gt;"""", GOOGLETRANSLATE(A3109, ""en"", ""te""),"""")"),"")</f>
        <v/>
      </c>
      <c r="C3109" s="2"/>
      <c r="D3109" s="2" t="str">
        <f>IFERROR(__xludf.DUMMYFUNCTION("IF(C3109&lt;&gt;"""", GOOGLETRANSLATE(C3109, ""en"", ""te""),"""")"),"")</f>
        <v/>
      </c>
      <c r="E3109" s="2"/>
      <c r="F3109" s="2" t="str">
        <f>IFERROR(__xludf.DUMMYFUNCTION("IF(E3109&lt;&gt;"""", GOOGLETRANSLATE(E3109, ""en"", ""te""),"""")"),"")</f>
        <v/>
      </c>
      <c r="G3109" s="2"/>
      <c r="H3109" s="2" t="str">
        <f>IFERROR(__xludf.DUMMYFUNCTION("IF(G3109&lt;&gt;"""", GOOGLETRANSLATE(G3109, ""en"", ""te""),"""")"),"")</f>
        <v/>
      </c>
      <c r="I3109" s="3"/>
    </row>
    <row r="3110" customHeight="1" spans="1:9">
      <c r="A3110" s="2" t="s">
        <v>2177</v>
      </c>
      <c r="B3110" s="2" t="str">
        <f>IFERROR(__xludf.DUMMYFUNCTION("IF(A3110&lt;&gt;"""", GOOGLETRANSLATE(A3110, ""en"", ""te""),"""")"),"[ 'కెప్టెన్సీ తొలి 8 వ ఓల్డెస్ట్ కాప్టెన్ (39y 18d)']")</f>
        <v>[ 'కెప్టెన్సీ తొలి 8 వ ఓల్డెస్ట్ కాప్టెన్ (39y 18d)']</v>
      </c>
      <c r="C3110" s="2" t="s">
        <v>2178</v>
      </c>
      <c r="D3110" s="2" t="str">
        <f>IFERROR(__xludf.DUMMYFUNCTION("IF(C3110&lt;&gt;"""", GOOGLETRANSLATE(C3110, ""en"", ""te""),"""")"),"[ '17 చెత్త కెరీర్ బౌలింగ్ సరాసరి (38.33)', '18 వ చెత్త కెరీర్లో సమ్మె రేటు (108.1)', '34 వ కెరీర్ లో బౌల్డ్ చాలా బంతుల్లో (1947)', '28th లాంగెస్ట్ కెరీర్లు (13y 6d)']")</f>
        <v>[ '17 చెత్త కెరీర్ బౌలింగ్ సరాసరి (38.33)', '18 వ చెత్త కెరీర్లో సమ్మె రేటు (108.1)', '34 వ కెరీర్ లో బౌల్డ్ చాలా బంతుల్లో (1947)', '28th లాంగెస్ట్ కెరీర్లు (13y 6d)']</v>
      </c>
      <c r="E3110" s="2" t="s">
        <v>2179</v>
      </c>
      <c r="F3110" s="2" t="str">
        <f>IFERROR(__xludf.DUMMYFUNCTION("IF(E3110&lt;&gt;"""", GOOGLETRANSLATE(E3110, ""en"", ""te""),"""")"),"[ 'తొలి 25 ఓల్డెస్ట్ క్రీడాకారులు (34y 191d)', '27 వ ఓల్డెస్ట్ క్రీడాకారులు (39y 30D)', '9 వ ఓల్డెస్ట్ కాప్టెన్ (39y 30D)', 'కెప్టెన్సీ తొలి 8 వ ఓల్డెస్ట్ కాప్టెన్ (39y 18d)']")</f>
        <v>[ 'తొలి 25 ఓల్డెస్ట్ క్రీడాకారులు (34y 191d)', '27 వ ఓల్డెస్ట్ క్రీడాకారులు (39y 30D)', '9 వ ఓల్డెస్ట్ కాప్టెన్ (39y 30D)', 'కెప్టెన్సీ తొలి 8 వ ఓల్డెస్ట్ కాప్టెన్ (39y 18d)']</v>
      </c>
      <c r="G3110" s="2"/>
      <c r="H3110" s="2" t="str">
        <f>IFERROR(__xludf.DUMMYFUNCTION("IF(G3110&lt;&gt;"""", GOOGLETRANSLATE(G3110, ""en"", ""te""),"""")"),"")</f>
        <v/>
      </c>
      <c r="I3110" s="3"/>
    </row>
    <row r="3111" customHeight="1" spans="1:9">
      <c r="A3111" s="2"/>
      <c r="B3111" s="2" t="str">
        <f>IFERROR(__xludf.DUMMYFUNCTION("IF(A3111&lt;&gt;"""", GOOGLETRANSLATE(A3111, ""en"", ""te""),"""")"),"")</f>
        <v/>
      </c>
      <c r="C3111" s="2"/>
      <c r="D3111" s="2" t="str">
        <f>IFERROR(__xludf.DUMMYFUNCTION("IF(C3111&lt;&gt;"""", GOOGLETRANSLATE(C3111, ""en"", ""te""),"""")"),"")</f>
        <v/>
      </c>
      <c r="E3111" s="2"/>
      <c r="F3111" s="2" t="str">
        <f>IFERROR(__xludf.DUMMYFUNCTION("IF(E3111&lt;&gt;"""", GOOGLETRANSLATE(E3111, ""en"", ""te""),"""")"),"")</f>
        <v/>
      </c>
      <c r="G3111" s="2"/>
      <c r="H3111" s="2" t="str">
        <f>IFERROR(__xludf.DUMMYFUNCTION("IF(G3111&lt;&gt;"""", GOOGLETRANSLATE(G3111, ""en"", ""te""),"""")"),"")</f>
        <v/>
      </c>
      <c r="I3111" s="3"/>
    </row>
    <row r="3112" customHeight="1" spans="1:9">
      <c r="A3112" s="2"/>
      <c r="B3112" s="2" t="str">
        <f>IFERROR(__xludf.DUMMYFUNCTION("IF(A3112&lt;&gt;"""", GOOGLETRANSLATE(A3112, ""en"", ""te""),"""")"),"")</f>
        <v/>
      </c>
      <c r="C3112" s="2"/>
      <c r="D3112" s="2" t="str">
        <f>IFERROR(__xludf.DUMMYFUNCTION("IF(C3112&lt;&gt;"""", GOOGLETRANSLATE(C3112, ""en"", ""te""),"""")"),"")</f>
        <v/>
      </c>
      <c r="E3112" s="2"/>
      <c r="F3112" s="2" t="str">
        <f>IFERROR(__xludf.DUMMYFUNCTION("IF(E3112&lt;&gt;"""", GOOGLETRANSLATE(E3112, ""en"", ""te""),"""")"),"")</f>
        <v/>
      </c>
      <c r="G3112" s="2"/>
      <c r="H3112" s="2" t="str">
        <f>IFERROR(__xludf.DUMMYFUNCTION("IF(G3112&lt;&gt;"""", GOOGLETRANSLATE(G3112, ""en"", ""te""),"""")"),"")</f>
        <v/>
      </c>
      <c r="I3112" s="3"/>
    </row>
    <row r="3113" customHeight="1" spans="1:9">
      <c r="A3113" s="2" t="s">
        <v>1101</v>
      </c>
      <c r="B3113" s="2" t="str">
        <f>IFERROR(__xludf.DUMMYFUNCTION("IF(A3113&lt;&gt;"""", GOOGLETRANSLATE(A3113, ""en"", ""te""),"""")"),"[ 'ఒక మ్యాచ్లో 8 వ అత్యధిక క్యాచ్లు (6)']")</f>
        <v>[ 'ఒక మ్యాచ్లో 8 వ అత్యధిక క్యాచ్లు (6)']</v>
      </c>
      <c r="C3113" s="2" t="s">
        <v>2180</v>
      </c>
      <c r="D3113" s="2" t="str">
        <f>IFERROR(__xludf.DUMMYFUNCTION("IF(C3113&lt;&gt;"""", GOOGLETRANSLATE(C3113, ""en"", ""te""),"""")"),"[ '12 వ కెరీర్ లో బాతులు (28)', '8 వ అత్యంత ఒక మ్యాచ్లో క్యాచ్లు (6)']")</f>
        <v>[ '12 వ కెరీర్ లో బాతులు (28)', '8 వ అత్యంత ఒక మ్యాచ్లో క్యాచ్లు (6)']</v>
      </c>
      <c r="E3113" s="2"/>
      <c r="F3113" s="2" t="str">
        <f>IFERROR(__xludf.DUMMYFUNCTION("IF(E3113&lt;&gt;"""", GOOGLETRANSLATE(E3113, ""en"", ""te""),"""")"),"")</f>
        <v/>
      </c>
      <c r="G3113" s="2"/>
      <c r="H3113" s="2" t="str">
        <f>IFERROR(__xludf.DUMMYFUNCTION("IF(G3113&lt;&gt;"""", GOOGLETRANSLATE(G3113, ""en"", ""te""),"""")"),"")</f>
        <v/>
      </c>
      <c r="I3113" s="3"/>
    </row>
    <row r="3114" customHeight="1" spans="1:9">
      <c r="A3114" s="2"/>
      <c r="B3114" s="2" t="str">
        <f>IFERROR(__xludf.DUMMYFUNCTION("IF(A3114&lt;&gt;"""", GOOGLETRANSLATE(A3114, ""en"", ""te""),"""")"),"")</f>
        <v/>
      </c>
      <c r="C3114" s="2"/>
      <c r="D3114" s="2" t="str">
        <f>IFERROR(__xludf.DUMMYFUNCTION("IF(C3114&lt;&gt;"""", GOOGLETRANSLATE(C3114, ""en"", ""te""),"""")"),"")</f>
        <v/>
      </c>
      <c r="E3114" s="2"/>
      <c r="F3114" s="2" t="str">
        <f>IFERROR(__xludf.DUMMYFUNCTION("IF(E3114&lt;&gt;"""", GOOGLETRANSLATE(E3114, ""en"", ""te""),"""")"),"")</f>
        <v/>
      </c>
      <c r="G3114" s="2"/>
      <c r="H3114" s="2" t="str">
        <f>IFERROR(__xludf.DUMMYFUNCTION("IF(G3114&lt;&gt;"""", GOOGLETRANSLATE(G3114, ""en"", ""te""),"""")"),"")</f>
        <v/>
      </c>
      <c r="I3114" s="3"/>
    </row>
    <row r="3115" customHeight="1" spans="1:9">
      <c r="A3115" s="2"/>
      <c r="B3115" s="2" t="str">
        <f>IFERROR(__xludf.DUMMYFUNCTION("IF(A3115&lt;&gt;"""", GOOGLETRANSLATE(A3115, ""en"", ""te""),"""")"),"")</f>
        <v/>
      </c>
      <c r="C3115" s="2"/>
      <c r="D3115" s="2" t="str">
        <f>IFERROR(__xludf.DUMMYFUNCTION("IF(C3115&lt;&gt;"""", GOOGLETRANSLATE(C3115, ""en"", ""te""),"""")"),"")</f>
        <v/>
      </c>
      <c r="E3115" s="2"/>
      <c r="F3115" s="2" t="str">
        <f>IFERROR(__xludf.DUMMYFUNCTION("IF(E3115&lt;&gt;"""", GOOGLETRANSLATE(E3115, ""en"", ""te""),"""")"),"")</f>
        <v/>
      </c>
      <c r="G3115" s="2"/>
      <c r="H3115" s="2" t="str">
        <f>IFERROR(__xludf.DUMMYFUNCTION("IF(G3115&lt;&gt;"""", GOOGLETRANSLATE(G3115, ""en"", ""te""),"""")"),"")</f>
        <v/>
      </c>
      <c r="I3115" s="3"/>
    </row>
    <row r="3116" customHeight="1" spans="1:9">
      <c r="A3116" s="2" t="s">
        <v>2181</v>
      </c>
      <c r="B3116" s="2" t="str">
        <f>IFERROR(__xludf.DUMMYFUNCTION("IF(A3116&lt;&gt;"""", GOOGLETRANSLATE(A3116, ""en"", ""te""),"""")"),"[ '8 వ అత్యధిక కెరీర్ బ్యాటింగ్ సగటు (59.23)', 'హండ్రెడ్ ఒక మ్యాచ్లో ప్రతి ఇన్నింగ్స్లో', '1 వ 99 (199, 299 etc) (99) అవుటయ్యాడు']")</f>
        <v>[ '8 వ అత్యధిక కెరీర్ బ్యాటింగ్ సగటు (59.23)', 'హండ్రెడ్ ఒక మ్యాచ్లో ప్రతి ఇన్నింగ్స్లో', '1 వ 99 (199, 299 etc) (99) అవుటయ్యాడు']</v>
      </c>
      <c r="C3116" s="2" t="s">
        <v>2182</v>
      </c>
      <c r="D3116" s="2" t="str">
        <f>IFERROR(__xludf.DUMMYFUNCTION("IF(C3116&lt;&gt;"""", GOOGLETRANSLATE(C3116, ""en"", ""te""),"""")"),"[ '8 వ అత్యధిక కెరీర్ బ్యాటింగ్ సగటు (59.23)', '19 వ అత్యధిక తొలి వంద (216 *)', 99 (199, 299 etc) కొట్టివేయబడింది '1st' 15 వ అత్యంత వృద్ధ ఆటగాడు తొలి వంద (36y 217d) స్కోర్ ' (99) ',' 35 వ వేగవంతమైన 1000 పరుగులు (21) ']")</f>
        <v>[ '8 వ అత్యధిక కెరీర్ బ్యాటింగ్ సగటు (59.23)', '19 వ అత్యధిక తొలి వంద (216 *)', 99 (199, 299 etc) కొట్టివేయబడింది '1st' 15 వ అత్యంత వృద్ధ ఆటగాడు తొలి వంద (36y 217d) స్కోర్ ' (99) ',' 35 వ వేగవంతమైన 1000 పరుగులు (21) ']</v>
      </c>
      <c r="E3116" s="2"/>
      <c r="F3116" s="2" t="str">
        <f>IFERROR(__xludf.DUMMYFUNCTION("IF(E3116&lt;&gt;"""", GOOGLETRANSLATE(E3116, ""en"", ""te""),"""")"),"")</f>
        <v/>
      </c>
      <c r="G3116" s="2"/>
      <c r="H3116" s="2" t="str">
        <f>IFERROR(__xludf.DUMMYFUNCTION("IF(G3116&lt;&gt;"""", GOOGLETRANSLATE(G3116, ""en"", ""te""),"""")"),"")</f>
        <v/>
      </c>
      <c r="I3116" s="3"/>
    </row>
    <row r="3117" customHeight="1" spans="1:9">
      <c r="A3117" s="2"/>
      <c r="B3117" s="2" t="str">
        <f>IFERROR(__xludf.DUMMYFUNCTION("IF(A3117&lt;&gt;"""", GOOGLETRANSLATE(A3117, ""en"", ""te""),"""")"),"")</f>
        <v/>
      </c>
      <c r="C3117" s="2" t="s">
        <v>2183</v>
      </c>
      <c r="D3117" s="2" t="str">
        <f>IFERROR(__xludf.DUMMYFUNCTION("IF(C3117&lt;&gt;"""", GOOGLETRANSLATE(C3117, ""en"", ""te""),"""")"),"[ '21 వ వరుస మ్యాచ్లు ప్రదర్శనల మధ్య బృందం (69) కోసం తప్పిన']")</f>
        <v>[ '21 వ వరుస మ్యాచ్లు ప్రదర్శనల మధ్య బృందం (69) కోసం తప్పిన']</v>
      </c>
      <c r="E3117" s="2"/>
      <c r="F3117" s="2" t="str">
        <f>IFERROR(__xludf.DUMMYFUNCTION("IF(E3117&lt;&gt;"""", GOOGLETRANSLATE(E3117, ""en"", ""te""),"""")"),"")</f>
        <v/>
      </c>
      <c r="G3117" s="2"/>
      <c r="H3117" s="2" t="str">
        <f>IFERROR(__xludf.DUMMYFUNCTION("IF(G3117&lt;&gt;"""", GOOGLETRANSLATE(G3117, ""en"", ""te""),"""")"),"")</f>
        <v/>
      </c>
      <c r="I3117" s="3"/>
    </row>
    <row r="3118" customHeight="1" spans="1:9">
      <c r="A3118" s="2"/>
      <c r="B3118" s="2" t="str">
        <f>IFERROR(__xludf.DUMMYFUNCTION("IF(A3118&lt;&gt;"""", GOOGLETRANSLATE(A3118, ""en"", ""te""),"""")"),"")</f>
        <v/>
      </c>
      <c r="C3118" s="2"/>
      <c r="D3118" s="2" t="str">
        <f>IFERROR(__xludf.DUMMYFUNCTION("IF(C3118&lt;&gt;"""", GOOGLETRANSLATE(C3118, ""en"", ""te""),"""")"),"")</f>
        <v/>
      </c>
      <c r="E3118" s="2"/>
      <c r="F3118" s="2" t="str">
        <f>IFERROR(__xludf.DUMMYFUNCTION("IF(E3118&lt;&gt;"""", GOOGLETRANSLATE(E3118, ""en"", ""te""),"""")"),"")</f>
        <v/>
      </c>
      <c r="G3118" s="2"/>
      <c r="H3118" s="2" t="str">
        <f>IFERROR(__xludf.DUMMYFUNCTION("IF(G3118&lt;&gt;"""", GOOGLETRANSLATE(G3118, ""en"", ""te""),"""")"),"")</f>
        <v/>
      </c>
      <c r="I3118" s="3"/>
    </row>
    <row r="3119" customHeight="1" spans="1:9">
      <c r="A3119" s="2"/>
      <c r="B3119" s="2" t="str">
        <f>IFERROR(__xludf.DUMMYFUNCTION("IF(A3119&lt;&gt;"""", GOOGLETRANSLATE(A3119, ""en"", ""te""),"""")"),"")</f>
        <v/>
      </c>
      <c r="C3119" s="2" t="s">
        <v>2184</v>
      </c>
      <c r="D3119" s="2" t="str">
        <f>IFERROR(__xludf.DUMMYFUNCTION("IF(C3119&lt;&gt;"""", GOOGLETRANSLATE(C3119, ""en"", ""te""),"""")"),"[ '44 వ వరుస మ్యాచ్లు ప్రదర్శనల మధ్య (54) జట్టు తప్పిన']")</f>
        <v>[ '44 వ వరుస మ్యాచ్లు ప్రదర్శనల మధ్య (54) జట్టు తప్పిన']</v>
      </c>
      <c r="E3119" s="2"/>
      <c r="F3119" s="2" t="str">
        <f>IFERROR(__xludf.DUMMYFUNCTION("IF(E3119&lt;&gt;"""", GOOGLETRANSLATE(E3119, ""en"", ""te""),"""")"),"")</f>
        <v/>
      </c>
      <c r="G3119" s="2"/>
      <c r="H3119" s="2" t="str">
        <f>IFERROR(__xludf.DUMMYFUNCTION("IF(G3119&lt;&gt;"""", GOOGLETRANSLATE(G3119, ""en"", ""te""),"""")"),"")</f>
        <v/>
      </c>
      <c r="I3119" s="3"/>
    </row>
    <row r="3120" customHeight="1" spans="1:9">
      <c r="A3120" s="2"/>
      <c r="B3120" s="2" t="str">
        <f>IFERROR(__xludf.DUMMYFUNCTION("IF(A3120&lt;&gt;"""", GOOGLETRANSLATE(A3120, ""en"", ""te""),"""")"),"")</f>
        <v/>
      </c>
      <c r="C3120" s="2" t="s">
        <v>2185</v>
      </c>
      <c r="D3120" s="2" t="str">
        <f>IFERROR(__xludf.DUMMYFUNCTION("IF(C3120&lt;&gt;"""", GOOGLETRANSLATE(C3120, ""en"", ""te""),"""")"),"[ '50 వ 1000 పరుగులు వేగంగా (22)', 'ఆరవ వికెట్ (240) 24 అత్యధిక భాగస్వామ్యం']")</f>
        <v>[ '50 వ 1000 పరుగులు వేగంగా (22)', 'ఆరవ వికెట్ (240) 24 అత్యధిక భాగస్వామ్యం']</v>
      </c>
      <c r="E3120" s="2"/>
      <c r="F3120" s="2" t="str">
        <f>IFERROR(__xludf.DUMMYFUNCTION("IF(E3120&lt;&gt;"""", GOOGLETRANSLATE(E3120, ""en"", ""te""),"""")"),"")</f>
        <v/>
      </c>
      <c r="G3120" s="2"/>
      <c r="H3120" s="2" t="str">
        <f>IFERROR(__xludf.DUMMYFUNCTION("IF(G3120&lt;&gt;"""", GOOGLETRANSLATE(G3120, ""en"", ""te""),"""")"),"")</f>
        <v/>
      </c>
      <c r="I3120" s="3"/>
    </row>
    <row r="3121" customHeight="1" spans="1:9">
      <c r="A3121" s="2" t="s">
        <v>2186</v>
      </c>
      <c r="B3121" s="2" t="str">
        <f>IFERROR(__xludf.DUMMYFUNCTION("IF(A3121&lt;&gt;"""", GOOGLETRANSLATE(A3121, ""en"", ""te""),"""")"),"[ '1st అత్యుత్తమ బౌలింగ్ ఇన్నింగ్స్ లో విశ్లేషించడం (1/0)', ​​'5000 పరుగులు మరియు 50 ఫీల్డింగ్ వికెట్లు', 'వరుస 3 వ అత్యధిక వందలు (3)', '6 వ 2000 పరుగులు (45) 2 వ వేగవంతమైన' నాలుగో వికెట్కు అత్యధిక భాగస్వామ్యం (112 *) ']")</f>
        <v>[ '1st అత్యుత్తమ బౌలింగ్ ఇన్నింగ్స్ లో విశ్లేషించడం (1/0)', ​​'5000 పరుగులు మరియు 50 ఫీల్డింగ్ వికెట్లు', 'వరుస 3 వ అత్యధిక వందలు (3)', '6 వ 2000 పరుగులు (45) 2 వ వేగవంతమైన' నాలుగో వికెట్కు అత్యధిక భాగస్వామ్యం (112 *) ']</v>
      </c>
      <c r="C3121" s="2" t="s">
        <v>2187</v>
      </c>
      <c r="D3121" s="2" t="str">
        <f>IFERROR(__xludf.DUMMYFUNCTION("IF(C3121&lt;&gt;"""", GOOGLETRANSLATE(C3121, ""en"", ""te""),"""")"),"[ '28 కెరీర్లో అత్యధిక పరుగులు (8181)', '28th ఒక క్యాలెండర్ సంవత్సరంలో అత్యధిక పరుగులు (1343)', '45 వ ఒకే మైదానంలో అత్యధిక పరుగులు (1235)', '28th ఒక వృత్తిలో అత్యధిక వందలు (23)', '19 ఒక క్యాలెండర్ సంవత్సరంలో అత్యధిక వందలు (5)', '20 వ అత్యంత తొంభైల కెరీర"&amp;"్లో (5)', '31 మోస్ట్ అర్ధ కెరీర్లో (58)', '11 వ' ఒక కెరీర్ (3) 27 వ డబుల్ సెంచరీలు ' జీవితంలో అత్యధిక సిక్సర్లు (81) ',' 23 వ ఫోర్లు కెరీర్ లో 2000 పరుగులు ఇన్నింగ్స్ (7) ',' ఫాస్టెస్ట్ 22 (985) ',' 19 వ ఎక్కువ సిక్స్ (41) ',' 17 వ 3000 పరుగులు వేగంగా ( 6"&amp;"3) ',' 16 వ 4000 పరుగులు (వేగంగా 83) ',' 20 వ 5000 పరుగులు (107) ',' 6000 పరుగులు (128) ',' 20 వ వేగంగా 21 వేగవంతమైన 7000 పరుగులు (150) ',' 19 వ వేగంగా ఒక జట్టు (54) 'కోసం 8000 పరుగులు (176)', '1 వ అత్యుత్తమ బౌలింగ్ ఇన్నింగ్స్ లో విశ్లేషించడం (1/0)', ​​'"&amp;"నాలుగవ వికెట్కు 23 అత్యధిక భాగస్వామ్యం (286)', '50 వ వరుస మ్యాచ్లు వేగవంతమైన, '25 వ అత్యంత ప్లేయర్ ఆఫ్ ది మ్యాచ్ అవార్డులు (10)']")</f>
        <v>[ '28 కెరీర్లో అత్యధిక పరుగులు (8181)', '28th ఒక క్యాలెండర్ సంవత్సరంలో అత్యధిక పరుగులు (1343)', '45 వ ఒకే మైదానంలో అత్యధిక పరుగులు (1235)', '28th ఒక వృత్తిలో అత్యధిక వందలు (23)', '19 ఒక క్యాలెండర్ సంవత్సరంలో అత్యధిక వందలు (5)', '20 వ అత్యంత తొంభైల కెరీర్లో (5)', '31 మోస్ట్ అర్ధ కెరీర్లో (58)', '11 వ' ఒక కెరీర్ (3) 27 వ డబుల్ సెంచరీలు ' జీవితంలో అత్యధిక సిక్సర్లు (81) ',' 23 వ ఫోర్లు కెరీర్ లో 2000 పరుగులు ఇన్నింగ్స్ (7) ',' ఫాస్టెస్ట్ 22 (985) ',' 19 వ ఎక్కువ సిక్స్ (41) ',' 17 వ 3000 పరుగులు వేగంగా ( 63) ',' 16 వ 4000 పరుగులు (వేగంగా 83) ',' 20 వ 5000 పరుగులు (107) ',' 6000 పరుగులు (128) ',' 20 వ వేగంగా 21 వేగవంతమైన 7000 పరుగులు (150) ',' 19 వ వేగంగా ఒక జట్టు (54) 'కోసం 8000 పరుగులు (176)', '1 వ అత్యుత్తమ బౌలింగ్ ఇన్నింగ్స్ లో విశ్లేషించడం (1/0)', ​​'నాలుగవ వికెట్కు 23 అత్యధిక భాగస్వామ్యం (286)', '50 వ వరుస మ్యాచ్లు వేగవంతమైన, '25 వ అత్యంత ప్లేయర్ ఆఫ్ ది మ్యాచ్ అవార్డులు (10)']</v>
      </c>
      <c r="E3121" s="2" t="s">
        <v>2188</v>
      </c>
      <c r="F3121" s="2" t="str">
        <f>IFERROR(__xludf.DUMMYFUNCTION("IF(E3121&lt;&gt;"""", GOOGLETRANSLATE(E3121, ""en"", ""te""),"""")"),"[ 'వరుస 3 వ అత్యధిక వందలు (3)', 'వరుస ఇన్నింగ్స్లో 44 వ యాభైల్లో (4)', '2nd 2000 వరకు వేగంగా పరుగులు (45)', '15 వ వేగంగా' ఫాస్టెస్ట్ 1000 పరుగులు (21) 3 వ ' 3000 పరుగులు (78) ',' ఫాస్టెస్ట్ 4000 పరుగులు 37 వ (115) ',' ఏడవ వికెట్ (104) కోసం 36 వ అత్యధిక భ"&amp;"ాగస్వామ్యం ']")</f>
        <v>[ 'వరుస 3 వ అత్యధిక వందలు (3)', 'వరుస ఇన్నింగ్స్లో 44 వ యాభైల్లో (4)', '2nd 2000 వరకు వేగంగా పరుగులు (45)', '15 వ వేగంగా' ఫాస్టెస్ట్ 1000 పరుగులు (21) 3 వ ' 3000 పరుగులు (78) ',' ఫాస్టెస్ట్ 4000 పరుగులు 37 వ (115) ',' ఏడవ వికెట్ (104) కోసం 36 వ అత్యధిక భాగస్వామ్యం ']</v>
      </c>
      <c r="G3121" s="2" t="s">
        <v>2189</v>
      </c>
      <c r="H3121" s="2" t="str">
        <f>IFERROR(__xludf.DUMMYFUNCTION("IF(G3121&lt;&gt;"""", GOOGLETRANSLATE(G3121, ""en"", ""te""),"""")"),"[ '30 వ ఇన్నింగ్స్ లో అత్యధిక పరుగులు (బ్యాటింగ్ స్థానంలో ప్రకారం) (79)', '11 వ అత్యధిక కెరీర్ బ్యాటింగ్ సగటు (37.93)', '31 అత్యధిక కెరీర్ సమ్మె రేటు (141.51)', '41 వ అత్యంత అర్ధ కెరీర్లో (7)' 'ఒక డక్ లేకుండా 39 వ వరుస ఇన్నింగ్స్ (33 *)', '43 వ అత్యంత ఫోర"&amp;"్లు కెరీర్లో (119)', '6 వ 1000 పరుగులు (32) వేగంగా', 'ఇన్నింగ్స్ లో 15 వ అత్యధిక క్యాచ్లు (3)', ' నాలుగో వికెట్కు (112 *) 6 వ అత్యధిక భాగస్వామ్యం ',' 19 వ అత్యంత ప్లేయర్ ఆఫ్ ది మ్యాచ్ అవార్డులు (6) ']")</f>
        <v>[ '30 వ ఇన్నింగ్స్ లో అత్యధిక పరుగులు (బ్యాటింగ్ స్థానంలో ప్రకారం) (79)', '11 వ అత్యధిక కెరీర్ బ్యాటింగ్ సగటు (37.93)', '31 అత్యధిక కెరీర్ సమ్మె రేటు (141.51)', '41 వ అత్యంత అర్ధ కెరీర్లో (7)' 'ఒక డక్ లేకుండా 39 వ వరుస ఇన్నింగ్స్ (33 *)', '43 వ అత్యంత ఫోర్లు కెరీర్లో (119)', '6 వ 1000 పరుగులు (32) వేగంగా', 'ఇన్నింగ్స్ లో 15 వ అత్యధిక క్యాచ్లు (3)', ' నాలుగో వికెట్కు (112 *) 6 వ అత్యధిక భాగస్వామ్యం ',' 19 వ అత్యంత ప్లేయర్ ఆఫ్ ది మ్యాచ్ అవార్డులు (6) ']</v>
      </c>
      <c r="I3121" s="3"/>
    </row>
    <row r="3122" customHeight="1" spans="1:9">
      <c r="A3122" s="2"/>
      <c r="B3122" s="2" t="str">
        <f>IFERROR(__xludf.DUMMYFUNCTION("IF(A3122&lt;&gt;"""", GOOGLETRANSLATE(A3122, ""en"", ""te""),"""")"),"")</f>
        <v/>
      </c>
      <c r="C3122" s="2"/>
      <c r="D3122" s="2" t="str">
        <f>IFERROR(__xludf.DUMMYFUNCTION("IF(C3122&lt;&gt;"""", GOOGLETRANSLATE(C3122, ""en"", ""te""),"""")"),"")</f>
        <v/>
      </c>
      <c r="E3122" s="2"/>
      <c r="F3122" s="2" t="str">
        <f>IFERROR(__xludf.DUMMYFUNCTION("IF(E3122&lt;&gt;"""", GOOGLETRANSLATE(E3122, ""en"", ""te""),"""")"),"")</f>
        <v/>
      </c>
      <c r="G3122" s="2"/>
      <c r="H3122" s="2" t="str">
        <f>IFERROR(__xludf.DUMMYFUNCTION("IF(G3122&lt;&gt;"""", GOOGLETRANSLATE(G3122, ""en"", ""te""),"""")"),"")</f>
        <v/>
      </c>
      <c r="I3122" s="3"/>
    </row>
    <row r="3123" customHeight="1" spans="1:9">
      <c r="A3123" s="2"/>
      <c r="B3123" s="2" t="str">
        <f>IFERROR(__xludf.DUMMYFUNCTION("IF(A3123&lt;&gt;"""", GOOGLETRANSLATE(A3123, ""en"", ""te""),"""")"),"")</f>
        <v/>
      </c>
      <c r="C3123" s="2" t="s">
        <v>2190</v>
      </c>
      <c r="D3123" s="2" t="str">
        <f>IFERROR(__xludf.DUMMYFUNCTION("IF(C3123&lt;&gt;"""", GOOGLETRANSLATE(C3123, ""en"", ""te""),"""")"),"[ '46 వ షార్టేస్ట్ నివసించారు క్రీడాకారులు (35y 229d)']")</f>
        <v>[ '46 వ షార్టేస్ట్ నివసించారు క్రీడాకారులు (35y 229d)']</v>
      </c>
      <c r="E3123" s="2"/>
      <c r="F3123" s="2" t="str">
        <f>IFERROR(__xludf.DUMMYFUNCTION("IF(E3123&lt;&gt;"""", GOOGLETRANSLATE(E3123, ""en"", ""te""),"""")"),"")</f>
        <v/>
      </c>
      <c r="G3123" s="2"/>
      <c r="H3123" s="2" t="str">
        <f>IFERROR(__xludf.DUMMYFUNCTION("IF(G3123&lt;&gt;"""", GOOGLETRANSLATE(G3123, ""en"", ""te""),"""")"),"")</f>
        <v/>
      </c>
      <c r="I3123" s="3"/>
    </row>
    <row r="3124" customHeight="1" spans="1:9">
      <c r="A3124" s="2"/>
      <c r="B3124" s="2" t="str">
        <f>IFERROR(__xludf.DUMMYFUNCTION("IF(A3124&lt;&gt;"""", GOOGLETRANSLATE(A3124, ""en"", ""te""),"""")"),"")</f>
        <v/>
      </c>
      <c r="C3124" s="2"/>
      <c r="D3124" s="2" t="str">
        <f>IFERROR(__xludf.DUMMYFUNCTION("IF(C3124&lt;&gt;"""", GOOGLETRANSLATE(C3124, ""en"", ""te""),"""")"),"")</f>
        <v/>
      </c>
      <c r="E3124" s="2"/>
      <c r="F3124" s="2" t="str">
        <f>IFERROR(__xludf.DUMMYFUNCTION("IF(E3124&lt;&gt;"""", GOOGLETRANSLATE(E3124, ""en"", ""te""),"""")"),"")</f>
        <v/>
      </c>
      <c r="G3124" s="2"/>
      <c r="H3124" s="2" t="str">
        <f>IFERROR(__xludf.DUMMYFUNCTION("IF(G3124&lt;&gt;"""", GOOGLETRANSLATE(G3124, ""en"", ""te""),"""")"),"")</f>
        <v/>
      </c>
      <c r="I3124" s="3"/>
    </row>
    <row r="3125" customHeight="1" spans="1:9">
      <c r="A3125" s="2"/>
      <c r="B3125" s="2" t="str">
        <f>IFERROR(__xludf.DUMMYFUNCTION("IF(A3125&lt;&gt;"""", GOOGLETRANSLATE(A3125, ""en"", ""te""),"""")"),"")</f>
        <v/>
      </c>
      <c r="C3125" s="2"/>
      <c r="D3125" s="2" t="str">
        <f>IFERROR(__xludf.DUMMYFUNCTION("IF(C3125&lt;&gt;"""", GOOGLETRANSLATE(C3125, ""en"", ""te""),"""")"),"")</f>
        <v/>
      </c>
      <c r="E3125" s="2"/>
      <c r="F3125" s="2" t="str">
        <f>IFERROR(__xludf.DUMMYFUNCTION("IF(E3125&lt;&gt;"""", GOOGLETRANSLATE(E3125, ""en"", ""te""),"""")"),"")</f>
        <v/>
      </c>
      <c r="G3125" s="2"/>
      <c r="H3125" s="2" t="str">
        <f>IFERROR(__xludf.DUMMYFUNCTION("IF(G3125&lt;&gt;"""", GOOGLETRANSLATE(G3125, ""en"", ""te""),"""")"),"")</f>
        <v/>
      </c>
      <c r="I3125" s="3"/>
    </row>
    <row r="3126" customHeight="1" spans="1:9">
      <c r="A3126" s="2"/>
      <c r="B3126" s="2" t="str">
        <f>IFERROR(__xludf.DUMMYFUNCTION("IF(A3126&lt;&gt;"""", GOOGLETRANSLATE(A3126, ""en"", ""te""),"""")"),"")</f>
        <v/>
      </c>
      <c r="C3126" s="2" t="s">
        <v>2191</v>
      </c>
      <c r="D3126" s="2" t="str">
        <f>IFERROR(__xludf.DUMMYFUNCTION("IF(C3126&lt;&gt;"""", GOOGLETRANSLATE(C3126, ""en"", ""te""),"""")"),"[ 'తొలి 25 ఓల్డెస్ట్ క్రీడాకారులు (38y 282d)']")</f>
        <v>[ 'తొలి 25 ఓల్డెస్ట్ క్రీడాకారులు (38y 282d)']</v>
      </c>
      <c r="E3126" s="2"/>
      <c r="F3126" s="2" t="str">
        <f>IFERROR(__xludf.DUMMYFUNCTION("IF(E3126&lt;&gt;"""", GOOGLETRANSLATE(E3126, ""en"", ""te""),"""")"),"")</f>
        <v/>
      </c>
      <c r="G3126" s="2"/>
      <c r="H3126" s="2" t="str">
        <f>IFERROR(__xludf.DUMMYFUNCTION("IF(G3126&lt;&gt;"""", GOOGLETRANSLATE(G3126, ""en"", ""te""),"""")"),"")</f>
        <v/>
      </c>
      <c r="I3126" s="3"/>
    </row>
    <row r="3127" customHeight="1" spans="1:9">
      <c r="A3127" s="2"/>
      <c r="B3127" s="2" t="str">
        <f>IFERROR(__xludf.DUMMYFUNCTION("IF(A3127&lt;&gt;"""", GOOGLETRANSLATE(A3127, ""en"", ""te""),"""")"),"")</f>
        <v/>
      </c>
      <c r="C3127" s="2"/>
      <c r="D3127" s="2" t="str">
        <f>IFERROR(__xludf.DUMMYFUNCTION("IF(C3127&lt;&gt;"""", GOOGLETRANSLATE(C3127, ""en"", ""te""),"""")"),"")</f>
        <v/>
      </c>
      <c r="E3127" s="2"/>
      <c r="F3127" s="2" t="str">
        <f>IFERROR(__xludf.DUMMYFUNCTION("IF(E3127&lt;&gt;"""", GOOGLETRANSLATE(E3127, ""en"", ""te""),"""")"),"")</f>
        <v/>
      </c>
      <c r="G3127" s="2"/>
      <c r="H3127" s="2" t="str">
        <f>IFERROR(__xludf.DUMMYFUNCTION("IF(G3127&lt;&gt;"""", GOOGLETRANSLATE(G3127, ""en"", ""te""),"""")"),"")</f>
        <v/>
      </c>
      <c r="I3127" s="3"/>
    </row>
    <row r="3128" customHeight="1" spans="1:9">
      <c r="A3128" s="2"/>
      <c r="B3128" s="2" t="str">
        <f>IFERROR(__xludf.DUMMYFUNCTION("IF(A3128&lt;&gt;"""", GOOGLETRANSLATE(A3128, ""en"", ""te""),"""")"),"")</f>
        <v/>
      </c>
      <c r="C3128" s="2"/>
      <c r="D3128" s="2" t="str">
        <f>IFERROR(__xludf.DUMMYFUNCTION("IF(C3128&lt;&gt;"""", GOOGLETRANSLATE(C3128, ""en"", ""te""),"""")"),"")</f>
        <v/>
      </c>
      <c r="E3128" s="2"/>
      <c r="F3128" s="2" t="str">
        <f>IFERROR(__xludf.DUMMYFUNCTION("IF(E3128&lt;&gt;"""", GOOGLETRANSLATE(E3128, ""en"", ""te""),"""")"),"")</f>
        <v/>
      </c>
      <c r="G3128" s="2"/>
      <c r="H3128" s="2" t="str">
        <f>IFERROR(__xludf.DUMMYFUNCTION("IF(G3128&lt;&gt;"""", GOOGLETRANSLATE(G3128, ""en"", ""te""),"""")"),"")</f>
        <v/>
      </c>
      <c r="I3128" s="3"/>
    </row>
    <row r="3129" customHeight="1" spans="1:9">
      <c r="A3129" s="2"/>
      <c r="B3129" s="2" t="str">
        <f>IFERROR(__xludf.DUMMYFUNCTION("IF(A3129&lt;&gt;"""", GOOGLETRANSLATE(A3129, ""en"", ""te""),"""")"),"")</f>
        <v/>
      </c>
      <c r="C3129" s="2" t="s">
        <v>2192</v>
      </c>
      <c r="D3129" s="2" t="str">
        <f>IFERROR(__xludf.DUMMYFUNCTION("IF(C3129&lt;&gt;"""", GOOGLETRANSLATE(C3129, ""en"", ""te""),"""")"),"[ '16 వ చెత్త కెరీర్ బౌలింగ్ సరాసరి (అర్హత లేకుండా) (180.00)']")</f>
        <v>[ '16 వ చెత్త కెరీర్ బౌలింగ్ సరాసరి (అర్హత లేకుండా) (180.00)']</v>
      </c>
      <c r="E3129" s="2"/>
      <c r="F3129" s="2" t="str">
        <f>IFERROR(__xludf.DUMMYFUNCTION("IF(E3129&lt;&gt;"""", GOOGLETRANSLATE(E3129, ""en"", ""te""),"""")"),"")</f>
        <v/>
      </c>
      <c r="G3129" s="2"/>
      <c r="H3129" s="2" t="str">
        <f>IFERROR(__xludf.DUMMYFUNCTION("IF(G3129&lt;&gt;"""", GOOGLETRANSLATE(G3129, ""en"", ""te""),"""")"),"")</f>
        <v/>
      </c>
      <c r="I3129" s="3"/>
    </row>
    <row r="3130" customHeight="1" spans="1:9">
      <c r="A3130" s="2"/>
      <c r="B3130" s="2" t="str">
        <f>IFERROR(__xludf.DUMMYFUNCTION("IF(A3130&lt;&gt;"""", GOOGLETRANSLATE(A3130, ""en"", ""te""),"""")"),"")</f>
        <v/>
      </c>
      <c r="C3130" s="2"/>
      <c r="D3130" s="2" t="str">
        <f>IFERROR(__xludf.DUMMYFUNCTION("IF(C3130&lt;&gt;"""", GOOGLETRANSLATE(C3130, ""en"", ""te""),"""")"),"")</f>
        <v/>
      </c>
      <c r="E3130" s="2"/>
      <c r="F3130" s="2" t="str">
        <f>IFERROR(__xludf.DUMMYFUNCTION("IF(E3130&lt;&gt;"""", GOOGLETRANSLATE(E3130, ""en"", ""te""),"""")"),"")</f>
        <v/>
      </c>
      <c r="G3130" s="2"/>
      <c r="H3130" s="2" t="str">
        <f>IFERROR(__xludf.DUMMYFUNCTION("IF(G3130&lt;&gt;"""", GOOGLETRANSLATE(G3130, ""en"", ""te""),"""")"),"")</f>
        <v/>
      </c>
      <c r="I3130" s="3"/>
    </row>
    <row r="3131" customHeight="1" spans="1:9">
      <c r="A3131" s="2"/>
      <c r="B3131" s="2" t="str">
        <f>IFERROR(__xludf.DUMMYFUNCTION("IF(A3131&lt;&gt;"""", GOOGLETRANSLATE(A3131, ""en"", ""te""),"""")"),"")</f>
        <v/>
      </c>
      <c r="C3131" s="2"/>
      <c r="D3131" s="2" t="str">
        <f>IFERROR(__xludf.DUMMYFUNCTION("IF(C3131&lt;&gt;"""", GOOGLETRANSLATE(C3131, ""en"", ""te""),"""")"),"")</f>
        <v/>
      </c>
      <c r="E3131" s="2"/>
      <c r="F3131" s="2" t="str">
        <f>IFERROR(__xludf.DUMMYFUNCTION("IF(E3131&lt;&gt;"""", GOOGLETRANSLATE(E3131, ""en"", ""te""),"""")"),"")</f>
        <v/>
      </c>
      <c r="G3131" s="2"/>
      <c r="H3131" s="2" t="str">
        <f>IFERROR(__xludf.DUMMYFUNCTION("IF(G3131&lt;&gt;"""", GOOGLETRANSLATE(G3131, ""en"", ""te""),"""")"),"")</f>
        <v/>
      </c>
      <c r="I3131" s="3"/>
    </row>
    <row r="3132" customHeight="1" spans="1:9">
      <c r="A3132" s="2"/>
      <c r="B3132" s="2" t="str">
        <f>IFERROR(__xludf.DUMMYFUNCTION("IF(A3132&lt;&gt;"""", GOOGLETRANSLATE(A3132, ""en"", ""te""),"""")"),"")</f>
        <v/>
      </c>
      <c r="C3132" s="2"/>
      <c r="D3132" s="2" t="str">
        <f>IFERROR(__xludf.DUMMYFUNCTION("IF(C3132&lt;&gt;"""", GOOGLETRANSLATE(C3132, ""en"", ""te""),"""")"),"")</f>
        <v/>
      </c>
      <c r="E3132" s="2"/>
      <c r="F3132" s="2" t="str">
        <f>IFERROR(__xludf.DUMMYFUNCTION("IF(E3132&lt;&gt;"""", GOOGLETRANSLATE(E3132, ""en"", ""te""),"""")"),"")</f>
        <v/>
      </c>
      <c r="G3132" s="2"/>
      <c r="H3132" s="2" t="str">
        <f>IFERROR(__xludf.DUMMYFUNCTION("IF(G3132&lt;&gt;"""", GOOGLETRANSLATE(G3132, ""en"", ""te""),"""")"),"")</f>
        <v/>
      </c>
      <c r="I3132" s="3"/>
    </row>
    <row r="3133" customHeight="1" spans="1:9">
      <c r="A3133" s="2"/>
      <c r="B3133" s="2" t="str">
        <f>IFERROR(__xludf.DUMMYFUNCTION("IF(A3133&lt;&gt;"""", GOOGLETRANSLATE(A3133, ""en"", ""te""),"""")"),"")</f>
        <v/>
      </c>
      <c r="C3133" s="2"/>
      <c r="D3133" s="2" t="str">
        <f>IFERROR(__xludf.DUMMYFUNCTION("IF(C3133&lt;&gt;"""", GOOGLETRANSLATE(C3133, ""en"", ""te""),"""")"),"")</f>
        <v/>
      </c>
      <c r="E3133" s="2"/>
      <c r="F3133" s="2" t="str">
        <f>IFERROR(__xludf.DUMMYFUNCTION("IF(E3133&lt;&gt;"""", GOOGLETRANSLATE(E3133, ""en"", ""te""),"""")"),"")</f>
        <v/>
      </c>
      <c r="G3133" s="2"/>
      <c r="H3133" s="2" t="str">
        <f>IFERROR(__xludf.DUMMYFUNCTION("IF(G3133&lt;&gt;"""", GOOGLETRANSLATE(G3133, ""en"", ""te""),"""")"),"")</f>
        <v/>
      </c>
      <c r="I3133" s="3"/>
    </row>
    <row r="3134" customHeight="1" spans="1:9">
      <c r="A3134" s="2"/>
      <c r="B3134" s="2" t="str">
        <f>IFERROR(__xludf.DUMMYFUNCTION("IF(A3134&lt;&gt;"""", GOOGLETRANSLATE(A3134, ""en"", ""te""),"""")"),"")</f>
        <v/>
      </c>
      <c r="C3134" s="2" t="s">
        <v>2193</v>
      </c>
      <c r="D3134" s="2" t="str">
        <f>IFERROR(__xludf.DUMMYFUNCTION("IF(C3134&lt;&gt;"""", GOOGLETRANSLATE(C3134, ""en"", ""te""),"""")"),"[40 వ పురాతన దేశం ఆటగాళ్ళు (86y 316d) ']")</f>
        <v>[40 వ పురాతన దేశం ఆటగాళ్ళు (86y 316d) ']</v>
      </c>
      <c r="E3134" s="2"/>
      <c r="F3134" s="2" t="str">
        <f>IFERROR(__xludf.DUMMYFUNCTION("IF(E3134&lt;&gt;"""", GOOGLETRANSLATE(E3134, ""en"", ""te""),"""")"),"")</f>
        <v/>
      </c>
      <c r="G3134" s="2"/>
      <c r="H3134" s="2" t="str">
        <f>IFERROR(__xludf.DUMMYFUNCTION("IF(G3134&lt;&gt;"""", GOOGLETRANSLATE(G3134, ""en"", ""te""),"""")"),"")</f>
        <v/>
      </c>
      <c r="I3134" s="3"/>
    </row>
    <row r="3135" customHeight="1" spans="1:9">
      <c r="A3135" s="2" t="s">
        <v>2194</v>
      </c>
      <c r="B3135" s="2" t="str">
        <f>IFERROR(__xludf.DUMMYFUNCTION("IF(A3135&lt;&gt;"""", GOOGLETRANSLATE(A3135, ""en"", ""te""),"""")"),"[ '9 వ వరుస మ్యాచ్లు ఆడి మధ్య జట్టుకు దూరమయ్యాడు (86)', '4 వ అత్యధిక వరుస బాతులు (4)']")</f>
        <v>[ '9 వ వరుస మ్యాచ్లు ఆడి మధ్య జట్టుకు దూరమయ్యాడు (86)', '4 వ అత్యధిక వరుస బాతులు (4)']</v>
      </c>
      <c r="C3135" s="2" t="s">
        <v>2195</v>
      </c>
      <c r="D3135" s="2" t="str">
        <f>IFERROR(__xludf.DUMMYFUNCTION("IF(C3135&lt;&gt;"""", GOOGLETRANSLATE(C3135, ""en"", ""te""),"""")"),"[ '4 వ అత్యధిక వరుస బాతులు (4)', '11 వ వరుస (4) అత్యంత బాతులు' '9 వ వరుస మ్యాచ్లు ప్రదర్శనల మధ్య బృందం (86) కోసం తప్పిన']")</f>
        <v>[ '4 వ అత్యధిక వరుస బాతులు (4)', '11 వ వరుస (4) అత్యంత బాతులు' '9 వ వరుస మ్యాచ్లు ప్రదర్శనల మధ్య బృందం (86) కోసం తప్పిన']</v>
      </c>
      <c r="E3135" s="2" t="s">
        <v>2196</v>
      </c>
      <c r="F3135" s="2" t="str">
        <f>IFERROR(__xludf.DUMMYFUNCTION("IF(E3135&lt;&gt;"""", GOOGLETRANSLATE(E3135, ""en"", ""te""),"""")"),"[ 'తొలి 29 ఓల్డెస్ట్ క్రీడాకారులు (38y 183d)']")</f>
        <v>[ 'తొలి 29 ఓల్డెస్ట్ క్రీడాకారులు (38y 183d)']</v>
      </c>
      <c r="G3135" s="2"/>
      <c r="H3135" s="2" t="str">
        <f>IFERROR(__xludf.DUMMYFUNCTION("IF(G3135&lt;&gt;"""", GOOGLETRANSLATE(G3135, ""en"", ""te""),"""")"),"")</f>
        <v/>
      </c>
      <c r="I3135" s="3"/>
    </row>
    <row r="3136" customHeight="1" spans="1:9">
      <c r="A3136" s="2" t="s">
        <v>2197</v>
      </c>
      <c r="B3136" s="2" t="str">
        <f>IFERROR(__xludf.DUMMYFUNCTION("IF(A3136&lt;&gt;"""", GOOGLETRANSLATE(A3136, ""en"", ""te""),"""")"),"[ '1st అత్యధిక కెరీర్ లో బాతులు (6)', 'ఒక మ్యాచ్లో 2nd బెస్ట్ ఫిగర్స్ (11)', '2 వ అత్యంత పది వికెట్లు లో ఒక మ్యాచ్ ఒక వృత్తిలో (1)', '2 వ చాల వరకు ఒక లో పరుగులు ఇన్నింగ్స్ (బ్యాటింగ్ స్థానంలో ప్రకారం) (22 *) ',' 3 వ అత్యధిక కెరీర్ (14) వెనుదిరిగాడు ']")</f>
        <v>[ '1st అత్యధిక కెరీర్ లో బాతులు (6)', 'ఒక మ్యాచ్లో 2nd బెస్ట్ ఫిగర్స్ (11)', '2 వ అత్యంత పది వికెట్లు లో ఒక మ్యాచ్ ఒక వృత్తిలో (1)', '2 వ చాల వరకు ఒక లో పరుగులు ఇన్నింగ్స్ (బ్యాటింగ్ స్థానంలో ప్రకారం) (22 *) ',' 3 వ అత్యధిక కెరీర్ (14) వెనుదిరిగాడు ']</v>
      </c>
      <c r="C3136" s="2" t="s">
        <v>2198</v>
      </c>
      <c r="D3136" s="2" t="str">
        <f>IFERROR(__xludf.DUMMYFUNCTION("IF(C3136&lt;&gt;"""", GOOGLETRANSLATE(C3136, ""en"", ""te""),"""")"),"[ 'కెరీర్లో 1st చాలా బాతులు (6)', 'కెరీర్ లో 23 వ అత్యధిక వికెట్లు (30)', '9 వ ఇన్నింగ్స్ లో బెస్ట్ ఫిగర్స్ (7/51)', 'ఒక మ్యాచ్లో 2nd బెస్ట్ ఫిగర్స్ (11)', ' ఒక సిరీస్లో 27 అత్యధిక వికెట్లు (15) ',' ఒక క్యాలెండర్ సంవత్సరంలో 3 వ అత్యధిక వికెట్లు (24) ',' ఒ"&amp;"కే మైదానంలో 10 వ అత్యధిక వికెట్లు (11) ',' 15 వ ఉత్తమ ఇన్నింగ్స్ లో సంఖ్యలు ఉన్నప్పుడు పరాజయం వైపు ( 4) ',' 18 వ చెత్త ఆర్థిక వ్యవస్థ ఇన్నింగ్స్లో రేటు (4.37) ',' 2 వ అత్యంత పది వికెట్లు లో ఒక మ్యాచ్ ఒక వృత్తిలో (1) ',' పది వికెట్లు ఇన్ తీసుకోవాలని 4 వ "&amp;"అత్యంత వృద్ధ ఆటగాడు మ్యాచ్ (31y 3) ',' 11 వ అత్యంత వృద్ధ ఆటగాడు ఒక ఐదు మైడెన్-వికెట్ల లో-ఒక-ఇన్నింగ్స్ కెరీర్ (2194) లో బౌల్డ్ (31y 3) ',' 22 వ అత్యంత బంతుల్లో ',' 14 వ అత్యధిక పరుగులు కెరీర్లో సాధించిన తీసుకోవాలని (881) ',' 18 వ ఇన్నింగ్స్ లో సాధించిన అ"&amp;"త్యధిక పరుగులు (101) ',' 12 వ బౌలర్ / బ్యాట్స్ కలయికలు (4) ',' 18 వ అత్యధిక వికెట్లు తీసుకున్న ఆకర్షించింది (16) ',' 14 వ అత్యధిక వికెట్లు ఒక వికెట్ కీపర్ చే కాట్ తీసుకోకూడదు ( 5) ',' 12 వ అత్యధిక వికెట్లు తీసుకున్న ఎల్బిడబ్ల్యు (8) ']")</f>
        <v>[ 'కెరీర్లో 1st చాలా బాతులు (6)', 'కెరీర్ లో 23 వ అత్యధిక వికెట్లు (30)', '9 వ ఇన్నింగ్స్ లో బెస్ట్ ఫిగర్స్ (7/51)', 'ఒక మ్యాచ్లో 2nd బెస్ట్ ఫిగర్స్ (11)', ' ఒక సిరీస్లో 27 అత్యధిక వికెట్లు (15) ',' ఒక క్యాలెండర్ సంవత్సరంలో 3 వ అత్యధిక వికెట్లు (24) ',' ఒకే మైదానంలో 10 వ అత్యధిక వికెట్లు (11) ',' 15 వ ఉత్తమ ఇన్నింగ్స్ లో సంఖ్యలు ఉన్నప్పుడు పరాజయం వైపు ( 4) ',' 18 వ చెత్త ఆర్థిక వ్యవస్థ ఇన్నింగ్స్లో రేటు (4.37) ',' 2 వ అత్యంత పది వికెట్లు లో ఒక మ్యాచ్ ఒక వృత్తిలో (1) ',' పది వికెట్లు ఇన్ తీసుకోవాలని 4 వ అత్యంత వృద్ధ ఆటగాడు మ్యాచ్ (31y 3) ',' 11 వ అత్యంత వృద్ధ ఆటగాడు ఒక ఐదు మైడెన్-వికెట్ల లో-ఒక-ఇన్నింగ్స్ కెరీర్ (2194) లో బౌల్డ్ (31y 3) ',' 22 వ అత్యంత బంతుల్లో ',' 14 వ అత్యధిక పరుగులు కెరీర్లో సాధించిన తీసుకోవాలని (881) ',' 18 వ ఇన్నింగ్స్ లో సాధించిన అత్యధిక పరుగులు (101) ',' 12 వ బౌలర్ / బ్యాట్స్ కలయికలు (4) ',' 18 వ అత్యధిక వికెట్లు తీసుకున్న ఆకర్షించింది (16) ',' 14 వ అత్యధిక వికెట్లు ఒక వికెట్ కీపర్ చే కాట్ తీసుకోకూడదు ( 5) ',' 12 వ అత్యధిక వికెట్లు తీసుకున్న ఎల్బిడబ్ల్యు (8) ']</v>
      </c>
      <c r="E3136" s="2" t="s">
        <v>2199</v>
      </c>
      <c r="F3136" s="2" t="str">
        <f>IFERROR(__xludf.DUMMYFUNCTION("IF(E3136&lt;&gt;"""", GOOGLETRANSLATE(E3136, ""en"", ""te""),"""")"),"[ 'ఇన్నింగ్స్ లో 2 వ అత్యధిక పరుగులు (బ్యాటింగ్ స్థానంలో ప్రకారం) (22 *)', '3 వ కెరీర్ బాతులు (14)', '50 వ కెరీర్ లో అత్యధిక వికెట్లు (68)', '14 వ అత్యధిక వికెట్లు ఒక క్యాలెండర్ సంవత్సరంలో ( 26) ',' ఇన్నింగ్స్ లో 45 వ ఉత్తమ ఆర్థిక రేటు (0.50) ',' 40 వ కెర"&amp;"ీర్ లో బౌల్డ్ చాలా బంతుల్లో (3026) ',' 27 వ బౌలర్ / ఫీల్డర్ కలయికలు (12) ',' 19 వ అత్యధిక వికెట్లు ఒక వికెట్ కీపర్ చే కాట్ తీసుకున్న ( 12) ',' 18 వ అత్యధిక వికెట్లు తీసుకున్న ఎల్బిడబ్ల్యు (17) ']")</f>
        <v>[ 'ఇన్నింగ్స్ లో 2 వ అత్యధిక పరుగులు (బ్యాటింగ్ స్థానంలో ప్రకారం) (22 *)', '3 వ కెరీర్ బాతులు (14)', '50 వ కెరీర్ లో అత్యధిక వికెట్లు (68)', '14 వ అత్యధిక వికెట్లు ఒక క్యాలెండర్ సంవత్సరంలో ( 26) ',' ఇన్నింగ్స్ లో 45 వ ఉత్తమ ఆర్థిక రేటు (0.50) ',' 40 వ కెరీర్ లో బౌల్డ్ చాలా బంతుల్లో (3026) ',' 27 వ బౌలర్ / ఫీల్డర్ కలయికలు (12) ',' 19 వ అత్యధిక వికెట్లు ఒక వికెట్ కీపర్ చే కాట్ తీసుకున్న ( 12) ',' 18 వ అత్యధిక వికెట్లు తీసుకున్న ఎల్బిడబ్ల్యు (17) ']</v>
      </c>
      <c r="G3136" s="2"/>
      <c r="H3136" s="2" t="str">
        <f>IFERROR(__xludf.DUMMYFUNCTION("IF(G3136&lt;&gt;"""", GOOGLETRANSLATE(G3136, ""en"", ""te""),"""")"),"")</f>
        <v/>
      </c>
      <c r="I3136" s="3"/>
    </row>
    <row r="3137" customHeight="1" spans="1:9">
      <c r="A3137" s="2"/>
      <c r="B3137" s="2" t="str">
        <f>IFERROR(__xludf.DUMMYFUNCTION("IF(A3137&lt;&gt;"""", GOOGLETRANSLATE(A3137, ""en"", ""te""),"""")"),"")</f>
        <v/>
      </c>
      <c r="C3137" s="2"/>
      <c r="D3137" s="2" t="str">
        <f>IFERROR(__xludf.DUMMYFUNCTION("IF(C3137&lt;&gt;"""", GOOGLETRANSLATE(C3137, ""en"", ""te""),"""")"),"")</f>
        <v/>
      </c>
      <c r="E3137" s="2"/>
      <c r="F3137" s="2" t="str">
        <f>IFERROR(__xludf.DUMMYFUNCTION("IF(E3137&lt;&gt;"""", GOOGLETRANSLATE(E3137, ""en"", ""te""),"""")"),"")</f>
        <v/>
      </c>
      <c r="G3137" s="2"/>
      <c r="H3137" s="2" t="str">
        <f>IFERROR(__xludf.DUMMYFUNCTION("IF(G3137&lt;&gt;"""", GOOGLETRANSLATE(G3137, ""en"", ""te""),"""")"),"")</f>
        <v/>
      </c>
      <c r="I3137" s="3"/>
    </row>
    <row r="3138" customHeight="1" spans="1:9">
      <c r="A3138" s="2"/>
      <c r="B3138" s="2" t="str">
        <f>IFERROR(__xludf.DUMMYFUNCTION("IF(A3138&lt;&gt;"""", GOOGLETRANSLATE(A3138, ""en"", ""te""),"""")"),"")</f>
        <v/>
      </c>
      <c r="C3138" s="2"/>
      <c r="D3138" s="2" t="str">
        <f>IFERROR(__xludf.DUMMYFUNCTION("IF(C3138&lt;&gt;"""", GOOGLETRANSLATE(C3138, ""en"", ""te""),"""")"),"")</f>
        <v/>
      </c>
      <c r="E3138" s="2"/>
      <c r="F3138" s="2" t="str">
        <f>IFERROR(__xludf.DUMMYFUNCTION("IF(E3138&lt;&gt;"""", GOOGLETRANSLATE(E3138, ""en"", ""te""),"""")"),"")</f>
        <v/>
      </c>
      <c r="G3138" s="2"/>
      <c r="H3138" s="2" t="str">
        <f>IFERROR(__xludf.DUMMYFUNCTION("IF(G3138&lt;&gt;"""", GOOGLETRANSLATE(G3138, ""en"", ""te""),"""")"),"")</f>
        <v/>
      </c>
      <c r="I3138" s="3"/>
    </row>
    <row r="3139" customHeight="1" spans="1:9">
      <c r="A3139" s="2"/>
      <c r="B3139" s="2" t="str">
        <f>IFERROR(__xludf.DUMMYFUNCTION("IF(A3139&lt;&gt;"""", GOOGLETRANSLATE(A3139, ""en"", ""te""),"""")"),"")</f>
        <v/>
      </c>
      <c r="C3139" s="2"/>
      <c r="D3139" s="2" t="str">
        <f>IFERROR(__xludf.DUMMYFUNCTION("IF(C3139&lt;&gt;"""", GOOGLETRANSLATE(C3139, ""en"", ""te""),"""")"),"")</f>
        <v/>
      </c>
      <c r="E3139" s="2"/>
      <c r="F3139" s="2" t="str">
        <f>IFERROR(__xludf.DUMMYFUNCTION("IF(E3139&lt;&gt;"""", GOOGLETRANSLATE(E3139, ""en"", ""te""),"""")"),"")</f>
        <v/>
      </c>
      <c r="G3139" s="2"/>
      <c r="H3139" s="2" t="str">
        <f>IFERROR(__xludf.DUMMYFUNCTION("IF(G3139&lt;&gt;"""", GOOGLETRANSLATE(G3139, ""en"", ""te""),"""")"),"")</f>
        <v/>
      </c>
      <c r="I3139" s="3"/>
    </row>
    <row r="3140" customHeight="1" spans="1:9">
      <c r="A3140" s="2"/>
      <c r="B3140" s="2" t="str">
        <f>IFERROR(__xludf.DUMMYFUNCTION("IF(A3140&lt;&gt;"""", GOOGLETRANSLATE(A3140, ""en"", ""te""),"""")"),"")</f>
        <v/>
      </c>
      <c r="C3140" s="2"/>
      <c r="D3140" s="2" t="str">
        <f>IFERROR(__xludf.DUMMYFUNCTION("IF(C3140&lt;&gt;"""", GOOGLETRANSLATE(C3140, ""en"", ""te""),"""")"),"")</f>
        <v/>
      </c>
      <c r="E3140" s="2"/>
      <c r="F3140" s="2" t="str">
        <f>IFERROR(__xludf.DUMMYFUNCTION("IF(E3140&lt;&gt;"""", GOOGLETRANSLATE(E3140, ""en"", ""te""),"""")"),"")</f>
        <v/>
      </c>
      <c r="G3140" s="2"/>
      <c r="H3140" s="2" t="str">
        <f>IFERROR(__xludf.DUMMYFUNCTION("IF(G3140&lt;&gt;"""", GOOGLETRANSLATE(G3140, ""en"", ""te""),"""")"),"")</f>
        <v/>
      </c>
      <c r="I3140" s="3"/>
    </row>
    <row r="3141" customHeight="1" spans="1:9">
      <c r="A3141" s="2" t="s">
        <v>352</v>
      </c>
      <c r="B3141" s="2" t="str">
        <f>IFERROR(__xludf.DUMMYFUNCTION("IF(A3141&lt;&gt;"""", GOOGLETRANSLATE(A3141, ""en"", ""te""),"""")"),"[ 'బ్యాటింగ్ ప్రారంభించుటకు మరియు అదే మ్యాచ్ లో బౌలింగ్']")</f>
        <v>[ 'బ్యాటింగ్ ప్రారంభించుటకు మరియు అదే మ్యాచ్ లో బౌలింగ్']</v>
      </c>
      <c r="C3141" s="2"/>
      <c r="D3141" s="2" t="str">
        <f>IFERROR(__xludf.DUMMYFUNCTION("IF(C3141&lt;&gt;"""", GOOGLETRANSLATE(C3141, ""en"", ""te""),"""")"),"")</f>
        <v/>
      </c>
      <c r="E3141" s="2"/>
      <c r="F3141" s="2" t="str">
        <f>IFERROR(__xludf.DUMMYFUNCTION("IF(E3141&lt;&gt;"""", GOOGLETRANSLATE(E3141, ""en"", ""te""),"""")"),"")</f>
        <v/>
      </c>
      <c r="G3141" s="2"/>
      <c r="H3141" s="2" t="str">
        <f>IFERROR(__xludf.DUMMYFUNCTION("IF(G3141&lt;&gt;"""", GOOGLETRANSLATE(G3141, ""en"", ""te""),"""")"),"")</f>
        <v/>
      </c>
      <c r="I3141" s="3"/>
    </row>
    <row r="3142" customHeight="1" spans="1:9">
      <c r="A3142" s="2"/>
      <c r="B3142" s="2" t="str">
        <f>IFERROR(__xludf.DUMMYFUNCTION("IF(A3142&lt;&gt;"""", GOOGLETRANSLATE(A3142, ""en"", ""te""),"""")"),"")</f>
        <v/>
      </c>
      <c r="C3142" s="2"/>
      <c r="D3142" s="2" t="str">
        <f>IFERROR(__xludf.DUMMYFUNCTION("IF(C3142&lt;&gt;"""", GOOGLETRANSLATE(C3142, ""en"", ""te""),"""")"),"")</f>
        <v/>
      </c>
      <c r="E3142" s="2"/>
      <c r="F3142" s="2" t="str">
        <f>IFERROR(__xludf.DUMMYFUNCTION("IF(E3142&lt;&gt;"""", GOOGLETRANSLATE(E3142, ""en"", ""te""),"""")"),"")</f>
        <v/>
      </c>
      <c r="G3142" s="2"/>
      <c r="H3142" s="2" t="str">
        <f>IFERROR(__xludf.DUMMYFUNCTION("IF(G3142&lt;&gt;"""", GOOGLETRANSLATE(G3142, ""en"", ""te""),"""")"),"")</f>
        <v/>
      </c>
      <c r="I3142" s="3"/>
    </row>
    <row r="3143" customHeight="1" spans="1:9">
      <c r="A3143" s="2" t="s">
        <v>2200</v>
      </c>
      <c r="B3143" s="2" t="str">
        <f>IFERROR(__xludf.DUMMYFUNCTION("IF(A3143&lt;&gt;"""", GOOGLETRANSLATE(A3143, ""en"", ""te""),"""")"),"[ '4 వ అత్యంత ఇన్నింగ్స్ లో సాధించిన బైస్ (33)']")</f>
        <v>[ '4 వ అత్యంత ఇన్నింగ్స్ లో సాధించిన బైస్ (33)']</v>
      </c>
      <c r="C3143" s="2" t="s">
        <v>2201</v>
      </c>
      <c r="D3143" s="2" t="str">
        <f>IFERROR(__xludf.DUMMYFUNCTION("IF(C3143&lt;&gt;"""", GOOGLETRANSLATE(C3143, ""en"", ""te""),"""")"),"[18 వ పురాతన దేశం ఆటగాళ్ళు (89y 223d) ',' 42 వ అత్యధిక వికెట్లు కెరీర్లో (112) '' ఒక మ్యాచ్లో 35 వ అత్యధిక వికెట్లు (8) ',' 39 వ 'మొదటి డక్ (36) ముందు 30 వ అత్యంత ఇన్నింగ్స్' మోస్ట్ కెరీర్లో క్యాచ్లు (101) ',' 26 ఒక మ్యాచ్లో అత్యధిక క్యాచ్లు (8) ',' 43 వ "&amp;"అత్యంత స్టంపింగ్లు కెరీర్లో (11) ',' 4 వ అత్యంత ఇన్నింగ్స్ లో సాధించిన బైస్ (33) ']")</f>
        <v>[18 వ పురాతన దేశం ఆటగాళ్ళు (89y 223d) ',' 42 వ అత్యధిక వికెట్లు కెరీర్లో (112) '' ఒక మ్యాచ్లో 35 వ అత్యధిక వికెట్లు (8) ',' 39 వ 'మొదటి డక్ (36) ముందు 30 వ అత్యంత ఇన్నింగ్స్' మోస్ట్ కెరీర్లో క్యాచ్లు (101) ',' 26 ఒక మ్యాచ్లో అత్యధిక క్యాచ్లు (8) ',' 43 వ అత్యంత స్టంపింగ్లు కెరీర్లో (11) ',' 4 వ అత్యంత ఇన్నింగ్స్ లో సాధించిన బైస్ (33) ']</v>
      </c>
      <c r="E3143" s="2"/>
      <c r="F3143" s="2" t="str">
        <f>IFERROR(__xludf.DUMMYFUNCTION("IF(E3143&lt;&gt;"""", GOOGLETRANSLATE(E3143, ""en"", ""te""),"""")"),"")</f>
        <v/>
      </c>
      <c r="G3143" s="2"/>
      <c r="H3143" s="2" t="str">
        <f>IFERROR(__xludf.DUMMYFUNCTION("IF(G3143&lt;&gt;"""", GOOGLETRANSLATE(G3143, ""en"", ""te""),"""")"),"")</f>
        <v/>
      </c>
      <c r="I3143" s="3"/>
    </row>
    <row r="3144" customHeight="1" spans="1:9">
      <c r="A3144" s="2"/>
      <c r="B3144" s="2" t="str">
        <f>IFERROR(__xludf.DUMMYFUNCTION("IF(A3144&lt;&gt;"""", GOOGLETRANSLATE(A3144, ""en"", ""te""),"""")"),"")</f>
        <v/>
      </c>
      <c r="C3144" s="2"/>
      <c r="D3144" s="2" t="str">
        <f>IFERROR(__xludf.DUMMYFUNCTION("IF(C3144&lt;&gt;"""", GOOGLETRANSLATE(C3144, ""en"", ""te""),"""")"),"")</f>
        <v/>
      </c>
      <c r="E3144" s="2"/>
      <c r="F3144" s="2" t="str">
        <f>IFERROR(__xludf.DUMMYFUNCTION("IF(E3144&lt;&gt;"""", GOOGLETRANSLATE(E3144, ""en"", ""te""),"""")"),"")</f>
        <v/>
      </c>
      <c r="G3144" s="2"/>
      <c r="H3144" s="2" t="str">
        <f>IFERROR(__xludf.DUMMYFUNCTION("IF(G3144&lt;&gt;"""", GOOGLETRANSLATE(G3144, ""en"", ""te""),"""")"),"")</f>
        <v/>
      </c>
      <c r="I3144" s="3"/>
    </row>
    <row r="3145" customHeight="1" spans="1:9">
      <c r="A3145" s="2"/>
      <c r="B3145" s="2" t="str">
        <f>IFERROR(__xludf.DUMMYFUNCTION("IF(A3145&lt;&gt;"""", GOOGLETRANSLATE(A3145, ""en"", ""te""),"""")"),"")</f>
        <v/>
      </c>
      <c r="C3145" s="2"/>
      <c r="D3145" s="2" t="str">
        <f>IFERROR(__xludf.DUMMYFUNCTION("IF(C3145&lt;&gt;"""", GOOGLETRANSLATE(C3145, ""en"", ""te""),"""")"),"")</f>
        <v/>
      </c>
      <c r="E3145" s="2"/>
      <c r="F3145" s="2" t="str">
        <f>IFERROR(__xludf.DUMMYFUNCTION("IF(E3145&lt;&gt;"""", GOOGLETRANSLATE(E3145, ""en"", ""te""),"""")"),"")</f>
        <v/>
      </c>
      <c r="G3145" s="2"/>
      <c r="H3145" s="2" t="str">
        <f>IFERROR(__xludf.DUMMYFUNCTION("IF(G3145&lt;&gt;"""", GOOGLETRANSLATE(G3145, ""en"", ""te""),"""")"),"")</f>
        <v/>
      </c>
      <c r="I3145" s="3"/>
    </row>
    <row r="3146" customHeight="1" spans="1:9">
      <c r="A3146" s="2"/>
      <c r="B3146" s="2" t="str">
        <f>IFERROR(__xludf.DUMMYFUNCTION("IF(A3146&lt;&gt;"""", GOOGLETRANSLATE(A3146, ""en"", ""te""),"""")"),"")</f>
        <v/>
      </c>
      <c r="C3146" s="2"/>
      <c r="D3146" s="2" t="str">
        <f>IFERROR(__xludf.DUMMYFUNCTION("IF(C3146&lt;&gt;"""", GOOGLETRANSLATE(C3146, ""en"", ""te""),"""")"),"")</f>
        <v/>
      </c>
      <c r="E3146" s="2"/>
      <c r="F3146" s="2" t="str">
        <f>IFERROR(__xludf.DUMMYFUNCTION("IF(E3146&lt;&gt;"""", GOOGLETRANSLATE(E3146, ""en"", ""te""),"""")"),"")</f>
        <v/>
      </c>
      <c r="G3146" s="2"/>
      <c r="H3146" s="2" t="str">
        <f>IFERROR(__xludf.DUMMYFUNCTION("IF(G3146&lt;&gt;"""", GOOGLETRANSLATE(G3146, ""en"", ""te""),"""")"),"")</f>
        <v/>
      </c>
      <c r="I3146" s="3"/>
    </row>
    <row r="3147" customHeight="1" spans="1:9">
      <c r="A3147" s="2"/>
      <c r="B3147" s="2" t="str">
        <f>IFERROR(__xludf.DUMMYFUNCTION("IF(A3147&lt;&gt;"""", GOOGLETRANSLATE(A3147, ""en"", ""te""),"""")"),"")</f>
        <v/>
      </c>
      <c r="C3147" s="2"/>
      <c r="D3147" s="2" t="str">
        <f>IFERROR(__xludf.DUMMYFUNCTION("IF(C3147&lt;&gt;"""", GOOGLETRANSLATE(C3147, ""en"", ""te""),"""")"),"")</f>
        <v/>
      </c>
      <c r="E3147" s="2" t="s">
        <v>2202</v>
      </c>
      <c r="F3147" s="2" t="str">
        <f>IFERROR(__xludf.DUMMYFUNCTION("IF(E3147&lt;&gt;"""", GOOGLETRANSLATE(E3147, ""en"", ""te""),"""")"),"[ '46 వ ఉత్తమ ఇన్నింగ్స్ లో ఆర్థిక రేటు (0.96)']")</f>
        <v>[ '46 వ ఉత్తమ ఇన్నింగ్స్ లో ఆర్థిక రేటు (0.96)']</v>
      </c>
      <c r="G3147" s="2"/>
      <c r="H3147" s="2" t="str">
        <f>IFERROR(__xludf.DUMMYFUNCTION("IF(G3147&lt;&gt;"""", GOOGLETRANSLATE(G3147, ""en"", ""te""),"""")"),"")</f>
        <v/>
      </c>
      <c r="I3147" s="3"/>
    </row>
    <row r="3148" customHeight="1" spans="1:9">
      <c r="A3148" s="2"/>
      <c r="B3148" s="2" t="str">
        <f>IFERROR(__xludf.DUMMYFUNCTION("IF(A3148&lt;&gt;"""", GOOGLETRANSLATE(A3148, ""en"", ""te""),"""")"),"")</f>
        <v/>
      </c>
      <c r="C3148" s="2"/>
      <c r="D3148" s="2" t="str">
        <f>IFERROR(__xludf.DUMMYFUNCTION("IF(C3148&lt;&gt;"""", GOOGLETRANSLATE(C3148, ""en"", ""te""),"""")"),"")</f>
        <v/>
      </c>
      <c r="E3148" s="2"/>
      <c r="F3148" s="2" t="str">
        <f>IFERROR(__xludf.DUMMYFUNCTION("IF(E3148&lt;&gt;"""", GOOGLETRANSLATE(E3148, ""en"", ""te""),"""")"),"")</f>
        <v/>
      </c>
      <c r="G3148" s="2"/>
      <c r="H3148" s="2" t="str">
        <f>IFERROR(__xludf.DUMMYFUNCTION("IF(G3148&lt;&gt;"""", GOOGLETRANSLATE(G3148, ""en"", ""te""),"""")"),"")</f>
        <v/>
      </c>
      <c r="I3148" s="3"/>
    </row>
    <row r="3149" customHeight="1" spans="1:9">
      <c r="A3149" s="2"/>
      <c r="B3149" s="2" t="str">
        <f>IFERROR(__xludf.DUMMYFUNCTION("IF(A3149&lt;&gt;"""", GOOGLETRANSLATE(A3149, ""en"", ""te""),"""")"),"")</f>
        <v/>
      </c>
      <c r="C3149" s="2"/>
      <c r="D3149" s="2" t="str">
        <f>IFERROR(__xludf.DUMMYFUNCTION("IF(C3149&lt;&gt;"""", GOOGLETRANSLATE(C3149, ""en"", ""te""),"""")"),"")</f>
        <v/>
      </c>
      <c r="E3149" s="2"/>
      <c r="F3149" s="2" t="str">
        <f>IFERROR(__xludf.DUMMYFUNCTION("IF(E3149&lt;&gt;"""", GOOGLETRANSLATE(E3149, ""en"", ""te""),"""")"),"")</f>
        <v/>
      </c>
      <c r="G3149" s="2"/>
      <c r="H3149" s="2" t="str">
        <f>IFERROR(__xludf.DUMMYFUNCTION("IF(G3149&lt;&gt;"""", GOOGLETRANSLATE(G3149, ""en"", ""te""),"""")"),"")</f>
        <v/>
      </c>
      <c r="I3149" s="3"/>
    </row>
    <row r="3150" customHeight="1" spans="1:9">
      <c r="A3150" s="2"/>
      <c r="B3150" s="2" t="str">
        <f>IFERROR(__xludf.DUMMYFUNCTION("IF(A3150&lt;&gt;"""", GOOGLETRANSLATE(A3150, ""en"", ""te""),"""")"),"")</f>
        <v/>
      </c>
      <c r="C3150" s="2" t="s">
        <v>2203</v>
      </c>
      <c r="D3150" s="2" t="str">
        <f>IFERROR(__xludf.DUMMYFUNCTION("IF(C3150&lt;&gt;"""", GOOGLETRANSLATE(C3150, ""en"", ""te""),"""")"),"[ 'మొదటి డక్ ముందు 48 వ అత్యంత ఇన్నింగ్స్ (30)', 'తొలి వికెట్కు (290) 18 వ అత్యధిక భాగస్వామ్యం']")</f>
        <v>[ 'మొదటి డక్ ముందు 48 వ అత్యంత ఇన్నింగ్స్ (30)', 'తొలి వికెట్కు (290) 18 వ అత్యధిక భాగస్వామ్యం']</v>
      </c>
      <c r="E3150" s="2"/>
      <c r="F3150" s="2" t="str">
        <f>IFERROR(__xludf.DUMMYFUNCTION("IF(E3150&lt;&gt;"""", GOOGLETRANSLATE(E3150, ""en"", ""te""),"""")"),"")</f>
        <v/>
      </c>
      <c r="G3150" s="2"/>
      <c r="H3150" s="2" t="str">
        <f>IFERROR(__xludf.DUMMYFUNCTION("IF(G3150&lt;&gt;"""", GOOGLETRANSLATE(G3150, ""en"", ""te""),"""")"),"")</f>
        <v/>
      </c>
      <c r="I3150" s="3"/>
    </row>
    <row r="3151" customHeight="1" spans="1:9">
      <c r="A3151" s="2" t="s">
        <v>2204</v>
      </c>
      <c r="B3151" s="2" t="str">
        <f>IFERROR(__xludf.DUMMYFUNCTION("IF(A3151&lt;&gt;"""", GOOGLETRANSLATE(A3151, ""en"", ""te""),"""")"),"[ '6 వ కెరీర్ (21) వెనుదిరిగాడు']")</f>
        <v>[ '6 వ కెరీర్ (21) వెనుదిరిగాడు']</v>
      </c>
      <c r="C3151" s="2" t="s">
        <v>2205</v>
      </c>
      <c r="D3151" s="2" t="str">
        <f>IFERROR(__xludf.DUMMYFUNCTION("IF(C3151&lt;&gt;"""", GOOGLETRANSLATE(C3151, ""en"", ""te""),"""")"),"[ '31 అత్యధిక కెరీర్ బ్యాటింగ్ సగటు (35.12)', '36 వ అత్యధిక తొలి వంద (115 *)']")</f>
        <v>[ '31 అత్యధిక కెరీర్ బ్యాటింగ్ సగటు (35.12)', '36 వ అత్యధిక తొలి వంద (115 *)']</v>
      </c>
      <c r="E3151" s="2" t="s">
        <v>2206</v>
      </c>
      <c r="F3151" s="2" t="str">
        <f>IFERROR(__xludf.DUMMYFUNCTION("IF(E3151&lt;&gt;"""", GOOGLETRANSLATE(E3151, ""en"", ""te""),"""")"),"[ '42 వ అత్యధిక కెరీర్ బ్యాటింగ్ సగటు (33.07)', 'కెరీర్ లో 6 వ లేవు బాతులు (21)', 'ఐదవ వికెట్కు 29 అత్యధిక భాగస్వామ్యం (95)', '48 వ అత్యధిక మ్యాచ్లు కెప్టెన్గా (16)', '41 వ అత్యంత ఒక జట్టు కెప్టెన్గా వరుస మ్యాచ్లు (16) ',' కెప్టెన్సీ ప్రవేశం (31y 316d) పె"&amp;"ౖ 22 ఓల్డెస్ట్ కెప్టెన్లు ']")</f>
        <v>[ '42 వ అత్యధిక కెరీర్ బ్యాటింగ్ సగటు (33.07)', 'కెరీర్ లో 6 వ లేవు బాతులు (21)', 'ఐదవ వికెట్కు 29 అత్యధిక భాగస్వామ్యం (95)', '48 వ అత్యధిక మ్యాచ్లు కెప్టెన్గా (16)', '41 వ అత్యంత ఒక జట్టు కెప్టెన్గా వరుస మ్యాచ్లు (16) ',' కెప్టెన్సీ ప్రవేశం (31y 316d) పై 22 ఓల్డెస్ట్ కెప్టెన్లు ']</v>
      </c>
      <c r="G3151" s="2"/>
      <c r="H3151" s="2" t="str">
        <f>IFERROR(__xludf.DUMMYFUNCTION("IF(G3151&lt;&gt;"""", GOOGLETRANSLATE(G3151, ""en"", ""te""),"""")"),"")</f>
        <v/>
      </c>
      <c r="I3151" s="3"/>
    </row>
    <row r="3152" customHeight="1" spans="1:9">
      <c r="A3152" s="2" t="s">
        <v>2207</v>
      </c>
      <c r="B3152" s="2" t="str">
        <f>IFERROR(__xludf.DUMMYFUNCTION("IF(A3152&lt;&gt;"""", GOOGLETRANSLATE(A3152, ""en"", ""te""),"""")"),"[ 'ఇన్నింగ్స్ లో 4 వ అత్యధిక పరుగులు (బ్యాటింగ్ స్థానంలో ప్రకారం) (60 *)', 'కెరీర్ లో 2 వ పెద్ద జతల (1)', '9 వ ఇన్నింగ్స్ లో అత్యధిక పరుగులు (బ్యాటింగ్ స్థానంలో ప్రకారం) (46 *)', '8 వ ఒక ఇన్నింగ్స్ లోని బెస్ట్ సమ్మె రేటు (6.2) ']")</f>
        <v>[ 'ఇన్నింగ్స్ లో 4 వ అత్యధిక పరుగులు (బ్యాటింగ్ స్థానంలో ప్రకారం) (60 *)', 'కెరీర్ లో 2 వ పెద్ద జతల (1)', '9 వ ఇన్నింగ్స్ లో అత్యధిక పరుగులు (బ్యాటింగ్ స్థానంలో ప్రకారం) (46 *)', '8 వ ఒక ఇన్నింగ్స్ లోని బెస్ట్ సమ్మె రేటు (6.2) ']</v>
      </c>
      <c r="C3152" s="2" t="s">
        <v>2208</v>
      </c>
      <c r="D3152" s="2" t="str">
        <f>IFERROR(__xludf.DUMMYFUNCTION("IF(C3152&lt;&gt;"""", GOOGLETRANSLATE(C3152, ""en"", ""te""),"""")"),"[ 'ఇన్నింగ్స్ లో 4 వ అత్యధిక పరుగులు (బ్యాటింగ్ స్థానంలో ప్రకారం) (60 *)', 'కెరీర్ లో 2 వ పెద్ద జతల (1)', '37 వ చెత్త కెరీర్ (అర్హత లేకుండా) సగటు బౌలింగ్ (65.60)']")</f>
        <v>[ 'ఇన్నింగ్స్ లో 4 వ అత్యధిక పరుగులు (బ్యాటింగ్ స్థానంలో ప్రకారం) (60 *)', 'కెరీర్ లో 2 వ పెద్ద జతల (1)', '37 వ చెత్త కెరీర్ (అర్హత లేకుండా) సగటు బౌలింగ్ (65.60)']</v>
      </c>
      <c r="E3152" s="2" t="s">
        <v>2209</v>
      </c>
      <c r="F3152" s="2" t="str">
        <f>IFERROR(__xludf.DUMMYFUNCTION("IF(E3152&lt;&gt;"""", GOOGLETRANSLATE(E3152, ""en"", ""te""),"""")"),"[ 'ఇన్నింగ్స్ లో 9 వ అత్యధిక పరుగులు (బ్యాటింగ్ స్థానంలో ప్రకారం) (46 *)', 'ఇన్నింగ్స్ లో 8 వ ఉత్తమ సమ్మె రేటు (6.2)', '36 వ చెత్త కెరీర్లో ఆర్థిక రేటు (4.17)', '17 వ అత్యధిక పరుగులు ఒక లో సాధించిన ఇన్నింగ్స్ (78) ',' 33 వ బౌలర్ / ఫీల్డర్ కలయికలు (11) ']")</f>
        <v>[ 'ఇన్నింగ్స్ లో 9 వ అత్యధిక పరుగులు (బ్యాటింగ్ స్థానంలో ప్రకారం) (46 *)', 'ఇన్నింగ్స్ లో 8 వ ఉత్తమ సమ్మె రేటు (6.2)', '36 వ చెత్త కెరీర్లో ఆర్థిక రేటు (4.17)', '17 వ అత్యధిక పరుగులు ఒక లో సాధించిన ఇన్నింగ్స్ (78) ',' 33 వ బౌలర్ / ఫీల్డర్ కలయికలు (11) ']</v>
      </c>
      <c r="G3152" s="2"/>
      <c r="H3152" s="2" t="str">
        <f>IFERROR(__xludf.DUMMYFUNCTION("IF(G3152&lt;&gt;"""", GOOGLETRANSLATE(G3152, ""en"", ""te""),"""")"),"")</f>
        <v/>
      </c>
      <c r="I3152" s="3"/>
    </row>
    <row r="3153" customHeight="1" spans="1:9">
      <c r="A3153" s="2" t="s">
        <v>2210</v>
      </c>
      <c r="B3153" s="2" t="str">
        <f>IFERROR(__xludf.DUMMYFUNCTION("IF(A3153&lt;&gt;"""", GOOGLETRANSLATE(A3153, ""en"", ""te""),"""")"),"[ '1st చాలా ఇన్నింగ్స్ లో నడుస్తుంది (బ్యాటింగ్ స్థానం) (117)']")</f>
        <v>[ '1st చాలా ఇన్నింగ్స్ లో నడుస్తుంది (బ్యాటింగ్ స్థానం) (117)']</v>
      </c>
      <c r="C3153" s="2" t="s">
        <v>2211</v>
      </c>
      <c r="D3153" s="2" t="str">
        <f>IFERROR(__xludf.DUMMYFUNCTION("IF(C3153&lt;&gt;"""", GOOGLETRANSLATE(C3153, ""en"", ""te""),"""")"),"[ '1st ఇన్నింగ్స్ లో అత్యధిక పరుగులు (బ్యాటింగ్ స్థానంలో ప్రకారం) (117)', 'కెరీర్ (27) 14 వ లేవు బాతులు']")</f>
        <v>[ '1st ఇన్నింగ్స్ లో అత్యధిక పరుగులు (బ్యాటింగ్ స్థానంలో ప్రకారం) (117)', 'కెరీర్ (27) 14 వ లేవు బాతులు']</v>
      </c>
      <c r="E3153" s="2"/>
      <c r="F3153" s="2" t="str">
        <f>IFERROR(__xludf.DUMMYFUNCTION("IF(E3153&lt;&gt;"""", GOOGLETRANSLATE(E3153, ""en"", ""te""),"""")"),"")</f>
        <v/>
      </c>
      <c r="G3153" s="2"/>
      <c r="H3153" s="2" t="str">
        <f>IFERROR(__xludf.DUMMYFUNCTION("IF(G3153&lt;&gt;"""", GOOGLETRANSLATE(G3153, ""en"", ""te""),"""")"),"")</f>
        <v/>
      </c>
      <c r="I3153" s="3"/>
    </row>
    <row r="3154" customHeight="1" spans="1:9">
      <c r="A3154" s="2"/>
      <c r="B3154" s="2" t="str">
        <f>IFERROR(__xludf.DUMMYFUNCTION("IF(A3154&lt;&gt;"""", GOOGLETRANSLATE(A3154, ""en"", ""te""),"""")"),"")</f>
        <v/>
      </c>
      <c r="C3154" s="2"/>
      <c r="D3154" s="2" t="str">
        <f>IFERROR(__xludf.DUMMYFUNCTION("IF(C3154&lt;&gt;"""", GOOGLETRANSLATE(C3154, ""en"", ""te""),"""")"),"")</f>
        <v/>
      </c>
      <c r="E3154" s="2"/>
      <c r="F3154" s="2" t="str">
        <f>IFERROR(__xludf.DUMMYFUNCTION("IF(E3154&lt;&gt;"""", GOOGLETRANSLATE(E3154, ""en"", ""te""),"""")"),"")</f>
        <v/>
      </c>
      <c r="G3154" s="2"/>
      <c r="H3154" s="2" t="str">
        <f>IFERROR(__xludf.DUMMYFUNCTION("IF(G3154&lt;&gt;"""", GOOGLETRANSLATE(G3154, ""en"", ""te""),"""")"),"")</f>
        <v/>
      </c>
      <c r="I3154" s="3"/>
    </row>
    <row r="3155" customHeight="1" spans="1:9">
      <c r="A3155" s="2"/>
      <c r="B3155" s="2" t="str">
        <f>IFERROR(__xludf.DUMMYFUNCTION("IF(A3155&lt;&gt;"""", GOOGLETRANSLATE(A3155, ""en"", ""te""),"""")"),"")</f>
        <v/>
      </c>
      <c r="C3155" s="2"/>
      <c r="D3155" s="2" t="str">
        <f>IFERROR(__xludf.DUMMYFUNCTION("IF(C3155&lt;&gt;"""", GOOGLETRANSLATE(C3155, ""en"", ""te""),"""")"),"")</f>
        <v/>
      </c>
      <c r="E3155" s="2"/>
      <c r="F3155" s="2" t="str">
        <f>IFERROR(__xludf.DUMMYFUNCTION("IF(E3155&lt;&gt;"""", GOOGLETRANSLATE(E3155, ""en"", ""te""),"""")"),"")</f>
        <v/>
      </c>
      <c r="G3155" s="2"/>
      <c r="H3155" s="2" t="str">
        <f>IFERROR(__xludf.DUMMYFUNCTION("IF(G3155&lt;&gt;"""", GOOGLETRANSLATE(G3155, ""en"", ""te""),"""")"),"")</f>
        <v/>
      </c>
      <c r="I3155" s="3"/>
    </row>
    <row r="3156" customHeight="1" spans="1:9">
      <c r="A3156" s="2"/>
      <c r="B3156" s="2" t="str">
        <f>IFERROR(__xludf.DUMMYFUNCTION("IF(A3156&lt;&gt;"""", GOOGLETRANSLATE(A3156, ""en"", ""te""),"""")"),"")</f>
        <v/>
      </c>
      <c r="C3156" s="2" t="s">
        <v>2212</v>
      </c>
      <c r="D3156" s="2" t="str">
        <f>IFERROR(__xludf.DUMMYFUNCTION("IF(C3156&lt;&gt;"""", GOOGLETRANSLATE(C3156, ""en"", ""te""),"""")"),"[ 'ఎనిమిదవ వికెట్ (138) 32 వ అత్యధిక భాగస్వామ్యం']")</f>
        <v>[ 'ఎనిమిదవ వికెట్ (138) 32 వ అత్యధిక భాగస్వామ్యం']</v>
      </c>
      <c r="E3156" s="2"/>
      <c r="F3156" s="2" t="str">
        <f>IFERROR(__xludf.DUMMYFUNCTION("IF(E3156&lt;&gt;"""", GOOGLETRANSLATE(E3156, ""en"", ""te""),"""")"),"")</f>
        <v/>
      </c>
      <c r="G3156" s="2"/>
      <c r="H3156" s="2" t="str">
        <f>IFERROR(__xludf.DUMMYFUNCTION("IF(G3156&lt;&gt;"""", GOOGLETRANSLATE(G3156, ""en"", ""te""),"""")"),"")</f>
        <v/>
      </c>
      <c r="I3156" s="3"/>
    </row>
    <row r="3157" customHeight="1" spans="1:9">
      <c r="A3157" s="2" t="s">
        <v>2213</v>
      </c>
      <c r="B3157" s="2" t="str">
        <f>IFERROR(__xludf.DUMMYFUNCTION("IF(A3157&lt;&gt;"""", GOOGLETRANSLATE(A3157, ""en"", ""te""),"""")"),"[ 'ఒక మ్యాచ్లో 1st అత్యధిక వికెట్లు (11)' 'ఒక మ్యాచ్లో 1st అత్యధిక క్యాచ్లు (11)', '300 పరుగులు మరియు ఒక సిరీస్లో 15 వికెట్కీపింగ్ తొలగింపులకు', '10 వ అత్యంత ఇన్నింగ్స్ లో సాధించిన బైస్ (12)', '7 వ కెరీర్ (31) వెనుదిరిగాడు']")</f>
        <v>[ 'ఒక మ్యాచ్లో 1st అత్యధిక వికెట్లు (11)' 'ఒక మ్యాచ్లో 1st అత్యధిక క్యాచ్లు (11)', '300 పరుగులు మరియు ఒక సిరీస్లో 15 వికెట్కీపింగ్ తొలగింపులకు', '10 వ అత్యంత ఇన్నింగ్స్ లో సాధించిన బైస్ (12)', '7 వ కెరీర్ (31) వెనుదిరిగాడు']</v>
      </c>
      <c r="C3157" s="2" t="s">
        <v>2214</v>
      </c>
      <c r="D3157" s="2" t="str">
        <f>IFERROR(__xludf.DUMMYFUNCTION("IF(C3157&lt;&gt;"""", GOOGLETRANSLATE(C3157, ""en"", ""te""),"""")"),"[ '49 వ అత్యంత వికెట్కీపర్ శ్రేణిలో పరుగులు (314)', '21 వ తొంభై తొలి (94) ',' 27 వ కెరీర్ లో అత్యధిక వికెట్లు (165) ',' చాలా 5 వ ఇన్నింగ్స్ లో వికెట్లు (6) ',' ఒక మ్యాచ్లో 1st అత్యధిక వికెట్లు (11) ',' వరుస 3 వ అత్యధిక వికెట్లు (27) ',' 26th కెరీర్లో అత్"&amp;"యధిక క్యాచ్లు (153) ',' చాలా 5 వ ఇన్నింగ్స్ లో క్యాచ్లు (6) ',' 1 వ అత్యధిక క్యాచ్లు ఒక మ్యాచ్లో (11) ',' 11 వ ఒక సిరీస్లో అత్యధిక క్యాచ్లు (25) ',' 37 వ కెరీర్ స్టంపింగ్లు (12) ',' 15 వ అత్యధిక ఇన్నింగ్స్ బై (601 / 7D) గూడా ఇవ్వకుండా మొత్తం ']")</f>
        <v>[ '49 వ అత్యంత వికెట్కీపర్ శ్రేణిలో పరుగులు (314)', '21 వ తొంభై తొలి (94) ',' 27 వ కెరీర్ లో అత్యధిక వికెట్లు (165) ',' చాలా 5 వ ఇన్నింగ్స్ లో వికెట్లు (6) ',' ఒక మ్యాచ్లో 1st అత్యధిక వికెట్లు (11) ',' వరుస 3 వ అత్యధిక వికెట్లు (27) ',' 26th కెరీర్లో అత్యధిక క్యాచ్లు (153) ',' చాలా 5 వ ఇన్నింగ్స్ లో క్యాచ్లు (6) ',' 1 వ అత్యధిక క్యాచ్లు ఒక మ్యాచ్లో (11) ',' 11 వ ఒక సిరీస్లో అత్యధిక క్యాచ్లు (25) ',' 37 వ కెరీర్ స్టంపింగ్లు (12) ',' 15 వ అత్యధిక ఇన్నింగ్స్ బై (601 / 7D) గూడా ఇవ్వకుండా మొత్తం ']</v>
      </c>
      <c r="E3157" s="2" t="s">
        <v>2215</v>
      </c>
      <c r="F3157" s="2" t="str">
        <f>IFERROR(__xludf.DUMMYFUNCTION("IF(E3157&lt;&gt;"""", GOOGLETRANSLATE(E3157, ""en"", ""te""),"""")"),"[ 'కెరీర్లో 7 వ లేవు బాతులు (31)', '10 వ అత్యంత బైలు ఇన్నింగ్స్ (12) లో సాధించిన]")</f>
        <v>[ 'కెరీర్లో 7 వ లేవు బాతులు (31)', '10 వ అత్యంత బైలు ఇన్నింగ్స్ (12) లో సాధించిన]</v>
      </c>
      <c r="G3157" s="2"/>
      <c r="H3157" s="2" t="str">
        <f>IFERROR(__xludf.DUMMYFUNCTION("IF(G3157&lt;&gt;"""", GOOGLETRANSLATE(G3157, ""en"", ""te""),"""")"),"")</f>
        <v/>
      </c>
      <c r="I3157" s="3"/>
    </row>
    <row r="3158" customHeight="1" spans="1:9">
      <c r="A3158" s="2"/>
      <c r="B3158" s="2" t="str">
        <f>IFERROR(__xludf.DUMMYFUNCTION("IF(A3158&lt;&gt;"""", GOOGLETRANSLATE(A3158, ""en"", ""te""),"""")"),"")</f>
        <v/>
      </c>
      <c r="C3158" s="2"/>
      <c r="D3158" s="2" t="str">
        <f>IFERROR(__xludf.DUMMYFUNCTION("IF(C3158&lt;&gt;"""", GOOGLETRANSLATE(C3158, ""en"", ""te""),"""")"),"")</f>
        <v/>
      </c>
      <c r="E3158" s="2"/>
      <c r="F3158" s="2" t="str">
        <f>IFERROR(__xludf.DUMMYFUNCTION("IF(E3158&lt;&gt;"""", GOOGLETRANSLATE(E3158, ""en"", ""te""),"""")"),"")</f>
        <v/>
      </c>
      <c r="G3158" s="2"/>
      <c r="H3158" s="2" t="str">
        <f>IFERROR(__xludf.DUMMYFUNCTION("IF(G3158&lt;&gt;"""", GOOGLETRANSLATE(G3158, ""en"", ""te""),"""")"),"")</f>
        <v/>
      </c>
      <c r="I3158" s="3"/>
    </row>
    <row r="3159" customHeight="1" spans="1:9">
      <c r="A3159" s="2"/>
      <c r="B3159" s="2" t="str">
        <f>IFERROR(__xludf.DUMMYFUNCTION("IF(A3159&lt;&gt;"""", GOOGLETRANSLATE(A3159, ""en"", ""te""),"""")"),"")</f>
        <v/>
      </c>
      <c r="C3159" s="2"/>
      <c r="D3159" s="2" t="str">
        <f>IFERROR(__xludf.DUMMYFUNCTION("IF(C3159&lt;&gt;"""", GOOGLETRANSLATE(C3159, ""en"", ""te""),"""")"),"")</f>
        <v/>
      </c>
      <c r="E3159" s="2"/>
      <c r="F3159" s="2" t="str">
        <f>IFERROR(__xludf.DUMMYFUNCTION("IF(E3159&lt;&gt;"""", GOOGLETRANSLATE(E3159, ""en"", ""te""),"""")"),"")</f>
        <v/>
      </c>
      <c r="G3159" s="2"/>
      <c r="H3159" s="2" t="str">
        <f>IFERROR(__xludf.DUMMYFUNCTION("IF(G3159&lt;&gt;"""", GOOGLETRANSLATE(G3159, ""en"", ""te""),"""")"),"")</f>
        <v/>
      </c>
      <c r="I3159" s="3"/>
    </row>
    <row r="3160" customHeight="1" spans="1:9">
      <c r="A3160" s="2"/>
      <c r="B3160" s="2" t="str">
        <f>IFERROR(__xludf.DUMMYFUNCTION("IF(A3160&lt;&gt;"""", GOOGLETRANSLATE(A3160, ""en"", ""te""),"""")"),"")</f>
        <v/>
      </c>
      <c r="C3160" s="2" t="s">
        <v>2216</v>
      </c>
      <c r="D3160" s="2" t="str">
        <f>IFERROR(__xludf.DUMMYFUNCTION("IF(C3160&lt;&gt;"""", GOOGLETRANSLATE(C3160, ""en"", ""te""),"""")"),"[ '45 వ పురాతన దేశం ఆటగాళ్ళు (86y 210d)']")</f>
        <v>[ '45 వ పురాతన దేశం ఆటగాళ్ళు (86y 210d)']</v>
      </c>
      <c r="E3160" s="2"/>
      <c r="F3160" s="2" t="str">
        <f>IFERROR(__xludf.DUMMYFUNCTION("IF(E3160&lt;&gt;"""", GOOGLETRANSLATE(E3160, ""en"", ""te""),"""")"),"")</f>
        <v/>
      </c>
      <c r="G3160" s="2"/>
      <c r="H3160" s="2" t="str">
        <f>IFERROR(__xludf.DUMMYFUNCTION("IF(G3160&lt;&gt;"""", GOOGLETRANSLATE(G3160, ""en"", ""te""),"""")"),"")</f>
        <v/>
      </c>
      <c r="I3160" s="3"/>
    </row>
    <row r="3161" customHeight="1" spans="1:9">
      <c r="A3161" s="2" t="s">
        <v>435</v>
      </c>
      <c r="B3161" s="2" t="str">
        <f>IFERROR(__xludf.DUMMYFUNCTION("IF(A3161&lt;&gt;"""", GOOGLETRANSLATE(A3161, ""en"", ""te""),"""")"),"[ '1st వరుస బాతులు (3)']")</f>
        <v>[ '1st వరుస బాతులు (3)']</v>
      </c>
      <c r="C3161" s="2"/>
      <c r="D3161" s="2" t="str">
        <f>IFERROR(__xludf.DUMMYFUNCTION("IF(C3161&lt;&gt;"""", GOOGLETRANSLATE(C3161, ""en"", ""te""),"""")"),"")</f>
        <v/>
      </c>
      <c r="E3161" s="2" t="s">
        <v>2217</v>
      </c>
      <c r="F3161" s="2" t="str">
        <f>IFERROR(__xludf.DUMMYFUNCTION("IF(E3161&lt;&gt;"""", GOOGLETRANSLATE(E3161, ""en"", ""te""),"""")"),"[ '11 వ వరుస మ్యాచ్లు ప్రదర్శనల మధ్య (56) ఒక జట్టు కోసం తప్పిన']")</f>
        <v>[ '11 వ వరుస మ్యాచ్లు ప్రదర్శనల మధ్య (56) ఒక జట్టు కోసం తప్పిన']</v>
      </c>
      <c r="G3161" s="2" t="s">
        <v>435</v>
      </c>
      <c r="H3161" s="2" t="str">
        <f>IFERROR(__xludf.DUMMYFUNCTION("IF(G3161&lt;&gt;"""", GOOGLETRANSLATE(G3161, ""en"", ""te""),"""")"),"[ '1st వరుస బాతులు (3)']")</f>
        <v>[ '1st వరుస బాతులు (3)']</v>
      </c>
      <c r="I3161" s="3"/>
    </row>
    <row r="3162" customHeight="1" spans="1:9">
      <c r="A3162" s="2" t="s">
        <v>2218</v>
      </c>
      <c r="B3162" s="2" t="str">
        <f>IFERROR(__xludf.DUMMYFUNCTION("IF(A3162&lt;&gt;"""", GOOGLETRANSLATE(A3162, ""en"", ""te""),"""")"),"[ 'గత మ్యాచ్లో 2nd హండ్రెడ్ (117 *)']")</f>
        <v>[ 'గత మ్యాచ్లో 2nd హండ్రెడ్ (117 *)']</v>
      </c>
      <c r="C3162" s="2" t="s">
        <v>2219</v>
      </c>
      <c r="D3162" s="2" t="str">
        <f>IFERROR(__xludf.DUMMYFUNCTION("IF(C3162&lt;&gt;"""", GOOGLETRANSLATE(C3162, ""en"", ""te""),"""")"),"[ '33 వ లాంగెస్ట్ వ్యక్తిగత ఇన్నింగ్స్ (బంతులతో) (524)']")</f>
        <v>[ '33 వ లాంగెస్ట్ వ్యక్తిగత ఇన్నింగ్స్ (బంతులతో) (524)']</v>
      </c>
      <c r="E3162" s="2" t="s">
        <v>2220</v>
      </c>
      <c r="F3162" s="2" t="str">
        <f>IFERROR(__xludf.DUMMYFUNCTION("IF(E3162&lt;&gt;"""", GOOGLETRANSLATE(E3162, ""en"", ""te""),"""")"),"[ '35 వ అత్యంత తొలి మ్యాచ్లో పరుగులు (79)', 'గత మ్యాచ్లో 2nd హండ్రెడ్ (117 *)', 'స్కోర్ 18 అత్యంత వృద్ధ ఆటగాడు తొలి వంద (34y 65d)', '48 వ పురాతన దేశం ఆటగాళ్ళు (77y 19d)' ]")</f>
        <v>[ '35 వ అత్యంత తొలి మ్యాచ్లో పరుగులు (79)', 'గత మ్యాచ్లో 2nd హండ్రెడ్ (117 *)', 'స్కోర్ 18 అత్యంత వృద్ధ ఆటగాడు తొలి వంద (34y 65d)', '48 వ పురాతన దేశం ఆటగాళ్ళు (77y 19d)' ]</v>
      </c>
      <c r="G3162" s="2"/>
      <c r="H3162" s="2" t="str">
        <f>IFERROR(__xludf.DUMMYFUNCTION("IF(G3162&lt;&gt;"""", GOOGLETRANSLATE(G3162, ""en"", ""te""),"""")"),"")</f>
        <v/>
      </c>
      <c r="I3162" s="3"/>
    </row>
    <row r="3163" customHeight="1" spans="1:9">
      <c r="A3163" s="2" t="s">
        <v>2221</v>
      </c>
      <c r="B3163" s="2" t="str">
        <f>IFERROR(__xludf.DUMMYFUNCTION("IF(A3163&lt;&gt;"""", GOOGLETRANSLATE(A3163, ""en"", ""te""),"""")"),"[ '2 వ ఉత్తమ ఆర్థిక వ్యవస్థ ఇన్నింగ్స్లో రేటు (0.40)']")</f>
        <v>[ '2 వ ఉత్తమ ఆర్థిక వ్యవస్థ ఇన్నింగ్స్లో రేటు (0.40)']</v>
      </c>
      <c r="C3163" s="2"/>
      <c r="D3163" s="2" t="str">
        <f>IFERROR(__xludf.DUMMYFUNCTION("IF(C3163&lt;&gt;"""", GOOGLETRANSLATE(C3163, ""en"", ""te""),"""")"),"")</f>
        <v/>
      </c>
      <c r="E3163" s="2" t="s">
        <v>2222</v>
      </c>
      <c r="F3163" s="2" t="str">
        <f>IFERROR(__xludf.DUMMYFUNCTION("IF(E3163&lt;&gt;"""", GOOGLETRANSLATE(E3163, ""en"", ""te""),"""")"),"[ 'కెరీర్లో 24 వ లేవు బాతులు (21)', 'ఇన్నింగ్స్ లో 2 వ ఉత్తమ ఆర్థిక రేటు (0.40)']")</f>
        <v>[ 'కెరీర్లో 24 వ లేవు బాతులు (21)', 'ఇన్నింగ్స్ లో 2 వ ఉత్తమ ఆర్థిక రేటు (0.40)']</v>
      </c>
      <c r="G3163" s="2"/>
      <c r="H3163" s="2" t="str">
        <f>IFERROR(__xludf.DUMMYFUNCTION("IF(G3163&lt;&gt;"""", GOOGLETRANSLATE(G3163, ""en"", ""te""),"""")"),"")</f>
        <v/>
      </c>
      <c r="I3163" s="3"/>
    </row>
    <row r="3164" customHeight="1" spans="1:9">
      <c r="A3164" s="2"/>
      <c r="B3164" s="2" t="str">
        <f>IFERROR(__xludf.DUMMYFUNCTION("IF(A3164&lt;&gt;"""", GOOGLETRANSLATE(A3164, ""en"", ""te""),"""")"),"")</f>
        <v/>
      </c>
      <c r="C3164" s="2"/>
      <c r="D3164" s="2" t="str">
        <f>IFERROR(__xludf.DUMMYFUNCTION("IF(C3164&lt;&gt;"""", GOOGLETRANSLATE(C3164, ""en"", ""te""),"""")"),"")</f>
        <v/>
      </c>
      <c r="E3164" s="2"/>
      <c r="F3164" s="2" t="str">
        <f>IFERROR(__xludf.DUMMYFUNCTION("IF(E3164&lt;&gt;"""", GOOGLETRANSLATE(E3164, ""en"", ""te""),"""")"),"")</f>
        <v/>
      </c>
      <c r="G3164" s="2"/>
      <c r="H3164" s="2" t="str">
        <f>IFERROR(__xludf.DUMMYFUNCTION("IF(G3164&lt;&gt;"""", GOOGLETRANSLATE(G3164, ""en"", ""te""),"""")"),"")</f>
        <v/>
      </c>
      <c r="I3164" s="3"/>
    </row>
    <row r="3165" customHeight="1" spans="1:9">
      <c r="A3165" s="2"/>
      <c r="B3165" s="2" t="str">
        <f>IFERROR(__xludf.DUMMYFUNCTION("IF(A3165&lt;&gt;"""", GOOGLETRANSLATE(A3165, ""en"", ""te""),"""")"),"")</f>
        <v/>
      </c>
      <c r="C3165" s="2"/>
      <c r="D3165" s="2" t="str">
        <f>IFERROR(__xludf.DUMMYFUNCTION("IF(C3165&lt;&gt;"""", GOOGLETRANSLATE(C3165, ""en"", ""te""),"""")"),"")</f>
        <v/>
      </c>
      <c r="E3165" s="2"/>
      <c r="F3165" s="2" t="str">
        <f>IFERROR(__xludf.DUMMYFUNCTION("IF(E3165&lt;&gt;"""", GOOGLETRANSLATE(E3165, ""en"", ""te""),"""")"),"")</f>
        <v/>
      </c>
      <c r="G3165" s="2"/>
      <c r="H3165" s="2" t="str">
        <f>IFERROR(__xludf.DUMMYFUNCTION("IF(G3165&lt;&gt;"""", GOOGLETRANSLATE(G3165, ""en"", ""te""),"""")"),"")</f>
        <v/>
      </c>
      <c r="I3165" s="3"/>
    </row>
    <row r="3166" customHeight="1" spans="1:9">
      <c r="A3166" s="2"/>
      <c r="B3166" s="2" t="str">
        <f>IFERROR(__xludf.DUMMYFUNCTION("IF(A3166&lt;&gt;"""", GOOGLETRANSLATE(A3166, ""en"", ""te""),"""")"),"")</f>
        <v/>
      </c>
      <c r="C3166" s="2"/>
      <c r="D3166" s="2" t="str">
        <f>IFERROR(__xludf.DUMMYFUNCTION("IF(C3166&lt;&gt;"""", GOOGLETRANSLATE(C3166, ""en"", ""te""),"""")"),"")</f>
        <v/>
      </c>
      <c r="E3166" s="2"/>
      <c r="F3166" s="2" t="str">
        <f>IFERROR(__xludf.DUMMYFUNCTION("IF(E3166&lt;&gt;"""", GOOGLETRANSLATE(E3166, ""en"", ""te""),"""")"),"")</f>
        <v/>
      </c>
      <c r="G3166" s="2"/>
      <c r="H3166" s="2" t="str">
        <f>IFERROR(__xludf.DUMMYFUNCTION("IF(G3166&lt;&gt;"""", GOOGLETRANSLATE(G3166, ""en"", ""te""),"""")"),"")</f>
        <v/>
      </c>
      <c r="I3166" s="3"/>
    </row>
    <row r="3167" customHeight="1" spans="1:9">
      <c r="A3167" s="2"/>
      <c r="B3167" s="2" t="str">
        <f>IFERROR(__xludf.DUMMYFUNCTION("IF(A3167&lt;&gt;"""", GOOGLETRANSLATE(A3167, ""en"", ""te""),"""")"),"")</f>
        <v/>
      </c>
      <c r="C3167" s="2"/>
      <c r="D3167" s="2" t="str">
        <f>IFERROR(__xludf.DUMMYFUNCTION("IF(C3167&lt;&gt;"""", GOOGLETRANSLATE(C3167, ""en"", ""te""),"""")"),"")</f>
        <v/>
      </c>
      <c r="E3167" s="2" t="s">
        <v>2223</v>
      </c>
      <c r="F3167" s="2" t="str">
        <f>IFERROR(__xludf.DUMMYFUNCTION("IF(E3167&lt;&gt;"""", GOOGLETRANSLATE(E3167, ""en"", ""te""),"""")"),"[ '41 వ లాంగెస్ట్ క్రీడాకారులు (60y 137d) నివసించారు']")</f>
        <v>[ '41 వ లాంగెస్ట్ క్రీడాకారులు (60y 137d) నివసించారు']</v>
      </c>
      <c r="G3167" s="2"/>
      <c r="H3167" s="2" t="str">
        <f>IFERROR(__xludf.DUMMYFUNCTION("IF(G3167&lt;&gt;"""", GOOGLETRANSLATE(G3167, ""en"", ""te""),"""")"),"")</f>
        <v/>
      </c>
      <c r="I3167" s="3"/>
    </row>
    <row r="3168" customHeight="1" spans="1:9">
      <c r="A3168" s="2"/>
      <c r="B3168" s="2" t="str">
        <f>IFERROR(__xludf.DUMMYFUNCTION("IF(A3168&lt;&gt;"""", GOOGLETRANSLATE(A3168, ""en"", ""te""),"""")"),"")</f>
        <v/>
      </c>
      <c r="C3168" s="2"/>
      <c r="D3168" s="2" t="str">
        <f>IFERROR(__xludf.DUMMYFUNCTION("IF(C3168&lt;&gt;"""", GOOGLETRANSLATE(C3168, ""en"", ""te""),"""")"),"")</f>
        <v/>
      </c>
      <c r="E3168" s="2"/>
      <c r="F3168" s="2" t="str">
        <f>IFERROR(__xludf.DUMMYFUNCTION("IF(E3168&lt;&gt;"""", GOOGLETRANSLATE(E3168, ""en"", ""te""),"""")"),"")</f>
        <v/>
      </c>
      <c r="G3168" s="2"/>
      <c r="H3168" s="2" t="str">
        <f>IFERROR(__xludf.DUMMYFUNCTION("IF(G3168&lt;&gt;"""", GOOGLETRANSLATE(G3168, ""en"", ""te""),"""")"),"")</f>
        <v/>
      </c>
      <c r="I3168" s="3"/>
    </row>
    <row r="3169" customHeight="1" spans="1:9">
      <c r="A3169" s="2"/>
      <c r="B3169" s="2" t="str">
        <f>IFERROR(__xludf.DUMMYFUNCTION("IF(A3169&lt;&gt;"""", GOOGLETRANSLATE(A3169, ""en"", ""te""),"""")"),"")</f>
        <v/>
      </c>
      <c r="C3169" s="2"/>
      <c r="D3169" s="2" t="str">
        <f>IFERROR(__xludf.DUMMYFUNCTION("IF(C3169&lt;&gt;"""", GOOGLETRANSLATE(C3169, ""en"", ""te""),"""")"),"")</f>
        <v/>
      </c>
      <c r="E3169" s="2"/>
      <c r="F3169" s="2" t="str">
        <f>IFERROR(__xludf.DUMMYFUNCTION("IF(E3169&lt;&gt;"""", GOOGLETRANSLATE(E3169, ""en"", ""te""),"""")"),"")</f>
        <v/>
      </c>
      <c r="G3169" s="2"/>
      <c r="H3169" s="2" t="str">
        <f>IFERROR(__xludf.DUMMYFUNCTION("IF(G3169&lt;&gt;"""", GOOGLETRANSLATE(G3169, ""en"", ""te""),"""")"),"")</f>
        <v/>
      </c>
      <c r="I3169" s="3"/>
    </row>
    <row r="3170" customHeight="1" spans="1:9">
      <c r="A3170" s="2"/>
      <c r="B3170" s="2" t="str">
        <f>IFERROR(__xludf.DUMMYFUNCTION("IF(A3170&lt;&gt;"""", GOOGLETRANSLATE(A3170, ""en"", ""te""),"""")"),"")</f>
        <v/>
      </c>
      <c r="C3170" s="2"/>
      <c r="D3170" s="2" t="str">
        <f>IFERROR(__xludf.DUMMYFUNCTION("IF(C3170&lt;&gt;"""", GOOGLETRANSLATE(C3170, ""en"", ""te""),"""")"),"")</f>
        <v/>
      </c>
      <c r="E3170" s="2"/>
      <c r="F3170" s="2" t="str">
        <f>IFERROR(__xludf.DUMMYFUNCTION("IF(E3170&lt;&gt;"""", GOOGLETRANSLATE(E3170, ""en"", ""te""),"""")"),"")</f>
        <v/>
      </c>
      <c r="G3170" s="2"/>
      <c r="H3170" s="2" t="str">
        <f>IFERROR(__xludf.DUMMYFUNCTION("IF(G3170&lt;&gt;"""", GOOGLETRANSLATE(G3170, ""en"", ""te""),"""")"),"")</f>
        <v/>
      </c>
      <c r="I3170" s="3"/>
    </row>
    <row r="3171" customHeight="1" spans="1:9">
      <c r="A3171" s="2"/>
      <c r="B3171" s="2" t="str">
        <f>IFERROR(__xludf.DUMMYFUNCTION("IF(A3171&lt;&gt;"""", GOOGLETRANSLATE(A3171, ""en"", ""te""),"""")"),"")</f>
        <v/>
      </c>
      <c r="C3171" s="2"/>
      <c r="D3171" s="2" t="str">
        <f>IFERROR(__xludf.DUMMYFUNCTION("IF(C3171&lt;&gt;"""", GOOGLETRANSLATE(C3171, ""en"", ""te""),"""")"),"")</f>
        <v/>
      </c>
      <c r="E3171" s="2"/>
      <c r="F3171" s="2" t="str">
        <f>IFERROR(__xludf.DUMMYFUNCTION("IF(E3171&lt;&gt;"""", GOOGLETRANSLATE(E3171, ""en"", ""te""),"""")"),"")</f>
        <v/>
      </c>
      <c r="G3171" s="2"/>
      <c r="H3171" s="2" t="str">
        <f>IFERROR(__xludf.DUMMYFUNCTION("IF(G3171&lt;&gt;"""", GOOGLETRANSLATE(G3171, ""en"", ""te""),"""")"),"")</f>
        <v/>
      </c>
      <c r="I3171" s="3"/>
    </row>
    <row r="3172" customHeight="1" spans="1:9">
      <c r="A3172" s="2" t="s">
        <v>2224</v>
      </c>
      <c r="B3172" s="2" t="str">
        <f>IFERROR(__xludf.DUMMYFUNCTION("IF(A3172&lt;&gt;"""", GOOGLETRANSLATE(A3172, ""en"", ""te""),"""")"),"[ '1st లాంగెస్ట్ కెరీర్లు (30y 315d)', '2 వ అత్యుత్తమ బౌలింగ్ ఇన్నింగ్స్ లో విశ్లేషించడం (7/17)', '1000 పరుగులు మరియు 100 వికెట్లు', '1000 పరుగులు, 50 వికెట్లు, 50 క్యాచ్లు', '1st లాంగెస్ట్ కెరీర్లు ( 30y 315d) ']")</f>
        <v>[ '1st లాంగెస్ట్ కెరీర్లు (30y 315d)', '2 వ అత్యుత్తమ బౌలింగ్ ఇన్నింగ్స్ లో విశ్లేషించడం (7/17)', '1000 పరుగులు మరియు 100 వికెట్లు', '1000 పరుగులు, 50 వికెట్లు, 50 క్యాచ్లు', '1st లాంగెస్ట్ కెరీర్లు ( 30y 315d) ']</v>
      </c>
      <c r="C3172" s="2" t="s">
        <v>2225</v>
      </c>
      <c r="D3172" s="2" t="str">
        <f>IFERROR(__xludf.DUMMYFUNCTION("IF(C3172&lt;&gt;"""", GOOGLETRANSLATE(C3172, ""en"", ""te""),"""")"),"[ 'మొదటి డక్ ముందు 45 వ అత్యంత ఇన్నింగ్స్ (31)', '6 వ మ్యాచ్ లో బెస్ట్ ఫిగర్స్ (15)', '2 వ అత్యుత్తమ బౌలింగ్ ఇన్నింగ్స్ లో విశ్లేషించడం (7/17)', ఒక ఇన్నింగ్స్ లో '47 వ ఉత్తమ సమ్మె రేటు (9.4 ) ',' 18 వ వరుస ఐదు వికెట్ల లో-ఒక-ఇన్నింగ్స్ (3) ',' 32 వ బౌలర్ /"&amp;" బ్యాటర్ కలయికలు (11) ',' ఫాస్టెస్ట్ 50 వికెట్లు, 20 వ (10) ',' 42 వ ఒక సిరీస్లో అత్యధిక క్యాచ్లు (10) ',' 1 వ ఓల్డెస్ట్ క్రీడాకారులు (52y 165d) ',' 1st లాంగెస్ట్ కెరీర్లు (30y 315d) ',' 7 వ లాంగెస్ట్ క్రీడాకారులు నివసించారు (95y 252d) ']")</f>
        <v>[ 'మొదటి డక్ ముందు 45 వ అత్యంత ఇన్నింగ్స్ (31)', '6 వ మ్యాచ్ లో బెస్ట్ ఫిగర్స్ (15)', '2 వ అత్యుత్తమ బౌలింగ్ ఇన్నింగ్స్ లో విశ్లేషించడం (7/17)', ఒక ఇన్నింగ్స్ లో '47 వ ఉత్తమ సమ్మె రేటు (9.4 ) ',' 18 వ వరుస ఐదు వికెట్ల లో-ఒక-ఇన్నింగ్స్ (3) ',' 32 వ బౌలర్ / బ్యాటర్ కలయికలు (11) ',' ఫాస్టెస్ట్ 50 వికెట్లు, 20 వ (10) ',' 42 వ ఒక సిరీస్లో అత్యధిక క్యాచ్లు (10) ',' 1 వ ఓల్డెస్ట్ క్రీడాకారులు (52y 165d) ',' 1st లాంగెస్ట్ కెరీర్లు (30y 315d) ',' 7 వ లాంగెస్ట్ క్రీడాకారులు నివసించారు (95y 252d) ']</v>
      </c>
      <c r="E3172" s="2"/>
      <c r="F3172" s="2" t="str">
        <f>IFERROR(__xludf.DUMMYFUNCTION("IF(E3172&lt;&gt;"""", GOOGLETRANSLATE(E3172, ""en"", ""te""),"""")"),"")</f>
        <v/>
      </c>
      <c r="G3172" s="2"/>
      <c r="H3172" s="2" t="str">
        <f>IFERROR(__xludf.DUMMYFUNCTION("IF(G3172&lt;&gt;"""", GOOGLETRANSLATE(G3172, ""en"", ""te""),"""")"),"")</f>
        <v/>
      </c>
      <c r="I3172" s="3"/>
    </row>
    <row r="3173" customHeight="1" spans="1:9">
      <c r="A3173" s="2"/>
      <c r="B3173" s="2" t="str">
        <f>IFERROR(__xludf.DUMMYFUNCTION("IF(A3173&lt;&gt;"""", GOOGLETRANSLATE(A3173, ""en"", ""te""),"""")"),"")</f>
        <v/>
      </c>
      <c r="C3173" s="2"/>
      <c r="D3173" s="2" t="str">
        <f>IFERROR(__xludf.DUMMYFUNCTION("IF(C3173&lt;&gt;"""", GOOGLETRANSLATE(C3173, ""en"", ""te""),"""")"),"")</f>
        <v/>
      </c>
      <c r="E3173" s="2"/>
      <c r="F3173" s="2" t="str">
        <f>IFERROR(__xludf.DUMMYFUNCTION("IF(E3173&lt;&gt;"""", GOOGLETRANSLATE(E3173, ""en"", ""te""),"""")"),"")</f>
        <v/>
      </c>
      <c r="G3173" s="2"/>
      <c r="H3173" s="2" t="str">
        <f>IFERROR(__xludf.DUMMYFUNCTION("IF(G3173&lt;&gt;"""", GOOGLETRANSLATE(G3173, ""en"", ""te""),"""")"),"")</f>
        <v/>
      </c>
      <c r="I3173" s="3"/>
    </row>
    <row r="3174" customHeight="1" spans="1:9">
      <c r="A3174" s="2" t="s">
        <v>2226</v>
      </c>
      <c r="B3174" s="2" t="str">
        <f>IFERROR(__xludf.DUMMYFUNCTION("IF(A3174&lt;&gt;"""", GOOGLETRANSLATE(A3174, ""en"", ""te""),"""")"),"[ 'హండ్రెడ్ మరియు ఒక మ్యాచ్లో ఒక డక్', '2 వ ఉత్తమ కెరీర్ (2.00) (అర్హత లేకుండా) సగటు బౌలింగ్']")</f>
        <v>[ 'హండ్రెడ్ మరియు ఒక మ్యాచ్లో ఒక డక్', '2 వ ఉత్తమ కెరీర్ (2.00) (అర్హత లేకుండా) సగటు బౌలింగ్']</v>
      </c>
      <c r="C3174" s="2" t="s">
        <v>2227</v>
      </c>
      <c r="D3174" s="2" t="str">
        <f>IFERROR(__xludf.DUMMYFUNCTION("IF(C3174&lt;&gt;"""", GOOGLETRANSLATE(C3174, ""en"", ""te""),"""")"),"[ '12 వ ఇన్నింగ్స్ లో అత్యధిక పరుగులు (బ్యాటింగ్ స్థానంలో ప్రకారం) (164)']")</f>
        <v>[ '12 వ ఇన్నింగ్స్ లో అత్యధిక పరుగులు (బ్యాటింగ్ స్థానంలో ప్రకారం) (164)']</v>
      </c>
      <c r="E3174" s="2" t="s">
        <v>2228</v>
      </c>
      <c r="F3174" s="2" t="str">
        <f>IFERROR(__xludf.DUMMYFUNCTION("IF(E3174&lt;&gt;"""", GOOGLETRANSLATE(E3174, ""en"", ""te""),"""")"),"[ '22 వ తొలి మ్యాచ్లో అత్యధిక పరుగులు (88)', '2 వ ఉత్తమ కెరీర్ బౌలింగ్ సరాసరి (అర్హత లేకుండా) (2.00)']")</f>
        <v>[ '22 వ తొలి మ్యాచ్లో అత్యధిక పరుగులు (88)', '2 వ ఉత్తమ కెరీర్ బౌలింగ్ సరాసరి (అర్హత లేకుండా) (2.00)']</v>
      </c>
      <c r="G3174" s="2"/>
      <c r="H3174" s="2" t="str">
        <f>IFERROR(__xludf.DUMMYFUNCTION("IF(G3174&lt;&gt;"""", GOOGLETRANSLATE(G3174, ""en"", ""te""),"""")"),"")</f>
        <v/>
      </c>
      <c r="I3174" s="3"/>
    </row>
    <row r="3175" customHeight="1" spans="1:9">
      <c r="A3175" s="2"/>
      <c r="B3175" s="2" t="str">
        <f>IFERROR(__xludf.DUMMYFUNCTION("IF(A3175&lt;&gt;"""", GOOGLETRANSLATE(A3175, ""en"", ""te""),"""")"),"")</f>
        <v/>
      </c>
      <c r="C3175" s="2"/>
      <c r="D3175" s="2" t="str">
        <f>IFERROR(__xludf.DUMMYFUNCTION("IF(C3175&lt;&gt;"""", GOOGLETRANSLATE(C3175, ""en"", ""te""),"""")"),"")</f>
        <v/>
      </c>
      <c r="E3175" s="2"/>
      <c r="F3175" s="2" t="str">
        <f>IFERROR(__xludf.DUMMYFUNCTION("IF(E3175&lt;&gt;"""", GOOGLETRANSLATE(E3175, ""en"", ""te""),"""")"),"")</f>
        <v/>
      </c>
      <c r="G3175" s="2"/>
      <c r="H3175" s="2" t="str">
        <f>IFERROR(__xludf.DUMMYFUNCTION("IF(G3175&lt;&gt;"""", GOOGLETRANSLATE(G3175, ""en"", ""te""),"""")"),"")</f>
        <v/>
      </c>
      <c r="I3175" s="3"/>
    </row>
    <row r="3176" customHeight="1" spans="1:9">
      <c r="A3176" s="2"/>
      <c r="B3176" s="2" t="str">
        <f>IFERROR(__xludf.DUMMYFUNCTION("IF(A3176&lt;&gt;"""", GOOGLETRANSLATE(A3176, ""en"", ""te""),"""")"),"")</f>
        <v/>
      </c>
      <c r="C3176" s="2" t="s">
        <v>2229</v>
      </c>
      <c r="D3176" s="2" t="str">
        <f>IFERROR(__xludf.DUMMYFUNCTION("IF(C3176&lt;&gt;"""", GOOGLETRANSLATE(C3176, ""en"", ""te""),"""")"),"[ '39 వ లాంగెస్ట్ క్రీడాకారులు నివసించారు (92y 47d)']")</f>
        <v>[ '39 వ లాంగెస్ట్ క్రీడాకారులు నివసించారు (92y 47d)']</v>
      </c>
      <c r="E3176" s="2"/>
      <c r="F3176" s="2" t="str">
        <f>IFERROR(__xludf.DUMMYFUNCTION("IF(E3176&lt;&gt;"""", GOOGLETRANSLATE(E3176, ""en"", ""te""),"""")"),"")</f>
        <v/>
      </c>
      <c r="G3176" s="2"/>
      <c r="H3176" s="2" t="str">
        <f>IFERROR(__xludf.DUMMYFUNCTION("IF(G3176&lt;&gt;"""", GOOGLETRANSLATE(G3176, ""en"", ""te""),"""")"),"")</f>
        <v/>
      </c>
      <c r="I3176" s="3"/>
    </row>
    <row r="3177" customHeight="1" spans="1:9">
      <c r="A3177" s="2"/>
      <c r="B3177" s="2" t="str">
        <f>IFERROR(__xludf.DUMMYFUNCTION("IF(A3177&lt;&gt;"""", GOOGLETRANSLATE(A3177, ""en"", ""te""),"""")"),"")</f>
        <v/>
      </c>
      <c r="C3177" s="2"/>
      <c r="D3177" s="2" t="str">
        <f>IFERROR(__xludf.DUMMYFUNCTION("IF(C3177&lt;&gt;"""", GOOGLETRANSLATE(C3177, ""en"", ""te""),"""")"),"")</f>
        <v/>
      </c>
      <c r="E3177" s="2"/>
      <c r="F3177" s="2" t="str">
        <f>IFERROR(__xludf.DUMMYFUNCTION("IF(E3177&lt;&gt;"""", GOOGLETRANSLATE(E3177, ""en"", ""te""),"""")"),"")</f>
        <v/>
      </c>
      <c r="G3177" s="2"/>
      <c r="H3177" s="2" t="str">
        <f>IFERROR(__xludf.DUMMYFUNCTION("IF(G3177&lt;&gt;"""", GOOGLETRANSLATE(G3177, ""en"", ""te""),"""")"),"")</f>
        <v/>
      </c>
      <c r="I3177" s="3"/>
    </row>
    <row r="3178" customHeight="1" spans="1:9">
      <c r="A3178" s="2" t="s">
        <v>2230</v>
      </c>
      <c r="B3178" s="2" t="str">
        <f>IFERROR(__xludf.DUMMYFUNCTION("IF(A3178&lt;&gt;"""", GOOGLETRANSLATE(A3178, ""en"", ""te""),"""")"),"[ '7th చాలా ఇన్నింగ్స్ లో నడుస్తుంది (బ్యాటింగ్ స్థానం) (175)', 'హండ్రెడ్ తొలి (154 *)']")</f>
        <v>[ '7th చాలా ఇన్నింగ్స్ లో నడుస్తుంది (బ్యాటింగ్ స్థానం) (175)', 'హండ్రెడ్ తొలి (154 *)']</v>
      </c>
      <c r="C3178" s="2" t="s">
        <v>2231</v>
      </c>
      <c r="D3178" s="2" t="str">
        <f>IFERROR(__xludf.DUMMYFUNCTION("IF(C3178&lt;&gt;"""", GOOGLETRANSLATE(C3178, ""en"", ""te""),"""")"),"[ 'ఇన్నింగ్స్ లో 7 వ అత్యధిక పరుగులు (బ్యాటింగ్ స్థానంలో ప్రకారం) (175)', '40 వ పరాజయం వైపు ఒక మ్యాచ్లో అత్యధిక పరుగులు (216)', 'తొలి మ్యాచ్ (216) లో 6 వ అత్యధిక పరుగులు']")</f>
        <v>[ 'ఇన్నింగ్స్ లో 7 వ అత్యధిక పరుగులు (బ్యాటింగ్ స్థానంలో ప్రకారం) (175)', '40 వ పరాజయం వైపు ఒక మ్యాచ్లో అత్యధిక పరుగులు (216)', 'తొలి మ్యాచ్ (216) లో 6 వ అత్యధిక పరుగులు']</v>
      </c>
      <c r="E3178" s="2"/>
      <c r="F3178" s="2" t="str">
        <f>IFERROR(__xludf.DUMMYFUNCTION("IF(E3178&lt;&gt;"""", GOOGLETRANSLATE(E3178, ""en"", ""te""),"""")"),"")</f>
        <v/>
      </c>
      <c r="G3178" s="2"/>
      <c r="H3178" s="2" t="str">
        <f>IFERROR(__xludf.DUMMYFUNCTION("IF(G3178&lt;&gt;"""", GOOGLETRANSLATE(G3178, ""en"", ""te""),"""")"),"")</f>
        <v/>
      </c>
      <c r="I3178" s="3"/>
    </row>
    <row r="3179" customHeight="1" spans="1:9">
      <c r="A3179" s="2"/>
      <c r="B3179" s="2" t="str">
        <f>IFERROR(__xludf.DUMMYFUNCTION("IF(A3179&lt;&gt;"""", GOOGLETRANSLATE(A3179, ""en"", ""te""),"""")"),"")</f>
        <v/>
      </c>
      <c r="C3179" s="2"/>
      <c r="D3179" s="2" t="str">
        <f>IFERROR(__xludf.DUMMYFUNCTION("IF(C3179&lt;&gt;"""", GOOGLETRANSLATE(C3179, ""en"", ""te""),"""")"),"")</f>
        <v/>
      </c>
      <c r="E3179" s="2"/>
      <c r="F3179" s="2" t="str">
        <f>IFERROR(__xludf.DUMMYFUNCTION("IF(E3179&lt;&gt;"""", GOOGLETRANSLATE(E3179, ""en"", ""te""),"""")"),"")</f>
        <v/>
      </c>
      <c r="G3179" s="2"/>
      <c r="H3179" s="2" t="str">
        <f>IFERROR(__xludf.DUMMYFUNCTION("IF(G3179&lt;&gt;"""", GOOGLETRANSLATE(G3179, ""en"", ""te""),"""")"),"")</f>
        <v/>
      </c>
      <c r="I3179" s="3"/>
    </row>
    <row r="3180" customHeight="1" spans="1:9">
      <c r="A3180" s="2"/>
      <c r="B3180" s="2" t="str">
        <f>IFERROR(__xludf.DUMMYFUNCTION("IF(A3180&lt;&gt;"""", GOOGLETRANSLATE(A3180, ""en"", ""te""),"""")"),"")</f>
        <v/>
      </c>
      <c r="C3180" s="2"/>
      <c r="D3180" s="2" t="str">
        <f>IFERROR(__xludf.DUMMYFUNCTION("IF(C3180&lt;&gt;"""", GOOGLETRANSLATE(C3180, ""en"", ""te""),"""")"),"")</f>
        <v/>
      </c>
      <c r="E3180" s="2"/>
      <c r="F3180" s="2" t="str">
        <f>IFERROR(__xludf.DUMMYFUNCTION("IF(E3180&lt;&gt;"""", GOOGLETRANSLATE(E3180, ""en"", ""te""),"""")"),"")</f>
        <v/>
      </c>
      <c r="G3180" s="2"/>
      <c r="H3180" s="2" t="str">
        <f>IFERROR(__xludf.DUMMYFUNCTION("IF(G3180&lt;&gt;"""", GOOGLETRANSLATE(G3180, ""en"", ""te""),"""")"),"")</f>
        <v/>
      </c>
      <c r="I3180" s="3"/>
    </row>
    <row r="3181" customHeight="1" spans="1:9">
      <c r="A3181" s="2"/>
      <c r="B3181" s="2" t="str">
        <f>IFERROR(__xludf.DUMMYFUNCTION("IF(A3181&lt;&gt;"""", GOOGLETRANSLATE(A3181, ""en"", ""te""),"""")"),"")</f>
        <v/>
      </c>
      <c r="C3181" s="2" t="s">
        <v>2232</v>
      </c>
      <c r="D3181" s="2" t="str">
        <f>IFERROR(__xludf.DUMMYFUNCTION("IF(C3181&lt;&gt;"""", GOOGLETRANSLATE(C3181, ""en"", ""te""),"""")"),"[ 'రెండో వికెట్కు (331) 11 వ అత్యధిక భాగస్వామ్యం']")</f>
        <v>[ 'రెండో వికెట్కు (331) 11 వ అత్యధిక భాగస్వామ్యం']</v>
      </c>
      <c r="E3181" s="2"/>
      <c r="F3181" s="2" t="str">
        <f>IFERROR(__xludf.DUMMYFUNCTION("IF(E3181&lt;&gt;"""", GOOGLETRANSLATE(E3181, ""en"", ""te""),"""")"),"")</f>
        <v/>
      </c>
      <c r="G3181" s="2"/>
      <c r="H3181" s="2" t="str">
        <f>IFERROR(__xludf.DUMMYFUNCTION("IF(G3181&lt;&gt;"""", GOOGLETRANSLATE(G3181, ""en"", ""te""),"""")"),"")</f>
        <v/>
      </c>
      <c r="I3181" s="3"/>
    </row>
    <row r="3182" customHeight="1" spans="1:9">
      <c r="A3182" s="2"/>
      <c r="B3182" s="2" t="str">
        <f>IFERROR(__xludf.DUMMYFUNCTION("IF(A3182&lt;&gt;"""", GOOGLETRANSLATE(A3182, ""en"", ""te""),"""")"),"")</f>
        <v/>
      </c>
      <c r="C3182" s="2" t="s">
        <v>2233</v>
      </c>
      <c r="D3182" s="2" t="str">
        <f>IFERROR(__xludf.DUMMYFUNCTION("IF(C3182&lt;&gt;"""", GOOGLETRANSLATE(C3182, ""en"", ""te""),"""")"),"[ '37 వ ఒక సిరీస్లో అత్యధిక వికెట్లు (21)', '43 వ ఒక సిరీస్లో అత్యధిక క్యాచ్లు (20)']")</f>
        <v>[ '37 వ ఒక సిరీస్లో అత్యధిక వికెట్లు (21)', '43 వ ఒక సిరీస్లో అత్యధిక క్యాచ్లు (20)']</v>
      </c>
      <c r="E3182" s="2"/>
      <c r="F3182" s="2" t="str">
        <f>IFERROR(__xludf.DUMMYFUNCTION("IF(E3182&lt;&gt;"""", GOOGLETRANSLATE(E3182, ""en"", ""te""),"""")"),"")</f>
        <v/>
      </c>
      <c r="G3182" s="2"/>
      <c r="H3182" s="2" t="str">
        <f>IFERROR(__xludf.DUMMYFUNCTION("IF(G3182&lt;&gt;"""", GOOGLETRANSLATE(G3182, ""en"", ""te""),"""")"),"")</f>
        <v/>
      </c>
      <c r="I3182" s="3"/>
    </row>
    <row r="3183" customHeight="1" spans="1:9">
      <c r="A3183" s="2"/>
      <c r="B3183" s="2" t="str">
        <f>IFERROR(__xludf.DUMMYFUNCTION("IF(A3183&lt;&gt;"""", GOOGLETRANSLATE(A3183, ""en"", ""te""),"""")"),"")</f>
        <v/>
      </c>
      <c r="C3183" s="2"/>
      <c r="D3183" s="2" t="str">
        <f>IFERROR(__xludf.DUMMYFUNCTION("IF(C3183&lt;&gt;"""", GOOGLETRANSLATE(C3183, ""en"", ""te""),"""")"),"")</f>
        <v/>
      </c>
      <c r="E3183" s="2"/>
      <c r="F3183" s="2" t="str">
        <f>IFERROR(__xludf.DUMMYFUNCTION("IF(E3183&lt;&gt;"""", GOOGLETRANSLATE(E3183, ""en"", ""te""),"""")"),"")</f>
        <v/>
      </c>
      <c r="G3183" s="2"/>
      <c r="H3183" s="2" t="str">
        <f>IFERROR(__xludf.DUMMYFUNCTION("IF(G3183&lt;&gt;"""", GOOGLETRANSLATE(G3183, ""en"", ""te""),"""")"),"")</f>
        <v/>
      </c>
      <c r="I3183" s="3"/>
    </row>
    <row r="3184" customHeight="1" spans="1:9">
      <c r="A3184" s="2"/>
      <c r="B3184" s="2" t="str">
        <f>IFERROR(__xludf.DUMMYFUNCTION("IF(A3184&lt;&gt;"""", GOOGLETRANSLATE(A3184, ""en"", ""te""),"""")"),"")</f>
        <v/>
      </c>
      <c r="C3184" s="2"/>
      <c r="D3184" s="2" t="str">
        <f>IFERROR(__xludf.DUMMYFUNCTION("IF(C3184&lt;&gt;"""", GOOGLETRANSLATE(C3184, ""en"", ""te""),"""")"),"")</f>
        <v/>
      </c>
      <c r="E3184" s="2"/>
      <c r="F3184" s="2" t="str">
        <f>IFERROR(__xludf.DUMMYFUNCTION("IF(E3184&lt;&gt;"""", GOOGLETRANSLATE(E3184, ""en"", ""te""),"""")"),"")</f>
        <v/>
      </c>
      <c r="G3184" s="2"/>
      <c r="H3184" s="2" t="str">
        <f>IFERROR(__xludf.DUMMYFUNCTION("IF(G3184&lt;&gt;"""", GOOGLETRANSLATE(G3184, ""en"", ""te""),"""")"),"")</f>
        <v/>
      </c>
      <c r="I3184" s="3"/>
    </row>
    <row r="3185" customHeight="1" spans="1:9">
      <c r="A3185" s="2"/>
      <c r="B3185" s="2" t="str">
        <f>IFERROR(__xludf.DUMMYFUNCTION("IF(A3185&lt;&gt;"""", GOOGLETRANSLATE(A3185, ""en"", ""te""),"""")"),"")</f>
        <v/>
      </c>
      <c r="C3185" s="2"/>
      <c r="D3185" s="2" t="str">
        <f>IFERROR(__xludf.DUMMYFUNCTION("IF(C3185&lt;&gt;"""", GOOGLETRANSLATE(C3185, ""en"", ""te""),"""")"),"")</f>
        <v/>
      </c>
      <c r="E3185" s="2"/>
      <c r="F3185" s="2" t="str">
        <f>IFERROR(__xludf.DUMMYFUNCTION("IF(E3185&lt;&gt;"""", GOOGLETRANSLATE(E3185, ""en"", ""te""),"""")"),"")</f>
        <v/>
      </c>
      <c r="G3185" s="2"/>
      <c r="H3185" s="2" t="str">
        <f>IFERROR(__xludf.DUMMYFUNCTION("IF(G3185&lt;&gt;"""", GOOGLETRANSLATE(G3185, ""en"", ""te""),"""")"),"")</f>
        <v/>
      </c>
      <c r="I3185" s="3"/>
    </row>
    <row r="3186" customHeight="1" spans="1:9">
      <c r="A3186" s="2"/>
      <c r="B3186" s="2" t="str">
        <f>IFERROR(__xludf.DUMMYFUNCTION("IF(A3186&lt;&gt;"""", GOOGLETRANSLATE(A3186, ""en"", ""te""),"""")"),"")</f>
        <v/>
      </c>
      <c r="C3186" s="2"/>
      <c r="D3186" s="2" t="str">
        <f>IFERROR(__xludf.DUMMYFUNCTION("IF(C3186&lt;&gt;"""", GOOGLETRANSLATE(C3186, ""en"", ""te""),"""")"),"")</f>
        <v/>
      </c>
      <c r="E3186" s="2"/>
      <c r="F3186" s="2" t="str">
        <f>IFERROR(__xludf.DUMMYFUNCTION("IF(E3186&lt;&gt;"""", GOOGLETRANSLATE(E3186, ""en"", ""te""),"""")"),"")</f>
        <v/>
      </c>
      <c r="G3186" s="2"/>
      <c r="H3186" s="2" t="str">
        <f>IFERROR(__xludf.DUMMYFUNCTION("IF(G3186&lt;&gt;"""", GOOGLETRANSLATE(G3186, ""en"", ""te""),"""")"),"")</f>
        <v/>
      </c>
      <c r="I3186" s="3"/>
    </row>
    <row r="3187" customHeight="1" spans="1:9">
      <c r="A3187" s="2" t="s">
        <v>2234</v>
      </c>
      <c r="B3187" s="2" t="str">
        <f>IFERROR(__xludf.DUMMYFUNCTION("IF(A3187&lt;&gt;"""", GOOGLETRANSLATE(A3187, ""en"", ""te""),"""")"),"[ 'ఇన్నింగ్స్ లో 5 వ అత్యధిక వికెట్లు (6)' 'ఇన్నింగ్స్ లో 5 వ అత్యధిక క్యాచ్లు (6)',]")</f>
        <v>[ 'ఇన్నింగ్స్ లో 5 వ అత్యధిక వికెట్లు (6)' 'ఇన్నింగ్స్ లో 5 వ అత్యధిక క్యాచ్లు (6)',]</v>
      </c>
      <c r="C3187" s="2" t="s">
        <v>2235</v>
      </c>
      <c r="D3187" s="2" t="str">
        <f>IFERROR(__xludf.DUMMYFUNCTION("IF(C3187&lt;&gt;"""", GOOGLETRANSLATE(C3187, ""en"", ""te""),"""")"),"[ 'ఇన్నింగ్స్ (6) లో 5 వ అత్యధిక వికెట్లు', '48 వ వరుస మ్యాచ్లు ఆడి (51) మధ్య ఒక జట్టుకు దూరమయ్యాడు' 'ఒక మ్యాచ్లో 35 వ అత్యధిక వికెట్లు (8)', '5 వ ఇన్నింగ్స్ లో అత్యధిక క్యాచ్లు (6 ) ']")</f>
        <v>[ 'ఇన్నింగ్స్ (6) లో 5 వ అత్యధిక వికెట్లు', '48 వ వరుస మ్యాచ్లు ఆడి (51) మధ్య ఒక జట్టుకు దూరమయ్యాడు' 'ఒక మ్యాచ్లో 35 వ అత్యధిక వికెట్లు (8)', '5 వ ఇన్నింగ్స్ లో అత్యధిక క్యాచ్లు (6 ) ']</v>
      </c>
      <c r="E3187" s="2" t="s">
        <v>2236</v>
      </c>
      <c r="F3187" s="2" t="str">
        <f>IFERROR(__xludf.DUMMYFUNCTION("IF(E3187&lt;&gt;"""", GOOGLETRANSLATE(E3187, ""en"", ""te""),"""")"),"[ '16 వ ఇన్నింగ్స్ లో అత్యధిక వికెట్లు (5)', '11 వ అత్యంత ఇన్నింగ్స్ లో క్యాచ్లు (5)']")</f>
        <v>[ '16 వ ఇన్నింగ్స్ లో అత్యధిక వికెట్లు (5)', '11 వ అత్యంత ఇన్నింగ్స్ లో క్యాచ్లు (5)']</v>
      </c>
      <c r="G3187" s="2"/>
      <c r="H3187" s="2" t="str">
        <f>IFERROR(__xludf.DUMMYFUNCTION("IF(G3187&lt;&gt;"""", GOOGLETRANSLATE(G3187, ""en"", ""te""),"""")"),"")</f>
        <v/>
      </c>
      <c r="I3187" s="3"/>
    </row>
    <row r="3188" customHeight="1" spans="1:9">
      <c r="A3188" s="2"/>
      <c r="B3188" s="2" t="str">
        <f>IFERROR(__xludf.DUMMYFUNCTION("IF(A3188&lt;&gt;"""", GOOGLETRANSLATE(A3188, ""en"", ""te""),"""")"),"")</f>
        <v/>
      </c>
      <c r="C3188" s="2"/>
      <c r="D3188" s="2" t="str">
        <f>IFERROR(__xludf.DUMMYFUNCTION("IF(C3188&lt;&gt;"""", GOOGLETRANSLATE(C3188, ""en"", ""te""),"""")"),"")</f>
        <v/>
      </c>
      <c r="E3188" s="2"/>
      <c r="F3188" s="2" t="str">
        <f>IFERROR(__xludf.DUMMYFUNCTION("IF(E3188&lt;&gt;"""", GOOGLETRANSLATE(E3188, ""en"", ""te""),"""")"),"")</f>
        <v/>
      </c>
      <c r="G3188" s="2"/>
      <c r="H3188" s="2" t="str">
        <f>IFERROR(__xludf.DUMMYFUNCTION("IF(G3188&lt;&gt;"""", GOOGLETRANSLATE(G3188, ""en"", ""te""),"""")"),"")</f>
        <v/>
      </c>
      <c r="I3188" s="3"/>
    </row>
    <row r="3189" customHeight="1" spans="1:9">
      <c r="A3189" s="2"/>
      <c r="B3189" s="2" t="str">
        <f>IFERROR(__xludf.DUMMYFUNCTION("IF(A3189&lt;&gt;"""", GOOGLETRANSLATE(A3189, ""en"", ""te""),"""")"),"")</f>
        <v/>
      </c>
      <c r="C3189" s="2"/>
      <c r="D3189" s="2" t="str">
        <f>IFERROR(__xludf.DUMMYFUNCTION("IF(C3189&lt;&gt;"""", GOOGLETRANSLATE(C3189, ""en"", ""te""),"""")"),"")</f>
        <v/>
      </c>
      <c r="E3189" s="2"/>
      <c r="F3189" s="2" t="str">
        <f>IFERROR(__xludf.DUMMYFUNCTION("IF(E3189&lt;&gt;"""", GOOGLETRANSLATE(E3189, ""en"", ""te""),"""")"),"")</f>
        <v/>
      </c>
      <c r="G3189" s="2"/>
      <c r="H3189" s="2" t="str">
        <f>IFERROR(__xludf.DUMMYFUNCTION("IF(G3189&lt;&gt;"""", GOOGLETRANSLATE(G3189, ""en"", ""te""),"""")"),"")</f>
        <v/>
      </c>
      <c r="I3189" s="3"/>
    </row>
    <row r="3190" customHeight="1" spans="1:9">
      <c r="A3190" s="2"/>
      <c r="B3190" s="2" t="str">
        <f>IFERROR(__xludf.DUMMYFUNCTION("IF(A3190&lt;&gt;"""", GOOGLETRANSLATE(A3190, ""en"", ""te""),"""")"),"")</f>
        <v/>
      </c>
      <c r="C3190" s="2"/>
      <c r="D3190" s="2" t="str">
        <f>IFERROR(__xludf.DUMMYFUNCTION("IF(C3190&lt;&gt;"""", GOOGLETRANSLATE(C3190, ""en"", ""te""),"""")"),"")</f>
        <v/>
      </c>
      <c r="E3190" s="2"/>
      <c r="F3190" s="2" t="str">
        <f>IFERROR(__xludf.DUMMYFUNCTION("IF(E3190&lt;&gt;"""", GOOGLETRANSLATE(E3190, ""en"", ""te""),"""")"),"")</f>
        <v/>
      </c>
      <c r="G3190" s="2"/>
      <c r="H3190" s="2" t="str">
        <f>IFERROR(__xludf.DUMMYFUNCTION("IF(G3190&lt;&gt;"""", GOOGLETRANSLATE(G3190, ""en"", ""te""),"""")"),"")</f>
        <v/>
      </c>
      <c r="I3190" s="3"/>
    </row>
    <row r="3191" customHeight="1" spans="1:9">
      <c r="A3191" s="2"/>
      <c r="B3191" s="2" t="str">
        <f>IFERROR(__xludf.DUMMYFUNCTION("IF(A3191&lt;&gt;"""", GOOGLETRANSLATE(A3191, ""en"", ""te""),"""")"),"")</f>
        <v/>
      </c>
      <c r="C3191" s="2"/>
      <c r="D3191" s="2" t="str">
        <f>IFERROR(__xludf.DUMMYFUNCTION("IF(C3191&lt;&gt;"""", GOOGLETRANSLATE(C3191, ""en"", ""te""),"""")"),"")</f>
        <v/>
      </c>
      <c r="E3191" s="2"/>
      <c r="F3191" s="2" t="str">
        <f>IFERROR(__xludf.DUMMYFUNCTION("IF(E3191&lt;&gt;"""", GOOGLETRANSLATE(E3191, ""en"", ""te""),"""")"),"")</f>
        <v/>
      </c>
      <c r="G3191" s="2"/>
      <c r="H3191" s="2" t="str">
        <f>IFERROR(__xludf.DUMMYFUNCTION("IF(G3191&lt;&gt;"""", GOOGLETRANSLATE(G3191, ""en"", ""te""),"""")"),"")</f>
        <v/>
      </c>
      <c r="I3191" s="3"/>
    </row>
    <row r="3192" customHeight="1" spans="1:9">
      <c r="A3192" s="2"/>
      <c r="B3192" s="2" t="str">
        <f>IFERROR(__xludf.DUMMYFUNCTION("IF(A3192&lt;&gt;"""", GOOGLETRANSLATE(A3192, ""en"", ""te""),"""")"),"")</f>
        <v/>
      </c>
      <c r="C3192" s="2"/>
      <c r="D3192" s="2" t="str">
        <f>IFERROR(__xludf.DUMMYFUNCTION("IF(C3192&lt;&gt;"""", GOOGLETRANSLATE(C3192, ""en"", ""te""),"""")"),"")</f>
        <v/>
      </c>
      <c r="E3192" s="2"/>
      <c r="F3192" s="2" t="str">
        <f>IFERROR(__xludf.DUMMYFUNCTION("IF(E3192&lt;&gt;"""", GOOGLETRANSLATE(E3192, ""en"", ""te""),"""")"),"")</f>
        <v/>
      </c>
      <c r="G3192" s="2"/>
      <c r="H3192" s="2" t="str">
        <f>IFERROR(__xludf.DUMMYFUNCTION("IF(G3192&lt;&gt;"""", GOOGLETRANSLATE(G3192, ""en"", ""te""),"""")"),"")</f>
        <v/>
      </c>
      <c r="I3192" s="3"/>
    </row>
    <row r="3193" customHeight="1" spans="1:9">
      <c r="A3193" s="2" t="s">
        <v>2237</v>
      </c>
      <c r="B3193" s="2" t="str">
        <f>IFERROR(__xludf.DUMMYFUNCTION("IF(A3193&lt;&gt;"""", GOOGLETRANSLATE(A3193, ""en"", ""te""),"""")"),"[ 'గత మ్యాచ్లో 5 వ హండ్రెడ్ (140)', 'హండ్రెడ్ ఒక మ్యాచ్లో ప్రతి ఇన్నింగ్స్లో']")</f>
        <v>[ 'గత మ్యాచ్లో 5 వ హండ్రెడ్ (140)', 'హండ్రెడ్ ఒక మ్యాచ్లో ప్రతి ఇన్నింగ్స్లో']</v>
      </c>
      <c r="C3193" s="2" t="s">
        <v>2238</v>
      </c>
      <c r="D3193" s="2" t="str">
        <f>IFERROR(__xludf.DUMMYFUNCTION("IF(C3193&lt;&gt;"""", GOOGLETRANSLATE(C3193, ""en"", ""te""),"""")"),"[ 'గత మ్యాచ్లో 5 వ హండ్రెడ్ (140)', 'పదవ వికెట్కు 36 వ అత్యధిక భాగస్వామ్యం (92)']")</f>
        <v>[ 'గత మ్యాచ్లో 5 వ హండ్రెడ్ (140)', 'పదవ వికెట్కు 36 వ అత్యధిక భాగస్వామ్యం (92)']</v>
      </c>
      <c r="E3193" s="2"/>
      <c r="F3193" s="2" t="str">
        <f>IFERROR(__xludf.DUMMYFUNCTION("IF(E3193&lt;&gt;"""", GOOGLETRANSLATE(E3193, ""en"", ""te""),"""")"),"")</f>
        <v/>
      </c>
      <c r="G3193" s="2"/>
      <c r="H3193" s="2" t="str">
        <f>IFERROR(__xludf.DUMMYFUNCTION("IF(G3193&lt;&gt;"""", GOOGLETRANSLATE(G3193, ""en"", ""te""),"""")"),"")</f>
        <v/>
      </c>
      <c r="I3193" s="3"/>
    </row>
    <row r="3194" customHeight="1" spans="1:9">
      <c r="A3194" s="2"/>
      <c r="B3194" s="2" t="str">
        <f>IFERROR(__xludf.DUMMYFUNCTION("IF(A3194&lt;&gt;"""", GOOGLETRANSLATE(A3194, ""en"", ""te""),"""")"),"")</f>
        <v/>
      </c>
      <c r="C3194" s="2"/>
      <c r="D3194" s="2" t="str">
        <f>IFERROR(__xludf.DUMMYFUNCTION("IF(C3194&lt;&gt;"""", GOOGLETRANSLATE(C3194, ""en"", ""te""),"""")"),"")</f>
        <v/>
      </c>
      <c r="E3194" s="2"/>
      <c r="F3194" s="2" t="str">
        <f>IFERROR(__xludf.DUMMYFUNCTION("IF(E3194&lt;&gt;"""", GOOGLETRANSLATE(E3194, ""en"", ""te""),"""")"),"")</f>
        <v/>
      </c>
      <c r="G3194" s="2"/>
      <c r="H3194" s="2" t="str">
        <f>IFERROR(__xludf.DUMMYFUNCTION("IF(G3194&lt;&gt;"""", GOOGLETRANSLATE(G3194, ""en"", ""te""),"""")"),"")</f>
        <v/>
      </c>
      <c r="I3194" s="3"/>
    </row>
    <row r="3195" customHeight="1" spans="1:9">
      <c r="A3195" s="2"/>
      <c r="B3195" s="2" t="str">
        <f>IFERROR(__xludf.DUMMYFUNCTION("IF(A3195&lt;&gt;"""", GOOGLETRANSLATE(A3195, ""en"", ""te""),"""")"),"")</f>
        <v/>
      </c>
      <c r="C3195" s="2" t="s">
        <v>655</v>
      </c>
      <c r="D3195" s="2" t="str">
        <f>IFERROR(__xludf.DUMMYFUNCTION("IF(C3195&lt;&gt;"""", GOOGLETRANSLATE(C3195, ""en"", ""te""),"""")"),"[ '33 వ ప్రవేశం (8) ఒక మ్యాచ్లో బెస్ట్ ఫిగర్స్']")</f>
        <v>[ '33 వ ప్రవేశం (8) ఒక మ్యాచ్లో బెస్ట్ ఫిగర్స్']</v>
      </c>
      <c r="E3195" s="2"/>
      <c r="F3195" s="2" t="str">
        <f>IFERROR(__xludf.DUMMYFUNCTION("IF(E3195&lt;&gt;"""", GOOGLETRANSLATE(E3195, ""en"", ""te""),"""")"),"")</f>
        <v/>
      </c>
      <c r="G3195" s="2"/>
      <c r="H3195" s="2" t="str">
        <f>IFERROR(__xludf.DUMMYFUNCTION("IF(G3195&lt;&gt;"""", GOOGLETRANSLATE(G3195, ""en"", ""te""),"""")"),"")</f>
        <v/>
      </c>
      <c r="I3195" s="3"/>
    </row>
    <row r="3196" customHeight="1" spans="1:9">
      <c r="A3196" s="2" t="s">
        <v>2239</v>
      </c>
      <c r="B3196" s="2" t="str">
        <f>IFERROR(__xludf.DUMMYFUNCTION("IF(A3196&lt;&gt;"""", GOOGLETRANSLATE(A3196, ""en"", ""te""),"""")"),"[ '8 వ అత్యంత బృందం (39) కెప్టెన్ గా వరుస మ్యాచ్లు' 'వందవ మ్యాచ్లో 10 వ హండ్రెడ్ (218)', 'వరుస మ్యాచ్లలో 1st యాభైల్లో (12)', 'హండ్రెడ్ మరియు ఒక మ్యాచ్లో ఒక డక్', '1st అత్యుత్తమ బౌలింగ్ ఇన్నింగ్స్ లో విశ్లేషించడం (2/0) ',' 5000 పరుగులు మరియు 50 ఫీల్డింగ్ "&amp;"వికెట్లు పదవ వికెట్కు ',' 1 వ అత్యధిక భాగస్వామ్యం (198) ',' 10 వ అత్యధిక కెరీర్ బ్యాటింగ్ సగటు (50.10) ',' ఫాస్టెస్ట్ 3 వ 4000 పరుగులు (91) ',' వరుస బౌలింగ్ సరాసరి (-57.34 ల తరువాత) ',' 1 వ అత్యధిక క్యాచ్లు 7 వ చెత్త కెరీర్ (13) ',' 5000 పరుగులు మరియు 50 "&amp;"ఫీల్డింగ్ వికెట్లు ',' ఇన్నింగ్స్ లో 5 వ అత్యధిక పరుగులు (బ్యాటింగ్ స్థానంలో ద్వారా ) (90 *) ',' 7 వ ఇన్నింగ్స్ లో వచ్చిన ఎక్కువ ఫోర్లు (13) ',' ఐదవ వికెట్కు 7 వ అత్యధిక భాగస్వామ్యం (95) ',' వరుస మ్యాచ్లలో 5 వ యాభైల్లో (8) ']")</f>
        <v>[ '8 వ అత్యంత బృందం (39) కెప్టెన్ గా వరుస మ్యాచ్లు' 'వందవ మ్యాచ్లో 10 వ హండ్రెడ్ (218)', 'వరుస మ్యాచ్లలో 1st యాభైల్లో (12)', 'హండ్రెడ్ మరియు ఒక మ్యాచ్లో ఒక డక్', '1st అత్యుత్తమ బౌలింగ్ ఇన్నింగ్స్ లో విశ్లేషించడం (2/0) ',' 5000 పరుగులు మరియు 50 ఫీల్డింగ్ వికెట్లు పదవ వికెట్కు ',' 1 వ అత్యధిక భాగస్వామ్యం (198) ',' 10 వ అత్యధిక కెరీర్ బ్యాటింగ్ సగటు (50.10) ',' ఫాస్టెస్ట్ 3 వ 4000 పరుగులు (91) ',' వరుస బౌలింగ్ సరాసరి (-57.34 ల తరువాత) ',' 1 వ అత్యధిక క్యాచ్లు 7 వ చెత్త కెరీర్ (13) ',' 5000 పరుగులు మరియు 50 ఫీల్డింగ్ వికెట్లు ',' ఇన్నింగ్స్ లో 5 వ అత్యధిక పరుగులు (బ్యాటింగ్ స్థానంలో ద్వారా ) (90 *) ',' 7 వ ఇన్నింగ్స్ లో వచ్చిన ఎక్కువ ఫోర్లు (13) ',' ఐదవ వికెట్కు 7 వ అత్యధిక భాగస్వామ్యం (95) ',' వరుస మ్యాచ్లలో 5 వ యాభైల్లో (8) ']</v>
      </c>
      <c r="C3196" s="2" t="s">
        <v>2240</v>
      </c>
      <c r="D3196" s="2" t="str">
        <f>IFERROR(__xludf.DUMMYFUNCTION("IF(C3196&lt;&gt;"""", GOOGLETRANSLATE(C3196, ""en"", ""te""),"""")"),"[ '23 వ కెరీర్ లో పరుగులు (8617)', 'ఒక మ్యాచ్లో 31 అత్యధిక పరుగులు (325)', '12 వ ఒక క్యాలెండర్ సంవత్సరంలో అత్యధిక పరుగులు (1477)', 'ఒక కెప్టెన్తో ఇన్నింగ్స్ లో 38 వ అత్యధిక పరుగులు (228) ',' 48 వ అత్యధిక కెరీర్ బ్యాటింగ్ సగటు (49.24) ',' 42 వ ఒక వృత్తిలో "&amp;"అత్యధిక వందలు (20) ',' 13 వ అధిక రెండొందల పరుగులు ఒక వృత్తిలో (5) ',' వరుస మ్యాచ్లలో 21 వందల (3) ',' వందవ మ్యాచ్లో 10 వ హండ్రెడ్ (218) ',' 22 వ పిన్న ఆటగాడు డబుల్ సెంచరీ (23y 164) సాధించిన ',' 15 వ అత్యంత అర్ధ కెరీర్లో (69) ',' వరుస ఇన్నింగ్స్లో 7 వ యాభై"&amp;"ల్లో (6) ',' 1st యాభైల్లో వరుస మ్యాచ్లు (12) ',' 28th చాలా ఫోర్లు కెరీర్ లో (950) ',' ఫాస్టెస్ట్ 29 కు 2000 పరుగులు (43) ',' 16 వ 3000 పరుగులు వేగంగా (62) ',' 17 వ 4000 పరుగులు వేగంగా (84) ',' 14 వ 5000 పరుగులు (105) ',' 6000 పరుగులు (127) ',' 28th 20 వ "&amp;"వేగంగా వేగంగా వేగంగా 7000 పరుగులు (158) ',' 20 వ 8000 పరుగులు (178) ',' 1 వ అత్యుత్తమ బౌలింగ్ వేగంగా (1/0) ',' ఇన్నింగ్స్ లో 25 వ ఉత్తమ సమ్మె రేటు (7.6) ',' 15 వ కెరీర్ లో అత్యధిక క్యాచ్లు (134) ',' 10 వ అత్యధిక భాగస్వామి ఇన్నింగ్స్ విశ్లేషణలలో ఒక జట్టు వ"&amp;"ికెట్ తేడాతో నౌకలు (10 వ) ',' పదవ వికెట్కు 1st అత్యధిక భాగస్వామ్యం (198) ',' 16 వ వరుస మ్యాచ్లు (77) ',' 15 వ అత్యంత ప్లేయర్ ఆఫ్ ది మ్యాచ్ అవార్డులు (11) ', '44 వ అత్యంత ప్లేయర్ ఆఫ్ ది సిరీస్ అవార్డులు (3)' 'కెప్టెన్ 15 అత్యధిక మ్యాచ్లు (50)', 'బృందం (39)"&amp;" కెప్టెన్ గా 8 వ వరుస మ్యాచ్లు']")</f>
        <v>[ '23 వ కెరీర్ లో పరుగులు (8617)', 'ఒక మ్యాచ్లో 31 అత్యధిక పరుగులు (325)', '12 వ ఒక క్యాలెండర్ సంవత్సరంలో అత్యధిక పరుగులు (1477)', 'ఒక కెప్టెన్తో ఇన్నింగ్స్ లో 38 వ అత్యధిక పరుగులు (228) ',' 48 వ అత్యధిక కెరీర్ బ్యాటింగ్ సగటు (49.24) ',' 42 వ ఒక వృత్తిలో అత్యధిక వందలు (20) ',' 13 వ అధిక రెండొందల పరుగులు ఒక వృత్తిలో (5) ',' వరుస మ్యాచ్లలో 21 వందల (3) ',' వందవ మ్యాచ్లో 10 వ హండ్రెడ్ (218) ',' 22 వ పిన్న ఆటగాడు డబుల్ సెంచరీ (23y 164) సాధించిన ',' 15 వ అత్యంత అర్ధ కెరీర్లో (69) ',' వరుస ఇన్నింగ్స్లో 7 వ యాభైల్లో (6) ',' 1st యాభైల్లో వరుస మ్యాచ్లు (12) ',' 28th చాలా ఫోర్లు కెరీర్ లో (950) ',' ఫాస్టెస్ట్ 29 కు 2000 పరుగులు (43) ',' 16 వ 3000 పరుగులు వేగంగా (62) ',' 17 వ 4000 పరుగులు వేగంగా (84) ',' 14 వ 5000 పరుగులు (105) ',' 6000 పరుగులు (127) ',' 28th 20 వ వేగంగా వేగంగా వేగంగా 7000 పరుగులు (158) ',' 20 వ 8000 పరుగులు (178) ',' 1 వ అత్యుత్తమ బౌలింగ్ వేగంగా (1/0) ',' ఇన్నింగ్స్ లో 25 వ ఉత్తమ సమ్మె రేటు (7.6) ',' 15 వ కెరీర్ లో అత్యధిక క్యాచ్లు (134) ',' 10 వ అత్యధిక భాగస్వామి ఇన్నింగ్స్ విశ్లేషణలలో ఒక జట్టు వికెట్ తేడాతో నౌకలు (10 వ) ',' పదవ వికెట్కు 1st అత్యధిక భాగస్వామ్యం (198) ',' 16 వ వరుస మ్యాచ్లు (77) ',' 15 వ అత్యంత ప్లేయర్ ఆఫ్ ది మ్యాచ్ అవార్డులు (11) ', '44 వ అత్యంత ప్లేయర్ ఆఫ్ ది సిరీస్ అవార్డులు (3)' 'కెప్టెన్ 15 అత్యధిక మ్యాచ్లు (50)', 'బృందం (39) కెప్టెన్ గా 8 వ వరుస మ్యాచ్లు']</v>
      </c>
      <c r="E3196" s="2" t="s">
        <v>2241</v>
      </c>
      <c r="F3196" s="2" t="str">
        <f>IFERROR(__xludf.DUMMYFUNCTION("IF(E3196&lt;&gt;"""", GOOGLETRANSLATE(E3196, ""en"", ""te""),"""")"),"[ '13 వ ఒక సిరీస్లో అత్యధిక పరుగులు (556)', '10 వ అత్యధిక కెరీర్ బ్యాటింగ్ సగటు (50.10)', '23 ఒక వృత్తిలో అత్యధిక వందలు (16)', '39 వ ఒక జట్టు వ్యతిరేకంగా అత్యధిక వందలు (4)', '11 వ 2000 పరుగులు (54) 3000 పరుగులు ',' 5 వ వేగవంతమైన వరకు వరుస ఇన్నింగ్స్లో యా"&amp;"భైల్లో కెరీర్లో (5) ',' 42 వ అతి తక్కువ బాతులు (28) ',' 24 వ వేగంగా (72) ',' 3 వ 4000 పరుగులు వేగంగా (91 ) ',' 5000 పరుగులు (116) ',' 7 వ చెత్త కెరీర్ సగటు (-57.34 ల తరువాత) ',' 32 వ చెత్త కెరీర్లో ఎకానమీ రేట్ బౌలింగ్ చేయడానికి వేగవంతమైన 5 వ (5.76) ',' "&amp;"1st ఒక సిరీస్లో అత్యధిక క్యాచ్లు (13) ',' 35 వ మూడో వికెట్ (198) ',' ఐదవ వికెట్కు 14 అత్యధిక భాగస్వామ్యం (175) ',' ఏడవ వికెట్ (102 *) కోసం 41 వ అత్యధిక భాగస్వామ్యం ',' 24 వ అత్యంత ప్లేయర్ ఆఫ్ ది సిరీస్ అవార్డులు అత్యధిక భాగస్వామ్యం ( 4) ']")</f>
        <v>[ '13 వ ఒక సిరీస్లో అత్యధిక పరుగులు (556)', '10 వ అత్యధిక కెరీర్ బ్యాటింగ్ సగటు (50.10)', '23 ఒక వృత్తిలో అత్యధిక వందలు (16)', '39 వ ఒక జట్టు వ్యతిరేకంగా అత్యధిక వందలు (4)', '11 వ 2000 పరుగులు (54) 3000 పరుగులు ',' 5 వ వేగవంతమైన వరకు వరుస ఇన్నింగ్స్లో యాభైల్లో కెరీర్లో (5) ',' 42 వ అతి తక్కువ బాతులు (28) ',' 24 వ వేగంగా (72) ',' 3 వ 4000 పరుగులు వేగంగా (91 ) ',' 5000 పరుగులు (116) ',' 7 వ చెత్త కెరీర్ సగటు (-57.34 ల తరువాత) ',' 32 వ చెత్త కెరీర్లో ఎకానమీ రేట్ బౌలింగ్ చేయడానికి వేగవంతమైన 5 వ (5.76) ',' 1st ఒక సిరీస్లో అత్యధిక క్యాచ్లు (13) ',' 35 వ మూడో వికెట్ (198) ',' ఐదవ వికెట్కు 14 అత్యధిక భాగస్వామ్యం (175) ',' ఏడవ వికెట్ (102 *) కోసం 41 వ అత్యధిక భాగస్వామ్యం ',' 24 వ అత్యంత ప్లేయర్ ఆఫ్ ది సిరీస్ అవార్డులు అత్యధిక భాగస్వామ్యం ( 4) ']</v>
      </c>
      <c r="G3196" s="2" t="s">
        <v>2242</v>
      </c>
      <c r="H3196" s="2" t="str">
        <f>IFERROR(__xludf.DUMMYFUNCTION("IF(G3196&lt;&gt;"""", GOOGLETRANSLATE(G3196, ""en"", ""te""),"""")"),"[ 'ఇన్నింగ్స్ లో 5 వ అత్యధిక పరుగులు (బ్యాటింగ్ స్థానంలో ప్రకారం) (90 *)', '14 వ పరాజయం వైపు ఒక మ్యాచ్ (90 *) లో అత్యధిక పరుగులు', '16 వ అత్యధిక కెరీర్ బ్యాటింగ్ సగటు (35.72)', '18 వ అత్యంత మొదటి డక్ ముందు ఇన్నింగ్స్ (24) ',' 7 వ ఇన్నింగ్స్ లో వచ్చిన ఎక్"&amp;"కువ ఫోర్లు (13) ',' ఐదవ వికెట్కు 7 వ అత్యధిక భాగస్వామ్యం (95) ',' ఆరవ వికెట్కు 36 వ అత్యధిక భాగస్వామ్యం (66) ']")</f>
        <v>[ 'ఇన్నింగ్స్ లో 5 వ అత్యధిక పరుగులు (బ్యాటింగ్ స్థానంలో ప్రకారం) (90 *)', '14 వ పరాజయం వైపు ఒక మ్యాచ్ (90 *) లో అత్యధిక పరుగులు', '16 వ అత్యధిక కెరీర్ బ్యాటింగ్ సగటు (35.72)', '18 వ అత్యంత మొదటి డక్ ముందు ఇన్నింగ్స్ (24) ',' 7 వ ఇన్నింగ్స్ లో వచ్చిన ఎక్కువ ఫోర్లు (13) ',' ఐదవ వికెట్కు 7 వ అత్యధిక భాగస్వామ్యం (95) ',' ఆరవ వికెట్కు 36 వ అత్యధిక భాగస్వామ్యం (66) ']</v>
      </c>
      <c r="I3196" s="3"/>
    </row>
    <row r="3197" customHeight="1" spans="1:9">
      <c r="A3197" s="2" t="s">
        <v>2243</v>
      </c>
      <c r="B3197" s="2" t="str">
        <f>IFERROR(__xludf.DUMMYFUNCTION("IF(A3197&lt;&gt;"""", GOOGLETRANSLATE(A3197, ""en"", ""te""),"""")"),"[ 'వరుస ఇన్నింగ్స్లో 3 వ యాభైల్లో (3)', '1st అసాధారణ వికెట్లు (అడ్డుకోవడం)']")</f>
        <v>[ 'వరుస ఇన్నింగ్స్లో 3 వ యాభైల్లో (3)', '1st అసాధారణ వికెట్లు (అడ్డుకోవడం)']</v>
      </c>
      <c r="C3197" s="2"/>
      <c r="D3197" s="2" t="str">
        <f>IFERROR(__xludf.DUMMYFUNCTION("IF(C3197&lt;&gt;"""", GOOGLETRANSLATE(C3197, ""en"", ""te""),"""")"),"")</f>
        <v/>
      </c>
      <c r="E3197" s="2" t="s">
        <v>2244</v>
      </c>
      <c r="F3197" s="2" t="str">
        <f>IFERROR(__xludf.DUMMYFUNCTION("IF(E3197&lt;&gt;"""", GOOGLETRANSLATE(E3197, ""en"", ""te""),"""")"),"[ '26 ఇన్నింగ్స్ లో అత్యధిక పరుగులు (180)', '19 వ ఇన్నింగ్స్ లో అత్యధిక పరుగులు (బ్యాటింగ్ స్థానంలో ప్రకారం) (180)', '15 వ అత్యధిక కెరీర్ సమ్మె రేటు (107.14)', 'వరుస ఇన్నింగ్స్లో 44 వ యాభైల్లో (4) ',' 2000 పరుగులు 1000 పరుగులు వేగంగా 45 వ (29) ',' 34 వ వ"&amp;"ేగవంతమైన (56) ',' 13 వ 3000 ఏ వికెట్కు పరుగులు (76) ',' 20 వ అత్యధిక వాటా వేగంగా (256 *) ',' 11 వ తొలి వికెట్కు (256 *) కోసం అత్యధిక భాగస్వామ్యం ',' మూడో వికెట్కు 13 వ అత్యధిక భాగస్వామ్యం (221) ']")</f>
        <v>[ '26 ఇన్నింగ్స్ లో అత్యధిక పరుగులు (180)', '19 వ ఇన్నింగ్స్ లో అత్యధిక పరుగులు (బ్యాటింగ్ స్థానంలో ప్రకారం) (180)', '15 వ అత్యధిక కెరీర్ సమ్మె రేటు (107.14)', 'వరుస ఇన్నింగ్స్లో 44 వ యాభైల్లో (4) ',' 2000 పరుగులు 1000 పరుగులు వేగంగా 45 వ (29) ',' 34 వ వేగవంతమైన (56) ',' 13 వ 3000 ఏ వికెట్కు పరుగులు (76) ',' 20 వ అత్యధిక వాటా వేగంగా (256 *) ',' 11 వ తొలి వికెట్కు (256 *) కోసం అత్యధిక భాగస్వామ్యం ',' మూడో వికెట్కు 13 వ అత్యధిక భాగస్వామ్యం (221) ']</v>
      </c>
      <c r="G3197" s="2" t="s">
        <v>2245</v>
      </c>
      <c r="H3197" s="2" t="str">
        <f>IFERROR(__xludf.DUMMYFUNCTION("IF(G3197&lt;&gt;"""", GOOGLETRANSLATE(G3197, ""en"", ""te""),"""")"),"[ '29 అత్యధిక కెరీర్ సమ్మె రేటు (142.22)', 'వరుస ఇన్నింగ్స్లో 3 వ యాభైల్లో (3)', '13 వ అత్యంత బాతులు కెరీర్లో (6)', '43 వ ఎక్కువ సిక్స్ కెరీర్లో (48)', '42 వ ఎక్కువ సిక్స్ లో ఇన్నింగ్స్ (7) ',' 31 ఇన్నింగ్స్ లో వచ్చిన ఎక్కువ ఫోర్లు (11) ',' 1st అసాధారణ త"&amp;"ొలగింపులకు 1000 పరుగులు (42) ',' రెండవ వికెట్కు 37 వ అత్యధిక భాగస్వామ్యం (110 ',' ఫాస్టెస్ట్ 32 వ (అడ్డుకోవడం) ) ',' 34 వ వరుస జట్టు మ్యాచ్లు (32) ']")</f>
        <v>[ '29 అత్యధిక కెరీర్ సమ్మె రేటు (142.22)', 'వరుస ఇన్నింగ్స్లో 3 వ యాభైల్లో (3)', '13 వ అత్యంత బాతులు కెరీర్లో (6)', '43 వ ఎక్కువ సిక్స్ కెరీర్లో (48)', '42 వ ఎక్కువ సిక్స్ లో ఇన్నింగ్స్ (7) ',' 31 ఇన్నింగ్స్ లో వచ్చిన ఎక్కువ ఫోర్లు (11) ',' 1st అసాధారణ తొలగింపులకు 1000 పరుగులు (42) ',' రెండవ వికెట్కు 37 వ అత్యధిక భాగస్వామ్యం (110 ',' ఫాస్టెస్ట్ 32 వ (అడ్డుకోవడం) ) ',' 34 వ వరుస జట్టు మ్యాచ్లు (32) ']</v>
      </c>
      <c r="I3197" s="3"/>
    </row>
    <row r="3198" customHeight="1" spans="1:9">
      <c r="A3198" s="2"/>
      <c r="B3198" s="2" t="str">
        <f>IFERROR(__xludf.DUMMYFUNCTION("IF(A3198&lt;&gt;"""", GOOGLETRANSLATE(A3198, ""en"", ""te""),"""")"),"")</f>
        <v/>
      </c>
      <c r="C3198" s="2"/>
      <c r="D3198" s="2" t="str">
        <f>IFERROR(__xludf.DUMMYFUNCTION("IF(C3198&lt;&gt;"""", GOOGLETRANSLATE(C3198, ""en"", ""te""),"""")"),"")</f>
        <v/>
      </c>
      <c r="E3198" s="2"/>
      <c r="F3198" s="2" t="str">
        <f>IFERROR(__xludf.DUMMYFUNCTION("IF(E3198&lt;&gt;"""", GOOGLETRANSLATE(E3198, ""en"", ""te""),"""")"),"")</f>
        <v/>
      </c>
      <c r="G3198" s="2"/>
      <c r="H3198" s="2" t="str">
        <f>IFERROR(__xludf.DUMMYFUNCTION("IF(G3198&lt;&gt;"""", GOOGLETRANSLATE(G3198, ""en"", ""te""),"""")"),"")</f>
        <v/>
      </c>
      <c r="I3198" s="3"/>
    </row>
    <row r="3199" customHeight="1" spans="1:9">
      <c r="A3199" s="2"/>
      <c r="B3199" s="2" t="str">
        <f>IFERROR(__xludf.DUMMYFUNCTION("IF(A3199&lt;&gt;"""", GOOGLETRANSLATE(A3199, ""en"", ""te""),"""")"),"")</f>
        <v/>
      </c>
      <c r="C3199" s="2"/>
      <c r="D3199" s="2" t="str">
        <f>IFERROR(__xludf.DUMMYFUNCTION("IF(C3199&lt;&gt;"""", GOOGLETRANSLATE(C3199, ""en"", ""te""),"""")"),"")</f>
        <v/>
      </c>
      <c r="E3199" s="2"/>
      <c r="F3199" s="2" t="str">
        <f>IFERROR(__xludf.DUMMYFUNCTION("IF(E3199&lt;&gt;"""", GOOGLETRANSLATE(E3199, ""en"", ""te""),"""")"),"")</f>
        <v/>
      </c>
      <c r="G3199" s="2"/>
      <c r="H3199" s="2" t="str">
        <f>IFERROR(__xludf.DUMMYFUNCTION("IF(G3199&lt;&gt;"""", GOOGLETRANSLATE(G3199, ""en"", ""te""),"""")"),"")</f>
        <v/>
      </c>
      <c r="I3199" s="3"/>
    </row>
    <row r="3200" customHeight="1" spans="1:9">
      <c r="A3200" s="2"/>
      <c r="B3200" s="2" t="str">
        <f>IFERROR(__xludf.DUMMYFUNCTION("IF(A3200&lt;&gt;"""", GOOGLETRANSLATE(A3200, ""en"", ""te""),"""")"),"")</f>
        <v/>
      </c>
      <c r="C3200" s="2"/>
      <c r="D3200" s="2" t="str">
        <f>IFERROR(__xludf.DUMMYFUNCTION("IF(C3200&lt;&gt;"""", GOOGLETRANSLATE(C3200, ""en"", ""te""),"""")"),"")</f>
        <v/>
      </c>
      <c r="E3200" s="2" t="s">
        <v>2246</v>
      </c>
      <c r="F3200" s="2" t="str">
        <f>IFERROR(__xludf.DUMMYFUNCTION("IF(E3200&lt;&gt;"""", GOOGLETRANSLATE(E3200, ""en"", ""te""),"""")"),"[ '39 వ చెత్త కెరీర్ బౌలింగ్ సరాసరి (అర్హత లేకుండా) (115.00)']")</f>
        <v>[ '39 వ చెత్త కెరీర్ బౌలింగ్ సరాసరి (అర్హత లేకుండా) (115.00)']</v>
      </c>
      <c r="G3200" s="2"/>
      <c r="H3200" s="2" t="str">
        <f>IFERROR(__xludf.DUMMYFUNCTION("IF(G3200&lt;&gt;"""", GOOGLETRANSLATE(G3200, ""en"", ""te""),"""")"),"")</f>
        <v/>
      </c>
      <c r="I3200" s="3"/>
    </row>
    <row r="3201" customHeight="1" spans="1:9">
      <c r="A3201" s="2"/>
      <c r="B3201" s="2" t="str">
        <f>IFERROR(__xludf.DUMMYFUNCTION("IF(A3201&lt;&gt;"""", GOOGLETRANSLATE(A3201, ""en"", ""te""),"""")"),"")</f>
        <v/>
      </c>
      <c r="C3201" s="2"/>
      <c r="D3201" s="2" t="str">
        <f>IFERROR(__xludf.DUMMYFUNCTION("IF(C3201&lt;&gt;"""", GOOGLETRANSLATE(C3201, ""en"", ""te""),"""")"),"")</f>
        <v/>
      </c>
      <c r="E3201" s="2"/>
      <c r="F3201" s="2" t="str">
        <f>IFERROR(__xludf.DUMMYFUNCTION("IF(E3201&lt;&gt;"""", GOOGLETRANSLATE(E3201, ""en"", ""te""),"""")"),"")</f>
        <v/>
      </c>
      <c r="G3201" s="2"/>
      <c r="H3201" s="2" t="str">
        <f>IFERROR(__xludf.DUMMYFUNCTION("IF(G3201&lt;&gt;"""", GOOGLETRANSLATE(G3201, ""en"", ""te""),"""")"),"")</f>
        <v/>
      </c>
      <c r="I3201" s="3"/>
    </row>
    <row r="3202" customHeight="1" spans="1:9">
      <c r="A3202" s="2" t="s">
        <v>2247</v>
      </c>
      <c r="B3202" s="2" t="str">
        <f>IFERROR(__xludf.DUMMYFUNCTION("IF(A3202&lt;&gt;"""", GOOGLETRANSLATE(A3202, ""en"", ""te""),"""")"),"[ '10 వ చెత్త కెరీర్లో ఆర్థిక రేటు (3.75)', '10 వ అత్యధిక వికెట్లు ఆకర్షించింది తీసుకున్న మరియు బౌల్డ్ (4)']")</f>
        <v>[ '10 వ చెత్త కెరీర్లో ఆర్థిక రేటు (3.75)', '10 వ అత్యధిక వికెట్లు ఆకర్షించింది తీసుకున్న మరియు బౌల్డ్ (4)']</v>
      </c>
      <c r="C3202" s="2" t="s">
        <v>2248</v>
      </c>
      <c r="D3202" s="2" t="str">
        <f>IFERROR(__xludf.DUMMYFUNCTION("IF(C3202&lt;&gt;"""", GOOGLETRANSLATE(C3202, ""en"", ""te""),"""")"),"[ '10 వ చెత్త కెరీర్లో ఆర్థిక రేటు (3.75)']")</f>
        <v>[ '10 వ చెత్త కెరీర్లో ఆర్థిక రేటు (3.75)']</v>
      </c>
      <c r="E3202" s="2" t="s">
        <v>2249</v>
      </c>
      <c r="F3202" s="2" t="str">
        <f>IFERROR(__xludf.DUMMYFUNCTION("IF(E3202&lt;&gt;"""", GOOGLETRANSLATE(E3202, ""en"", ""te""),"""")"),"[ '29 అత్యధిక కెరీర్ సమ్మె రేటు (101.37)', '46 వ చెత్త కెరీర్లో ఆర్థిక రేటు (5.65)', '43 వ అత్యంత ఐదు-వికెట్ల లో-ఒక-ఇన్నింగ్స్ కెరీర్లో (2)', '36 వ అత్యంత నాలుగు wickets- లో-ఒక-ఇన్నింగ్స్ కెరీర్లో (9) ',' 44 వ బౌలర్ / ఫీల్డర్ కలయికలు (25) ',' 25 వ అత్యధిక"&amp;" వికెట్లు ఆకర్షించింది తీసుకున్న మరియు బౌల్డ్ (11) ',' 45 వ అత్యధిక వికెట్లు ఒక ఫీల్డర్ (89) పట్టుకుంటే తీసిన '100 వికెట్లు వేగంగా 34 వ (67)', '18 వ అత్యధిక వికెట్లు స్టంప్ (17) తీసుకున్న', '21 వ 150 వికెట్లు (102) వేగంగా ',' ఎనిమిదవ వికెట్కు 44 వ అత్యధిక"&amp;" భాగస్వామ్యం (76) ',' 48 వ అత్యంత వరుస మ్యాచ్లు ఆడి మధ్య జట్టు (121) కోసం తప్పిన ']")</f>
        <v>[ '29 అత్యధిక కెరీర్ సమ్మె రేటు (101.37)', '46 వ చెత్త కెరీర్లో ఆర్థిక రేటు (5.65)', '43 వ అత్యంత ఐదు-వికెట్ల లో-ఒక-ఇన్నింగ్స్ కెరీర్లో (2)', '36 వ అత్యంత నాలుగు wickets- లో-ఒక-ఇన్నింగ్స్ కెరీర్లో (9) ',' 44 వ బౌలర్ / ఫీల్డర్ కలయికలు (25) ',' 25 వ అత్యధిక వికెట్లు ఆకర్షించింది తీసుకున్న మరియు బౌల్డ్ (11) ',' 45 వ అత్యధిక వికెట్లు ఒక ఫీల్డర్ (89) పట్టుకుంటే తీసిన '100 వికెట్లు వేగంగా 34 వ (67)', '18 వ అత్యధిక వికెట్లు స్టంప్ (17) తీసుకున్న', '21 వ 150 వికెట్లు (102) వేగంగా ',' ఎనిమిదవ వికెట్కు 44 వ అత్యధిక భాగస్వామ్యం (76) ',' 48 వ అత్యంత వరుస మ్యాచ్లు ఆడి మధ్య జట్టు (121) కోసం తప్పిన ']</v>
      </c>
      <c r="G3202" s="2" t="s">
        <v>2250</v>
      </c>
      <c r="H3202" s="2" t="str">
        <f>IFERROR(__xludf.DUMMYFUNCTION("IF(G3202&lt;&gt;"""", GOOGLETRANSLATE(G3202, ""en"", ""te""),"""")"),"[ 'కెరీర్లో 29 వ లేవు బాతులు (20)', '27 వ అత్యధిక వికెట్లు కెరీర్లో (55)', '49 వ చెత్త కెరీర్లో ఆర్థిక రేటు (7.54)', '15 వ కెరీర్ లో బౌల్డ్ చాలా బంతుల్లో (1164)', '16 వ అత్యధిక పరుగులు కెరీర్లో సాధించిన (1464) ',' 17 వ బౌలర్ / బ్యాట్స్ కలయికలు (3) ',' 48 "&amp;"వ అత్యధిక వికెట్లు (10) ',' 23 వ అత్యధిక వికెట్లు (37) ',' 10 వ అత్యధిక వికెట్లు ఆకర్షించింది తీసుకున్న బౌల్డ్ తీసుకున్న క్యాచ్ తీసుకున్న మరియు బౌల్డ్ చేయడం ( 4) ',' 15 వ అత్యధిక వికెట్లు ఒక ఫీల్డర్ చేత క్యాచ్ తీసుకున్న (36) ',' 17 వ అత్యధిక వికెట్లు తీసు"&amp;"కున్న స్టంప్ (5) ',' 14 వ వరుస మ్యాచ్లు ఆడి (51) ',' 38 వ లాంగెస్ట్ కెరీర్లు మధ్య జట్టుకు దూరమయ్యాడు ( 11y 288d) ',' ప్రదర్శనలు (5 సం 220d) మధ్య 29 లాంగెస్ట్ వ్యవధిలో ']")</f>
        <v>[ 'కెరీర్లో 29 వ లేవు బాతులు (20)', '27 వ అత్యధిక వికెట్లు కెరీర్లో (55)', '49 వ చెత్త కెరీర్లో ఆర్థిక రేటు (7.54)', '15 వ కెరీర్ లో బౌల్డ్ చాలా బంతుల్లో (1164)', '16 వ అత్యధిక పరుగులు కెరీర్లో సాధించిన (1464) ',' 17 వ బౌలర్ / బ్యాట్స్ కలయికలు (3) ',' 48 వ అత్యధిక వికెట్లు (10) ',' 23 వ అత్యధిక వికెట్లు (37) ',' 10 వ అత్యధిక వికెట్లు ఆకర్షించింది తీసుకున్న బౌల్డ్ తీసుకున్న క్యాచ్ తీసుకున్న మరియు బౌల్డ్ చేయడం ( 4) ',' 15 వ అత్యధిక వికెట్లు ఒక ఫీల్డర్ చేత క్యాచ్ తీసుకున్న (36) ',' 17 వ అత్యధిక వికెట్లు తీసుకున్న స్టంప్ (5) ',' 14 వ వరుస మ్యాచ్లు ఆడి (51) ',' 38 వ లాంగెస్ట్ కెరీర్లు మధ్య జట్టుకు దూరమయ్యాడు ( 11y 288d) ',' ప్రదర్శనలు (5 సం 220d) మధ్య 29 లాంగెస్ట్ వ్యవధిలో ']</v>
      </c>
      <c r="I3202" s="3"/>
    </row>
    <row r="3203" customHeight="1" spans="1:9">
      <c r="A3203" s="2"/>
      <c r="B3203" s="2" t="str">
        <f>IFERROR(__xludf.DUMMYFUNCTION("IF(A3203&lt;&gt;"""", GOOGLETRANSLATE(A3203, ""en"", ""te""),"""")"),"")</f>
        <v/>
      </c>
      <c r="C3203" s="2"/>
      <c r="D3203" s="2" t="str">
        <f>IFERROR(__xludf.DUMMYFUNCTION("IF(C3203&lt;&gt;"""", GOOGLETRANSLATE(C3203, ""en"", ""te""),"""")"),"")</f>
        <v/>
      </c>
      <c r="E3203" s="2"/>
      <c r="F3203" s="2" t="str">
        <f>IFERROR(__xludf.DUMMYFUNCTION("IF(E3203&lt;&gt;"""", GOOGLETRANSLATE(E3203, ""en"", ""te""),"""")"),"")</f>
        <v/>
      </c>
      <c r="G3203" s="2"/>
      <c r="H3203" s="2" t="str">
        <f>IFERROR(__xludf.DUMMYFUNCTION("IF(G3203&lt;&gt;"""", GOOGLETRANSLATE(G3203, ""en"", ""te""),"""")"),"")</f>
        <v/>
      </c>
      <c r="I3203" s="3"/>
    </row>
    <row r="3204" customHeight="1" spans="1:9">
      <c r="A3204" s="2"/>
      <c r="B3204" s="2" t="str">
        <f>IFERROR(__xludf.DUMMYFUNCTION("IF(A3204&lt;&gt;"""", GOOGLETRANSLATE(A3204, ""en"", ""te""),"""")"),"")</f>
        <v/>
      </c>
      <c r="C3204" s="2"/>
      <c r="D3204" s="2" t="str">
        <f>IFERROR(__xludf.DUMMYFUNCTION("IF(C3204&lt;&gt;"""", GOOGLETRANSLATE(C3204, ""en"", ""te""),"""")"),"")</f>
        <v/>
      </c>
      <c r="E3204" s="2"/>
      <c r="F3204" s="2" t="str">
        <f>IFERROR(__xludf.DUMMYFUNCTION("IF(E3204&lt;&gt;"""", GOOGLETRANSLATE(E3204, ""en"", ""te""),"""")"),"")</f>
        <v/>
      </c>
      <c r="G3204" s="2"/>
      <c r="H3204" s="2" t="str">
        <f>IFERROR(__xludf.DUMMYFUNCTION("IF(G3204&lt;&gt;"""", GOOGLETRANSLATE(G3204, ""en"", ""te""),"""")"),"")</f>
        <v/>
      </c>
      <c r="I3204" s="3"/>
    </row>
    <row r="3205" customHeight="1" spans="1:9">
      <c r="A3205" s="2"/>
      <c r="B3205" s="2" t="str">
        <f>IFERROR(__xludf.DUMMYFUNCTION("IF(A3205&lt;&gt;"""", GOOGLETRANSLATE(A3205, ""en"", ""te""),"""")"),"")</f>
        <v/>
      </c>
      <c r="C3205" s="2"/>
      <c r="D3205" s="2" t="str">
        <f>IFERROR(__xludf.DUMMYFUNCTION("IF(C3205&lt;&gt;"""", GOOGLETRANSLATE(C3205, ""en"", ""te""),"""")"),"")</f>
        <v/>
      </c>
      <c r="E3205" s="2"/>
      <c r="F3205" s="2" t="str">
        <f>IFERROR(__xludf.DUMMYFUNCTION("IF(E3205&lt;&gt;"""", GOOGLETRANSLATE(E3205, ""en"", ""te""),"""")"),"")</f>
        <v/>
      </c>
      <c r="G3205" s="2"/>
      <c r="H3205" s="2" t="str">
        <f>IFERROR(__xludf.DUMMYFUNCTION("IF(G3205&lt;&gt;"""", GOOGLETRANSLATE(G3205, ""en"", ""te""),"""")"),"")</f>
        <v/>
      </c>
      <c r="I3205" s="3"/>
    </row>
    <row r="3206" customHeight="1" spans="1:9">
      <c r="A3206" s="2" t="s">
        <v>2251</v>
      </c>
      <c r="B3206" s="2" t="str">
        <f>IFERROR(__xludf.DUMMYFUNCTION("IF(A3206&lt;&gt;"""", GOOGLETRANSLATE(A3206, ""en"", ""te""),"""")"),"[ 'ఒక మ్యాచ్లో 1st బెస్ట్ ఫిగర్స్ ఉన్నప్పుడు పరాజయం వైపు (13)', '2 వ వరుస ఐదు వికెట్ల లో-ఒక-ఇన్నింగ్స్ (5)', '2 వ వేగవంతమైన 50 వికెట్లు (7)', '2 వ అత్యంత వరుసగా ఐదు వికెట్లు-ఇన్-ఒక-ఇన్నింగ్స్ (5) ']")</f>
        <v>[ 'ఒక మ్యాచ్లో 1st బెస్ట్ ఫిగర్స్ ఉన్నప్పుడు పరాజయం వైపు (13)', '2 వ వరుస ఐదు వికెట్ల లో-ఒక-ఇన్నింగ్స్ (5)', '2 వ వేగవంతమైన 50 వికెట్లు (7)', '2 వ అత్యంత వరుసగా ఐదు వికెట్లు-ఇన్-ఒక-ఇన్నింగ్స్ (5) ']</v>
      </c>
      <c r="C3206" s="2" t="s">
        <v>2252</v>
      </c>
      <c r="D3206" s="2" t="str">
        <f>IFERROR(__xludf.DUMMYFUNCTION("IF(C3206&lt;&gt;"""", GOOGLETRANSLATE(C3206, ""en"", ""te""),"""")"),"[ '25 వ మ్యాచ్ లో బెస్ట్ ఫిగర్స్ (13)', '44th ఒక సిరీస్లో అత్యధిక వికెట్లు (32)', '5 వ ఒక ఇన్నింగ్స్ లోని బెస్ట్ ఫిగర్స్ ఉన్నప్పుడు పరాజయం వైపు (8)', '1st ఒక మ్యాచ్ ఉన్నప్పుడు ఉత్తమ బొమ్మలు పరాజయం వైపు (13) ',' 43 వ ఉత్తమ కెరీర్ సమ్మె రేటు (51.1) ',' 13"&amp;" వ అరంగేట్రంలోనే మ్యాచ్లో ఉత్తమ బొమ్మలు (10) ',' 19 వ అత్యంత పది వికెట్లు లో ఒక మ్యాచ్ ఒక వృత్తిలో ( 4) ',' 2 వ వరుస ఐదు వికెట్ల లో-ఒక-ఇన్నింగ్స్ (5) ',' 4 వ అత్యధిక వరుస పది వికెట్లు లో ఒక మ్యాచ్ (2) ',' పది wickets- తీసుకోవాలని 37 వ పిన్న ఆటగాడు లో-ఒక-మ"&amp;"్యాచ్ (23y 13d) ',' 47 వ అత్యధిక వికెట్లు బౌల్డ్ (54) ',' 2 వ వేగవంతమైన 50 వికెట్లు (7) '] తీసుకోవాలి")</f>
        <v>[ '25 వ మ్యాచ్ లో బెస్ట్ ఫిగర్స్ (13)', '44th ఒక సిరీస్లో అత్యధిక వికెట్లు (32)', '5 వ ఒక ఇన్నింగ్స్ లోని బెస్ట్ ఫిగర్స్ ఉన్నప్పుడు పరాజయం వైపు (8)', '1st ఒక మ్యాచ్ ఉన్నప్పుడు ఉత్తమ బొమ్మలు పరాజయం వైపు (13) ',' 43 వ ఉత్తమ కెరీర్ సమ్మె రేటు (51.1) ',' 13 వ అరంగేట్రంలోనే మ్యాచ్లో ఉత్తమ బొమ్మలు (10) ',' 19 వ అత్యంత పది వికెట్లు లో ఒక మ్యాచ్ ఒక వృత్తిలో ( 4) ',' 2 వ వరుస ఐదు వికెట్ల లో-ఒక-ఇన్నింగ్స్ (5) ',' 4 వ అత్యధిక వరుస పది వికెట్లు లో ఒక మ్యాచ్ (2) ',' పది wickets- తీసుకోవాలని 37 వ పిన్న ఆటగాడు లో-ఒక-మ్యాచ్ (23y 13d) ',' 47 వ అత్యధిక వికెట్లు బౌల్డ్ (54) ',' 2 వ వేగవంతమైన 50 వికెట్లు (7) '] తీసుకోవాలి</v>
      </c>
      <c r="E3206" s="2"/>
      <c r="F3206" s="2" t="str">
        <f>IFERROR(__xludf.DUMMYFUNCTION("IF(E3206&lt;&gt;"""", GOOGLETRANSLATE(E3206, ""en"", ""te""),"""")"),"")</f>
        <v/>
      </c>
      <c r="G3206" s="2"/>
      <c r="H3206" s="2" t="str">
        <f>IFERROR(__xludf.DUMMYFUNCTION("IF(G3206&lt;&gt;"""", GOOGLETRANSLATE(G3206, ""en"", ""te""),"""")"),"")</f>
        <v/>
      </c>
      <c r="I3206" s="3"/>
    </row>
    <row r="3207" customHeight="1" spans="1:9">
      <c r="A3207" s="2"/>
      <c r="B3207" s="2" t="str">
        <f>IFERROR(__xludf.DUMMYFUNCTION("IF(A3207&lt;&gt;"""", GOOGLETRANSLATE(A3207, ""en"", ""te""),"""")"),"")</f>
        <v/>
      </c>
      <c r="C3207" s="2"/>
      <c r="D3207" s="2" t="str">
        <f>IFERROR(__xludf.DUMMYFUNCTION("IF(C3207&lt;&gt;"""", GOOGLETRANSLATE(C3207, ""en"", ""te""),"""")"),"")</f>
        <v/>
      </c>
      <c r="E3207" s="2"/>
      <c r="F3207" s="2" t="str">
        <f>IFERROR(__xludf.DUMMYFUNCTION("IF(E3207&lt;&gt;"""", GOOGLETRANSLATE(E3207, ""en"", ""te""),"""")"),"")</f>
        <v/>
      </c>
      <c r="G3207" s="2"/>
      <c r="H3207" s="2" t="str">
        <f>IFERROR(__xludf.DUMMYFUNCTION("IF(G3207&lt;&gt;"""", GOOGLETRANSLATE(G3207, ""en"", ""te""),"""")"),"")</f>
        <v/>
      </c>
      <c r="I3207" s="3"/>
    </row>
    <row r="3208" customHeight="1" spans="1:9">
      <c r="A3208" s="2"/>
      <c r="B3208" s="2" t="str">
        <f>IFERROR(__xludf.DUMMYFUNCTION("IF(A3208&lt;&gt;"""", GOOGLETRANSLATE(A3208, ""en"", ""te""),"""")"),"")</f>
        <v/>
      </c>
      <c r="C3208" s="2"/>
      <c r="D3208" s="2" t="str">
        <f>IFERROR(__xludf.DUMMYFUNCTION("IF(C3208&lt;&gt;"""", GOOGLETRANSLATE(C3208, ""en"", ""te""),"""")"),"")</f>
        <v/>
      </c>
      <c r="E3208" s="2"/>
      <c r="F3208" s="2" t="str">
        <f>IFERROR(__xludf.DUMMYFUNCTION("IF(E3208&lt;&gt;"""", GOOGLETRANSLATE(E3208, ""en"", ""te""),"""")"),"")</f>
        <v/>
      </c>
      <c r="G3208" s="2"/>
      <c r="H3208" s="2" t="str">
        <f>IFERROR(__xludf.DUMMYFUNCTION("IF(G3208&lt;&gt;"""", GOOGLETRANSLATE(G3208, ""en"", ""te""),"""")"),"")</f>
        <v/>
      </c>
      <c r="I3208" s="3"/>
    </row>
    <row r="3209" customHeight="1" spans="1:9">
      <c r="A3209" s="2" t="s">
        <v>2253</v>
      </c>
      <c r="B3209" s="2" t="str">
        <f>IFERROR(__xludf.DUMMYFUNCTION("IF(A3209&lt;&gt;"""", GOOGLETRANSLATE(A3209, ""en"", ""te""),"""")"),"[ 'తొమ్మిదవ వికెట్కు 7 వ అత్యధిక భాగస్వామ్యం (65 *)']")</f>
        <v>[ 'తొమ్మిదవ వికెట్కు 7 వ అత్యధిక భాగస్వామ్యం (65 *)']</v>
      </c>
      <c r="C3209" s="2" t="s">
        <v>2254</v>
      </c>
      <c r="D3209" s="2" t="str">
        <f>IFERROR(__xludf.DUMMYFUNCTION("IF(C3209&lt;&gt;"""", GOOGLETRANSLATE(C3209, ""en"", ""te""),"""")"),"[ '16 వ ఇన్నింగ్స్ లో అత్యధిక పరుగులు (బ్యాటింగ్ స్థానంలో ప్రకారం) (30)', '40 వ చెత్త కెరీర్ (అర్హత లేకుండా) సగటు బౌలింగ్ (64.50)', 'ఇన్నింగ్స్ లో 34 వ చెత్త ఆర్థిక రేటు (4.04)', '7 వ అత్యధిక భాగస్వామ్యం తొమ్మిదవ వికెట్కు (65 *) ']")</f>
        <v>[ '16 వ ఇన్నింగ్స్ లో అత్యధిక పరుగులు (బ్యాటింగ్ స్థానంలో ప్రకారం) (30)', '40 వ చెత్త కెరీర్ (అర్హత లేకుండా) సగటు బౌలింగ్ (64.50)', 'ఇన్నింగ్స్ లో 34 వ చెత్త ఆర్థిక రేటు (4.04)', '7 వ అత్యధిక భాగస్వామ్యం తొమ్మిదవ వికెట్కు (65 *) ']</v>
      </c>
      <c r="E3209" s="2"/>
      <c r="F3209" s="2" t="str">
        <f>IFERROR(__xludf.DUMMYFUNCTION("IF(E3209&lt;&gt;"""", GOOGLETRANSLATE(E3209, ""en"", ""te""),"""")"),"")</f>
        <v/>
      </c>
      <c r="G3209" s="2"/>
      <c r="H3209" s="2" t="str">
        <f>IFERROR(__xludf.DUMMYFUNCTION("IF(G3209&lt;&gt;"""", GOOGLETRANSLATE(G3209, ""en"", ""te""),"""")"),"")</f>
        <v/>
      </c>
      <c r="I3209" s="3"/>
    </row>
    <row r="3210" customHeight="1" spans="1:9">
      <c r="A3210" s="2" t="s">
        <v>2255</v>
      </c>
      <c r="B3210" s="2" t="str">
        <f>IFERROR(__xludf.DUMMYFUNCTION("IF(A3210&lt;&gt;"""", GOOGLETRANSLATE(A3210, ""en"", ""te""),"""")"),"[ 'కెరీర్లో 7 వ అతి తక్కువ బాతులు (56)']")</f>
        <v>[ 'కెరీర్లో 7 వ అతి తక్కువ బాతులు (56)']</v>
      </c>
      <c r="C3210" s="2" t="s">
        <v>2256</v>
      </c>
      <c r="D3210" s="2" t="str">
        <f>IFERROR(__xludf.DUMMYFUNCTION("IF(C3210&lt;&gt;"""", GOOGLETRANSLATE(C3210, ""en"", ""te""),"""")"),"[ '50 వ వేగవంతమైన 1000 పరుగులు (22)' '47 వ అత్యంత తొలి మ్యాచ్లో పరుగులు (154)', 'కెరీర్ లో 7 వ అతి తక్కువ బాతులు (56)', 'రెండవ వికెట్ (266) కోసం 37 వ అత్యధిక భాగస్వామ్యం']")</f>
        <v>[ '50 వ వేగవంతమైన 1000 పరుగులు (22)' '47 వ అత్యంత తొలి మ్యాచ్లో పరుగులు (154)', 'కెరీర్ లో 7 వ అతి తక్కువ బాతులు (56)', 'రెండవ వికెట్ (266) కోసం 37 వ అత్యధిక భాగస్వామ్యం']</v>
      </c>
      <c r="E3210" s="2"/>
      <c r="F3210" s="2" t="str">
        <f>IFERROR(__xludf.DUMMYFUNCTION("IF(E3210&lt;&gt;"""", GOOGLETRANSLATE(E3210, ""en"", ""te""),"""")"),"")</f>
        <v/>
      </c>
      <c r="G3210" s="2"/>
      <c r="H3210" s="2" t="str">
        <f>IFERROR(__xludf.DUMMYFUNCTION("IF(G3210&lt;&gt;"""", GOOGLETRANSLATE(G3210, ""en"", ""te""),"""")"),"")</f>
        <v/>
      </c>
      <c r="I3210" s="3"/>
    </row>
    <row r="3211" customHeight="1" spans="1:9">
      <c r="A3211" s="2"/>
      <c r="B3211" s="2" t="str">
        <f>IFERROR(__xludf.DUMMYFUNCTION("IF(A3211&lt;&gt;"""", GOOGLETRANSLATE(A3211, ""en"", ""te""),"""")"),"")</f>
        <v/>
      </c>
      <c r="C3211" s="2"/>
      <c r="D3211" s="2" t="str">
        <f>IFERROR(__xludf.DUMMYFUNCTION("IF(C3211&lt;&gt;"""", GOOGLETRANSLATE(C3211, ""en"", ""te""),"""")"),"")</f>
        <v/>
      </c>
      <c r="E3211" s="2"/>
      <c r="F3211" s="2" t="str">
        <f>IFERROR(__xludf.DUMMYFUNCTION("IF(E3211&lt;&gt;"""", GOOGLETRANSLATE(E3211, ""en"", ""te""),"""")"),"")</f>
        <v/>
      </c>
      <c r="G3211" s="2"/>
      <c r="H3211" s="2" t="str">
        <f>IFERROR(__xludf.DUMMYFUNCTION("IF(G3211&lt;&gt;"""", GOOGLETRANSLATE(G3211, ""en"", ""te""),"""")"),"")</f>
        <v/>
      </c>
      <c r="I3211" s="3"/>
    </row>
    <row r="3212" customHeight="1" spans="1:9">
      <c r="A3212" s="2"/>
      <c r="B3212" s="2" t="str">
        <f>IFERROR(__xludf.DUMMYFUNCTION("IF(A3212&lt;&gt;"""", GOOGLETRANSLATE(A3212, ""en"", ""te""),"""")"),"")</f>
        <v/>
      </c>
      <c r="C3212" s="2"/>
      <c r="D3212" s="2" t="str">
        <f>IFERROR(__xludf.DUMMYFUNCTION("IF(C3212&lt;&gt;"""", GOOGLETRANSLATE(C3212, ""en"", ""te""),"""")"),"")</f>
        <v/>
      </c>
      <c r="E3212" s="2"/>
      <c r="F3212" s="2" t="str">
        <f>IFERROR(__xludf.DUMMYFUNCTION("IF(E3212&lt;&gt;"""", GOOGLETRANSLATE(E3212, ""en"", ""te""),"""")"),"")</f>
        <v/>
      </c>
      <c r="G3212" s="2"/>
      <c r="H3212" s="2" t="str">
        <f>IFERROR(__xludf.DUMMYFUNCTION("IF(G3212&lt;&gt;"""", GOOGLETRANSLATE(G3212, ""en"", ""te""),"""")"),"")</f>
        <v/>
      </c>
      <c r="I3212" s="3"/>
    </row>
    <row r="3213" customHeight="1" spans="1:9">
      <c r="A3213" s="2"/>
      <c r="B3213" s="2" t="str">
        <f>IFERROR(__xludf.DUMMYFUNCTION("IF(A3213&lt;&gt;"""", GOOGLETRANSLATE(A3213, ""en"", ""te""),"""")"),"")</f>
        <v/>
      </c>
      <c r="C3213" s="2"/>
      <c r="D3213" s="2" t="str">
        <f>IFERROR(__xludf.DUMMYFUNCTION("IF(C3213&lt;&gt;"""", GOOGLETRANSLATE(C3213, ""en"", ""te""),"""")"),"")</f>
        <v/>
      </c>
      <c r="E3213" s="2"/>
      <c r="F3213" s="2" t="str">
        <f>IFERROR(__xludf.DUMMYFUNCTION("IF(E3213&lt;&gt;"""", GOOGLETRANSLATE(E3213, ""en"", ""te""),"""")"),"")</f>
        <v/>
      </c>
      <c r="G3213" s="2"/>
      <c r="H3213" s="2" t="str">
        <f>IFERROR(__xludf.DUMMYFUNCTION("IF(G3213&lt;&gt;"""", GOOGLETRANSLATE(G3213, ""en"", ""te""),"""")"),"")</f>
        <v/>
      </c>
      <c r="I3213" s="3"/>
    </row>
    <row r="3214" customHeight="1" spans="1:9">
      <c r="A3214" s="2"/>
      <c r="B3214" s="2" t="str">
        <f>IFERROR(__xludf.DUMMYFUNCTION("IF(A3214&lt;&gt;"""", GOOGLETRANSLATE(A3214, ""en"", ""te""),"""")"),"")</f>
        <v/>
      </c>
      <c r="C3214" s="2"/>
      <c r="D3214" s="2" t="str">
        <f>IFERROR(__xludf.DUMMYFUNCTION("IF(C3214&lt;&gt;"""", GOOGLETRANSLATE(C3214, ""en"", ""te""),"""")"),"")</f>
        <v/>
      </c>
      <c r="E3214" s="2"/>
      <c r="F3214" s="2" t="str">
        <f>IFERROR(__xludf.DUMMYFUNCTION("IF(E3214&lt;&gt;"""", GOOGLETRANSLATE(E3214, ""en"", ""te""),"""")"),"")</f>
        <v/>
      </c>
      <c r="G3214" s="2"/>
      <c r="H3214" s="2" t="str">
        <f>IFERROR(__xludf.DUMMYFUNCTION("IF(G3214&lt;&gt;"""", GOOGLETRANSLATE(G3214, ""en"", ""te""),"""")"),"")</f>
        <v/>
      </c>
      <c r="I3214" s="3"/>
    </row>
    <row r="3215" customHeight="1" spans="1:9">
      <c r="A3215" s="2"/>
      <c r="B3215" s="2" t="str">
        <f>IFERROR(__xludf.DUMMYFUNCTION("IF(A3215&lt;&gt;"""", GOOGLETRANSLATE(A3215, ""en"", ""te""),"""")"),"")</f>
        <v/>
      </c>
      <c r="C3215" s="2"/>
      <c r="D3215" s="2" t="str">
        <f>IFERROR(__xludf.DUMMYFUNCTION("IF(C3215&lt;&gt;"""", GOOGLETRANSLATE(C3215, ""en"", ""te""),"""")"),"")</f>
        <v/>
      </c>
      <c r="E3215" s="2"/>
      <c r="F3215" s="2" t="str">
        <f>IFERROR(__xludf.DUMMYFUNCTION("IF(E3215&lt;&gt;"""", GOOGLETRANSLATE(E3215, ""en"", ""te""),"""")"),"")</f>
        <v/>
      </c>
      <c r="G3215" s="2"/>
      <c r="H3215" s="2" t="str">
        <f>IFERROR(__xludf.DUMMYFUNCTION("IF(G3215&lt;&gt;"""", GOOGLETRANSLATE(G3215, ""en"", ""te""),"""")"),"")</f>
        <v/>
      </c>
      <c r="I3215" s="3"/>
    </row>
    <row r="3216" customHeight="1" spans="1:9">
      <c r="A3216" s="2"/>
      <c r="B3216" s="2" t="str">
        <f>IFERROR(__xludf.DUMMYFUNCTION("IF(A3216&lt;&gt;"""", GOOGLETRANSLATE(A3216, ""en"", ""te""),"""")"),"")</f>
        <v/>
      </c>
      <c r="C3216" s="2"/>
      <c r="D3216" s="2" t="str">
        <f>IFERROR(__xludf.DUMMYFUNCTION("IF(C3216&lt;&gt;"""", GOOGLETRANSLATE(C3216, ""en"", ""te""),"""")"),"")</f>
        <v/>
      </c>
      <c r="E3216" s="2"/>
      <c r="F3216" s="2" t="str">
        <f>IFERROR(__xludf.DUMMYFUNCTION("IF(E3216&lt;&gt;"""", GOOGLETRANSLATE(E3216, ""en"", ""te""),"""")"),"")</f>
        <v/>
      </c>
      <c r="G3216" s="2"/>
      <c r="H3216" s="2" t="str">
        <f>IFERROR(__xludf.DUMMYFUNCTION("IF(G3216&lt;&gt;"""", GOOGLETRANSLATE(G3216, ""en"", ""te""),"""")"),"")</f>
        <v/>
      </c>
      <c r="I3216" s="3"/>
    </row>
    <row r="3217" customHeight="1" spans="1:9">
      <c r="A3217" s="2"/>
      <c r="B3217" s="2" t="str">
        <f>IFERROR(__xludf.DUMMYFUNCTION("IF(A3217&lt;&gt;"""", GOOGLETRANSLATE(A3217, ""en"", ""te""),"""")"),"")</f>
        <v/>
      </c>
      <c r="C3217" s="2"/>
      <c r="D3217" s="2" t="str">
        <f>IFERROR(__xludf.DUMMYFUNCTION("IF(C3217&lt;&gt;"""", GOOGLETRANSLATE(C3217, ""en"", ""te""),"""")"),"")</f>
        <v/>
      </c>
      <c r="E3217" s="2"/>
      <c r="F3217" s="2" t="str">
        <f>IFERROR(__xludf.DUMMYFUNCTION("IF(E3217&lt;&gt;"""", GOOGLETRANSLATE(E3217, ""en"", ""te""),"""")"),"")</f>
        <v/>
      </c>
      <c r="G3217" s="2"/>
      <c r="H3217" s="2" t="str">
        <f>IFERROR(__xludf.DUMMYFUNCTION("IF(G3217&lt;&gt;"""", GOOGLETRANSLATE(G3217, ""en"", ""te""),"""")"),"")</f>
        <v/>
      </c>
      <c r="I3217" s="3"/>
    </row>
    <row r="3218" customHeight="1" spans="1:9">
      <c r="A3218" s="2"/>
      <c r="B3218" s="2" t="str">
        <f>IFERROR(__xludf.DUMMYFUNCTION("IF(A3218&lt;&gt;"""", GOOGLETRANSLATE(A3218, ""en"", ""te""),"""")"),"")</f>
        <v/>
      </c>
      <c r="C3218" s="2" t="s">
        <v>2257</v>
      </c>
      <c r="D3218" s="2" t="str">
        <f>IFERROR(__xludf.DUMMYFUNCTION("IF(C3218&lt;&gt;"""", GOOGLETRANSLATE(C3218, ""en"", ""te""),"""")"),"[ 'కెరీర్లో 22 వ బాతులు నో (21)']")</f>
        <v>[ 'కెరీర్లో 22 వ బాతులు నో (21)']</v>
      </c>
      <c r="E3218" s="2"/>
      <c r="F3218" s="2" t="str">
        <f>IFERROR(__xludf.DUMMYFUNCTION("IF(E3218&lt;&gt;"""", GOOGLETRANSLATE(E3218, ""en"", ""te""),"""")"),"")</f>
        <v/>
      </c>
      <c r="G3218" s="2"/>
      <c r="H3218" s="2" t="str">
        <f>IFERROR(__xludf.DUMMYFUNCTION("IF(G3218&lt;&gt;"""", GOOGLETRANSLATE(G3218, ""en"", ""te""),"""")"),"")</f>
        <v/>
      </c>
      <c r="I3218" s="3"/>
    </row>
    <row r="3219" customHeight="1" spans="1:9">
      <c r="A3219" s="2"/>
      <c r="B3219" s="2" t="str">
        <f>IFERROR(__xludf.DUMMYFUNCTION("IF(A3219&lt;&gt;"""", GOOGLETRANSLATE(A3219, ""en"", ""te""),"""")"),"")</f>
        <v/>
      </c>
      <c r="C3219" s="2"/>
      <c r="D3219" s="2" t="str">
        <f>IFERROR(__xludf.DUMMYFUNCTION("IF(C3219&lt;&gt;"""", GOOGLETRANSLATE(C3219, ""en"", ""te""),"""")"),"")</f>
        <v/>
      </c>
      <c r="E3219" s="2"/>
      <c r="F3219" s="2" t="str">
        <f>IFERROR(__xludf.DUMMYFUNCTION("IF(E3219&lt;&gt;"""", GOOGLETRANSLATE(E3219, ""en"", ""te""),"""")"),"")</f>
        <v/>
      </c>
      <c r="G3219" s="2"/>
      <c r="H3219" s="2" t="str">
        <f>IFERROR(__xludf.DUMMYFUNCTION("IF(G3219&lt;&gt;"""", GOOGLETRANSLATE(G3219, ""en"", ""te""),"""")"),"")</f>
        <v/>
      </c>
      <c r="I3219" s="3"/>
    </row>
    <row r="3220" customHeight="1" spans="1:9">
      <c r="A3220" s="2"/>
      <c r="B3220" s="2" t="str">
        <f>IFERROR(__xludf.DUMMYFUNCTION("IF(A3220&lt;&gt;"""", GOOGLETRANSLATE(A3220, ""en"", ""te""),"""")"),"")</f>
        <v/>
      </c>
      <c r="C3220" s="2"/>
      <c r="D3220" s="2" t="str">
        <f>IFERROR(__xludf.DUMMYFUNCTION("IF(C3220&lt;&gt;"""", GOOGLETRANSLATE(C3220, ""en"", ""te""),"""")"),"")</f>
        <v/>
      </c>
      <c r="E3220" s="2"/>
      <c r="F3220" s="2" t="str">
        <f>IFERROR(__xludf.DUMMYFUNCTION("IF(E3220&lt;&gt;"""", GOOGLETRANSLATE(E3220, ""en"", ""te""),"""")"),"")</f>
        <v/>
      </c>
      <c r="G3220" s="2"/>
      <c r="H3220" s="2" t="str">
        <f>IFERROR(__xludf.DUMMYFUNCTION("IF(G3220&lt;&gt;"""", GOOGLETRANSLATE(G3220, ""en"", ""te""),"""")"),"")</f>
        <v/>
      </c>
      <c r="I3220" s="3"/>
    </row>
    <row r="3221" customHeight="1" spans="1:9">
      <c r="A3221" s="2"/>
      <c r="B3221" s="2" t="str">
        <f>IFERROR(__xludf.DUMMYFUNCTION("IF(A3221&lt;&gt;"""", GOOGLETRANSLATE(A3221, ""en"", ""te""),"""")"),"")</f>
        <v/>
      </c>
      <c r="C3221" s="2"/>
      <c r="D3221" s="2" t="str">
        <f>IFERROR(__xludf.DUMMYFUNCTION("IF(C3221&lt;&gt;"""", GOOGLETRANSLATE(C3221, ""en"", ""te""),"""")"),"")</f>
        <v/>
      </c>
      <c r="E3221" s="2"/>
      <c r="F3221" s="2" t="str">
        <f>IFERROR(__xludf.DUMMYFUNCTION("IF(E3221&lt;&gt;"""", GOOGLETRANSLATE(E3221, ""en"", ""te""),"""")"),"")</f>
        <v/>
      </c>
      <c r="G3221" s="2"/>
      <c r="H3221" s="2" t="str">
        <f>IFERROR(__xludf.DUMMYFUNCTION("IF(G3221&lt;&gt;"""", GOOGLETRANSLATE(G3221, ""en"", ""te""),"""")"),"")</f>
        <v/>
      </c>
      <c r="I3221" s="3"/>
    </row>
    <row r="3222" customHeight="1" spans="1:9">
      <c r="A3222" s="2"/>
      <c r="B3222" s="2" t="str">
        <f>IFERROR(__xludf.DUMMYFUNCTION("IF(A3222&lt;&gt;"""", GOOGLETRANSLATE(A3222, ""en"", ""te""),"""")"),"")</f>
        <v/>
      </c>
      <c r="C3222" s="2" t="s">
        <v>2258</v>
      </c>
      <c r="D3222" s="2" t="str">
        <f>IFERROR(__xludf.DUMMYFUNCTION("IF(C3222&lt;&gt;"""", GOOGLETRANSLATE(C3222, ""en"", ""te""),"""")"),"[ '27 కెరీర్ బాతులు (19)', '48 వ కెరీర్ లో అత్యధిక వికెట్లు (248)', '24th ఒక ఇన్నింగ్స్ లోని బెస్ట్ ఫిగర్స్ ఉన్నప్పుడు పరాజయం వైపు (7)', '44 వ కెరీర్ లో సాధించిన అత్యధిక పరుగులు (7564) ',' 22 వ అత్యధిక వికెట్లు 200 వికెట్లు (52) తీసుకున్న ఎల్బిడబ్ల్యు (6"&amp;"5) ',' 47 వ వేగవంతమైన ']")</f>
        <v>[ '27 కెరీర్ బాతులు (19)', '48 వ కెరీర్ లో అత్యధిక వికెట్లు (248)', '24th ఒక ఇన్నింగ్స్ లోని బెస్ట్ ఫిగర్స్ ఉన్నప్పుడు పరాజయం వైపు (7)', '44 వ కెరీర్ లో సాధించిన అత్యధిక పరుగులు (7564) ',' 22 వ అత్యధిక వికెట్లు 200 వికెట్లు (52) తీసుకున్న ఎల్బిడబ్ల్యు (65) ',' 47 వ వేగవంతమైన ']</v>
      </c>
      <c r="E3222" s="2"/>
      <c r="F3222" s="2" t="str">
        <f>IFERROR(__xludf.DUMMYFUNCTION("IF(E3222&lt;&gt;"""", GOOGLETRANSLATE(E3222, ""en"", ""te""),"""")"),"")</f>
        <v/>
      </c>
      <c r="G3222" s="2"/>
      <c r="H3222" s="2" t="str">
        <f>IFERROR(__xludf.DUMMYFUNCTION("IF(G3222&lt;&gt;"""", GOOGLETRANSLATE(G3222, ""en"", ""te""),"""")"),"")</f>
        <v/>
      </c>
      <c r="I3222" s="3"/>
    </row>
    <row r="3223" customHeight="1" spans="1:9">
      <c r="A3223" s="2"/>
      <c r="B3223" s="2" t="str">
        <f>IFERROR(__xludf.DUMMYFUNCTION("IF(A3223&lt;&gt;"""", GOOGLETRANSLATE(A3223, ""en"", ""te""),"""")"),"")</f>
        <v/>
      </c>
      <c r="C3223" s="2"/>
      <c r="D3223" s="2" t="str">
        <f>IFERROR(__xludf.DUMMYFUNCTION("IF(C3223&lt;&gt;"""", GOOGLETRANSLATE(C3223, ""en"", ""te""),"""")"),"")</f>
        <v/>
      </c>
      <c r="E3223" s="2"/>
      <c r="F3223" s="2" t="str">
        <f>IFERROR(__xludf.DUMMYFUNCTION("IF(E3223&lt;&gt;"""", GOOGLETRANSLATE(E3223, ""en"", ""te""),"""")"),"")</f>
        <v/>
      </c>
      <c r="G3223" s="2"/>
      <c r="H3223" s="2" t="str">
        <f>IFERROR(__xludf.DUMMYFUNCTION("IF(G3223&lt;&gt;"""", GOOGLETRANSLATE(G3223, ""en"", ""te""),"""")"),"")</f>
        <v/>
      </c>
      <c r="I3223" s="3"/>
    </row>
    <row r="3224" customHeight="1" spans="1:9">
      <c r="A3224" s="2"/>
      <c r="B3224" s="2" t="str">
        <f>IFERROR(__xludf.DUMMYFUNCTION("IF(A3224&lt;&gt;"""", GOOGLETRANSLATE(A3224, ""en"", ""te""),"""")"),"")</f>
        <v/>
      </c>
      <c r="C3224" s="2" t="s">
        <v>2259</v>
      </c>
      <c r="D3224" s="2" t="str">
        <f>IFERROR(__xludf.DUMMYFUNCTION("IF(C3224&lt;&gt;"""", GOOGLETRANSLATE(C3224, ""en"", ""te""),"""")"),"[40 వ ఓల్డెస్ట్ క్రీడాకారులు (42y 121d) ',' 50th లాంగెస్ట్ వ్యవధిలో ప్రదర్శనల మధ్య (8y 211d) ']")</f>
        <v>[40 వ ఓల్డెస్ట్ క్రీడాకారులు (42y 121d) ',' 50th లాంగెస్ట్ వ్యవధిలో ప్రదర్శనల మధ్య (8y 211d) ']</v>
      </c>
      <c r="E3224" s="2"/>
      <c r="F3224" s="2" t="str">
        <f>IFERROR(__xludf.DUMMYFUNCTION("IF(E3224&lt;&gt;"""", GOOGLETRANSLATE(E3224, ""en"", ""te""),"""")"),"")</f>
        <v/>
      </c>
      <c r="G3224" s="2"/>
      <c r="H3224" s="2" t="str">
        <f>IFERROR(__xludf.DUMMYFUNCTION("IF(G3224&lt;&gt;"""", GOOGLETRANSLATE(G3224, ""en"", ""te""),"""")"),"")</f>
        <v/>
      </c>
      <c r="I3224" s="3"/>
    </row>
    <row r="3225" customHeight="1" spans="1:9">
      <c r="A3225" s="2"/>
      <c r="B3225" s="2" t="str">
        <f>IFERROR(__xludf.DUMMYFUNCTION("IF(A3225&lt;&gt;"""", GOOGLETRANSLATE(A3225, ""en"", ""te""),"""")"),"")</f>
        <v/>
      </c>
      <c r="C3225" s="2"/>
      <c r="D3225" s="2" t="str">
        <f>IFERROR(__xludf.DUMMYFUNCTION("IF(C3225&lt;&gt;"""", GOOGLETRANSLATE(C3225, ""en"", ""te""),"""")"),"")</f>
        <v/>
      </c>
      <c r="E3225" s="2"/>
      <c r="F3225" s="2" t="str">
        <f>IFERROR(__xludf.DUMMYFUNCTION("IF(E3225&lt;&gt;"""", GOOGLETRANSLATE(E3225, ""en"", ""te""),"""")"),"")</f>
        <v/>
      </c>
      <c r="G3225" s="2"/>
      <c r="H3225" s="2" t="str">
        <f>IFERROR(__xludf.DUMMYFUNCTION("IF(G3225&lt;&gt;"""", GOOGLETRANSLATE(G3225, ""en"", ""te""),"""")"),"")</f>
        <v/>
      </c>
      <c r="I3225" s="3"/>
    </row>
    <row r="3226" customHeight="1" spans="1:9">
      <c r="A3226" s="2" t="s">
        <v>2260</v>
      </c>
      <c r="B3226" s="2" t="str">
        <f>IFERROR(__xludf.DUMMYFUNCTION("IF(A3226&lt;&gt;"""", GOOGLETRANSLATE(A3226, ""en"", ""te""),"""")"),"[ '(5) అరంగేట్రంలోనే ఇన్నింగ్స్లో 2 వ బెస్ట్ ఫిగర్స్', 'ఐదు వికెట్ల లో-ఒక-ఇన్నింగ్స్ తీసుకోవాలని 2nd పిన్న వయస్కుడిగా నిలిచాడు (15y 178d)' '10 వ ఉత్తమ కెరీర్ బౌలింగ్ సరాసరి (16.30)',]")</f>
        <v>[ '(5) అరంగేట్రంలోనే ఇన్నింగ్స్లో 2 వ బెస్ట్ ఫిగర్స్', 'ఐదు వికెట్ల లో-ఒక-ఇన్నింగ్స్ తీసుకోవాలని 2nd పిన్న వయస్కుడిగా నిలిచాడు (15y 178d)' '10 వ ఉత్తమ కెరీర్ బౌలింగ్ సరాసరి (16.30)',]</v>
      </c>
      <c r="C3226" s="2" t="s">
        <v>2261</v>
      </c>
      <c r="D3226" s="2" t="str">
        <f>IFERROR(__xludf.DUMMYFUNCTION("IF(C3226&lt;&gt;"""", GOOGLETRANSLATE(C3226, ""en"", ""te""),"""")"),"[ 'సగటు (35.63) బౌలింగ్ 20 చెత్త జీవితం' '31 చెత్త కెరీర్లో సమ్మె రేటు (93.2)', 18 వ పిన్న క్రీడాకారులు ( 'అయిదు వికెట్లు-ఇన్-ఒక-ఇన్నింగ్స్ (21y 303d) పడుతుంది 12 వ పిన్న ఆటగాడు', '17y 153d) ',' 17 వ వరుస మ్యాచ్లు (ప్రదర్శనల మధ్య ఒక జట్టు 5 దూరమయ్యాడు) ']")</f>
        <v>[ 'సగటు (35.63) బౌలింగ్ 20 చెత్త జీవితం' '31 చెత్త కెరీర్లో సమ్మె రేటు (93.2)', 18 వ పిన్న క్రీడాకారులు ( 'అయిదు వికెట్లు-ఇన్-ఒక-ఇన్నింగ్స్ (21y 303d) పడుతుంది 12 వ పిన్న ఆటగాడు', '17y 153d) ',' 17 వ వరుస మ్యాచ్లు (ప్రదర్శనల మధ్య ఒక జట్టు 5 దూరమయ్యాడు) ']</v>
      </c>
      <c r="E3226" s="2" t="s">
        <v>2262</v>
      </c>
      <c r="F3226" s="2" t="str">
        <f>IFERROR(__xludf.DUMMYFUNCTION("IF(E3226&lt;&gt;"""", GOOGLETRANSLATE(E3226, ""en"", ""te""),"""")"),"[ '28 ఒక ఇన్నింగ్స్ లోని బెస్ట్ ఫిగర్స్ (5/12)', 'ఇన్నింగ్స్ లో 11 వ అత్యుత్తమ బౌలింగ్ విశ్లేషణలు (4/5)', '49 వ ఉత్తమ కెరీర్ ఎకానమీ రేట్' 10 వ సగటు (16.30) బౌలింగ్ ఉత్తమ కెరీర్లో '(2.96) ',' 19 వ ఉత్తమ కెరీర్ సమ్మె రేటు (32.9) ',' ఇన్నింగ్స్ లో 21 వ ఉత్తమ"&amp;" సమ్మె రేటు (7.5) ',' తొలి ఇన్నింగ్స్లో 2 వ బెస్ట్ ఫిగర్స్ (5) ',' 25 వ అత్యంత నాలుగు వికెట్లు-ఇన్-ఒక ఒక వృత్తిలో -innings (4) ',' ఐదు వికెట్ల లో-ఒక-ఇన్నింగ్స్ తీసుకోవాలని 2nd పిన్న వయస్కుడిగా నిలిచాడు (15y 178d) ',' 16 వ పిన్న క్రీడాకారులు (15y 178d) ']")</f>
        <v>[ '28 ఒక ఇన్నింగ్స్ లోని బెస్ట్ ఫిగర్స్ (5/12)', 'ఇన్నింగ్స్ లో 11 వ అత్యుత్తమ బౌలింగ్ విశ్లేషణలు (4/5)', '49 వ ఉత్తమ కెరీర్ ఎకానమీ రేట్' 10 వ సగటు (16.30) బౌలింగ్ ఉత్తమ కెరీర్లో '(2.96) ',' 19 వ ఉత్తమ కెరీర్ సమ్మె రేటు (32.9) ',' ఇన్నింగ్స్ లో 21 వ ఉత్తమ సమ్మె రేటు (7.5) ',' తొలి ఇన్నింగ్స్లో 2 వ బెస్ట్ ఫిగర్స్ (5) ',' 25 వ అత్యంత నాలుగు వికెట్లు-ఇన్-ఒక ఒక వృత్తిలో -innings (4) ',' ఐదు వికెట్ల లో-ఒక-ఇన్నింగ్స్ తీసుకోవాలని 2nd పిన్న వయస్కుడిగా నిలిచాడు (15y 178d) ',' 16 వ పిన్న క్రీడాకారులు (15y 178d) ']</v>
      </c>
      <c r="G3226" s="2"/>
      <c r="H3226" s="2" t="str">
        <f>IFERROR(__xludf.DUMMYFUNCTION("IF(G3226&lt;&gt;"""", GOOGLETRANSLATE(G3226, ""en"", ""te""),"""")"),"")</f>
        <v/>
      </c>
      <c r="I3226" s="3"/>
    </row>
    <row r="3227" customHeight="1" spans="1:9">
      <c r="A3227" s="2"/>
      <c r="B3227" s="2" t="str">
        <f>IFERROR(__xludf.DUMMYFUNCTION("IF(A3227&lt;&gt;"""", GOOGLETRANSLATE(A3227, ""en"", ""te""),"""")"),"")</f>
        <v/>
      </c>
      <c r="C3227" s="2"/>
      <c r="D3227" s="2" t="str">
        <f>IFERROR(__xludf.DUMMYFUNCTION("IF(C3227&lt;&gt;"""", GOOGLETRANSLATE(C3227, ""en"", ""te""),"""")"),"")</f>
        <v/>
      </c>
      <c r="E3227" s="2"/>
      <c r="F3227" s="2" t="str">
        <f>IFERROR(__xludf.DUMMYFUNCTION("IF(E3227&lt;&gt;"""", GOOGLETRANSLATE(E3227, ""en"", ""te""),"""")"),"")</f>
        <v/>
      </c>
      <c r="G3227" s="2"/>
      <c r="H3227" s="2" t="str">
        <f>IFERROR(__xludf.DUMMYFUNCTION("IF(G3227&lt;&gt;"""", GOOGLETRANSLATE(G3227, ""en"", ""te""),"""")"),"")</f>
        <v/>
      </c>
      <c r="I3227" s="3"/>
    </row>
    <row r="3228" customHeight="1" spans="1:9">
      <c r="A3228" s="2"/>
      <c r="B3228" s="2" t="str">
        <f>IFERROR(__xludf.DUMMYFUNCTION("IF(A3228&lt;&gt;"""", GOOGLETRANSLATE(A3228, ""en"", ""te""),"""")"),"")</f>
        <v/>
      </c>
      <c r="C3228" s="2"/>
      <c r="D3228" s="2" t="str">
        <f>IFERROR(__xludf.DUMMYFUNCTION("IF(C3228&lt;&gt;"""", GOOGLETRANSLATE(C3228, ""en"", ""te""),"""")"),"")</f>
        <v/>
      </c>
      <c r="E3228" s="2"/>
      <c r="F3228" s="2" t="str">
        <f>IFERROR(__xludf.DUMMYFUNCTION("IF(E3228&lt;&gt;"""", GOOGLETRANSLATE(E3228, ""en"", ""te""),"""")"),"")</f>
        <v/>
      </c>
      <c r="G3228" s="2"/>
      <c r="H3228" s="2" t="str">
        <f>IFERROR(__xludf.DUMMYFUNCTION("IF(G3228&lt;&gt;"""", GOOGLETRANSLATE(G3228, ""en"", ""te""),"""")"),"")</f>
        <v/>
      </c>
      <c r="I3228" s="3"/>
    </row>
    <row r="3229" customHeight="1" spans="1:9">
      <c r="A3229" s="2"/>
      <c r="B3229" s="2" t="str">
        <f>IFERROR(__xludf.DUMMYFUNCTION("IF(A3229&lt;&gt;"""", GOOGLETRANSLATE(A3229, ""en"", ""te""),"""")"),"")</f>
        <v/>
      </c>
      <c r="C3229" s="2"/>
      <c r="D3229" s="2" t="str">
        <f>IFERROR(__xludf.DUMMYFUNCTION("IF(C3229&lt;&gt;"""", GOOGLETRANSLATE(C3229, ""en"", ""te""),"""")"),"")</f>
        <v/>
      </c>
      <c r="E3229" s="2"/>
      <c r="F3229" s="2" t="str">
        <f>IFERROR(__xludf.DUMMYFUNCTION("IF(E3229&lt;&gt;"""", GOOGLETRANSLATE(E3229, ""en"", ""te""),"""")"),"")</f>
        <v/>
      </c>
      <c r="G3229" s="2"/>
      <c r="H3229" s="2" t="str">
        <f>IFERROR(__xludf.DUMMYFUNCTION("IF(G3229&lt;&gt;"""", GOOGLETRANSLATE(G3229, ""en"", ""te""),"""")"),"")</f>
        <v/>
      </c>
      <c r="I3229" s="3"/>
    </row>
    <row r="3230" customHeight="1" spans="1:9">
      <c r="A3230" s="2" t="s">
        <v>2263</v>
      </c>
      <c r="B3230" s="2" t="str">
        <f>IFERROR(__xludf.DUMMYFUNCTION("IF(A3230&lt;&gt;"""", GOOGLETRANSLATE(A3230, ""en"", ""te""),"""")"),"[ 'జట్టు 5 వ వరుస మ్యాచ్లు (18)', 'ఒక కెప్టెన్ ద్వారా ఒక సిరీస్లో 4 అత్యధిక పరుగులు (318)', '10th ఒక వృత్తిలో అత్యధిక వందలు (2)', '1 వ కెరీర్ తొంభైల (2) ',' వరుస మ్యాచ్లలో 3 వ యాభైల్లో (4) ',' 8 వ అత్యంత ఇన్నింగ్స్ తొలి డక్ (13) ',' 1st చాలా క్యాలెండర్ "&amp;"ఏడాది (2) లో వరుస క్యాచ్లు (12) ',' 5 వ అత్యధిక వందలు ముందు ', '1 వ అత్యుత్తమ బౌలింగ్ ఇన్నింగ్స్ లో విశ్లేషించడం (1/0)', ​​'7 వ ఉత్తమ కెరీర్ బౌలింగ్ సరాసరి (15.06)', 'ఇన్నింగ్స్ లో 4 వ అత్యధిక క్యాచ్లు (3)', '250 పరుగులు మరియు ఒక సిరీస్లో 10 వికెట్లు']")</f>
        <v>[ 'జట్టు 5 వ వరుస మ్యాచ్లు (18)', 'ఒక కెప్టెన్ ద్వారా ఒక సిరీస్లో 4 అత్యధిక పరుగులు (318)', '10th ఒక వృత్తిలో అత్యధిక వందలు (2)', '1 వ కెరీర్ తొంభైల (2) ',' వరుస మ్యాచ్లలో 3 వ యాభైల్లో (4) ',' 8 వ అత్యంత ఇన్నింగ్స్ తొలి డక్ (13) ',' 1st చాలా క్యాలెండర్ ఏడాది (2) లో వరుస క్యాచ్లు (12) ',' 5 వ అత్యధిక వందలు ముందు ', '1 వ అత్యుత్తమ బౌలింగ్ ఇన్నింగ్స్ లో విశ్లేషించడం (1/0)', ​​'7 వ ఉత్తమ కెరీర్ బౌలింగ్ సరాసరి (15.06)', 'ఇన్నింగ్స్ లో 4 వ అత్యధిక క్యాచ్లు (3)', '250 పరుగులు మరియు ఒక సిరీస్లో 10 వికెట్లు']</v>
      </c>
      <c r="C3230" s="2" t="s">
        <v>2264</v>
      </c>
      <c r="D3230" s="2" t="str">
        <f>IFERROR(__xludf.DUMMYFUNCTION("IF(C3230&lt;&gt;"""", GOOGLETRANSLATE(C3230, ""en"", ""te""),"""")"),"[ 'ఒక మ్యాచ్లో 24 వ అత్యధిక పరుగులు (173)' 'వరుస 20 వ అత్యధిక పరుగులు (318)' 'కెరీర్లో 5 వ అత్యధిక పరుగులు (1164)', '18 వ ఇన్నింగ్స్ (158 *) లో అత్యధిక పరుగులు', ' ఒక క్యాలెండర్ సంవత్సరంలో 23 వ అత్యధిక పరుగులు (318) ',' పరాజయం వైపు ఒక మ్యాచ్లో ఇన్నింగ్స్"&amp;" లో 6 వ అత్యధిక పరుగులు (బ్యాటింగ్ స్థానంలో ప్రకారం) (158 *) ',' 28th అత్యధిక పరుగులు (82) ',' 5 వ అత్యధిక పరుగులు ఒకే నేలపై (269) ',' ఒక కెప్టెన్ ద్వారా ఒక సిరీస్లో 4 అత్యధిక పరుగులు (318) ',' ఒక కెప్టెన్తో ఇన్నింగ్స్ లో 8 వ అత్యధిక పరుగులు (121 *) ',' "&amp;"25 వ అత్యధిక కెరీర్ బ్యాటింగ్ సగటు (40.13) ' '10th ఒక వృత్తిలో అత్యధిక వందలు (2)', '13 వ అత్యధిక తొలి వంద (158 *)', '1 వ అత్యంత తొంభైల కెరీర్లో (2)', '6 వ కెరీర్ అర్ధ (8)', '3 వ యాభైల్లో వరుస మ్యాచ్లు (4) ',' 8 వ అత్యంత ఇన్నింగ్స్ కెరీర్లో మొదటి డక్ (13"&amp;") ',' 28th అతి తక్కువ బాతులు ముందు (10.33) ',' 39 వ అత్యధిక వికెట్లు కెరీర్లో (23) ',' 22 వ ఉత్తమ కెరీర్ ఆర్థిక రేటు (1.59) ',' ఇన్నింగ్స్ లో 13 వ ఉత్తమ ఆర్థిక రేటు (0.46) ',' 17 వ చెత్త కెరీర్లో సమ్మె రేటు (111.1) ',' 16 వ కెరీర్ లో బౌల్డ్ చాలా బంతుల్లో "&amp;"(2556) ',' 18 వ అత్యధిక వికెట్లు ఆకర్షించింది (1 తీసుకున్న 6) ',' కెరీర్ లో 1 వ అత్యధిక క్యాచ్లు (25) ',' 1 వ ఇన్నింగ్స్ లో అత్యధిక క్యాచ్లు (3) ',' 1st ఒక మ్యాచ్లో అత్యధిక క్యాచ్లు (5) ',' 1st ఒక సిరీస్లో అత్యధిక క్యాచ్లు (12) ' , 'నాలుగవ వికెట్కు 23 అత్"&amp;"యధిక భాగస్వామ్యం (85)', '10 వ కెరీర్ లో అత్యధిక మ్యాచ్లు (18)', 'బృందం (18) 5 వ వరుస మ్యాచ్లు']")</f>
        <v>[ 'ఒక మ్యాచ్లో 24 వ అత్యధిక పరుగులు (173)' 'వరుస 20 వ అత్యధిక పరుగులు (318)' 'కెరీర్లో 5 వ అత్యధిక పరుగులు (1164)', '18 వ ఇన్నింగ్స్ (158 *) లో అత్యధిక పరుగులు', ' ఒక క్యాలెండర్ సంవత్సరంలో 23 వ అత్యధిక పరుగులు (318) ',' పరాజయం వైపు ఒక మ్యాచ్లో ఇన్నింగ్స్ లో 6 వ అత్యధిక పరుగులు (బ్యాటింగ్ స్థానంలో ప్రకారం) (158 *) ',' 28th అత్యధిక పరుగులు (82) ',' 5 వ అత్యధిక పరుగులు ఒకే నేలపై (269) ',' ఒక కెప్టెన్ ద్వారా ఒక సిరీస్లో 4 అత్యధిక పరుగులు (318) ',' ఒక కెప్టెన్తో ఇన్నింగ్స్ లో 8 వ అత్యధిక పరుగులు (121 *) ',' 25 వ అత్యధిక కెరీర్ బ్యాటింగ్ సగటు (40.13) ' '10th ఒక వృత్తిలో అత్యధిక వందలు (2)', '13 వ అత్యధిక తొలి వంద (158 *)', '1 వ అత్యంత తొంభైల కెరీర్లో (2)', '6 వ కెరీర్ అర్ధ (8)', '3 వ యాభైల్లో వరుస మ్యాచ్లు (4) ',' 8 వ అత్యంత ఇన్నింగ్స్ కెరీర్లో మొదటి డక్ (13) ',' 28th అతి తక్కువ బాతులు ముందు (10.33) ',' 39 వ అత్యధిక వికెట్లు కెరీర్లో (23) ',' 22 వ ఉత్తమ కెరీర్ ఆర్థిక రేటు (1.59) ',' ఇన్నింగ్స్ లో 13 వ ఉత్తమ ఆర్థిక రేటు (0.46) ',' 17 వ చెత్త కెరీర్లో సమ్మె రేటు (111.1) ',' 16 వ కెరీర్ లో బౌల్డ్ చాలా బంతుల్లో (2556) ',' 18 వ అత్యధిక వికెట్లు ఆకర్షించింది (1 తీసుకున్న 6) ',' కెరీర్ లో 1 వ అత్యధిక క్యాచ్లు (25) ',' 1 వ ఇన్నింగ్స్ లో అత్యధిక క్యాచ్లు (3) ',' 1st ఒక మ్యాచ్లో అత్యధిక క్యాచ్లు (5) ',' 1st ఒక సిరీస్లో అత్యధిక క్యాచ్లు (12) ' , 'నాలుగవ వికెట్కు 23 అత్యధిక భాగస్వామ్యం (85)', '10 వ కెరీర్ లో అత్యధిక మ్యాచ్లు (18)', 'బృందం (18) 5 వ వరుస మ్యాచ్లు']</v>
      </c>
      <c r="E3230" s="2" t="s">
        <v>2265</v>
      </c>
      <c r="F3230" s="2" t="str">
        <f>IFERROR(__xludf.DUMMYFUNCTION("IF(E3230&lt;&gt;"""", GOOGLETRANSLATE(E3230, ""en"", ""te""),"""")"),"[ '44 వ అత్యధిక కెరీర్ బ్యాటింగ్ సగటు (32.51)', '25 వ ఒక వృత్తిలో అత్యధిక వందలు (2)', '6 వ ఒక సిరీస్లో అత్యధిక సెంచరీలు (2)', '5 వ ఒక క్యాలెండర్ సంవత్సరంలో అత్యధిక వందలు (2)', ' 40 వ అత్యధిక తొలి వంద (113) ',' 13 వ అత్యంత వృద్ధ ఆటగాడు కెరీర్లో తొలి వంద (3"&amp;"3y 326d) ',' 42 వ అతి తక్కువ బాతులు స్కోర్ ',' 7 వ అత్యంత వృద్ధ ఆటగాడు వంద (328d 33y) స్కోర్ (19.5) ',' 1 వ అత్యుత్తమ ఇన్నింగ్స్ లో బౌలింగ్ విశ్లేషణలు (1/0) ',' 7 వ సగటు (15.06) ',' 14 వ ఉత్తమ కెరీర్ ఎకానమీ రేట్ బౌలింగ్ ఉత్తమ కెరీర్ (2.37) ',' ఇన్నింగ్స్ "&amp;"లో 18 వ ఉత్తమ సమ్మె రేటు (7.2) ',' 25 అత్యంత నాలుగు వికెట్లు-ఇన్-ఒక-ఇన్నింగ్స్ కెరీర్లో (4) ',' 16 వ అత్యధిక వికెట్లు ఆకర్షించింది తీసుకున్న మరియు ఒక ఇన్నింగ్స్ లో బౌల్డ్ (7) ',' 4 వ అత్యధిక క్యాచ్లు (3) ']")</f>
        <v>[ '44 వ అత్యధిక కెరీర్ బ్యాటింగ్ సగటు (32.51)', '25 వ ఒక వృత్తిలో అత్యధిక వందలు (2)', '6 వ ఒక సిరీస్లో అత్యధిక సెంచరీలు (2)', '5 వ ఒక క్యాలెండర్ సంవత్సరంలో అత్యధిక వందలు (2)', ' 40 వ అత్యధిక తొలి వంద (113) ',' 13 వ అత్యంత వృద్ధ ఆటగాడు కెరీర్లో తొలి వంద (33y 326d) ',' 42 వ అతి తక్కువ బాతులు స్కోర్ ',' 7 వ అత్యంత వృద్ధ ఆటగాడు వంద (328d 33y) స్కోర్ (19.5) ',' 1 వ అత్యుత్తమ ఇన్నింగ్స్ లో బౌలింగ్ విశ్లేషణలు (1/0) ',' 7 వ సగటు (15.06) ',' 14 వ ఉత్తమ కెరీర్ ఎకానమీ రేట్ బౌలింగ్ ఉత్తమ కెరీర్ (2.37) ',' ఇన్నింగ్స్ లో 18 వ ఉత్తమ సమ్మె రేటు (7.2) ',' 25 అత్యంత నాలుగు వికెట్లు-ఇన్-ఒక-ఇన్నింగ్స్ కెరీర్లో (4) ',' 16 వ అత్యధిక వికెట్లు ఆకర్షించింది తీసుకున్న మరియు ఒక ఇన్నింగ్స్ లో బౌల్డ్ (7) ',' 4 వ అత్యధిక క్యాచ్లు (3) ']</v>
      </c>
      <c r="G3230" s="2"/>
      <c r="H3230" s="2" t="str">
        <f>IFERROR(__xludf.DUMMYFUNCTION("IF(G3230&lt;&gt;"""", GOOGLETRANSLATE(G3230, ""en"", ""te""),"""")"),"")</f>
        <v/>
      </c>
      <c r="I3230" s="3"/>
    </row>
    <row r="3231" customHeight="1" spans="1:9">
      <c r="A3231" s="2"/>
      <c r="B3231" s="2" t="str">
        <f>IFERROR(__xludf.DUMMYFUNCTION("IF(A3231&lt;&gt;"""", GOOGLETRANSLATE(A3231, ""en"", ""te""),"""")"),"")</f>
        <v/>
      </c>
      <c r="C3231" s="2"/>
      <c r="D3231" s="2" t="str">
        <f>IFERROR(__xludf.DUMMYFUNCTION("IF(C3231&lt;&gt;"""", GOOGLETRANSLATE(C3231, ""en"", ""te""),"""")"),"")</f>
        <v/>
      </c>
      <c r="E3231" s="2"/>
      <c r="F3231" s="2" t="str">
        <f>IFERROR(__xludf.DUMMYFUNCTION("IF(E3231&lt;&gt;"""", GOOGLETRANSLATE(E3231, ""en"", ""te""),"""")"),"")</f>
        <v/>
      </c>
      <c r="G3231" s="2"/>
      <c r="H3231" s="2" t="str">
        <f>IFERROR(__xludf.DUMMYFUNCTION("IF(G3231&lt;&gt;"""", GOOGLETRANSLATE(G3231, ""en"", ""te""),"""")"),"")</f>
        <v/>
      </c>
      <c r="I3231" s="3"/>
    </row>
    <row r="3232" customHeight="1" spans="1:9">
      <c r="A3232" s="2" t="s">
        <v>2266</v>
      </c>
      <c r="B3232" s="2" t="str">
        <f>IFERROR(__xludf.DUMMYFUNCTION("IF(A3232&lt;&gt;"""", GOOGLETRANSLATE(A3232, ""en"", ""te""),"""")"),"[ '2nd అత్యంత ఇన్నింగ్స్ లో నడుస్తుంది (బ్యాటింగ్ స్థానం) (364)' '3 వ పిన్న ఆటగాడు ఒక ట్రిపుల్ సెంచరీ సాధించిన (22y 58d)', 'హండ్రెడ్ మరియు ఒక మ్యాచ్లో ఒక డక్', 'ఒక ఇన్నింగ్స్లో ద్వారా బ్యాట్ వాహక (156 *) ',' 1st అసాధారణ వికెట్లు (అడ్డుకోవడం) ',' 5 వ వేగవం"&amp;"తమైన 6000 పరుగులు (116) ',' 5000 పరుగులు మరియు 50 ఫీల్డింగ్ వికెట్లు ',' రెండవ వికెట్కు 5 వ అత్యధిక భాగస్వామ్యం (382) ']")</f>
        <v>[ '2nd అత్యంత ఇన్నింగ్స్ లో నడుస్తుంది (బ్యాటింగ్ స్థానం) (364)' '3 వ పిన్న ఆటగాడు ఒక ట్రిపుల్ సెంచరీ సాధించిన (22y 58d)', 'హండ్రెడ్ మరియు ఒక మ్యాచ్లో ఒక డక్', 'ఒక ఇన్నింగ్స్లో ద్వారా బ్యాట్ వాహక (156 *) ',' 1st అసాధారణ వికెట్లు (అడ్డుకోవడం) ',' 5 వ వేగవంతమైన 6000 పరుగులు (116) ',' 5000 పరుగులు మరియు 50 ఫీల్డింగ్ వికెట్లు ',' రెండవ వికెట్కు 5 వ అత్యధిక భాగస్వామ్యం (382) ']</v>
      </c>
      <c r="C3232" s="2" t="s">
        <v>2267</v>
      </c>
      <c r="D3232" s="2" t="str">
        <f>IFERROR(__xludf.DUMMYFUNCTION("IF(C3232&lt;&gt;"""", GOOGLETRANSLATE(C3232, ""en"", ""te""),"""")"),"[ 'ఇన్నింగ్స్ లో 7 వ అత్యధిక పరుగులు (ప్రగతిశీల రికార్డు హోల్డర్) (364)', 'ఇన్నింగ్స్ (364) లో 6 వ అత్యధిక పరుగులు' 'ఒక మ్యాచ్లో 11 వ అత్యధిక పరుగులు (364)', '42 వ ఒక సిరీస్లో అత్యధిక పరుగులు ( 677) ',' 2 వ అత్యంత ఇన్నింగ్స్ లో () (364) ',' 14 వ ఒకే మైదా"&amp;"నంలో అత్యధిక పరుగులు (1521) ',' 32 వ రోజుకు లో అత్యధిక పరుగులు (206) ',' 11 వ అత్యధిక పరుగులు నడుస్తుంది బ్యాటింగ్ స్థానంలో ద్వారా ఒక కెప్టెన్ ద్వారా ఒక సిరీస్లో (677) ',' 16 వ అత్యధిక కెరీర్ బ్యాటింగ్ సగటు (56.67) ',' 47 వ ఒక వృత్తిలో అత్యధిక వందలు (19) "&amp;"',' ఒక కెరీర్ లో 17 వ అత్యధిక డబుల్ సెంచరీలు (4) ',' చాలా 5 వ ఒక వృత్తిలో ట్రిపుల్ సెంచరీలు (1) ',' 11 వ పిన్న ఆటగాడు డబుల్ సెంచరీ (22y 58d) ',' 3 వ పిన్న ఆటగాడు ఒక ట్రిపుల్ సెంచరీ స్కోర్ (22y 58d) ',' 34 వ అతి తక్కువ బాతులు కెరీర్ లో (27.6) ' '36 వ ఇన్ని"&amp;"ంగ్స్ లో వచ్చిన ఎక్కువ ఫోర్లు (35)', '5 వ లాంగెస్ట్ వ్యక్తిగత ఇన్నింగ్స్ (నిమిషాలు) (797)', '1st లాంగెస్ట్ వ్యక్తిగత ఇన్నింగ్స్ (బంతులతో) (847)' ఒక పరుగులు, '29th అత్యధిక శాతం పూర్తి ఇన్నింగ్స్ (58.72) ',' 1st అసాధారణ తొలగింపులకు 1000 పరుగులు వేగంగా ',' 6"&amp;" వ (అడ్డుకోవడం) (16) ',' 27th 2000 r వేగంగా uns (42) ',' 12 వ 3000 పరుగులు వేగంగా (61) ',' 8 వ 4000 పరుగులు వేగంగా (77) ',' 10th 5000 పరుగులు (98) ',' ఫాస్టెస్ట్ 5 వ 6000 పరుగులు (116) 'కు వేగవంతమైన, 'ఏ వికెట్కు 23 వ ఎత్తైన పార్టనర్ షిప్ (382)', 'మొదటి "&amp;"వికెట్కు 7 వ అత్యధిక భాగస్వామ్యం (359)', 'రెండవ వికెట్కు 5 వ అత్యధిక భాగస్వామ్యం (382)', 'మూడో వికెట్ (264) కోసం 39 వ అత్యధిక భాగస్వామ్యం' 'ఆరవ వికెట్కు 35 వ అత్యధిక భాగస్వామ్యం (215)', '35 వ ఓల్డెస్ట్ కాప్టెన్ (38y 278d)', 'కెప్టెన్సీ తొలి 42 వ ఓల్డెస్ట్"&amp;" కాప్టెన్ (35y 348d)']")</f>
        <v>[ 'ఇన్నింగ్స్ లో 7 వ అత్యధిక పరుగులు (ప్రగతిశీల రికార్డు హోల్డర్) (364)', 'ఇన్నింగ్స్ (364) లో 6 వ అత్యధిక పరుగులు' 'ఒక మ్యాచ్లో 11 వ అత్యధిక పరుగులు (364)', '42 వ ఒక సిరీస్లో అత్యధిక పరుగులు ( 677) ',' 2 వ అత్యంత ఇన్నింగ్స్ లో () (364) ',' 14 వ ఒకే మైదానంలో అత్యధిక పరుగులు (1521) ',' 32 వ రోజుకు లో అత్యధిక పరుగులు (206) ',' 11 వ అత్యధిక పరుగులు నడుస్తుంది బ్యాటింగ్ స్థానంలో ద్వారా ఒక కెప్టెన్ ద్వారా ఒక సిరీస్లో (677) ',' 16 వ అత్యధిక కెరీర్ బ్యాటింగ్ సగటు (56.67) ',' 47 వ ఒక వృత్తిలో అత్యధిక వందలు (19) ',' ఒక కెరీర్ లో 17 వ అత్యధిక డబుల్ సెంచరీలు (4) ',' చాలా 5 వ ఒక వృత్తిలో ట్రిపుల్ సెంచరీలు (1) ',' 11 వ పిన్న ఆటగాడు డబుల్ సెంచరీ (22y 58d) ',' 3 వ పిన్న ఆటగాడు ఒక ట్రిపుల్ సెంచరీ స్కోర్ (22y 58d) ',' 34 వ అతి తక్కువ బాతులు కెరీర్ లో (27.6) ' '36 వ ఇన్నింగ్స్ లో వచ్చిన ఎక్కువ ఫోర్లు (35)', '5 వ లాంగెస్ట్ వ్యక్తిగత ఇన్నింగ్స్ (నిమిషాలు) (797)', '1st లాంగెస్ట్ వ్యక్తిగత ఇన్నింగ్స్ (బంతులతో) (847)' ఒక పరుగులు, '29th అత్యధిక శాతం పూర్తి ఇన్నింగ్స్ (58.72) ',' 1st అసాధారణ తొలగింపులకు 1000 పరుగులు వేగంగా ',' 6 వ (అడ్డుకోవడం) (16) ',' 27th 2000 r వేగంగా uns (42) ',' 12 వ 3000 పరుగులు వేగంగా (61) ',' 8 వ 4000 పరుగులు వేగంగా (77) ',' 10th 5000 పరుగులు (98) ',' ఫాస్టెస్ట్ 5 వ 6000 పరుగులు (116) 'కు వేగవంతమైన, 'ఏ వికెట్కు 23 వ ఎత్తైన పార్టనర్ షిప్ (382)', 'మొదటి వికెట్కు 7 వ అత్యధిక భాగస్వామ్యం (359)', 'రెండవ వికెట్కు 5 వ అత్యధిక భాగస్వామ్యం (382)', 'మూడో వికెట్ (264) కోసం 39 వ అత్యధిక భాగస్వామ్యం' 'ఆరవ వికెట్కు 35 వ అత్యధిక భాగస్వామ్యం (215)', '35 వ ఓల్డెస్ట్ కాప్టెన్ (38y 278d)', 'కెప్టెన్సీ తొలి 42 వ ఓల్డెస్ట్ కాప్టెన్ (35y 348d)']</v>
      </c>
      <c r="E3232" s="2"/>
      <c r="F3232" s="2" t="str">
        <f>IFERROR(__xludf.DUMMYFUNCTION("IF(E3232&lt;&gt;"""", GOOGLETRANSLATE(E3232, ""en"", ""te""),"""")"),"")</f>
        <v/>
      </c>
      <c r="G3232" s="2"/>
      <c r="H3232" s="2" t="str">
        <f>IFERROR(__xludf.DUMMYFUNCTION("IF(G3232&lt;&gt;"""", GOOGLETRANSLATE(G3232, ""en"", ""te""),"""")"),"")</f>
        <v/>
      </c>
      <c r="I3232" s="3"/>
    </row>
    <row r="3233" customHeight="1" spans="1:9">
      <c r="A3233" s="2" t="s">
        <v>2268</v>
      </c>
      <c r="B3233" s="2" t="str">
        <f>IFERROR(__xludf.DUMMYFUNCTION("IF(A3233&lt;&gt;"""", GOOGLETRANSLATE(A3233, ""en"", ""te""),"""")"),"[ 'తొలి హండ్రెడ్ (107)', '9 వ లాంగెస్ట్ క్రీడాకారులు నివసించారు (76y 19d)']")</f>
        <v>[ 'తొలి హండ్రెడ్ (107)', '9 వ లాంగెస్ట్ క్రీడాకారులు నివసించారు (76y 19d)']</v>
      </c>
      <c r="C3233" s="2"/>
      <c r="D3233" s="2" t="str">
        <f>IFERROR(__xludf.DUMMYFUNCTION("IF(C3233&lt;&gt;"""", GOOGLETRANSLATE(C3233, ""en"", ""te""),"""")"),"")</f>
        <v/>
      </c>
      <c r="E3233" s="2" t="s">
        <v>2269</v>
      </c>
      <c r="F3233" s="2" t="str">
        <f>IFERROR(__xludf.DUMMYFUNCTION("IF(E3233&lt;&gt;"""", GOOGLETRANSLATE(E3233, ""en"", ""te""),"""")"),"[ '9 వ లాంగెస్ట్ క్రీడాకారులు (76y 19d) నివసించారు']")</f>
        <v>[ '9 వ లాంగెస్ట్ క్రీడాకారులు (76y 19d) నివసించారు']</v>
      </c>
      <c r="G3233" s="2"/>
      <c r="H3233" s="2" t="str">
        <f>IFERROR(__xludf.DUMMYFUNCTION("IF(G3233&lt;&gt;"""", GOOGLETRANSLATE(G3233, ""en"", ""te""),"""")"),"")</f>
        <v/>
      </c>
      <c r="I3233" s="3"/>
    </row>
    <row r="3234" customHeight="1" spans="1:9">
      <c r="A3234" s="2"/>
      <c r="B3234" s="2" t="str">
        <f>IFERROR(__xludf.DUMMYFUNCTION("IF(A3234&lt;&gt;"""", GOOGLETRANSLATE(A3234, ""en"", ""te""),"""")"),"")</f>
        <v/>
      </c>
      <c r="C3234" s="2"/>
      <c r="D3234" s="2" t="str">
        <f>IFERROR(__xludf.DUMMYFUNCTION("IF(C3234&lt;&gt;"""", GOOGLETRANSLATE(C3234, ""en"", ""te""),"""")"),"")</f>
        <v/>
      </c>
      <c r="E3234" s="2"/>
      <c r="F3234" s="2" t="str">
        <f>IFERROR(__xludf.DUMMYFUNCTION("IF(E3234&lt;&gt;"""", GOOGLETRANSLATE(E3234, ""en"", ""te""),"""")"),"")</f>
        <v/>
      </c>
      <c r="G3234" s="2"/>
      <c r="H3234" s="2" t="str">
        <f>IFERROR(__xludf.DUMMYFUNCTION("IF(G3234&lt;&gt;"""", GOOGLETRANSLATE(G3234, ""en"", ""te""),"""")"),"")</f>
        <v/>
      </c>
      <c r="I3234" s="3"/>
    </row>
    <row r="3235" customHeight="1" spans="1:9">
      <c r="A3235" s="2" t="s">
        <v>2270</v>
      </c>
      <c r="B3235" s="2" t="str">
        <f>IFERROR(__xludf.DUMMYFUNCTION("IF(A3235&lt;&gt;"""", GOOGLETRANSLATE(A3235, ""en"", ""te""),"""")"),"[ 'హండ్రెడ్ తొలి (106 *)']")</f>
        <v>[ 'హండ్రెడ్ తొలి (106 *)']</v>
      </c>
      <c r="C3235" s="2"/>
      <c r="D3235" s="2" t="str">
        <f>IFERROR(__xludf.DUMMYFUNCTION("IF(C3235&lt;&gt;"""", GOOGLETRANSLATE(C3235, ""en"", ""te""),"""")"),"")</f>
        <v/>
      </c>
      <c r="E3235" s="2"/>
      <c r="F3235" s="2" t="str">
        <f>IFERROR(__xludf.DUMMYFUNCTION("IF(E3235&lt;&gt;"""", GOOGLETRANSLATE(E3235, ""en"", ""te""),"""")"),"")</f>
        <v/>
      </c>
      <c r="G3235" s="2"/>
      <c r="H3235" s="2" t="str">
        <f>IFERROR(__xludf.DUMMYFUNCTION("IF(G3235&lt;&gt;"""", GOOGLETRANSLATE(G3235, ""en"", ""te""),"""")"),"")</f>
        <v/>
      </c>
      <c r="I3235" s="3"/>
    </row>
    <row r="3236" customHeight="1" spans="1:9">
      <c r="A3236" s="2"/>
      <c r="B3236" s="2" t="str">
        <f>IFERROR(__xludf.DUMMYFUNCTION("IF(A3236&lt;&gt;"""", GOOGLETRANSLATE(A3236, ""en"", ""te""),"""")"),"")</f>
        <v/>
      </c>
      <c r="C3236" s="2"/>
      <c r="D3236" s="2" t="str">
        <f>IFERROR(__xludf.DUMMYFUNCTION("IF(C3236&lt;&gt;"""", GOOGLETRANSLATE(C3236, ""en"", ""te""),"""")"),"")</f>
        <v/>
      </c>
      <c r="E3236" s="2"/>
      <c r="F3236" s="2" t="str">
        <f>IFERROR(__xludf.DUMMYFUNCTION("IF(E3236&lt;&gt;"""", GOOGLETRANSLATE(E3236, ""en"", ""te""),"""")"),"")</f>
        <v/>
      </c>
      <c r="G3236" s="2"/>
      <c r="H3236" s="2" t="str">
        <f>IFERROR(__xludf.DUMMYFUNCTION("IF(G3236&lt;&gt;"""", GOOGLETRANSLATE(G3236, ""en"", ""te""),"""")"),"")</f>
        <v/>
      </c>
      <c r="I3236" s="3"/>
    </row>
    <row r="3237" customHeight="1" spans="1:9">
      <c r="A3237" s="2" t="s">
        <v>2271</v>
      </c>
      <c r="B3237" s="2" t="str">
        <f>IFERROR(__xludf.DUMMYFUNCTION("IF(A3237&lt;&gt;"""", GOOGLETRANSLATE(A3237, ""en"", ""te""),"""")"),"[ 'ఇన్నింగ్స్ లో 9 వ అత్యంత ఫోర్లు (22)' '99 పరుగుల 1st (మరియు 199, 299 etc) (99)', 'రెండవ వికెట్కు 9 వ అత్యధిక భాగస్వామ్యం (248)', '1 వ 99 పరుగుల (99 ) ',' 7 వ లాంగెస్ట్ వ్యక్తిగత ఇన్నింగ్స్ (బంతులతో) (68) ',' 6 వ 1000 పరుగులు (వేగంగా 32) ',' మూడో వికెట్"&amp;" (152 3 వ అత్యధిక భాగస్వామ్యం) ']")</f>
        <v>[ 'ఇన్నింగ్స్ లో 9 వ అత్యంత ఫోర్లు (22)' '99 పరుగుల 1st (మరియు 199, 299 etc) (99)', 'రెండవ వికెట్కు 9 వ అత్యధిక భాగస్వామ్యం (248)', '1 వ 99 పరుగుల (99 ) ',' 7 వ లాంగెస్ట్ వ్యక్తిగత ఇన్నింగ్స్ (బంతులతో) (68) ',' 6 వ 1000 పరుగులు (వేగంగా 32) ',' మూడో వికెట్ (152 3 వ అత్యధిక భాగస్వామ్యం) ']</v>
      </c>
      <c r="C3237" s="2" t="s">
        <v>2257</v>
      </c>
      <c r="D3237" s="2" t="str">
        <f>IFERROR(__xludf.DUMMYFUNCTION("IF(C3237&lt;&gt;"""", GOOGLETRANSLATE(C3237, ""en"", ""te""),"""")"),"[ 'కెరీర్లో 22 వ బాతులు నో (21)']")</f>
        <v>[ 'కెరీర్లో 22 వ బాతులు నో (21)']</v>
      </c>
      <c r="E3237" s="2" t="s">
        <v>2272</v>
      </c>
      <c r="F3237" s="2" t="str">
        <f>IFERROR(__xludf.DUMMYFUNCTION("IF(E3237&lt;&gt;"""", GOOGLETRANSLATE(E3237, ""en"", ""te""),"""")"),"[ '49 వ ఇన్నింగ్స్ లో అత్యధిక పరుగులు (171)', '49 వ అత్యధిక కెరీర్ సమ్మె రేటు (95.72)', '1 వ 99 పరుగుల (199, 299 etc) (99)', 'వరుస ఇన్నింగ్స్లో 11 వ యాభైల్లో (5) ',' ఇన్నింగ్స్ లో 9 వ అత్యంత ఫోర్లు (22) ',' ఇన్నింగ్స్ ఏ వికెట్కు (112) ',' 2000 పరుగులు (5"&amp;"7) ',' 27 వ అత్యధిక వాటా వేగంగా 41 వ లో ఫోర్లు, సిక్సర్లు నుండి 26 అత్యధిక పరుగులు (248 ) ',' రెండవ వికెట్ (248 9 వ అత్యధిక భాగస్వామ్యం) ']")</f>
        <v>[ '49 వ ఇన్నింగ్స్ లో అత్యధిక పరుగులు (171)', '49 వ అత్యధిక కెరీర్ సమ్మె రేటు (95.72)', '1 వ 99 పరుగుల (199, 299 etc) (99)', 'వరుస ఇన్నింగ్స్లో 11 వ యాభైల్లో (5) ',' ఇన్నింగ్స్ లో 9 వ అత్యంత ఫోర్లు (22) ',' ఇన్నింగ్స్ ఏ వికెట్కు (112) ',' 2000 పరుగులు (57) ',' 27 వ అత్యధిక వాటా వేగంగా 41 వ లో ఫోర్లు, సిక్సర్లు నుండి 26 అత్యధిక పరుగులు (248 ) ',' రెండవ వికెట్ (248 9 వ అత్యధిక భాగస్వామ్యం) ']</v>
      </c>
      <c r="G3237" s="2" t="s">
        <v>2273</v>
      </c>
      <c r="H3237" s="2" t="str">
        <f>IFERROR(__xludf.DUMMYFUNCTION("IF(G3237&lt;&gt;"""", GOOGLETRANSLATE(G3237, ""en"", ""te""),"""")"),"[ '27 కెరీర్లో అత్యధిక పరుగులు (1644)', '20 వ ఇన్నింగ్స్ లో అత్యధిక పరుగులు (116 *)', '44th ఒక క్యాలెండర్ సంవత్సరంలో అత్యధిక పరుగులు (397)', '15 వ ఇన్నింగ్స్ లో అత్యధిక పరుగులు (బ్యాటింగ్ స్థానంలో ద్వారా) (116 *) ',' 42 వ అత్యధిక కెరీర్ బ్యాటింగ్ సగటు (31"&amp;".01) ',' 1 వ కోసం 99 (99) కొట్టివేయబడింది ',' 29th కెరీర్ అర్ధ (9) ',' కెరీర్లో 43 వ అతి తక్కువ బాతులు (15) ',' కెరీర్లో 34 వ ఎక్కువ సిక్స్ (55) ',' 17 వ కెరీర్ ఫోర్లు (175) ',' 31 మోస్ట్ ఇన్నింగ్స్ లో ఫోర్లు (11) ',' ఇన్నింగ్స్ లో ఫోర్లు, సిక్సర్లు నుండి"&amp;" 26 అత్యధిక పరుగులు (80) ',' 7 వ లాంగెస్ట్ వ్యక్తిగత ఇన్నింగ్స్ (బంతులతో) (68) ',' ఫాస్టెస్ట్ కెరీర్లో 1000 పరుగులు (32) ', '21 వ అత్యధిక క్యాచ్లు (32)', '14 వ అత్యధిక వాటా ఏ వికెట్కు (159)', '28th అత్యధిక 6 వ తొలి వికెట్కు (128 *) రెండవ వికెట్కు ',' 3 వ "&amp;"అత్యధిక భాగస్వామ్యం (159) ',' మూడో వికెట్కు 3 వ అత్యధిక భాగస్వామ్యం (152) ',' నాలుగవ వికెట్కు 11 వ అత్యధిక భాగస్వామ్యం (107) 'కోసం భాగస్వామ్యం, 'ఒక జట్టుకు 40 వ వరుస మ్యాచ్లు (30)']")</f>
        <v>[ '27 కెరీర్లో అత్యధిక పరుగులు (1644)', '20 వ ఇన్నింగ్స్ లో అత్యధిక పరుగులు (116 *)', '44th ఒక క్యాలెండర్ సంవత్సరంలో అత్యధిక పరుగులు (397)', '15 వ ఇన్నింగ్స్ లో అత్యధిక పరుగులు (బ్యాటింగ్ స్థానంలో ద్వారా) (116 *) ',' 42 వ అత్యధిక కెరీర్ బ్యాటింగ్ సగటు (31.01) ',' 1 వ కోసం 99 (99) కొట్టివేయబడింది ',' 29th కెరీర్ అర్ధ (9) ',' కెరీర్లో 43 వ అతి తక్కువ బాతులు (15) ',' కెరీర్లో 34 వ ఎక్కువ సిక్స్ (55) ',' 17 వ కెరీర్ ఫోర్లు (175) ',' 31 మోస్ట్ ఇన్నింగ్స్ లో ఫోర్లు (11) ',' ఇన్నింగ్స్ లో ఫోర్లు, సిక్సర్లు నుండి 26 అత్యధిక పరుగులు (80) ',' 7 వ లాంగెస్ట్ వ్యక్తిగత ఇన్నింగ్స్ (బంతులతో) (68) ',' ఫాస్టెస్ట్ కెరీర్లో 1000 పరుగులు (32) ', '21 వ అత్యధిక క్యాచ్లు (32)', '14 వ అత్యధిక వాటా ఏ వికెట్కు (159)', '28th అత్యధిక 6 వ తొలి వికెట్కు (128 *) రెండవ వికెట్కు ',' 3 వ అత్యధిక భాగస్వామ్యం (159) ',' మూడో వికెట్కు 3 వ అత్యధిక భాగస్వామ్యం (152) ',' నాలుగవ వికెట్కు 11 వ అత్యధిక భాగస్వామ్యం (107) 'కోసం భాగస్వామ్యం, 'ఒక జట్టుకు 40 వ వరుస మ్యాచ్లు (30)']</v>
      </c>
      <c r="I3237" s="3"/>
    </row>
    <row r="3238" customHeight="1" spans="1:9">
      <c r="A3238" s="2"/>
      <c r="B3238" s="2" t="str">
        <f>IFERROR(__xludf.DUMMYFUNCTION("IF(A3238&lt;&gt;"""", GOOGLETRANSLATE(A3238, ""en"", ""te""),"""")"),"")</f>
        <v/>
      </c>
      <c r="C3238" s="2"/>
      <c r="D3238" s="2" t="str">
        <f>IFERROR(__xludf.DUMMYFUNCTION("IF(C3238&lt;&gt;"""", GOOGLETRANSLATE(C3238, ""en"", ""te""),"""")"),"")</f>
        <v/>
      </c>
      <c r="E3238" s="2"/>
      <c r="F3238" s="2" t="str">
        <f>IFERROR(__xludf.DUMMYFUNCTION("IF(E3238&lt;&gt;"""", GOOGLETRANSLATE(E3238, ""en"", ""te""),"""")"),"")</f>
        <v/>
      </c>
      <c r="G3238" s="2"/>
      <c r="H3238" s="2" t="str">
        <f>IFERROR(__xludf.DUMMYFUNCTION("IF(G3238&lt;&gt;"""", GOOGLETRANSLATE(G3238, ""en"", ""te""),"""")"),"")</f>
        <v/>
      </c>
      <c r="I3238" s="3"/>
    </row>
    <row r="3239" customHeight="1" spans="1:9">
      <c r="A3239" s="2" t="s">
        <v>2274</v>
      </c>
      <c r="B3239" s="2" t="str">
        <f>IFERROR(__xludf.DUMMYFUNCTION("IF(A3239&lt;&gt;"""", GOOGLETRANSLATE(A3239, ""en"", ""te""),"""")"),"[ 'తొలి పెయిర్', '7 వ చెత్త కెరీర్ (102.00) (అర్హత లేకుండా) సగటు బౌలింగ్', 'ఇన్నింగ్స్ లో 5 వ అత్యధిక పరుగులు (బ్యాటింగ్ స్థానంలో ప్రకారం) (20 *)' తొమ్మిదవ వికెట్కు, '10th అత్యధిక భాగస్వామ్యం (47 ) ',' 7 వ కెరీర్ లో బౌల్డ్ చాలా బంతుల్లో (1905) ',' 6 వ కెర"&amp;"ీర్ లో సాధించిన అత్యధిక పరుగులు (1764) ',' 1 వ అత్యధిక వికెట్లు తీసుకున్న ఎల్బిడబ్ల్యు (18) ',' తొమ్మిదవ వికెట్కు 2 వ అత్యధిక భాగస్వామ్యం (33 *) ']")</f>
        <v>[ 'తొలి పెయిర్', '7 వ చెత్త కెరీర్ (102.00) (అర్హత లేకుండా) సగటు బౌలింగ్', 'ఇన్నింగ్స్ లో 5 వ అత్యధిక పరుగులు (బ్యాటింగ్ స్థానంలో ప్రకారం) (20 *)' తొమ్మిదవ వికెట్కు, '10th అత్యధిక భాగస్వామ్యం (47 ) ',' 7 వ కెరీర్ లో బౌల్డ్ చాలా బంతుల్లో (1905) ',' 6 వ కెరీర్ లో సాధించిన అత్యధిక పరుగులు (1764) ',' 1 వ అత్యధిక వికెట్లు తీసుకున్న ఎల్బిడబ్ల్యు (18) ',' తొమ్మిదవ వికెట్కు 2 వ అత్యధిక భాగస్వామ్యం (33 *) ']</v>
      </c>
      <c r="C3239" s="2" t="s">
        <v>2275</v>
      </c>
      <c r="D3239" s="2" t="str">
        <f>IFERROR(__xludf.DUMMYFUNCTION("IF(C3239&lt;&gt;"""", GOOGLETRANSLATE(C3239, ""en"", ""te""),"""")"),"[ 'కెరీర్లో 2 వ అత్యంత జతల (1)', '7 వ చెత్త కెరీర్ బౌలింగ్ సరాసరి (అర్హత లేకుండా) (102.00)', 'ఇన్నింగ్స్ లో 26 వ చెత్త ఆర్థిక రేటు (4.17)']")</f>
        <v>[ 'కెరీర్లో 2 వ అత్యంత జతల (1)', '7 వ చెత్త కెరీర్ బౌలింగ్ సరాసరి (అర్హత లేకుండా) (102.00)', 'ఇన్నింగ్స్ లో 26 వ చెత్త ఆర్థిక రేటు (4.17)']</v>
      </c>
      <c r="E3239" s="2" t="s">
        <v>2276</v>
      </c>
      <c r="F3239" s="2" t="str">
        <f>IFERROR(__xludf.DUMMYFUNCTION("IF(E3239&lt;&gt;"""", GOOGLETRANSLATE(E3239, ""en"", ""te""),"""")"),"[ 'ఇన్నింగ్స్ లో 5 వ అత్యధిక పరుగులు (బ్యాటింగ్ స్థానంలో ప్రకారం) (20 *)', 'కెరీర్లో 22 వ అతి తక్కువ బాతులు (26)', '47 వ కెరీర్ లో సాధించిన అత్యధిక పరుగులు (1709)', '47 వ అత్యధిక పరుగులు ఇన్నింగ్స్ లో సాధించిన (70) ',' ఎనిమిదవ వికెట్కు 41 వ అత్యధిక భాగస్వ"&amp;"ామ్యం (44) ',' తొమ్మిదవ వికెట్కు 10 వ అత్యధిక భాగస్వామ్యం (47) ']")</f>
        <v>[ 'ఇన్నింగ్స్ లో 5 వ అత్యధిక పరుగులు (బ్యాటింగ్ స్థానంలో ప్రకారం) (20 *)', 'కెరీర్లో 22 వ అతి తక్కువ బాతులు (26)', '47 వ కెరీర్ లో సాధించిన అత్యధిక పరుగులు (1709)', '47 వ అత్యధిక పరుగులు ఇన్నింగ్స్ లో సాధించిన (70) ',' ఎనిమిదవ వికెట్కు 41 వ అత్యధిక భాగస్వామ్యం (44) ',' తొమ్మిదవ వికెట్కు 10 వ అత్యధిక భాగస్వామ్యం (47) ']</v>
      </c>
      <c r="G3239" s="2" t="s">
        <v>2277</v>
      </c>
      <c r="H3239" s="2" t="str">
        <f>IFERROR(__xludf.DUMMYFUNCTION("IF(G3239&lt;&gt;"""", GOOGLETRANSLATE(G3239, ""en"", ""te""),"""")"),"[ '14 వ ఇన్నింగ్స్ లో అత్యధిక పరుగులు (బ్యాటింగ్ స్థానంలో ప్రకారం) (17 *)', '47 వ తొలి డక్ ముందు అత్యంత ఇన్నింగ్స్ (12)', '12 వ కెరీర్ లో అత్యధిక వికెట్లు (85)', '19 ఒక క్యాలెండర్ సంవత్సరంలో అత్యధిక వికెట్లు (21) ',' 26 అత్యుత్తమ బౌలింగ్ ఇన్నింగ్స్ లో విశ"&amp;"్లేషించడం (3/4) ',' 33 వ ఉత్తమ కెరీర్ ఆర్థిక రేటు (5.55) ',' 7 వ కెరీర్ (1905) లో బౌల్డ్ చాలా బంతుల్లో ',' 6 వ అత్యధిక కెరీర్ లో సాధించిన పరుగులు (1764) ',' 18 వ బౌలర్ / బ్యాట్స్ కలయికలు (4) ',' 16 వ బౌలర్ / ఫీల్డర్ కలయికలు (10) ', '21 వ అత్యధిక వికెట్లు "&amp;"బౌల్డ్ తీసుకున్న (16)', '13 వ అత్యధిక వికెట్లు తీసుకున్న ఆకర్షించింది (44)', ' 20 వ అత్యంత క్యాచ్ మరియు బౌల్డ్ తీసుకోబడిన వికెట్ల (3) ',' 10 వ అత్యధిక వికెట్లు ఒక ఫీల్డర్ చేత క్యాచ్ తీసుకున్న (43) ',' 1 వ అత్యధిక వికెట్లు తీసుకున్న ఎల్బిడబ్ల్యు (18) ',' 2"&amp;"5 వ అత్యధిక వికెట్లు తీసుకున్న స్టంప్ (7) ',' 36 వ ఎనిమిదవ వికెట్కు అత్యధిక భాగస్వామ్యం (23) ',' తొమ్మిదవ వికెట్ (33 *) కోసం 2 వ అత్యధిక భాగస్వామ్యం ',' 29th కెరీర్లో అత్యధిక మ్యాచ్లు (85) ',' ఒక జట్టుకు 30 వ వరుస మ్యాచ్లు (39) ',' కెరీర్ (6) 27 వ పనికత్త"&amp;"ెలయొద్ద ']")</f>
        <v>[ '14 వ ఇన్నింగ్స్ లో అత్యధిక పరుగులు (బ్యాటింగ్ స్థానంలో ప్రకారం) (17 *)', '47 వ తొలి డక్ ముందు అత్యంత ఇన్నింగ్స్ (12)', '12 వ కెరీర్ లో అత్యధిక వికెట్లు (85)', '19 ఒక క్యాలెండర్ సంవత్సరంలో అత్యధిక వికెట్లు (21) ',' 26 అత్యుత్తమ బౌలింగ్ ఇన్నింగ్స్ లో విశ్లేషించడం (3/4) ',' 33 వ ఉత్తమ కెరీర్ ఆర్థిక రేటు (5.55) ',' 7 వ కెరీర్ (1905) లో బౌల్డ్ చాలా బంతుల్లో ',' 6 వ అత్యధిక కెరీర్ లో సాధించిన పరుగులు (1764) ',' 18 వ బౌలర్ / బ్యాట్స్ కలయికలు (4) ',' 16 వ బౌలర్ / ఫీల్డర్ కలయికలు (10) ', '21 వ అత్యధిక వికెట్లు బౌల్డ్ తీసుకున్న (16)', '13 వ అత్యధిక వికెట్లు తీసుకున్న ఆకర్షించింది (44)', ' 20 వ అత్యంత క్యాచ్ మరియు బౌల్డ్ తీసుకోబడిన వికెట్ల (3) ',' 10 వ అత్యధిక వికెట్లు ఒక ఫీల్డర్ చేత క్యాచ్ తీసుకున్న (43) ',' 1 వ అత్యధిక వికెట్లు తీసుకున్న ఎల్బిడబ్ల్యు (18) ',' 25 వ అత్యధిక వికెట్లు తీసుకున్న స్టంప్ (7) ',' 36 వ ఎనిమిదవ వికెట్కు అత్యధిక భాగస్వామ్యం (23) ',' తొమ్మిదవ వికెట్ (33 *) కోసం 2 వ అత్యధిక భాగస్వామ్యం ',' 29th కెరీర్లో అత్యధిక మ్యాచ్లు (85) ',' ఒక జట్టుకు 30 వ వరుస మ్యాచ్లు (39) ',' కెరీర్ (6) 27 వ పనికత్తెలయొద్ద ']</v>
      </c>
      <c r="I3239" s="3"/>
    </row>
    <row r="3240" customHeight="1" spans="1:9">
      <c r="A3240" s="2"/>
      <c r="B3240" s="2" t="str">
        <f>IFERROR(__xludf.DUMMYFUNCTION("IF(A3240&lt;&gt;"""", GOOGLETRANSLATE(A3240, ""en"", ""te""),"""")"),"")</f>
        <v/>
      </c>
      <c r="C3240" s="2"/>
      <c r="D3240" s="2" t="str">
        <f>IFERROR(__xludf.DUMMYFUNCTION("IF(C3240&lt;&gt;"""", GOOGLETRANSLATE(C3240, ""en"", ""te""),"""")"),"")</f>
        <v/>
      </c>
      <c r="E3240" s="2"/>
      <c r="F3240" s="2" t="str">
        <f>IFERROR(__xludf.DUMMYFUNCTION("IF(E3240&lt;&gt;"""", GOOGLETRANSLATE(E3240, ""en"", ""te""),"""")"),"")</f>
        <v/>
      </c>
      <c r="G3240" s="2"/>
      <c r="H3240" s="2" t="str">
        <f>IFERROR(__xludf.DUMMYFUNCTION("IF(G3240&lt;&gt;"""", GOOGLETRANSLATE(G3240, ""en"", ""te""),"""")"),"")</f>
        <v/>
      </c>
      <c r="I3240" s="3"/>
    </row>
    <row r="3241" customHeight="1" spans="1:9">
      <c r="A3241" s="2"/>
      <c r="B3241" s="2" t="str">
        <f>IFERROR(__xludf.DUMMYFUNCTION("IF(A3241&lt;&gt;"""", GOOGLETRANSLATE(A3241, ""en"", ""te""),"""")"),"")</f>
        <v/>
      </c>
      <c r="C3241" s="2"/>
      <c r="D3241" s="2" t="str">
        <f>IFERROR(__xludf.DUMMYFUNCTION("IF(C3241&lt;&gt;"""", GOOGLETRANSLATE(C3241, ""en"", ""te""),"""")"),"")</f>
        <v/>
      </c>
      <c r="E3241" s="2"/>
      <c r="F3241" s="2" t="str">
        <f>IFERROR(__xludf.DUMMYFUNCTION("IF(E3241&lt;&gt;"""", GOOGLETRANSLATE(E3241, ""en"", ""te""),"""")"),"")</f>
        <v/>
      </c>
      <c r="G3241" s="2"/>
      <c r="H3241" s="2" t="str">
        <f>IFERROR(__xludf.DUMMYFUNCTION("IF(G3241&lt;&gt;"""", GOOGLETRANSLATE(G3241, ""en"", ""te""),"""")"),"")</f>
        <v/>
      </c>
      <c r="I3241" s="3"/>
    </row>
    <row r="3242" customHeight="1" spans="1:9">
      <c r="A3242" s="2"/>
      <c r="B3242" s="2" t="str">
        <f>IFERROR(__xludf.DUMMYFUNCTION("IF(A3242&lt;&gt;"""", GOOGLETRANSLATE(A3242, ""en"", ""te""),"""")"),"")</f>
        <v/>
      </c>
      <c r="C3242" s="2"/>
      <c r="D3242" s="2" t="str">
        <f>IFERROR(__xludf.DUMMYFUNCTION("IF(C3242&lt;&gt;"""", GOOGLETRANSLATE(C3242, ""en"", ""te""),"""")"),"")</f>
        <v/>
      </c>
      <c r="E3242" s="2"/>
      <c r="F3242" s="2" t="str">
        <f>IFERROR(__xludf.DUMMYFUNCTION("IF(E3242&lt;&gt;"""", GOOGLETRANSLATE(E3242, ""en"", ""te""),"""")"),"")</f>
        <v/>
      </c>
      <c r="G3242" s="2"/>
      <c r="H3242" s="2" t="str">
        <f>IFERROR(__xludf.DUMMYFUNCTION("IF(G3242&lt;&gt;"""", GOOGLETRANSLATE(G3242, ""en"", ""te""),"""")"),"")</f>
        <v/>
      </c>
      <c r="I3242" s="3"/>
    </row>
    <row r="3243" customHeight="1" spans="1:9">
      <c r="A3243" s="2"/>
      <c r="B3243" s="2" t="str">
        <f>IFERROR(__xludf.DUMMYFUNCTION("IF(A3243&lt;&gt;"""", GOOGLETRANSLATE(A3243, ""en"", ""te""),"""")"),"")</f>
        <v/>
      </c>
      <c r="C3243" s="2"/>
      <c r="D3243" s="2" t="str">
        <f>IFERROR(__xludf.DUMMYFUNCTION("IF(C3243&lt;&gt;"""", GOOGLETRANSLATE(C3243, ""en"", ""te""),"""")"),"")</f>
        <v/>
      </c>
      <c r="E3243" s="2"/>
      <c r="F3243" s="2" t="str">
        <f>IFERROR(__xludf.DUMMYFUNCTION("IF(E3243&lt;&gt;"""", GOOGLETRANSLATE(E3243, ""en"", ""te""),"""")"),"")</f>
        <v/>
      </c>
      <c r="G3243" s="2"/>
      <c r="H3243" s="2" t="str">
        <f>IFERROR(__xludf.DUMMYFUNCTION("IF(G3243&lt;&gt;"""", GOOGLETRANSLATE(G3243, ""en"", ""te""),"""")"),"")</f>
        <v/>
      </c>
      <c r="I3243" s="3"/>
    </row>
    <row r="3244" customHeight="1" spans="1:9">
      <c r="A3244" s="2"/>
      <c r="B3244" s="2" t="str">
        <f>IFERROR(__xludf.DUMMYFUNCTION("IF(A3244&lt;&gt;"""", GOOGLETRANSLATE(A3244, ""en"", ""te""),"""")"),"")</f>
        <v/>
      </c>
      <c r="C3244" s="2"/>
      <c r="D3244" s="2" t="str">
        <f>IFERROR(__xludf.DUMMYFUNCTION("IF(C3244&lt;&gt;"""", GOOGLETRANSLATE(C3244, ""en"", ""te""),"""")"),"")</f>
        <v/>
      </c>
      <c r="E3244" s="2"/>
      <c r="F3244" s="2" t="str">
        <f>IFERROR(__xludf.DUMMYFUNCTION("IF(E3244&lt;&gt;"""", GOOGLETRANSLATE(E3244, ""en"", ""te""),"""")"),"")</f>
        <v/>
      </c>
      <c r="G3244" s="2"/>
      <c r="H3244" s="2" t="str">
        <f>IFERROR(__xludf.DUMMYFUNCTION("IF(G3244&lt;&gt;"""", GOOGLETRANSLATE(G3244, ""en"", ""te""),"""")"),"")</f>
        <v/>
      </c>
      <c r="I3244" s="3"/>
    </row>
    <row r="3245" customHeight="1" spans="1:9">
      <c r="A3245" s="2"/>
      <c r="B3245" s="2" t="str">
        <f>IFERROR(__xludf.DUMMYFUNCTION("IF(A3245&lt;&gt;"""", GOOGLETRANSLATE(A3245, ""en"", ""te""),"""")"),"")</f>
        <v/>
      </c>
      <c r="C3245" s="2"/>
      <c r="D3245" s="2" t="str">
        <f>IFERROR(__xludf.DUMMYFUNCTION("IF(C3245&lt;&gt;"""", GOOGLETRANSLATE(C3245, ""en"", ""te""),"""")"),"")</f>
        <v/>
      </c>
      <c r="E3245" s="2"/>
      <c r="F3245" s="2" t="str">
        <f>IFERROR(__xludf.DUMMYFUNCTION("IF(E3245&lt;&gt;"""", GOOGLETRANSLATE(E3245, ""en"", ""te""),"""")"),"")</f>
        <v/>
      </c>
      <c r="G3245" s="2"/>
      <c r="H3245" s="2" t="str">
        <f>IFERROR(__xludf.DUMMYFUNCTION("IF(G3245&lt;&gt;"""", GOOGLETRANSLATE(G3245, ""en"", ""te""),"""")"),"")</f>
        <v/>
      </c>
      <c r="I3245" s="3"/>
    </row>
    <row r="3246" customHeight="1" spans="1:9">
      <c r="A3246" s="2"/>
      <c r="B3246" s="2" t="str">
        <f>IFERROR(__xludf.DUMMYFUNCTION("IF(A3246&lt;&gt;"""", GOOGLETRANSLATE(A3246, ""en"", ""te""),"""")"),"")</f>
        <v/>
      </c>
      <c r="C3246" s="2"/>
      <c r="D3246" s="2" t="str">
        <f>IFERROR(__xludf.DUMMYFUNCTION("IF(C3246&lt;&gt;"""", GOOGLETRANSLATE(C3246, ""en"", ""te""),"""")"),"")</f>
        <v/>
      </c>
      <c r="E3246" s="2"/>
      <c r="F3246" s="2" t="str">
        <f>IFERROR(__xludf.DUMMYFUNCTION("IF(E3246&lt;&gt;"""", GOOGLETRANSLATE(E3246, ""en"", ""te""),"""")"),"")</f>
        <v/>
      </c>
      <c r="G3246" s="2"/>
      <c r="H3246" s="2" t="str">
        <f>IFERROR(__xludf.DUMMYFUNCTION("IF(G3246&lt;&gt;"""", GOOGLETRANSLATE(G3246, ""en"", ""te""),"""")"),"")</f>
        <v/>
      </c>
      <c r="I3246" s="3"/>
    </row>
    <row r="3247" customHeight="1" spans="1:9">
      <c r="A3247" s="2" t="s">
        <v>2278</v>
      </c>
      <c r="B3247" s="2" t="str">
        <f>IFERROR(__xludf.DUMMYFUNCTION("IF(A3247&lt;&gt;"""", GOOGLETRANSLATE(A3247, ""en"", ""te""),"""")"),"[ '9 వ ఎక్కువ (169 *) ఒక ఇన్నింగ్స్ లో నడుస్తుంది (బ్యాటింగ్ స్థానం)']")</f>
        <v>[ '9 వ ఎక్కువ (169 *) ఒక ఇన్నింగ్స్ లో నడుస్తుంది (బ్యాటింగ్ స్థానం)']</v>
      </c>
      <c r="C3247" s="2" t="s">
        <v>2278</v>
      </c>
      <c r="D3247" s="2" t="str">
        <f>IFERROR(__xludf.DUMMYFUNCTION("IF(C3247&lt;&gt;"""", GOOGLETRANSLATE(C3247, ""en"", ""te""),"""")"),"[ '9 వ ఎక్కువ (169 *) ఒక ఇన్నింగ్స్ లో నడుస్తుంది (బ్యాటింగ్ స్థానం)']")</f>
        <v>[ '9 వ ఎక్కువ (169 *) ఒక ఇన్నింగ్స్ లో నడుస్తుంది (బ్యాటింగ్ స్థానం)']</v>
      </c>
      <c r="E3247" s="2"/>
      <c r="F3247" s="2" t="str">
        <f>IFERROR(__xludf.DUMMYFUNCTION("IF(E3247&lt;&gt;"""", GOOGLETRANSLATE(E3247, ""en"", ""te""),"""")"),"")</f>
        <v/>
      </c>
      <c r="G3247" s="2"/>
      <c r="H3247" s="2" t="str">
        <f>IFERROR(__xludf.DUMMYFUNCTION("IF(G3247&lt;&gt;"""", GOOGLETRANSLATE(G3247, ""en"", ""te""),"""")"),"")</f>
        <v/>
      </c>
      <c r="I3247" s="3"/>
    </row>
    <row r="3248" customHeight="1" spans="1:9">
      <c r="A3248" s="2"/>
      <c r="B3248" s="2" t="str">
        <f>IFERROR(__xludf.DUMMYFUNCTION("IF(A3248&lt;&gt;"""", GOOGLETRANSLATE(A3248, ""en"", ""te""),"""")"),"")</f>
        <v/>
      </c>
      <c r="C3248" s="2"/>
      <c r="D3248" s="2" t="str">
        <f>IFERROR(__xludf.DUMMYFUNCTION("IF(C3248&lt;&gt;"""", GOOGLETRANSLATE(C3248, ""en"", ""te""),"""")"),"")</f>
        <v/>
      </c>
      <c r="E3248" s="2"/>
      <c r="F3248" s="2" t="str">
        <f>IFERROR(__xludf.DUMMYFUNCTION("IF(E3248&lt;&gt;"""", GOOGLETRANSLATE(E3248, ""en"", ""te""),"""")"),"")</f>
        <v/>
      </c>
      <c r="G3248" s="2"/>
      <c r="H3248" s="2" t="str">
        <f>IFERROR(__xludf.DUMMYFUNCTION("IF(G3248&lt;&gt;"""", GOOGLETRANSLATE(G3248, ""en"", ""te""),"""")"),"")</f>
        <v/>
      </c>
      <c r="I3248" s="3"/>
    </row>
    <row r="3249" customHeight="1" spans="1:9">
      <c r="A3249" s="2" t="s">
        <v>2279</v>
      </c>
      <c r="B3249" s="2" t="str">
        <f>IFERROR(__xludf.DUMMYFUNCTION("IF(A3249&lt;&gt;"""", GOOGLETRANSLATE(A3249, ""en"", ""te""),"""")"),"[ '6 వ అత్యధిక వరుస బాతులు (3)', '3 వ ఉత్తమ కెరీర్ ఆర్థిక రేటు (3.27)']")</f>
        <v>[ '6 వ అత్యధిక వరుస బాతులు (3)', '3 వ ఉత్తమ కెరీర్ ఆర్థిక రేటు (3.27)']</v>
      </c>
      <c r="C3249" s="2"/>
      <c r="D3249" s="2" t="str">
        <f>IFERROR(__xludf.DUMMYFUNCTION("IF(C3249&lt;&gt;"""", GOOGLETRANSLATE(C3249, ""en"", ""te""),"""")"),"")</f>
        <v/>
      </c>
      <c r="E3249" s="2" t="s">
        <v>2280</v>
      </c>
      <c r="F3249" s="2" t="str">
        <f>IFERROR(__xludf.DUMMYFUNCTION("IF(E3249&lt;&gt;"""", GOOGLETRANSLATE(E3249, ""en"", ""te""),"""")"),"[ '6 వ అత్యధిక వరుస బాతులు (3)', '5 వ ఉత్తమ కెరీర్ బౌలింగ్ సరాసరి (19.45)', '3 వ ఉత్తమ కెరీర్ ఆర్థిక రేటు (3.27)', 'ఇన్నింగ్స్ లో 10 వ ఉత్తమ ఆర్థిక రేటు (0.62)', '25 వ అత్యంత వృద్ధ ఆటగాడు కన్య తీసుకుని ఐదు-వికెట్ల లో-ఒక-ఇన్నింగ్స్ (31y 303d) ']")</f>
        <v>[ '6 వ అత్యధిక వరుస బాతులు (3)', '5 వ ఉత్తమ కెరీర్ బౌలింగ్ సరాసరి (19.45)', '3 వ ఉత్తమ కెరీర్ ఆర్థిక రేటు (3.27)', 'ఇన్నింగ్స్ లో 10 వ ఉత్తమ ఆర్థిక రేటు (0.62)', '25 వ అత్యంత వృద్ధ ఆటగాడు కన్య తీసుకుని ఐదు-వికెట్ల లో-ఒక-ఇన్నింగ్స్ (31y 303d) ']</v>
      </c>
      <c r="G3249" s="2"/>
      <c r="H3249" s="2" t="str">
        <f>IFERROR(__xludf.DUMMYFUNCTION("IF(G3249&lt;&gt;"""", GOOGLETRANSLATE(G3249, ""en"", ""te""),"""")"),"")</f>
        <v/>
      </c>
      <c r="I3249" s="3"/>
    </row>
    <row r="3250" customHeight="1" spans="1:9">
      <c r="A3250" s="2"/>
      <c r="B3250" s="2" t="str">
        <f>IFERROR(__xludf.DUMMYFUNCTION("IF(A3250&lt;&gt;"""", GOOGLETRANSLATE(A3250, ""en"", ""te""),"""")"),"")</f>
        <v/>
      </c>
      <c r="C3250" s="2"/>
      <c r="D3250" s="2" t="str">
        <f>IFERROR(__xludf.DUMMYFUNCTION("IF(C3250&lt;&gt;"""", GOOGLETRANSLATE(C3250, ""en"", ""te""),"""")"),"")</f>
        <v/>
      </c>
      <c r="E3250" s="2"/>
      <c r="F3250" s="2" t="str">
        <f>IFERROR(__xludf.DUMMYFUNCTION("IF(E3250&lt;&gt;"""", GOOGLETRANSLATE(E3250, ""en"", ""te""),"""")"),"")</f>
        <v/>
      </c>
      <c r="G3250" s="2"/>
      <c r="H3250" s="2" t="str">
        <f>IFERROR(__xludf.DUMMYFUNCTION("IF(G3250&lt;&gt;"""", GOOGLETRANSLATE(G3250, ""en"", ""te""),"""")"),"")</f>
        <v/>
      </c>
      <c r="I3250" s="3"/>
    </row>
    <row r="3251" customHeight="1" spans="1:9">
      <c r="A3251" s="2"/>
      <c r="B3251" s="2" t="str">
        <f>IFERROR(__xludf.DUMMYFUNCTION("IF(A3251&lt;&gt;"""", GOOGLETRANSLATE(A3251, ""en"", ""te""),"""")"),"")</f>
        <v/>
      </c>
      <c r="C3251" s="2"/>
      <c r="D3251" s="2" t="str">
        <f>IFERROR(__xludf.DUMMYFUNCTION("IF(C3251&lt;&gt;"""", GOOGLETRANSLATE(C3251, ""en"", ""te""),"""")"),"")</f>
        <v/>
      </c>
      <c r="E3251" s="2"/>
      <c r="F3251" s="2" t="str">
        <f>IFERROR(__xludf.DUMMYFUNCTION("IF(E3251&lt;&gt;"""", GOOGLETRANSLATE(E3251, ""en"", ""te""),"""")"),"")</f>
        <v/>
      </c>
      <c r="G3251" s="2"/>
      <c r="H3251" s="2" t="str">
        <f>IFERROR(__xludf.DUMMYFUNCTION("IF(G3251&lt;&gt;"""", GOOGLETRANSLATE(G3251, ""en"", ""te""),"""")"),"")</f>
        <v/>
      </c>
      <c r="I3251" s="3"/>
    </row>
    <row r="3252" customHeight="1" spans="1:9">
      <c r="A3252" s="2" t="s">
        <v>2281</v>
      </c>
      <c r="B3252" s="2" t="str">
        <f>IFERROR(__xludf.DUMMYFUNCTION("IF(A3252&lt;&gt;"""", GOOGLETRANSLATE(A3252, ""en"", ""te""),"""")"),"[ '5 వ అత్యుత్తమ ఇన్నింగ్స్ (6/11) విశ్లేషణలలో బౌలింగ్']")</f>
        <v>[ '5 వ అత్యుత్తమ ఇన్నింగ్స్ (6/11) విశ్లేషణలలో బౌలింగ్']</v>
      </c>
      <c r="C3252" s="2" t="s">
        <v>2281</v>
      </c>
      <c r="D3252" s="2" t="str">
        <f>IFERROR(__xludf.DUMMYFUNCTION("IF(C3252&lt;&gt;"""", GOOGLETRANSLATE(C3252, ""en"", ""te""),"""")"),"[ '5 వ అత్యుత్తమ ఇన్నింగ్స్ (6/11) విశ్లేషణలలో బౌలింగ్']")</f>
        <v>[ '5 వ అత్యుత్తమ ఇన్నింగ్స్ (6/11) విశ్లేషణలలో బౌలింగ్']</v>
      </c>
      <c r="E3252" s="2"/>
      <c r="F3252" s="2" t="str">
        <f>IFERROR(__xludf.DUMMYFUNCTION("IF(E3252&lt;&gt;"""", GOOGLETRANSLATE(E3252, ""en"", ""te""),"""")"),"")</f>
        <v/>
      </c>
      <c r="G3252" s="2"/>
      <c r="H3252" s="2" t="str">
        <f>IFERROR(__xludf.DUMMYFUNCTION("IF(G3252&lt;&gt;"""", GOOGLETRANSLATE(G3252, ""en"", ""te""),"""")"),"")</f>
        <v/>
      </c>
      <c r="I3252" s="3"/>
    </row>
    <row r="3253" customHeight="1" spans="1:9">
      <c r="A3253" s="2"/>
      <c r="B3253" s="2" t="str">
        <f>IFERROR(__xludf.DUMMYFUNCTION("IF(A3253&lt;&gt;"""", GOOGLETRANSLATE(A3253, ""en"", ""te""),"""")"),"")</f>
        <v/>
      </c>
      <c r="C3253" s="2"/>
      <c r="D3253" s="2" t="str">
        <f>IFERROR(__xludf.DUMMYFUNCTION("IF(C3253&lt;&gt;"""", GOOGLETRANSLATE(C3253, ""en"", ""te""),"""")"),"")</f>
        <v/>
      </c>
      <c r="E3253" s="2"/>
      <c r="F3253" s="2" t="str">
        <f>IFERROR(__xludf.DUMMYFUNCTION("IF(E3253&lt;&gt;"""", GOOGLETRANSLATE(E3253, ""en"", ""te""),"""")"),"")</f>
        <v/>
      </c>
      <c r="G3253" s="2"/>
      <c r="H3253" s="2" t="str">
        <f>IFERROR(__xludf.DUMMYFUNCTION("IF(G3253&lt;&gt;"""", GOOGLETRANSLATE(G3253, ""en"", ""te""),"""")"),"")</f>
        <v/>
      </c>
      <c r="I3253" s="3"/>
    </row>
    <row r="3254" customHeight="1" spans="1:9">
      <c r="A3254" s="2"/>
      <c r="B3254" s="2" t="str">
        <f>IFERROR(__xludf.DUMMYFUNCTION("IF(A3254&lt;&gt;"""", GOOGLETRANSLATE(A3254, ""en"", ""te""),"""")"),"")</f>
        <v/>
      </c>
      <c r="C3254" s="2"/>
      <c r="D3254" s="2" t="str">
        <f>IFERROR(__xludf.DUMMYFUNCTION("IF(C3254&lt;&gt;"""", GOOGLETRANSLATE(C3254, ""en"", ""te""),"""")"),"")</f>
        <v/>
      </c>
      <c r="E3254" s="2"/>
      <c r="F3254" s="2" t="str">
        <f>IFERROR(__xludf.DUMMYFUNCTION("IF(E3254&lt;&gt;"""", GOOGLETRANSLATE(E3254, ""en"", ""te""),"""")"),"")</f>
        <v/>
      </c>
      <c r="G3254" s="2"/>
      <c r="H3254" s="2" t="str">
        <f>IFERROR(__xludf.DUMMYFUNCTION("IF(G3254&lt;&gt;"""", GOOGLETRANSLATE(G3254, ""en"", ""te""),"""")"),"")</f>
        <v/>
      </c>
      <c r="I3254" s="3"/>
    </row>
    <row r="3255" customHeight="1" spans="1:9">
      <c r="A3255" s="2"/>
      <c r="B3255" s="2" t="str">
        <f>IFERROR(__xludf.DUMMYFUNCTION("IF(A3255&lt;&gt;"""", GOOGLETRANSLATE(A3255, ""en"", ""te""),"""")"),"")</f>
        <v/>
      </c>
      <c r="C3255" s="2" t="s">
        <v>2282</v>
      </c>
      <c r="D3255" s="2" t="str">
        <f>IFERROR(__xludf.DUMMYFUNCTION("IF(C3255&lt;&gt;"""", GOOGLETRANSLATE(C3255, ""en"", ""te""),"""")"),"[ '47 వ పిన్న ఆటగాడు వంద (20y 322d) స్కోర్', '48 వ చెత్త కెరీర్ బౌలింగ్ సరాసరి (48.73)']")</f>
        <v>[ '47 వ పిన్న ఆటగాడు వంద (20y 322d) స్కోర్', '48 వ చెత్త కెరీర్ బౌలింగ్ సరాసరి (48.73)']</v>
      </c>
      <c r="E3255" s="2"/>
      <c r="F3255" s="2" t="str">
        <f>IFERROR(__xludf.DUMMYFUNCTION("IF(E3255&lt;&gt;"""", GOOGLETRANSLATE(E3255, ""en"", ""te""),"""")"),"")</f>
        <v/>
      </c>
      <c r="G3255" s="2"/>
      <c r="H3255" s="2" t="str">
        <f>IFERROR(__xludf.DUMMYFUNCTION("IF(G3255&lt;&gt;"""", GOOGLETRANSLATE(G3255, ""en"", ""te""),"""")"),"")</f>
        <v/>
      </c>
      <c r="I3255" s="3"/>
    </row>
    <row r="3256" customHeight="1" spans="1:9">
      <c r="A3256" s="2"/>
      <c r="B3256" s="2" t="str">
        <f>IFERROR(__xludf.DUMMYFUNCTION("IF(A3256&lt;&gt;"""", GOOGLETRANSLATE(A3256, ""en"", ""te""),"""")"),"")</f>
        <v/>
      </c>
      <c r="C3256" s="2"/>
      <c r="D3256" s="2" t="str">
        <f>IFERROR(__xludf.DUMMYFUNCTION("IF(C3256&lt;&gt;"""", GOOGLETRANSLATE(C3256, ""en"", ""te""),"""")"),"")</f>
        <v/>
      </c>
      <c r="E3256" s="2" t="s">
        <v>2283</v>
      </c>
      <c r="F3256" s="2" t="str">
        <f>IFERROR(__xludf.DUMMYFUNCTION("IF(E3256&lt;&gt;"""", GOOGLETRANSLATE(E3256, ""en"", ""te""),"""")"),"[ '11 వ ఒక ఇన్నింగ్స్ లోని బెస్ట్ ఫిగర్స్ ఉన్నప్పుడు పరాజయం వైపు (4)', '41 వ ఉత్తమ కెరీర్ సమ్మె రేటు (35.6)', '43 వ చెత్త కెరీర్లో ఆర్థిక రేటు (4.10)']")</f>
        <v>[ '11 వ ఒక ఇన్నింగ్స్ లోని బెస్ట్ ఫిగర్స్ ఉన్నప్పుడు పరాజయం వైపు (4)', '41 వ ఉత్తమ కెరీర్ సమ్మె రేటు (35.6)', '43 వ చెత్త కెరీర్లో ఆర్థిక రేటు (4.10)']</v>
      </c>
      <c r="G3256" s="2"/>
      <c r="H3256" s="2" t="str">
        <f>IFERROR(__xludf.DUMMYFUNCTION("IF(G3256&lt;&gt;"""", GOOGLETRANSLATE(G3256, ""en"", ""te""),"""")"),"")</f>
        <v/>
      </c>
      <c r="I3256" s="3"/>
    </row>
    <row r="3257" customHeight="1" spans="1:9">
      <c r="A3257" s="2"/>
      <c r="B3257" s="2" t="str">
        <f>IFERROR(__xludf.DUMMYFUNCTION("IF(A3257&lt;&gt;"""", GOOGLETRANSLATE(A3257, ""en"", ""te""),"""")"),"")</f>
        <v/>
      </c>
      <c r="C3257" s="2"/>
      <c r="D3257" s="2" t="str">
        <f>IFERROR(__xludf.DUMMYFUNCTION("IF(C3257&lt;&gt;"""", GOOGLETRANSLATE(C3257, ""en"", ""te""),"""")"),"")</f>
        <v/>
      </c>
      <c r="E3257" s="2"/>
      <c r="F3257" s="2" t="str">
        <f>IFERROR(__xludf.DUMMYFUNCTION("IF(E3257&lt;&gt;"""", GOOGLETRANSLATE(E3257, ""en"", ""te""),"""")"),"")</f>
        <v/>
      </c>
      <c r="G3257" s="2"/>
      <c r="H3257" s="2" t="str">
        <f>IFERROR(__xludf.DUMMYFUNCTION("IF(G3257&lt;&gt;"""", GOOGLETRANSLATE(G3257, ""en"", ""te""),"""")"),"")</f>
        <v/>
      </c>
      <c r="I3257" s="3"/>
    </row>
    <row r="3258" customHeight="1" spans="1:9">
      <c r="A3258" s="2" t="s">
        <v>2284</v>
      </c>
      <c r="B3258" s="2" t="str">
        <f>IFERROR(__xludf.DUMMYFUNCTION("IF(A3258&lt;&gt;"""", GOOGLETRANSLATE(A3258, ""en"", ""te""),"""")"),"[ 'గత మ్యాచ్లో 2nd హండ్రెడ్ (124)', '8 వ అత్యుత్తమ బౌలింగ్ ఇన్నింగ్స్ లో విశ్లేషించడం (4/8)', '5 వ ఉత్తమ కెరీర్ (2.00) (అర్హత లేకుండా) సగటు బౌలింగ్']")</f>
        <v>[ 'గత మ్యాచ్లో 2nd హండ్రెడ్ (124)', '8 వ అత్యుత్తమ బౌలింగ్ ఇన్నింగ్స్ లో విశ్లేషించడం (4/8)', '5 వ ఉత్తమ కెరీర్ (2.00) (అర్హత లేకుండా) సగటు బౌలింగ్']</v>
      </c>
      <c r="C3258" s="2" t="s">
        <v>2284</v>
      </c>
      <c r="D3258" s="2" t="str">
        <f>IFERROR(__xludf.DUMMYFUNCTION("IF(C3258&lt;&gt;"""", GOOGLETRANSLATE(C3258, ""en"", ""te""),"""")"),"[ 'గత మ్యాచ్లో 2nd హండ్రెడ్ (124)', '8 వ అత్యుత్తమ బౌలింగ్ ఇన్నింగ్స్ లో విశ్లేషించడం (4/8)', '5 వ ఉత్తమ కెరీర్ (2.00) (అర్హత లేకుండా) సగటు బౌలింగ్']")</f>
        <v>[ 'గత మ్యాచ్లో 2nd హండ్రెడ్ (124)', '8 వ అత్యుత్తమ బౌలింగ్ ఇన్నింగ్స్ లో విశ్లేషించడం (4/8)', '5 వ ఉత్తమ కెరీర్ (2.00) (అర్హత లేకుండా) సగటు బౌలింగ్']</v>
      </c>
      <c r="E3258" s="2"/>
      <c r="F3258" s="2" t="str">
        <f>IFERROR(__xludf.DUMMYFUNCTION("IF(E3258&lt;&gt;"""", GOOGLETRANSLATE(E3258, ""en"", ""te""),"""")"),"")</f>
        <v/>
      </c>
      <c r="G3258" s="2"/>
      <c r="H3258" s="2" t="str">
        <f>IFERROR(__xludf.DUMMYFUNCTION("IF(G3258&lt;&gt;"""", GOOGLETRANSLATE(G3258, ""en"", ""te""),"""")"),"")</f>
        <v/>
      </c>
      <c r="I3258" s="3"/>
    </row>
    <row r="3259" customHeight="1" spans="1:9">
      <c r="A3259" s="2" t="s">
        <v>2285</v>
      </c>
      <c r="B3259" s="2" t="str">
        <f>IFERROR(__xludf.DUMMYFUNCTION("IF(A3259&lt;&gt;"""", GOOGLETRANSLATE(A3259, ""en"", ""te""),"""")"),"[ '1st అత్యుత్తమ ఇన్నింగ్స్ లో విశ్లేషణలు బౌలింగ్ (1/0)', ​​'1st బెస్ట్ కెరీర్ (అర్హత లేకుండా) సగటు బౌలింగ్ (0.00)']")</f>
        <v>[ '1st అత్యుత్తమ ఇన్నింగ్స్ లో విశ్లేషణలు బౌలింగ్ (1/0)', ​​'1st బెస్ట్ కెరీర్ (అర్హత లేకుండా) సగటు బౌలింగ్ (0.00)']</v>
      </c>
      <c r="C3259" s="2" t="s">
        <v>2286</v>
      </c>
      <c r="D3259" s="2" t="str">
        <f>IFERROR(__xludf.DUMMYFUNCTION("IF(C3259&lt;&gt;"""", GOOGLETRANSLATE(C3259, ""en"", ""te""),"""")"),"[ '1st అత్యుత్తమ ఇన్నింగ్స్ లో విశ్లేషణలు బౌలింగ్ (1/0)', ​​'1st సగటు (అర్హత లేకుండా) (0.00) బౌలింగ్ ఉత్తమ జీవితం' 'కెప్టెన్సీ తొలి 49 వ ఓల్డెస్ట్ కాప్టెన్ (35y 199d)']")</f>
        <v>[ '1st అత్యుత్తమ ఇన్నింగ్స్ లో విశ్లేషణలు బౌలింగ్ (1/0)', ​​'1st సగటు (అర్హత లేకుండా) (0.00) బౌలింగ్ ఉత్తమ జీవితం' 'కెప్టెన్సీ తొలి 49 వ ఓల్డెస్ట్ కాప్టెన్ (35y 199d)']</v>
      </c>
      <c r="E3259" s="2"/>
      <c r="F3259" s="2" t="str">
        <f>IFERROR(__xludf.DUMMYFUNCTION("IF(E3259&lt;&gt;"""", GOOGLETRANSLATE(E3259, ""en"", ""te""),"""")"),"")</f>
        <v/>
      </c>
      <c r="G3259" s="2"/>
      <c r="H3259" s="2" t="str">
        <f>IFERROR(__xludf.DUMMYFUNCTION("IF(G3259&lt;&gt;"""", GOOGLETRANSLATE(G3259, ""en"", ""te""),"""")"),"")</f>
        <v/>
      </c>
      <c r="I3259" s="3"/>
    </row>
    <row r="3260" customHeight="1" spans="1:9">
      <c r="A3260" s="2"/>
      <c r="B3260" s="2" t="str">
        <f>IFERROR(__xludf.DUMMYFUNCTION("IF(A3260&lt;&gt;"""", GOOGLETRANSLATE(A3260, ""en"", ""te""),"""")"),"")</f>
        <v/>
      </c>
      <c r="C3260" s="2"/>
      <c r="D3260" s="2" t="str">
        <f>IFERROR(__xludf.DUMMYFUNCTION("IF(C3260&lt;&gt;"""", GOOGLETRANSLATE(C3260, ""en"", ""te""),"""")"),"")</f>
        <v/>
      </c>
      <c r="E3260" s="2"/>
      <c r="F3260" s="2" t="str">
        <f>IFERROR(__xludf.DUMMYFUNCTION("IF(E3260&lt;&gt;"""", GOOGLETRANSLATE(E3260, ""en"", ""te""),"""")"),"")</f>
        <v/>
      </c>
      <c r="G3260" s="2"/>
      <c r="H3260" s="2" t="str">
        <f>IFERROR(__xludf.DUMMYFUNCTION("IF(G3260&lt;&gt;"""", GOOGLETRANSLATE(G3260, ""en"", ""te""),"""")"),"")</f>
        <v/>
      </c>
      <c r="I3260" s="3"/>
    </row>
    <row r="3261" customHeight="1" spans="1:9">
      <c r="A3261" s="2"/>
      <c r="B3261" s="2" t="str">
        <f>IFERROR(__xludf.DUMMYFUNCTION("IF(A3261&lt;&gt;"""", GOOGLETRANSLATE(A3261, ""en"", ""te""),"""")"),"")</f>
        <v/>
      </c>
      <c r="C3261" s="2" t="s">
        <v>2287</v>
      </c>
      <c r="D3261" s="2" t="str">
        <f>IFERROR(__xludf.DUMMYFUNCTION("IF(C3261&lt;&gt;"""", GOOGLETRANSLATE(C3261, ""en"", ""te""),"""")"),"[ '37 వ షార్టేస్ట్ నివసించారు క్రీడాకారులు (33y 271d)']")</f>
        <v>[ '37 వ షార్టేస్ట్ నివసించారు క్రీడాకారులు (33y 271d)']</v>
      </c>
      <c r="E3261" s="2"/>
      <c r="F3261" s="2" t="str">
        <f>IFERROR(__xludf.DUMMYFUNCTION("IF(E3261&lt;&gt;"""", GOOGLETRANSLATE(E3261, ""en"", ""te""),"""")"),"")</f>
        <v/>
      </c>
      <c r="G3261" s="2"/>
      <c r="H3261" s="2" t="str">
        <f>IFERROR(__xludf.DUMMYFUNCTION("IF(G3261&lt;&gt;"""", GOOGLETRANSLATE(G3261, ""en"", ""te""),"""")"),"")</f>
        <v/>
      </c>
      <c r="I3261" s="3"/>
    </row>
    <row r="3262" customHeight="1" spans="1:9">
      <c r="A3262" s="2"/>
      <c r="B3262" s="2" t="str">
        <f>IFERROR(__xludf.DUMMYFUNCTION("IF(A3262&lt;&gt;"""", GOOGLETRANSLATE(A3262, ""en"", ""te""),"""")"),"")</f>
        <v/>
      </c>
      <c r="C3262" s="2"/>
      <c r="D3262" s="2" t="str">
        <f>IFERROR(__xludf.DUMMYFUNCTION("IF(C3262&lt;&gt;"""", GOOGLETRANSLATE(C3262, ""en"", ""te""),"""")"),"")</f>
        <v/>
      </c>
      <c r="E3262" s="2"/>
      <c r="F3262" s="2" t="str">
        <f>IFERROR(__xludf.DUMMYFUNCTION("IF(E3262&lt;&gt;"""", GOOGLETRANSLATE(E3262, ""en"", ""te""),"""")"),"")</f>
        <v/>
      </c>
      <c r="G3262" s="2"/>
      <c r="H3262" s="2" t="str">
        <f>IFERROR(__xludf.DUMMYFUNCTION("IF(G3262&lt;&gt;"""", GOOGLETRANSLATE(G3262, ""en"", ""te""),"""")"),"")</f>
        <v/>
      </c>
      <c r="I3262" s="3"/>
    </row>
    <row r="3263" customHeight="1" spans="1:9">
      <c r="A3263" s="2"/>
      <c r="B3263" s="2" t="str">
        <f>IFERROR(__xludf.DUMMYFUNCTION("IF(A3263&lt;&gt;"""", GOOGLETRANSLATE(A3263, ""en"", ""te""),"""")"),"")</f>
        <v/>
      </c>
      <c r="C3263" s="2"/>
      <c r="D3263" s="2" t="str">
        <f>IFERROR(__xludf.DUMMYFUNCTION("IF(C3263&lt;&gt;"""", GOOGLETRANSLATE(C3263, ""en"", ""te""),"""")"),"")</f>
        <v/>
      </c>
      <c r="E3263" s="2"/>
      <c r="F3263" s="2" t="str">
        <f>IFERROR(__xludf.DUMMYFUNCTION("IF(E3263&lt;&gt;"""", GOOGLETRANSLATE(E3263, ""en"", ""te""),"""")"),"")</f>
        <v/>
      </c>
      <c r="G3263" s="2"/>
      <c r="H3263" s="2" t="str">
        <f>IFERROR(__xludf.DUMMYFUNCTION("IF(G3263&lt;&gt;"""", GOOGLETRANSLATE(G3263, ""en"", ""te""),"""")"),"")</f>
        <v/>
      </c>
      <c r="I3263" s="3"/>
    </row>
    <row r="3264" customHeight="1" spans="1:9">
      <c r="A3264" s="2"/>
      <c r="B3264" s="2" t="str">
        <f>IFERROR(__xludf.DUMMYFUNCTION("IF(A3264&lt;&gt;"""", GOOGLETRANSLATE(A3264, ""en"", ""te""),"""")"),"")</f>
        <v/>
      </c>
      <c r="C3264" s="2"/>
      <c r="D3264" s="2" t="str">
        <f>IFERROR(__xludf.DUMMYFUNCTION("IF(C3264&lt;&gt;"""", GOOGLETRANSLATE(C3264, ""en"", ""te""),"""")"),"")</f>
        <v/>
      </c>
      <c r="E3264" s="2"/>
      <c r="F3264" s="2" t="str">
        <f>IFERROR(__xludf.DUMMYFUNCTION("IF(E3264&lt;&gt;"""", GOOGLETRANSLATE(E3264, ""en"", ""te""),"""")"),"")</f>
        <v/>
      </c>
      <c r="G3264" s="2"/>
      <c r="H3264" s="2" t="str">
        <f>IFERROR(__xludf.DUMMYFUNCTION("IF(G3264&lt;&gt;"""", GOOGLETRANSLATE(G3264, ""en"", ""te""),"""")"),"")</f>
        <v/>
      </c>
      <c r="I3264" s="3"/>
    </row>
    <row r="3265" customHeight="1" spans="1:9">
      <c r="A3265" s="2" t="s">
        <v>2288</v>
      </c>
      <c r="B3265" s="2" t="str">
        <f>IFERROR(__xludf.DUMMYFUNCTION("IF(A3265&lt;&gt;"""", GOOGLETRANSLATE(A3265, ""en"", ""te""),"""")"),"[ '7th లాంగెస్ట్ కెరీర్లు (22y 233d)', '1 వ అత్యంత వృద్ధ ఆటగాడు వంద (46y 82d) స్కోర్', '2nd 5000 వేగంగా పరుగులు (91)', 'బ్యాటింగ్ తెరవడం మరియు అదే మ్యాచ్ లో బౌలింగ్', '7th లాంగెస్ట్ కెరీర్లు (22y 233d) ']")</f>
        <v>[ '7th లాంగెస్ట్ కెరీర్లు (22y 233d)', '1 వ అత్యంత వృద్ధ ఆటగాడు వంద (46y 82d) స్కోర్', '2nd 5000 వేగంగా పరుగులు (91)', 'బ్యాటింగ్ తెరవడం మరియు అదే మ్యాచ్ లో బౌలింగ్', '7th లాంగెస్ట్ కెరీర్లు (22y 233d) ']</v>
      </c>
      <c r="C3265" s="2" t="s">
        <v>2289</v>
      </c>
      <c r="D3265" s="2" t="str">
        <f>IFERROR(__xludf.DUMMYFUNCTION("IF(C3265&lt;&gt;"""", GOOGLETRANSLATE(C3265, ""en"", ""te""),"""")"),"[ '50 వ రోజుకు లో అత్యధిక పరుగులు (199)', '14 వ అత్యధిక కెరీర్ బ్యాటింగ్ సగటు (56.94)', 'ఒక జట్టుతో 3 వ అత్యధిక వందలు (12)', '21 వ '48 వ వరుస (662) అత్యధిక పరుగులు' వరుస మ్యాచ్లలో సెంచరీలు (3) ',' 1 వ అత్యంత వృద్ధ ఆటగాడు వంద (46y 82d) కెరీర్లో ',' 45 వ అత"&amp;"ి తక్కువ బాతులు (25.5) 2000 పరుగులు ',' 22 వ వేగంగా స్కోర్ (41) ',' 11 వ 3000 వేగవంతమైన పరుగులు (60) ',' ఫాస్టెస్ట్ 4000 పరుగులు 5 వ (75) ',' 2nd 5000 వేగంగా పరుగులు (91) ',' 25 వ చెత్త కెరీర్లో మొదటి కోసం సగటు (అర్హత లేకుండా) (165.00) ',' 11 వ అత్యధిక భ"&amp;"ాగస్వామ్యం బౌలింగ్ వికెట్ (323) ',' 7 వ ఓల్డెస్ట్ క్రీడాకారులు (47y 249d) ',' 7 వ లాంగెస్ట్ కెరీర్లు (22y 233d) ']")</f>
        <v>[ '50 వ రోజుకు లో అత్యధిక పరుగులు (199)', '14 వ అత్యధిక కెరీర్ బ్యాటింగ్ సగటు (56.94)', 'ఒక జట్టుతో 3 వ అత్యధిక వందలు (12)', '21 వ '48 వ వరుస (662) అత్యధిక పరుగులు' వరుస మ్యాచ్లలో సెంచరీలు (3) ',' 1 వ అత్యంత వృద్ధ ఆటగాడు వంద (46y 82d) కెరీర్లో ',' 45 వ అతి తక్కువ బాతులు (25.5) 2000 పరుగులు ',' 22 వ వేగంగా స్కోర్ (41) ',' 11 వ 3000 వేగవంతమైన పరుగులు (60) ',' ఫాస్టెస్ట్ 4000 పరుగులు 5 వ (75) ',' 2nd 5000 వేగంగా పరుగులు (91) ',' 25 వ చెత్త కెరీర్లో మొదటి కోసం సగటు (అర్హత లేకుండా) (165.00) ',' 11 వ అత్యధిక భాగస్వామ్యం బౌలింగ్ వికెట్ (323) ',' 7 వ ఓల్డెస్ట్ క్రీడాకారులు (47y 249d) ',' 7 వ లాంగెస్ట్ కెరీర్లు (22y 233d) ']</v>
      </c>
      <c r="E3265" s="2"/>
      <c r="F3265" s="2" t="str">
        <f>IFERROR(__xludf.DUMMYFUNCTION("IF(E3265&lt;&gt;"""", GOOGLETRANSLATE(E3265, ""en"", ""te""),"""")"),"")</f>
        <v/>
      </c>
      <c r="G3265" s="2"/>
      <c r="H3265" s="2" t="str">
        <f>IFERROR(__xludf.DUMMYFUNCTION("IF(G3265&lt;&gt;"""", GOOGLETRANSLATE(G3265, ""en"", ""te""),"""")"),"")</f>
        <v/>
      </c>
      <c r="I3265" s="3"/>
    </row>
    <row r="3266" customHeight="1" spans="1:9">
      <c r="A3266" s="2"/>
      <c r="B3266" s="2" t="str">
        <f>IFERROR(__xludf.DUMMYFUNCTION("IF(A3266&lt;&gt;"""", GOOGLETRANSLATE(A3266, ""en"", ""te""),"""")"),"")</f>
        <v/>
      </c>
      <c r="C3266" s="2"/>
      <c r="D3266" s="2" t="str">
        <f>IFERROR(__xludf.DUMMYFUNCTION("IF(C3266&lt;&gt;"""", GOOGLETRANSLATE(C3266, ""en"", ""te""),"""")"),"")</f>
        <v/>
      </c>
      <c r="E3266" s="2"/>
      <c r="F3266" s="2" t="str">
        <f>IFERROR(__xludf.DUMMYFUNCTION("IF(E3266&lt;&gt;"""", GOOGLETRANSLATE(E3266, ""en"", ""te""),"""")"),"")</f>
        <v/>
      </c>
      <c r="G3266" s="2"/>
      <c r="H3266" s="2" t="str">
        <f>IFERROR(__xludf.DUMMYFUNCTION("IF(G3266&lt;&gt;"""", GOOGLETRANSLATE(G3266, ""en"", ""te""),"""")"),"")</f>
        <v/>
      </c>
      <c r="I3266" s="3"/>
    </row>
    <row r="3267" customHeight="1" spans="1:9">
      <c r="A3267" s="2" t="s">
        <v>2290</v>
      </c>
      <c r="B3267" s="2" t="str">
        <f>IFERROR(__xludf.DUMMYFUNCTION("IF(A3267&lt;&gt;"""", GOOGLETRANSLATE(A3267, ""en"", ""te""),"""")"),"[ '7th పదకొండు సంఖ్య ఇన్నింగ్స్ లో టాప్ స్కోరింగ్ (42)', '1 వ అత్యుత్తమ బౌలింగ్ ఇన్నింగ్స్ లో విశ్లేషించడం (7/12)']")</f>
        <v>[ '7th పదకొండు సంఖ్య ఇన్నింగ్స్ లో టాప్ స్కోరింగ్ (42)', '1 వ అత్యుత్తమ బౌలింగ్ ఇన్నింగ్స్ లో విశ్లేషించడం (7/12)']</v>
      </c>
      <c r="C3267" s="2" t="s">
        <v>2291</v>
      </c>
      <c r="D3267" s="2" t="str">
        <f>IFERROR(__xludf.DUMMYFUNCTION("IF(C3267&lt;&gt;"""", GOOGLETRANSLATE(C3267, ""en"", ""te""),"""")"),"[ '19 కెరీర్ బాతులు (21)', 'ఇన్నింగ్స్ లో 7 వ సంఖ్య పదకొండు టాప్ స్కోరింగ్ (42)', '23 వ అత్యధిక వికెట్లు ఒక క్యాలెండర్ సంవత్సరంలో (67)', '1 వ అత్యుత్తమ బౌలింగ్ ఇన్నింగ్స్ లో విశ్లేషించడం (7 / 12) ',' 42 వ అత్యధిక వికెట్లు ఆకర్షించింది తీసుకోకూడదు (161) ',"&amp;"' 37 వ అత్యధిక వికెట్లు ఒక వికెట్ కీపర్ చే కాట్ తీసుకోకూడదు (58) ',' 37 వ 100 వికెట్లు (23) వేగంగా ']")</f>
        <v>[ '19 కెరీర్ బాతులు (21)', 'ఇన్నింగ్స్ లో 7 వ సంఖ్య పదకొండు టాప్ స్కోరింగ్ (42)', '23 వ అత్యధిక వికెట్లు ఒక క్యాలెండర్ సంవత్సరంలో (67)', '1 వ అత్యుత్తమ బౌలింగ్ ఇన్నింగ్స్ లో విశ్లేషించడం (7 / 12) ',' 42 వ అత్యధిక వికెట్లు ఆకర్షించింది తీసుకోకూడదు (161) ',' 37 వ అత్యధిక వికెట్లు ఒక వికెట్ కీపర్ చే కాట్ తీసుకోకూడదు (58) ',' 37 వ 100 వికెట్లు (23) వేగంగా ']</v>
      </c>
      <c r="E3267" s="2" t="s">
        <v>2292</v>
      </c>
      <c r="F3267" s="2" t="str">
        <f>IFERROR(__xludf.DUMMYFUNCTION("IF(E3267&lt;&gt;"""", GOOGLETRANSLATE(E3267, ""en"", ""te""),"""")"),"[ '13 వ వరుస నాలుగు వికెట్లు-ఇన్-ఒక-ఇన్నింగ్స్ (2)', '15 వ ఇన్నింగ్స్ లో సాధించిన (97) అత్యధిక పరుగులు']")</f>
        <v>[ '13 వ వరుస నాలుగు వికెట్లు-ఇన్-ఒక-ఇన్నింగ్స్ (2)', '15 వ ఇన్నింగ్స్ లో సాధించిన (97) అత్యధిక పరుగులు']</v>
      </c>
      <c r="G3267" s="2"/>
      <c r="H3267" s="2" t="str">
        <f>IFERROR(__xludf.DUMMYFUNCTION("IF(G3267&lt;&gt;"""", GOOGLETRANSLATE(G3267, ""en"", ""te""),"""")"),"")</f>
        <v/>
      </c>
      <c r="I3267" s="3"/>
    </row>
    <row r="3268" customHeight="1" spans="1:9">
      <c r="A3268" s="2"/>
      <c r="B3268" s="2" t="str">
        <f>IFERROR(__xludf.DUMMYFUNCTION("IF(A3268&lt;&gt;"""", GOOGLETRANSLATE(A3268, ""en"", ""te""),"""")"),"")</f>
        <v/>
      </c>
      <c r="C3268" s="2" t="s">
        <v>2293</v>
      </c>
      <c r="D3268" s="2" t="str">
        <f>IFERROR(__xludf.DUMMYFUNCTION("IF(C3268&lt;&gt;"""", GOOGLETRANSLATE(C3268, ""en"", ""te""),"""")"),"[ '36 వ ఉత్తమ కెరీర్ సమ్మె రేటు (50.4)', '33 వ ప్రవేశం (8) ఒక మ్యాచ్లో బెస్ట్ ఫిగర్స్']")</f>
        <v>[ '36 వ ఉత్తమ కెరీర్ సమ్మె రేటు (50.4)', '33 వ ప్రవేశం (8) ఒక మ్యాచ్లో బెస్ట్ ఫిగర్స్']</v>
      </c>
      <c r="E3268" s="2"/>
      <c r="F3268" s="2" t="str">
        <f>IFERROR(__xludf.DUMMYFUNCTION("IF(E3268&lt;&gt;"""", GOOGLETRANSLATE(E3268, ""en"", ""te""),"""")"),"")</f>
        <v/>
      </c>
      <c r="G3268" s="2"/>
      <c r="H3268" s="2" t="str">
        <f>IFERROR(__xludf.DUMMYFUNCTION("IF(G3268&lt;&gt;"""", GOOGLETRANSLATE(G3268, ""en"", ""te""),"""")"),"")</f>
        <v/>
      </c>
      <c r="I3268" s="3"/>
    </row>
    <row r="3269" customHeight="1" spans="1:9">
      <c r="A3269" s="2" t="s">
        <v>2294</v>
      </c>
      <c r="B3269" s="2" t="str">
        <f>IFERROR(__xludf.DUMMYFUNCTION("IF(A3269&lt;&gt;"""", GOOGLETRANSLATE(A3269, ""en"", ""te""),"""")"),"[ '9 వ అత్యంత వృద్ధ ఆటగాడు తొలి తీసుకుని ఐదు-వికెట్ల లో-ఒక-ఇన్నింగ్స్ (38y 270d)']")</f>
        <v>[ '9 వ అత్యంత వృద్ధ ఆటగాడు తొలి తీసుకుని ఐదు-వికెట్ల లో-ఒక-ఇన్నింగ్స్ (38y 270d)']</v>
      </c>
      <c r="C3269" s="2" t="s">
        <v>2295</v>
      </c>
      <c r="D3269" s="2" t="str">
        <f>IFERROR(__xludf.DUMMYFUNCTION("IF(C3269&lt;&gt;"""", GOOGLETRANSLATE(C3269, ""en"", ""te""),"""")"),"[ '27 ఓల్డెస్ట్ క్రీడాకారుల' అయిదు వికెట్లు-ఇన్-ఒక-ఇన్నింగ్స్ (38y 270d) కన్య తీసుకోవాలని 9 వ అత్యంత వృద్ధ ఆటగాడు '' 22 వ అత్యంత వృద్ధ ఆటగాడు (38y 270d) ఐదు వికెట్లు-ఇన్-ఒక-ఇన్నింగ్స్ తీసుకోవాలని ', ప్రవేశం (38y 112d) ']")</f>
        <v>[ '27 ఓల్డెస్ట్ క్రీడాకారుల' అయిదు వికెట్లు-ఇన్-ఒక-ఇన్నింగ్స్ (38y 270d) కన్య తీసుకోవాలని 9 వ అత్యంత వృద్ధ ఆటగాడు '' 22 వ అత్యంత వృద్ధ ఆటగాడు (38y 270d) ఐదు వికెట్లు-ఇన్-ఒక-ఇన్నింగ్స్ తీసుకోవాలని ', ప్రవేశం (38y 112d) ']</v>
      </c>
      <c r="E3269" s="2"/>
      <c r="F3269" s="2" t="str">
        <f>IFERROR(__xludf.DUMMYFUNCTION("IF(E3269&lt;&gt;"""", GOOGLETRANSLATE(E3269, ""en"", ""te""),"""")"),"")</f>
        <v/>
      </c>
      <c r="G3269" s="2"/>
      <c r="H3269" s="2" t="str">
        <f>IFERROR(__xludf.DUMMYFUNCTION("IF(G3269&lt;&gt;"""", GOOGLETRANSLATE(G3269, ""en"", ""te""),"""")"),"")</f>
        <v/>
      </c>
      <c r="I3269" s="3"/>
    </row>
    <row r="3270" customHeight="1" spans="1:9">
      <c r="A3270" s="2"/>
      <c r="B3270" s="2" t="str">
        <f>IFERROR(__xludf.DUMMYFUNCTION("IF(A3270&lt;&gt;"""", GOOGLETRANSLATE(A3270, ""en"", ""te""),"""")"),"")</f>
        <v/>
      </c>
      <c r="C3270" s="2"/>
      <c r="D3270" s="2" t="str">
        <f>IFERROR(__xludf.DUMMYFUNCTION("IF(C3270&lt;&gt;"""", GOOGLETRANSLATE(C3270, ""en"", ""te""),"""")"),"")</f>
        <v/>
      </c>
      <c r="E3270" s="2"/>
      <c r="F3270" s="2" t="str">
        <f>IFERROR(__xludf.DUMMYFUNCTION("IF(E3270&lt;&gt;"""", GOOGLETRANSLATE(E3270, ""en"", ""te""),"""")"),"")</f>
        <v/>
      </c>
      <c r="G3270" s="2"/>
      <c r="H3270" s="2" t="str">
        <f>IFERROR(__xludf.DUMMYFUNCTION("IF(G3270&lt;&gt;"""", GOOGLETRANSLATE(G3270, ""en"", ""te""),"""")"),"")</f>
        <v/>
      </c>
      <c r="I3270" s="3"/>
    </row>
    <row r="3271" customHeight="1" spans="1:9">
      <c r="A3271" s="2"/>
      <c r="B3271" s="2" t="str">
        <f>IFERROR(__xludf.DUMMYFUNCTION("IF(A3271&lt;&gt;"""", GOOGLETRANSLATE(A3271, ""en"", ""te""),"""")"),"")</f>
        <v/>
      </c>
      <c r="C3271" s="2"/>
      <c r="D3271" s="2" t="str">
        <f>IFERROR(__xludf.DUMMYFUNCTION("IF(C3271&lt;&gt;"""", GOOGLETRANSLATE(C3271, ""en"", ""te""),"""")"),"")</f>
        <v/>
      </c>
      <c r="E3271" s="2"/>
      <c r="F3271" s="2" t="str">
        <f>IFERROR(__xludf.DUMMYFUNCTION("IF(E3271&lt;&gt;"""", GOOGLETRANSLATE(E3271, ""en"", ""te""),"""")"),"")</f>
        <v/>
      </c>
      <c r="G3271" s="2"/>
      <c r="H3271" s="2" t="str">
        <f>IFERROR(__xludf.DUMMYFUNCTION("IF(G3271&lt;&gt;"""", GOOGLETRANSLATE(G3271, ""en"", ""te""),"""")"),"")</f>
        <v/>
      </c>
      <c r="I3271" s="3"/>
    </row>
    <row r="3272" customHeight="1" spans="1:9">
      <c r="A3272" s="2" t="s">
        <v>2296</v>
      </c>
      <c r="B3272" s="2" t="str">
        <f>IFERROR(__xludf.DUMMYFUNCTION("IF(A3272&lt;&gt;"""", GOOGLETRANSLATE(A3272, ""en"", ""te""),"""")"),"[ '3 వ షార్టేస్ట్ నివసించారు క్రీడాకారులు (24y 132d)']")</f>
        <v>[ '3 వ షార్టేస్ట్ నివసించారు క్రీడాకారులు (24y 132d)']</v>
      </c>
      <c r="C3272" s="2" t="s">
        <v>2296</v>
      </c>
      <c r="D3272" s="2" t="str">
        <f>IFERROR(__xludf.DUMMYFUNCTION("IF(C3272&lt;&gt;"""", GOOGLETRANSLATE(C3272, ""en"", ""te""),"""")"),"[ '3 వ షార్టేస్ట్ నివసించారు క్రీడాకారులు (24y 132d)']")</f>
        <v>[ '3 వ షార్టేస్ట్ నివసించారు క్రీడాకారులు (24y 132d)']</v>
      </c>
      <c r="E3272" s="2" t="s">
        <v>2296</v>
      </c>
      <c r="F3272" s="2" t="str">
        <f>IFERROR(__xludf.DUMMYFUNCTION("IF(E3272&lt;&gt;"""", GOOGLETRANSLATE(E3272, ""en"", ""te""),"""")"),"[ '3 వ షార్టేస్ట్ నివసించారు క్రీడాకారులు (24y 132d)']")</f>
        <v>[ '3 వ షార్టేస్ట్ నివసించారు క్రీడాకారులు (24y 132d)']</v>
      </c>
      <c r="G3272" s="2"/>
      <c r="H3272" s="2" t="str">
        <f>IFERROR(__xludf.DUMMYFUNCTION("IF(G3272&lt;&gt;"""", GOOGLETRANSLATE(G3272, ""en"", ""te""),"""")"),"")</f>
        <v/>
      </c>
      <c r="I3272" s="3"/>
    </row>
    <row r="3273" customHeight="1" spans="1:9">
      <c r="A3273" s="2"/>
      <c r="B3273" s="2" t="str">
        <f>IFERROR(__xludf.DUMMYFUNCTION("IF(A3273&lt;&gt;"""", GOOGLETRANSLATE(A3273, ""en"", ""te""),"""")"),"")</f>
        <v/>
      </c>
      <c r="C3273" s="2"/>
      <c r="D3273" s="2" t="str">
        <f>IFERROR(__xludf.DUMMYFUNCTION("IF(C3273&lt;&gt;"""", GOOGLETRANSLATE(C3273, ""en"", ""te""),"""")"),"")</f>
        <v/>
      </c>
      <c r="E3273" s="2"/>
      <c r="F3273" s="2" t="str">
        <f>IFERROR(__xludf.DUMMYFUNCTION("IF(E3273&lt;&gt;"""", GOOGLETRANSLATE(E3273, ""en"", ""te""),"""")"),"")</f>
        <v/>
      </c>
      <c r="G3273" s="2"/>
      <c r="H3273" s="2" t="str">
        <f>IFERROR(__xludf.DUMMYFUNCTION("IF(G3273&lt;&gt;"""", GOOGLETRANSLATE(G3273, ""en"", ""te""),"""")"),"")</f>
        <v/>
      </c>
      <c r="I3273" s="3"/>
    </row>
    <row r="3274" customHeight="1" spans="1:9">
      <c r="A3274" s="2"/>
      <c r="B3274" s="2" t="str">
        <f>IFERROR(__xludf.DUMMYFUNCTION("IF(A3274&lt;&gt;"""", GOOGLETRANSLATE(A3274, ""en"", ""te""),"""")"),"")</f>
        <v/>
      </c>
      <c r="C3274" s="2"/>
      <c r="D3274" s="2" t="str">
        <f>IFERROR(__xludf.DUMMYFUNCTION("IF(C3274&lt;&gt;"""", GOOGLETRANSLATE(C3274, ""en"", ""te""),"""")"),"")</f>
        <v/>
      </c>
      <c r="E3274" s="2"/>
      <c r="F3274" s="2" t="str">
        <f>IFERROR(__xludf.DUMMYFUNCTION("IF(E3274&lt;&gt;"""", GOOGLETRANSLATE(E3274, ""en"", ""te""),"""")"),"")</f>
        <v/>
      </c>
      <c r="G3274" s="2"/>
      <c r="H3274" s="2" t="str">
        <f>IFERROR(__xludf.DUMMYFUNCTION("IF(G3274&lt;&gt;"""", GOOGLETRANSLATE(G3274, ""en"", ""te""),"""")"),"")</f>
        <v/>
      </c>
      <c r="I3274" s="3"/>
    </row>
    <row r="3275" customHeight="1" spans="1:9">
      <c r="A3275" s="2" t="s">
        <v>2297</v>
      </c>
      <c r="B3275" s="2" t="str">
        <f>IFERROR(__xludf.DUMMYFUNCTION("IF(A3275&lt;&gt;"""", GOOGLETRANSLATE(A3275, ""en"", ""te""),"""")"),"[ '2 వ అత్యుత్తమ బౌలింగ్ ఇన్నింగ్స్ విశ్లేషణలలో (4/5)', 'పదవ వికెట్ను (128) 9 వ అత్యధిక భాగస్వామ్యం']")</f>
        <v>[ '2 వ అత్యుత్తమ బౌలింగ్ ఇన్నింగ్స్ విశ్లేషణలలో (4/5)', 'పదవ వికెట్ను (128) 9 వ అత్యధిక భాగస్వామ్యం']</v>
      </c>
      <c r="C3275" s="2" t="s">
        <v>2298</v>
      </c>
      <c r="D3275" s="2" t="str">
        <f>IFERROR(__xludf.DUMMYFUNCTION("IF(C3275&lt;&gt;"""", GOOGLETRANSLATE(C3275, ""en"", ""te""),"""")"),"[ '2 వ అత్యుత్తమ బౌలింగ్ ఇన్నింగ్స్ విశ్లేషణలలో (4/5)', 50 వికెట్లు, '20th వేగవంతమైన' ప్రవేశం (8) ఒక మ్యాచ్లో 33 వ బెస్ట్ ఫిగర్స్ ',' 17 వ బౌలింగ్ సరాసరి (20.74) ఉత్తమ కెరీర్లో '(10) ',' పదవ వికెట్ను (128) 9 వ అత్యధిక భాగస్వామ్యం ']")</f>
        <v>[ '2 వ అత్యుత్తమ బౌలింగ్ ఇన్నింగ్స్ విశ్లేషణలలో (4/5)', 50 వికెట్లు, '20th వేగవంతమైన' ప్రవేశం (8) ఒక మ్యాచ్లో 33 వ బెస్ట్ ఫిగర్స్ ',' 17 వ బౌలింగ్ సరాసరి (20.74) ఉత్తమ కెరీర్లో '(10) ',' పదవ వికెట్ను (128) 9 వ అత్యధిక భాగస్వామ్యం ']</v>
      </c>
      <c r="E3275" s="2"/>
      <c r="F3275" s="2" t="str">
        <f>IFERROR(__xludf.DUMMYFUNCTION("IF(E3275&lt;&gt;"""", GOOGLETRANSLATE(E3275, ""en"", ""te""),"""")"),"")</f>
        <v/>
      </c>
      <c r="G3275" s="2"/>
      <c r="H3275" s="2" t="str">
        <f>IFERROR(__xludf.DUMMYFUNCTION("IF(G3275&lt;&gt;"""", GOOGLETRANSLATE(G3275, ""en"", ""te""),"""")"),"")</f>
        <v/>
      </c>
      <c r="I3275" s="3"/>
    </row>
    <row r="3276" customHeight="1" spans="1:9">
      <c r="A3276" s="2"/>
      <c r="B3276" s="2" t="str">
        <f>IFERROR(__xludf.DUMMYFUNCTION("IF(A3276&lt;&gt;"""", GOOGLETRANSLATE(A3276, ""en"", ""te""),"""")"),"")</f>
        <v/>
      </c>
      <c r="C3276" s="2"/>
      <c r="D3276" s="2" t="str">
        <f>IFERROR(__xludf.DUMMYFUNCTION("IF(C3276&lt;&gt;"""", GOOGLETRANSLATE(C3276, ""en"", ""te""),"""")"),"")</f>
        <v/>
      </c>
      <c r="E3276" s="2"/>
      <c r="F3276" s="2" t="str">
        <f>IFERROR(__xludf.DUMMYFUNCTION("IF(E3276&lt;&gt;"""", GOOGLETRANSLATE(E3276, ""en"", ""te""),"""")"),"")</f>
        <v/>
      </c>
      <c r="G3276" s="2"/>
      <c r="H3276" s="2" t="str">
        <f>IFERROR(__xludf.DUMMYFUNCTION("IF(G3276&lt;&gt;"""", GOOGLETRANSLATE(G3276, ""en"", ""te""),"""")"),"")</f>
        <v/>
      </c>
      <c r="I3276" s="3"/>
    </row>
    <row r="3277" customHeight="1" spans="1:9">
      <c r="A3277" s="2" t="s">
        <v>2299</v>
      </c>
      <c r="B3277" s="2" t="str">
        <f>IFERROR(__xludf.DUMMYFUNCTION("IF(A3277&lt;&gt;"""", GOOGLETRANSLATE(A3277, ""en"", ""te""),"""")"),"[ 'ప్రవేశం (4) ఒక ఇన్నింగ్స్ లో 6 వ ఉత్తమ బొమ్మల' 10 వ అత్యుత్తమ ఇన్నింగ్స్ లో విశ్లేషణలు బౌలింగ్ (2/2) ',]")</f>
        <v>[ 'ప్రవేశం (4) ఒక ఇన్నింగ్స్ లో 6 వ ఉత్తమ బొమ్మల' 10 వ అత్యుత్తమ ఇన్నింగ్స్ లో విశ్లేషణలు బౌలింగ్ (2/2) ',]</v>
      </c>
      <c r="C3277" s="2" t="s">
        <v>2300</v>
      </c>
      <c r="D3277" s="2" t="str">
        <f>IFERROR(__xludf.DUMMYFUNCTION("IF(C3277&lt;&gt;"""", GOOGLETRANSLATE(C3277, ""en"", ""te""),"""")"),"[ '36 వ చెత్త కెరీర్ బౌలింగ్ సరాసరి (అర్హత లేకుండా) (66.66)']")</f>
        <v>[ '36 వ చెత్త కెరీర్ బౌలింగ్ సరాసరి (అర్హత లేకుండా) (66.66)']</v>
      </c>
      <c r="E3277" s="2" t="s">
        <v>2301</v>
      </c>
      <c r="F3277" s="2" t="str">
        <f>IFERROR(__xludf.DUMMYFUNCTION("IF(E3277&lt;&gt;"""", GOOGLETRANSLATE(E3277, ""en"", ""te""),"""")"),"[ '10 వ అత్యుత్తమ ఇన్నింగ్స్ లో బౌలింగ్ విశ్లేషణలు (2/2)', 'ఒక ఇన్నింగ్స్ లో 11 వ బెస్ట్ ఫిగర్స్ ఉన్నప్పుడు పరాజయం వైపు (4)', '18 వ ఉత్తమ కెరీర్ ఆర్థిక రేటు (2.43)', '16 వ ఉత్తమ ఆర్ధిక వ్యవస్థలో రేటు ఇన్నింగ్స్ తొలి (4) ఒక ఇన్నింగ్స్ లో (0.30) ',' 6 వ ఉత"&amp;"్తమ బొమ్మల]")</f>
        <v>[ '10 వ అత్యుత్తమ ఇన్నింగ్స్ లో బౌలింగ్ విశ్లేషణలు (2/2)', 'ఒక ఇన్నింగ్స్ లో 11 వ బెస్ట్ ఫిగర్స్ ఉన్నప్పుడు పరాజయం వైపు (4)', '18 వ ఉత్తమ కెరీర్ ఆర్థిక రేటు (2.43)', '16 వ ఉత్తమ ఆర్ధిక వ్యవస్థలో రేటు ఇన్నింగ్స్ తొలి (4) ఒక ఇన్నింగ్స్ లో (0.30) ',' 6 వ ఉత్తమ బొమ్మల]</v>
      </c>
      <c r="G3277" s="2"/>
      <c r="H3277" s="2" t="str">
        <f>IFERROR(__xludf.DUMMYFUNCTION("IF(G3277&lt;&gt;"""", GOOGLETRANSLATE(G3277, ""en"", ""te""),"""")"),"")</f>
        <v/>
      </c>
      <c r="I3277" s="3"/>
    </row>
    <row r="3278" customHeight="1" spans="1:9">
      <c r="A3278" s="2"/>
      <c r="B3278" s="2" t="str">
        <f>IFERROR(__xludf.DUMMYFUNCTION("IF(A3278&lt;&gt;"""", GOOGLETRANSLATE(A3278, ""en"", ""te""),"""")"),"")</f>
        <v/>
      </c>
      <c r="C3278" s="2"/>
      <c r="D3278" s="2" t="str">
        <f>IFERROR(__xludf.DUMMYFUNCTION("IF(C3278&lt;&gt;"""", GOOGLETRANSLATE(C3278, ""en"", ""te""),"""")"),"")</f>
        <v/>
      </c>
      <c r="E3278" s="2"/>
      <c r="F3278" s="2" t="str">
        <f>IFERROR(__xludf.DUMMYFUNCTION("IF(E3278&lt;&gt;"""", GOOGLETRANSLATE(E3278, ""en"", ""te""),"""")"),"")</f>
        <v/>
      </c>
      <c r="G3278" s="2"/>
      <c r="H3278" s="2" t="str">
        <f>IFERROR(__xludf.DUMMYFUNCTION("IF(G3278&lt;&gt;"""", GOOGLETRANSLATE(G3278, ""en"", ""te""),"""")"),"")</f>
        <v/>
      </c>
      <c r="I3278" s="3"/>
    </row>
    <row r="3279" customHeight="1" spans="1:9">
      <c r="A3279" s="2"/>
      <c r="B3279" s="2" t="str">
        <f>IFERROR(__xludf.DUMMYFUNCTION("IF(A3279&lt;&gt;"""", GOOGLETRANSLATE(A3279, ""en"", ""te""),"""")"),"")</f>
        <v/>
      </c>
      <c r="C3279" s="2"/>
      <c r="D3279" s="2" t="str">
        <f>IFERROR(__xludf.DUMMYFUNCTION("IF(C3279&lt;&gt;"""", GOOGLETRANSLATE(C3279, ""en"", ""te""),"""")"),"")</f>
        <v/>
      </c>
      <c r="E3279" s="2"/>
      <c r="F3279" s="2" t="str">
        <f>IFERROR(__xludf.DUMMYFUNCTION("IF(E3279&lt;&gt;"""", GOOGLETRANSLATE(E3279, ""en"", ""te""),"""")"),"")</f>
        <v/>
      </c>
      <c r="G3279" s="2"/>
      <c r="H3279" s="2" t="str">
        <f>IFERROR(__xludf.DUMMYFUNCTION("IF(G3279&lt;&gt;"""", GOOGLETRANSLATE(G3279, ""en"", ""te""),"""")"),"")</f>
        <v/>
      </c>
      <c r="I3279" s="3"/>
    </row>
    <row r="3280" customHeight="1" spans="1:9">
      <c r="A3280" s="2"/>
      <c r="B3280" s="2" t="str">
        <f>IFERROR(__xludf.DUMMYFUNCTION("IF(A3280&lt;&gt;"""", GOOGLETRANSLATE(A3280, ""en"", ""te""),"""")"),"")</f>
        <v/>
      </c>
      <c r="C3280" s="2"/>
      <c r="D3280" s="2" t="str">
        <f>IFERROR(__xludf.DUMMYFUNCTION("IF(C3280&lt;&gt;"""", GOOGLETRANSLATE(C3280, ""en"", ""te""),"""")"),"")</f>
        <v/>
      </c>
      <c r="E3280" s="2"/>
      <c r="F3280" s="2" t="str">
        <f>IFERROR(__xludf.DUMMYFUNCTION("IF(E3280&lt;&gt;"""", GOOGLETRANSLATE(E3280, ""en"", ""te""),"""")"),"")</f>
        <v/>
      </c>
      <c r="G3280" s="2"/>
      <c r="H3280" s="2" t="str">
        <f>IFERROR(__xludf.DUMMYFUNCTION("IF(G3280&lt;&gt;"""", GOOGLETRANSLATE(G3280, ""en"", ""te""),"""")"),"")</f>
        <v/>
      </c>
      <c r="I3280" s="3"/>
    </row>
    <row r="3281" customHeight="1" spans="1:9">
      <c r="A3281" s="2"/>
      <c r="B3281" s="2" t="str">
        <f>IFERROR(__xludf.DUMMYFUNCTION("IF(A3281&lt;&gt;"""", GOOGLETRANSLATE(A3281, ""en"", ""te""),"""")"),"")</f>
        <v/>
      </c>
      <c r="C3281" s="2"/>
      <c r="D3281" s="2" t="str">
        <f>IFERROR(__xludf.DUMMYFUNCTION("IF(C3281&lt;&gt;"""", GOOGLETRANSLATE(C3281, ""en"", ""te""),"""")"),"")</f>
        <v/>
      </c>
      <c r="E3281" s="2"/>
      <c r="F3281" s="2" t="str">
        <f>IFERROR(__xludf.DUMMYFUNCTION("IF(E3281&lt;&gt;"""", GOOGLETRANSLATE(E3281, ""en"", ""te""),"""")"),"")</f>
        <v/>
      </c>
      <c r="G3281" s="2"/>
      <c r="H3281" s="2" t="str">
        <f>IFERROR(__xludf.DUMMYFUNCTION("IF(G3281&lt;&gt;"""", GOOGLETRANSLATE(G3281, ""en"", ""te""),"""")"),"")</f>
        <v/>
      </c>
      <c r="I3281" s="3"/>
    </row>
    <row r="3282" customHeight="1" spans="1:9">
      <c r="A3282" s="2"/>
      <c r="B3282" s="2" t="str">
        <f>IFERROR(__xludf.DUMMYFUNCTION("IF(A3282&lt;&gt;"""", GOOGLETRANSLATE(A3282, ""en"", ""te""),"""")"),"")</f>
        <v/>
      </c>
      <c r="C3282" s="2" t="s">
        <v>2302</v>
      </c>
      <c r="D3282" s="2" t="str">
        <f>IFERROR(__xludf.DUMMYFUNCTION("IF(C3282&lt;&gt;"""", GOOGLETRANSLATE(C3282, ""en"", ""te""),"""")"),"[ '14 వ ఓల్డెస్ట్ క్రీడాకారులు (45y 216d)']")</f>
        <v>[ '14 వ ఓల్డెస్ట్ క్రీడాకారులు (45y 216d)']</v>
      </c>
      <c r="E3282" s="2"/>
      <c r="F3282" s="2" t="str">
        <f>IFERROR(__xludf.DUMMYFUNCTION("IF(E3282&lt;&gt;"""", GOOGLETRANSLATE(E3282, ""en"", ""te""),"""")"),"")</f>
        <v/>
      </c>
      <c r="G3282" s="2"/>
      <c r="H3282" s="2" t="str">
        <f>IFERROR(__xludf.DUMMYFUNCTION("IF(G3282&lt;&gt;"""", GOOGLETRANSLATE(G3282, ""en"", ""te""),"""")"),"")</f>
        <v/>
      </c>
      <c r="I3282" s="3"/>
    </row>
    <row r="3283" customHeight="1" spans="1:9">
      <c r="A3283" s="2"/>
      <c r="B3283" s="2" t="str">
        <f>IFERROR(__xludf.DUMMYFUNCTION("IF(A3283&lt;&gt;"""", GOOGLETRANSLATE(A3283, ""en"", ""te""),"""")"),"")</f>
        <v/>
      </c>
      <c r="C3283" s="2"/>
      <c r="D3283" s="2" t="str">
        <f>IFERROR(__xludf.DUMMYFUNCTION("IF(C3283&lt;&gt;"""", GOOGLETRANSLATE(C3283, ""en"", ""te""),"""")"),"")</f>
        <v/>
      </c>
      <c r="E3283" s="2"/>
      <c r="F3283" s="2" t="str">
        <f>IFERROR(__xludf.DUMMYFUNCTION("IF(E3283&lt;&gt;"""", GOOGLETRANSLATE(E3283, ""en"", ""te""),"""")"),"")</f>
        <v/>
      </c>
      <c r="G3283" s="2"/>
      <c r="H3283" s="2" t="str">
        <f>IFERROR(__xludf.DUMMYFUNCTION("IF(G3283&lt;&gt;"""", GOOGLETRANSLATE(G3283, ""en"", ""te""),"""")"),"")</f>
        <v/>
      </c>
      <c r="I3283" s="3"/>
    </row>
    <row r="3284" customHeight="1" spans="1:9">
      <c r="A3284" s="2"/>
      <c r="B3284" s="2" t="str">
        <f>IFERROR(__xludf.DUMMYFUNCTION("IF(A3284&lt;&gt;"""", GOOGLETRANSLATE(A3284, ""en"", ""te""),"""")"),"")</f>
        <v/>
      </c>
      <c r="C3284" s="2"/>
      <c r="D3284" s="2" t="str">
        <f>IFERROR(__xludf.DUMMYFUNCTION("IF(C3284&lt;&gt;"""", GOOGLETRANSLATE(C3284, ""en"", ""te""),"""")"),"")</f>
        <v/>
      </c>
      <c r="E3284" s="2"/>
      <c r="F3284" s="2" t="str">
        <f>IFERROR(__xludf.DUMMYFUNCTION("IF(E3284&lt;&gt;"""", GOOGLETRANSLATE(E3284, ""en"", ""te""),"""")"),"")</f>
        <v/>
      </c>
      <c r="G3284" s="2"/>
      <c r="H3284" s="2" t="str">
        <f>IFERROR(__xludf.DUMMYFUNCTION("IF(G3284&lt;&gt;"""", GOOGLETRANSLATE(G3284, ""en"", ""te""),"""")"),"")</f>
        <v/>
      </c>
      <c r="I3284" s="3"/>
    </row>
    <row r="3285" customHeight="1" spans="1:9">
      <c r="A3285" s="2"/>
      <c r="B3285" s="2" t="str">
        <f>IFERROR(__xludf.DUMMYFUNCTION("IF(A3285&lt;&gt;"""", GOOGLETRANSLATE(A3285, ""en"", ""te""),"""")"),"")</f>
        <v/>
      </c>
      <c r="C3285" s="2"/>
      <c r="D3285" s="2" t="str">
        <f>IFERROR(__xludf.DUMMYFUNCTION("IF(C3285&lt;&gt;"""", GOOGLETRANSLATE(C3285, ""en"", ""te""),"""")"),"")</f>
        <v/>
      </c>
      <c r="E3285" s="2"/>
      <c r="F3285" s="2" t="str">
        <f>IFERROR(__xludf.DUMMYFUNCTION("IF(E3285&lt;&gt;"""", GOOGLETRANSLATE(E3285, ""en"", ""te""),"""")"),"")</f>
        <v/>
      </c>
      <c r="G3285" s="2"/>
      <c r="H3285" s="2" t="str">
        <f>IFERROR(__xludf.DUMMYFUNCTION("IF(G3285&lt;&gt;"""", GOOGLETRANSLATE(G3285, ""en"", ""te""),"""")"),"")</f>
        <v/>
      </c>
      <c r="I3285" s="3"/>
    </row>
    <row r="3286" customHeight="1" spans="1:9">
      <c r="A3286" s="2"/>
      <c r="B3286" s="2" t="str">
        <f>IFERROR(__xludf.DUMMYFUNCTION("IF(A3286&lt;&gt;"""", GOOGLETRANSLATE(A3286, ""en"", ""te""),"""")"),"")</f>
        <v/>
      </c>
      <c r="C3286" s="2"/>
      <c r="D3286" s="2" t="str">
        <f>IFERROR(__xludf.DUMMYFUNCTION("IF(C3286&lt;&gt;"""", GOOGLETRANSLATE(C3286, ""en"", ""te""),"""")"),"")</f>
        <v/>
      </c>
      <c r="E3286" s="2"/>
      <c r="F3286" s="2" t="str">
        <f>IFERROR(__xludf.DUMMYFUNCTION("IF(E3286&lt;&gt;"""", GOOGLETRANSLATE(E3286, ""en"", ""te""),"""")"),"")</f>
        <v/>
      </c>
      <c r="G3286" s="2"/>
      <c r="H3286" s="2" t="str">
        <f>IFERROR(__xludf.DUMMYFUNCTION("IF(G3286&lt;&gt;"""", GOOGLETRANSLATE(G3286, ""en"", ""te""),"""")"),"")</f>
        <v/>
      </c>
      <c r="I3286" s="3"/>
    </row>
    <row r="3287" customHeight="1" spans="1:9">
      <c r="A3287" s="2" t="s">
        <v>2303</v>
      </c>
      <c r="B3287" s="2" t="str">
        <f>IFERROR(__xludf.DUMMYFUNCTION("IF(A3287&lt;&gt;"""", GOOGLETRANSLATE(A3287, ""en"", ""te""),"""")"),"[ 'ప్రదర్శనల మధ్య 9 వ లాంగెస్ట్ వ్యవధిలో (12y 81d)']")</f>
        <v>[ 'ప్రదర్శనల మధ్య 9 వ లాంగెస్ట్ వ్యవధిలో (12y 81d)']</v>
      </c>
      <c r="C3287" s="2" t="s">
        <v>2304</v>
      </c>
      <c r="D3287" s="2" t="str">
        <f>IFERROR(__xludf.DUMMYFUNCTION("IF(C3287&lt;&gt;"""", GOOGLETRANSLATE(C3287, ""en"", ""te""),"""")"),"[ '9 వ లాంగెస్ట్ వ్యవధిలో ప్రదర్శనలు (12y 81d) మధ్య' '26 అత్యంత వృద్ధ ఆటగాడు ఐదు వికెట్ల లో-ఒక-ఇన్నింగ్స్ (38y 3) తీసుకోవాలని',]")</f>
        <v>[ '9 వ లాంగెస్ట్ వ్యవధిలో ప్రదర్శనలు (12y 81d) మధ్య' '26 అత్యంత వృద్ధ ఆటగాడు ఐదు వికెట్ల లో-ఒక-ఇన్నింగ్స్ (38y 3) తీసుకోవాలని',]</v>
      </c>
      <c r="E3287" s="2"/>
      <c r="F3287" s="2" t="str">
        <f>IFERROR(__xludf.DUMMYFUNCTION("IF(E3287&lt;&gt;"""", GOOGLETRANSLATE(E3287, ""en"", ""te""),"""")"),"")</f>
        <v/>
      </c>
      <c r="G3287" s="2"/>
      <c r="H3287" s="2" t="str">
        <f>IFERROR(__xludf.DUMMYFUNCTION("IF(G3287&lt;&gt;"""", GOOGLETRANSLATE(G3287, ""en"", ""te""),"""")"),"")</f>
        <v/>
      </c>
      <c r="I3287" s="3"/>
    </row>
    <row r="3288" customHeight="1" spans="1:9">
      <c r="A3288" s="2"/>
      <c r="B3288" s="2" t="str">
        <f>IFERROR(__xludf.DUMMYFUNCTION("IF(A3288&lt;&gt;"""", GOOGLETRANSLATE(A3288, ""en"", ""te""),"""")"),"")</f>
        <v/>
      </c>
      <c r="C3288" s="2"/>
      <c r="D3288" s="2" t="str">
        <f>IFERROR(__xludf.DUMMYFUNCTION("IF(C3288&lt;&gt;"""", GOOGLETRANSLATE(C3288, ""en"", ""te""),"""")"),"")</f>
        <v/>
      </c>
      <c r="E3288" s="2"/>
      <c r="F3288" s="2" t="str">
        <f>IFERROR(__xludf.DUMMYFUNCTION("IF(E3288&lt;&gt;"""", GOOGLETRANSLATE(E3288, ""en"", ""te""),"""")"),"")</f>
        <v/>
      </c>
      <c r="G3288" s="2"/>
      <c r="H3288" s="2" t="str">
        <f>IFERROR(__xludf.DUMMYFUNCTION("IF(G3288&lt;&gt;"""", GOOGLETRANSLATE(G3288, ""en"", ""te""),"""")"),"")</f>
        <v/>
      </c>
      <c r="I3288" s="3"/>
    </row>
    <row r="3289" customHeight="1" spans="1:9">
      <c r="A3289" s="2"/>
      <c r="B3289" s="2" t="str">
        <f>IFERROR(__xludf.DUMMYFUNCTION("IF(A3289&lt;&gt;"""", GOOGLETRANSLATE(A3289, ""en"", ""te""),"""")"),"")</f>
        <v/>
      </c>
      <c r="C3289" s="2"/>
      <c r="D3289" s="2" t="str">
        <f>IFERROR(__xludf.DUMMYFUNCTION("IF(C3289&lt;&gt;"""", GOOGLETRANSLATE(C3289, ""en"", ""te""),"""")"),"")</f>
        <v/>
      </c>
      <c r="E3289" s="2"/>
      <c r="F3289" s="2" t="str">
        <f>IFERROR(__xludf.DUMMYFUNCTION("IF(E3289&lt;&gt;"""", GOOGLETRANSLATE(E3289, ""en"", ""te""),"""")"),"")</f>
        <v/>
      </c>
      <c r="G3289" s="2"/>
      <c r="H3289" s="2" t="str">
        <f>IFERROR(__xludf.DUMMYFUNCTION("IF(G3289&lt;&gt;"""", GOOGLETRANSLATE(G3289, ""en"", ""te""),"""")"),"")</f>
        <v/>
      </c>
      <c r="I3289" s="3"/>
    </row>
    <row r="3290" customHeight="1" spans="1:9">
      <c r="A3290" s="2"/>
      <c r="B3290" s="2" t="str">
        <f>IFERROR(__xludf.DUMMYFUNCTION("IF(A3290&lt;&gt;"""", GOOGLETRANSLATE(A3290, ""en"", ""te""),"""")"),"")</f>
        <v/>
      </c>
      <c r="C3290" s="2"/>
      <c r="D3290" s="2" t="str">
        <f>IFERROR(__xludf.DUMMYFUNCTION("IF(C3290&lt;&gt;"""", GOOGLETRANSLATE(C3290, ""en"", ""te""),"""")"),"")</f>
        <v/>
      </c>
      <c r="E3290" s="2"/>
      <c r="F3290" s="2" t="str">
        <f>IFERROR(__xludf.DUMMYFUNCTION("IF(E3290&lt;&gt;"""", GOOGLETRANSLATE(E3290, ""en"", ""te""),"""")"),"")</f>
        <v/>
      </c>
      <c r="G3290" s="2"/>
      <c r="H3290" s="2" t="str">
        <f>IFERROR(__xludf.DUMMYFUNCTION("IF(G3290&lt;&gt;"""", GOOGLETRANSLATE(G3290, ""en"", ""te""),"""")"),"")</f>
        <v/>
      </c>
      <c r="I3290" s="3"/>
    </row>
    <row r="3291" customHeight="1" spans="1:9">
      <c r="A3291" s="2"/>
      <c r="B3291" s="2" t="str">
        <f>IFERROR(__xludf.DUMMYFUNCTION("IF(A3291&lt;&gt;"""", GOOGLETRANSLATE(A3291, ""en"", ""te""),"""")"),"")</f>
        <v/>
      </c>
      <c r="C3291" s="2"/>
      <c r="D3291" s="2" t="str">
        <f>IFERROR(__xludf.DUMMYFUNCTION("IF(C3291&lt;&gt;"""", GOOGLETRANSLATE(C3291, ""en"", ""te""),"""")"),"")</f>
        <v/>
      </c>
      <c r="E3291" s="2"/>
      <c r="F3291" s="2" t="str">
        <f>IFERROR(__xludf.DUMMYFUNCTION("IF(E3291&lt;&gt;"""", GOOGLETRANSLATE(E3291, ""en"", ""te""),"""")"),"")</f>
        <v/>
      </c>
      <c r="G3291" s="2"/>
      <c r="H3291" s="2" t="str">
        <f>IFERROR(__xludf.DUMMYFUNCTION("IF(G3291&lt;&gt;"""", GOOGLETRANSLATE(G3291, ""en"", ""te""),"""")"),"")</f>
        <v/>
      </c>
      <c r="I3291" s="3"/>
    </row>
    <row r="3292" customHeight="1" spans="1:9">
      <c r="A3292" s="2"/>
      <c r="B3292" s="2" t="str">
        <f>IFERROR(__xludf.DUMMYFUNCTION("IF(A3292&lt;&gt;"""", GOOGLETRANSLATE(A3292, ""en"", ""te""),"""")"),"")</f>
        <v/>
      </c>
      <c r="C3292" s="2"/>
      <c r="D3292" s="2" t="str">
        <f>IFERROR(__xludf.DUMMYFUNCTION("IF(C3292&lt;&gt;"""", GOOGLETRANSLATE(C3292, ""en"", ""te""),"""")"),"")</f>
        <v/>
      </c>
      <c r="E3292" s="2"/>
      <c r="F3292" s="2" t="str">
        <f>IFERROR(__xludf.DUMMYFUNCTION("IF(E3292&lt;&gt;"""", GOOGLETRANSLATE(E3292, ""en"", ""te""),"""")"),"")</f>
        <v/>
      </c>
      <c r="G3292" s="2"/>
      <c r="H3292" s="2" t="str">
        <f>IFERROR(__xludf.DUMMYFUNCTION("IF(G3292&lt;&gt;"""", GOOGLETRANSLATE(G3292, ""en"", ""te""),"""")"),"")</f>
        <v/>
      </c>
      <c r="I3292" s="3"/>
    </row>
    <row r="3293" customHeight="1" spans="1:9">
      <c r="A3293" s="2" t="s">
        <v>2305</v>
      </c>
      <c r="B3293" s="2" t="str">
        <f>IFERROR(__xludf.DUMMYFUNCTION("IF(A3293&lt;&gt;"""", GOOGLETRANSLATE(A3293, ""en"", ""te""),"""")"),"[ '1st చాలా జట్టుకు వరుస మ్యాచ్లు (22)', 'ఒక జట్టు కెప్టెన్గా 2 వ వరుస మ్యాచ్లు (12)', 'ఒక కెప్టెన్తో ఇన్నింగ్స్ లో 1 వ అత్యధిక పరుగులు (179)', '1st చాలా వందలలో కెరీర్లో క్యాలెండర్ ఏడాది (2) ',' కెరీర్ లో 2 వ పెద్ద అర్ధ (13) ',' 2 వ అతి తక్కువ బాతులు (38)"&amp;" ',' ఒక ఇన్నింగ్స్లో పరుగుల 10 వ అత్యధిక శాతం (54.90) ',' 7 వ అత్యధిక కెరీర్ లో క్యాచ్లు (13) ',' 5 వ ఓల్డెస్ట్ క్రీడాకారులు (42y 241d) ',' 1 వ అత్యధిక కెరీర్ బ్యాటింగ్ సగటు (58.45) ',' 6 వ అత్యంత వృద్ధ ఆటగాడు తొలి శతకాలను సాధించిన (34y 37d) ',' 10 వ కెరీ"&amp;"ర్ లో బాతులు (20) ']")</f>
        <v>[ '1st చాలా జట్టుకు వరుస మ్యాచ్లు (22)', 'ఒక జట్టు కెప్టెన్గా 2 వ వరుస మ్యాచ్లు (12)', 'ఒక కెప్టెన్తో ఇన్నింగ్స్ లో 1 వ అత్యధిక పరుగులు (179)', '1st చాలా వందలలో కెరీర్లో క్యాలెండర్ ఏడాది (2) ',' కెరీర్ లో 2 వ పెద్ద అర్ధ (13) ',' 2 వ అతి తక్కువ బాతులు (38) ',' ఒక ఇన్నింగ్స్లో పరుగుల 10 వ అత్యధిక శాతం (54.90) ',' 7 వ అత్యధిక కెరీర్ లో క్యాచ్లు (13) ',' 5 వ ఓల్డెస్ట్ క్రీడాకారులు (42y 241d) ',' 1 వ అత్యధిక కెరీర్ బ్యాటింగ్ సగటు (58.45) ',' 6 వ అత్యంత వృద్ధ ఆటగాడు తొలి శతకాలను సాధించిన (34y 37d) ',' 10 వ కెరీర్ లో బాతులు (20) ']</v>
      </c>
      <c r="C3293" s="2" t="s">
        <v>2306</v>
      </c>
      <c r="D3293" s="2" t="str">
        <f>IFERROR(__xludf.DUMMYFUNCTION("IF(C3293&lt;&gt;"""", GOOGLETRANSLATE(C3293, ""en"", ""te""),"""")"),"[ '12 వ అత్యధిక పరుగులు ఇన్నింగ్స్ (179) లో', '3 వ అత్యధిక కెరీర్ (1594) లో నడుస్తుంది' 'ఒక మ్యాచ్లో 15 వ అత్యధిక పరుగులు (191)', '8 వ ఒక సిరీస్లో అత్యధిక పరుగులు (356)', '8 వ ఒక క్యాలెండర్ సంవత్సరంలో అత్యధిక పరుగులు (359) ',' 5 వ ఇన్నింగ్స్ లో అత్యధిక పర"&amp;"ుగులు (బ్యాటింగ్ స్థానంలో ప్రకారం) (179) ',' 1st ఒకే మైదానంలో అత్యధిక పరుగులు (337) ',' 2 వ చాల వరకు ఒక సిరీస్లో పరుగుల తేడాతో కెప్టెన్ (356) ',' ఒక కెప్టెన్తో ఇన్నింగ్స్ లో 1 వ అత్యధిక పరుగులు (179) ',' 14 వ అత్యధిక కెరీర్ బ్యాటింగ్ సగటు (45.54) ',' 7 వ"&amp;" అత్యధిక వందలు ఒక వృత్తిలో (3) ',' 1st చాలా వందలలో సిరీస్ (2) ',' 1st ఒక క్యాలెండర్ సంవత్సరంలో అత్యధిక వందలు (2) ',' ఒక జట్టు (2) ',' 37 వ అత్యధిక తొలి వంద (113) ',' 4 వ అత్యంత వృద్ధ ఆటగాడు వ్యతిరేకంగా 3 వ అత్యధిక వందలు స్కోర్ వంద ( 37y 43D) ',' కెరీర్ లో"&amp;" 2 వ పెద్ద అర్ధ (13) ',' వరుస ఇన్నింగ్స్లో 5 వ యాభైల్లో (3) ',' 2 వ వరుస ఇన్నింగ్స్లో డకౌట్ లేకుండా (32 *) ',' కెరీర్ లో 2 వ అతి తక్కువ బాతులు (38) ',' ఒక ఇన్నింగ్స్లో పరుగుల 10 వ అత్యధిక శాతం (54.90) ',' 32 వ చెత్త కెరీర్ (68.00) (అర్హత లేకుండా) సగటు బౌ"&amp;"లింగ్ ',' 7 వ అత్యధిక క్యాచ్లు కెరీర్ (13) ',' 3 వ అత్యధిక కెరీర్ లో (22) ',' 1 వ వరుస మ్యాచ్లు బృందం కోసం పోటీలు (22) ',' 19 వ ఓల్డెస్ట్ క్రీడాకారులు (40y 22d) ',' 5 వ లాంగెస్ట్ కెరీర్లు (18y 213d) ', '2 వ భాగం (12) కెప్టెన్ గా పేర్కొంటే' 'ఒక జట్టు కెప్ట"&amp;"ెన్గా 2 వ వరుస మ్యాచ్లు (12)', '11 వ ఓల్డెస్ట్ కాప్టెన్ (37y 46d)']")</f>
        <v>[ '12 వ అత్యధిక పరుగులు ఇన్నింగ్స్ (179) లో', '3 వ అత్యధిక కెరీర్ (1594) లో నడుస్తుంది' 'ఒక మ్యాచ్లో 15 వ అత్యధిక పరుగులు (191)', '8 వ ఒక సిరీస్లో అత్యధిక పరుగులు (356)', '8 వ ఒక క్యాలెండర్ సంవత్సరంలో అత్యధిక పరుగులు (359) ',' 5 వ ఇన్నింగ్స్ లో అత్యధిక పరుగులు (బ్యాటింగ్ స్థానంలో ప్రకారం) (179) ',' 1st ఒకే మైదానంలో అత్యధిక పరుగులు (337) ',' 2 వ చాల వరకు ఒక సిరీస్లో పరుగుల తేడాతో కెప్టెన్ (356) ',' ఒక కెప్టెన్తో ఇన్నింగ్స్ లో 1 వ అత్యధిక పరుగులు (179) ',' 14 వ అత్యధిక కెరీర్ బ్యాటింగ్ సగటు (45.54) ',' 7 వ అత్యధిక వందలు ఒక వృత్తిలో (3) ',' 1st చాలా వందలలో సిరీస్ (2) ',' 1st ఒక క్యాలెండర్ సంవత్సరంలో అత్యధిక వందలు (2) ',' ఒక జట్టు (2) ',' 37 వ అత్యధిక తొలి వంద (113) ',' 4 వ అత్యంత వృద్ధ ఆటగాడు వ్యతిరేకంగా 3 వ అత్యధిక వందలు స్కోర్ వంద ( 37y 43D) ',' కెరీర్ లో 2 వ పెద్ద అర్ధ (13) ',' వరుస ఇన్నింగ్స్లో 5 వ యాభైల్లో (3) ',' 2 వ వరుస ఇన్నింగ్స్లో డకౌట్ లేకుండా (32 *) ',' కెరీర్ లో 2 వ అతి తక్కువ బాతులు (38) ',' ఒక ఇన్నింగ్స్లో పరుగుల 10 వ అత్యధిక శాతం (54.90) ',' 32 వ చెత్త కెరీర్ (68.00) (అర్హత లేకుండా) సగటు బౌలింగ్ ',' 7 వ అత్యధిక క్యాచ్లు కెరీర్ (13) ',' 3 వ అత్యధిక కెరీర్ లో (22) ',' 1 వ వరుస మ్యాచ్లు బృందం కోసం పోటీలు (22) ',' 19 వ ఓల్డెస్ట్ క్రీడాకారులు (40y 22d) ',' 5 వ లాంగెస్ట్ కెరీర్లు (18y 213d) ', '2 వ భాగం (12) కెప్టెన్ గా పేర్కొంటే' 'ఒక జట్టు కెప్టెన్గా 2 వ వరుస మ్యాచ్లు (12)', '11 వ ఓల్డెస్ట్ కాప్టెన్ (37y 46d)']</v>
      </c>
      <c r="E3293" s="2" t="s">
        <v>2307</v>
      </c>
      <c r="F3293" s="2" t="str">
        <f>IFERROR(__xludf.DUMMYFUNCTION("IF(E3293&lt;&gt;"""", GOOGLETRANSLATE(E3293, ""en"", ""te""),"""")"),"[ '37 వ కెప్టెన్ ద్వారా ఒక సిరీస్లో అత్యధిక పరుగులు (257)', 'ఒక కెప్టెన్తో ఇన్నింగ్స్ లో 21 వ అత్యధిక పరుగులు (114)', '1 వ అత్యధిక కెరీర్ బ్యాటింగ్ సగటు (58.45)', '35 వ అత్యధిక తొలి వంద (114) ',' వంద (34y 37d) 6 వ అత్యంత వృద్ధ ఆటగాడు తొలి వంద (34y 37d) ఒక"&amp;" పరుగులు ',' 10 వ కెరీర్ లో బాతులు (20) ',' 44 వ అత్యధిక శాతం స్కోర్ సాధించిన 11 వ ఓల్డెస్ట్ ఆటగాడు ',' పూర్తి ఇన్నింగ్స్ (51.70) ',' తొలి 30 వ ఓల్డెస్ట్ క్రీడాకారులు (34y 12D) ',' 5 వ ఓల్డెస్ట్ క్రీడాకారులు (42y 241d) ',' 15 వ ఓల్డెస్ట్ కాప్టెన్ (37y 58d"&amp;") ',' కెప్టెన్సీ తొలి 16 వ ఓల్డెస్ట్ కాప్టెన్ (34y 12D) ']")</f>
        <v>[ '37 వ కెప్టెన్ ద్వారా ఒక సిరీస్లో అత్యధిక పరుగులు (257)', 'ఒక కెప్టెన్తో ఇన్నింగ్స్ లో 21 వ అత్యధిక పరుగులు (114)', '1 వ అత్యధిక కెరీర్ బ్యాటింగ్ సగటు (58.45)', '35 వ అత్యధిక తొలి వంద (114) ',' వంద (34y 37d) 6 వ అత్యంత వృద్ధ ఆటగాడు తొలి వంద (34y 37d) ఒక పరుగులు ',' 10 వ కెరీర్ లో బాతులు (20) ',' 44 వ అత్యధిక శాతం స్కోర్ సాధించిన 11 వ ఓల్డెస్ట్ ఆటగాడు ',' పూర్తి ఇన్నింగ్స్ (51.70) ',' తొలి 30 వ ఓల్డెస్ట్ క్రీడాకారులు (34y 12D) ',' 5 వ ఓల్డెస్ట్ క్రీడాకారులు (42y 241d) ',' 15 వ ఓల్డెస్ట్ కాప్టెన్ (37y 58d) ',' కెప్టెన్సీ తొలి 16 వ ఓల్డెస్ట్ కాప్టెన్ (34y 12D) ']</v>
      </c>
      <c r="G3293" s="2"/>
      <c r="H3293" s="2" t="str">
        <f>IFERROR(__xludf.DUMMYFUNCTION("IF(G3293&lt;&gt;"""", GOOGLETRANSLATE(G3293, ""en"", ""te""),"""")"),"")</f>
        <v/>
      </c>
      <c r="I3293" s="3"/>
    </row>
    <row r="3294" customHeight="1" spans="1:9">
      <c r="A3294" s="2"/>
      <c r="B3294" s="2" t="str">
        <f>IFERROR(__xludf.DUMMYFUNCTION("IF(A3294&lt;&gt;"""", GOOGLETRANSLATE(A3294, ""en"", ""te""),"""")"),"")</f>
        <v/>
      </c>
      <c r="C3294" s="2"/>
      <c r="D3294" s="2" t="str">
        <f>IFERROR(__xludf.DUMMYFUNCTION("IF(C3294&lt;&gt;"""", GOOGLETRANSLATE(C3294, ""en"", ""te""),"""")"),"")</f>
        <v/>
      </c>
      <c r="E3294" s="2"/>
      <c r="F3294" s="2" t="str">
        <f>IFERROR(__xludf.DUMMYFUNCTION("IF(E3294&lt;&gt;"""", GOOGLETRANSLATE(E3294, ""en"", ""te""),"""")"),"")</f>
        <v/>
      </c>
      <c r="G3294" s="2"/>
      <c r="H3294" s="2" t="str">
        <f>IFERROR(__xludf.DUMMYFUNCTION("IF(G3294&lt;&gt;"""", GOOGLETRANSLATE(G3294, ""en"", ""te""),"""")"),"")</f>
        <v/>
      </c>
      <c r="I3294" s="3"/>
    </row>
    <row r="3295" customHeight="1" spans="1:9">
      <c r="A3295" s="2"/>
      <c r="B3295" s="2" t="str">
        <f>IFERROR(__xludf.DUMMYFUNCTION("IF(A3295&lt;&gt;"""", GOOGLETRANSLATE(A3295, ""en"", ""te""),"""")"),"")</f>
        <v/>
      </c>
      <c r="C3295" s="2"/>
      <c r="D3295" s="2" t="str">
        <f>IFERROR(__xludf.DUMMYFUNCTION("IF(C3295&lt;&gt;"""", GOOGLETRANSLATE(C3295, ""en"", ""te""),"""")"),"")</f>
        <v/>
      </c>
      <c r="E3295" s="2"/>
      <c r="F3295" s="2" t="str">
        <f>IFERROR(__xludf.DUMMYFUNCTION("IF(E3295&lt;&gt;"""", GOOGLETRANSLATE(E3295, ""en"", ""te""),"""")"),"")</f>
        <v/>
      </c>
      <c r="G3295" s="2"/>
      <c r="H3295" s="2" t="str">
        <f>IFERROR(__xludf.DUMMYFUNCTION("IF(G3295&lt;&gt;"""", GOOGLETRANSLATE(G3295, ""en"", ""te""),"""")"),"")</f>
        <v/>
      </c>
      <c r="I3295" s="3"/>
    </row>
    <row r="3296" customHeight="1" spans="1:9">
      <c r="A3296" s="2"/>
      <c r="B3296" s="2" t="str">
        <f>IFERROR(__xludf.DUMMYFUNCTION("IF(A3296&lt;&gt;"""", GOOGLETRANSLATE(A3296, ""en"", ""te""),"""")"),"")</f>
        <v/>
      </c>
      <c r="C3296" s="2"/>
      <c r="D3296" s="2" t="str">
        <f>IFERROR(__xludf.DUMMYFUNCTION("IF(C3296&lt;&gt;"""", GOOGLETRANSLATE(C3296, ""en"", ""te""),"""")"),"")</f>
        <v/>
      </c>
      <c r="E3296" s="2"/>
      <c r="F3296" s="2" t="str">
        <f>IFERROR(__xludf.DUMMYFUNCTION("IF(E3296&lt;&gt;"""", GOOGLETRANSLATE(E3296, ""en"", ""te""),"""")"),"")</f>
        <v/>
      </c>
      <c r="G3296" s="2"/>
      <c r="H3296" s="2" t="str">
        <f>IFERROR(__xludf.DUMMYFUNCTION("IF(G3296&lt;&gt;"""", GOOGLETRANSLATE(G3296, ""en"", ""te""),"""")"),"")</f>
        <v/>
      </c>
      <c r="I3296" s="3"/>
    </row>
    <row r="3297" customHeight="1" spans="1:9">
      <c r="A3297" s="2"/>
      <c r="B3297" s="2" t="str">
        <f>IFERROR(__xludf.DUMMYFUNCTION("IF(A3297&lt;&gt;"""", GOOGLETRANSLATE(A3297, ""en"", ""te""),"""")"),"")</f>
        <v/>
      </c>
      <c r="C3297" s="2"/>
      <c r="D3297" s="2" t="str">
        <f>IFERROR(__xludf.DUMMYFUNCTION("IF(C3297&lt;&gt;"""", GOOGLETRANSLATE(C3297, ""en"", ""te""),"""")"),"")</f>
        <v/>
      </c>
      <c r="E3297" s="2"/>
      <c r="F3297" s="2" t="str">
        <f>IFERROR(__xludf.DUMMYFUNCTION("IF(E3297&lt;&gt;"""", GOOGLETRANSLATE(E3297, ""en"", ""te""),"""")"),"")</f>
        <v/>
      </c>
      <c r="G3297" s="2"/>
      <c r="H3297" s="2" t="str">
        <f>IFERROR(__xludf.DUMMYFUNCTION("IF(G3297&lt;&gt;"""", GOOGLETRANSLATE(G3297, ""en"", ""te""),"""")"),"")</f>
        <v/>
      </c>
      <c r="I3297" s="3"/>
    </row>
    <row r="3298" customHeight="1" spans="1:9">
      <c r="A3298" s="2"/>
      <c r="B3298" s="2" t="str">
        <f>IFERROR(__xludf.DUMMYFUNCTION("IF(A3298&lt;&gt;"""", GOOGLETRANSLATE(A3298, ""en"", ""te""),"""")"),"")</f>
        <v/>
      </c>
      <c r="C3298" s="2"/>
      <c r="D3298" s="2" t="str">
        <f>IFERROR(__xludf.DUMMYFUNCTION("IF(C3298&lt;&gt;"""", GOOGLETRANSLATE(C3298, ""en"", ""te""),"""")"),"")</f>
        <v/>
      </c>
      <c r="E3298" s="2"/>
      <c r="F3298" s="2" t="str">
        <f>IFERROR(__xludf.DUMMYFUNCTION("IF(E3298&lt;&gt;"""", GOOGLETRANSLATE(E3298, ""en"", ""te""),"""")"),"")</f>
        <v/>
      </c>
      <c r="G3298" s="2"/>
      <c r="H3298" s="2" t="str">
        <f>IFERROR(__xludf.DUMMYFUNCTION("IF(G3298&lt;&gt;"""", GOOGLETRANSLATE(G3298, ""en"", ""te""),"""")"),"")</f>
        <v/>
      </c>
      <c r="I3298" s="3"/>
    </row>
    <row r="3299" customHeight="1" spans="1:9">
      <c r="A3299" s="2"/>
      <c r="B3299" s="2" t="str">
        <f>IFERROR(__xludf.DUMMYFUNCTION("IF(A3299&lt;&gt;"""", GOOGLETRANSLATE(A3299, ""en"", ""te""),"""")"),"")</f>
        <v/>
      </c>
      <c r="C3299" s="2"/>
      <c r="D3299" s="2" t="str">
        <f>IFERROR(__xludf.DUMMYFUNCTION("IF(C3299&lt;&gt;"""", GOOGLETRANSLATE(C3299, ""en"", ""te""),"""")"),"")</f>
        <v/>
      </c>
      <c r="E3299" s="2"/>
      <c r="F3299" s="2" t="str">
        <f>IFERROR(__xludf.DUMMYFUNCTION("IF(E3299&lt;&gt;"""", GOOGLETRANSLATE(E3299, ""en"", ""te""),"""")"),"")</f>
        <v/>
      </c>
      <c r="G3299" s="2"/>
      <c r="H3299" s="2" t="str">
        <f>IFERROR(__xludf.DUMMYFUNCTION("IF(G3299&lt;&gt;"""", GOOGLETRANSLATE(G3299, ""en"", ""te""),"""")"),"")</f>
        <v/>
      </c>
      <c r="I3299" s="3"/>
    </row>
    <row r="3300" customHeight="1" spans="1:9">
      <c r="A3300" s="2"/>
      <c r="B3300" s="2" t="str">
        <f>IFERROR(__xludf.DUMMYFUNCTION("IF(A3300&lt;&gt;"""", GOOGLETRANSLATE(A3300, ""en"", ""te""),"""")"),"")</f>
        <v/>
      </c>
      <c r="C3300" s="2"/>
      <c r="D3300" s="2" t="str">
        <f>IFERROR(__xludf.DUMMYFUNCTION("IF(C3300&lt;&gt;"""", GOOGLETRANSLATE(C3300, ""en"", ""te""),"""")"),"")</f>
        <v/>
      </c>
      <c r="E3300" s="2"/>
      <c r="F3300" s="2" t="str">
        <f>IFERROR(__xludf.DUMMYFUNCTION("IF(E3300&lt;&gt;"""", GOOGLETRANSLATE(E3300, ""en"", ""te""),"""")"),"")</f>
        <v/>
      </c>
      <c r="G3300" s="2"/>
      <c r="H3300" s="2" t="str">
        <f>IFERROR(__xludf.DUMMYFUNCTION("IF(G3300&lt;&gt;"""", GOOGLETRANSLATE(G3300, ""en"", ""te""),"""")"),"")</f>
        <v/>
      </c>
      <c r="I3300" s="3"/>
    </row>
    <row r="3301" customHeight="1" spans="1:9">
      <c r="A3301" s="2"/>
      <c r="B3301" s="2" t="str">
        <f>IFERROR(__xludf.DUMMYFUNCTION("IF(A3301&lt;&gt;"""", GOOGLETRANSLATE(A3301, ""en"", ""te""),"""")"),"")</f>
        <v/>
      </c>
      <c r="C3301" s="2"/>
      <c r="D3301" s="2" t="str">
        <f>IFERROR(__xludf.DUMMYFUNCTION("IF(C3301&lt;&gt;"""", GOOGLETRANSLATE(C3301, ""en"", ""te""),"""")"),"")</f>
        <v/>
      </c>
      <c r="E3301" s="2"/>
      <c r="F3301" s="2" t="str">
        <f>IFERROR(__xludf.DUMMYFUNCTION("IF(E3301&lt;&gt;"""", GOOGLETRANSLATE(E3301, ""en"", ""te""),"""")"),"")</f>
        <v/>
      </c>
      <c r="G3301" s="2"/>
      <c r="H3301" s="2" t="str">
        <f>IFERROR(__xludf.DUMMYFUNCTION("IF(G3301&lt;&gt;"""", GOOGLETRANSLATE(G3301, ""en"", ""te""),"""")"),"")</f>
        <v/>
      </c>
      <c r="I3301" s="3"/>
    </row>
    <row r="3302" customHeight="1" spans="1:9">
      <c r="A3302" s="2"/>
      <c r="B3302" s="2" t="str">
        <f>IFERROR(__xludf.DUMMYFUNCTION("IF(A3302&lt;&gt;"""", GOOGLETRANSLATE(A3302, ""en"", ""te""),"""")"),"")</f>
        <v/>
      </c>
      <c r="C3302" s="2"/>
      <c r="D3302" s="2" t="str">
        <f>IFERROR(__xludf.DUMMYFUNCTION("IF(C3302&lt;&gt;"""", GOOGLETRANSLATE(C3302, ""en"", ""te""),"""")"),"")</f>
        <v/>
      </c>
      <c r="E3302" s="2"/>
      <c r="F3302" s="2" t="str">
        <f>IFERROR(__xludf.DUMMYFUNCTION("IF(E3302&lt;&gt;"""", GOOGLETRANSLATE(E3302, ""en"", ""te""),"""")"),"")</f>
        <v/>
      </c>
      <c r="G3302" s="2"/>
      <c r="H3302" s="2" t="str">
        <f>IFERROR(__xludf.DUMMYFUNCTION("IF(G3302&lt;&gt;"""", GOOGLETRANSLATE(G3302, ""en"", ""te""),"""")"),"")</f>
        <v/>
      </c>
      <c r="I3302" s="3"/>
    </row>
    <row r="3303" customHeight="1" spans="1:9">
      <c r="A3303" s="2"/>
      <c r="B3303" s="2" t="str">
        <f>IFERROR(__xludf.DUMMYFUNCTION("IF(A3303&lt;&gt;"""", GOOGLETRANSLATE(A3303, ""en"", ""te""),"""")"),"")</f>
        <v/>
      </c>
      <c r="C3303" s="2"/>
      <c r="D3303" s="2" t="str">
        <f>IFERROR(__xludf.DUMMYFUNCTION("IF(C3303&lt;&gt;"""", GOOGLETRANSLATE(C3303, ""en"", ""te""),"""")"),"")</f>
        <v/>
      </c>
      <c r="E3303" s="2"/>
      <c r="F3303" s="2" t="str">
        <f>IFERROR(__xludf.DUMMYFUNCTION("IF(E3303&lt;&gt;"""", GOOGLETRANSLATE(E3303, ""en"", ""te""),"""")"),"")</f>
        <v/>
      </c>
      <c r="G3303" s="2"/>
      <c r="H3303" s="2" t="str">
        <f>IFERROR(__xludf.DUMMYFUNCTION("IF(G3303&lt;&gt;"""", GOOGLETRANSLATE(G3303, ""en"", ""te""),"""")"),"")</f>
        <v/>
      </c>
      <c r="I3303" s="3"/>
    </row>
    <row r="3304" customHeight="1" spans="1:9">
      <c r="A3304" s="2"/>
      <c r="B3304" s="2" t="str">
        <f>IFERROR(__xludf.DUMMYFUNCTION("IF(A3304&lt;&gt;"""", GOOGLETRANSLATE(A3304, ""en"", ""te""),"""")"),"")</f>
        <v/>
      </c>
      <c r="C3304" s="2" t="s">
        <v>2308</v>
      </c>
      <c r="D3304" s="2" t="str">
        <f>IFERROR(__xludf.DUMMYFUNCTION("IF(C3304&lt;&gt;"""", GOOGLETRANSLATE(C3304, ""en"", ""te""),"""")"),"[ '33 వ అత్యంత వృద్ధ ఆటగాడు ఐదు వికెట్ల లో-ఒక-ఇన్నింగ్స్ తీసుకోవాలని (37y 262d)']")</f>
        <v>[ '33 వ అత్యంత వృద్ధ ఆటగాడు ఐదు వికెట్ల లో-ఒక-ఇన్నింగ్స్ తీసుకోవాలని (37y 262d)']</v>
      </c>
      <c r="E3304" s="2"/>
      <c r="F3304" s="2" t="str">
        <f>IFERROR(__xludf.DUMMYFUNCTION("IF(E3304&lt;&gt;"""", GOOGLETRANSLATE(E3304, ""en"", ""te""),"""")"),"")</f>
        <v/>
      </c>
      <c r="G3304" s="2"/>
      <c r="H3304" s="2" t="str">
        <f>IFERROR(__xludf.DUMMYFUNCTION("IF(G3304&lt;&gt;"""", GOOGLETRANSLATE(G3304, ""en"", ""te""),"""")"),"")</f>
        <v/>
      </c>
      <c r="I3304" s="3"/>
    </row>
    <row r="3305" customHeight="1" spans="1:9">
      <c r="A3305" s="2" t="s">
        <v>2309</v>
      </c>
      <c r="B3305" s="2" t="str">
        <f>IFERROR(__xludf.DUMMYFUNCTION("IF(A3305&lt;&gt;"""", GOOGLETRANSLATE(A3305, ""en"", ""te""),"""")"),"[ '3 వ ఓల్డెస్ట్ కాప్టెన్ (43y 279d)', 'ఇన్నింగ్స్ లో ఫోర్లు, సిక్సర్లు నుండి 6 వ అత్యధిక పరుగులు (196)' 'ఒక రోజు 2 వ అత్యధిక పరుగులు (295)', 'హండ్రెడ్ ఒక మ్యాచ్లో ప్రతి ఇన్నింగ్స్లో', ' 8 వ లాంగెస్ట్ వ్యక్తిగత ఇన్నింగ్స్ (బంతులతో) (605) ',' 2nd 7000 పరుగ"&amp;"ులు వేగంగా (131) ',' 10 వ అత్యధిక క్యాచ్లు వరుస (12) ',' బ్యాటింగ్ తెరవడం మరియు అదే మ్యాచ్ లో బౌలింగ్ ',' 1000 పరుగులు, 50 వికెట్లు, 50 క్యాచ్లు ',' 5000 పరుగులు మరియు 50 ఫీల్డింగ్ వికెట్లు ',' వరుస మ్యాచ్లలో 5 వ యాభైల్లో (8) ']")</f>
        <v>[ '3 వ ఓల్డెస్ట్ కాప్టెన్ (43y 279d)', 'ఇన్నింగ్స్ లో ఫోర్లు, సిక్సర్లు నుండి 6 వ అత్యధిక పరుగులు (196)' 'ఒక రోజు 2 వ అత్యధిక పరుగులు (295)', 'హండ్రెడ్ ఒక మ్యాచ్లో ప్రతి ఇన్నింగ్స్లో', ' 8 వ లాంగెస్ట్ వ్యక్తిగత ఇన్నింగ్స్ (బంతులతో) (605) ',' 2nd 7000 పరుగులు వేగంగా (131) ',' 10 వ అత్యధిక క్యాచ్లు వరుస (12) ',' బ్యాటింగ్ తెరవడం మరియు అదే మ్యాచ్ లో బౌలింగ్ ',' 1000 పరుగులు, 50 వికెట్లు, 50 క్యాచ్లు ',' 5000 పరుగులు మరియు 50 ఫీల్డింగ్ వికెట్లు ',' వరుస మ్యాచ్లలో 5 వ యాభైల్లో (8) ']</v>
      </c>
      <c r="C3305" s="2" t="s">
        <v>2310</v>
      </c>
      <c r="D3305" s="2" t="str">
        <f>IFERROR(__xludf.DUMMYFUNCTION("IF(C3305&lt;&gt;"""", GOOGLETRANSLATE(C3305, ""en"", ""te""),"""")"),"[ 'ఇన్నింగ్స్ లో 9 వ అత్యధిక పరుగులు (336 *)' '47 వ అత్యధిక కెరీర్ లో పరుగులు (7249)', '6 వ ఇన్నింగ్స్ లో అత్యధిక పరుగులు (ప్రగతిశీల రికార్డు హోల్డర్) (336 *)', '22 వ మ్యాచ్ లో అత్యధిక పరుగులు (336) ',' వరుస (905) ',' ఒక రోజు లో ఒక ఇన్నింగ్స్ లో 4 వ అత్యధ"&amp;"ిక పరుగులు (బ్యాటింగ్ స్థానంలో ప్రకారం) (336 *) ',' 2 వ అత్యధిక పరుగులు (295) ',' 17 వ అత్యంత 2 వ అత్యధిక పరుగులు ఒక కెప్టెన్ ద్వారా ఒక సిరీస్లో పరుగులు (609) ',' ఒక కెప్టెన్తో ఇన్నింగ్స్ 25 వ అత్యధిక పరుగులు (240) ',' 11 వ అత్యధిక కెరీర్ బ్యాటింగ్ సగటు ("&amp;"58.45) ',' 32 వ ఒక వృత్తిలో అత్యధిక వందలు (22) ', 'వరుస 2 వ అత్యధిక డబుల్ సెంచరీలు (2)', '(1) ఒక వృత్తిలో 5 వ అత్యధిక ట్రిపుల్ వందల', '4 వ అత్యధిక డబుల్ (7) ఒక వృత్తిలో వందల' 'వరుస 2 వ అత్యధిక వందలు (4)' , '(5) ఒక క్యాలెండర్ సంవత్సరంలో 19 అత్యధిక వందలు' '"&amp;"ఒక జట్టుతో 9 వ అత్యధిక వందలు (9)', '10 వ అత్యధిక తొలి వంద (251)', '32 వ యాభైల్లో' వరుస మ్యాచ్లు (3) 21 వ వందల వరుస ఇన్నింగ్స్లో (5) ',' కెరీర్ లో ఒక డక్ లేకుండా వరుస మ్యాచ్లలో 15 వ యాభైల్లో (8) ',' 16 వ వరుస ఇన్నింగ్స్ (67) ',' 18 వ అతి తక్కువ బాతులు (3"&amp;"5) ', 'ఇన్నింగ్స్ లో ఫోర్లు, సిక్సర్లు నుండి 6 వ అత్యధిక పరుగులు (196)' '7th చాలా ఇన్నింగ్స్ లో సిక్సర్లు (10)', '8 వ లాంగెస్ట్ వ్యక్తిగత ఇన్నింగ్స్ (బంతులతో) (605)', '13 వ 1000 పరుగులు వేగంగా (18 ) ',' 14 వ 2000 పరుగులు (వేగంగా 39) ',' 12 వ 3000 పరుగులు "&amp;"(61) 4000 పరుగులు ',' 6 వ వేగవంతమైన (76) 5000 పరుగులు (97) ',' 4 వ వేగవంతమైన వరకు ',' 7 వ వేగవంతమైన వేగంగా కు 6000 పరుగులు (114) ',' 2nd 7000 వేగంగా పరుగులు (131) ',' 29 వ అత్యధిక క్యాచ్లు కెరీర్లో (110) ',' 10 వ అత్యంత వరుస క్యాచ్లు (12) మూడవ వికెట్కు"&amp;" ',' 41 వ అత్యధిక భాగస్వామ్యం (262) ',' నాలుగవ వికెట్కు 33 వ అత్యధిక భాగస్వామ్యం (266) ',' ఐదవ వికెట్కు 33 వ అత్యధిక భాగస్వామ్యం (242) ',' 23 వ ఓల్డెస్ట్ క్రీడాకారులు (43y 279d) ',' 25 వ లాంగెస్ట్ కెరీర్లు (19y 91d) ' '7 వ వరుస అన్ని టాస్ గెలిచిన (4)', '3"&amp;" వ ఓల్డెస్ట్ కాప్టెన్ (43y 279d)']")</f>
        <v>[ 'ఇన్నింగ్స్ లో 9 వ అత్యధిక పరుగులు (336 *)' '47 వ అత్యధిక కెరీర్ లో పరుగులు (7249)', '6 వ ఇన్నింగ్స్ లో అత్యధిక పరుగులు (ప్రగతిశీల రికార్డు హోల్డర్) (336 *)', '22 వ మ్యాచ్ లో అత్యధిక పరుగులు (336) ',' వరుస (905) ',' ఒక రోజు లో ఒక ఇన్నింగ్స్ లో 4 వ అత్యధిక పరుగులు (బ్యాటింగ్ స్థానంలో ప్రకారం) (336 *) ',' 2 వ అత్యధిక పరుగులు (295) ',' 17 వ అత్యంత 2 వ అత్యధిక పరుగులు ఒక కెప్టెన్ ద్వారా ఒక సిరీస్లో పరుగులు (609) ',' ఒక కెప్టెన్తో ఇన్నింగ్స్ 25 వ అత్యధిక పరుగులు (240) ',' 11 వ అత్యధిక కెరీర్ బ్యాటింగ్ సగటు (58.45) ',' 32 వ ఒక వృత్తిలో అత్యధిక వందలు (22) ', 'వరుస 2 వ అత్యధిక డబుల్ సెంచరీలు (2)', '(1) ఒక వృత్తిలో 5 వ అత్యధిక ట్రిపుల్ వందల', '4 వ అత్యధిక డబుల్ (7) ఒక వృత్తిలో వందల' 'వరుస 2 వ అత్యధిక వందలు (4)' , '(5) ఒక క్యాలెండర్ సంవత్సరంలో 19 అత్యధిక వందలు' 'ఒక జట్టుతో 9 వ అత్యధిక వందలు (9)', '10 వ అత్యధిక తొలి వంద (251)', '32 వ యాభైల్లో' వరుస మ్యాచ్లు (3) 21 వ వందల వరుస ఇన్నింగ్స్లో (5) ',' కెరీర్ లో ఒక డక్ లేకుండా వరుస మ్యాచ్లలో 15 వ యాభైల్లో (8) ',' 16 వ వరుస ఇన్నింగ్స్ (67) ',' 18 వ అతి తక్కువ బాతులు (35) ', 'ఇన్నింగ్స్ లో ఫోర్లు, సిక్సర్లు నుండి 6 వ అత్యధిక పరుగులు (196)' '7th చాలా ఇన్నింగ్స్ లో సిక్సర్లు (10)', '8 వ లాంగెస్ట్ వ్యక్తిగత ఇన్నింగ్స్ (బంతులతో) (605)', '13 వ 1000 పరుగులు వేగంగా (18 ) ',' 14 వ 2000 పరుగులు (వేగంగా 39) ',' 12 వ 3000 పరుగులు (61) 4000 పరుగులు ',' 6 వ వేగవంతమైన (76) 5000 పరుగులు (97) ',' 4 వ వేగవంతమైన వరకు ',' 7 వ వేగవంతమైన వేగంగా కు 6000 పరుగులు (114) ',' 2nd 7000 వేగంగా పరుగులు (131) ',' 29 వ అత్యధిక క్యాచ్లు కెరీర్లో (110) ',' 10 వ అత్యంత వరుస క్యాచ్లు (12) మూడవ వికెట్కు ',' 41 వ అత్యధిక భాగస్వామ్యం (262) ',' నాలుగవ వికెట్కు 33 వ అత్యధిక భాగస్వామ్యం (266) ',' ఐదవ వికెట్కు 33 వ అత్యధిక భాగస్వామ్యం (242) ',' 23 వ ఓల్డెస్ట్ క్రీడాకారులు (43y 279d) ',' 25 వ లాంగెస్ట్ కెరీర్లు (19y 91d) ' '7 వ వరుస అన్ని టాస్ గెలిచిన (4)', '3 వ ఓల్డెస్ట్ కాప్టెన్ (43y 279d)']</v>
      </c>
      <c r="E3305" s="2"/>
      <c r="F3305" s="2" t="str">
        <f>IFERROR(__xludf.DUMMYFUNCTION("IF(E3305&lt;&gt;"""", GOOGLETRANSLATE(E3305, ""en"", ""te""),"""")"),"")</f>
        <v/>
      </c>
      <c r="G3305" s="2"/>
      <c r="H3305" s="2" t="str">
        <f>IFERROR(__xludf.DUMMYFUNCTION("IF(G3305&lt;&gt;"""", GOOGLETRANSLATE(G3305, ""en"", ""te""),"""")"),"")</f>
        <v/>
      </c>
      <c r="I3305" s="3"/>
    </row>
    <row r="3306" customHeight="1" spans="1:9">
      <c r="A3306" s="2" t="s">
        <v>2311</v>
      </c>
      <c r="B3306" s="2" t="str">
        <f>IFERROR(__xludf.DUMMYFUNCTION("IF(A3306&lt;&gt;"""", GOOGLETRANSLATE(A3306, ""en"", ""te""),"""")"),"[ '4 వ అత్యంత వృద్ధ ఆటగాడు తొలి తీసుకుని ఐదు-వికెట్ల లో-ఒక-ఇన్నింగ్స్ (41y 135d)']")</f>
        <v>[ '4 వ అత్యంత వృద్ధ ఆటగాడు తొలి తీసుకుని ఐదు-వికెట్ల లో-ఒక-ఇన్నింగ్స్ (41y 135d)']</v>
      </c>
      <c r="C3306" s="2" t="s">
        <v>2312</v>
      </c>
      <c r="D3306" s="2" t="str">
        <f>IFERROR(__xludf.DUMMYFUNCTION("IF(C3306&lt;&gt;"""", GOOGLETRANSLATE(C3306, ""en"", ""te""),"""")"),"[ '6 వ అత్యంత వృద్ధ ఆటగాడు (41y 135d) ఐదు వికెట్లు-ఇన్-ఒక-ఇన్నింగ్స్ తీసుకోవాలని', 'తొలి తీసుకోవాలని 4 వ అత్యంత వృద్ధ ఆటగాడు ఐదు వికెట్ల లో-ఒక-ఇన్నింగ్స్ (41y 135d)']")</f>
        <v>[ '6 వ అత్యంత వృద్ధ ఆటగాడు (41y 135d) ఐదు వికెట్లు-ఇన్-ఒక-ఇన్నింగ్స్ తీసుకోవాలని', 'తొలి తీసుకోవాలని 4 వ అత్యంత వృద్ధ ఆటగాడు ఐదు వికెట్ల లో-ఒక-ఇన్నింగ్స్ (41y 135d)']</v>
      </c>
      <c r="E3306" s="2" t="s">
        <v>2313</v>
      </c>
      <c r="F3306" s="2" t="str">
        <f>IFERROR(__xludf.DUMMYFUNCTION("IF(E3306&lt;&gt;"""", GOOGLETRANSLATE(E3306, ""en"", ""te""),"""")"),"['21 వ ఓల్డెస్ట్ క్రీడాకారులు (41y 354d) ']")</f>
        <v>['21 వ ఓల్డెస్ట్ క్రీడాకారులు (41y 354d) ']</v>
      </c>
      <c r="G3306" s="2"/>
      <c r="H3306" s="2" t="str">
        <f>IFERROR(__xludf.DUMMYFUNCTION("IF(G3306&lt;&gt;"""", GOOGLETRANSLATE(G3306, ""en"", ""te""),"""")"),"")</f>
        <v/>
      </c>
      <c r="I3306" s="3"/>
    </row>
    <row r="3307" customHeight="1" spans="1:9">
      <c r="A3307" s="2"/>
      <c r="B3307" s="2" t="str">
        <f>IFERROR(__xludf.DUMMYFUNCTION("IF(A3307&lt;&gt;"""", GOOGLETRANSLATE(A3307, ""en"", ""te""),"""")"),"")</f>
        <v/>
      </c>
      <c r="C3307" s="2"/>
      <c r="D3307" s="2" t="str">
        <f>IFERROR(__xludf.DUMMYFUNCTION("IF(C3307&lt;&gt;"""", GOOGLETRANSLATE(C3307, ""en"", ""te""),"""")"),"")</f>
        <v/>
      </c>
      <c r="E3307" s="2" t="s">
        <v>2314</v>
      </c>
      <c r="F3307" s="2" t="str">
        <f>IFERROR(__xludf.DUMMYFUNCTION("IF(E3307&lt;&gt;"""", GOOGLETRANSLATE(E3307, ""en"", ""te""),"""")"),"[ '46 వ చెత్త కెరీర్ బౌలింగ్ సరాసరి (31.04)']")</f>
        <v>[ '46 వ చెత్త కెరీర్ బౌలింగ్ సరాసరి (31.04)']</v>
      </c>
      <c r="G3307" s="2"/>
      <c r="H3307" s="2" t="str">
        <f>IFERROR(__xludf.DUMMYFUNCTION("IF(G3307&lt;&gt;"""", GOOGLETRANSLATE(G3307, ""en"", ""te""),"""")"),"")</f>
        <v/>
      </c>
      <c r="I3307" s="3"/>
    </row>
    <row r="3308" customHeight="1" spans="1:9">
      <c r="A3308" s="2"/>
      <c r="B3308" s="2" t="str">
        <f>IFERROR(__xludf.DUMMYFUNCTION("IF(A3308&lt;&gt;"""", GOOGLETRANSLATE(A3308, ""en"", ""te""),"""")"),"")</f>
        <v/>
      </c>
      <c r="C3308" s="2"/>
      <c r="D3308" s="2" t="str">
        <f>IFERROR(__xludf.DUMMYFUNCTION("IF(C3308&lt;&gt;"""", GOOGLETRANSLATE(C3308, ""en"", ""te""),"""")"),"")</f>
        <v/>
      </c>
      <c r="E3308" s="2"/>
      <c r="F3308" s="2" t="str">
        <f>IFERROR(__xludf.DUMMYFUNCTION("IF(E3308&lt;&gt;"""", GOOGLETRANSLATE(E3308, ""en"", ""te""),"""")"),"")</f>
        <v/>
      </c>
      <c r="G3308" s="2"/>
      <c r="H3308" s="2" t="str">
        <f>IFERROR(__xludf.DUMMYFUNCTION("IF(G3308&lt;&gt;"""", GOOGLETRANSLATE(G3308, ""en"", ""te""),"""")"),"")</f>
        <v/>
      </c>
      <c r="I3308" s="3"/>
    </row>
    <row r="3309" customHeight="1" spans="1:9">
      <c r="A3309" s="2"/>
      <c r="B3309" s="2" t="str">
        <f>IFERROR(__xludf.DUMMYFUNCTION("IF(A3309&lt;&gt;"""", GOOGLETRANSLATE(A3309, ""en"", ""te""),"""")"),"")</f>
        <v/>
      </c>
      <c r="C3309" s="2"/>
      <c r="D3309" s="2" t="str">
        <f>IFERROR(__xludf.DUMMYFUNCTION("IF(C3309&lt;&gt;"""", GOOGLETRANSLATE(C3309, ""en"", ""te""),"""")"),"")</f>
        <v/>
      </c>
      <c r="E3309" s="2"/>
      <c r="F3309" s="2" t="str">
        <f>IFERROR(__xludf.DUMMYFUNCTION("IF(E3309&lt;&gt;"""", GOOGLETRANSLATE(E3309, ""en"", ""te""),"""")"),"")</f>
        <v/>
      </c>
      <c r="G3309" s="2"/>
      <c r="H3309" s="2" t="str">
        <f>IFERROR(__xludf.DUMMYFUNCTION("IF(G3309&lt;&gt;"""", GOOGLETRANSLATE(G3309, ""en"", ""te""),"""")"),"")</f>
        <v/>
      </c>
      <c r="I3309" s="3"/>
    </row>
    <row r="3310" customHeight="1" spans="1:9">
      <c r="A3310" s="2"/>
      <c r="B3310" s="2" t="str">
        <f>IFERROR(__xludf.DUMMYFUNCTION("IF(A3310&lt;&gt;"""", GOOGLETRANSLATE(A3310, ""en"", ""te""),"""")"),"")</f>
        <v/>
      </c>
      <c r="C3310" s="2"/>
      <c r="D3310" s="2" t="str">
        <f>IFERROR(__xludf.DUMMYFUNCTION("IF(C3310&lt;&gt;"""", GOOGLETRANSLATE(C3310, ""en"", ""te""),"""")"),"")</f>
        <v/>
      </c>
      <c r="E3310" s="2"/>
      <c r="F3310" s="2" t="str">
        <f>IFERROR(__xludf.DUMMYFUNCTION("IF(E3310&lt;&gt;"""", GOOGLETRANSLATE(E3310, ""en"", ""te""),"""")"),"")</f>
        <v/>
      </c>
      <c r="G3310" s="2"/>
      <c r="H3310" s="2" t="str">
        <f>IFERROR(__xludf.DUMMYFUNCTION("IF(G3310&lt;&gt;"""", GOOGLETRANSLATE(G3310, ""en"", ""te""),"""")"),"")</f>
        <v/>
      </c>
      <c r="I3310" s="3"/>
    </row>
    <row r="3311" customHeight="1" spans="1:9">
      <c r="A3311" s="2"/>
      <c r="B3311" s="2" t="str">
        <f>IFERROR(__xludf.DUMMYFUNCTION("IF(A3311&lt;&gt;"""", GOOGLETRANSLATE(A3311, ""en"", ""te""),"""")"),"")</f>
        <v/>
      </c>
      <c r="C3311" s="2"/>
      <c r="D3311" s="2" t="str">
        <f>IFERROR(__xludf.DUMMYFUNCTION("IF(C3311&lt;&gt;"""", GOOGLETRANSLATE(C3311, ""en"", ""te""),"""")"),"")</f>
        <v/>
      </c>
      <c r="E3311" s="2"/>
      <c r="F3311" s="2" t="str">
        <f>IFERROR(__xludf.DUMMYFUNCTION("IF(E3311&lt;&gt;"""", GOOGLETRANSLATE(E3311, ""en"", ""te""),"""")"),"")</f>
        <v/>
      </c>
      <c r="G3311" s="2"/>
      <c r="H3311" s="2" t="str">
        <f>IFERROR(__xludf.DUMMYFUNCTION("IF(G3311&lt;&gt;"""", GOOGLETRANSLATE(G3311, ""en"", ""te""),"""")"),"")</f>
        <v/>
      </c>
      <c r="I3311" s="3"/>
    </row>
    <row r="3312" customHeight="1" spans="1:9">
      <c r="A3312" s="2"/>
      <c r="B3312" s="2" t="str">
        <f>IFERROR(__xludf.DUMMYFUNCTION("IF(A3312&lt;&gt;"""", GOOGLETRANSLATE(A3312, ""en"", ""te""),"""")"),"")</f>
        <v/>
      </c>
      <c r="C3312" s="2"/>
      <c r="D3312" s="2" t="str">
        <f>IFERROR(__xludf.DUMMYFUNCTION("IF(C3312&lt;&gt;"""", GOOGLETRANSLATE(C3312, ""en"", ""te""),"""")"),"")</f>
        <v/>
      </c>
      <c r="E3312" s="2"/>
      <c r="F3312" s="2" t="str">
        <f>IFERROR(__xludf.DUMMYFUNCTION("IF(E3312&lt;&gt;"""", GOOGLETRANSLATE(E3312, ""en"", ""te""),"""")"),"")</f>
        <v/>
      </c>
      <c r="G3312" s="2"/>
      <c r="H3312" s="2" t="str">
        <f>IFERROR(__xludf.DUMMYFUNCTION("IF(G3312&lt;&gt;"""", GOOGLETRANSLATE(G3312, ""en"", ""te""),"""")"),"")</f>
        <v/>
      </c>
      <c r="I3312" s="3"/>
    </row>
    <row r="3313" customHeight="1" spans="1:9">
      <c r="A3313" s="2"/>
      <c r="B3313" s="2" t="str">
        <f>IFERROR(__xludf.DUMMYFUNCTION("IF(A3313&lt;&gt;"""", GOOGLETRANSLATE(A3313, ""en"", ""te""),"""")"),"")</f>
        <v/>
      </c>
      <c r="C3313" s="2"/>
      <c r="D3313" s="2" t="str">
        <f>IFERROR(__xludf.DUMMYFUNCTION("IF(C3313&lt;&gt;"""", GOOGLETRANSLATE(C3313, ""en"", ""te""),"""")"),"")</f>
        <v/>
      </c>
      <c r="E3313" s="2"/>
      <c r="F3313" s="2" t="str">
        <f>IFERROR(__xludf.DUMMYFUNCTION("IF(E3313&lt;&gt;"""", GOOGLETRANSLATE(E3313, ""en"", ""te""),"""")"),"")</f>
        <v/>
      </c>
      <c r="G3313" s="2"/>
      <c r="H3313" s="2" t="str">
        <f>IFERROR(__xludf.DUMMYFUNCTION("IF(G3313&lt;&gt;"""", GOOGLETRANSLATE(G3313, ""en"", ""te""),"""")"),"")</f>
        <v/>
      </c>
      <c r="I3313" s="3"/>
    </row>
    <row r="3314" customHeight="1" spans="1:9">
      <c r="A3314" s="2" t="s">
        <v>2315</v>
      </c>
      <c r="B3314" s="2" t="str">
        <f>IFERROR(__xludf.DUMMYFUNCTION("IF(A3314&lt;&gt;"""", GOOGLETRANSLATE(A3314, ""en"", ""te""),"""")"),"[ 'హండ్రెడ్ మరియు ఒక మ్యాచ్లో ఒక డక్', 'ఒక మ్యాచ్లో 8 వ అత్యధిక క్యాచ్లు (6)', 'వరుస 3 వ అత్యధిక వందలు (3)', 'ఎ ఏబది ఒక ఇన్నింగ్స్ లో ఐదు వికెట్లు']")</f>
        <v>[ 'హండ్రెడ్ మరియు ఒక మ్యాచ్లో ఒక డక్', 'ఒక మ్యాచ్లో 8 వ అత్యధిక క్యాచ్లు (6)', 'వరుస 3 వ అత్యధిక వందలు (3)', 'ఎ ఏబది ఒక ఇన్నింగ్స్ లో ఐదు వికెట్లు']</v>
      </c>
      <c r="C3314" s="2" t="s">
        <v>2316</v>
      </c>
      <c r="D3314" s="2" t="str">
        <f>IFERROR(__xludf.DUMMYFUNCTION("IF(C3314&lt;&gt;"""", GOOGLETRANSLATE(C3314, ""en"", ""te""),"""")"),"[ '25 వ పరాజయం వైపు ఒక మ్యాచ్లో అత్యధిక పరుగులు (225)', 'ఒక డక్ లేకుండా 23 వరుస ఇన్నింగ్స్ (63)', 'బౌలింగ్ 24th చెత్త కెరీర్ సగటు (56.78)', '16 వ చెత్త కెరీర్లో సమ్మె రేటు (132.9) ',' కెరీర్లో 49 వ అత్యధిక క్యాచ్లు (90) ',' 8 వ ఒక మ్యాచ్లో అత్యధిక క్యాచ్"&amp;"లు (6) ',' 24th ఒక సిరీస్లో అత్యధిక క్యాచ్లు (11) ']")</f>
        <v>[ '25 వ పరాజయం వైపు ఒక మ్యాచ్లో అత్యధిక పరుగులు (225)', 'ఒక డక్ లేకుండా 23 వరుస ఇన్నింగ్స్ (63)', 'బౌలింగ్ 24th చెత్త కెరీర్ సగటు (56.78)', '16 వ చెత్త కెరీర్లో సమ్మె రేటు (132.9) ',' కెరీర్లో 49 వ అత్యధిక క్యాచ్లు (90) ',' 8 వ ఒక మ్యాచ్లో అత్యధిక క్యాచ్లు (6) ',' 24th ఒక సిరీస్లో అత్యధిక క్యాచ్లు (11) ']</v>
      </c>
      <c r="E3314" s="2" t="s">
        <v>2317</v>
      </c>
      <c r="F3314" s="2" t="str">
        <f>IFERROR(__xludf.DUMMYFUNCTION("IF(E3314&lt;&gt;"""", GOOGLETRANSLATE(E3314, ""en"", ""te""),"""")"),"[ '26 ఒక సిరీస్లో అత్యధిక పరుగులు (513)', 'వరుస 3 వ అత్యధిక వందలు (3)', '36 వ వేగవంతమైన' 1000 పరుగులు (29) కు 45 వ వేగవంతమైన ',' వరుస ఇన్నింగ్స్ (4) లో 44 వ యాభైల్లో ' 3000 పరుగులు (87) ',' ఐదు వికెట్ల తేడాతో-ఒక-ఇన్నింగ్స్ ఆడపిల్లకు తీసుకోవాలని తీసుకోవ"&amp;"ాలని 25 అత్యంత వృద్ధ ఆటగాడు (33y 273d) ',' 16 వ అత్యంత వృద్ధ ఆటగాడు ఐదు వికెట్ల లో-ఒక-ఇన్నింగ్స్ (33y 273d) ',' మూడో వికెట్ (213) కోసం 21 వ అత్యధిక భాగస్వామ్యం ']")</f>
        <v>[ '26 ఒక సిరీస్లో అత్యధిక పరుగులు (513)', 'వరుస 3 వ అత్యధిక వందలు (3)', '36 వ వేగవంతమైన' 1000 పరుగులు (29) కు 45 వ వేగవంతమైన ',' వరుస ఇన్నింగ్స్ (4) లో 44 వ యాభైల్లో ' 3000 పరుగులు (87) ',' ఐదు వికెట్ల తేడాతో-ఒక-ఇన్నింగ్స్ ఆడపిల్లకు తీసుకోవాలని తీసుకోవాలని 25 అత్యంత వృద్ధ ఆటగాడు (33y 273d) ',' 16 వ అత్యంత వృద్ధ ఆటగాడు ఐదు వికెట్ల లో-ఒక-ఇన్నింగ్స్ (33y 273d) ',' మూడో వికెట్ (213) కోసం 21 వ అత్యధిక భాగస్వామ్యం ']</v>
      </c>
      <c r="G3314" s="2"/>
      <c r="H3314" s="2" t="str">
        <f>IFERROR(__xludf.DUMMYFUNCTION("IF(G3314&lt;&gt;"""", GOOGLETRANSLATE(G3314, ""en"", ""te""),"""")"),"")</f>
        <v/>
      </c>
      <c r="I3314" s="3"/>
    </row>
    <row r="3315" customHeight="1" spans="1:9">
      <c r="A3315" s="2"/>
      <c r="B3315" s="2" t="str">
        <f>IFERROR(__xludf.DUMMYFUNCTION("IF(A3315&lt;&gt;"""", GOOGLETRANSLATE(A3315, ""en"", ""te""),"""")"),"")</f>
        <v/>
      </c>
      <c r="C3315" s="2"/>
      <c r="D3315" s="2" t="str">
        <f>IFERROR(__xludf.DUMMYFUNCTION("IF(C3315&lt;&gt;"""", GOOGLETRANSLATE(C3315, ""en"", ""te""),"""")"),"")</f>
        <v/>
      </c>
      <c r="E3315" s="2"/>
      <c r="F3315" s="2" t="str">
        <f>IFERROR(__xludf.DUMMYFUNCTION("IF(E3315&lt;&gt;"""", GOOGLETRANSLATE(E3315, ""en"", ""te""),"""")"),"")</f>
        <v/>
      </c>
      <c r="G3315" s="2"/>
      <c r="H3315" s="2" t="str">
        <f>IFERROR(__xludf.DUMMYFUNCTION("IF(G3315&lt;&gt;"""", GOOGLETRANSLATE(G3315, ""en"", ""te""),"""")"),"")</f>
        <v/>
      </c>
      <c r="I3315" s="3"/>
    </row>
    <row r="3316" customHeight="1" spans="1:9">
      <c r="A3316" s="2"/>
      <c r="B3316" s="2" t="str">
        <f>IFERROR(__xludf.DUMMYFUNCTION("IF(A3316&lt;&gt;"""", GOOGLETRANSLATE(A3316, ""en"", ""te""),"""")"),"")</f>
        <v/>
      </c>
      <c r="C3316" s="2"/>
      <c r="D3316" s="2" t="str">
        <f>IFERROR(__xludf.DUMMYFUNCTION("IF(C3316&lt;&gt;"""", GOOGLETRANSLATE(C3316, ""en"", ""te""),"""")"),"")</f>
        <v/>
      </c>
      <c r="E3316" s="2"/>
      <c r="F3316" s="2" t="str">
        <f>IFERROR(__xludf.DUMMYFUNCTION("IF(E3316&lt;&gt;"""", GOOGLETRANSLATE(E3316, ""en"", ""te""),"""")"),"")</f>
        <v/>
      </c>
      <c r="G3316" s="2"/>
      <c r="H3316" s="2" t="str">
        <f>IFERROR(__xludf.DUMMYFUNCTION("IF(G3316&lt;&gt;"""", GOOGLETRANSLATE(G3316, ""en"", ""te""),"""")"),"")</f>
        <v/>
      </c>
      <c r="I3316" s="3"/>
    </row>
    <row r="3317" customHeight="1" spans="1:9">
      <c r="A3317" s="2" t="s">
        <v>2318</v>
      </c>
      <c r="B3317" s="2" t="str">
        <f>IFERROR(__xludf.DUMMYFUNCTION("IF(A3317&lt;&gt;"""", GOOGLETRANSLATE(A3317, ""en"", ""te""),"""")"),"[ 'వరుస ఇన్నింగ్స్లో 7 వ యాభైల్లో (6)' '2 వ అత్యంత వృద్ధ ఆటగాడు వంద (45y 151d) స్కోర్',]")</f>
        <v>[ 'వరుస ఇన్నింగ్స్లో 7 వ యాభైల్లో (6)' '2 వ అత్యంత వృద్ధ ఆటగాడు వంద (45y 151d) స్కోర్',]</v>
      </c>
      <c r="C3317" s="2" t="s">
        <v>2319</v>
      </c>
      <c r="D3317" s="2" t="str">
        <f>IFERROR(__xludf.DUMMYFUNCTION("IF(C3317&lt;&gt;"""", GOOGLETRANSLATE(C3317, ""en"", ""te""),"""")"),"[ '37 వ ఒక సిరీస్లో అత్యధిక పరుగులు (693)', 'తొలి వంద (35y 158d) స్కోర్ 22 అత్యంత వృద్ధ ఆటగాడు', వరుస ఇన్నింగ్స్లో '2nd అత్యంత వృద్ధ ఆటగాడు వంద (45y 151d) స్కోర్', '7 వ యాభైల్లో (6 ) ',' 45 వ 3000 పరుగులు (వేగంగా 69) ',' ఎనిమిదవ వికెట్కు 46 వ అత్యధిక భాగ"&amp;"స్వామ్యం (124) ',' 11 వ ఓల్డెస్ట్ క్రీడాకారులు (46y 41d) ']")</f>
        <v>[ '37 వ ఒక సిరీస్లో అత్యధిక పరుగులు (693)', 'తొలి వంద (35y 158d) స్కోర్ 22 అత్యంత వృద్ధ ఆటగాడు', వరుస ఇన్నింగ్స్లో '2nd అత్యంత వృద్ధ ఆటగాడు వంద (45y 151d) స్కోర్', '7 వ యాభైల్లో (6 ) ',' 45 వ 3000 పరుగులు (వేగంగా 69) ',' ఎనిమిదవ వికెట్కు 46 వ అత్యధిక భాగస్వామ్యం (124) ',' 11 వ ఓల్డెస్ట్ క్రీడాకారులు (46y 41d) ']</v>
      </c>
      <c r="E3317" s="2"/>
      <c r="F3317" s="2" t="str">
        <f>IFERROR(__xludf.DUMMYFUNCTION("IF(E3317&lt;&gt;"""", GOOGLETRANSLATE(E3317, ""en"", ""te""),"""")"),"")</f>
        <v/>
      </c>
      <c r="G3317" s="2"/>
      <c r="H3317" s="2" t="str">
        <f>IFERROR(__xludf.DUMMYFUNCTION("IF(G3317&lt;&gt;"""", GOOGLETRANSLATE(G3317, ""en"", ""te""),"""")"),"")</f>
        <v/>
      </c>
      <c r="I3317" s="3"/>
    </row>
    <row r="3318" customHeight="1" spans="1:9">
      <c r="A3318" s="2"/>
      <c r="B3318" s="2" t="str">
        <f>IFERROR(__xludf.DUMMYFUNCTION("IF(A3318&lt;&gt;"""", GOOGLETRANSLATE(A3318, ""en"", ""te""),"""")"),"")</f>
        <v/>
      </c>
      <c r="C3318" s="2"/>
      <c r="D3318" s="2" t="str">
        <f>IFERROR(__xludf.DUMMYFUNCTION("IF(C3318&lt;&gt;"""", GOOGLETRANSLATE(C3318, ""en"", ""te""),"""")"),"")</f>
        <v/>
      </c>
      <c r="E3318" s="2"/>
      <c r="F3318" s="2" t="str">
        <f>IFERROR(__xludf.DUMMYFUNCTION("IF(E3318&lt;&gt;"""", GOOGLETRANSLATE(E3318, ""en"", ""te""),"""")"),"")</f>
        <v/>
      </c>
      <c r="G3318" s="2"/>
      <c r="H3318" s="2" t="str">
        <f>IFERROR(__xludf.DUMMYFUNCTION("IF(G3318&lt;&gt;"""", GOOGLETRANSLATE(G3318, ""en"", ""te""),"""")"),"")</f>
        <v/>
      </c>
      <c r="I3318" s="3"/>
    </row>
    <row r="3319" customHeight="1" spans="1:9">
      <c r="A3319" s="2"/>
      <c r="B3319" s="2" t="str">
        <f>IFERROR(__xludf.DUMMYFUNCTION("IF(A3319&lt;&gt;"""", GOOGLETRANSLATE(A3319, ""en"", ""te""),"""")"),"")</f>
        <v/>
      </c>
      <c r="C3319" s="2"/>
      <c r="D3319" s="2" t="str">
        <f>IFERROR(__xludf.DUMMYFUNCTION("IF(C3319&lt;&gt;"""", GOOGLETRANSLATE(C3319, ""en"", ""te""),"""")"),"")</f>
        <v/>
      </c>
      <c r="E3319" s="2"/>
      <c r="F3319" s="2" t="str">
        <f>IFERROR(__xludf.DUMMYFUNCTION("IF(E3319&lt;&gt;"""", GOOGLETRANSLATE(E3319, ""en"", ""te""),"""")"),"")</f>
        <v/>
      </c>
      <c r="G3319" s="2"/>
      <c r="H3319" s="2" t="str">
        <f>IFERROR(__xludf.DUMMYFUNCTION("IF(G3319&lt;&gt;"""", GOOGLETRANSLATE(G3319, ""en"", ""te""),"""")"),"")</f>
        <v/>
      </c>
      <c r="I3319" s="3"/>
    </row>
    <row r="3320" customHeight="1" spans="1:9">
      <c r="A3320" s="2"/>
      <c r="B3320" s="2" t="str">
        <f>IFERROR(__xludf.DUMMYFUNCTION("IF(A3320&lt;&gt;"""", GOOGLETRANSLATE(A3320, ""en"", ""te""),"""")"),"")</f>
        <v/>
      </c>
      <c r="C3320" s="2"/>
      <c r="D3320" s="2" t="str">
        <f>IFERROR(__xludf.DUMMYFUNCTION("IF(C3320&lt;&gt;"""", GOOGLETRANSLATE(C3320, ""en"", ""te""),"""")"),"")</f>
        <v/>
      </c>
      <c r="E3320" s="2"/>
      <c r="F3320" s="2" t="str">
        <f>IFERROR(__xludf.DUMMYFUNCTION("IF(E3320&lt;&gt;"""", GOOGLETRANSLATE(E3320, ""en"", ""te""),"""")"),"")</f>
        <v/>
      </c>
      <c r="G3320" s="2"/>
      <c r="H3320" s="2" t="str">
        <f>IFERROR(__xludf.DUMMYFUNCTION("IF(G3320&lt;&gt;"""", GOOGLETRANSLATE(G3320, ""en"", ""te""),"""")"),"")</f>
        <v/>
      </c>
      <c r="I3320" s="3"/>
    </row>
    <row r="3321" customHeight="1" spans="1:9">
      <c r="A3321" s="2"/>
      <c r="B3321" s="2" t="str">
        <f>IFERROR(__xludf.DUMMYFUNCTION("IF(A3321&lt;&gt;"""", GOOGLETRANSLATE(A3321, ""en"", ""te""),"""")"),"")</f>
        <v/>
      </c>
      <c r="C3321" s="2"/>
      <c r="D3321" s="2" t="str">
        <f>IFERROR(__xludf.DUMMYFUNCTION("IF(C3321&lt;&gt;"""", GOOGLETRANSLATE(C3321, ""en"", ""te""),"""")"),"")</f>
        <v/>
      </c>
      <c r="E3321" s="2"/>
      <c r="F3321" s="2" t="str">
        <f>IFERROR(__xludf.DUMMYFUNCTION("IF(E3321&lt;&gt;"""", GOOGLETRANSLATE(E3321, ""en"", ""te""),"""")"),"")</f>
        <v/>
      </c>
      <c r="G3321" s="2"/>
      <c r="H3321" s="2" t="str">
        <f>IFERROR(__xludf.DUMMYFUNCTION("IF(G3321&lt;&gt;"""", GOOGLETRANSLATE(G3321, ""en"", ""te""),"""")"),"")</f>
        <v/>
      </c>
      <c r="I3321" s="3"/>
    </row>
    <row r="3322" customHeight="1" spans="1:9">
      <c r="A3322" s="2"/>
      <c r="B3322" s="2" t="str">
        <f>IFERROR(__xludf.DUMMYFUNCTION("IF(A3322&lt;&gt;"""", GOOGLETRANSLATE(A3322, ""en"", ""te""),"""")"),"")</f>
        <v/>
      </c>
      <c r="C3322" s="2"/>
      <c r="D3322" s="2" t="str">
        <f>IFERROR(__xludf.DUMMYFUNCTION("IF(C3322&lt;&gt;"""", GOOGLETRANSLATE(C3322, ""en"", ""te""),"""")"),"")</f>
        <v/>
      </c>
      <c r="E3322" s="2"/>
      <c r="F3322" s="2" t="str">
        <f>IFERROR(__xludf.DUMMYFUNCTION("IF(E3322&lt;&gt;"""", GOOGLETRANSLATE(E3322, ""en"", ""te""),"""")"),"")</f>
        <v/>
      </c>
      <c r="G3322" s="2"/>
      <c r="H3322" s="2" t="str">
        <f>IFERROR(__xludf.DUMMYFUNCTION("IF(G3322&lt;&gt;"""", GOOGLETRANSLATE(G3322, ""en"", ""te""),"""")"),"")</f>
        <v/>
      </c>
      <c r="I3322" s="3"/>
    </row>
    <row r="3323" customHeight="1" spans="1:9">
      <c r="A3323" s="2"/>
      <c r="B3323" s="2" t="str">
        <f>IFERROR(__xludf.DUMMYFUNCTION("IF(A3323&lt;&gt;"""", GOOGLETRANSLATE(A3323, ""en"", ""te""),"""")"),"")</f>
        <v/>
      </c>
      <c r="C3323" s="2"/>
      <c r="D3323" s="2" t="str">
        <f>IFERROR(__xludf.DUMMYFUNCTION("IF(C3323&lt;&gt;"""", GOOGLETRANSLATE(C3323, ""en"", ""te""),"""")"),"")</f>
        <v/>
      </c>
      <c r="E3323" s="2" t="s">
        <v>2320</v>
      </c>
      <c r="F3323" s="2" t="str">
        <f>IFERROR(__xludf.DUMMYFUNCTION("IF(E3323&lt;&gt;"""", GOOGLETRANSLATE(E3323, ""en"", ""te""),"""")"),"[ '15 వ ఉత్తమ తొలి ఇన్నింగ్స్లో గణాంకాలు (4)', '13 వ వరుస నాలుగు వికెట్లు-ఇన్-ఒక-ఇన్నింగ్స్ (2)']")</f>
        <v>[ '15 వ ఉత్తమ తొలి ఇన్నింగ్స్లో గణాంకాలు (4)', '13 వ వరుస నాలుగు వికెట్లు-ఇన్-ఒక-ఇన్నింగ్స్ (2)']</v>
      </c>
      <c r="G3323" s="2"/>
      <c r="H3323" s="2" t="str">
        <f>IFERROR(__xludf.DUMMYFUNCTION("IF(G3323&lt;&gt;"""", GOOGLETRANSLATE(G3323, ""en"", ""te""),"""")"),"")</f>
        <v/>
      </c>
      <c r="I3323" s="3"/>
    </row>
    <row r="3324" customHeight="1" spans="1:9">
      <c r="A3324" s="2" t="s">
        <v>2321</v>
      </c>
      <c r="B3324" s="2" t="str">
        <f>IFERROR(__xludf.DUMMYFUNCTION("IF(A3324&lt;&gt;"""", GOOGLETRANSLATE(A3324, ""en"", ""te""),"""")"),"[ '2nd లాంగెస్ట్ కెరీర్లు (19y 211d)', '2 వ ఓల్డెస్ట్ కాప్టెన్ (40y 276d)', '6 వ అత్యధిక పరుగులు ఒక సిరీస్లో ఒక కెప్టెన్ (285) ద్వారా', '7 వ అత్యంత వృద్ధ ఆటగాడు వంద (35y 118d) స్కోర్', ఒక కెప్టెన్ 3 వ బెస్ట్ ఫిగర్స్ ఒక మ్యాచ్లో (8) '' వరుస ఇన్నింగ్స్లో 5 "&amp;"వ యాభైల్లో (3) ',' కెరీర్ లో 5 వ అతి తక్కువ బాతులు (27) ',' 7th '4 వ ఉత్తమ కెరీర్ సగటు (15.25) బౌలింగ్' తీసుకున్న అత్యధిక వికెట్లు బౌల్డ్ (14) ']")</f>
        <v>[ '2nd లాంగెస్ట్ కెరీర్లు (19y 211d)', '2 వ ఓల్డెస్ట్ కాప్టెన్ (40y 276d)', '6 వ అత్యధిక పరుగులు ఒక సిరీస్లో ఒక కెప్టెన్ (285) ద్వారా', '7 వ అత్యంత వృద్ధ ఆటగాడు వంద (35y 118d) స్కోర్', ఒక కెప్టెన్ 3 వ బెస్ట్ ఫిగర్స్ ఒక మ్యాచ్లో (8) '' వరుస ఇన్నింగ్స్లో 5 వ యాభైల్లో (3) ',' కెరీర్ లో 5 వ అతి తక్కువ బాతులు (27) ',' 7th '4 వ ఉత్తమ కెరీర్ సగటు (15.25) బౌలింగ్' తీసుకున్న అత్యధిక వికెట్లు బౌల్డ్ (14) ']</v>
      </c>
      <c r="C3324" s="2" t="s">
        <v>2322</v>
      </c>
      <c r="D3324" s="2" t="str">
        <f>IFERROR(__xludf.DUMMYFUNCTION("IF(C3324&lt;&gt;"""", GOOGLETRANSLATE(C3324, ""en"", ""te""),"""")"),"[ 'ఒక మ్యాచ్లో 18 వ అత్యధిక పరుగులు (187)' 'వరుస 29 వ అత్యధిక పరుగులు (285)' '12 వ కెరీర్ లో అత్యధిక పరుగులు (872)', '41 వ ఇన్నింగ్స్ (124 *) లో అత్యధిక పరుగులు', ' ఒక క్యాలెండర్ సంవత్సరంలో 28 అత్యధిక పరుగులు (300) ',' ఒక కెప్టెన్తో ఇన్నింగ్స్ లో 13 వ అత్"&amp;"యధిక పరుగులు (బ్యాటింగ్ స్థానంలో ప్రకారం) (124 *) ',' ఆమె ఒక సిరీస్లో 6 వ అత్యధిక పరుగులు (285) ',' 7 వ అత్యంత పరుగులు ఒక కెప్టెన్ (124 *) ద్వారా ఇన్నింగ్స్ ',' 29th అత్యధిక కెరీర్ బ్యాటింగ్ సగటు (36.33) ',' 10 వ అత్యధిక వందలు ఒక కెరీర్ (2) ',' 41 వ అత్యధ"&amp;"ిక తొలి వంద (110) ',' 9 వ పిన్న స్కోరు ప్లేయర్లో వంద (21y 115d) ',' 7 వ అత్యంత వృద్ధ ఆటగాడు వంద ',' 11 వ అత్యంత అర్ధ కెరీర్లో కెరీర్లో (7) ',' వరుస ఇన్నింగ్స్లో 5 వ యాభైల్లో (3) ',' 5 వ అతి తక్కువ బాతులు (118d 35y) స్కోర్ (27) ',' 17 వ కెరీర్ లో అత్యధిక "&amp;"వికెట్లు (36) ',' 26 ఒక మ్యాచ్లో బెస్ట్ ఫిగర్స్ (8) ',' 5 వ అత్యుత్తమ బౌలింగ్ ఇన్నింగ్స్ లో విశ్లేషించడం (5/20) ',' ఒక ఇన్నింగ్స్ లో 5 వ ఉత్తమ బొమ్మలు ఒక కెప్టెన్ (5) ',' ఒక కెప్టెన్తో ఒక మ్యాచ్లో 3 వ బెస్ట్ ఫిగర్స్ (8) ',' 17 వ మ్యాచ్ లో బెస్ట్ ఫిగర్స్ ఉ"&amp;"న్నప్పుడు పరాజయం వైపు (5) ',' 4 వ ఉత్తమ కెరీర్ బౌలింగ్ ఒక ద్వారా verage (15.25) ',' 22 వ ఉత్తమ కెరీర్ ఆర్థిక రేటు (1.59) ',' 13 వ ఉత్తమ కెరీర్ సమ్మె రేటు (57.3) ',' ఇన్నింగ్స్ లో 14 వ ఉత్తమ సమ్మె రేటు (14.8) ',' అయిదు వికెట్లు తీసుకోవాలని 17 వ పిన్న ఆటగా"&amp;"డు -ఇన్-ఒక-ఇన్నింగ్స్ (23y 245d) ',' 26th కెరీర్లో బౌల్డ్ చాలా బంతుల్లో (2064) ',' 12 వ బౌలర్ / బ్యాట్స్ కలయికలు (4) ',' 7 వ అత్యధిక వికెట్లు తీసుకున్న బౌల్డ్ (14) ', '21 వ అత్యధిక వికెట్లు కెరీర్లో తీసుకున్న ఆకర్షించింది (15) ',' 23 వ అత్యధిక క్యాచ్లు (1"&amp;"0) ',' నాలుగవ వికెట్కు 25 అత్యధిక భాగస్వామ్యం (84) ',' 17 వ అత్యధిక కెరీర్ లో మ్యాచ్లు (15) ',' 12 వ ఓల్డెస్ట్ క్రీడాకారులు (40y 276d) ',' 2 వ లాంగెస్ట్ కెరీర్లు (19y 211d) ',' ప్రదర్శనల మధ్య 5 వ లాంగెస్ట్ వ్యవధిలో (11y 186d) ',' కెప్టెన్ 4 వ అత్యధిక మ్యా"&amp;"చ్లు (11) ',' 5 వ పిన్న కాప్టెన్ (23y 231d) ',' 2 వ ఓల్డెస్ట్ కాప్టెన్ ( 40y 276d) ']")</f>
        <v>[ 'ఒక మ్యాచ్లో 18 వ అత్యధిక పరుగులు (187)' 'వరుస 29 వ అత్యధిక పరుగులు (285)' '12 వ కెరీర్ లో అత్యధిక పరుగులు (872)', '41 వ ఇన్నింగ్స్ (124 *) లో అత్యధిక పరుగులు', ' ఒక క్యాలెండర్ సంవత్సరంలో 28 అత్యధిక పరుగులు (300) ',' ఒక కెప్టెన్తో ఇన్నింగ్స్ లో 13 వ అత్యధిక పరుగులు (బ్యాటింగ్ స్థానంలో ప్రకారం) (124 *) ',' ఆమె ఒక సిరీస్లో 6 వ అత్యధిక పరుగులు (285) ',' 7 వ అత్యంత పరుగులు ఒక కెప్టెన్ (124 *) ద్వారా ఇన్నింగ్స్ ',' 29th అత్యధిక కెరీర్ బ్యాటింగ్ సగటు (36.33) ',' 10 వ అత్యధిక వందలు ఒక కెరీర్ (2) ',' 41 వ అత్యధిక తొలి వంద (110) ',' 9 వ పిన్న స్కోరు ప్లేయర్లో వంద (21y 115d) ',' 7 వ అత్యంత వృద్ధ ఆటగాడు వంద ',' 11 వ అత్యంత అర్ధ కెరీర్లో కెరీర్లో (7) ',' వరుస ఇన్నింగ్స్లో 5 వ యాభైల్లో (3) ',' 5 వ అతి తక్కువ బాతులు (118d 35y) స్కోర్ (27) ',' 17 వ కెరీర్ లో అత్యధిక వికెట్లు (36) ',' 26 ఒక మ్యాచ్లో బెస్ట్ ఫిగర్స్ (8) ',' 5 వ అత్యుత్తమ బౌలింగ్ ఇన్నింగ్స్ లో విశ్లేషించడం (5/20) ',' ఒక ఇన్నింగ్స్ లో 5 వ ఉత్తమ బొమ్మలు ఒక కెప్టెన్ (5) ',' ఒక కెప్టెన్తో ఒక మ్యాచ్లో 3 వ బెస్ట్ ఫిగర్స్ (8) ',' 17 వ మ్యాచ్ లో బెస్ట్ ఫిగర్స్ ఉన్నప్పుడు పరాజయం వైపు (5) ',' 4 వ ఉత్తమ కెరీర్ బౌలింగ్ ఒక ద్వారా verage (15.25) ',' 22 వ ఉత్తమ కెరీర్ ఆర్థిక రేటు (1.59) ',' 13 వ ఉత్తమ కెరీర్ సమ్మె రేటు (57.3) ',' ఇన్నింగ్స్ లో 14 వ ఉత్తమ సమ్మె రేటు (14.8) ',' అయిదు వికెట్లు తీసుకోవాలని 17 వ పిన్న ఆటగాడు -ఇన్-ఒక-ఇన్నింగ్స్ (23y 245d) ',' 26th కెరీర్లో బౌల్డ్ చాలా బంతుల్లో (2064) ',' 12 వ బౌలర్ / బ్యాట్స్ కలయికలు (4) ',' 7 వ అత్యధిక వికెట్లు తీసుకున్న బౌల్డ్ (14) ', '21 వ అత్యధిక వికెట్లు కెరీర్లో తీసుకున్న ఆకర్షించింది (15) ',' 23 వ అత్యధిక క్యాచ్లు (10) ',' నాలుగవ వికెట్కు 25 అత్యధిక భాగస్వామ్యం (84) ',' 17 వ అత్యధిక కెరీర్ లో మ్యాచ్లు (15) ',' 12 వ ఓల్డెస్ట్ క్రీడాకారులు (40y 276d) ',' 2 వ లాంగెస్ట్ కెరీర్లు (19y 211d) ',' ప్రదర్శనల మధ్య 5 వ లాంగెస్ట్ వ్యవధిలో (11y 186d) ',' కెప్టెన్ 4 వ అత్యధిక మ్యాచ్లు (11) ',' 5 వ పిన్న కాప్టెన్ (23y 231d) ',' 2 వ ఓల్డెస్ట్ కాప్టెన్ ( 40y 276d) ']</v>
      </c>
      <c r="E3324" s="2"/>
      <c r="F3324" s="2" t="str">
        <f>IFERROR(__xludf.DUMMYFUNCTION("IF(E3324&lt;&gt;"""", GOOGLETRANSLATE(E3324, ""en"", ""te""),"""")"),"")</f>
        <v/>
      </c>
      <c r="G3324" s="2"/>
      <c r="H3324" s="2" t="str">
        <f>IFERROR(__xludf.DUMMYFUNCTION("IF(G3324&lt;&gt;"""", GOOGLETRANSLATE(G3324, ""en"", ""te""),"""")"),"")</f>
        <v/>
      </c>
      <c r="I3324" s="3"/>
    </row>
    <row r="3325" customHeight="1" spans="1:9">
      <c r="A3325" s="2"/>
      <c r="B3325" s="2" t="str">
        <f>IFERROR(__xludf.DUMMYFUNCTION("IF(A3325&lt;&gt;"""", GOOGLETRANSLATE(A3325, ""en"", ""te""),"""")"),"")</f>
        <v/>
      </c>
      <c r="C3325" s="2"/>
      <c r="D3325" s="2" t="str">
        <f>IFERROR(__xludf.DUMMYFUNCTION("IF(C3325&lt;&gt;"""", GOOGLETRANSLATE(C3325, ""en"", ""te""),"""")"),"")</f>
        <v/>
      </c>
      <c r="E3325" s="2"/>
      <c r="F3325" s="2" t="str">
        <f>IFERROR(__xludf.DUMMYFUNCTION("IF(E3325&lt;&gt;"""", GOOGLETRANSLATE(E3325, ""en"", ""te""),"""")"),"")</f>
        <v/>
      </c>
      <c r="G3325" s="2"/>
      <c r="H3325" s="2" t="str">
        <f>IFERROR(__xludf.DUMMYFUNCTION("IF(G3325&lt;&gt;"""", GOOGLETRANSLATE(G3325, ""en"", ""te""),"""")"),"")</f>
        <v/>
      </c>
      <c r="I3325" s="3"/>
    </row>
    <row r="3326" customHeight="1" spans="1:9">
      <c r="A3326" s="2" t="s">
        <v>2323</v>
      </c>
      <c r="B3326" s="2" t="str">
        <f>IFERROR(__xludf.DUMMYFUNCTION("IF(A3326&lt;&gt;"""", GOOGLETRANSLATE(A3326, ""en"", ""te""),"""")"),"[ 'హండ్రెడ్ మరియు ఒక మ్యాచ్లో ఒక డక్', '5000 పరుగులు మరియు 50 ఫీల్డింగ్ వికెట్లు']")</f>
        <v>[ 'హండ్రెడ్ మరియు ఒక మ్యాచ్లో ఒక డక్', '5000 పరుగులు మరియు 50 ఫీల్డింగ్ వికెట్లు']</v>
      </c>
      <c r="C3326" s="2" t="s">
        <v>2324</v>
      </c>
      <c r="D3326" s="2" t="str">
        <f>IFERROR(__xludf.DUMMYFUNCTION("IF(C3326&lt;&gt;"""", GOOGLETRANSLATE(C3326, ""en"", ""te""),"""")"),"[ '31 హండ్రెడ్ గత మ్యాచ్ (103 *) లో', '21 వ ఇన్నింగ్స్ లో వచ్చిన ఎక్కువ ఫోర్లు (38) ',' ఇన్నింగ్స్ లో ఫోర్లు, సిక్సర్లు నుండి 34 వ అత్యధిక పరుగులు (152) 'నాలుగవ వికెట్కు,' 20th అత్యధిక భాగస్వామ్యం ( 288) ',' 26 కెప్టెన్గా అత్యధిక మ్యాచ్లు (45) ',' ఒక జట్ట"&amp;"ు కెప్టెన్గా 39 వ వరుస మ్యాచ్లు (23) ']")</f>
        <v>[ '31 హండ్రెడ్ గత మ్యాచ్ (103 *) లో', '21 వ ఇన్నింగ్స్ లో వచ్చిన ఎక్కువ ఫోర్లు (38) ',' ఇన్నింగ్స్ లో ఫోర్లు, సిక్సర్లు నుండి 34 వ అత్యధిక పరుగులు (152) 'నాలుగవ వికెట్కు,' 20th అత్యధిక భాగస్వామ్యం ( 288) ',' 26 కెప్టెన్గా అత్యధిక మ్యాచ్లు (45) ',' ఒక జట్టు కెప్టెన్గా 39 వ వరుస మ్యాచ్లు (23) ']</v>
      </c>
      <c r="E3326" s="2" t="s">
        <v>2325</v>
      </c>
      <c r="F3326" s="2" t="str">
        <f>IFERROR(__xludf.DUMMYFUNCTION("IF(E3326&lt;&gt;"""", GOOGLETRANSLATE(E3326, ""en"", ""te""),"""")"),"[ '24 ఒక సిరీస్లో అత్యధిక క్యాచ్లు (8)' '17 వ అత్యంత వృద్ధ ఆటగాడు తొలి వంద (34y 107d) స్కోర్', '48 వ వరుస ఒక జట్టు కెప్టెన్గా మ్యాచ్లు (32)', '38 వ ఒక లో అన్ని టాస్ గెలిచి సిరీస్ (3) ']")</f>
        <v>[ '24 ఒక సిరీస్లో అత్యధిక క్యాచ్లు (8)' '17 వ అత్యంత వృద్ధ ఆటగాడు తొలి వంద (34y 107d) స్కోర్', '48 వ వరుస ఒక జట్టు కెప్టెన్గా మ్యాచ్లు (32)', '38 వ ఒక లో అన్ని టాస్ గెలిచి సిరీస్ (3) ']</v>
      </c>
      <c r="G3326" s="2" t="s">
        <v>2082</v>
      </c>
      <c r="H3326" s="2" t="str">
        <f>IFERROR(__xludf.DUMMYFUNCTION("IF(G3326&lt;&gt;"""", GOOGLETRANSLATE(G3326, ""en"", ""te""),"""")"),"[ '48 వ అత్యంత బృందం (32) కెప్టెన్ గా వరుస మ్యాచ్లు']")</f>
        <v>[ '48 వ అత్యంత బృందం (32) కెప్టెన్ గా వరుస మ్యాచ్లు']</v>
      </c>
      <c r="I3326" s="3"/>
    </row>
    <row r="3327" customHeight="1" spans="1:9">
      <c r="A3327" s="2"/>
      <c r="B3327" s="2" t="str">
        <f>IFERROR(__xludf.DUMMYFUNCTION("IF(A3327&lt;&gt;"""", GOOGLETRANSLATE(A3327, ""en"", ""te""),"""")"),"")</f>
        <v/>
      </c>
      <c r="C3327" s="2"/>
      <c r="D3327" s="2" t="str">
        <f>IFERROR(__xludf.DUMMYFUNCTION("IF(C3327&lt;&gt;"""", GOOGLETRANSLATE(C3327, ""en"", ""te""),"""")"),"")</f>
        <v/>
      </c>
      <c r="E3327" s="2"/>
      <c r="F3327" s="2" t="str">
        <f>IFERROR(__xludf.DUMMYFUNCTION("IF(E3327&lt;&gt;"""", GOOGLETRANSLATE(E3327, ""en"", ""te""),"""")"),"")</f>
        <v/>
      </c>
      <c r="G3327" s="2"/>
      <c r="H3327" s="2" t="str">
        <f>IFERROR(__xludf.DUMMYFUNCTION("IF(G3327&lt;&gt;"""", GOOGLETRANSLATE(G3327, ""en"", ""te""),"""")"),"")</f>
        <v/>
      </c>
      <c r="I3327" s="3"/>
    </row>
    <row r="3328" customHeight="1" spans="1:9">
      <c r="A3328" s="2"/>
      <c r="B3328" s="2" t="str">
        <f>IFERROR(__xludf.DUMMYFUNCTION("IF(A3328&lt;&gt;"""", GOOGLETRANSLATE(A3328, ""en"", ""te""),"""")"),"")</f>
        <v/>
      </c>
      <c r="C3328" s="2"/>
      <c r="D3328" s="2" t="str">
        <f>IFERROR(__xludf.DUMMYFUNCTION("IF(C3328&lt;&gt;"""", GOOGLETRANSLATE(C3328, ""en"", ""te""),"""")"),"")</f>
        <v/>
      </c>
      <c r="E3328" s="2"/>
      <c r="F3328" s="2" t="str">
        <f>IFERROR(__xludf.DUMMYFUNCTION("IF(E3328&lt;&gt;"""", GOOGLETRANSLATE(E3328, ""en"", ""te""),"""")"),"")</f>
        <v/>
      </c>
      <c r="G3328" s="2"/>
      <c r="H3328" s="2" t="str">
        <f>IFERROR(__xludf.DUMMYFUNCTION("IF(G3328&lt;&gt;"""", GOOGLETRANSLATE(G3328, ""en"", ""te""),"""")"),"")</f>
        <v/>
      </c>
      <c r="I3328" s="3"/>
    </row>
    <row r="3329" customHeight="1" spans="1:9">
      <c r="A3329" s="2" t="s">
        <v>2326</v>
      </c>
      <c r="B3329" s="2" t="str">
        <f>IFERROR(__xludf.DUMMYFUNCTION("IF(A3329&lt;&gt;"""", GOOGLETRANSLATE(A3329, ""en"", ""te""),"""")"),"[ 'వరుస 2 వ అత్యధిక వికెట్లు (16)', '2nd ఒక సిరీస్లో అత్యధిక క్యాచ్లు (10)', '1st ఒక సిరీస్లో అత్యధిక స్టంపింగ్లు (11)', '5 వ ఒక సిరీస్లో అత్యధిక వికెట్లు (19)', ' ఒక సిరీస్లో 3 వ అత్యంత స్టంపింగ్లు (9) ']")</f>
        <v>[ 'వరుస 2 వ అత్యధిక వికెట్లు (16)', '2nd ఒక సిరీస్లో అత్యధిక క్యాచ్లు (10)', '1st ఒక సిరీస్లో అత్యధిక స్టంపింగ్లు (11)', '5 వ ఒక సిరీస్లో అత్యధిక వికెట్లు (19)', ' ఒక సిరీస్లో 3 వ అత్యంత స్టంపింగ్లు (9) ']</v>
      </c>
      <c r="C3329" s="2" t="s">
        <v>2327</v>
      </c>
      <c r="D3329" s="2" t="str">
        <f>IFERROR(__xludf.DUMMYFUNCTION("IF(C3329&lt;&gt;"""", GOOGLETRANSLATE(C3329, ""en"", ""te""),"""")"),"'కెరీర్ లో 3 వ అత్యధిక వికెట్లు (36)', 'ఒక మ్యాచ్ (6) లో 8 వ ఎక్కువ సార్లు అవుట్', 'ఇన్నింగ్స్ (5) 3 వ అత్యధిక వికెట్లు' [ 'తొమ్మిదవ వికెట్ (40 *) కోసం 29 అత్యధిక భాగస్వామ్యం', 'వరుస 2 వ అత్యధిక వికెట్లు (16)', '4 వ అత్యధిక క్యాచ్లు కెరీర్లో (19)', 'ఇన్ని"&amp;"ంగ్స్ (4) 3 వ అత్యధిక క్యాచ్లు' 'ఒక మ్యాచ్లో 5 వ అత్యధిక క్యాచ్లు (5)', '2 వ అత్యంత వరుస క్యాచ్లు (10) ',' 1 వ కెరీర్ స్టంపింగ్లు (17) ',' ఒక మ్యాచ్లో ఇన్నింగ్స్ (3) ',' 3 వ అత్యంత స్టంపింగ్లు 5 వ అత్యంత స్టంపింగ్లు (4) ',' 1st చాలా లో స్టంపింగ్లు సిరీస్ "&amp;"(11) ',' 13 వ అత్యధిక ఇన్నింగ్స్ బై గూడా ఇవ్వకుండా మొత్తం (236 / 7D) ']")</f>
        <v>'కెరీర్ లో 3 వ అత్యధిక వికెట్లు (36)', 'ఒక మ్యాచ్ (6) లో 8 వ ఎక్కువ సార్లు అవుట్', 'ఇన్నింగ్స్ (5) 3 వ అత్యధిక వికెట్లు' [ 'తొమ్మిదవ వికెట్ (40 *) కోసం 29 అత్యధిక భాగస్వామ్యం', 'వరుస 2 వ అత్యధిక వికెట్లు (16)', '4 వ అత్యధిక క్యాచ్లు కెరీర్లో (19)', 'ఇన్నింగ్స్ (4) 3 వ అత్యధిక క్యాచ్లు' 'ఒక మ్యాచ్లో 5 వ అత్యధిక క్యాచ్లు (5)', '2 వ అత్యంత వరుస క్యాచ్లు (10) ',' 1 వ కెరీర్ స్టంపింగ్లు (17) ',' ఒక మ్యాచ్లో ఇన్నింగ్స్ (3) ',' 3 వ అత్యంత స్టంపింగ్లు 5 వ అత్యంత స్టంపింగ్లు (4) ',' 1st చాలా లో స్టంపింగ్లు సిరీస్ (11) ',' 13 వ అత్యధిక ఇన్నింగ్స్ బై గూడా ఇవ్వకుండా మొత్తం (236 / 7D) ']</v>
      </c>
      <c r="E3329" s="2" t="s">
        <v>2328</v>
      </c>
      <c r="F3329" s="2" t="str">
        <f>IFERROR(__xludf.DUMMYFUNCTION("IF(E3329&lt;&gt;"""", GOOGLETRANSLATE(E3329, ""en"", ""te""),"""")"),"[ 'తొమ్మిదవ వికెట్ (36 *) కోసం 39 వ అత్యధిక భాగస్వామ్యం', '32 వ ఓల్డెస్ట్ క్రీడాకారులు (38y 225d)', '22 వ కెరీర్ లో అత్యధిక వికెట్లు (35)', '17 వ అత్యధిక వికెట్లు ఇన్నింగ్స్ లో (4)', '5 వ ఒక సిరీస్లో అత్యధిక వికెట్లు (19) ',' 26th కెరీర్లో అత్యధిక క్యాచ్ల"&amp;"ు (20) ', '21 వ ఇన్నింగ్స్ లో అత్యధిక క్యాచ్లు (3)', '11 వ అత్యధిక క్యాచ్లు వరుస (10)', '21 వ అత్యంత స్టంపింగ్లు లో కెరీర్ (15) ',' వరుస ఇన్నింగ్స్ లో 6 వ అత్యంత స్టంపింగ్లు (3) ',' 3 వ అత్యంత స్టంపింగ్లు (9) ']")</f>
        <v>[ 'తొమ్మిదవ వికెట్ (36 *) కోసం 39 వ అత్యధిక భాగస్వామ్యం', '32 వ ఓల్డెస్ట్ క్రీడాకారులు (38y 225d)', '22 వ కెరీర్ లో అత్యధిక వికెట్లు (35)', '17 వ అత్యధిక వికెట్లు ఇన్నింగ్స్ లో (4)', '5 వ ఒక సిరీస్లో అత్యధిక వికెట్లు (19) ',' 26th కెరీర్లో అత్యధిక క్యాచ్లు (20) ', '21 వ ఇన్నింగ్స్ లో అత్యధిక క్యాచ్లు (3)', '11 వ అత్యధిక క్యాచ్లు వరుస (10)', '21 వ అత్యంత స్టంపింగ్లు లో కెరీర్ (15) ',' వరుస ఇన్నింగ్స్ లో 6 వ అత్యంత స్టంపింగ్లు (3) ',' 3 వ అత్యంత స్టంపింగ్లు (9) ']</v>
      </c>
      <c r="G3329" s="2"/>
      <c r="H3329" s="2" t="str">
        <f>IFERROR(__xludf.DUMMYFUNCTION("IF(G3329&lt;&gt;"""", GOOGLETRANSLATE(G3329, ""en"", ""te""),"""")"),"")</f>
        <v/>
      </c>
      <c r="I3329" s="3"/>
    </row>
    <row r="3330" customHeight="1" spans="1:9">
      <c r="A3330" s="2"/>
      <c r="B3330" s="2" t="str">
        <f>IFERROR(__xludf.DUMMYFUNCTION("IF(A3330&lt;&gt;"""", GOOGLETRANSLATE(A3330, ""en"", ""te""),"""")"),"")</f>
        <v/>
      </c>
      <c r="C3330" s="2" t="s">
        <v>2329</v>
      </c>
      <c r="D3330" s="2" t="str">
        <f>IFERROR(__xludf.DUMMYFUNCTION("IF(C3330&lt;&gt;"""", GOOGLETRANSLATE(C3330, ""en"", ""te""),"""")"),"[ '33 వ ఉత్తమ కెరీర్ బౌలింగ్ సరాసరి (22.08)']")</f>
        <v>[ '33 వ ఉత్తమ కెరీర్ బౌలింగ్ సరాసరి (22.08)']</v>
      </c>
      <c r="E3330" s="2"/>
      <c r="F3330" s="2" t="str">
        <f>IFERROR(__xludf.DUMMYFUNCTION("IF(E3330&lt;&gt;"""", GOOGLETRANSLATE(E3330, ""en"", ""te""),"""")"),"")</f>
        <v/>
      </c>
      <c r="G3330" s="2"/>
      <c r="H3330" s="2" t="str">
        <f>IFERROR(__xludf.DUMMYFUNCTION("IF(G3330&lt;&gt;"""", GOOGLETRANSLATE(G3330, ""en"", ""te""),"""")"),"")</f>
        <v/>
      </c>
      <c r="I3330" s="3"/>
    </row>
    <row r="3331" customHeight="1" spans="1:9">
      <c r="A3331" s="2"/>
      <c r="B3331" s="2" t="str">
        <f>IFERROR(__xludf.DUMMYFUNCTION("IF(A3331&lt;&gt;"""", GOOGLETRANSLATE(A3331, ""en"", ""te""),"""")"),"")</f>
        <v/>
      </c>
      <c r="C3331" s="2"/>
      <c r="D3331" s="2" t="str">
        <f>IFERROR(__xludf.DUMMYFUNCTION("IF(C3331&lt;&gt;"""", GOOGLETRANSLATE(C3331, ""en"", ""te""),"""")"),"")</f>
        <v/>
      </c>
      <c r="E3331" s="2"/>
      <c r="F3331" s="2" t="str">
        <f>IFERROR(__xludf.DUMMYFUNCTION("IF(E3331&lt;&gt;"""", GOOGLETRANSLATE(E3331, ""en"", ""te""),"""")"),"")</f>
        <v/>
      </c>
      <c r="G3331" s="2"/>
      <c r="H3331" s="2" t="str">
        <f>IFERROR(__xludf.DUMMYFUNCTION("IF(G3331&lt;&gt;"""", GOOGLETRANSLATE(G3331, ""en"", ""te""),"""")"),"")</f>
        <v/>
      </c>
      <c r="I3331" s="3"/>
    </row>
    <row r="3332" customHeight="1" spans="1:9">
      <c r="A3332" s="2" t="s">
        <v>694</v>
      </c>
      <c r="B3332" s="2" t="str">
        <f>IFERROR(__xludf.DUMMYFUNCTION("IF(A3332&lt;&gt;"""", GOOGLETRANSLATE(A3332, ""en"", ""te""),"""")"),"[ '1st అత్యుత్తమ ఇన్నింగ్స్ (1/0) విశ్లేషణలలో బౌలింగ్']")</f>
        <v>[ '1st అత్యుత్తమ ఇన్నింగ్స్ (1/0) విశ్లేషణలలో బౌలింగ్']</v>
      </c>
      <c r="C3332" s="2" t="s">
        <v>694</v>
      </c>
      <c r="D3332" s="2" t="str">
        <f>IFERROR(__xludf.DUMMYFUNCTION("IF(C3332&lt;&gt;"""", GOOGLETRANSLATE(C3332, ""en"", ""te""),"""")"),"[ '1st అత్యుత్తమ ఇన్నింగ్స్ (1/0) విశ్లేషణలలో బౌలింగ్']")</f>
        <v>[ '1st అత్యుత్తమ ఇన్నింగ్స్ (1/0) విశ్లేషణలలో బౌలింగ్']</v>
      </c>
      <c r="E3332" s="2"/>
      <c r="F3332" s="2" t="str">
        <f>IFERROR(__xludf.DUMMYFUNCTION("IF(E3332&lt;&gt;"""", GOOGLETRANSLATE(E3332, ""en"", ""te""),"""")"),"")</f>
        <v/>
      </c>
      <c r="G3332" s="2"/>
      <c r="H3332" s="2" t="str">
        <f>IFERROR(__xludf.DUMMYFUNCTION("IF(G3332&lt;&gt;"""", GOOGLETRANSLATE(G3332, ""en"", ""te""),"""")"),"")</f>
        <v/>
      </c>
      <c r="I3332" s="3"/>
    </row>
    <row r="3333" customHeight="1" spans="1:9">
      <c r="A3333" s="2"/>
      <c r="B3333" s="2" t="str">
        <f>IFERROR(__xludf.DUMMYFUNCTION("IF(A3333&lt;&gt;"""", GOOGLETRANSLATE(A3333, ""en"", ""te""),"""")"),"")</f>
        <v/>
      </c>
      <c r="C3333" s="2"/>
      <c r="D3333" s="2" t="str">
        <f>IFERROR(__xludf.DUMMYFUNCTION("IF(C3333&lt;&gt;"""", GOOGLETRANSLATE(C3333, ""en"", ""te""),"""")"),"")</f>
        <v/>
      </c>
      <c r="E3333" s="2"/>
      <c r="F3333" s="2" t="str">
        <f>IFERROR(__xludf.DUMMYFUNCTION("IF(E3333&lt;&gt;"""", GOOGLETRANSLATE(E3333, ""en"", ""te""),"""")"),"")</f>
        <v/>
      </c>
      <c r="G3333" s="2"/>
      <c r="H3333" s="2" t="str">
        <f>IFERROR(__xludf.DUMMYFUNCTION("IF(G3333&lt;&gt;"""", GOOGLETRANSLATE(G3333, ""en"", ""te""),"""")"),"")</f>
        <v/>
      </c>
      <c r="I3333" s="3"/>
    </row>
    <row r="3334" customHeight="1" spans="1:9">
      <c r="A3334" s="2"/>
      <c r="B3334" s="2" t="str">
        <f>IFERROR(__xludf.DUMMYFUNCTION("IF(A3334&lt;&gt;"""", GOOGLETRANSLATE(A3334, ""en"", ""te""),"""")"),"")</f>
        <v/>
      </c>
      <c r="C3334" s="2"/>
      <c r="D3334" s="2" t="str">
        <f>IFERROR(__xludf.DUMMYFUNCTION("IF(C3334&lt;&gt;"""", GOOGLETRANSLATE(C3334, ""en"", ""te""),"""")"),"")</f>
        <v/>
      </c>
      <c r="E3334" s="2"/>
      <c r="F3334" s="2" t="str">
        <f>IFERROR(__xludf.DUMMYFUNCTION("IF(E3334&lt;&gt;"""", GOOGLETRANSLATE(E3334, ""en"", ""te""),"""")"),"")</f>
        <v/>
      </c>
      <c r="G3334" s="2"/>
      <c r="H3334" s="2" t="str">
        <f>IFERROR(__xludf.DUMMYFUNCTION("IF(G3334&lt;&gt;"""", GOOGLETRANSLATE(G3334, ""en"", ""te""),"""")"),"")</f>
        <v/>
      </c>
      <c r="I3334" s="3"/>
    </row>
    <row r="3335" customHeight="1" spans="1:9">
      <c r="A3335" s="2"/>
      <c r="B3335" s="2" t="str">
        <f>IFERROR(__xludf.DUMMYFUNCTION("IF(A3335&lt;&gt;"""", GOOGLETRANSLATE(A3335, ""en"", ""te""),"""")"),"")</f>
        <v/>
      </c>
      <c r="C3335" s="2"/>
      <c r="D3335" s="2" t="str">
        <f>IFERROR(__xludf.DUMMYFUNCTION("IF(C3335&lt;&gt;"""", GOOGLETRANSLATE(C3335, ""en"", ""te""),"""")"),"")</f>
        <v/>
      </c>
      <c r="E3335" s="2"/>
      <c r="F3335" s="2" t="str">
        <f>IFERROR(__xludf.DUMMYFUNCTION("IF(E3335&lt;&gt;"""", GOOGLETRANSLATE(E3335, ""en"", ""te""),"""")"),"")</f>
        <v/>
      </c>
      <c r="G3335" s="2"/>
      <c r="H3335" s="2" t="str">
        <f>IFERROR(__xludf.DUMMYFUNCTION("IF(G3335&lt;&gt;"""", GOOGLETRANSLATE(G3335, ""en"", ""te""),"""")"),"")</f>
        <v/>
      </c>
      <c r="I3335" s="3"/>
    </row>
    <row r="3336" customHeight="1" spans="1:9">
      <c r="A3336" s="2"/>
      <c r="B3336" s="2" t="str">
        <f>IFERROR(__xludf.DUMMYFUNCTION("IF(A3336&lt;&gt;"""", GOOGLETRANSLATE(A3336, ""en"", ""te""),"""")"),"")</f>
        <v/>
      </c>
      <c r="C3336" s="2"/>
      <c r="D3336" s="2" t="str">
        <f>IFERROR(__xludf.DUMMYFUNCTION("IF(C3336&lt;&gt;"""", GOOGLETRANSLATE(C3336, ""en"", ""te""),"""")"),"")</f>
        <v/>
      </c>
      <c r="E3336" s="2"/>
      <c r="F3336" s="2" t="str">
        <f>IFERROR(__xludf.DUMMYFUNCTION("IF(E3336&lt;&gt;"""", GOOGLETRANSLATE(E3336, ""en"", ""te""),"""")"),"")</f>
        <v/>
      </c>
      <c r="G3336" s="2"/>
      <c r="H3336" s="2" t="str">
        <f>IFERROR(__xludf.DUMMYFUNCTION("IF(G3336&lt;&gt;"""", GOOGLETRANSLATE(G3336, ""en"", ""te""),"""")"),"")</f>
        <v/>
      </c>
      <c r="I3336" s="3"/>
    </row>
    <row r="3337" customHeight="1" spans="1:9">
      <c r="A3337" s="2"/>
      <c r="B3337" s="2" t="str">
        <f>IFERROR(__xludf.DUMMYFUNCTION("IF(A3337&lt;&gt;"""", GOOGLETRANSLATE(A3337, ""en"", ""te""),"""")"),"")</f>
        <v/>
      </c>
      <c r="C3337" s="2"/>
      <c r="D3337" s="2" t="str">
        <f>IFERROR(__xludf.DUMMYFUNCTION("IF(C3337&lt;&gt;"""", GOOGLETRANSLATE(C3337, ""en"", ""te""),"""")"),"")</f>
        <v/>
      </c>
      <c r="E3337" s="2"/>
      <c r="F3337" s="2" t="str">
        <f>IFERROR(__xludf.DUMMYFUNCTION("IF(E3337&lt;&gt;"""", GOOGLETRANSLATE(E3337, ""en"", ""te""),"""")"),"")</f>
        <v/>
      </c>
      <c r="G3337" s="2"/>
      <c r="H3337" s="2" t="str">
        <f>IFERROR(__xludf.DUMMYFUNCTION("IF(G3337&lt;&gt;"""", GOOGLETRANSLATE(G3337, ""en"", ""te""),"""")"),"")</f>
        <v/>
      </c>
      <c r="I3337" s="3"/>
    </row>
    <row r="3338" customHeight="1" spans="1:9">
      <c r="A3338" s="2"/>
      <c r="B3338" s="2" t="str">
        <f>IFERROR(__xludf.DUMMYFUNCTION("IF(A3338&lt;&gt;"""", GOOGLETRANSLATE(A3338, ""en"", ""te""),"""")"),"")</f>
        <v/>
      </c>
      <c r="C3338" s="2"/>
      <c r="D3338" s="2" t="str">
        <f>IFERROR(__xludf.DUMMYFUNCTION("IF(C3338&lt;&gt;"""", GOOGLETRANSLATE(C3338, ""en"", ""te""),"""")"),"")</f>
        <v/>
      </c>
      <c r="E3338" s="2"/>
      <c r="F3338" s="2" t="str">
        <f>IFERROR(__xludf.DUMMYFUNCTION("IF(E3338&lt;&gt;"""", GOOGLETRANSLATE(E3338, ""en"", ""te""),"""")"),"")</f>
        <v/>
      </c>
      <c r="G3338" s="2"/>
      <c r="H3338" s="2" t="str">
        <f>IFERROR(__xludf.DUMMYFUNCTION("IF(G3338&lt;&gt;"""", GOOGLETRANSLATE(G3338, ""en"", ""te""),"""")"),"")</f>
        <v/>
      </c>
      <c r="I3338" s="3"/>
    </row>
    <row r="3339" customHeight="1" spans="1:9">
      <c r="A3339" s="2"/>
      <c r="B3339" s="2" t="str">
        <f>IFERROR(__xludf.DUMMYFUNCTION("IF(A3339&lt;&gt;"""", GOOGLETRANSLATE(A3339, ""en"", ""te""),"""")"),"")</f>
        <v/>
      </c>
      <c r="C3339" s="2"/>
      <c r="D3339" s="2" t="str">
        <f>IFERROR(__xludf.DUMMYFUNCTION("IF(C3339&lt;&gt;"""", GOOGLETRANSLATE(C3339, ""en"", ""te""),"""")"),"")</f>
        <v/>
      </c>
      <c r="E3339" s="2"/>
      <c r="F3339" s="2" t="str">
        <f>IFERROR(__xludf.DUMMYFUNCTION("IF(E3339&lt;&gt;"""", GOOGLETRANSLATE(E3339, ""en"", ""te""),"""")"),"")</f>
        <v/>
      </c>
      <c r="G3339" s="2"/>
      <c r="H3339" s="2" t="str">
        <f>IFERROR(__xludf.DUMMYFUNCTION("IF(G3339&lt;&gt;"""", GOOGLETRANSLATE(G3339, ""en"", ""te""),"""")"),"")</f>
        <v/>
      </c>
      <c r="I3339" s="3"/>
    </row>
    <row r="3340" customHeight="1" spans="1:9">
      <c r="A3340" s="2"/>
      <c r="B3340" s="2" t="str">
        <f>IFERROR(__xludf.DUMMYFUNCTION("IF(A3340&lt;&gt;"""", GOOGLETRANSLATE(A3340, ""en"", ""te""),"""")"),"")</f>
        <v/>
      </c>
      <c r="C3340" s="2"/>
      <c r="D3340" s="2" t="str">
        <f>IFERROR(__xludf.DUMMYFUNCTION("IF(C3340&lt;&gt;"""", GOOGLETRANSLATE(C3340, ""en"", ""te""),"""")"),"")</f>
        <v/>
      </c>
      <c r="E3340" s="2"/>
      <c r="F3340" s="2" t="str">
        <f>IFERROR(__xludf.DUMMYFUNCTION("IF(E3340&lt;&gt;"""", GOOGLETRANSLATE(E3340, ""en"", ""te""),"""")"),"")</f>
        <v/>
      </c>
      <c r="G3340" s="2"/>
      <c r="H3340" s="2" t="str">
        <f>IFERROR(__xludf.DUMMYFUNCTION("IF(G3340&lt;&gt;"""", GOOGLETRANSLATE(G3340, ""en"", ""te""),"""")"),"")</f>
        <v/>
      </c>
      <c r="I3340" s="3"/>
    </row>
    <row r="3341" customHeight="1" spans="1:9">
      <c r="A3341" s="2"/>
      <c r="B3341" s="2" t="str">
        <f>IFERROR(__xludf.DUMMYFUNCTION("IF(A3341&lt;&gt;"""", GOOGLETRANSLATE(A3341, ""en"", ""te""),"""")"),"")</f>
        <v/>
      </c>
      <c r="C3341" s="2"/>
      <c r="D3341" s="2" t="str">
        <f>IFERROR(__xludf.DUMMYFUNCTION("IF(C3341&lt;&gt;"""", GOOGLETRANSLATE(C3341, ""en"", ""te""),"""")"),"")</f>
        <v/>
      </c>
      <c r="E3341" s="2"/>
      <c r="F3341" s="2" t="str">
        <f>IFERROR(__xludf.DUMMYFUNCTION("IF(E3341&lt;&gt;"""", GOOGLETRANSLATE(E3341, ""en"", ""te""),"""")"),"")</f>
        <v/>
      </c>
      <c r="G3341" s="2"/>
      <c r="H3341" s="2" t="str">
        <f>IFERROR(__xludf.DUMMYFUNCTION("IF(G3341&lt;&gt;"""", GOOGLETRANSLATE(G3341, ""en"", ""te""),"""")"),"")</f>
        <v/>
      </c>
      <c r="I3341" s="3"/>
    </row>
    <row r="3342" customHeight="1" spans="1:9">
      <c r="A3342" s="2" t="s">
        <v>352</v>
      </c>
      <c r="B3342" s="2" t="str">
        <f>IFERROR(__xludf.DUMMYFUNCTION("IF(A3342&lt;&gt;"""", GOOGLETRANSLATE(A3342, ""en"", ""te""),"""")"),"[ 'బ్యాటింగ్ ప్రారంభించుటకు మరియు అదే మ్యాచ్ లో బౌలింగ్']")</f>
        <v>[ 'బ్యాటింగ్ ప్రారంభించుటకు మరియు అదే మ్యాచ్ లో బౌలింగ్']</v>
      </c>
      <c r="C3342" s="2"/>
      <c r="D3342" s="2" t="str">
        <f>IFERROR(__xludf.DUMMYFUNCTION("IF(C3342&lt;&gt;"""", GOOGLETRANSLATE(C3342, ""en"", ""te""),"""")"),"")</f>
        <v/>
      </c>
      <c r="E3342" s="2"/>
      <c r="F3342" s="2" t="str">
        <f>IFERROR(__xludf.DUMMYFUNCTION("IF(E3342&lt;&gt;"""", GOOGLETRANSLATE(E3342, ""en"", ""te""),"""")"),"")</f>
        <v/>
      </c>
      <c r="G3342" s="2"/>
      <c r="H3342" s="2" t="str">
        <f>IFERROR(__xludf.DUMMYFUNCTION("IF(G3342&lt;&gt;"""", GOOGLETRANSLATE(G3342, ""en"", ""te""),"""")"),"")</f>
        <v/>
      </c>
      <c r="I3342" s="3"/>
    </row>
    <row r="3343" customHeight="1" spans="1:9">
      <c r="A3343" s="2"/>
      <c r="B3343" s="2" t="str">
        <f>IFERROR(__xludf.DUMMYFUNCTION("IF(A3343&lt;&gt;"""", GOOGLETRANSLATE(A3343, ""en"", ""te""),"""")"),"")</f>
        <v/>
      </c>
      <c r="C3343" s="2"/>
      <c r="D3343" s="2" t="str">
        <f>IFERROR(__xludf.DUMMYFUNCTION("IF(C3343&lt;&gt;"""", GOOGLETRANSLATE(C3343, ""en"", ""te""),"""")"),"")</f>
        <v/>
      </c>
      <c r="E3343" s="2"/>
      <c r="F3343" s="2" t="str">
        <f>IFERROR(__xludf.DUMMYFUNCTION("IF(E3343&lt;&gt;"""", GOOGLETRANSLATE(E3343, ""en"", ""te""),"""")"),"")</f>
        <v/>
      </c>
      <c r="G3343" s="2"/>
      <c r="H3343" s="2" t="str">
        <f>IFERROR(__xludf.DUMMYFUNCTION("IF(G3343&lt;&gt;"""", GOOGLETRANSLATE(G3343, ""en"", ""te""),"""")"),"")</f>
        <v/>
      </c>
      <c r="I3343" s="3"/>
    </row>
    <row r="3344" customHeight="1" spans="1:9">
      <c r="A3344" s="2"/>
      <c r="B3344" s="2" t="str">
        <f>IFERROR(__xludf.DUMMYFUNCTION("IF(A3344&lt;&gt;"""", GOOGLETRANSLATE(A3344, ""en"", ""te""),"""")"),"")</f>
        <v/>
      </c>
      <c r="C3344" s="2"/>
      <c r="D3344" s="2" t="str">
        <f>IFERROR(__xludf.DUMMYFUNCTION("IF(C3344&lt;&gt;"""", GOOGLETRANSLATE(C3344, ""en"", ""te""),"""")"),"")</f>
        <v/>
      </c>
      <c r="E3344" s="2"/>
      <c r="F3344" s="2" t="str">
        <f>IFERROR(__xludf.DUMMYFUNCTION("IF(E3344&lt;&gt;"""", GOOGLETRANSLATE(E3344, ""en"", ""te""),"""")"),"")</f>
        <v/>
      </c>
      <c r="G3344" s="2"/>
      <c r="H3344" s="2" t="str">
        <f>IFERROR(__xludf.DUMMYFUNCTION("IF(G3344&lt;&gt;"""", GOOGLETRANSLATE(G3344, ""en"", ""te""),"""")"),"")</f>
        <v/>
      </c>
      <c r="I3344" s="3"/>
    </row>
    <row r="3345" customHeight="1" spans="1:9">
      <c r="A3345" s="2"/>
      <c r="B3345" s="2" t="str">
        <f>IFERROR(__xludf.DUMMYFUNCTION("IF(A3345&lt;&gt;"""", GOOGLETRANSLATE(A3345, ""en"", ""te""),"""")"),"")</f>
        <v/>
      </c>
      <c r="C3345" s="2"/>
      <c r="D3345" s="2" t="str">
        <f>IFERROR(__xludf.DUMMYFUNCTION("IF(C3345&lt;&gt;"""", GOOGLETRANSLATE(C3345, ""en"", ""te""),"""")"),"")</f>
        <v/>
      </c>
      <c r="E3345" s="2"/>
      <c r="F3345" s="2" t="str">
        <f>IFERROR(__xludf.DUMMYFUNCTION("IF(E3345&lt;&gt;"""", GOOGLETRANSLATE(E3345, ""en"", ""te""),"""")"),"")</f>
        <v/>
      </c>
      <c r="G3345" s="2"/>
      <c r="H3345" s="2" t="str">
        <f>IFERROR(__xludf.DUMMYFUNCTION("IF(G3345&lt;&gt;"""", GOOGLETRANSLATE(G3345, ""en"", ""te""),"""")"),"")</f>
        <v/>
      </c>
      <c r="I3345" s="3"/>
    </row>
    <row r="3346" customHeight="1" spans="1:9">
      <c r="A3346" s="2" t="s">
        <v>2330</v>
      </c>
      <c r="B3346" s="2" t="str">
        <f>IFERROR(__xludf.DUMMYFUNCTION("IF(A3346&lt;&gt;"""", GOOGLETRANSLATE(A3346, ""en"", ""te""),"""")"),"[ '10 వ ఒక సిరీస్లో అత్యధిక క్యాచ్లు (12)']")</f>
        <v>[ '10 వ ఒక సిరీస్లో అత్యధిక క్యాచ్లు (12)']</v>
      </c>
      <c r="C3346" s="2" t="s">
        <v>2330</v>
      </c>
      <c r="D3346" s="2" t="str">
        <f>IFERROR(__xludf.DUMMYFUNCTION("IF(C3346&lt;&gt;"""", GOOGLETRANSLATE(C3346, ""en"", ""te""),"""")"),"[ '10 వ ఒక సిరీస్లో అత్యధిక క్యాచ్లు (12)']")</f>
        <v>[ '10 వ ఒక సిరీస్లో అత్యధిక క్యాచ్లు (12)']</v>
      </c>
      <c r="E3346" s="2"/>
      <c r="F3346" s="2" t="str">
        <f>IFERROR(__xludf.DUMMYFUNCTION("IF(E3346&lt;&gt;"""", GOOGLETRANSLATE(E3346, ""en"", ""te""),"""")"),"")</f>
        <v/>
      </c>
      <c r="G3346" s="2"/>
      <c r="H3346" s="2" t="str">
        <f>IFERROR(__xludf.DUMMYFUNCTION("IF(G3346&lt;&gt;"""", GOOGLETRANSLATE(G3346, ""en"", ""te""),"""")"),"")</f>
        <v/>
      </c>
      <c r="I3346" s="3"/>
    </row>
    <row r="3347" customHeight="1" spans="1:9">
      <c r="A3347" s="2"/>
      <c r="B3347" s="2" t="str">
        <f>IFERROR(__xludf.DUMMYFUNCTION("IF(A3347&lt;&gt;"""", GOOGLETRANSLATE(A3347, ""en"", ""te""),"""")"),"")</f>
        <v/>
      </c>
      <c r="C3347" s="2" t="s">
        <v>2331</v>
      </c>
      <c r="D3347" s="2" t="str">
        <f>IFERROR(__xludf.DUMMYFUNCTION("IF(C3347&lt;&gt;"""", GOOGLETRANSLATE(C3347, ""en"", ""te""),"""")"),"[ '19 అంపాయర్ (53) గా అత్యధిక మ్యాచ్లు']")</f>
        <v>[ '19 అంపాయర్ (53) గా అత్యధిక మ్యాచ్లు']</v>
      </c>
      <c r="E3347" s="2" t="s">
        <v>2332</v>
      </c>
      <c r="F3347" s="2" t="str">
        <f>IFERROR(__xludf.DUMMYFUNCTION("IF(E3347&lt;&gt;"""", GOOGLETRANSLATE(E3347, ""en"", ""te""),"""")"),"[ '33 వ అంపైర్ గా అత్యధిక మ్యాచ్లు (69)']")</f>
        <v>[ '33 వ అంపైర్ గా అత్యధిక మ్యాచ్లు (69)']</v>
      </c>
      <c r="G3347" s="2" t="s">
        <v>1427</v>
      </c>
      <c r="H3347" s="2" t="str">
        <f>IFERROR(__xludf.DUMMYFUNCTION("IF(G3347&lt;&gt;"""", GOOGLETRANSLATE(G3347, ""en"", ""te""),"""")"),"[ '49 వ అంపాయర్ (16) గా అత్యధిక మ్యాచ్లు']")</f>
        <v>[ '49 వ అంపాయర్ (16) గా అత్యధిక మ్యాచ్లు']</v>
      </c>
      <c r="I3347" s="3"/>
    </row>
    <row r="3348" customHeight="1" spans="1:9">
      <c r="A3348" s="2" t="s">
        <v>2333</v>
      </c>
      <c r="B3348" s="2" t="str">
        <f>IFERROR(__xludf.DUMMYFUNCTION("IF(A3348&lt;&gt;"""", GOOGLETRANSLATE(A3348, ""en"", ""te""),"""")"),"[ '1st అత్యుత్తమ బౌలింగ్ ఇన్నింగ్స్ లో విశ్లేషించడం (1/0)', ​​'1000 పరుగులు మరియు 100 వికెట్లు', '1st పురాతన దేశం ఆటగాళ్ళు (88y 358d)', '9 వ ఓల్డెస్ట్ కాప్టెన్ (41y 42d)']")</f>
        <v>[ '1st అత్యుత్తమ బౌలింగ్ ఇన్నింగ్స్ లో విశ్లేషించడం (1/0)', ​​'1000 పరుగులు మరియు 100 వికెట్లు', '1st పురాతన దేశం ఆటగాళ్ళు (88y 358d)', '9 వ ఓల్డెస్ట్ కాప్టెన్ (41y 42d)']</v>
      </c>
      <c r="C3348" s="2" t="s">
        <v>2334</v>
      </c>
      <c r="D3348" s="2" t="str">
        <f>IFERROR(__xludf.DUMMYFUNCTION("IF(C3348&lt;&gt;"""", GOOGLETRANSLATE(C3348, ""en"", ""te""),"""")"),"[ '13 వ అత్యంత వృద్ధ ఆటగాడు తొలి వంద (37y 18d) స్కోర్', '1 వ అత్యుత్తమ బౌలింగ్ ఇన్నింగ్స్ లో విశ్లేషించడం (1/0)', ​​'18 వ ఉత్తమ కెరీర్ ఆర్థిక రేటు (1.91)', '37 వ ఉత్తమ ఆర్థిక వ్యవస్థ ఇన్నింగ్స్లో రేటు (0.60) ',' ఐదు వికెట్ల లో-ఒక-ఇన్నింగ్స్ (39y 72d) కన్య"&amp;" తీసుకోవాలని తీసుకోవాలని 19 ఓల్డెస్ట్ ఆటగాడు ',' 31 అత్యంత వృద్ధ ఆటగాడు ఐదు వికెట్ల లో-ఒక-ఇన్నింగ్స్ (35y 14D) ',' ఎనిమిదవ వికెట్ (168) పదవ వికెట్కు ',' 47 వ అత్యధిక భాగస్వామ్యం (83) ',' 23 వ పురాతన దేశం ఆటగాళ్ళు (88y 358d) ',' 45 వ అత్యధిక మ్యాచ్లు కెప్ట"&amp;"ెన్గా (31) ',' 33 వ మోస్ట్ 14 అత్యధిక భాగస్వామ్యం ఒక జట్టు కెప్టెన్గా వరుస మ్యాచ్లు (25) ', '21 వ కెప్టెన్సీ తొలి (3)', '14 వ ఓల్డెస్ట్ కాప్టెన్ (41y 80D)', '26th ఓల్డెస్ట్ కెప్టెన్లు వరుస అన్ని టాస్ గెలిచిన (37y 4D)']")</f>
        <v>[ '13 వ అత్యంత వృద్ధ ఆటగాడు తొలి వంద (37y 18d) స్కోర్', '1 వ అత్యుత్తమ బౌలింగ్ ఇన్నింగ్స్ లో విశ్లేషించడం (1/0)', ​​'18 వ ఉత్తమ కెరీర్ ఆర్థిక రేటు (1.91)', '37 వ ఉత్తమ ఆర్థిక వ్యవస్థ ఇన్నింగ్స్లో రేటు (0.60) ',' ఐదు వికెట్ల లో-ఒక-ఇన్నింగ్స్ (39y 72d) కన్య తీసుకోవాలని తీసుకోవాలని 19 ఓల్డెస్ట్ ఆటగాడు ',' 31 అత్యంత వృద్ధ ఆటగాడు ఐదు వికెట్ల లో-ఒక-ఇన్నింగ్స్ (35y 14D) ',' ఎనిమిదవ వికెట్ (168) పదవ వికెట్కు ',' 47 వ అత్యధిక భాగస్వామ్యం (83) ',' 23 వ పురాతన దేశం ఆటగాళ్ళు (88y 358d) ',' 45 వ అత్యధిక మ్యాచ్లు కెప్టెన్గా (31) ',' 33 వ మోస్ట్ 14 అత్యధిక భాగస్వామ్యం ఒక జట్టు కెప్టెన్గా వరుస మ్యాచ్లు (25) ', '21 వ కెప్టెన్సీ తొలి (3)', '14 వ ఓల్డెస్ట్ కాప్టెన్ (41y 80D)', '26th ఓల్డెస్ట్ కెప్టెన్లు వరుస అన్ని టాస్ గెలిచిన (37y 4D)']</v>
      </c>
      <c r="E3348" s="2" t="s">
        <v>2335</v>
      </c>
      <c r="F3348" s="2" t="str">
        <f>IFERROR(__xludf.DUMMYFUNCTION("IF(E3348&lt;&gt;"""", GOOGLETRANSLATE(E3348, ""en"", ""te""),"""")"),"[ 'తొలి 28 ఓల్డెస్ట్ క్రీడాకారులు (38y 211d)', '27 వ ఓల్డెస్ట్ క్రీడాకారులు (41y 42d)', '1st పురాతన దేశం ఆటగాళ్ళు (88y 358d)', '9 వ ఓల్డెస్ట్ కాప్టెన్ (41y 42d)', 'కెప్టెన్సీ న 12 వ ఓల్డెస్ట్ కెప్టెన్లు ప్రవేశం (38y 211d) ']")</f>
        <v>[ 'తొలి 28 ఓల్డెస్ట్ క్రీడాకారులు (38y 211d)', '27 వ ఓల్డెస్ట్ క్రీడాకారులు (41y 42d)', '1st పురాతన దేశం ఆటగాళ్ళు (88y 358d)', '9 వ ఓల్డెస్ట్ కాప్టెన్ (41y 42d)', 'కెప్టెన్సీ న 12 వ ఓల్డెస్ట్ కెప్టెన్లు ప్రవేశం (38y 211d) ']</v>
      </c>
      <c r="G3348" s="2"/>
      <c r="H3348" s="2" t="str">
        <f>IFERROR(__xludf.DUMMYFUNCTION("IF(G3348&lt;&gt;"""", GOOGLETRANSLATE(G3348, ""en"", ""te""),"""")"),"")</f>
        <v/>
      </c>
      <c r="I3348" s="3"/>
    </row>
    <row r="3349" customHeight="1" spans="1:9">
      <c r="A3349" s="2"/>
      <c r="B3349" s="2" t="str">
        <f>IFERROR(__xludf.DUMMYFUNCTION("IF(A3349&lt;&gt;"""", GOOGLETRANSLATE(A3349, ""en"", ""te""),"""")"),"")</f>
        <v/>
      </c>
      <c r="C3349" s="2"/>
      <c r="D3349" s="2" t="str">
        <f>IFERROR(__xludf.DUMMYFUNCTION("IF(C3349&lt;&gt;"""", GOOGLETRANSLATE(C3349, ""en"", ""te""),"""")"),"")</f>
        <v/>
      </c>
      <c r="E3349" s="2"/>
      <c r="F3349" s="2" t="str">
        <f>IFERROR(__xludf.DUMMYFUNCTION("IF(E3349&lt;&gt;"""", GOOGLETRANSLATE(E3349, ""en"", ""te""),"""")"),"")</f>
        <v/>
      </c>
      <c r="G3349" s="2"/>
      <c r="H3349" s="2" t="str">
        <f>IFERROR(__xludf.DUMMYFUNCTION("IF(G3349&lt;&gt;"""", GOOGLETRANSLATE(G3349, ""en"", ""te""),"""")"),"")</f>
        <v/>
      </c>
      <c r="I3349" s="3"/>
    </row>
    <row r="3350" customHeight="1" spans="1:9">
      <c r="A3350" s="2"/>
      <c r="B3350" s="2" t="str">
        <f>IFERROR(__xludf.DUMMYFUNCTION("IF(A3350&lt;&gt;"""", GOOGLETRANSLATE(A3350, ""en"", ""te""),"""")"),"")</f>
        <v/>
      </c>
      <c r="C3350" s="2"/>
      <c r="D3350" s="2" t="str">
        <f>IFERROR(__xludf.DUMMYFUNCTION("IF(C3350&lt;&gt;"""", GOOGLETRANSLATE(C3350, ""en"", ""te""),"""")"),"")</f>
        <v/>
      </c>
      <c r="E3350" s="2"/>
      <c r="F3350" s="2" t="str">
        <f>IFERROR(__xludf.DUMMYFUNCTION("IF(E3350&lt;&gt;"""", GOOGLETRANSLATE(E3350, ""en"", ""te""),"""")"),"")</f>
        <v/>
      </c>
      <c r="G3350" s="2"/>
      <c r="H3350" s="2" t="str">
        <f>IFERROR(__xludf.DUMMYFUNCTION("IF(G3350&lt;&gt;"""", GOOGLETRANSLATE(G3350, ""en"", ""te""),"""")"),"")</f>
        <v/>
      </c>
      <c r="I3350" s="3"/>
    </row>
    <row r="3351" customHeight="1" spans="1:9">
      <c r="A3351" s="2"/>
      <c r="B3351" s="2" t="str">
        <f>IFERROR(__xludf.DUMMYFUNCTION("IF(A3351&lt;&gt;"""", GOOGLETRANSLATE(A3351, ""en"", ""te""),"""")"),"")</f>
        <v/>
      </c>
      <c r="C3351" s="2"/>
      <c r="D3351" s="2" t="str">
        <f>IFERROR(__xludf.DUMMYFUNCTION("IF(C3351&lt;&gt;"""", GOOGLETRANSLATE(C3351, ""en"", ""te""),"""")"),"")</f>
        <v/>
      </c>
      <c r="E3351" s="2"/>
      <c r="F3351" s="2" t="str">
        <f>IFERROR(__xludf.DUMMYFUNCTION("IF(E3351&lt;&gt;"""", GOOGLETRANSLATE(E3351, ""en"", ""te""),"""")"),"")</f>
        <v/>
      </c>
      <c r="G3351" s="2"/>
      <c r="H3351" s="2" t="str">
        <f>IFERROR(__xludf.DUMMYFUNCTION("IF(G3351&lt;&gt;"""", GOOGLETRANSLATE(G3351, ""en"", ""te""),"""")"),"")</f>
        <v/>
      </c>
      <c r="I3351" s="3"/>
    </row>
    <row r="3352" customHeight="1" spans="1:9">
      <c r="A3352" s="2"/>
      <c r="B3352" s="2" t="str">
        <f>IFERROR(__xludf.DUMMYFUNCTION("IF(A3352&lt;&gt;"""", GOOGLETRANSLATE(A3352, ""en"", ""te""),"""")"),"")</f>
        <v/>
      </c>
      <c r="C3352" s="2" t="s">
        <v>2336</v>
      </c>
      <c r="D3352" s="2" t="str">
        <f>IFERROR(__xludf.DUMMYFUNCTION("IF(C3352&lt;&gt;"""", GOOGLETRANSLATE(C3352, ""en"", ""te""),"""")"),"[ '47 వ లాంగెస్ట్ నివసించారు క్రీడాకారులు (91y 109d)']")</f>
        <v>[ '47 వ లాంగెస్ట్ నివసించారు క్రీడాకారులు (91y 109d)']</v>
      </c>
      <c r="E3352" s="2"/>
      <c r="F3352" s="2" t="str">
        <f>IFERROR(__xludf.DUMMYFUNCTION("IF(E3352&lt;&gt;"""", GOOGLETRANSLATE(E3352, ""en"", ""te""),"""")"),"")</f>
        <v/>
      </c>
      <c r="G3352" s="2"/>
      <c r="H3352" s="2" t="str">
        <f>IFERROR(__xludf.DUMMYFUNCTION("IF(G3352&lt;&gt;"""", GOOGLETRANSLATE(G3352, ""en"", ""te""),"""")"),"")</f>
        <v/>
      </c>
      <c r="I3352" s="3"/>
    </row>
    <row r="3353" customHeight="1" spans="1:9">
      <c r="A3353" s="2" t="s">
        <v>2337</v>
      </c>
      <c r="B3353" s="2" t="str">
        <f>IFERROR(__xludf.DUMMYFUNCTION("IF(A3353&lt;&gt;"""", GOOGLETRANSLATE(A3353, ""en"", ""te""),"""")"),"[ 'A ఏబది ఒక ఇన్నింగ్స్ లో ఐదు వికెట్లు']")</f>
        <v>[ 'A ఏబది ఒక ఇన్నింగ్స్ లో ఐదు వికెట్లు']</v>
      </c>
      <c r="C3353" s="2"/>
      <c r="D3353" s="2" t="str">
        <f>IFERROR(__xludf.DUMMYFUNCTION("IF(C3353&lt;&gt;"""", GOOGLETRANSLATE(C3353, ""en"", ""te""),"""")"),"")</f>
        <v/>
      </c>
      <c r="E3353" s="2" t="s">
        <v>2338</v>
      </c>
      <c r="F3353" s="2" t="str">
        <f>IFERROR(__xludf.DUMMYFUNCTION("IF(E3353&lt;&gt;"""", GOOGLETRANSLATE(E3353, ""en"", ""te""),"""")"),"[ '42 వ అత్యంత వృద్ధ ఆటగాడు తొలి తీసుకుని ఐదు-వికెట్ల లో-ఒక-ఇన్నింగ్స్ (30y 256d)']")</f>
        <v>[ '42 వ అత్యంత వృద్ధ ఆటగాడు తొలి తీసుకుని ఐదు-వికెట్ల లో-ఒక-ఇన్నింగ్స్ (30y 256d)']</v>
      </c>
      <c r="G3353" s="2"/>
      <c r="H3353" s="2" t="str">
        <f>IFERROR(__xludf.DUMMYFUNCTION("IF(G3353&lt;&gt;"""", GOOGLETRANSLATE(G3353, ""en"", ""te""),"""")"),"")</f>
        <v/>
      </c>
      <c r="I3353" s="3"/>
    </row>
    <row r="3354" customHeight="1" spans="1:9">
      <c r="A3354" s="2"/>
      <c r="B3354" s="2" t="str">
        <f>IFERROR(__xludf.DUMMYFUNCTION("IF(A3354&lt;&gt;"""", GOOGLETRANSLATE(A3354, ""en"", ""te""),"""")"),"")</f>
        <v/>
      </c>
      <c r="C3354" s="2"/>
      <c r="D3354" s="2" t="str">
        <f>IFERROR(__xludf.DUMMYFUNCTION("IF(C3354&lt;&gt;"""", GOOGLETRANSLATE(C3354, ""en"", ""te""),"""")"),"")</f>
        <v/>
      </c>
      <c r="E3354" s="2"/>
      <c r="F3354" s="2" t="str">
        <f>IFERROR(__xludf.DUMMYFUNCTION("IF(E3354&lt;&gt;"""", GOOGLETRANSLATE(E3354, ""en"", ""te""),"""")"),"")</f>
        <v/>
      </c>
      <c r="G3354" s="2"/>
      <c r="H3354" s="2" t="str">
        <f>IFERROR(__xludf.DUMMYFUNCTION("IF(G3354&lt;&gt;"""", GOOGLETRANSLATE(G3354, ""en"", ""te""),"""")"),"")</f>
        <v/>
      </c>
      <c r="I3354" s="3"/>
    </row>
    <row r="3355" customHeight="1" spans="1:9">
      <c r="A3355" s="2"/>
      <c r="B3355" s="2" t="str">
        <f>IFERROR(__xludf.DUMMYFUNCTION("IF(A3355&lt;&gt;"""", GOOGLETRANSLATE(A3355, ""en"", ""te""),"""")"),"")</f>
        <v/>
      </c>
      <c r="C3355" s="2"/>
      <c r="D3355" s="2" t="str">
        <f>IFERROR(__xludf.DUMMYFUNCTION("IF(C3355&lt;&gt;"""", GOOGLETRANSLATE(C3355, ""en"", ""te""),"""")"),"")</f>
        <v/>
      </c>
      <c r="E3355" s="2"/>
      <c r="F3355" s="2" t="str">
        <f>IFERROR(__xludf.DUMMYFUNCTION("IF(E3355&lt;&gt;"""", GOOGLETRANSLATE(E3355, ""en"", ""te""),"""")"),"")</f>
        <v/>
      </c>
      <c r="G3355" s="2"/>
      <c r="H3355" s="2" t="str">
        <f>IFERROR(__xludf.DUMMYFUNCTION("IF(G3355&lt;&gt;"""", GOOGLETRANSLATE(G3355, ""en"", ""te""),"""")"),"")</f>
        <v/>
      </c>
      <c r="I3355" s="3"/>
    </row>
    <row r="3356" customHeight="1" spans="1:9">
      <c r="A3356" s="2"/>
      <c r="B3356" s="2" t="str">
        <f>IFERROR(__xludf.DUMMYFUNCTION("IF(A3356&lt;&gt;"""", GOOGLETRANSLATE(A3356, ""en"", ""te""),"""")"),"")</f>
        <v/>
      </c>
      <c r="C3356" s="2"/>
      <c r="D3356" s="2" t="str">
        <f>IFERROR(__xludf.DUMMYFUNCTION("IF(C3356&lt;&gt;"""", GOOGLETRANSLATE(C3356, ""en"", ""te""),"""")"),"")</f>
        <v/>
      </c>
      <c r="E3356" s="2"/>
      <c r="F3356" s="2" t="str">
        <f>IFERROR(__xludf.DUMMYFUNCTION("IF(E3356&lt;&gt;"""", GOOGLETRANSLATE(E3356, ""en"", ""te""),"""")"),"")</f>
        <v/>
      </c>
      <c r="G3356" s="2"/>
      <c r="H3356" s="2" t="str">
        <f>IFERROR(__xludf.DUMMYFUNCTION("IF(G3356&lt;&gt;"""", GOOGLETRANSLATE(G3356, ""en"", ""te""),"""")"),"")</f>
        <v/>
      </c>
      <c r="I3356" s="3"/>
    </row>
    <row r="3357" customHeight="1" spans="1:9">
      <c r="A3357" s="2"/>
      <c r="B3357" s="2" t="str">
        <f>IFERROR(__xludf.DUMMYFUNCTION("IF(A3357&lt;&gt;"""", GOOGLETRANSLATE(A3357, ""en"", ""te""),"""")"),"")</f>
        <v/>
      </c>
      <c r="C3357" s="2"/>
      <c r="D3357" s="2" t="str">
        <f>IFERROR(__xludf.DUMMYFUNCTION("IF(C3357&lt;&gt;"""", GOOGLETRANSLATE(C3357, ""en"", ""te""),"""")"),"")</f>
        <v/>
      </c>
      <c r="E3357" s="2"/>
      <c r="F3357" s="2" t="str">
        <f>IFERROR(__xludf.DUMMYFUNCTION("IF(E3357&lt;&gt;"""", GOOGLETRANSLATE(E3357, ""en"", ""te""),"""")"),"")</f>
        <v/>
      </c>
      <c r="G3357" s="2"/>
      <c r="H3357" s="2" t="str">
        <f>IFERROR(__xludf.DUMMYFUNCTION("IF(G3357&lt;&gt;"""", GOOGLETRANSLATE(G3357, ""en"", ""te""),"""")"),"")</f>
        <v/>
      </c>
      <c r="I3357" s="3"/>
    </row>
    <row r="3358" customHeight="1" spans="1:9">
      <c r="A3358" s="2"/>
      <c r="B3358" s="2" t="str">
        <f>IFERROR(__xludf.DUMMYFUNCTION("IF(A3358&lt;&gt;"""", GOOGLETRANSLATE(A3358, ""en"", ""te""),"""")"),"")</f>
        <v/>
      </c>
      <c r="C3358" s="2"/>
      <c r="D3358" s="2" t="str">
        <f>IFERROR(__xludf.DUMMYFUNCTION("IF(C3358&lt;&gt;"""", GOOGLETRANSLATE(C3358, ""en"", ""te""),"""")"),"")</f>
        <v/>
      </c>
      <c r="E3358" s="2"/>
      <c r="F3358" s="2" t="str">
        <f>IFERROR(__xludf.DUMMYFUNCTION("IF(E3358&lt;&gt;"""", GOOGLETRANSLATE(E3358, ""en"", ""te""),"""")"),"")</f>
        <v/>
      </c>
      <c r="G3358" s="2"/>
      <c r="H3358" s="2" t="str">
        <f>IFERROR(__xludf.DUMMYFUNCTION("IF(G3358&lt;&gt;"""", GOOGLETRANSLATE(G3358, ""en"", ""te""),"""")"),"")</f>
        <v/>
      </c>
      <c r="I3358" s="3"/>
    </row>
    <row r="3359" customHeight="1" spans="1:9">
      <c r="A3359" s="2"/>
      <c r="B3359" s="2" t="str">
        <f>IFERROR(__xludf.DUMMYFUNCTION("IF(A3359&lt;&gt;"""", GOOGLETRANSLATE(A3359, ""en"", ""te""),"""")"),"")</f>
        <v/>
      </c>
      <c r="C3359" s="2"/>
      <c r="D3359" s="2" t="str">
        <f>IFERROR(__xludf.DUMMYFUNCTION("IF(C3359&lt;&gt;"""", GOOGLETRANSLATE(C3359, ""en"", ""te""),"""")"),"")</f>
        <v/>
      </c>
      <c r="E3359" s="2"/>
      <c r="F3359" s="2" t="str">
        <f>IFERROR(__xludf.DUMMYFUNCTION("IF(E3359&lt;&gt;"""", GOOGLETRANSLATE(E3359, ""en"", ""te""),"""")"),"")</f>
        <v/>
      </c>
      <c r="G3359" s="2"/>
      <c r="H3359" s="2" t="str">
        <f>IFERROR(__xludf.DUMMYFUNCTION("IF(G3359&lt;&gt;"""", GOOGLETRANSLATE(G3359, ""en"", ""te""),"""")"),"")</f>
        <v/>
      </c>
      <c r="I3359" s="3"/>
    </row>
    <row r="3360" customHeight="1" spans="1:9">
      <c r="A3360" s="2" t="s">
        <v>2339</v>
      </c>
      <c r="B3360" s="2" t="str">
        <f>IFERROR(__xludf.DUMMYFUNCTION("IF(A3360&lt;&gt;"""", GOOGLETRANSLATE(A3360, ""en"", ""te""),"""")"),"[ '1st అత్యుత్తమ బౌలింగ్ ఇన్నింగ్స్ లో విశ్లేషించడం (1/0)', ​​'ఇన్నింగ్స్ లో 6 వ ఉత్తమ సమ్మె రేటు (3.0)', '8 వ కెరీర్ (1265) లో బౌల్డ్ చాలా బంతుల్లో', '6 వ అత్యధిక కెరీర్ లో సాధించిన పరుగులు (1869 ) ',' 7 వ అత్యధిక వికెట్లు బౌల్డ్ తీసుకున్న (19) ']")</f>
        <v>[ '1st అత్యుత్తమ బౌలింగ్ ఇన్నింగ్స్ లో విశ్లేషించడం (1/0)', ​​'ఇన్నింగ్స్ లో 6 వ ఉత్తమ సమ్మె రేటు (3.0)', '8 వ కెరీర్ (1265) లో బౌల్డ్ చాలా బంతుల్లో', '6 వ అత్యధిక కెరీర్ లో సాధించిన పరుగులు (1869 ) ',' 7 వ అత్యధిక వికెట్లు బౌల్డ్ తీసుకున్న (19) ']</v>
      </c>
      <c r="C3360" s="2" t="s">
        <v>2340</v>
      </c>
      <c r="D3360" s="2" t="str">
        <f>IFERROR(__xludf.DUMMYFUNCTION("IF(C3360&lt;&gt;"""", GOOGLETRANSLATE(C3360, ""en"", ""te""),"""")"),"[ '12 వ ఉత్తమ ఇన్నింగ్స్ లో సమ్మె రేటు (6.5)']")</f>
        <v>[ '12 వ ఉత్తమ ఇన్నింగ్స్ లో సమ్మె రేటు (6.5)']</v>
      </c>
      <c r="E3360" s="2" t="s">
        <v>2341</v>
      </c>
      <c r="F3360" s="2" t="str">
        <f>IFERROR(__xludf.DUMMYFUNCTION("IF(E3360&lt;&gt;"""", GOOGLETRANSLATE(E3360, ""en"", ""te""),"""")"),"[ '19 అత్యధిక ఇన్నింగ్స్ లో సమ్మె రేటు (292.30)', '1 వ అత్యుత్తమ బౌలింగ్ ఇన్నింగ్స్ లో విశ్లేషించడం (1/0)', ​​'11 వ చెత్త కెరీర్లో ఆర్థిక రేటు (5.97)', ఒక ఇన్నింగ్స్ లో '50 వ చెత్త ఆర్థిక రేటు (10.77 ) ',' 15 వ అత్యధిక పరుగులు ఇన్నింగ్స్ లో 97 (సాధించిన) "&amp;"']")</f>
        <v>[ '19 అత్యధిక ఇన్నింగ్స్ లో సమ్మె రేటు (292.30)', '1 వ అత్యుత్తమ బౌలింగ్ ఇన్నింగ్స్ లో విశ్లేషించడం (1/0)', ​​'11 వ చెత్త కెరీర్లో ఆర్థిక రేటు (5.97)', ఒక ఇన్నింగ్స్ లో '50 వ చెత్త ఆర్థిక రేటు (10.77 ) ',' 15 వ అత్యధిక పరుగులు ఇన్నింగ్స్ లో 97 (సాధించిన) ']</v>
      </c>
      <c r="G3360" s="2" t="s">
        <v>2342</v>
      </c>
      <c r="H3360" s="2" t="str">
        <f>IFERROR(__xludf.DUMMYFUNCTION("IF(G3360&lt;&gt;"""", GOOGLETRANSLATE(G3360, ""en"", ""te""),"""")"),"[ '16 వ ఇన్నింగ్స్ లో అత్యధిక పరుగులు (బ్యాటింగ్ స్థానంలో ప్రకారం) (36)', 'ఇన్నింగ్స్ లో 21 వ అత్యధిక స్ట్రైక్ రేట్ (300.00)', '11 వ కెరీర్ లో అత్యధిక వికెట్లు (70)', '3 వ అత్యుత్తమ బౌలింగ్ ఇన్నింగ్స్ లో విశ్లేషణలు (4/6) ',' 45 వ ఉత్తమ కెరీర్ సమ్మె రేటు "&amp;"(18.0) ',' ఇన్నింగ్స్ లో 6 వ ఉత్తమ సమ్మె రేటు (3.0) ',' 7 వ చెత్త కెరీర్లో ఆర్థిక రేటు (8.86) ',' 16 వ అత్యంత నాలుగు వికెట్లు ఇన్ ఒక వృత్తిలో -an-ఇన్నింగ్స్ (2) ',' కెరీర్ (1265) లో బౌల్డ్ 8 వ అత్యంత బంతుల్లో ',' 6 వ అత్యంత ',' కెరీర్ (1869) లో ఇవ్వబడిన ప"&amp;"రుగులలో 37 వ ఇన్నింగ్స్ లో సాధించిన అత్యధిక పరుగులు (57) ',' 17 వ బౌలర్ / బ్యాట్స్ కలయికలు (3) ',' 26th బౌలర్ / ఫీల్డర్ కలయికలు (7) ',' 7 వ అత్యధిక వికెట్లు తీసుకున్న బౌల్డ్ (19) ',' 9 వ అత్యధిక వికెట్లు తీసుకున్న ఆకర్షించింది (47) ',' 14 వ అత్యధిక వికెట్"&amp;"లు ఆకర్షించింది తీసుకున్న మరియు బౌల్డ్ (3) ',' 11 వ అత్యధిక వికెట్లు ఒక ఫీల్డర్ చేత క్యాచ్ తీసుకున్న (38) ',' 8 వ అత్యధిక వికెట్లు సాధించిన వికెట్కీపర్గా (9) ',' 14 వ వేగంగా 50 వికెట్లు (41) ',' 26th అత్యంత క్యాచ్లు చిక్కుకున్నాయి తీసుకున్న కెరీర్ (31) ',"&amp;"' 15 వ ఇన్నింగ్స్ లో అత్యధిక క్యాచ్లు (3) ',' పదవ వికెట్కు 32 వ అత్యధిక భాగస్వామ్యం (18 *) ',' 31 మోస్ట్ ఒక జట్టు వరుస మ్యాచ్లు (33) ']")</f>
        <v>[ '16 వ ఇన్నింగ్స్ లో అత్యధిక పరుగులు (బ్యాటింగ్ స్థానంలో ప్రకారం) (36)', 'ఇన్నింగ్స్ లో 21 వ అత్యధిక స్ట్రైక్ రేట్ (300.00)', '11 వ కెరీర్ లో అత్యధిక వికెట్లు (70)', '3 వ అత్యుత్తమ బౌలింగ్ ఇన్నింగ్స్ లో విశ్లేషణలు (4/6) ',' 45 వ ఉత్తమ కెరీర్ సమ్మె రేటు (18.0) ',' ఇన్నింగ్స్ లో 6 వ ఉత్తమ సమ్మె రేటు (3.0) ',' 7 వ చెత్త కెరీర్లో ఆర్థిక రేటు (8.86) ',' 16 వ అత్యంత నాలుగు వికెట్లు ఇన్ ఒక వృత్తిలో -an-ఇన్నింగ్స్ (2) ',' కెరీర్ (1265) లో బౌల్డ్ 8 వ అత్యంత బంతుల్లో ',' 6 వ అత్యంత ',' కెరీర్ (1869) లో ఇవ్వబడిన పరుగులలో 37 వ ఇన్నింగ్స్ లో సాధించిన అత్యధిక పరుగులు (57) ',' 17 వ బౌలర్ / బ్యాట్స్ కలయికలు (3) ',' 26th బౌలర్ / ఫీల్డర్ కలయికలు (7) ',' 7 వ అత్యధిక వికెట్లు తీసుకున్న బౌల్డ్ (19) ',' 9 వ అత్యధిక వికెట్లు తీసుకున్న ఆకర్షించింది (47) ',' 14 వ అత్యధిక వికెట్లు ఆకర్షించింది తీసుకున్న మరియు బౌల్డ్ (3) ',' 11 వ అత్యధిక వికెట్లు ఒక ఫీల్డర్ చేత క్యాచ్ తీసుకున్న (38) ',' 8 వ అత్యధిక వికెట్లు సాధించిన వికెట్కీపర్గా (9) ',' 14 వ వేగంగా 50 వికెట్లు (41) ',' 26th అత్యంత క్యాచ్లు చిక్కుకున్నాయి తీసుకున్న కెరీర్ (31) ',' 15 వ ఇన్నింగ్స్ లో అత్యధిక క్యాచ్లు (3) ',' పదవ వికెట్కు 32 వ అత్యధిక భాగస్వామ్యం (18 *) ',' 31 మోస్ట్ ఒక జట్టు వరుస మ్యాచ్లు (33) ']</v>
      </c>
      <c r="I3360" s="3"/>
    </row>
    <row r="3361" customHeight="1" spans="1:9">
      <c r="A3361" s="2" t="s">
        <v>2343</v>
      </c>
      <c r="B3361" s="2" t="str">
        <f>IFERROR(__xludf.DUMMYFUNCTION("IF(A3361&lt;&gt;"""", GOOGLETRANSLATE(A3361, ""en"", ""te""),"""")"),"[ 'ఒక వికెట్ కీపర్ సిరీస్లో 8 వ అత్యధిక పరుగులు (311)', '10 వ కెరీర్ లో అత్యంత తొంభైల (2)', '9 వ అత్యంత ఇన్నింగ్స్ లో సాధించిన బైస్' 9 వ అత్యంత ఇన్నింగ్స్ (3) లో స్టంపింగ్లు '(7) ',' 2 వ అత్యంత వికెట్కీపర్గా (89) ద్వారా ఇన్నింగ్స్ లో నడుస్తుంది ']")</f>
        <v>[ 'ఒక వికెట్ కీపర్ సిరీస్లో 8 వ అత్యధిక పరుగులు (311)', '10 వ కెరీర్ లో అత్యంత తొంభైల (2)', '9 వ అత్యంత ఇన్నింగ్స్ లో సాధించిన బైస్' 9 వ అత్యంత ఇన్నింగ్స్ (3) లో స్టంపింగ్లు '(7) ',' 2 వ అత్యంత వికెట్కీపర్గా (89) ద్వారా ఇన్నింగ్స్ లో నడుస్తుంది ']</v>
      </c>
      <c r="C3361" s="2"/>
      <c r="D3361" s="2" t="str">
        <f>IFERROR(__xludf.DUMMYFUNCTION("IF(C3361&lt;&gt;"""", GOOGLETRANSLATE(C3361, ""en"", ""te""),"""")"),"")</f>
        <v/>
      </c>
      <c r="E3361" s="2" t="s">
        <v>2344</v>
      </c>
      <c r="F3361" s="2" t="str">
        <f>IFERROR(__xludf.DUMMYFUNCTION("IF(E3361&lt;&gt;"""", GOOGLETRANSLATE(E3361, ""en"", ""te""),"""")"),"[ '15 సిరీస్లో అత్యధిక పరుగులు (672)', '30 వ అత్యధిక పరుగులు పరాజయం వైపు ఒక మ్యాచ్లో (94)', 'ఒక వికెట్ కీపర్ సిరీస్లో 8 వ అత్యధిక పరుగులు (311)', '21 వ చాల వరకు ఒక లో పరుగులు అత్యధిక వికెట్లు ఇన్నింగ్స్ (94) ',' వంద (1017) ',' 10 వ లేకుండా కెరీర్లో 32 వ "&amp;"అత్యధిక పరుగులు కెరీర్ తొంభైల (2) ',' వరుస ఇన్నింగ్స్లో 12 వ యాభైల్లో (4) ',' 26th అత్యధిక క్యాచ్లు వరుస (7) ',' మూడో వికెట్కు 22 అత్యధిక భాగస్వామ్యం (146) ',' 27 వ కెరీర్ లో అత్యధిక వికెట్లు (29) ',' 31 ఒక సిరీస్లో అత్యధిక వికెట్లు (11) ',' 23 వ కెరీర్"&amp;" లో క్యాచ్లు (23) ',' వరుస ఇన్నింగ్స్ (3) ',' 23 వ అత్యధిక క్యాచ్లు 21 అత్యధిక క్యాచ్లు (8) ',' 40 వ అత్యంత స్టంపింగ్లు కెరీర్లో (6) ']")</f>
        <v>[ '15 సిరీస్లో అత్యధిక పరుగులు (672)', '30 వ అత్యధిక పరుగులు పరాజయం వైపు ఒక మ్యాచ్లో (94)', 'ఒక వికెట్ కీపర్ సిరీస్లో 8 వ అత్యధిక పరుగులు (311)', '21 వ చాల వరకు ఒక లో పరుగులు అత్యధిక వికెట్లు ఇన్నింగ్స్ (94) ',' వంద (1017) ',' 10 వ లేకుండా కెరీర్లో 32 వ అత్యధిక పరుగులు కెరీర్ తొంభైల (2) ',' వరుస ఇన్నింగ్స్లో 12 వ యాభైల్లో (4) ',' 26th అత్యధిక క్యాచ్లు వరుస (7) ',' మూడో వికెట్కు 22 అత్యధిక భాగస్వామ్యం (146) ',' 27 వ కెరీర్ లో అత్యధిక వికెట్లు (29) ',' 31 ఒక సిరీస్లో అత్యధిక వికెట్లు (11) ',' 23 వ కెరీర్ లో క్యాచ్లు (23) ',' వరుస ఇన్నింగ్స్ (3) ',' 23 వ అత్యధిక క్యాచ్లు 21 అత్యధిక క్యాచ్లు (8) ',' 40 వ అత్యంత స్టంపింగ్లు కెరీర్లో (6) ']</v>
      </c>
      <c r="G3361" s="2" t="s">
        <v>2345</v>
      </c>
      <c r="H3361" s="2" t="str">
        <f>IFERROR(__xludf.DUMMYFUNCTION("IF(G3361&lt;&gt;"""", GOOGLETRANSLATE(G3361, ""en"", ""te""),"""")"),"[ '48 వ కెరీర్ లో అత్యధిక పరుగులు (810)', '42 వ అత్యంత ఇన్నింగ్స్ లో పరుగులు (89)', '37 వ ఒక క్యాలెండర్ సంవత్సరంలో అత్యధిక పరుగులు (377)', '12 వ ఇన్నింగ్స్ లో అత్యధిక పరుగులు (బ్యాటింగ్ స్థానంలో ప్రకారం) ( 55) ',' 46 వ ఒకే మైదానంలో అత్యధిక పరుగులు (179) "&amp;"',' అత్యధిక వికెట్లు ఇన్నింగ్స్ లో 2 వ అత్యధిక పరుగులు (89) ',' కెరీర్ లో 23 వ అత్యంత అర్ధ (5) ',' 11 వ అత్యధిక కెరీర్ లో బాతులు ( 7) ',' 41 వ ఏ వికెట్కు అత్యధిక భాగస్వామ్యాల (120) ',' మొదటి వికెట్కు 22 అత్యధిక భాగస్వామ్యం (120) ',' మూడో వికెట్కు 24 అత్యధ"&amp;"ిక భాగస్వామ్యం (92 *) ',' 22 వ అత్యధిక సిక్స్త్ కొరకు చేసిన భాగస్వామ్యం వికెట్ (49) ',' 12 వ కెరీర్ లో అత్యధిక వికెట్లు (38) ',' 12 వ కెరీర్ లో అత్యధిక క్యాచ్లు (15) ',' 9 వ కెరీర్ స్టంపింగ్లు (23) ',' 9 వ ఇన్నింగ్స్ లో వచ్చిన ఎక్కువ స్టంపింగ్లు (3) ' '9 "&amp;"వ అత్యంత ఇన్నింగ్స్ లో సాధించిన బైస్ (7)']")</f>
        <v>[ '48 వ కెరీర్ లో అత్యధిక పరుగులు (810)', '42 వ అత్యంత ఇన్నింగ్స్ లో పరుగులు (89)', '37 వ ఒక క్యాలెండర్ సంవత్సరంలో అత్యధిక పరుగులు (377)', '12 వ ఇన్నింగ్స్ లో అత్యధిక పరుగులు (బ్యాటింగ్ స్థానంలో ప్రకారం) ( 55) ',' 46 వ ఒకే మైదానంలో అత్యధిక పరుగులు (179) ',' అత్యధిక వికెట్లు ఇన్నింగ్స్ లో 2 వ అత్యధిక పరుగులు (89) ',' కెరీర్ లో 23 వ అత్యంత అర్ధ (5) ',' 11 వ అత్యధిక కెరీర్ లో బాతులు ( 7) ',' 41 వ ఏ వికెట్కు అత్యధిక భాగస్వామ్యాల (120) ',' మొదటి వికెట్కు 22 అత్యధిక భాగస్వామ్యం (120) ',' మూడో వికెట్కు 24 అత్యధిక భాగస్వామ్యం (92 *) ',' 22 వ అత్యధిక సిక్స్త్ కొరకు చేసిన భాగస్వామ్యం వికెట్ (49) ',' 12 వ కెరీర్ లో అత్యధిక వికెట్లు (38) ',' 12 వ కెరీర్ లో అత్యధిక క్యాచ్లు (15) ',' 9 వ కెరీర్ స్టంపింగ్లు (23) ',' 9 వ ఇన్నింగ్స్ లో వచ్చిన ఎక్కువ స్టంపింగ్లు (3) ' '9 వ అత్యంత ఇన్నింగ్స్ లో సాధించిన బైస్ (7)']</v>
      </c>
      <c r="I3361" s="3"/>
    </row>
    <row r="3362" customHeight="1" spans="1:9">
      <c r="A3362" s="2"/>
      <c r="B3362" s="2" t="str">
        <f>IFERROR(__xludf.DUMMYFUNCTION("IF(A3362&lt;&gt;"""", GOOGLETRANSLATE(A3362, ""en"", ""te""),"""")"),"")</f>
        <v/>
      </c>
      <c r="C3362" s="2"/>
      <c r="D3362" s="2" t="str">
        <f>IFERROR(__xludf.DUMMYFUNCTION("IF(C3362&lt;&gt;"""", GOOGLETRANSLATE(C3362, ""en"", ""te""),"""")"),"")</f>
        <v/>
      </c>
      <c r="E3362" s="2" t="s">
        <v>2346</v>
      </c>
      <c r="F3362" s="2" t="str">
        <f>IFERROR(__xludf.DUMMYFUNCTION("IF(E3362&lt;&gt;"""", GOOGLETRANSLATE(E3362, ""en"", ""te""),"""")"),"[ '24 వ పురాతన దేశం ఆటగాళ్ళు (79y 336d)']")</f>
        <v>[ '24 వ పురాతన దేశం ఆటగాళ్ళు (79y 336d)']</v>
      </c>
      <c r="G3362" s="2"/>
      <c r="H3362" s="2" t="str">
        <f>IFERROR(__xludf.DUMMYFUNCTION("IF(G3362&lt;&gt;"""", GOOGLETRANSLATE(G3362, ""en"", ""te""),"""")"),"")</f>
        <v/>
      </c>
      <c r="I3362" s="3"/>
    </row>
    <row r="3363" customHeight="1" spans="1:9">
      <c r="A3363" s="2"/>
      <c r="B3363" s="2" t="str">
        <f>IFERROR(__xludf.DUMMYFUNCTION("IF(A3363&lt;&gt;"""", GOOGLETRANSLATE(A3363, ""en"", ""te""),"""")"),"")</f>
        <v/>
      </c>
      <c r="C3363" s="2"/>
      <c r="D3363" s="2" t="str">
        <f>IFERROR(__xludf.DUMMYFUNCTION("IF(C3363&lt;&gt;"""", GOOGLETRANSLATE(C3363, ""en"", ""te""),"""")"),"")</f>
        <v/>
      </c>
      <c r="E3363" s="2"/>
      <c r="F3363" s="2" t="str">
        <f>IFERROR(__xludf.DUMMYFUNCTION("IF(E3363&lt;&gt;"""", GOOGLETRANSLATE(E3363, ""en"", ""te""),"""")"),"")</f>
        <v/>
      </c>
      <c r="G3363" s="2"/>
      <c r="H3363" s="2" t="str">
        <f>IFERROR(__xludf.DUMMYFUNCTION("IF(G3363&lt;&gt;"""", GOOGLETRANSLATE(G3363, ""en"", ""te""),"""")"),"")</f>
        <v/>
      </c>
      <c r="I3363" s="3"/>
    </row>
    <row r="3364" customHeight="1" spans="1:9">
      <c r="A3364" s="2"/>
      <c r="B3364" s="2" t="str">
        <f>IFERROR(__xludf.DUMMYFUNCTION("IF(A3364&lt;&gt;"""", GOOGLETRANSLATE(A3364, ""en"", ""te""),"""")"),"")</f>
        <v/>
      </c>
      <c r="C3364" s="2"/>
      <c r="D3364" s="2" t="str">
        <f>IFERROR(__xludf.DUMMYFUNCTION("IF(C3364&lt;&gt;"""", GOOGLETRANSLATE(C3364, ""en"", ""te""),"""")"),"")</f>
        <v/>
      </c>
      <c r="E3364" s="2"/>
      <c r="F3364" s="2" t="str">
        <f>IFERROR(__xludf.DUMMYFUNCTION("IF(E3364&lt;&gt;"""", GOOGLETRANSLATE(E3364, ""en"", ""te""),"""")"),"")</f>
        <v/>
      </c>
      <c r="G3364" s="2"/>
      <c r="H3364" s="2" t="str">
        <f>IFERROR(__xludf.DUMMYFUNCTION("IF(G3364&lt;&gt;"""", GOOGLETRANSLATE(G3364, ""en"", ""te""),"""")"),"")</f>
        <v/>
      </c>
      <c r="I3364" s="3"/>
    </row>
    <row r="3365" customHeight="1" spans="1:9">
      <c r="A3365" s="2"/>
      <c r="B3365" s="2" t="str">
        <f>IFERROR(__xludf.DUMMYFUNCTION("IF(A3365&lt;&gt;"""", GOOGLETRANSLATE(A3365, ""en"", ""te""),"""")"),"")</f>
        <v/>
      </c>
      <c r="C3365" s="2"/>
      <c r="D3365" s="2" t="str">
        <f>IFERROR(__xludf.DUMMYFUNCTION("IF(C3365&lt;&gt;"""", GOOGLETRANSLATE(C3365, ""en"", ""te""),"""")"),"")</f>
        <v/>
      </c>
      <c r="E3365" s="2"/>
      <c r="F3365" s="2" t="str">
        <f>IFERROR(__xludf.DUMMYFUNCTION("IF(E3365&lt;&gt;"""", GOOGLETRANSLATE(E3365, ""en"", ""te""),"""")"),"")</f>
        <v/>
      </c>
      <c r="G3365" s="2"/>
      <c r="H3365" s="2" t="str">
        <f>IFERROR(__xludf.DUMMYFUNCTION("IF(G3365&lt;&gt;"""", GOOGLETRANSLATE(G3365, ""en"", ""te""),"""")"),"")</f>
        <v/>
      </c>
      <c r="I3365" s="3"/>
    </row>
    <row r="3366" customHeight="1" spans="1:9">
      <c r="A3366" s="2" t="s">
        <v>2347</v>
      </c>
      <c r="B3366" s="2" t="str">
        <f>IFERROR(__xludf.DUMMYFUNCTION("IF(A3366&lt;&gt;"""", GOOGLETRANSLATE(A3366, ""en"", ""te""),"""")"),"[ '10 వ అత్యంత ఒక మ్యాచ్ (290) లో ఇవ్వబడిన పరుగులలో']")</f>
        <v>[ '10 వ అత్యంత ఒక మ్యాచ్ (290) లో ఇవ్వబడిన పరుగులలో']</v>
      </c>
      <c r="C3366" s="2" t="s">
        <v>2347</v>
      </c>
      <c r="D3366" s="2" t="str">
        <f>IFERROR(__xludf.DUMMYFUNCTION("IF(C3366&lt;&gt;"""", GOOGLETRANSLATE(C3366, ""en"", ""te""),"""")"),"[ '10 వ అత్యంత ఒక మ్యాచ్ (290) లో ఇవ్వబడిన పరుగులలో']")</f>
        <v>[ '10 వ అత్యంత ఒక మ్యాచ్ (290) లో ఇవ్వబడిన పరుగులలో']</v>
      </c>
      <c r="E3366" s="2"/>
      <c r="F3366" s="2" t="str">
        <f>IFERROR(__xludf.DUMMYFUNCTION("IF(E3366&lt;&gt;"""", GOOGLETRANSLATE(E3366, ""en"", ""te""),"""")"),"")</f>
        <v/>
      </c>
      <c r="G3366" s="2"/>
      <c r="H3366" s="2" t="str">
        <f>IFERROR(__xludf.DUMMYFUNCTION("IF(G3366&lt;&gt;"""", GOOGLETRANSLATE(G3366, ""en"", ""te""),"""")"),"")</f>
        <v/>
      </c>
      <c r="I3366" s="3"/>
    </row>
    <row r="3367" customHeight="1" spans="1:9">
      <c r="A3367" s="2"/>
      <c r="B3367" s="2" t="str">
        <f>IFERROR(__xludf.DUMMYFUNCTION("IF(A3367&lt;&gt;"""", GOOGLETRANSLATE(A3367, ""en"", ""te""),"""")"),"")</f>
        <v/>
      </c>
      <c r="C3367" s="2"/>
      <c r="D3367" s="2" t="str">
        <f>IFERROR(__xludf.DUMMYFUNCTION("IF(C3367&lt;&gt;"""", GOOGLETRANSLATE(C3367, ""en"", ""te""),"""")"),"")</f>
        <v/>
      </c>
      <c r="E3367" s="2"/>
      <c r="F3367" s="2" t="str">
        <f>IFERROR(__xludf.DUMMYFUNCTION("IF(E3367&lt;&gt;"""", GOOGLETRANSLATE(E3367, ""en"", ""te""),"""")"),"")</f>
        <v/>
      </c>
      <c r="G3367" s="2"/>
      <c r="H3367" s="2" t="str">
        <f>IFERROR(__xludf.DUMMYFUNCTION("IF(G3367&lt;&gt;"""", GOOGLETRANSLATE(G3367, ""en"", ""te""),"""")"),"")</f>
        <v/>
      </c>
      <c r="I3367" s="3"/>
    </row>
    <row r="3368" customHeight="1" spans="1:9">
      <c r="A3368" s="2"/>
      <c r="B3368" s="2" t="str">
        <f>IFERROR(__xludf.DUMMYFUNCTION("IF(A3368&lt;&gt;"""", GOOGLETRANSLATE(A3368, ""en"", ""te""),"""")"),"")</f>
        <v/>
      </c>
      <c r="C3368" s="2"/>
      <c r="D3368" s="2" t="str">
        <f>IFERROR(__xludf.DUMMYFUNCTION("IF(C3368&lt;&gt;"""", GOOGLETRANSLATE(C3368, ""en"", ""te""),"""")"),"")</f>
        <v/>
      </c>
      <c r="E3368" s="2"/>
      <c r="F3368" s="2" t="str">
        <f>IFERROR(__xludf.DUMMYFUNCTION("IF(E3368&lt;&gt;"""", GOOGLETRANSLATE(E3368, ""en"", ""te""),"""")"),"")</f>
        <v/>
      </c>
      <c r="G3368" s="2"/>
      <c r="H3368" s="2" t="str">
        <f>IFERROR(__xludf.DUMMYFUNCTION("IF(G3368&lt;&gt;"""", GOOGLETRANSLATE(G3368, ""en"", ""te""),"""")"),"")</f>
        <v/>
      </c>
      <c r="I3368" s="3"/>
    </row>
    <row r="3369" customHeight="1" spans="1:9">
      <c r="A3369" s="2"/>
      <c r="B3369" s="2" t="str">
        <f>IFERROR(__xludf.DUMMYFUNCTION("IF(A3369&lt;&gt;"""", GOOGLETRANSLATE(A3369, ""en"", ""te""),"""")"),"")</f>
        <v/>
      </c>
      <c r="C3369" s="2"/>
      <c r="D3369" s="2" t="str">
        <f>IFERROR(__xludf.DUMMYFUNCTION("IF(C3369&lt;&gt;"""", GOOGLETRANSLATE(C3369, ""en"", ""te""),"""")"),"")</f>
        <v/>
      </c>
      <c r="E3369" s="2"/>
      <c r="F3369" s="2" t="str">
        <f>IFERROR(__xludf.DUMMYFUNCTION("IF(E3369&lt;&gt;"""", GOOGLETRANSLATE(E3369, ""en"", ""te""),"""")"),"")</f>
        <v/>
      </c>
      <c r="G3369" s="2"/>
      <c r="H3369" s="2" t="str">
        <f>IFERROR(__xludf.DUMMYFUNCTION("IF(G3369&lt;&gt;"""", GOOGLETRANSLATE(G3369, ""en"", ""te""),"""")"),"")</f>
        <v/>
      </c>
      <c r="I3369" s="3"/>
    </row>
    <row r="3370" customHeight="1" spans="1:9">
      <c r="A3370" s="2"/>
      <c r="B3370" s="2" t="str">
        <f>IFERROR(__xludf.DUMMYFUNCTION("IF(A3370&lt;&gt;"""", GOOGLETRANSLATE(A3370, ""en"", ""te""),"""")"),"")</f>
        <v/>
      </c>
      <c r="C3370" s="2"/>
      <c r="D3370" s="2" t="str">
        <f>IFERROR(__xludf.DUMMYFUNCTION("IF(C3370&lt;&gt;"""", GOOGLETRANSLATE(C3370, ""en"", ""te""),"""")"),"")</f>
        <v/>
      </c>
      <c r="E3370" s="2"/>
      <c r="F3370" s="2" t="str">
        <f>IFERROR(__xludf.DUMMYFUNCTION("IF(E3370&lt;&gt;"""", GOOGLETRANSLATE(E3370, ""en"", ""te""),"""")"),"")</f>
        <v/>
      </c>
      <c r="G3370" s="2"/>
      <c r="H3370" s="2" t="str">
        <f>IFERROR(__xludf.DUMMYFUNCTION("IF(G3370&lt;&gt;"""", GOOGLETRANSLATE(G3370, ""en"", ""te""),"""")"),"")</f>
        <v/>
      </c>
      <c r="I3370" s="3"/>
    </row>
    <row r="3371" customHeight="1" spans="1:9">
      <c r="A3371" s="2"/>
      <c r="B3371" s="2" t="str">
        <f>IFERROR(__xludf.DUMMYFUNCTION("IF(A3371&lt;&gt;"""", GOOGLETRANSLATE(A3371, ""en"", ""te""),"""")"),"")</f>
        <v/>
      </c>
      <c r="C3371" s="2" t="s">
        <v>761</v>
      </c>
      <c r="D3371" s="2" t="str">
        <f>IFERROR(__xludf.DUMMYFUNCTION("IF(C3371&lt;&gt;"""", GOOGLETRANSLATE(C3371, ""en"", ""te""),"""")"),"[ 'తొలి ఇన్నింగ్స్లో 22 బెస్ట్ ఫిగర్స్ (6)']")</f>
        <v>[ 'తొలి ఇన్నింగ్స్లో 22 బెస్ట్ ఫిగర్స్ (6)']</v>
      </c>
      <c r="E3371" s="2"/>
      <c r="F3371" s="2" t="str">
        <f>IFERROR(__xludf.DUMMYFUNCTION("IF(E3371&lt;&gt;"""", GOOGLETRANSLATE(E3371, ""en"", ""te""),"""")"),"")</f>
        <v/>
      </c>
      <c r="G3371" s="2"/>
      <c r="H3371" s="2" t="str">
        <f>IFERROR(__xludf.DUMMYFUNCTION("IF(G3371&lt;&gt;"""", GOOGLETRANSLATE(G3371, ""en"", ""te""),"""")"),"")</f>
        <v/>
      </c>
      <c r="I3371" s="3"/>
    </row>
    <row r="3372" customHeight="1" spans="1:9">
      <c r="A3372" s="2" t="s">
        <v>2348</v>
      </c>
      <c r="B3372" s="2" t="str">
        <f>IFERROR(__xludf.DUMMYFUNCTION("IF(A3372&lt;&gt;"""", GOOGLETRANSLATE(A3372, ""en"", ""te""),"""")"),"[ '10 వ లాంగెస్ట్ నివసించారు క్రీడాకారులు (75y 134d)']")</f>
        <v>[ '10 వ లాంగెస్ట్ నివసించారు క్రీడాకారులు (75y 134d)']</v>
      </c>
      <c r="C3372" s="2"/>
      <c r="D3372" s="2" t="str">
        <f>IFERROR(__xludf.DUMMYFUNCTION("IF(C3372&lt;&gt;"""", GOOGLETRANSLATE(C3372, ""en"", ""te""),"""")"),"")</f>
        <v/>
      </c>
      <c r="E3372" s="2" t="s">
        <v>2348</v>
      </c>
      <c r="F3372" s="2" t="str">
        <f>IFERROR(__xludf.DUMMYFUNCTION("IF(E3372&lt;&gt;"""", GOOGLETRANSLATE(E3372, ""en"", ""te""),"""")"),"[ '10 వ లాంగెస్ట్ నివసించారు క్రీడాకారులు (75y 134d)']")</f>
        <v>[ '10 వ లాంగెస్ట్ నివసించారు క్రీడాకారులు (75y 134d)']</v>
      </c>
      <c r="G3372" s="2"/>
      <c r="H3372" s="2" t="str">
        <f>IFERROR(__xludf.DUMMYFUNCTION("IF(G3372&lt;&gt;"""", GOOGLETRANSLATE(G3372, ""en"", ""te""),"""")"),"")</f>
        <v/>
      </c>
      <c r="I3372" s="3"/>
    </row>
    <row r="3373" customHeight="1" spans="1:9">
      <c r="A3373" s="2"/>
      <c r="B3373" s="2" t="str">
        <f>IFERROR(__xludf.DUMMYFUNCTION("IF(A3373&lt;&gt;"""", GOOGLETRANSLATE(A3373, ""en"", ""te""),"""")"),"")</f>
        <v/>
      </c>
      <c r="C3373" s="2"/>
      <c r="D3373" s="2" t="str">
        <f>IFERROR(__xludf.DUMMYFUNCTION("IF(C3373&lt;&gt;"""", GOOGLETRANSLATE(C3373, ""en"", ""te""),"""")"),"")</f>
        <v/>
      </c>
      <c r="E3373" s="2"/>
      <c r="F3373" s="2" t="str">
        <f>IFERROR(__xludf.DUMMYFUNCTION("IF(E3373&lt;&gt;"""", GOOGLETRANSLATE(E3373, ""en"", ""te""),"""")"),"")</f>
        <v/>
      </c>
      <c r="G3373" s="2"/>
      <c r="H3373" s="2" t="str">
        <f>IFERROR(__xludf.DUMMYFUNCTION("IF(G3373&lt;&gt;"""", GOOGLETRANSLATE(G3373, ""en"", ""te""),"""")"),"")</f>
        <v/>
      </c>
      <c r="I3373" s="3"/>
    </row>
    <row r="3374" customHeight="1" spans="1:9">
      <c r="A3374" s="2" t="s">
        <v>352</v>
      </c>
      <c r="B3374" s="2" t="str">
        <f>IFERROR(__xludf.DUMMYFUNCTION("IF(A3374&lt;&gt;"""", GOOGLETRANSLATE(A3374, ""en"", ""te""),"""")"),"[ 'బ్యాటింగ్ ప్రారంభించుటకు మరియు అదే మ్యాచ్ లో బౌలింగ్']")</f>
        <v>[ 'బ్యాటింగ్ ప్రారంభించుటకు మరియు అదే మ్యాచ్ లో బౌలింగ్']</v>
      </c>
      <c r="C3374" s="2"/>
      <c r="D3374" s="2" t="str">
        <f>IFERROR(__xludf.DUMMYFUNCTION("IF(C3374&lt;&gt;"""", GOOGLETRANSLATE(C3374, ""en"", ""te""),"""")"),"")</f>
        <v/>
      </c>
      <c r="E3374" s="2"/>
      <c r="F3374" s="2" t="str">
        <f>IFERROR(__xludf.DUMMYFUNCTION("IF(E3374&lt;&gt;"""", GOOGLETRANSLATE(E3374, ""en"", ""te""),"""")"),"")</f>
        <v/>
      </c>
      <c r="G3374" s="2"/>
      <c r="H3374" s="2" t="str">
        <f>IFERROR(__xludf.DUMMYFUNCTION("IF(G3374&lt;&gt;"""", GOOGLETRANSLATE(G3374, ""en"", ""te""),"""")"),"")</f>
        <v/>
      </c>
      <c r="I3374" s="3"/>
    </row>
    <row r="3375" customHeight="1" spans="1:9">
      <c r="A3375" s="2"/>
      <c r="B3375" s="2" t="str">
        <f>IFERROR(__xludf.DUMMYFUNCTION("IF(A3375&lt;&gt;"""", GOOGLETRANSLATE(A3375, ""en"", ""te""),"""")"),"")</f>
        <v/>
      </c>
      <c r="C3375" s="2"/>
      <c r="D3375" s="2" t="str">
        <f>IFERROR(__xludf.DUMMYFUNCTION("IF(C3375&lt;&gt;"""", GOOGLETRANSLATE(C3375, ""en"", ""te""),"""")"),"")</f>
        <v/>
      </c>
      <c r="E3375" s="2"/>
      <c r="F3375" s="2" t="str">
        <f>IFERROR(__xludf.DUMMYFUNCTION("IF(E3375&lt;&gt;"""", GOOGLETRANSLATE(E3375, ""en"", ""te""),"""")"),"")</f>
        <v/>
      </c>
      <c r="G3375" s="2"/>
      <c r="H3375" s="2" t="str">
        <f>IFERROR(__xludf.DUMMYFUNCTION("IF(G3375&lt;&gt;"""", GOOGLETRANSLATE(G3375, ""en"", ""te""),"""")"),"")</f>
        <v/>
      </c>
      <c r="I3375" s="3"/>
    </row>
    <row r="3376" customHeight="1" spans="1:9">
      <c r="A3376" s="2"/>
      <c r="B3376" s="2" t="str">
        <f>IFERROR(__xludf.DUMMYFUNCTION("IF(A3376&lt;&gt;"""", GOOGLETRANSLATE(A3376, ""en"", ""te""),"""")"),"")</f>
        <v/>
      </c>
      <c r="C3376" s="2" t="s">
        <v>2349</v>
      </c>
      <c r="D3376" s="2" t="str">
        <f>IFERROR(__xludf.DUMMYFUNCTION("IF(C3376&lt;&gt;"""", GOOGLETRANSLATE(C3376, ""en"", ""te""),"""")"),"[ '25 వ ఉత్తమ కెరీర్ సమ్మె రేటు (47.8)', '32 వ చెత్త కెరీర్లో ఆర్థిక రేటు (3.54)']")</f>
        <v>[ '25 వ ఉత్తమ కెరీర్ సమ్మె రేటు (47.8)', '32 వ చెత్త కెరీర్లో ఆర్థిక రేటు (3.54)']</v>
      </c>
      <c r="E3376" s="2"/>
      <c r="F3376" s="2" t="str">
        <f>IFERROR(__xludf.DUMMYFUNCTION("IF(E3376&lt;&gt;"""", GOOGLETRANSLATE(E3376, ""en"", ""te""),"""")"),"")</f>
        <v/>
      </c>
      <c r="G3376" s="2"/>
      <c r="H3376" s="2" t="str">
        <f>IFERROR(__xludf.DUMMYFUNCTION("IF(G3376&lt;&gt;"""", GOOGLETRANSLATE(G3376, ""en"", ""te""),"""")"),"")</f>
        <v/>
      </c>
      <c r="I3376" s="3"/>
    </row>
    <row r="3377" customHeight="1" spans="1:9">
      <c r="A3377" s="2"/>
      <c r="B3377" s="2" t="str">
        <f>IFERROR(__xludf.DUMMYFUNCTION("IF(A3377&lt;&gt;"""", GOOGLETRANSLATE(A3377, ""en"", ""te""),"""")"),"")</f>
        <v/>
      </c>
      <c r="C3377" s="2"/>
      <c r="D3377" s="2" t="str">
        <f>IFERROR(__xludf.DUMMYFUNCTION("IF(C3377&lt;&gt;"""", GOOGLETRANSLATE(C3377, ""en"", ""te""),"""")"),"")</f>
        <v/>
      </c>
      <c r="E3377" s="2"/>
      <c r="F3377" s="2" t="str">
        <f>IFERROR(__xludf.DUMMYFUNCTION("IF(E3377&lt;&gt;"""", GOOGLETRANSLATE(E3377, ""en"", ""te""),"""")"),"")</f>
        <v/>
      </c>
      <c r="G3377" s="2"/>
      <c r="H3377" s="2" t="str">
        <f>IFERROR(__xludf.DUMMYFUNCTION("IF(G3377&lt;&gt;"""", GOOGLETRANSLATE(G3377, ""en"", ""te""),"""")"),"")</f>
        <v/>
      </c>
      <c r="I3377" s="3"/>
    </row>
    <row r="3378" customHeight="1" spans="1:9">
      <c r="A3378" s="2"/>
      <c r="B3378" s="2" t="str">
        <f>IFERROR(__xludf.DUMMYFUNCTION("IF(A3378&lt;&gt;"""", GOOGLETRANSLATE(A3378, ""en"", ""te""),"""")"),"")</f>
        <v/>
      </c>
      <c r="C3378" s="2"/>
      <c r="D3378" s="2" t="str">
        <f>IFERROR(__xludf.DUMMYFUNCTION("IF(C3378&lt;&gt;"""", GOOGLETRANSLATE(C3378, ""en"", ""te""),"""")"),"")</f>
        <v/>
      </c>
      <c r="E3378" s="2"/>
      <c r="F3378" s="2" t="str">
        <f>IFERROR(__xludf.DUMMYFUNCTION("IF(E3378&lt;&gt;"""", GOOGLETRANSLATE(E3378, ""en"", ""te""),"""")"),"")</f>
        <v/>
      </c>
      <c r="G3378" s="2"/>
      <c r="H3378" s="2" t="str">
        <f>IFERROR(__xludf.DUMMYFUNCTION("IF(G3378&lt;&gt;"""", GOOGLETRANSLATE(G3378, ""en"", ""te""),"""")"),"")</f>
        <v/>
      </c>
      <c r="I3378" s="3"/>
    </row>
    <row r="3379" customHeight="1" spans="1:9">
      <c r="A3379" s="2"/>
      <c r="B3379" s="2" t="str">
        <f>IFERROR(__xludf.DUMMYFUNCTION("IF(A3379&lt;&gt;"""", GOOGLETRANSLATE(A3379, ""en"", ""te""),"""")"),"")</f>
        <v/>
      </c>
      <c r="C3379" s="2"/>
      <c r="D3379" s="2" t="str">
        <f>IFERROR(__xludf.DUMMYFUNCTION("IF(C3379&lt;&gt;"""", GOOGLETRANSLATE(C3379, ""en"", ""te""),"""")"),"")</f>
        <v/>
      </c>
      <c r="E3379" s="2"/>
      <c r="F3379" s="2" t="str">
        <f>IFERROR(__xludf.DUMMYFUNCTION("IF(E3379&lt;&gt;"""", GOOGLETRANSLATE(E3379, ""en"", ""te""),"""")"),"")</f>
        <v/>
      </c>
      <c r="G3379" s="2"/>
      <c r="H3379" s="2" t="str">
        <f>IFERROR(__xludf.DUMMYFUNCTION("IF(G3379&lt;&gt;"""", GOOGLETRANSLATE(G3379, ""en"", ""te""),"""")"),"")</f>
        <v/>
      </c>
      <c r="I3379" s="3"/>
    </row>
    <row r="3380" customHeight="1" spans="1:9">
      <c r="A3380" s="2" t="s">
        <v>2350</v>
      </c>
      <c r="B3380" s="2" t="str">
        <f>IFERROR(__xludf.DUMMYFUNCTION("IF(A3380&lt;&gt;"""", GOOGLETRANSLATE(A3380, ""en"", ""te""),"""")"),"[ '6 వ వరుస మ్యాచ్లు ప్రదర్శనల మధ్య (96) జట్టు తప్పిన']")</f>
        <v>[ '6 వ వరుస మ్యాచ్లు ప్రదర్శనల మధ్య (96) జట్టు తప్పిన']</v>
      </c>
      <c r="C3380" s="2" t="s">
        <v>2351</v>
      </c>
      <c r="D3380" s="2" t="str">
        <f>IFERROR(__xludf.DUMMYFUNCTION("IF(C3380&lt;&gt;"""", GOOGLETRANSLATE(C3380, ""en"", ""te""),"""")"),"[ '12 వ లాంగెస్ట్ ప్రదర్శనలు (11y 345d) మధ్య వ్యవధిలో', '6 వ వరుస మ్యాచ్లు ప్రదర్శనల మధ్య బృందం (96) కోసం తప్పిన']")</f>
        <v>[ '12 వ లాంగెస్ట్ ప్రదర్శనలు (11y 345d) మధ్య వ్యవధిలో', '6 వ వరుస మ్యాచ్లు ప్రదర్శనల మధ్య బృందం (96) కోసం తప్పిన']</v>
      </c>
      <c r="E3380" s="2"/>
      <c r="F3380" s="2" t="str">
        <f>IFERROR(__xludf.DUMMYFUNCTION("IF(E3380&lt;&gt;"""", GOOGLETRANSLATE(E3380, ""en"", ""te""),"""")"),"")</f>
        <v/>
      </c>
      <c r="G3380" s="2"/>
      <c r="H3380" s="2" t="str">
        <f>IFERROR(__xludf.DUMMYFUNCTION("IF(G3380&lt;&gt;"""", GOOGLETRANSLATE(G3380, ""en"", ""te""),"""")"),"")</f>
        <v/>
      </c>
      <c r="I3380" s="3"/>
    </row>
    <row r="3381" customHeight="1" spans="1:9">
      <c r="A3381" s="2" t="s">
        <v>2352</v>
      </c>
      <c r="B3381" s="2" t="str">
        <f>IFERROR(__xludf.DUMMYFUNCTION("IF(A3381&lt;&gt;"""", GOOGLETRANSLATE(A3381, ""en"", ""te""),"""")"),"[ '2 వ వరుస (5) లో అన్ని టాస్ గెలిచి' 'ప్రవేశం (91) న 1 వ తొంభై']")</f>
        <v>[ '2 వ వరుస (5) లో అన్ని టాస్ గెలిచి' 'ప్రవేశం (91) న 1 వ తొంభై']</v>
      </c>
      <c r="C3381" s="2" t="s">
        <v>2353</v>
      </c>
      <c r="D3381" s="2" t="str">
        <f>IFERROR(__xludf.DUMMYFUNCTION("IF(C3381&lt;&gt;"""", GOOGLETRANSLATE(C3381, ""en"", ""te""),"""")"),"[ '1st తొంభై తొలి (91)', '2 వ వరుస (5) లో అన్ని టాస్ గెలిచి']")</f>
        <v>[ '1st తొంభై తొలి (91)', '2 వ వరుస (5) లో అన్ని టాస్ గెలిచి']</v>
      </c>
      <c r="E3381" s="2"/>
      <c r="F3381" s="2" t="str">
        <f>IFERROR(__xludf.DUMMYFUNCTION("IF(E3381&lt;&gt;"""", GOOGLETRANSLATE(E3381, ""en"", ""te""),"""")"),"")</f>
        <v/>
      </c>
      <c r="G3381" s="2"/>
      <c r="H3381" s="2" t="str">
        <f>IFERROR(__xludf.DUMMYFUNCTION("IF(G3381&lt;&gt;"""", GOOGLETRANSLATE(G3381, ""en"", ""te""),"""")"),"")</f>
        <v/>
      </c>
      <c r="I3381" s="3"/>
    </row>
    <row r="3382" customHeight="1" spans="1:9">
      <c r="A3382" s="2"/>
      <c r="B3382" s="2" t="str">
        <f>IFERROR(__xludf.DUMMYFUNCTION("IF(A3382&lt;&gt;"""", GOOGLETRANSLATE(A3382, ""en"", ""te""),"""")"),"")</f>
        <v/>
      </c>
      <c r="C3382" s="2"/>
      <c r="D3382" s="2" t="str">
        <f>IFERROR(__xludf.DUMMYFUNCTION("IF(C3382&lt;&gt;"""", GOOGLETRANSLATE(C3382, ""en"", ""te""),"""")"),"")</f>
        <v/>
      </c>
      <c r="E3382" s="2"/>
      <c r="F3382" s="2" t="str">
        <f>IFERROR(__xludf.DUMMYFUNCTION("IF(E3382&lt;&gt;"""", GOOGLETRANSLATE(E3382, ""en"", ""te""),"""")"),"")</f>
        <v/>
      </c>
      <c r="G3382" s="2"/>
      <c r="H3382" s="2" t="str">
        <f>IFERROR(__xludf.DUMMYFUNCTION("IF(G3382&lt;&gt;"""", GOOGLETRANSLATE(G3382, ""en"", ""te""),"""")"),"")</f>
        <v/>
      </c>
      <c r="I3382" s="3"/>
    </row>
    <row r="3383" customHeight="1" spans="1:9">
      <c r="A3383" s="2" t="s">
        <v>2354</v>
      </c>
      <c r="B3383" s="2" t="str">
        <f>IFERROR(__xludf.DUMMYFUNCTION("IF(A3383&lt;&gt;"""", GOOGLETRANSLATE(A3383, ""en"", ""te""),"""")"),"[ 'హండ్రెడ్ తొలి (112)', 'హండ్రెడ్ మరియు ఒక మ్యాచ్లో ఒక డక్' 'ఒక మ్యాచ్లో 8 వ అత్యధిక క్యాచ్లు (6)',]")</f>
        <v>[ 'హండ్రెడ్ తొలి (112)', 'హండ్రెడ్ మరియు ఒక మ్యాచ్లో ఒక డక్' 'ఒక మ్యాచ్లో 8 వ అత్యధిక క్యాచ్లు (6)',]</v>
      </c>
      <c r="C3383" s="2" t="s">
        <v>1101</v>
      </c>
      <c r="D3383" s="2" t="str">
        <f>IFERROR(__xludf.DUMMYFUNCTION("IF(C3383&lt;&gt;"""", GOOGLETRANSLATE(C3383, ""en"", ""te""),"""")"),"[ 'ఒక మ్యాచ్లో 8 వ అత్యధిక క్యాచ్లు (6)']")</f>
        <v>[ 'ఒక మ్యాచ్లో 8 వ అత్యధిక క్యాచ్లు (6)']</v>
      </c>
      <c r="E3383" s="2"/>
      <c r="F3383" s="2" t="str">
        <f>IFERROR(__xludf.DUMMYFUNCTION("IF(E3383&lt;&gt;"""", GOOGLETRANSLATE(E3383, ""en"", ""te""),"""")"),"")</f>
        <v/>
      </c>
      <c r="G3383" s="2"/>
      <c r="H3383" s="2" t="str">
        <f>IFERROR(__xludf.DUMMYFUNCTION("IF(G3383&lt;&gt;"""", GOOGLETRANSLATE(G3383, ""en"", ""te""),"""")"),"")</f>
        <v/>
      </c>
      <c r="I3383" s="3"/>
    </row>
    <row r="3384" customHeight="1" spans="1:9">
      <c r="A3384" s="2"/>
      <c r="B3384" s="2" t="str">
        <f>IFERROR(__xludf.DUMMYFUNCTION("IF(A3384&lt;&gt;"""", GOOGLETRANSLATE(A3384, ""en"", ""te""),"""")"),"")</f>
        <v/>
      </c>
      <c r="C3384" s="2"/>
      <c r="D3384" s="2" t="str">
        <f>IFERROR(__xludf.DUMMYFUNCTION("IF(C3384&lt;&gt;"""", GOOGLETRANSLATE(C3384, ""en"", ""te""),"""")"),"")</f>
        <v/>
      </c>
      <c r="E3384" s="2"/>
      <c r="F3384" s="2" t="str">
        <f>IFERROR(__xludf.DUMMYFUNCTION("IF(E3384&lt;&gt;"""", GOOGLETRANSLATE(E3384, ""en"", ""te""),"""")"),"")</f>
        <v/>
      </c>
      <c r="G3384" s="2"/>
      <c r="H3384" s="2" t="str">
        <f>IFERROR(__xludf.DUMMYFUNCTION("IF(G3384&lt;&gt;"""", GOOGLETRANSLATE(G3384, ""en"", ""te""),"""")"),"")</f>
        <v/>
      </c>
      <c r="I3384" s="3"/>
    </row>
    <row r="3385" customHeight="1" spans="1:9">
      <c r="A3385" s="2"/>
      <c r="B3385" s="2" t="str">
        <f>IFERROR(__xludf.DUMMYFUNCTION("IF(A3385&lt;&gt;"""", GOOGLETRANSLATE(A3385, ""en"", ""te""),"""")"),"")</f>
        <v/>
      </c>
      <c r="C3385" s="2"/>
      <c r="D3385" s="2" t="str">
        <f>IFERROR(__xludf.DUMMYFUNCTION("IF(C3385&lt;&gt;"""", GOOGLETRANSLATE(C3385, ""en"", ""te""),"""")"),"")</f>
        <v/>
      </c>
      <c r="E3385" s="2"/>
      <c r="F3385" s="2" t="str">
        <f>IFERROR(__xludf.DUMMYFUNCTION("IF(E3385&lt;&gt;"""", GOOGLETRANSLATE(E3385, ""en"", ""te""),"""")"),"")</f>
        <v/>
      </c>
      <c r="G3385" s="2"/>
      <c r="H3385" s="2" t="str">
        <f>IFERROR(__xludf.DUMMYFUNCTION("IF(G3385&lt;&gt;"""", GOOGLETRANSLATE(G3385, ""en"", ""te""),"""")"),"")</f>
        <v/>
      </c>
      <c r="I3385" s="3"/>
    </row>
    <row r="3386" customHeight="1" spans="1:9">
      <c r="A3386" s="2"/>
      <c r="B3386" s="2" t="str">
        <f>IFERROR(__xludf.DUMMYFUNCTION("IF(A3386&lt;&gt;"""", GOOGLETRANSLATE(A3386, ""en"", ""te""),"""")"),"")</f>
        <v/>
      </c>
      <c r="C3386" s="2"/>
      <c r="D3386" s="2" t="str">
        <f>IFERROR(__xludf.DUMMYFUNCTION("IF(C3386&lt;&gt;"""", GOOGLETRANSLATE(C3386, ""en"", ""te""),"""")"),"")</f>
        <v/>
      </c>
      <c r="E3386" s="2"/>
      <c r="F3386" s="2" t="str">
        <f>IFERROR(__xludf.DUMMYFUNCTION("IF(E3386&lt;&gt;"""", GOOGLETRANSLATE(E3386, ""en"", ""te""),"""")"),"")</f>
        <v/>
      </c>
      <c r="G3386" s="2"/>
      <c r="H3386" s="2" t="str">
        <f>IFERROR(__xludf.DUMMYFUNCTION("IF(G3386&lt;&gt;"""", GOOGLETRANSLATE(G3386, ""en"", ""te""),"""")"),"")</f>
        <v/>
      </c>
      <c r="I3386" s="3"/>
    </row>
    <row r="3387" customHeight="1" spans="1:9">
      <c r="A3387" s="2"/>
      <c r="B3387" s="2" t="str">
        <f>IFERROR(__xludf.DUMMYFUNCTION("IF(A3387&lt;&gt;"""", GOOGLETRANSLATE(A3387, ""en"", ""te""),"""")"),"")</f>
        <v/>
      </c>
      <c r="C3387" s="2"/>
      <c r="D3387" s="2" t="str">
        <f>IFERROR(__xludf.DUMMYFUNCTION("IF(C3387&lt;&gt;"""", GOOGLETRANSLATE(C3387, ""en"", ""te""),"""")"),"")</f>
        <v/>
      </c>
      <c r="E3387" s="2"/>
      <c r="F3387" s="2" t="str">
        <f>IFERROR(__xludf.DUMMYFUNCTION("IF(E3387&lt;&gt;"""", GOOGLETRANSLATE(E3387, ""en"", ""te""),"""")"),"")</f>
        <v/>
      </c>
      <c r="G3387" s="2"/>
      <c r="H3387" s="2" t="str">
        <f>IFERROR(__xludf.DUMMYFUNCTION("IF(G3387&lt;&gt;"""", GOOGLETRANSLATE(G3387, ""en"", ""te""),"""")"),"")</f>
        <v/>
      </c>
      <c r="I3387" s="3"/>
    </row>
    <row r="3388" customHeight="1" spans="1:9">
      <c r="A3388" s="2"/>
      <c r="B3388" s="2" t="str">
        <f>IFERROR(__xludf.DUMMYFUNCTION("IF(A3388&lt;&gt;"""", GOOGLETRANSLATE(A3388, ""en"", ""te""),"""")"),"")</f>
        <v/>
      </c>
      <c r="C3388" s="2"/>
      <c r="D3388" s="2" t="str">
        <f>IFERROR(__xludf.DUMMYFUNCTION("IF(C3388&lt;&gt;"""", GOOGLETRANSLATE(C3388, ""en"", ""te""),"""")"),"")</f>
        <v/>
      </c>
      <c r="E3388" s="2"/>
      <c r="F3388" s="2" t="str">
        <f>IFERROR(__xludf.DUMMYFUNCTION("IF(E3388&lt;&gt;"""", GOOGLETRANSLATE(E3388, ""en"", ""te""),"""")"),"")</f>
        <v/>
      </c>
      <c r="G3388" s="2"/>
      <c r="H3388" s="2" t="str">
        <f>IFERROR(__xludf.DUMMYFUNCTION("IF(G3388&lt;&gt;"""", GOOGLETRANSLATE(G3388, ""en"", ""te""),"""")"),"")</f>
        <v/>
      </c>
      <c r="I3388" s="3"/>
    </row>
    <row r="3389" customHeight="1" spans="1:9">
      <c r="A3389" s="2"/>
      <c r="B3389" s="2" t="str">
        <f>IFERROR(__xludf.DUMMYFUNCTION("IF(A3389&lt;&gt;"""", GOOGLETRANSLATE(A3389, ""en"", ""te""),"""")"),"")</f>
        <v/>
      </c>
      <c r="C3389" s="2"/>
      <c r="D3389" s="2" t="str">
        <f>IFERROR(__xludf.DUMMYFUNCTION("IF(C3389&lt;&gt;"""", GOOGLETRANSLATE(C3389, ""en"", ""te""),"""")"),"")</f>
        <v/>
      </c>
      <c r="E3389" s="2"/>
      <c r="F3389" s="2" t="str">
        <f>IFERROR(__xludf.DUMMYFUNCTION("IF(E3389&lt;&gt;"""", GOOGLETRANSLATE(E3389, ""en"", ""te""),"""")"),"")</f>
        <v/>
      </c>
      <c r="G3389" s="2"/>
      <c r="H3389" s="2" t="str">
        <f>IFERROR(__xludf.DUMMYFUNCTION("IF(G3389&lt;&gt;"""", GOOGLETRANSLATE(G3389, ""en"", ""te""),"""")"),"")</f>
        <v/>
      </c>
      <c r="I3389" s="3"/>
    </row>
    <row r="3390" customHeight="1" spans="1:9">
      <c r="A3390" s="2"/>
      <c r="B3390" s="2" t="str">
        <f>IFERROR(__xludf.DUMMYFUNCTION("IF(A3390&lt;&gt;"""", GOOGLETRANSLATE(A3390, ""en"", ""te""),"""")"),"")</f>
        <v/>
      </c>
      <c r="C3390" s="2"/>
      <c r="D3390" s="2" t="str">
        <f>IFERROR(__xludf.DUMMYFUNCTION("IF(C3390&lt;&gt;"""", GOOGLETRANSLATE(C3390, ""en"", ""te""),"""")"),"")</f>
        <v/>
      </c>
      <c r="E3390" s="2"/>
      <c r="F3390" s="2" t="str">
        <f>IFERROR(__xludf.DUMMYFUNCTION("IF(E3390&lt;&gt;"""", GOOGLETRANSLATE(E3390, ""en"", ""te""),"""")"),"")</f>
        <v/>
      </c>
      <c r="G3390" s="2"/>
      <c r="H3390" s="2" t="str">
        <f>IFERROR(__xludf.DUMMYFUNCTION("IF(G3390&lt;&gt;"""", GOOGLETRANSLATE(G3390, ""en"", ""te""),"""")"),"")</f>
        <v/>
      </c>
      <c r="I3390" s="3"/>
    </row>
    <row r="3391" customHeight="1" spans="1:9">
      <c r="A3391" s="2"/>
      <c r="B3391" s="2" t="str">
        <f>IFERROR(__xludf.DUMMYFUNCTION("IF(A3391&lt;&gt;"""", GOOGLETRANSLATE(A3391, ""en"", ""te""),"""")"),"")</f>
        <v/>
      </c>
      <c r="C3391" s="2"/>
      <c r="D3391" s="2" t="str">
        <f>IFERROR(__xludf.DUMMYFUNCTION("IF(C3391&lt;&gt;"""", GOOGLETRANSLATE(C3391, ""en"", ""te""),"""")"),"")</f>
        <v/>
      </c>
      <c r="E3391" s="2"/>
      <c r="F3391" s="2" t="str">
        <f>IFERROR(__xludf.DUMMYFUNCTION("IF(E3391&lt;&gt;"""", GOOGLETRANSLATE(E3391, ""en"", ""te""),"""")"),"")</f>
        <v/>
      </c>
      <c r="G3391" s="2"/>
      <c r="H3391" s="2" t="str">
        <f>IFERROR(__xludf.DUMMYFUNCTION("IF(G3391&lt;&gt;"""", GOOGLETRANSLATE(G3391, ""en"", ""te""),"""")"),"")</f>
        <v/>
      </c>
      <c r="I3391" s="3"/>
    </row>
    <row r="3392" customHeight="1" spans="1:9">
      <c r="A3392" s="2"/>
      <c r="B3392" s="2" t="str">
        <f>IFERROR(__xludf.DUMMYFUNCTION("IF(A3392&lt;&gt;"""", GOOGLETRANSLATE(A3392, ""en"", ""te""),"""")"),"")</f>
        <v/>
      </c>
      <c r="C3392" s="2"/>
      <c r="D3392" s="2" t="str">
        <f>IFERROR(__xludf.DUMMYFUNCTION("IF(C3392&lt;&gt;"""", GOOGLETRANSLATE(C3392, ""en"", ""te""),"""")"),"")</f>
        <v/>
      </c>
      <c r="E3392" s="2"/>
      <c r="F3392" s="2" t="str">
        <f>IFERROR(__xludf.DUMMYFUNCTION("IF(E3392&lt;&gt;"""", GOOGLETRANSLATE(E3392, ""en"", ""te""),"""")"),"")</f>
        <v/>
      </c>
      <c r="G3392" s="2"/>
      <c r="H3392" s="2" t="str">
        <f>IFERROR(__xludf.DUMMYFUNCTION("IF(G3392&lt;&gt;"""", GOOGLETRANSLATE(G3392, ""en"", ""te""),"""")"),"")</f>
        <v/>
      </c>
      <c r="I3392" s="3"/>
    </row>
    <row r="3393" customHeight="1" spans="1:9">
      <c r="A3393" s="2"/>
      <c r="B3393" s="2" t="str">
        <f>IFERROR(__xludf.DUMMYFUNCTION("IF(A3393&lt;&gt;"""", GOOGLETRANSLATE(A3393, ""en"", ""te""),"""")"),"")</f>
        <v/>
      </c>
      <c r="C3393" s="2"/>
      <c r="D3393" s="2" t="str">
        <f>IFERROR(__xludf.DUMMYFUNCTION("IF(C3393&lt;&gt;"""", GOOGLETRANSLATE(C3393, ""en"", ""te""),"""")"),"")</f>
        <v/>
      </c>
      <c r="E3393" s="2"/>
      <c r="F3393" s="2" t="str">
        <f>IFERROR(__xludf.DUMMYFUNCTION("IF(E3393&lt;&gt;"""", GOOGLETRANSLATE(E3393, ""en"", ""te""),"""")"),"")</f>
        <v/>
      </c>
      <c r="G3393" s="2"/>
      <c r="H3393" s="2" t="str">
        <f>IFERROR(__xludf.DUMMYFUNCTION("IF(G3393&lt;&gt;"""", GOOGLETRANSLATE(G3393, ""en"", ""te""),"""")"),"")</f>
        <v/>
      </c>
      <c r="I3393" s="3"/>
    </row>
    <row r="3394" customHeight="1" spans="1:9">
      <c r="A3394" s="2"/>
      <c r="B3394" s="2" t="str">
        <f>IFERROR(__xludf.DUMMYFUNCTION("IF(A3394&lt;&gt;"""", GOOGLETRANSLATE(A3394, ""en"", ""te""),"""")"),"")</f>
        <v/>
      </c>
      <c r="C3394" s="2"/>
      <c r="D3394" s="2" t="str">
        <f>IFERROR(__xludf.DUMMYFUNCTION("IF(C3394&lt;&gt;"""", GOOGLETRANSLATE(C3394, ""en"", ""te""),"""")"),"")</f>
        <v/>
      </c>
      <c r="E3394" s="2"/>
      <c r="F3394" s="2" t="str">
        <f>IFERROR(__xludf.DUMMYFUNCTION("IF(E3394&lt;&gt;"""", GOOGLETRANSLATE(E3394, ""en"", ""te""),"""")"),"")</f>
        <v/>
      </c>
      <c r="G3394" s="2"/>
      <c r="H3394" s="2" t="str">
        <f>IFERROR(__xludf.DUMMYFUNCTION("IF(G3394&lt;&gt;"""", GOOGLETRANSLATE(G3394, ""en"", ""te""),"""")"),"")</f>
        <v/>
      </c>
      <c r="I3394" s="3"/>
    </row>
    <row r="3395" customHeight="1" spans="1:9">
      <c r="A3395" s="2"/>
      <c r="B3395" s="2" t="str">
        <f>IFERROR(__xludf.DUMMYFUNCTION("IF(A3395&lt;&gt;"""", GOOGLETRANSLATE(A3395, ""en"", ""te""),"""")"),"")</f>
        <v/>
      </c>
      <c r="C3395" s="2"/>
      <c r="D3395" s="2" t="str">
        <f>IFERROR(__xludf.DUMMYFUNCTION("IF(C3395&lt;&gt;"""", GOOGLETRANSLATE(C3395, ""en"", ""te""),"""")"),"")</f>
        <v/>
      </c>
      <c r="E3395" s="2"/>
      <c r="F3395" s="2" t="str">
        <f>IFERROR(__xludf.DUMMYFUNCTION("IF(E3395&lt;&gt;"""", GOOGLETRANSLATE(E3395, ""en"", ""te""),"""")"),"")</f>
        <v/>
      </c>
      <c r="G3395" s="2"/>
      <c r="H3395" s="2" t="str">
        <f>IFERROR(__xludf.DUMMYFUNCTION("IF(G3395&lt;&gt;"""", GOOGLETRANSLATE(G3395, ""en"", ""te""),"""")"),"")</f>
        <v/>
      </c>
      <c r="I3395" s="3"/>
    </row>
    <row r="3396" customHeight="1" spans="1:9">
      <c r="A3396" s="2"/>
      <c r="B3396" s="2" t="str">
        <f>IFERROR(__xludf.DUMMYFUNCTION("IF(A3396&lt;&gt;"""", GOOGLETRANSLATE(A3396, ""en"", ""te""),"""")"),"")</f>
        <v/>
      </c>
      <c r="C3396" s="2" t="s">
        <v>2355</v>
      </c>
      <c r="D3396" s="2" t="str">
        <f>IFERROR(__xludf.DUMMYFUNCTION("IF(C3396&lt;&gt;"""", GOOGLETRANSLATE(C3396, ""en"", ""te""),"""")"),"[ '16 వ అత్యధిక తొలి వంద (221)']")</f>
        <v>[ '16 వ అత్యధిక తొలి వంద (221)']</v>
      </c>
      <c r="E3396" s="2"/>
      <c r="F3396" s="2" t="str">
        <f>IFERROR(__xludf.DUMMYFUNCTION("IF(E3396&lt;&gt;"""", GOOGLETRANSLATE(E3396, ""en"", ""te""),"""")"),"")</f>
        <v/>
      </c>
      <c r="G3396" s="2"/>
      <c r="H3396" s="2" t="str">
        <f>IFERROR(__xludf.DUMMYFUNCTION("IF(G3396&lt;&gt;"""", GOOGLETRANSLATE(G3396, ""en"", ""te""),"""")"),"")</f>
        <v/>
      </c>
      <c r="I3396" s="3"/>
    </row>
    <row r="3397" customHeight="1" spans="1:9">
      <c r="A3397" s="2" t="s">
        <v>2356</v>
      </c>
      <c r="B3397" s="2" t="str">
        <f>IFERROR(__xludf.DUMMYFUNCTION("IF(A3397&lt;&gt;"""", GOOGLETRANSLATE(A3397, ""en"", ""te""),"""")"),"[ '5 వ అత్యుత్తమ ఇన్నింగ్స్ (2/1) విశ్లేషణలలో బౌలింగ్']")</f>
        <v>[ '5 వ అత్యుత్తమ ఇన్నింగ్స్ (2/1) విశ్లేషణలలో బౌలింగ్']</v>
      </c>
      <c r="C3397" s="2"/>
      <c r="D3397" s="2" t="str">
        <f>IFERROR(__xludf.DUMMYFUNCTION("IF(C3397&lt;&gt;"""", GOOGLETRANSLATE(C3397, ""en"", ""te""),"""")"),"")</f>
        <v/>
      </c>
      <c r="E3397" s="2" t="s">
        <v>2357</v>
      </c>
      <c r="F3397" s="2" t="str">
        <f>IFERROR(__xludf.DUMMYFUNCTION("IF(E3397&lt;&gt;"""", GOOGLETRANSLATE(E3397, ""en"", ""te""),"""")"),"[ '28 కెరీర్ లో బాతులు (15)', '5 వ అత్యుత్తమ బౌలింగ్ ఇన్నింగ్స్ లో విశ్లేషించడం (2/1)']")</f>
        <v>[ '28 కెరీర్ లో బాతులు (15)', '5 వ అత్యుత్తమ బౌలింగ్ ఇన్నింగ్స్ లో విశ్లేషించడం (2/1)']</v>
      </c>
      <c r="G3397" s="2"/>
      <c r="H3397" s="2" t="str">
        <f>IFERROR(__xludf.DUMMYFUNCTION("IF(G3397&lt;&gt;"""", GOOGLETRANSLATE(G3397, ""en"", ""te""),"""")"),"")</f>
        <v/>
      </c>
      <c r="I3397" s="3"/>
    </row>
    <row r="3398" customHeight="1" spans="1:9">
      <c r="A3398" s="2"/>
      <c r="B3398" s="2" t="str">
        <f>IFERROR(__xludf.DUMMYFUNCTION("IF(A3398&lt;&gt;"""", GOOGLETRANSLATE(A3398, ""en"", ""te""),"""")"),"")</f>
        <v/>
      </c>
      <c r="C3398" s="2"/>
      <c r="D3398" s="2" t="str">
        <f>IFERROR(__xludf.DUMMYFUNCTION("IF(C3398&lt;&gt;"""", GOOGLETRANSLATE(C3398, ""en"", ""te""),"""")"),"")</f>
        <v/>
      </c>
      <c r="E3398" s="2"/>
      <c r="F3398" s="2" t="str">
        <f>IFERROR(__xludf.DUMMYFUNCTION("IF(E3398&lt;&gt;"""", GOOGLETRANSLATE(E3398, ""en"", ""te""),"""")"),"")</f>
        <v/>
      </c>
      <c r="G3398" s="2"/>
      <c r="H3398" s="2" t="str">
        <f>IFERROR(__xludf.DUMMYFUNCTION("IF(G3398&lt;&gt;"""", GOOGLETRANSLATE(G3398, ""en"", ""te""),"""")"),"")</f>
        <v/>
      </c>
      <c r="I3398" s="3"/>
    </row>
    <row r="3399" customHeight="1" spans="1:9">
      <c r="A3399" s="2"/>
      <c r="B3399" s="2" t="str">
        <f>IFERROR(__xludf.DUMMYFUNCTION("IF(A3399&lt;&gt;"""", GOOGLETRANSLATE(A3399, ""en"", ""te""),"""")"),"")</f>
        <v/>
      </c>
      <c r="C3399" s="2" t="s">
        <v>1216</v>
      </c>
      <c r="D3399" s="2" t="str">
        <f>IFERROR(__xludf.DUMMYFUNCTION("IF(C3399&lt;&gt;"""", GOOGLETRANSLATE(C3399, ""en"", ""te""),"""")"),"[ 'తొలి ఇన్నింగ్స్లో 22 బెస్ట్ ఫిగర్స్ (6)', '33 వ ప్రవేశం (8) ఒక మ్యాచ్లో బెస్ట్ ఫిగర్స్']")</f>
        <v>[ 'తొలి ఇన్నింగ్స్లో 22 బెస్ట్ ఫిగర్స్ (6)', '33 వ ప్రవేశం (8) ఒక మ్యాచ్లో బెస్ట్ ఫిగర్స్']</v>
      </c>
      <c r="E3399" s="2"/>
      <c r="F3399" s="2" t="str">
        <f>IFERROR(__xludf.DUMMYFUNCTION("IF(E3399&lt;&gt;"""", GOOGLETRANSLATE(E3399, ""en"", ""te""),"""")"),"")</f>
        <v/>
      </c>
      <c r="G3399" s="2"/>
      <c r="H3399" s="2" t="str">
        <f>IFERROR(__xludf.DUMMYFUNCTION("IF(G3399&lt;&gt;"""", GOOGLETRANSLATE(G3399, ""en"", ""te""),"""")"),"")</f>
        <v/>
      </c>
      <c r="I3399" s="3"/>
    </row>
    <row r="3400" customHeight="1" spans="1:9">
      <c r="A3400" s="2"/>
      <c r="B3400" s="2" t="str">
        <f>IFERROR(__xludf.DUMMYFUNCTION("IF(A3400&lt;&gt;"""", GOOGLETRANSLATE(A3400, ""en"", ""te""),"""")"),"")</f>
        <v/>
      </c>
      <c r="C3400" s="2"/>
      <c r="D3400" s="2" t="str">
        <f>IFERROR(__xludf.DUMMYFUNCTION("IF(C3400&lt;&gt;"""", GOOGLETRANSLATE(C3400, ""en"", ""te""),"""")"),"")</f>
        <v/>
      </c>
      <c r="E3400" s="2"/>
      <c r="F3400" s="2" t="str">
        <f>IFERROR(__xludf.DUMMYFUNCTION("IF(E3400&lt;&gt;"""", GOOGLETRANSLATE(E3400, ""en"", ""te""),"""")"),"")</f>
        <v/>
      </c>
      <c r="G3400" s="2"/>
      <c r="H3400" s="2" t="str">
        <f>IFERROR(__xludf.DUMMYFUNCTION("IF(G3400&lt;&gt;"""", GOOGLETRANSLATE(G3400, ""en"", ""te""),"""")"),"")</f>
        <v/>
      </c>
      <c r="I3400" s="3"/>
    </row>
    <row r="3401" customHeight="1" spans="1:9">
      <c r="A3401" s="2" t="s">
        <v>2358</v>
      </c>
      <c r="B3401" s="2" t="str">
        <f>IFERROR(__xludf.DUMMYFUNCTION("IF(A3401&lt;&gt;"""", GOOGLETRANSLATE(A3401, ""en"", ""te""),"""")"),"[ '10 వ ఉత్తమ కెరీర్ ఆర్థిక రేటు (1.85)']")</f>
        <v>[ '10 వ ఉత్తమ కెరీర్ ఆర్థిక రేటు (1.85)']</v>
      </c>
      <c r="C3401" s="2" t="s">
        <v>2359</v>
      </c>
      <c r="D3401" s="2" t="str">
        <f>IFERROR(__xludf.DUMMYFUNCTION("IF(C3401&lt;&gt;"""", GOOGLETRANSLATE(C3401, ""en"", ""te""),"""")"),"[ '10 వ ఉత్తమ కెరీర్ ఆర్థిక రేటు (1.85)', '27 వ ఇన్నింగ్స్ లో బౌల్డ్ చాలా బంతుల్లో (448)', '38 వ అత్యంత బంతుల్లో ఒక మ్యాచ్లో బౌల్డ్ (625)']")</f>
        <v>[ '10 వ ఉత్తమ కెరీర్ ఆర్థిక రేటు (1.85)', '27 వ ఇన్నింగ్స్ లో బౌల్డ్ చాలా బంతుల్లో (448)', '38 వ అత్యంత బంతుల్లో ఒక మ్యాచ్లో బౌల్డ్ (625)']</v>
      </c>
      <c r="E3401" s="2"/>
      <c r="F3401" s="2" t="str">
        <f>IFERROR(__xludf.DUMMYFUNCTION("IF(E3401&lt;&gt;"""", GOOGLETRANSLATE(E3401, ""en"", ""te""),"""")"),"")</f>
        <v/>
      </c>
      <c r="G3401" s="2"/>
      <c r="H3401" s="2" t="str">
        <f>IFERROR(__xludf.DUMMYFUNCTION("IF(G3401&lt;&gt;"""", GOOGLETRANSLATE(G3401, ""en"", ""te""),"""")"),"")</f>
        <v/>
      </c>
      <c r="I3401" s="3"/>
    </row>
    <row r="3402" customHeight="1" spans="1:9">
      <c r="A3402" s="2"/>
      <c r="B3402" s="2" t="str">
        <f>IFERROR(__xludf.DUMMYFUNCTION("IF(A3402&lt;&gt;"""", GOOGLETRANSLATE(A3402, ""en"", ""te""),"""")"),"")</f>
        <v/>
      </c>
      <c r="C3402" s="2"/>
      <c r="D3402" s="2" t="str">
        <f>IFERROR(__xludf.DUMMYFUNCTION("IF(C3402&lt;&gt;"""", GOOGLETRANSLATE(C3402, ""en"", ""te""),"""")"),"")</f>
        <v/>
      </c>
      <c r="E3402" s="2"/>
      <c r="F3402" s="2" t="str">
        <f>IFERROR(__xludf.DUMMYFUNCTION("IF(E3402&lt;&gt;"""", GOOGLETRANSLATE(E3402, ""en"", ""te""),"""")"),"")</f>
        <v/>
      </c>
      <c r="G3402" s="2"/>
      <c r="H3402" s="2" t="str">
        <f>IFERROR(__xludf.DUMMYFUNCTION("IF(G3402&lt;&gt;"""", GOOGLETRANSLATE(G3402, ""en"", ""te""),"""")"),"")</f>
        <v/>
      </c>
      <c r="I3402" s="3"/>
    </row>
    <row r="3403" customHeight="1" spans="1:9">
      <c r="A3403" s="2"/>
      <c r="B3403" s="2" t="str">
        <f>IFERROR(__xludf.DUMMYFUNCTION("IF(A3403&lt;&gt;"""", GOOGLETRANSLATE(A3403, ""en"", ""te""),"""")"),"")</f>
        <v/>
      </c>
      <c r="C3403" s="2"/>
      <c r="D3403" s="2" t="str">
        <f>IFERROR(__xludf.DUMMYFUNCTION("IF(C3403&lt;&gt;"""", GOOGLETRANSLATE(C3403, ""en"", ""te""),"""")"),"")</f>
        <v/>
      </c>
      <c r="E3403" s="2"/>
      <c r="F3403" s="2" t="str">
        <f>IFERROR(__xludf.DUMMYFUNCTION("IF(E3403&lt;&gt;"""", GOOGLETRANSLATE(E3403, ""en"", ""te""),"""")"),"")</f>
        <v/>
      </c>
      <c r="G3403" s="2"/>
      <c r="H3403" s="2" t="str">
        <f>IFERROR(__xludf.DUMMYFUNCTION("IF(G3403&lt;&gt;"""", GOOGLETRANSLATE(G3403, ""en"", ""te""),"""")"),"")</f>
        <v/>
      </c>
      <c r="I3403" s="3"/>
    </row>
    <row r="3404" customHeight="1" spans="1:9">
      <c r="A3404" s="2" t="s">
        <v>2360</v>
      </c>
      <c r="B3404" s="2" t="str">
        <f>IFERROR(__xludf.DUMMYFUNCTION("IF(A3404&lt;&gt;"""", GOOGLETRANSLATE(A3404, ""en"", ""te""),"""")"),"[ 'ఇన్నింగ్స్ పూర్తి ద్వారా బ్యాట్ నిదర్శన (125 *)']")</f>
        <v>[ 'ఇన్నింగ్స్ పూర్తి ద్వారా బ్యాట్ నిదర్శన (125 *)']</v>
      </c>
      <c r="C3404" s="2"/>
      <c r="D3404" s="2" t="str">
        <f>IFERROR(__xludf.DUMMYFUNCTION("IF(C3404&lt;&gt;"""", GOOGLETRANSLATE(C3404, ""en"", ""te""),"""")"),"")</f>
        <v/>
      </c>
      <c r="E3404" s="2" t="s">
        <v>2361</v>
      </c>
      <c r="F3404" s="2" t="str">
        <f>IFERROR(__xludf.DUMMYFUNCTION("IF(E3404&lt;&gt;"""", GOOGLETRANSLATE(E3404, ""en"", ""te""),"""")"),"[ '20 వ 1000 వేగవంతమైన పరుగులు (26)', 'ఫాస్టెస్ట్ 2000 పరుగులు 34 వ (56)', '25 వ వేగవంతమైన 3000 పరుగులు (82)']")</f>
        <v>[ '20 వ 1000 వేగవంతమైన పరుగులు (26)', 'ఫాస్టెస్ట్ 2000 పరుగులు 34 వ (56)', '25 వ వేగవంతమైన 3000 పరుగులు (82)']</v>
      </c>
      <c r="G3404" s="2"/>
      <c r="H3404" s="2" t="str">
        <f>IFERROR(__xludf.DUMMYFUNCTION("IF(G3404&lt;&gt;"""", GOOGLETRANSLATE(G3404, ""en"", ""te""),"""")"),"")</f>
        <v/>
      </c>
      <c r="I3404" s="3"/>
    </row>
    <row r="3405" customHeight="1" spans="1:9">
      <c r="A3405" s="2"/>
      <c r="B3405" s="2" t="str">
        <f>IFERROR(__xludf.DUMMYFUNCTION("IF(A3405&lt;&gt;"""", GOOGLETRANSLATE(A3405, ""en"", ""te""),"""")"),"")</f>
        <v/>
      </c>
      <c r="C3405" s="2" t="s">
        <v>2362</v>
      </c>
      <c r="D3405" s="2" t="str">
        <f>IFERROR(__xludf.DUMMYFUNCTION("IF(C3405&lt;&gt;"""", GOOGLETRANSLATE(C3405, ""en"", ""te""),"""")"),"[ '13 వ అంపాయర్ (68) గా అత్యధిక మ్యాచ్లు']")</f>
        <v>[ '13 వ అంపాయర్ (68) గా అత్యధిక మ్యాచ్లు']</v>
      </c>
      <c r="E3405" s="2" t="s">
        <v>2363</v>
      </c>
      <c r="F3405" s="2" t="str">
        <f>IFERROR(__xludf.DUMMYFUNCTION("IF(E3405&lt;&gt;"""", GOOGLETRANSLATE(E3405, ""en"", ""te""),"""")"),"[ '23 అంపైర్ గా అత్యధిక మ్యాచ్లు (90)']")</f>
        <v>[ '23 అంపైర్ గా అత్యధిక మ్యాచ్లు (90)']</v>
      </c>
      <c r="G3405" s="2" t="s">
        <v>1954</v>
      </c>
      <c r="H3405" s="2" t="str">
        <f>IFERROR(__xludf.DUMMYFUNCTION("IF(G3405&lt;&gt;"""", GOOGLETRANSLATE(G3405, ""en"", ""te""),"""")"),"[ '30 వ అంపాయర్ (22) గా అత్యధిక మ్యాచ్లు']")</f>
        <v>[ '30 వ అంపాయర్ (22) గా అత్యధిక మ్యాచ్లు']</v>
      </c>
      <c r="I3405" s="3"/>
    </row>
    <row r="3406" customHeight="1" spans="1:9">
      <c r="A3406" s="2" t="s">
        <v>2364</v>
      </c>
      <c r="B3406" s="2" t="str">
        <f>IFERROR(__xludf.DUMMYFUNCTION("IF(A3406&lt;&gt;"""", GOOGLETRANSLATE(A3406, ""en"", ""te""),"""")"),"[ 'కెరీర్లో 8 వ అత్యధిక వికెట్లు (269)', '8 వ కెరీర్లో అత్యధిక క్యాచ్లు (250)', '4 వ అత్యంత ఇన్నింగ్స్ లో స్టంపింగ్లు (3)', 'హండ్రెడ్ మరియు ఒక మ్యాచ్లో తొంభై', '300 పరుగులు మరియు 15 వరుస వికెట్కీపింగ్ తొలగింపులకు ']")</f>
        <v>[ 'కెరీర్లో 8 వ అత్యధిక వికెట్లు (269)', '8 వ కెరీర్లో అత్యధిక క్యాచ్లు (250)', '4 వ అత్యంత ఇన్నింగ్స్ లో స్టంపింగ్లు (3)', 'హండ్రెడ్ మరియు ఒక మ్యాచ్లో తొంభై', '300 పరుగులు మరియు 15 వరుస వికెట్కీపింగ్ తొలగింపులకు ']</v>
      </c>
      <c r="C3406" s="2" t="s">
        <v>2365</v>
      </c>
      <c r="D3406" s="2" t="str">
        <f>IFERROR(__xludf.DUMMYFUNCTION("IF(C3406&lt;&gt;"""", GOOGLETRANSLATE(C3406, ""en"", ""te""),"""")"),"[ '20 వ అత్యంత వికెట్కీపర్ శ్రేణిలో పరుగులు (365)', 'ఒక డక్ లేకుండా 25 వరుస ఇన్నింగ్స్ (62 *)', 'ఒక జట్టు కోసం 26 వరుస మ్యాచ్లు (65)', '8 వ కెరీర్ లో అత్యధిక వికెట్లు ( 269) ',' 15 వ అత్యధిక కెరీర్ లో వరుస కెరీర్లో వరుస వికెట్లు (24) ',' 8 వ అత్యధిక క్యాచ"&amp;"్లు (250) ',' 29 వ అత్యధిక క్యాచ్లు (22) ',' 23 వ స్టంపింగ్లు (19) ', 'ఇన్నింగ్స్ లో 4 వ అత్యంత స్టంపింగ్లు (3)', '12 వ మ్యాచ్లో (3) అత్యంత స్టంపింగ్లు' '44 వ అత్యధిక ఇన్నింగ్స్ బై (551 / 9D) గూడా ఇవ్వకుండా మొత్తం']")</f>
        <v>[ '20 వ అత్యంత వికెట్కీపర్ శ్రేణిలో పరుగులు (365)', 'ఒక డక్ లేకుండా 25 వరుస ఇన్నింగ్స్ (62 *)', 'ఒక జట్టు కోసం 26 వరుస మ్యాచ్లు (65)', '8 వ కెరీర్ లో అత్యధిక వికెట్లు ( 269) ',' 15 వ అత్యధిక కెరీర్ లో వరుస కెరీర్లో వరుస వికెట్లు (24) ',' 8 వ అత్యధిక క్యాచ్లు (250) ',' 29 వ అత్యధిక క్యాచ్లు (22) ',' 23 వ స్టంపింగ్లు (19) ', 'ఇన్నింగ్స్ లో 4 వ అత్యంత స్టంపింగ్లు (3)', '12 వ మ్యాచ్లో (3) అత్యంత స్టంపింగ్లు' '44 వ అత్యధిక ఇన్నింగ్స్ బై (551 / 9D) గూడా ఇవ్వకుండా మొత్తం']</v>
      </c>
      <c r="E3406" s="2" t="s">
        <v>2366</v>
      </c>
      <c r="F3406" s="2" t="str">
        <f>IFERROR(__xludf.DUMMYFUNCTION("IF(E3406&lt;&gt;"""", GOOGLETRANSLATE(E3406, ""en"", ""te""),"""")"),"[ 'వికెట్ (1) ఉంచింది చేసిన 31 కెప్టెన్ల']")</f>
        <v>[ 'వికెట్ (1) ఉంచింది చేసిన 31 కెప్టెన్ల']</v>
      </c>
      <c r="G3406" s="2"/>
      <c r="H3406" s="2" t="str">
        <f>IFERROR(__xludf.DUMMYFUNCTION("IF(G3406&lt;&gt;"""", GOOGLETRANSLATE(G3406, ""en"", ""te""),"""")"),"")</f>
        <v/>
      </c>
      <c r="I3406" s="3"/>
    </row>
    <row r="3407" customHeight="1" spans="1:9">
      <c r="A3407" s="2"/>
      <c r="B3407" s="2" t="str">
        <f>IFERROR(__xludf.DUMMYFUNCTION("IF(A3407&lt;&gt;"""", GOOGLETRANSLATE(A3407, ""en"", ""te""),"""")"),"")</f>
        <v/>
      </c>
      <c r="C3407" s="2"/>
      <c r="D3407" s="2" t="str">
        <f>IFERROR(__xludf.DUMMYFUNCTION("IF(C3407&lt;&gt;"""", GOOGLETRANSLATE(C3407, ""en"", ""te""),"""")"),"")</f>
        <v/>
      </c>
      <c r="E3407" s="2"/>
      <c r="F3407" s="2" t="str">
        <f>IFERROR(__xludf.DUMMYFUNCTION("IF(E3407&lt;&gt;"""", GOOGLETRANSLATE(E3407, ""en"", ""te""),"""")"),"")</f>
        <v/>
      </c>
      <c r="G3407" s="2"/>
      <c r="H3407" s="2" t="str">
        <f>IFERROR(__xludf.DUMMYFUNCTION("IF(G3407&lt;&gt;"""", GOOGLETRANSLATE(G3407, ""en"", ""te""),"""")"),"")</f>
        <v/>
      </c>
      <c r="I3407" s="3"/>
    </row>
    <row r="3408" customHeight="1" spans="1:9">
      <c r="A3408" s="2"/>
      <c r="B3408" s="2" t="str">
        <f>IFERROR(__xludf.DUMMYFUNCTION("IF(A3408&lt;&gt;"""", GOOGLETRANSLATE(A3408, ""en"", ""te""),"""")"),"")</f>
        <v/>
      </c>
      <c r="C3408" s="2"/>
      <c r="D3408" s="2" t="str">
        <f>IFERROR(__xludf.DUMMYFUNCTION("IF(C3408&lt;&gt;"""", GOOGLETRANSLATE(C3408, ""en"", ""te""),"""")"),"")</f>
        <v/>
      </c>
      <c r="E3408" s="2"/>
      <c r="F3408" s="2" t="str">
        <f>IFERROR(__xludf.DUMMYFUNCTION("IF(E3408&lt;&gt;"""", GOOGLETRANSLATE(E3408, ""en"", ""te""),"""")"),"")</f>
        <v/>
      </c>
      <c r="G3408" s="2"/>
      <c r="H3408" s="2" t="str">
        <f>IFERROR(__xludf.DUMMYFUNCTION("IF(G3408&lt;&gt;"""", GOOGLETRANSLATE(G3408, ""en"", ""te""),"""")"),"")</f>
        <v/>
      </c>
      <c r="I3408" s="3"/>
    </row>
    <row r="3409" customHeight="1" spans="1:9">
      <c r="A3409" s="2"/>
      <c r="B3409" s="2" t="str">
        <f>IFERROR(__xludf.DUMMYFUNCTION("IF(A3409&lt;&gt;"""", GOOGLETRANSLATE(A3409, ""en"", ""te""),"""")"),"")</f>
        <v/>
      </c>
      <c r="C3409" s="2"/>
      <c r="D3409" s="2" t="str">
        <f>IFERROR(__xludf.DUMMYFUNCTION("IF(C3409&lt;&gt;"""", GOOGLETRANSLATE(C3409, ""en"", ""te""),"""")"),"")</f>
        <v/>
      </c>
      <c r="E3409" s="2"/>
      <c r="F3409" s="2" t="str">
        <f>IFERROR(__xludf.DUMMYFUNCTION("IF(E3409&lt;&gt;"""", GOOGLETRANSLATE(E3409, ""en"", ""te""),"""")"),"")</f>
        <v/>
      </c>
      <c r="G3409" s="2"/>
      <c r="H3409" s="2" t="str">
        <f>IFERROR(__xludf.DUMMYFUNCTION("IF(G3409&lt;&gt;"""", GOOGLETRANSLATE(G3409, ""en"", ""te""),"""")"),"")</f>
        <v/>
      </c>
      <c r="I3409" s="3"/>
    </row>
    <row r="3410" customHeight="1" spans="1:9">
      <c r="A3410" s="2"/>
      <c r="B3410" s="2" t="str">
        <f>IFERROR(__xludf.DUMMYFUNCTION("IF(A3410&lt;&gt;"""", GOOGLETRANSLATE(A3410, ""en"", ""te""),"""")"),"")</f>
        <v/>
      </c>
      <c r="C3410" s="2"/>
      <c r="D3410" s="2" t="str">
        <f>IFERROR(__xludf.DUMMYFUNCTION("IF(C3410&lt;&gt;"""", GOOGLETRANSLATE(C3410, ""en"", ""te""),"""")"),"")</f>
        <v/>
      </c>
      <c r="E3410" s="2"/>
      <c r="F3410" s="2" t="str">
        <f>IFERROR(__xludf.DUMMYFUNCTION("IF(E3410&lt;&gt;"""", GOOGLETRANSLATE(E3410, ""en"", ""te""),"""")"),"")</f>
        <v/>
      </c>
      <c r="G3410" s="2"/>
      <c r="H3410" s="2" t="str">
        <f>IFERROR(__xludf.DUMMYFUNCTION("IF(G3410&lt;&gt;"""", GOOGLETRANSLATE(G3410, ""en"", ""te""),"""")"),"")</f>
        <v/>
      </c>
      <c r="I3410" s="3"/>
    </row>
    <row r="3411" customHeight="1" spans="1:9">
      <c r="A3411" s="2"/>
      <c r="B3411" s="2" t="str">
        <f>IFERROR(__xludf.DUMMYFUNCTION("IF(A3411&lt;&gt;"""", GOOGLETRANSLATE(A3411, ""en"", ""te""),"""")"),"")</f>
        <v/>
      </c>
      <c r="C3411" s="2"/>
      <c r="D3411" s="2" t="str">
        <f>IFERROR(__xludf.DUMMYFUNCTION("IF(C3411&lt;&gt;"""", GOOGLETRANSLATE(C3411, ""en"", ""te""),"""")"),"")</f>
        <v/>
      </c>
      <c r="E3411" s="2"/>
      <c r="F3411" s="2" t="str">
        <f>IFERROR(__xludf.DUMMYFUNCTION("IF(E3411&lt;&gt;"""", GOOGLETRANSLATE(E3411, ""en"", ""te""),"""")"),"")</f>
        <v/>
      </c>
      <c r="G3411" s="2"/>
      <c r="H3411" s="2" t="str">
        <f>IFERROR(__xludf.DUMMYFUNCTION("IF(G3411&lt;&gt;"""", GOOGLETRANSLATE(G3411, ""en"", ""te""),"""")"),"")</f>
        <v/>
      </c>
      <c r="I3411" s="3"/>
    </row>
    <row r="3412" customHeight="1" spans="1:9">
      <c r="A3412" s="2"/>
      <c r="B3412" s="2" t="str">
        <f>IFERROR(__xludf.DUMMYFUNCTION("IF(A3412&lt;&gt;"""", GOOGLETRANSLATE(A3412, ""en"", ""te""),"""")"),"")</f>
        <v/>
      </c>
      <c r="C3412" s="2"/>
      <c r="D3412" s="2" t="str">
        <f>IFERROR(__xludf.DUMMYFUNCTION("IF(C3412&lt;&gt;"""", GOOGLETRANSLATE(C3412, ""en"", ""te""),"""")"),"")</f>
        <v/>
      </c>
      <c r="E3412" s="2"/>
      <c r="F3412" s="2" t="str">
        <f>IFERROR(__xludf.DUMMYFUNCTION("IF(E3412&lt;&gt;"""", GOOGLETRANSLATE(E3412, ""en"", ""te""),"""")"),"")</f>
        <v/>
      </c>
      <c r="G3412" s="2"/>
      <c r="H3412" s="2" t="str">
        <f>IFERROR(__xludf.DUMMYFUNCTION("IF(G3412&lt;&gt;"""", GOOGLETRANSLATE(G3412, ""en"", ""te""),"""")"),"")</f>
        <v/>
      </c>
      <c r="I3412" s="3"/>
    </row>
    <row r="3413" customHeight="1" spans="1:9">
      <c r="A3413" s="2"/>
      <c r="B3413" s="2" t="str">
        <f>IFERROR(__xludf.DUMMYFUNCTION("IF(A3413&lt;&gt;"""", GOOGLETRANSLATE(A3413, ""en"", ""te""),"""")"),"")</f>
        <v/>
      </c>
      <c r="C3413" s="2"/>
      <c r="D3413" s="2" t="str">
        <f>IFERROR(__xludf.DUMMYFUNCTION("IF(C3413&lt;&gt;"""", GOOGLETRANSLATE(C3413, ""en"", ""te""),"""")"),"")</f>
        <v/>
      </c>
      <c r="E3413" s="2"/>
      <c r="F3413" s="2" t="str">
        <f>IFERROR(__xludf.DUMMYFUNCTION("IF(E3413&lt;&gt;"""", GOOGLETRANSLATE(E3413, ""en"", ""te""),"""")"),"")</f>
        <v/>
      </c>
      <c r="G3413" s="2"/>
      <c r="H3413" s="2" t="str">
        <f>IFERROR(__xludf.DUMMYFUNCTION("IF(G3413&lt;&gt;"""", GOOGLETRANSLATE(G3413, ""en"", ""te""),"""")"),"")</f>
        <v/>
      </c>
      <c r="I3413" s="3"/>
    </row>
    <row r="3414" customHeight="1" spans="1:9">
      <c r="A3414" s="2"/>
      <c r="B3414" s="2" t="str">
        <f>IFERROR(__xludf.DUMMYFUNCTION("IF(A3414&lt;&gt;"""", GOOGLETRANSLATE(A3414, ""en"", ""te""),"""")"),"")</f>
        <v/>
      </c>
      <c r="C3414" s="2"/>
      <c r="D3414" s="2" t="str">
        <f>IFERROR(__xludf.DUMMYFUNCTION("IF(C3414&lt;&gt;"""", GOOGLETRANSLATE(C3414, ""en"", ""te""),"""")"),"")</f>
        <v/>
      </c>
      <c r="E3414" s="2"/>
      <c r="F3414" s="2" t="str">
        <f>IFERROR(__xludf.DUMMYFUNCTION("IF(E3414&lt;&gt;"""", GOOGLETRANSLATE(E3414, ""en"", ""te""),"""")"),"")</f>
        <v/>
      </c>
      <c r="G3414" s="2"/>
      <c r="H3414" s="2" t="str">
        <f>IFERROR(__xludf.DUMMYFUNCTION("IF(G3414&lt;&gt;"""", GOOGLETRANSLATE(G3414, ""en"", ""te""),"""")"),"")</f>
        <v/>
      </c>
      <c r="I3414" s="3"/>
    </row>
    <row r="3415" customHeight="1" spans="1:9">
      <c r="A3415" s="2"/>
      <c r="B3415" s="2" t="str">
        <f>IFERROR(__xludf.DUMMYFUNCTION("IF(A3415&lt;&gt;"""", GOOGLETRANSLATE(A3415, ""en"", ""te""),"""")"),"")</f>
        <v/>
      </c>
      <c r="C3415" s="2"/>
      <c r="D3415" s="2" t="str">
        <f>IFERROR(__xludf.DUMMYFUNCTION("IF(C3415&lt;&gt;"""", GOOGLETRANSLATE(C3415, ""en"", ""te""),"""")"),"")</f>
        <v/>
      </c>
      <c r="E3415" s="2"/>
      <c r="F3415" s="2" t="str">
        <f>IFERROR(__xludf.DUMMYFUNCTION("IF(E3415&lt;&gt;"""", GOOGLETRANSLATE(E3415, ""en"", ""te""),"""")"),"")</f>
        <v/>
      </c>
      <c r="G3415" s="2"/>
      <c r="H3415" s="2" t="str">
        <f>IFERROR(__xludf.DUMMYFUNCTION("IF(G3415&lt;&gt;"""", GOOGLETRANSLATE(G3415, ""en"", ""te""),"""")"),"")</f>
        <v/>
      </c>
      <c r="I3415" s="3"/>
    </row>
    <row r="3416" customHeight="1" spans="1:9">
      <c r="A3416" s="2"/>
      <c r="B3416" s="2" t="str">
        <f>IFERROR(__xludf.DUMMYFUNCTION("IF(A3416&lt;&gt;"""", GOOGLETRANSLATE(A3416, ""en"", ""te""),"""")"),"")</f>
        <v/>
      </c>
      <c r="C3416" s="2"/>
      <c r="D3416" s="2" t="str">
        <f>IFERROR(__xludf.DUMMYFUNCTION("IF(C3416&lt;&gt;"""", GOOGLETRANSLATE(C3416, ""en"", ""te""),"""")"),"")</f>
        <v/>
      </c>
      <c r="E3416" s="2"/>
      <c r="F3416" s="2" t="str">
        <f>IFERROR(__xludf.DUMMYFUNCTION("IF(E3416&lt;&gt;"""", GOOGLETRANSLATE(E3416, ""en"", ""te""),"""")"),"")</f>
        <v/>
      </c>
      <c r="G3416" s="2"/>
      <c r="H3416" s="2" t="str">
        <f>IFERROR(__xludf.DUMMYFUNCTION("IF(G3416&lt;&gt;"""", GOOGLETRANSLATE(G3416, ""en"", ""te""),"""")"),"")</f>
        <v/>
      </c>
      <c r="I3416" s="3"/>
    </row>
    <row r="3417" customHeight="1" spans="1:9">
      <c r="A3417" s="2"/>
      <c r="B3417" s="2" t="str">
        <f>IFERROR(__xludf.DUMMYFUNCTION("IF(A3417&lt;&gt;"""", GOOGLETRANSLATE(A3417, ""en"", ""te""),"""")"),"")</f>
        <v/>
      </c>
      <c r="C3417" s="2"/>
      <c r="D3417" s="2" t="str">
        <f>IFERROR(__xludf.DUMMYFUNCTION("IF(C3417&lt;&gt;"""", GOOGLETRANSLATE(C3417, ""en"", ""te""),"""")"),"")</f>
        <v/>
      </c>
      <c r="E3417" s="2"/>
      <c r="F3417" s="2" t="str">
        <f>IFERROR(__xludf.DUMMYFUNCTION("IF(E3417&lt;&gt;"""", GOOGLETRANSLATE(E3417, ""en"", ""te""),"""")"),"")</f>
        <v/>
      </c>
      <c r="G3417" s="2"/>
      <c r="H3417" s="2" t="str">
        <f>IFERROR(__xludf.DUMMYFUNCTION("IF(G3417&lt;&gt;"""", GOOGLETRANSLATE(G3417, ""en"", ""te""),"""")"),"")</f>
        <v/>
      </c>
      <c r="I3417" s="3"/>
    </row>
    <row r="3418" customHeight="1" spans="1:9">
      <c r="A3418" s="2"/>
      <c r="B3418" s="2" t="str">
        <f>IFERROR(__xludf.DUMMYFUNCTION("IF(A3418&lt;&gt;"""", GOOGLETRANSLATE(A3418, ""en"", ""te""),"""")"),"")</f>
        <v/>
      </c>
      <c r="C3418" s="2"/>
      <c r="D3418" s="2" t="str">
        <f>IFERROR(__xludf.DUMMYFUNCTION("IF(C3418&lt;&gt;"""", GOOGLETRANSLATE(C3418, ""en"", ""te""),"""")"),"")</f>
        <v/>
      </c>
      <c r="E3418" s="2"/>
      <c r="F3418" s="2" t="str">
        <f>IFERROR(__xludf.DUMMYFUNCTION("IF(E3418&lt;&gt;"""", GOOGLETRANSLATE(E3418, ""en"", ""te""),"""")"),"")</f>
        <v/>
      </c>
      <c r="G3418" s="2"/>
      <c r="H3418" s="2" t="str">
        <f>IFERROR(__xludf.DUMMYFUNCTION("IF(G3418&lt;&gt;"""", GOOGLETRANSLATE(G3418, ""en"", ""te""),"""")"),"")</f>
        <v/>
      </c>
      <c r="I3418" s="3"/>
    </row>
    <row r="3419" customHeight="1" spans="1:9">
      <c r="A3419" s="2"/>
      <c r="B3419" s="2" t="str">
        <f>IFERROR(__xludf.DUMMYFUNCTION("IF(A3419&lt;&gt;"""", GOOGLETRANSLATE(A3419, ""en"", ""te""),"""")"),"")</f>
        <v/>
      </c>
      <c r="C3419" s="2"/>
      <c r="D3419" s="2" t="str">
        <f>IFERROR(__xludf.DUMMYFUNCTION("IF(C3419&lt;&gt;"""", GOOGLETRANSLATE(C3419, ""en"", ""te""),"""")"),"")</f>
        <v/>
      </c>
      <c r="E3419" s="2"/>
      <c r="F3419" s="2" t="str">
        <f>IFERROR(__xludf.DUMMYFUNCTION("IF(E3419&lt;&gt;"""", GOOGLETRANSLATE(E3419, ""en"", ""te""),"""")"),"")</f>
        <v/>
      </c>
      <c r="G3419" s="2"/>
      <c r="H3419" s="2" t="str">
        <f>IFERROR(__xludf.DUMMYFUNCTION("IF(G3419&lt;&gt;"""", GOOGLETRANSLATE(G3419, ""en"", ""te""),"""")"),"")</f>
        <v/>
      </c>
      <c r="I3419" s="3"/>
    </row>
    <row r="3420" customHeight="1" spans="1:9">
      <c r="A3420" s="2" t="s">
        <v>2367</v>
      </c>
      <c r="B3420" s="2" t="str">
        <f>IFERROR(__xludf.DUMMYFUNCTION("IF(A3420&lt;&gt;"""", GOOGLETRANSLATE(A3420, ""en"", ""te""),"""")"),"[ 'తొలి 10 వ ఓల్డెస్ట్ క్రీడాకారులు (40y 216d)']")</f>
        <v>[ 'తొలి 10 వ ఓల్డెస్ట్ క్రీడాకారులు (40y 216d)']</v>
      </c>
      <c r="C3420" s="2" t="s">
        <v>2367</v>
      </c>
      <c r="D3420" s="2" t="str">
        <f>IFERROR(__xludf.DUMMYFUNCTION("IF(C3420&lt;&gt;"""", GOOGLETRANSLATE(C3420, ""en"", ""te""),"""")"),"[ 'తొలి 10 వ ఓల్డెస్ట్ క్రీడాకారులు (40y 216d)']")</f>
        <v>[ 'తొలి 10 వ ఓల్డెస్ట్ క్రీడాకారులు (40y 216d)']</v>
      </c>
      <c r="E3420" s="2"/>
      <c r="F3420" s="2" t="str">
        <f>IFERROR(__xludf.DUMMYFUNCTION("IF(E3420&lt;&gt;"""", GOOGLETRANSLATE(E3420, ""en"", ""te""),"""")"),"")</f>
        <v/>
      </c>
      <c r="G3420" s="2"/>
      <c r="H3420" s="2" t="str">
        <f>IFERROR(__xludf.DUMMYFUNCTION("IF(G3420&lt;&gt;"""", GOOGLETRANSLATE(G3420, ""en"", ""te""),"""")"),"")</f>
        <v/>
      </c>
      <c r="I3420" s="3"/>
    </row>
    <row r="3421" customHeight="1" spans="1:9">
      <c r="A3421" s="2" t="s">
        <v>2368</v>
      </c>
      <c r="B3421" s="2" t="str">
        <f>IFERROR(__xludf.DUMMYFUNCTION("IF(A3421&lt;&gt;"""", GOOGLETRANSLATE(A3421, ""en"", ""te""),"""")"),"[ 'ఏడవ వికెట్కు 2 వ అత్యధిక భాగస్వామ్యం (156)' 'కెప్టెన్ 10th అత్యధిక మ్యాచ్లు (49)' జరిపిన ఒక సిరీస్లో 'ఇన్నింగ్స్ లో 7 వ అత్యధిక పరుగులు (బ్యాటింగ్ స్థానంలో ప్రకారం) (157)', '4 వ అత్యధిక పరుగులు ఒక కెప్టెన్ (788) ',' ఒక కెప్టెన్తో ఒక ఇన్నింగ్స్ లో 3 వ ఉ"&amp;"త్తమ బొమ్మలు (5) ',' ఒక సిరీస్లో 4 అత్యధిక క్యాచ్లు (13) ',' బ్యాటింగ్ తెరవడం మరియు అదే మ్యాచ్ లో బౌలింగ్ ',' 4 వ అత్యధిక భాగస్వామ్యం మూడో వికెట్కు (213) ',' 10 వ అత్యధిక మ్యాచ్లు కెప్టెన్గా (48) ',' 1st ఒకే మైదానంలో అత్యధిక పరుగులు (384) ',' నాలుగవ వికె"&amp;"ట్కు (115) 6 వ అత్యధిక భాగస్వామ్యం ']")</f>
        <v>[ 'ఏడవ వికెట్కు 2 వ అత్యధిక భాగస్వామ్యం (156)' 'కెప్టెన్ 10th అత్యధిక మ్యాచ్లు (49)' జరిపిన ఒక సిరీస్లో 'ఇన్నింగ్స్ లో 7 వ అత్యధిక పరుగులు (బ్యాటింగ్ స్థానంలో ప్రకారం) (157)', '4 వ అత్యధిక పరుగులు ఒక కెప్టెన్ (788) ',' ఒక కెప్టెన్తో ఒక ఇన్నింగ్స్ లో 3 వ ఉత్తమ బొమ్మలు (5) ',' ఒక సిరీస్లో 4 అత్యధిక క్యాచ్లు (13) ',' బ్యాటింగ్ తెరవడం మరియు అదే మ్యాచ్ లో బౌలింగ్ ',' 4 వ అత్యధిక భాగస్వామ్యం మూడో వికెట్కు (213) ',' 10 వ అత్యధిక మ్యాచ్లు కెప్టెన్గా (48) ',' 1st ఒకే మైదానంలో అత్యధిక పరుగులు (384) ',' నాలుగవ వికెట్కు (115) 6 వ అత్యధిక భాగస్వామ్యం ']</v>
      </c>
      <c r="C3421" s="2" t="s">
        <v>2369</v>
      </c>
      <c r="D3421" s="2" t="str">
        <f>IFERROR(__xludf.DUMMYFUNCTION("IF(C3421&lt;&gt;"""", GOOGLETRANSLATE(C3421, ""en"", ""te""),"""")"),"[ '32 వ మ్యాచ్ లో అత్యధిక పరుగులు (161)', 'ఇన్నింగ్స్ లో 7 వ అత్యధిక పరుగులు (బ్యాటింగ్ స్థానంలో ప్రకారం) (157)', '39 వ అత్యధిక కెరీర్ బ్యాటింగ్ సగటు 19 ఇన్నింగ్స్ (157) అత్యధిక పరుగులు' (32.16 ) ',' 14 వ అత్యధిక తొలి వంద (157) ',' 12 వ పిన్న ఆటగాడు వంద ("&amp;"22y ఏ వికెట్కు 228d) ',' ఒక ఇన్నింగ్స్లో పరుగుల 21 అత్యధిక శాతం (50.00) ',' 24 వ అత్యధిక భాగస్వామ్యాలు స్కోర్ ( 156) ',' మూడో వికెట్ (117 *) కోసం 15 అత్యధిక భాగస్వామ్యం ',' ఏడవ వికెట్కు 2 వ అత్యధిక భాగస్వామ్యం (156) ']")</f>
        <v>[ '32 వ మ్యాచ్ లో అత్యధిక పరుగులు (161)', 'ఇన్నింగ్స్ లో 7 వ అత్యధిక పరుగులు (బ్యాటింగ్ స్థానంలో ప్రకారం) (157)', '39 వ అత్యధిక కెరీర్ బ్యాటింగ్ సగటు 19 ఇన్నింగ్స్ (157) అత్యధిక పరుగులు' (32.16 ) ',' 14 వ అత్యధిక తొలి వంద (157) ',' 12 వ పిన్న ఆటగాడు వంద (22y ఏ వికెట్కు 228d) ',' ఒక ఇన్నింగ్స్లో పరుగుల 21 అత్యధిక శాతం (50.00) ',' 24 వ అత్యధిక భాగస్వామ్యాలు స్కోర్ ( 156) ',' మూడో వికెట్ (117 *) కోసం 15 అత్యధిక భాగస్వామ్యం ',' ఏడవ వికెట్కు 2 వ అత్యధిక భాగస్వామ్యం (156) ']</v>
      </c>
      <c r="E3421" s="2" t="s">
        <v>2370</v>
      </c>
      <c r="F3421" s="2" t="str">
        <f>IFERROR(__xludf.DUMMYFUNCTION("IF(E3421&lt;&gt;"""", GOOGLETRANSLATE(E3421, ""en"", ""te""),"""")"),"[ '16 వ అత్యధిక కెరీర్ లో పరుగులు (2935)', 'వరుస 11 వ అత్యధిక పరుగులు (788)', '50th ఒకే మైదానంలో అత్యధిక పరుగులు (283)', 'ఒక కెప్టెన్ ద్వారా ఒక సిరీస్లో 4 అత్యధిక పరుగులు (788) ',' ఒక కెప్టెన్తో ఇన్నింగ్స్ లో 33 వ అత్యధిక పరుగులు (106) ',' 27 వ అత్యధిక క"&amp;"ెరీర్ బ్యాటింగ్ సగటు (38.61) ',' 16 వ కెరీర్ అర్ధ (22) ',' వరుస ఇన్నింగ్స్లో 28 యాభైల్లో (3) ', 'ఒక డక్ లేకుండా 28 వరుస ఇన్నింగ్స్ (36)', '40 వ అత్యంత బాతులు కెరీర్లో (8)', '5 వ ఒక సిరీస్లో అత్యధిక వికెట్లు (29)', 'ఒక కెప్టెన్తో ఒక ఇన్నింగ్స్ లో 3 వ ఉత్త"&amp;"మ బొమ్మలు (5)' '11 వ ఒక ఇన్నింగ్స్ లోని బెస్ట్ ఫిగర్స్ ఉన్నప్పుడు పరాజయం వైపు (4)', '32 వ ఉత్తమ కెరీర్ సమ్మె రేటు (34.5)', '19 చెత్త కెరీర్లో ఆర్థిక రేటు (4.41)', '31 అత్యధిక వికెట్లు తీసుకున్న క్యాచ్ మరియు బౌల్డ్ (5 ) ',' 32 వ అత్యధిక క్యాచ్లు కెరీర్లో "&amp;"(33) ',' 4 వ ఒక సిరీస్లో అత్యధిక క్యాచ్లు (13) ',' 18 వ అత్యధిక ఏ వికెట్కు పార్టనర్ షిప్ (213) ',' మూడో వికెట్ (213 4 వ అత్యధిక భాగస్వామ్యం) ' , 'నాలుగవ వికెట్కు 24 అత్యధిక భాగస్వామ్యం (113)', 'ఐదవ వికెట్కు 24 అత్యధిక భాగస్వామ్యం (97)', '37 వ హాయ్ ఒక జట్ట"&amp;"ు ఆరవ వికెట్కు ghest భాగస్వామ్యం (69) ',' 38 వ కెరీర్ లో అత్యధిక మ్యాచ్లు (104) ',' 49 వ వరుస మ్యాచ్లు (39) ',' 10 వ కెప్టెన్గా అత్యధిక మ్యాచ్లు (49) ',' 24 వ వరుస ఒక జట్టు కెప్టెన్గా మ్యాచ్లు (26 *) ']")</f>
        <v>[ '16 వ అత్యధిక కెరీర్ లో పరుగులు (2935)', 'వరుస 11 వ అత్యధిక పరుగులు (788)', '50th ఒకే మైదానంలో అత్యధిక పరుగులు (283)', 'ఒక కెప్టెన్ ద్వారా ఒక సిరీస్లో 4 అత్యధిక పరుగులు (788) ',' ఒక కెప్టెన్తో ఇన్నింగ్స్ లో 33 వ అత్యధిక పరుగులు (106) ',' 27 వ అత్యధిక కెరీర్ బ్యాటింగ్ సగటు (38.61) ',' 16 వ కెరీర్ అర్ధ (22) ',' వరుస ఇన్నింగ్స్లో 28 యాభైల్లో (3) ', 'ఒక డక్ లేకుండా 28 వరుస ఇన్నింగ్స్ (36)', '40 వ అత్యంత బాతులు కెరీర్లో (8)', '5 వ ఒక సిరీస్లో అత్యధిక వికెట్లు (29)', 'ఒక కెప్టెన్తో ఒక ఇన్నింగ్స్ లో 3 వ ఉత్తమ బొమ్మలు (5)' '11 వ ఒక ఇన్నింగ్స్ లోని బెస్ట్ ఫిగర్స్ ఉన్నప్పుడు పరాజయం వైపు (4)', '32 వ ఉత్తమ కెరీర్ సమ్మె రేటు (34.5)', '19 చెత్త కెరీర్లో ఆర్థిక రేటు (4.41)', '31 అత్యధిక వికెట్లు తీసుకున్న క్యాచ్ మరియు బౌల్డ్ (5 ) ',' 32 వ అత్యధిక క్యాచ్లు కెరీర్లో (33) ',' 4 వ ఒక సిరీస్లో అత్యధిక క్యాచ్లు (13) ',' 18 వ అత్యధిక ఏ వికెట్కు పార్టనర్ షిప్ (213) ',' మూడో వికెట్ (213 4 వ అత్యధిక భాగస్వామ్యం) ' , 'నాలుగవ వికెట్కు 24 అత్యధిక భాగస్వామ్యం (113)', 'ఐదవ వికెట్కు 24 అత్యధిక భాగస్వామ్యం (97)', '37 వ హాయ్ ఒక జట్టు ఆరవ వికెట్కు ghest భాగస్వామ్యం (69) ',' 38 వ కెరీర్ లో అత్యధిక మ్యాచ్లు (104) ',' 49 వ వరుస మ్యాచ్లు (39) ',' 10 వ కెప్టెన్గా అత్యధిక మ్యాచ్లు (49) ',' 24 వ వరుస ఒక జట్టు కెప్టెన్గా మ్యాచ్లు (26 *) ']</v>
      </c>
      <c r="G3421" s="2" t="s">
        <v>2371</v>
      </c>
      <c r="H3421" s="2" t="str">
        <f>IFERROR(__xludf.DUMMYFUNCTION("IF(G3421&lt;&gt;"""", GOOGLETRANSLATE(G3421, ""en"", ""te""),"""")"),"[ '25 వ కెరీర్ లో అత్యధిక పరుగులు (1295)', '19 వ ఇన్నింగ్స్ లో అత్యధిక పరుగులు (108 *)', '15 క్యాలెండర్ సంవత్సరంలో అత్యధిక పరుగులు (486)', 'ఇన్నింగ్స్ లో 2 వ అత్యధిక పరుగులు (బ్యాటింగ్ స్థానంలో ద్వారా) (108 *) ',' 22 వ పరాజయం వైపు ఒక మ్యాచ్లో అత్యధిక పరు"&amp;"గులు (67) ',' 1st ఒకే మైదానంలో అత్యధిక పరుగులు (384) ',' ఒక కెప్టెన్ (108 *) ద్వారా ఇన్నింగ్స్ లో 5 వ అత్యధిక పరుగులు ' 'కెరీర్లో 23 వ అర్ధ (5)', 'ఒక డక్ లేకుండా 29 వరుస ఇన్నింగ్స్ (33)', '34 వ అత్యంత బాతులు కెరీర్ లో (5)', 'ఒక ఇన్నింగ్స్లో పరుగుల 15 అత్"&amp;"యధిక శాతం (61.36)' 'ఒక కెప్టెన్తో ఒక ఇన్నింగ్స్ లో 21 వ బెస్ట్ ఫిగర్స్ (3)', '41 వ ఉత్తమ కెరీర్ ఆర్థిక రేటు (5.71)', 'ఇన్నింగ్స్ లో 33 వ ఉత్తమ సమ్మె రేటు (4.0)', '17 వ చెత్త కెరీర్లో సమ్మె రేటు (26.2)' '23 వ అత్యధిక క్యాచ్లు కెరీర్లో (26)', 'నాలుగవ వికెట్"&amp;"కు 6 వ అత్యధిక భాగస్వామ్యం (115)', 'ఐదవ వికెట్కు 15 అత్యధిక భాగస్వామ్యం (69)', '36 వ అత్యధిక కెరీర్ లో మ్యాచ్లు (81)', ' 42 వ అత్యంత బృందం వరుసగా మ్యాచ్లు (38) ',' 10 వ అత్యంత కెప్టెన్ (48) గా పేర్కొంటే ']")</f>
        <v>[ '25 వ కెరీర్ లో అత్యధిక పరుగులు (1295)', '19 వ ఇన్నింగ్స్ లో అత్యధిక పరుగులు (108 *)', '15 క్యాలెండర్ సంవత్సరంలో అత్యధిక పరుగులు (486)', 'ఇన్నింగ్స్ లో 2 వ అత్యధిక పరుగులు (బ్యాటింగ్ స్థానంలో ద్వారా) (108 *) ',' 22 వ పరాజయం వైపు ఒక మ్యాచ్లో అత్యధిక పరుగులు (67) ',' 1st ఒకే మైదానంలో అత్యధిక పరుగులు (384) ',' ఒక కెప్టెన్ (108 *) ద్వారా ఇన్నింగ్స్ లో 5 వ అత్యధిక పరుగులు ' 'కెరీర్లో 23 వ అర్ధ (5)', 'ఒక డక్ లేకుండా 29 వరుస ఇన్నింగ్స్ (33)', '34 వ అత్యంత బాతులు కెరీర్ లో (5)', 'ఒక ఇన్నింగ్స్లో పరుగుల 15 అత్యధిక శాతం (61.36)' 'ఒక కెప్టెన్తో ఒక ఇన్నింగ్స్ లో 21 వ బెస్ట్ ఫిగర్స్ (3)', '41 వ ఉత్తమ కెరీర్ ఆర్థిక రేటు (5.71)', 'ఇన్నింగ్స్ లో 33 వ ఉత్తమ సమ్మె రేటు (4.0)', '17 వ చెత్త కెరీర్లో సమ్మె రేటు (26.2)' '23 వ అత్యధిక క్యాచ్లు కెరీర్లో (26)', 'నాలుగవ వికెట్కు 6 వ అత్యధిక భాగస్వామ్యం (115)', 'ఐదవ వికెట్కు 15 అత్యధిక భాగస్వామ్యం (69)', '36 వ అత్యధిక కెరీర్ లో మ్యాచ్లు (81)', ' 42 వ అత్యంత బృందం వరుసగా మ్యాచ్లు (38) ',' 10 వ అత్యంత కెప్టెన్ (48) గా పేర్కొంటే ']</v>
      </c>
      <c r="I3421" s="3"/>
    </row>
    <row r="3422" customHeight="1" spans="1:9">
      <c r="A3422" s="2" t="s">
        <v>2372</v>
      </c>
      <c r="B3422" s="2" t="str">
        <f>IFERROR(__xludf.DUMMYFUNCTION("IF(A3422&lt;&gt;"""", GOOGLETRANSLATE(A3422, ""en"", ""te""),"""")"),"[ 'ఇన్నింగ్స్ లో 1 వ అత్యంత స్టంపింగ్లు (3)']")</f>
        <v>[ 'ఇన్నింగ్స్ లో 1 వ అత్యంత స్టంపింగ్లు (3)']</v>
      </c>
      <c r="C3422" s="2"/>
      <c r="D3422" s="2" t="str">
        <f>IFERROR(__xludf.DUMMYFUNCTION("IF(C3422&lt;&gt;"""", GOOGLETRANSLATE(C3422, ""en"", ""te""),"""")"),"")</f>
        <v/>
      </c>
      <c r="E3422" s="2" t="s">
        <v>2373</v>
      </c>
      <c r="F3422" s="2" t="str">
        <f>IFERROR(__xludf.DUMMYFUNCTION("IF(E3422&lt;&gt;"""", GOOGLETRANSLATE(E3422, ""en"", ""te""),"""")"),"[ '44 వ కెరీర్ లో అత్యధిక వికెట్లు (64)', '44 వ కెరీర్ లో అత్యధిక క్యాచ్లు (52)', '32 వ అత్యంత స్టంపింగ్లు కెరీర్లో (12)', '1 వ అత్యంత స్టంపింగ్లు' 16 వ ఇన్నింగ్స్ (5) తొలగింపులకు ' ఇన్నింగ్స్ వరుస (3) ', '21 వ అత్యంత స్టంపింగ్లు లో (4)']")</f>
        <v>[ '44 వ కెరీర్ లో అత్యధిక వికెట్లు (64)', '44 వ కెరీర్ లో అత్యధిక క్యాచ్లు (52)', '32 వ అత్యంత స్టంపింగ్లు కెరీర్లో (12)', '1 వ అత్యంత స్టంపింగ్లు' 16 వ ఇన్నింగ్స్ (5) తొలగింపులకు ' ఇన్నింగ్స్ వరుస (3) ', '21 వ అత్యంత స్టంపింగ్లు లో (4)']</v>
      </c>
      <c r="G3422" s="2" t="s">
        <v>2374</v>
      </c>
      <c r="H3422" s="2" t="str">
        <f>IFERROR(__xludf.DUMMYFUNCTION("IF(G3422&lt;&gt;"""", GOOGLETRANSLATE(G3422, ""en"", ""te""),"""")"),"[ 'మొదటి డక్ ముందు 25 మోస్ట్ ఇన్నింగ్స్ (21)', 'రెండవ వికెట్కు 33 వ అత్యధిక భాగస్వామ్యం (111)', '23 వ కెరీర్ లో వికెట్లు (20)', '20 వ కెరీర్ (17) లో అత్యధిక క్యాచ్లు']")</f>
        <v>[ 'మొదటి డక్ ముందు 25 మోస్ట్ ఇన్నింగ్స్ (21)', 'రెండవ వికెట్కు 33 వ అత్యధిక భాగస్వామ్యం (111)', '23 వ కెరీర్ లో వికెట్లు (20)', '20 వ కెరీర్ (17) లో అత్యధిక క్యాచ్లు']</v>
      </c>
      <c r="I3422" s="3"/>
    </row>
    <row r="3423" customHeight="1" spans="1:9">
      <c r="A3423" s="2" t="s">
        <v>352</v>
      </c>
      <c r="B3423" s="2" t="str">
        <f>IFERROR(__xludf.DUMMYFUNCTION("IF(A3423&lt;&gt;"""", GOOGLETRANSLATE(A3423, ""en"", ""te""),"""")"),"[ 'బ్యాటింగ్ ప్రారంభించుటకు మరియు అదే మ్యాచ్ లో బౌలింగ్']")</f>
        <v>[ 'బ్యాటింగ్ ప్రారంభించుటకు మరియు అదే మ్యాచ్ లో బౌలింగ్']</v>
      </c>
      <c r="C3423" s="2" t="s">
        <v>655</v>
      </c>
      <c r="D3423" s="2" t="str">
        <f>IFERROR(__xludf.DUMMYFUNCTION("IF(C3423&lt;&gt;"""", GOOGLETRANSLATE(C3423, ""en"", ""te""),"""")"),"[ '33 వ ప్రవేశం (8) ఒక మ్యాచ్లో బెస్ట్ ఫిగర్స్']")</f>
        <v>[ '33 వ ప్రవేశం (8) ఒక మ్యాచ్లో బెస్ట్ ఫిగర్స్']</v>
      </c>
      <c r="E3423" s="2"/>
      <c r="F3423" s="2" t="str">
        <f>IFERROR(__xludf.DUMMYFUNCTION("IF(E3423&lt;&gt;"""", GOOGLETRANSLATE(E3423, ""en"", ""te""),"""")"),"")</f>
        <v/>
      </c>
      <c r="G3423" s="2"/>
      <c r="H3423" s="2" t="str">
        <f>IFERROR(__xludf.DUMMYFUNCTION("IF(G3423&lt;&gt;"""", GOOGLETRANSLATE(G3423, ""en"", ""te""),"""")"),"")</f>
        <v/>
      </c>
      <c r="I3423" s="3"/>
    </row>
    <row r="3424" customHeight="1" spans="1:9">
      <c r="A3424" s="2"/>
      <c r="B3424" s="2" t="str">
        <f>IFERROR(__xludf.DUMMYFUNCTION("IF(A3424&lt;&gt;"""", GOOGLETRANSLATE(A3424, ""en"", ""te""),"""")"),"")</f>
        <v/>
      </c>
      <c r="C3424" s="2"/>
      <c r="D3424" s="2" t="str">
        <f>IFERROR(__xludf.DUMMYFUNCTION("IF(C3424&lt;&gt;"""", GOOGLETRANSLATE(C3424, ""en"", ""te""),"""")"),"")</f>
        <v/>
      </c>
      <c r="E3424" s="2"/>
      <c r="F3424" s="2" t="str">
        <f>IFERROR(__xludf.DUMMYFUNCTION("IF(E3424&lt;&gt;"""", GOOGLETRANSLATE(E3424, ""en"", ""te""),"""")"),"")</f>
        <v/>
      </c>
      <c r="G3424" s="2"/>
      <c r="H3424" s="2" t="str">
        <f>IFERROR(__xludf.DUMMYFUNCTION("IF(G3424&lt;&gt;"""", GOOGLETRANSLATE(G3424, ""en"", ""te""),"""")"),"")</f>
        <v/>
      </c>
      <c r="I3424" s="3"/>
    </row>
    <row r="3425" customHeight="1" spans="1:9">
      <c r="A3425" s="2"/>
      <c r="B3425" s="2" t="str">
        <f>IFERROR(__xludf.DUMMYFUNCTION("IF(A3425&lt;&gt;"""", GOOGLETRANSLATE(A3425, ""en"", ""te""),"""")"),"")</f>
        <v/>
      </c>
      <c r="C3425" s="2"/>
      <c r="D3425" s="2" t="str">
        <f>IFERROR(__xludf.DUMMYFUNCTION("IF(C3425&lt;&gt;"""", GOOGLETRANSLATE(C3425, ""en"", ""te""),"""")"),"")</f>
        <v/>
      </c>
      <c r="E3425" s="2"/>
      <c r="F3425" s="2" t="str">
        <f>IFERROR(__xludf.DUMMYFUNCTION("IF(E3425&lt;&gt;"""", GOOGLETRANSLATE(E3425, ""en"", ""te""),"""")"),"")</f>
        <v/>
      </c>
      <c r="G3425" s="2"/>
      <c r="H3425" s="2" t="str">
        <f>IFERROR(__xludf.DUMMYFUNCTION("IF(G3425&lt;&gt;"""", GOOGLETRANSLATE(G3425, ""en"", ""te""),"""")"),"")</f>
        <v/>
      </c>
      <c r="I3425" s="3"/>
    </row>
    <row r="3426" customHeight="1" spans="1:9">
      <c r="A3426" s="2"/>
      <c r="B3426" s="2" t="str">
        <f>IFERROR(__xludf.DUMMYFUNCTION("IF(A3426&lt;&gt;"""", GOOGLETRANSLATE(A3426, ""en"", ""te""),"""")"),"")</f>
        <v/>
      </c>
      <c r="C3426" s="2" t="s">
        <v>2375</v>
      </c>
      <c r="D3426" s="2" t="str">
        <f>IFERROR(__xludf.DUMMYFUNCTION("IF(C3426&lt;&gt;"""", GOOGLETRANSLATE(C3426, ""en"", ""te""),"""")"),"[ 'తొలి 29 ఓల్డెస్ట్ క్రీడాకారులు (38y 59d)']")</f>
        <v>[ 'తొలి 29 ఓల్డెస్ట్ క్రీడాకారులు (38y 59d)']</v>
      </c>
      <c r="E3426" s="2"/>
      <c r="F3426" s="2" t="str">
        <f>IFERROR(__xludf.DUMMYFUNCTION("IF(E3426&lt;&gt;"""", GOOGLETRANSLATE(E3426, ""en"", ""te""),"""")"),"")</f>
        <v/>
      </c>
      <c r="G3426" s="2"/>
      <c r="H3426" s="2" t="str">
        <f>IFERROR(__xludf.DUMMYFUNCTION("IF(G3426&lt;&gt;"""", GOOGLETRANSLATE(G3426, ""en"", ""te""),"""")"),"")</f>
        <v/>
      </c>
      <c r="I3426" s="3"/>
    </row>
    <row r="3427" customHeight="1" spans="1:9">
      <c r="A3427" s="2"/>
      <c r="B3427" s="2" t="str">
        <f>IFERROR(__xludf.DUMMYFUNCTION("IF(A3427&lt;&gt;"""", GOOGLETRANSLATE(A3427, ""en"", ""te""),"""")"),"")</f>
        <v/>
      </c>
      <c r="C3427" s="2"/>
      <c r="D3427" s="2" t="str">
        <f>IFERROR(__xludf.DUMMYFUNCTION("IF(C3427&lt;&gt;"""", GOOGLETRANSLATE(C3427, ""en"", ""te""),"""")"),"")</f>
        <v/>
      </c>
      <c r="E3427" s="2"/>
      <c r="F3427" s="2" t="str">
        <f>IFERROR(__xludf.DUMMYFUNCTION("IF(E3427&lt;&gt;"""", GOOGLETRANSLATE(E3427, ""en"", ""te""),"""")"),"")</f>
        <v/>
      </c>
      <c r="G3427" s="2"/>
      <c r="H3427" s="2" t="str">
        <f>IFERROR(__xludf.DUMMYFUNCTION("IF(G3427&lt;&gt;"""", GOOGLETRANSLATE(G3427, ""en"", ""te""),"""")"),"")</f>
        <v/>
      </c>
      <c r="I3427" s="3"/>
    </row>
    <row r="3428" customHeight="1" spans="1:9">
      <c r="A3428" s="2"/>
      <c r="B3428" s="2" t="str">
        <f>IFERROR(__xludf.DUMMYFUNCTION("IF(A3428&lt;&gt;"""", GOOGLETRANSLATE(A3428, ""en"", ""te""),"""")"),"")</f>
        <v/>
      </c>
      <c r="C3428" s="2"/>
      <c r="D3428" s="2" t="str">
        <f>IFERROR(__xludf.DUMMYFUNCTION("IF(C3428&lt;&gt;"""", GOOGLETRANSLATE(C3428, ""en"", ""te""),"""")"),"")</f>
        <v/>
      </c>
      <c r="E3428" s="2"/>
      <c r="F3428" s="2" t="str">
        <f>IFERROR(__xludf.DUMMYFUNCTION("IF(E3428&lt;&gt;"""", GOOGLETRANSLATE(E3428, ""en"", ""te""),"""")"),"")</f>
        <v/>
      </c>
      <c r="G3428" s="2"/>
      <c r="H3428" s="2" t="str">
        <f>IFERROR(__xludf.DUMMYFUNCTION("IF(G3428&lt;&gt;"""", GOOGLETRANSLATE(G3428, ""en"", ""te""),"""")"),"")</f>
        <v/>
      </c>
      <c r="I3428" s="3"/>
    </row>
    <row r="3429" customHeight="1" spans="1:9">
      <c r="A3429" s="2"/>
      <c r="B3429" s="2" t="str">
        <f>IFERROR(__xludf.DUMMYFUNCTION("IF(A3429&lt;&gt;"""", GOOGLETRANSLATE(A3429, ""en"", ""te""),"""")"),"")</f>
        <v/>
      </c>
      <c r="C3429" s="2"/>
      <c r="D3429" s="2" t="str">
        <f>IFERROR(__xludf.DUMMYFUNCTION("IF(C3429&lt;&gt;"""", GOOGLETRANSLATE(C3429, ""en"", ""te""),"""")"),"")</f>
        <v/>
      </c>
      <c r="E3429" s="2"/>
      <c r="F3429" s="2" t="str">
        <f>IFERROR(__xludf.DUMMYFUNCTION("IF(E3429&lt;&gt;"""", GOOGLETRANSLATE(E3429, ""en"", ""te""),"""")"),"")</f>
        <v/>
      </c>
      <c r="G3429" s="2"/>
      <c r="H3429" s="2" t="str">
        <f>IFERROR(__xludf.DUMMYFUNCTION("IF(G3429&lt;&gt;"""", GOOGLETRANSLATE(G3429, ""en"", ""te""),"""")"),"")</f>
        <v/>
      </c>
      <c r="I3429" s="3"/>
    </row>
    <row r="3430" customHeight="1" spans="1:9">
      <c r="A3430" s="2"/>
      <c r="B3430" s="2" t="str">
        <f>IFERROR(__xludf.DUMMYFUNCTION("IF(A3430&lt;&gt;"""", GOOGLETRANSLATE(A3430, ""en"", ""te""),"""")"),"")</f>
        <v/>
      </c>
      <c r="C3430" s="2" t="s">
        <v>2376</v>
      </c>
      <c r="D3430" s="2" t="str">
        <f>IFERROR(__xludf.DUMMYFUNCTION("IF(C3430&lt;&gt;"""", GOOGLETRANSLATE(C3430, ""en"", ""te""),"""")"),"[ '32 వ ఉత్తమ కెరీర్ (అర్హత లేకుండా) సగటు బౌలింగ్ (11.00)']")</f>
        <v>[ '32 వ ఉత్తమ కెరీర్ (అర్హత లేకుండా) సగటు బౌలింగ్ (11.00)']</v>
      </c>
      <c r="E3430" s="2"/>
      <c r="F3430" s="2" t="str">
        <f>IFERROR(__xludf.DUMMYFUNCTION("IF(E3430&lt;&gt;"""", GOOGLETRANSLATE(E3430, ""en"", ""te""),"""")"),"")</f>
        <v/>
      </c>
      <c r="G3430" s="2"/>
      <c r="H3430" s="2" t="str">
        <f>IFERROR(__xludf.DUMMYFUNCTION("IF(G3430&lt;&gt;"""", GOOGLETRANSLATE(G3430, ""en"", ""te""),"""")"),"")</f>
        <v/>
      </c>
      <c r="I3430" s="3"/>
    </row>
    <row r="3431" customHeight="1" spans="1:9">
      <c r="A3431" s="2" t="s">
        <v>2377</v>
      </c>
      <c r="B3431" s="2" t="str">
        <f>IFERROR(__xludf.DUMMYFUNCTION("IF(A3431&lt;&gt;"""", GOOGLETRANSLATE(A3431, ""en"", ""te""),"""")"),"[ 'వరుస 1 వ అత్యంత స్టంపింగ్లు (9)']")</f>
        <v>[ 'వరుస 1 వ అత్యంత స్టంపింగ్లు (9)']</v>
      </c>
      <c r="C3431" s="2" t="s">
        <v>2378</v>
      </c>
      <c r="D3431" s="2" t="str">
        <f>IFERROR(__xludf.DUMMYFUNCTION("IF(C3431&lt;&gt;"""", GOOGLETRANSLATE(C3431, ""en"", ""te""),"""")"),"[ 'ఒక మ్యాచ్లో 12 వ అత్యంత స్టంపింగ్లు (3)' 'ఇన్నింగ్స్ లో 4 వ అత్యంత స్టంపింగ్లు (3)' '31 ఓల్డెస్ట్ క్రీడాకారులు (42y 256d)', '15 వ కెరీర్ స్టంపింగ్లు (22)', '1 వ అత్యంత స్టంపింగ్లు వరుస (9) ']")</f>
        <v>[ 'ఒక మ్యాచ్లో 12 వ అత్యంత స్టంపింగ్లు (3)' 'ఇన్నింగ్స్ లో 4 వ అత్యంత స్టంపింగ్లు (3)' '31 ఓల్డెస్ట్ క్రీడాకారులు (42y 256d)', '15 వ కెరీర్ స్టంపింగ్లు (22)', '1 వ అత్యంత స్టంపింగ్లు వరుస (9) ']</v>
      </c>
      <c r="E3431" s="2"/>
      <c r="F3431" s="2" t="str">
        <f>IFERROR(__xludf.DUMMYFUNCTION("IF(E3431&lt;&gt;"""", GOOGLETRANSLATE(E3431, ""en"", ""te""),"""")"),"")</f>
        <v/>
      </c>
      <c r="G3431" s="2"/>
      <c r="H3431" s="2" t="str">
        <f>IFERROR(__xludf.DUMMYFUNCTION("IF(G3431&lt;&gt;"""", GOOGLETRANSLATE(G3431, ""en"", ""te""),"""")"),"")</f>
        <v/>
      </c>
      <c r="I3431" s="3"/>
    </row>
    <row r="3432" customHeight="1" spans="1:9">
      <c r="A3432" s="2" t="s">
        <v>63</v>
      </c>
      <c r="B3432" s="2" t="str">
        <f>IFERROR(__xludf.DUMMYFUNCTION("IF(A3432&lt;&gt;"""", GOOGLETRANSLATE(A3432, ""en"", ""te""),"""")"),"[ 'తొలి ఇన్నింగ్స్లో 9 వ బెస్ట్ ఫిగర్స్ (7)']")</f>
        <v>[ 'తొలి ఇన్నింగ్స్లో 9 వ బెస్ట్ ఫిగర్స్ (7)']</v>
      </c>
      <c r="C3432" s="2" t="s">
        <v>2379</v>
      </c>
      <c r="D3432" s="2" t="str">
        <f>IFERROR(__xludf.DUMMYFUNCTION("IF(C3432&lt;&gt;"""", GOOGLETRANSLATE(C3432, ""en"", ""te""),"""")"),"[ 'తొలి ఇన్నింగ్స్లో 9 వ బెస్ట్ ఫిగర్స్ (7)', '13 వ ప్రవేశం (10) ఒక మ్యాచ్లో బెస్ట్ ఫిగర్స్']")</f>
        <v>[ 'తొలి ఇన్నింగ్స్లో 9 వ బెస్ట్ ఫిగర్స్ (7)', '13 వ ప్రవేశం (10) ఒక మ్యాచ్లో బెస్ట్ ఫిగర్స్']</v>
      </c>
      <c r="E3432" s="2" t="s">
        <v>2380</v>
      </c>
      <c r="F3432" s="2" t="str">
        <f>IFERROR(__xludf.DUMMYFUNCTION("IF(E3432&lt;&gt;"""", GOOGLETRANSLATE(E3432, ""en"", ""te""),"""")"),"[ '26 ఉత్తమ కెరీర్ ఆర్థిక రేటు (3.71)']")</f>
        <v>[ '26 ఉత్తమ కెరీర్ ఆర్థిక రేటు (3.71)']</v>
      </c>
      <c r="G3432" s="2"/>
      <c r="H3432" s="2" t="str">
        <f>IFERROR(__xludf.DUMMYFUNCTION("IF(G3432&lt;&gt;"""", GOOGLETRANSLATE(G3432, ""en"", ""te""),"""")"),"")</f>
        <v/>
      </c>
      <c r="I3432" s="3"/>
    </row>
    <row r="3433" customHeight="1" spans="1:9">
      <c r="A3433" s="2" t="s">
        <v>2381</v>
      </c>
      <c r="B3433" s="2" t="str">
        <f>IFERROR(__xludf.DUMMYFUNCTION("IF(A3433&lt;&gt;"""", GOOGLETRANSLATE(A3433, ""en"", ""te""),"""")"),"[ 'ఇన్నింగ్స్ లో 1 వ అత్యధిక పరుగులు (బ్యాటింగ్ స్థానంలో ప్రకారం) (144)', '7 వ అత్యుత్తమ బౌలింగ్ ఇన్నింగ్స్ లో విశ్లేషించడం (2/5)', '5 వ చెత్త కెరీర్లో ఆర్థిక రేటు (2.83)', '8 వ అత్యంత పోగొట్టబడిన పరుగులను ఇన్నింగ్స్ (112) ',' ఎనిమిదవ వికెట్ (114) కోసం 2 "&amp;"వ అత్యధిక భాగస్వామ్యం ']")</f>
        <v>[ 'ఇన్నింగ్స్ లో 1 వ అత్యధిక పరుగులు (బ్యాటింగ్ స్థానంలో ప్రకారం) (144)', '7 వ అత్యుత్తమ బౌలింగ్ ఇన్నింగ్స్ లో విశ్లేషించడం (2/5)', '5 వ చెత్త కెరీర్లో ఆర్థిక రేటు (2.83)', '8 వ అత్యంత పోగొట్టబడిన పరుగులను ఇన్నింగ్స్ (112) ',' ఎనిమిదవ వికెట్ (114) కోసం 2 వ అత్యధిక భాగస్వామ్యం ']</v>
      </c>
      <c r="C3433" s="2" t="s">
        <v>2382</v>
      </c>
      <c r="D3433" s="2" t="str">
        <f>IFERROR(__xludf.DUMMYFUNCTION("IF(C3433&lt;&gt;"""", GOOGLETRANSLATE(C3433, ""en"", ""te""),"""")"),"[ '24 వ ఇన్నింగ్స్ లో అత్యధిక పరుగులు (144)', '1 వ ఇన్నింగ్స్ లో అత్యధిక పరుగులు (బ్యాటింగ్ స్థానంలో ప్రకారం) (144)', '17 వ అత్యధిక తొలి వంద (144)', '13 వ పిన్న ఆటగాడు వంద (22y స్కోర్ 270d) ',' 7 వ అత్యుత్తమ బౌలింగ్ ఇన్నింగ్స్ లో విశ్లేషించడం (2/5) ',' సగ"&amp;"టు (39.76) ',' 5 వ చెత్త కెరీర్లో ఎకానమీ రేట్ బౌలింగ్ 15 చెత్త కెరీర్ (2.83) ',' 8 వ ఇన్నింగ్స్ లో సాధించిన అత్యధిక పరుగులు ( 112) ',' ఎనిమిదవ వికెట్ (114 కోసం 2 వ అత్యధిక భాగస్వామ్యం) ']")</f>
        <v>[ '24 వ ఇన్నింగ్స్ లో అత్యధిక పరుగులు (144)', '1 వ ఇన్నింగ్స్ లో అత్యధిక పరుగులు (బ్యాటింగ్ స్థానంలో ప్రకారం) (144)', '17 వ అత్యధిక తొలి వంద (144)', '13 వ పిన్న ఆటగాడు వంద (22y స్కోర్ 270d) ',' 7 వ అత్యుత్తమ బౌలింగ్ ఇన్నింగ్స్ లో విశ్లేషించడం (2/5) ',' సగటు (39.76) ',' 5 వ చెత్త కెరీర్లో ఎకానమీ రేట్ బౌలింగ్ 15 చెత్త కెరీర్ (2.83) ',' 8 వ ఇన్నింగ్స్ లో సాధించిన అత్యధిక పరుగులు ( 112) ',' ఎనిమిదవ వికెట్ (114 కోసం 2 వ అత్యధిక భాగస్వామ్యం) ']</v>
      </c>
      <c r="E3433" s="2" t="s">
        <v>2383</v>
      </c>
      <c r="F3433" s="2" t="str">
        <f>IFERROR(__xludf.DUMMYFUNCTION("IF(E3433&lt;&gt;"""", GOOGLETRANSLATE(E3433, ""en"", ""te""),"""")"),"[ '11 వ ఒక ఇన్నింగ్స్ లోని బెస్ట్ ఫిగర్స్ ఉన్నప్పుడు పరాజయం వైపు (4)', '44 వ బౌలర్ / ఫీల్డర్ కలయికలు (10)']")</f>
        <v>[ '11 వ ఒక ఇన్నింగ్స్ లోని బెస్ట్ ఫిగర్స్ ఉన్నప్పుడు పరాజయం వైపు (4)', '44 వ బౌలర్ / ఫీల్డర్ కలయికలు (10)']</v>
      </c>
      <c r="G3433" s="2"/>
      <c r="H3433" s="2" t="str">
        <f>IFERROR(__xludf.DUMMYFUNCTION("IF(G3433&lt;&gt;"""", GOOGLETRANSLATE(G3433, ""en"", ""te""),"""")"),"")</f>
        <v/>
      </c>
      <c r="I3433" s="3"/>
    </row>
    <row r="3434" customHeight="1" spans="1:9">
      <c r="A3434" s="2"/>
      <c r="B3434" s="2" t="str">
        <f>IFERROR(__xludf.DUMMYFUNCTION("IF(A3434&lt;&gt;"""", GOOGLETRANSLATE(A3434, ""en"", ""te""),"""")"),"")</f>
        <v/>
      </c>
      <c r="C3434" s="2" t="s">
        <v>2384</v>
      </c>
      <c r="D3434" s="2" t="str">
        <f>IFERROR(__xludf.DUMMYFUNCTION("IF(C3434&lt;&gt;"""", GOOGLETRANSLATE(C3434, ""en"", ""te""),"""")"),"[ 'కెప్టెన్సీ తొలి 30 వ ఓల్డెస్ట్ కాప్టెన్ (36y 238d)']")</f>
        <v>[ 'కెప్టెన్సీ తొలి 30 వ ఓల్డెస్ట్ కాప్టెన్ (36y 238d)']</v>
      </c>
      <c r="E3434" s="2"/>
      <c r="F3434" s="2" t="str">
        <f>IFERROR(__xludf.DUMMYFUNCTION("IF(E3434&lt;&gt;"""", GOOGLETRANSLATE(E3434, ""en"", ""te""),"""")"),"")</f>
        <v/>
      </c>
      <c r="G3434" s="2"/>
      <c r="H3434" s="2" t="str">
        <f>IFERROR(__xludf.DUMMYFUNCTION("IF(G3434&lt;&gt;"""", GOOGLETRANSLATE(G3434, ""en"", ""te""),"""")"),"")</f>
        <v/>
      </c>
      <c r="I3434" s="3"/>
    </row>
    <row r="3435" customHeight="1" spans="1:9">
      <c r="A3435" s="2" t="s">
        <v>2385</v>
      </c>
      <c r="B3435" s="2" t="str">
        <f>IFERROR(__xludf.DUMMYFUNCTION("IF(A3435&lt;&gt;"""", GOOGLETRANSLATE(A3435, ""en"", ""te""),"""")"),"[ '1st అత్యుత్తమ బౌలింగ్ ఇన్నింగ్స్ లో విశ్లేషించడం (9/28)', '1 వ ఉత్తమ కెరీర్ సమ్మె రేటు (34.1)', '4 వ అత్యధిక వరుస పది వికెట్లు లో ఒక మ్యాచ్ (2)', '1st 100 ఫాస్టెస్ట్ వికెట్లు (16) ',' బ్యాటింగ్ తెరవడం మరియు అదే మ్యాచ్ లో బౌలింగ్ ']")</f>
        <v>[ '1st అత్యుత్తమ బౌలింగ్ ఇన్నింగ్స్ లో విశ్లేషించడం (9/28)', '1 వ ఉత్తమ కెరీర్ సమ్మె రేటు (34.1)', '4 వ అత్యధిక వరుస పది వికెట్లు లో ఒక మ్యాచ్ (2)', '1st 100 ఫాస్టెస్ట్ వికెట్లు (16) ',' బ్యాటింగ్ తెరవడం మరియు అదే మ్యాచ్ లో బౌలింగ్ ']</v>
      </c>
      <c r="C3435" s="2" t="s">
        <v>2386</v>
      </c>
      <c r="D3435" s="2" t="str">
        <f>IFERROR(__xludf.DUMMYFUNCTION("IF(C3435&lt;&gt;"""", GOOGLETRANSLATE(C3435, ""en"", ""te""),"""")"),"[ 'ఇన్నింగ్స్ లో 3 వ బెస్ట్ ఫిగర్స్ (9/28)', '6 వ మ్యాచ్ లో బెస్ట్ ఫిగర్స్ (15)', '19 వ ఒక సిరీస్లో అత్యధిక వికెట్లు (35)', '1 వ అత్యుత్తమ బౌలింగ్ ఇన్నింగ్స్ లో విశ్లేషించడం (8 / 7) ',' 5 వ ఒక ఇన్నింగ్స్ లోని బెస్ట్ ఫిగర్స్ పరాజయం వైపు (8) ',' 40 వ బెస్ట"&amp;"్ ఫిగర్స్ ఒక మ్యాచ్లో పరాజయం వైపు ఉన్నప్పుడు (10) ',' 1 వ ఉత్తమ కెరీర్ బౌలింగ్ చేస్తున్నప్పుడు సగటు (10.75) ',' 13 వ ఉత్తమ కెరీర్ ఆర్థిక రేటు (1.88) ',' 1 వ ఉత్తమ కెరీర్ సమ్మె రేటు (34.1) ',' 31 ఉత్తమ కెరీర్ బౌలింగ్ సరాసరి (అర్హత లేకుండా) (10.75) ',' ఇన్"&amp;"నింగ్స్ లో 10 వ ఉత్తమ సమ్మె రేటు (6.1) ',' 12 వ అత్యంత పది వికెట్లు లో ఒక మ్యాచ్ ఒక కెరీర్ (5) ',' 18 వ వరుస ఐదు వికెట్ల లో-ఒక-ఇన్నింగ్స్ (3) ',' 4 వ అత్యధిక వరుస లో పది వికెట్లు ఒక మ్యాచ్ లో (2) ',' పది వికెట్లు లో ఒక మ్యాచ్ 50 వికెట్లు 100 వికెట్లు తీసు"&amp;"కొని 21 వ పిన్న ఆటగాడు (21y 71d) ',' 20 వ వేగంగా (10) ',' 1st వేగవంతమైన (16) ']")</f>
        <v>[ 'ఇన్నింగ్స్ లో 3 వ బెస్ట్ ఫిగర్స్ (9/28)', '6 వ మ్యాచ్ లో బెస్ట్ ఫిగర్స్ (15)', '19 వ ఒక సిరీస్లో అత్యధిక వికెట్లు (35)', '1 వ అత్యుత్తమ బౌలింగ్ ఇన్నింగ్స్ లో విశ్లేషించడం (8 / 7) ',' 5 వ ఒక ఇన్నింగ్స్ లోని బెస్ట్ ఫిగర్స్ పరాజయం వైపు (8) ',' 40 వ బెస్ట్ ఫిగర్స్ ఒక మ్యాచ్లో పరాజయం వైపు ఉన్నప్పుడు (10) ',' 1 వ ఉత్తమ కెరీర్ బౌలింగ్ చేస్తున్నప్పుడు సగటు (10.75) ',' 13 వ ఉత్తమ కెరీర్ ఆర్థిక రేటు (1.88) ',' 1 వ ఉత్తమ కెరీర్ సమ్మె రేటు (34.1) ',' 31 ఉత్తమ కెరీర్ బౌలింగ్ సరాసరి (అర్హత లేకుండా) (10.75) ',' ఇన్నింగ్స్ లో 10 వ ఉత్తమ సమ్మె రేటు (6.1) ',' 12 వ అత్యంత పది వికెట్లు లో ఒక మ్యాచ్ ఒక కెరీర్ (5) ',' 18 వ వరుస ఐదు వికెట్ల లో-ఒక-ఇన్నింగ్స్ (3) ',' 4 వ అత్యధిక వరుస లో పది వికెట్లు ఒక మ్యాచ్ లో (2) ',' పది వికెట్లు లో ఒక మ్యాచ్ 50 వికెట్లు 100 వికెట్లు తీసుకొని 21 వ పిన్న ఆటగాడు (21y 71d) ',' 20 వ వేగంగా (10) ',' 1st వేగవంతమైన (16) ']</v>
      </c>
      <c r="E3435" s="2"/>
      <c r="F3435" s="2" t="str">
        <f>IFERROR(__xludf.DUMMYFUNCTION("IF(E3435&lt;&gt;"""", GOOGLETRANSLATE(E3435, ""en"", ""te""),"""")"),"")</f>
        <v/>
      </c>
      <c r="G3435" s="2"/>
      <c r="H3435" s="2" t="str">
        <f>IFERROR(__xludf.DUMMYFUNCTION("IF(G3435&lt;&gt;"""", GOOGLETRANSLATE(G3435, ""en"", ""te""),"""")"),"")</f>
        <v/>
      </c>
      <c r="I3435" s="3"/>
    </row>
    <row r="3436" customHeight="1" spans="1:9">
      <c r="A3436" s="2"/>
      <c r="B3436" s="2" t="str">
        <f>IFERROR(__xludf.DUMMYFUNCTION("IF(A3436&lt;&gt;"""", GOOGLETRANSLATE(A3436, ""en"", ""te""),"""")"),"")</f>
        <v/>
      </c>
      <c r="C3436" s="2"/>
      <c r="D3436" s="2" t="str">
        <f>IFERROR(__xludf.DUMMYFUNCTION("IF(C3436&lt;&gt;"""", GOOGLETRANSLATE(C3436, ""en"", ""te""),"""")"),"")</f>
        <v/>
      </c>
      <c r="E3436" s="2"/>
      <c r="F3436" s="2" t="str">
        <f>IFERROR(__xludf.DUMMYFUNCTION("IF(E3436&lt;&gt;"""", GOOGLETRANSLATE(E3436, ""en"", ""te""),"""")"),"")</f>
        <v/>
      </c>
      <c r="G3436" s="2"/>
      <c r="H3436" s="2" t="str">
        <f>IFERROR(__xludf.DUMMYFUNCTION("IF(G3436&lt;&gt;"""", GOOGLETRANSLATE(G3436, ""en"", ""te""),"""")"),"")</f>
        <v/>
      </c>
      <c r="I3436" s="3"/>
    </row>
    <row r="3437" customHeight="1" spans="1:9">
      <c r="A3437" s="2" t="s">
        <v>2387</v>
      </c>
      <c r="B3437" s="2" t="str">
        <f>IFERROR(__xludf.DUMMYFUNCTION("IF(A3437&lt;&gt;"""", GOOGLETRANSLATE(A3437, ""en"", ""te""),"""")"),"[ 'ఇన్నింగ్స్ లో 7 వ ఉత్తమ ఆర్థిక రేటు (0.37)', 'తొలి ఇన్నింగ్స్లో 9 వ బెస్ట్ ఫిగర్స్ (7)', '4 వ అత్యధిక వరుస పది వికెట్లు' 1st అత్యుత్తమ బౌలింగ్ ఇన్నింగ్స్ లో (10/53) విశ్లేషిస్తుంది ' -ఇన్-ఒక-మ్యాచ్ (2) ',' ఒక మ్యాచ్ లో మొత్తం పదకొండు బ్యాట్స్ తోసిపుచ్చ"&amp;"ిన ',' 5 వ అత్యధిక వరుస ఐదు వికెట్ల లో-ఒక-ఇన్నింగ్స్ (4) ']")</f>
        <v>[ 'ఇన్నింగ్స్ లో 7 వ ఉత్తమ ఆర్థిక రేటు (0.37)', 'తొలి ఇన్నింగ్స్లో 9 వ బెస్ట్ ఫిగర్స్ (7)', '4 వ అత్యధిక వరుస పది వికెట్లు' 1st అత్యుత్తమ బౌలింగ్ ఇన్నింగ్స్ లో (10/53) విశ్లేషిస్తుంది ' -ఇన్-ఒక-మ్యాచ్ (2) ',' ఒక మ్యాచ్ లో మొత్తం పదకొండు బ్యాట్స్ తోసిపుచ్చిన ',' 5 వ అత్యధిక వరుస ఐదు వికెట్ల లో-ఒక-ఇన్నింగ్స్ (4) ']</v>
      </c>
      <c r="C3437" s="2" t="s">
        <v>2388</v>
      </c>
      <c r="D3437" s="2" t="str">
        <f>IFERROR(__xludf.DUMMYFUNCTION("IF(C3437&lt;&gt;"""", GOOGLETRANSLATE(C3437, ""en"", ""te""),"""")"),"[ 'ఇన్నింగ్స్ లో 1 వ బెస్ట్ ఫిగర్స్ (10/53)', 'వరుస 2 వ అత్యధిక వికెట్లు (46)', '1 వ అత్యుత్తమ బౌలింగ్ ఇన్నింగ్స్ విశ్లేషణలలో ఒక మ్యాచ్ (19) లో 1 వ బెస్ట్ ఫిగర్స్', (10 / 53) ',' 24 న ఒక మ్యాచ్ లో బౌలింగ్ సరాసరి (21.24) ',' ఇన్నింగ్స్ లో 7 వ ఉత్తమ ఆర్థిక "&amp;"రేటు (0.37) ',' తొలి ఇన్నింగ్స్లో 9 వ బెస్ట్ ఫిగర్స్ (7) ',' 17 వ బెస్ట్ ఫిగర్స్ ఉత్తమ కెరీర్ ప్రవేశించనుంది (9) ',' 29 వ అత్యధిక పది వికెట్లు లో ఒక మ్యాచ్ ఒక వృత్తిలో (3) ',' 5 వ అత్యధిక వరుస ఐదు వికెట్ల లో-ఒక-ఇన్నింగ్స్ (4) ',' 4 వ అత్యధిక వరుస ten- విక"&amp;"ెట్లు లో ఒక మ్యాచ్ (2) ',' పది వికెట్ల లో ఒక మ్యాచ్ పడుతుంది 27 ఓల్డెస్ట్ ఆటగాడు (34y 168d) ',' 34 వ మ్యాచ్లో (630) ',' 32 వ బౌలర్ బౌల్ అత్యంత బంతుల్లో / బ్యాటర్ కలయికలు (11) ',' 50 వ అత్యధిక వికెట్లు బౌల్డ్ తీసుకున్న (52) ',' 25 వ అత్యధిక వికెట్లు స్టంప్"&amp;" (10) ',' 36 వ వేగంగా 150 వికెట్లు (36) '] తీసుకోవాలి")</f>
        <v>[ 'ఇన్నింగ్స్ లో 1 వ బెస్ట్ ఫిగర్స్ (10/53)', 'వరుస 2 వ అత్యధిక వికెట్లు (46)', '1 వ అత్యుత్తమ బౌలింగ్ ఇన్నింగ్స్ విశ్లేషణలలో ఒక మ్యాచ్ (19) లో 1 వ బెస్ట్ ఫిగర్స్', (10 / 53) ',' 24 న ఒక మ్యాచ్ లో బౌలింగ్ సరాసరి (21.24) ',' ఇన్నింగ్స్ లో 7 వ ఉత్తమ ఆర్థిక రేటు (0.37) ',' తొలి ఇన్నింగ్స్లో 9 వ బెస్ట్ ఫిగర్స్ (7) ',' 17 వ బెస్ట్ ఫిగర్స్ ఉత్తమ కెరీర్ ప్రవేశించనుంది (9) ',' 29 వ అత్యధిక పది వికెట్లు లో ఒక మ్యాచ్ ఒక వృత్తిలో (3) ',' 5 వ అత్యధిక వరుస ఐదు వికెట్ల లో-ఒక-ఇన్నింగ్స్ (4) ',' 4 వ అత్యధిక వరుస ten- వికెట్లు లో ఒక మ్యాచ్ (2) ',' పది వికెట్ల లో ఒక మ్యాచ్ పడుతుంది 27 ఓల్డెస్ట్ ఆటగాడు (34y 168d) ',' 34 వ మ్యాచ్లో (630) ',' 32 వ బౌలర్ బౌల్ అత్యంత బంతుల్లో / బ్యాటర్ కలయికలు (11) ',' 50 వ అత్యధిక వికెట్లు బౌల్డ్ తీసుకున్న (52) ',' 25 వ అత్యధిక వికెట్లు స్టంప్ (10) ',' 36 వ వేగంగా 150 వికెట్లు (36) '] తీసుకోవాలి</v>
      </c>
      <c r="E3437" s="2"/>
      <c r="F3437" s="2" t="str">
        <f>IFERROR(__xludf.DUMMYFUNCTION("IF(E3437&lt;&gt;"""", GOOGLETRANSLATE(E3437, ""en"", ""te""),"""")"),"")</f>
        <v/>
      </c>
      <c r="G3437" s="2"/>
      <c r="H3437" s="2" t="str">
        <f>IFERROR(__xludf.DUMMYFUNCTION("IF(G3437&lt;&gt;"""", GOOGLETRANSLATE(G3437, ""en"", ""te""),"""")"),"")</f>
        <v/>
      </c>
      <c r="I3437" s="3"/>
    </row>
    <row r="3438" customHeight="1" spans="1:9">
      <c r="A3438" s="2"/>
      <c r="B3438" s="2" t="str">
        <f>IFERROR(__xludf.DUMMYFUNCTION("IF(A3438&lt;&gt;"""", GOOGLETRANSLATE(A3438, ""en"", ""te""),"""")"),"")</f>
        <v/>
      </c>
      <c r="C3438" s="2"/>
      <c r="D3438" s="2" t="str">
        <f>IFERROR(__xludf.DUMMYFUNCTION("IF(C3438&lt;&gt;"""", GOOGLETRANSLATE(C3438, ""en"", ""te""),"""")"),"")</f>
        <v/>
      </c>
      <c r="E3438" s="2"/>
      <c r="F3438" s="2" t="str">
        <f>IFERROR(__xludf.DUMMYFUNCTION("IF(E3438&lt;&gt;"""", GOOGLETRANSLATE(E3438, ""en"", ""te""),"""")"),"")</f>
        <v/>
      </c>
      <c r="G3438" s="2"/>
      <c r="H3438" s="2" t="str">
        <f>IFERROR(__xludf.DUMMYFUNCTION("IF(G3438&lt;&gt;"""", GOOGLETRANSLATE(G3438, ""en"", ""te""),"""")"),"")</f>
        <v/>
      </c>
      <c r="I3438" s="3"/>
    </row>
    <row r="3439" customHeight="1" spans="1:9">
      <c r="A3439" s="2"/>
      <c r="B3439" s="2" t="str">
        <f>IFERROR(__xludf.DUMMYFUNCTION("IF(A3439&lt;&gt;"""", GOOGLETRANSLATE(A3439, ""en"", ""te""),"""")"),"")</f>
        <v/>
      </c>
      <c r="C3439" s="2"/>
      <c r="D3439" s="2" t="str">
        <f>IFERROR(__xludf.DUMMYFUNCTION("IF(C3439&lt;&gt;"""", GOOGLETRANSLATE(C3439, ""en"", ""te""),"""")"),"")</f>
        <v/>
      </c>
      <c r="E3439" s="2"/>
      <c r="F3439" s="2" t="str">
        <f>IFERROR(__xludf.DUMMYFUNCTION("IF(E3439&lt;&gt;"""", GOOGLETRANSLATE(E3439, ""en"", ""te""),"""")"),"")</f>
        <v/>
      </c>
      <c r="G3439" s="2"/>
      <c r="H3439" s="2" t="str">
        <f>IFERROR(__xludf.DUMMYFUNCTION("IF(G3439&lt;&gt;"""", GOOGLETRANSLATE(G3439, ""en"", ""te""),"""")"),"")</f>
        <v/>
      </c>
      <c r="I3439" s="3"/>
    </row>
    <row r="3440" customHeight="1" spans="1:9">
      <c r="A3440" s="2"/>
      <c r="B3440" s="2" t="str">
        <f>IFERROR(__xludf.DUMMYFUNCTION("IF(A3440&lt;&gt;"""", GOOGLETRANSLATE(A3440, ""en"", ""te""),"""")"),"")</f>
        <v/>
      </c>
      <c r="C3440" s="2"/>
      <c r="D3440" s="2" t="str">
        <f>IFERROR(__xludf.DUMMYFUNCTION("IF(C3440&lt;&gt;"""", GOOGLETRANSLATE(C3440, ""en"", ""te""),"""")"),"")</f>
        <v/>
      </c>
      <c r="E3440" s="2"/>
      <c r="F3440" s="2" t="str">
        <f>IFERROR(__xludf.DUMMYFUNCTION("IF(E3440&lt;&gt;"""", GOOGLETRANSLATE(E3440, ""en"", ""te""),"""")"),"")</f>
        <v/>
      </c>
      <c r="G3440" s="2"/>
      <c r="H3440" s="2" t="str">
        <f>IFERROR(__xludf.DUMMYFUNCTION("IF(G3440&lt;&gt;"""", GOOGLETRANSLATE(G3440, ""en"", ""te""),"""")"),"")</f>
        <v/>
      </c>
      <c r="I3440" s="3"/>
    </row>
    <row r="3441" customHeight="1" spans="1:9">
      <c r="A3441" s="2"/>
      <c r="B3441" s="2" t="str">
        <f>IFERROR(__xludf.DUMMYFUNCTION("IF(A3441&lt;&gt;"""", GOOGLETRANSLATE(A3441, ""en"", ""te""),"""")"),"")</f>
        <v/>
      </c>
      <c r="C3441" s="2"/>
      <c r="D3441" s="2" t="str">
        <f>IFERROR(__xludf.DUMMYFUNCTION("IF(C3441&lt;&gt;"""", GOOGLETRANSLATE(C3441, ""en"", ""te""),"""")"),"")</f>
        <v/>
      </c>
      <c r="E3441" s="2"/>
      <c r="F3441" s="2" t="str">
        <f>IFERROR(__xludf.DUMMYFUNCTION("IF(E3441&lt;&gt;"""", GOOGLETRANSLATE(E3441, ""en"", ""te""),"""")"),"")</f>
        <v/>
      </c>
      <c r="G3441" s="2"/>
      <c r="H3441" s="2" t="str">
        <f>IFERROR(__xludf.DUMMYFUNCTION("IF(G3441&lt;&gt;"""", GOOGLETRANSLATE(G3441, ""en"", ""te""),"""")"),"")</f>
        <v/>
      </c>
      <c r="I3441" s="3"/>
    </row>
    <row r="3442" customHeight="1" spans="1:9">
      <c r="A3442" s="2"/>
      <c r="B3442" s="2" t="str">
        <f>IFERROR(__xludf.DUMMYFUNCTION("IF(A3442&lt;&gt;"""", GOOGLETRANSLATE(A3442, ""en"", ""te""),"""")"),"")</f>
        <v/>
      </c>
      <c r="C3442" s="2"/>
      <c r="D3442" s="2" t="str">
        <f>IFERROR(__xludf.DUMMYFUNCTION("IF(C3442&lt;&gt;"""", GOOGLETRANSLATE(C3442, ""en"", ""te""),"""")"),"")</f>
        <v/>
      </c>
      <c r="E3442" s="2"/>
      <c r="F3442" s="2" t="str">
        <f>IFERROR(__xludf.DUMMYFUNCTION("IF(E3442&lt;&gt;"""", GOOGLETRANSLATE(E3442, ""en"", ""te""),"""")"),"")</f>
        <v/>
      </c>
      <c r="G3442" s="2"/>
      <c r="H3442" s="2" t="str">
        <f>IFERROR(__xludf.DUMMYFUNCTION("IF(G3442&lt;&gt;"""", GOOGLETRANSLATE(G3442, ""en"", ""te""),"""")"),"")</f>
        <v/>
      </c>
      <c r="I3442" s="3"/>
    </row>
    <row r="3443" customHeight="1" spans="1:9">
      <c r="A3443" s="2" t="s">
        <v>2389</v>
      </c>
      <c r="B3443" s="2" t="str">
        <f>IFERROR(__xludf.DUMMYFUNCTION("IF(A3443&lt;&gt;"""", GOOGLETRANSLATE(A3443, ""en"", ""te""),"""")"),"[ 'ఇన్నింగ్స్ లో 4 వ అత్యధిక పరుగులు (ప్రగతిశీల రికార్డు హోల్డర్) (116 *)', '4 వ ఉత్తమ కెరీర్ (3.00) (అర్హత లేకుండా) సగటు బౌలింగ్']")</f>
        <v>[ 'ఇన్నింగ్స్ లో 4 వ అత్యధిక పరుగులు (ప్రగతిశీల రికార్డు హోల్డర్) (116 *)', '4 వ ఉత్తమ కెరీర్ (3.00) (అర్హత లేకుండా) సగటు బౌలింగ్']</v>
      </c>
      <c r="C3443" s="2" t="s">
        <v>2390</v>
      </c>
      <c r="D3443" s="2" t="str">
        <f>IFERROR(__xludf.DUMMYFUNCTION("IF(C3443&lt;&gt;"""", GOOGLETRANSLATE(C3443, ""en"", ""te""),"""")"),"[ '21 వ అత్యధిక తొలి వంద (214 *)']")</f>
        <v>[ '21 వ అత్యధిక తొలి వంద (214 *)']</v>
      </c>
      <c r="E3443" s="2" t="s">
        <v>2389</v>
      </c>
      <c r="F3443" s="2" t="str">
        <f>IFERROR(__xludf.DUMMYFUNCTION("IF(E3443&lt;&gt;"""", GOOGLETRANSLATE(E3443, ""en"", ""te""),"""")"),"[ 'ఇన్నింగ్స్ లో 4 వ అత్యధిక పరుగులు (ప్రగతిశీల రికార్డు హోల్డర్) (116 *)', '4 వ ఉత్తమ కెరీర్ (3.00) (అర్హత లేకుండా) సగటు బౌలింగ్']")</f>
        <v>[ 'ఇన్నింగ్స్ లో 4 వ అత్యధిక పరుగులు (ప్రగతిశీల రికార్డు హోల్డర్) (116 *)', '4 వ ఉత్తమ కెరీర్ (3.00) (అర్హత లేకుండా) సగటు బౌలింగ్']</v>
      </c>
      <c r="G3443" s="2"/>
      <c r="H3443" s="2" t="str">
        <f>IFERROR(__xludf.DUMMYFUNCTION("IF(G3443&lt;&gt;"""", GOOGLETRANSLATE(G3443, ""en"", ""te""),"""")"),"")</f>
        <v/>
      </c>
      <c r="I3443" s="3"/>
    </row>
    <row r="3444" customHeight="1" spans="1:9">
      <c r="A3444" s="2"/>
      <c r="B3444" s="2" t="str">
        <f>IFERROR(__xludf.DUMMYFUNCTION("IF(A3444&lt;&gt;"""", GOOGLETRANSLATE(A3444, ""en"", ""te""),"""")"),"")</f>
        <v/>
      </c>
      <c r="C3444" s="2"/>
      <c r="D3444" s="2" t="str">
        <f>IFERROR(__xludf.DUMMYFUNCTION("IF(C3444&lt;&gt;"""", GOOGLETRANSLATE(C3444, ""en"", ""te""),"""")"),"")</f>
        <v/>
      </c>
      <c r="E3444" s="2"/>
      <c r="F3444" s="2" t="str">
        <f>IFERROR(__xludf.DUMMYFUNCTION("IF(E3444&lt;&gt;"""", GOOGLETRANSLATE(E3444, ""en"", ""te""),"""")"),"")</f>
        <v/>
      </c>
      <c r="G3444" s="2"/>
      <c r="H3444" s="2" t="str">
        <f>IFERROR(__xludf.DUMMYFUNCTION("IF(G3444&lt;&gt;"""", GOOGLETRANSLATE(G3444, ""en"", ""te""),"""")"),"")</f>
        <v/>
      </c>
      <c r="I3444" s="3"/>
    </row>
    <row r="3445" customHeight="1" spans="1:9">
      <c r="A3445" s="2"/>
      <c r="B3445" s="2" t="str">
        <f>IFERROR(__xludf.DUMMYFUNCTION("IF(A3445&lt;&gt;"""", GOOGLETRANSLATE(A3445, ""en"", ""te""),"""")"),"")</f>
        <v/>
      </c>
      <c r="C3445" s="2"/>
      <c r="D3445" s="2" t="str">
        <f>IFERROR(__xludf.DUMMYFUNCTION("IF(C3445&lt;&gt;"""", GOOGLETRANSLATE(C3445, ""en"", ""te""),"""")"),"")</f>
        <v/>
      </c>
      <c r="E3445" s="2"/>
      <c r="F3445" s="2" t="str">
        <f>IFERROR(__xludf.DUMMYFUNCTION("IF(E3445&lt;&gt;"""", GOOGLETRANSLATE(E3445, ""en"", ""te""),"""")"),"")</f>
        <v/>
      </c>
      <c r="G3445" s="2"/>
      <c r="H3445" s="2" t="str">
        <f>IFERROR(__xludf.DUMMYFUNCTION("IF(G3445&lt;&gt;"""", GOOGLETRANSLATE(G3445, ""en"", ""te""),"""")"),"")</f>
        <v/>
      </c>
      <c r="I3445" s="3"/>
    </row>
    <row r="3446" customHeight="1" spans="1:9">
      <c r="A3446" s="2"/>
      <c r="B3446" s="2" t="str">
        <f>IFERROR(__xludf.DUMMYFUNCTION("IF(A3446&lt;&gt;"""", GOOGLETRANSLATE(A3446, ""en"", ""te""),"""")"),"")</f>
        <v/>
      </c>
      <c r="C3446" s="2" t="s">
        <v>655</v>
      </c>
      <c r="D3446" s="2" t="str">
        <f>IFERROR(__xludf.DUMMYFUNCTION("IF(C3446&lt;&gt;"""", GOOGLETRANSLATE(C3446, ""en"", ""te""),"""")"),"[ '33 వ ప్రవేశం (8) ఒక మ్యాచ్లో బెస్ట్ ఫిగర్స్']")</f>
        <v>[ '33 వ ప్రవేశం (8) ఒక మ్యాచ్లో బెస్ట్ ఫిగర్స్']</v>
      </c>
      <c r="E3446" s="2"/>
      <c r="F3446" s="2" t="str">
        <f>IFERROR(__xludf.DUMMYFUNCTION("IF(E3446&lt;&gt;"""", GOOGLETRANSLATE(E3446, ""en"", ""te""),"""")"),"")</f>
        <v/>
      </c>
      <c r="G3446" s="2"/>
      <c r="H3446" s="2" t="str">
        <f>IFERROR(__xludf.DUMMYFUNCTION("IF(G3446&lt;&gt;"""", GOOGLETRANSLATE(G3446, ""en"", ""te""),"""")"),"")</f>
        <v/>
      </c>
      <c r="I3446" s="3"/>
    </row>
    <row r="3447" customHeight="1" spans="1:9">
      <c r="A3447" s="2" t="s">
        <v>2391</v>
      </c>
      <c r="B3447" s="2" t="str">
        <f>IFERROR(__xludf.DUMMYFUNCTION("IF(A3447&lt;&gt;"""", GOOGLETRANSLATE(A3447, ""en"", ""te""),"""")"),"[ '10 వ కెరీర్ లో అత్యధిక క్యాచ్లు (12)', '1 వ అత్యుత్తమ బౌలింగ్ ఇన్నింగ్స్ లో విశ్లేషించడం (1/0)', ​​'1st బెస్ట్ కెరీర్ (0.00) (అర్హత లేకుండా) సగటు బౌలింగ్']")</f>
        <v>[ '10 వ కెరీర్ లో అత్యధిక క్యాచ్లు (12)', '1 వ అత్యుత్తమ బౌలింగ్ ఇన్నింగ్స్ లో విశ్లేషించడం (1/0)', ​​'1st బెస్ట్ కెరీర్ (0.00) (అర్హత లేకుండా) సగటు బౌలింగ్']</v>
      </c>
      <c r="C3447" s="2" t="s">
        <v>2392</v>
      </c>
      <c r="D3447" s="2" t="str">
        <f>IFERROR(__xludf.DUMMYFUNCTION("IF(C3447&lt;&gt;"""", GOOGLETRANSLATE(C3447, ""en"", ""te""),"""")"),"[ 'మొదటి డక్ (10) ముందు 16 వ ఇన్నింగ్స్' '10 వ కెరీర్ లో అత్యధిక క్యాచ్లు (12)', '19 వ ఒక సిరీస్లో అత్యధిక క్యాచ్లు (5)']")</f>
        <v>[ 'మొదటి డక్ (10) ముందు 16 వ ఇన్నింగ్స్' '10 వ కెరీర్ లో అత్యధిక క్యాచ్లు (12)', '19 వ ఒక సిరీస్లో అత్యధిక క్యాచ్లు (5)']</v>
      </c>
      <c r="E3447" s="2" t="s">
        <v>2285</v>
      </c>
      <c r="F3447" s="2" t="str">
        <f>IFERROR(__xludf.DUMMYFUNCTION("IF(E3447&lt;&gt;"""", GOOGLETRANSLATE(E3447, ""en"", ""te""),"""")"),"[ '1st అత్యుత్తమ ఇన్నింగ్స్ లో విశ్లేషణలు బౌలింగ్ (1/0)', ​​'1st బెస్ట్ కెరీర్ (అర్హత లేకుండా) సగటు బౌలింగ్ (0.00)']")</f>
        <v>[ '1st అత్యుత్తమ ఇన్నింగ్స్ లో విశ్లేషణలు బౌలింగ్ (1/0)', ​​'1st బెస్ట్ కెరీర్ (అర్హత లేకుండా) సగటు బౌలింగ్ (0.00)']</v>
      </c>
      <c r="G3447" s="2"/>
      <c r="H3447" s="2" t="str">
        <f>IFERROR(__xludf.DUMMYFUNCTION("IF(G3447&lt;&gt;"""", GOOGLETRANSLATE(G3447, ""en"", ""te""),"""")"),"")</f>
        <v/>
      </c>
      <c r="I3447" s="3"/>
    </row>
    <row r="3448" customHeight="1" spans="1:9">
      <c r="A3448" s="2"/>
      <c r="B3448" s="2" t="str">
        <f>IFERROR(__xludf.DUMMYFUNCTION("IF(A3448&lt;&gt;"""", GOOGLETRANSLATE(A3448, ""en"", ""te""),"""")"),"")</f>
        <v/>
      </c>
      <c r="C3448" s="2"/>
      <c r="D3448" s="2" t="str">
        <f>IFERROR(__xludf.DUMMYFUNCTION("IF(C3448&lt;&gt;"""", GOOGLETRANSLATE(C3448, ""en"", ""te""),"""")"),"")</f>
        <v/>
      </c>
      <c r="E3448" s="2"/>
      <c r="F3448" s="2" t="str">
        <f>IFERROR(__xludf.DUMMYFUNCTION("IF(E3448&lt;&gt;"""", GOOGLETRANSLATE(E3448, ""en"", ""te""),"""")"),"")</f>
        <v/>
      </c>
      <c r="G3448" s="2"/>
      <c r="H3448" s="2" t="str">
        <f>IFERROR(__xludf.DUMMYFUNCTION("IF(G3448&lt;&gt;"""", GOOGLETRANSLATE(G3448, ""en"", ""te""),"""")"),"")</f>
        <v/>
      </c>
      <c r="I3448" s="3"/>
    </row>
    <row r="3449" customHeight="1" spans="1:9">
      <c r="A3449" s="2"/>
      <c r="B3449" s="2" t="str">
        <f>IFERROR(__xludf.DUMMYFUNCTION("IF(A3449&lt;&gt;"""", GOOGLETRANSLATE(A3449, ""en"", ""te""),"""")"),"")</f>
        <v/>
      </c>
      <c r="C3449" s="2"/>
      <c r="D3449" s="2" t="str">
        <f>IFERROR(__xludf.DUMMYFUNCTION("IF(C3449&lt;&gt;"""", GOOGLETRANSLATE(C3449, ""en"", ""te""),"""")"),"")</f>
        <v/>
      </c>
      <c r="E3449" s="2"/>
      <c r="F3449" s="2" t="str">
        <f>IFERROR(__xludf.DUMMYFUNCTION("IF(E3449&lt;&gt;"""", GOOGLETRANSLATE(E3449, ""en"", ""te""),"""")"),"")</f>
        <v/>
      </c>
      <c r="G3449" s="2"/>
      <c r="H3449" s="2" t="str">
        <f>IFERROR(__xludf.DUMMYFUNCTION("IF(G3449&lt;&gt;"""", GOOGLETRANSLATE(G3449, ""en"", ""te""),"""")"),"")</f>
        <v/>
      </c>
      <c r="I3449" s="3"/>
    </row>
    <row r="3450" customHeight="1" spans="1:9">
      <c r="A3450" s="2"/>
      <c r="B3450" s="2" t="str">
        <f>IFERROR(__xludf.DUMMYFUNCTION("IF(A3450&lt;&gt;"""", GOOGLETRANSLATE(A3450, ""en"", ""te""),"""")"),"")</f>
        <v/>
      </c>
      <c r="C3450" s="2"/>
      <c r="D3450" s="2" t="str">
        <f>IFERROR(__xludf.DUMMYFUNCTION("IF(C3450&lt;&gt;"""", GOOGLETRANSLATE(C3450, ""en"", ""te""),"""")"),"")</f>
        <v/>
      </c>
      <c r="E3450" s="2"/>
      <c r="F3450" s="2" t="str">
        <f>IFERROR(__xludf.DUMMYFUNCTION("IF(E3450&lt;&gt;"""", GOOGLETRANSLATE(E3450, ""en"", ""te""),"""")"),"")</f>
        <v/>
      </c>
      <c r="G3450" s="2"/>
      <c r="H3450" s="2" t="str">
        <f>IFERROR(__xludf.DUMMYFUNCTION("IF(G3450&lt;&gt;"""", GOOGLETRANSLATE(G3450, ""en"", ""te""),"""")"),"")</f>
        <v/>
      </c>
      <c r="I3450" s="3"/>
    </row>
    <row r="3451" customHeight="1" spans="1:9">
      <c r="A3451" s="2"/>
      <c r="B3451" s="2" t="str">
        <f>IFERROR(__xludf.DUMMYFUNCTION("IF(A3451&lt;&gt;"""", GOOGLETRANSLATE(A3451, ""en"", ""te""),"""")"),"")</f>
        <v/>
      </c>
      <c r="C3451" s="2"/>
      <c r="D3451" s="2" t="str">
        <f>IFERROR(__xludf.DUMMYFUNCTION("IF(C3451&lt;&gt;"""", GOOGLETRANSLATE(C3451, ""en"", ""te""),"""")"),"")</f>
        <v/>
      </c>
      <c r="E3451" s="2" t="s">
        <v>2393</v>
      </c>
      <c r="F3451" s="2" t="str">
        <f>IFERROR(__xludf.DUMMYFUNCTION("IF(E3451&lt;&gt;"""", GOOGLETRANSLATE(E3451, ""en"", ""te""),"""")"),"[ '26 లాంగెస్ట్ క్రీడాకారులు నివసించారు (66y 24d)']")</f>
        <v>[ '26 లాంగెస్ట్ క్రీడాకారులు నివసించారు (66y 24d)']</v>
      </c>
      <c r="G3451" s="2"/>
      <c r="H3451" s="2" t="str">
        <f>IFERROR(__xludf.DUMMYFUNCTION("IF(G3451&lt;&gt;"""", GOOGLETRANSLATE(G3451, ""en"", ""te""),"""")"),"")</f>
        <v/>
      </c>
      <c r="I3451" s="3"/>
    </row>
    <row r="3452" customHeight="1" spans="1:9">
      <c r="A3452" s="2"/>
      <c r="B3452" s="2" t="str">
        <f>IFERROR(__xludf.DUMMYFUNCTION("IF(A3452&lt;&gt;"""", GOOGLETRANSLATE(A3452, ""en"", ""te""),"""")"),"")</f>
        <v/>
      </c>
      <c r="C3452" s="2"/>
      <c r="D3452" s="2" t="str">
        <f>IFERROR(__xludf.DUMMYFUNCTION("IF(C3452&lt;&gt;"""", GOOGLETRANSLATE(C3452, ""en"", ""te""),"""")"),"")</f>
        <v/>
      </c>
      <c r="E3452" s="2"/>
      <c r="F3452" s="2" t="str">
        <f>IFERROR(__xludf.DUMMYFUNCTION("IF(E3452&lt;&gt;"""", GOOGLETRANSLATE(E3452, ""en"", ""te""),"""")"),"")</f>
        <v/>
      </c>
      <c r="G3452" s="2"/>
      <c r="H3452" s="2" t="str">
        <f>IFERROR(__xludf.DUMMYFUNCTION("IF(G3452&lt;&gt;"""", GOOGLETRANSLATE(G3452, ""en"", ""te""),"""")"),"")</f>
        <v/>
      </c>
      <c r="I3452" s="3"/>
    </row>
    <row r="3453" customHeight="1" spans="1:9">
      <c r="A3453" s="2" t="s">
        <v>2394</v>
      </c>
      <c r="B3453" s="2" t="str">
        <f>IFERROR(__xludf.DUMMYFUNCTION("IF(A3453&lt;&gt;"""", GOOGLETRANSLATE(A3453, ""en"", ""te""),"""")"),"[ '8 వ ఉత్తమ కెరీర్ బౌలింగ్ సరాసరి (అర్హత లేకుండా) (4.75)']")</f>
        <v>[ '8 వ ఉత్తమ కెరీర్ బౌలింగ్ సరాసరి (అర్హత లేకుండా) (4.75)']</v>
      </c>
      <c r="C3453" s="2" t="s">
        <v>2394</v>
      </c>
      <c r="D3453" s="2" t="str">
        <f>IFERROR(__xludf.DUMMYFUNCTION("IF(C3453&lt;&gt;"""", GOOGLETRANSLATE(C3453, ""en"", ""te""),"""")"),"[ '8 వ ఉత్తమ కెరీర్ బౌలింగ్ సరాసరి (అర్హత లేకుండా) (4.75)']")</f>
        <v>[ '8 వ ఉత్తమ కెరీర్ బౌలింగ్ సరాసరి (అర్హత లేకుండా) (4.75)']</v>
      </c>
      <c r="E3453" s="2"/>
      <c r="F3453" s="2" t="str">
        <f>IFERROR(__xludf.DUMMYFUNCTION("IF(E3453&lt;&gt;"""", GOOGLETRANSLATE(E3453, ""en"", ""te""),"""")"),"")</f>
        <v/>
      </c>
      <c r="G3453" s="2"/>
      <c r="H3453" s="2" t="str">
        <f>IFERROR(__xludf.DUMMYFUNCTION("IF(G3453&lt;&gt;"""", GOOGLETRANSLATE(G3453, ""en"", ""te""),"""")"),"")</f>
        <v/>
      </c>
      <c r="I3453" s="3"/>
    </row>
    <row r="3454" customHeight="1" spans="1:9">
      <c r="A3454" s="2"/>
      <c r="B3454" s="2" t="str">
        <f>IFERROR(__xludf.DUMMYFUNCTION("IF(A3454&lt;&gt;"""", GOOGLETRANSLATE(A3454, ""en"", ""te""),"""")"),"")</f>
        <v/>
      </c>
      <c r="C3454" s="2"/>
      <c r="D3454" s="2" t="str">
        <f>IFERROR(__xludf.DUMMYFUNCTION("IF(C3454&lt;&gt;"""", GOOGLETRANSLATE(C3454, ""en"", ""te""),"""")"),"")</f>
        <v/>
      </c>
      <c r="E3454" s="2"/>
      <c r="F3454" s="2" t="str">
        <f>IFERROR(__xludf.DUMMYFUNCTION("IF(E3454&lt;&gt;"""", GOOGLETRANSLATE(E3454, ""en"", ""te""),"""")"),"")</f>
        <v/>
      </c>
      <c r="G3454" s="2"/>
      <c r="H3454" s="2" t="str">
        <f>IFERROR(__xludf.DUMMYFUNCTION("IF(G3454&lt;&gt;"""", GOOGLETRANSLATE(G3454, ""en"", ""te""),"""")"),"")</f>
        <v/>
      </c>
      <c r="I3454" s="3"/>
    </row>
    <row r="3455" customHeight="1" spans="1:9">
      <c r="A3455" s="2"/>
      <c r="B3455" s="2" t="str">
        <f>IFERROR(__xludf.DUMMYFUNCTION("IF(A3455&lt;&gt;"""", GOOGLETRANSLATE(A3455, ""en"", ""te""),"""")"),"")</f>
        <v/>
      </c>
      <c r="C3455" s="2"/>
      <c r="D3455" s="2" t="str">
        <f>IFERROR(__xludf.DUMMYFUNCTION("IF(C3455&lt;&gt;"""", GOOGLETRANSLATE(C3455, ""en"", ""te""),"""")"),"")</f>
        <v/>
      </c>
      <c r="E3455" s="2"/>
      <c r="F3455" s="2" t="str">
        <f>IFERROR(__xludf.DUMMYFUNCTION("IF(E3455&lt;&gt;"""", GOOGLETRANSLATE(E3455, ""en"", ""te""),"""")"),"")</f>
        <v/>
      </c>
      <c r="G3455" s="2"/>
      <c r="H3455" s="2" t="str">
        <f>IFERROR(__xludf.DUMMYFUNCTION("IF(G3455&lt;&gt;"""", GOOGLETRANSLATE(G3455, ""en"", ""te""),"""")"),"")</f>
        <v/>
      </c>
      <c r="I3455" s="3"/>
    </row>
    <row r="3456" customHeight="1" spans="1:9">
      <c r="A3456" s="2"/>
      <c r="B3456" s="2" t="str">
        <f>IFERROR(__xludf.DUMMYFUNCTION("IF(A3456&lt;&gt;"""", GOOGLETRANSLATE(A3456, ""en"", ""te""),"""")"),"")</f>
        <v/>
      </c>
      <c r="C3456" s="2"/>
      <c r="D3456" s="2" t="str">
        <f>IFERROR(__xludf.DUMMYFUNCTION("IF(C3456&lt;&gt;"""", GOOGLETRANSLATE(C3456, ""en"", ""te""),"""")"),"")</f>
        <v/>
      </c>
      <c r="E3456" s="2"/>
      <c r="F3456" s="2" t="str">
        <f>IFERROR(__xludf.DUMMYFUNCTION("IF(E3456&lt;&gt;"""", GOOGLETRANSLATE(E3456, ""en"", ""te""),"""")"),"")</f>
        <v/>
      </c>
      <c r="G3456" s="2"/>
      <c r="H3456" s="2" t="str">
        <f>IFERROR(__xludf.DUMMYFUNCTION("IF(G3456&lt;&gt;"""", GOOGLETRANSLATE(G3456, ""en"", ""te""),"""")"),"")</f>
        <v/>
      </c>
      <c r="I3456" s="3"/>
    </row>
    <row r="3457" customHeight="1" spans="1:9">
      <c r="A3457" s="2" t="s">
        <v>2395</v>
      </c>
      <c r="B3457" s="2" t="str">
        <f>IFERROR(__xludf.DUMMYFUNCTION("IF(A3457&lt;&gt;"""", GOOGLETRANSLATE(A3457, ""en"", ""te""),"""")"),"[ 'గత మ్యాచ్లో 7 వ హండ్రెడ్ (196)', 'హండ్రెడ్ మరియు ఒక మ్యాచ్లో ఒక డక్']")</f>
        <v>[ 'గత మ్యాచ్లో 7 వ హండ్రెడ్ (196)', 'హండ్రెడ్ మరియు ఒక మ్యాచ్లో ఒక డక్']</v>
      </c>
      <c r="C3457" s="2" t="s">
        <v>2396</v>
      </c>
      <c r="D3457" s="2" t="str">
        <f>IFERROR(__xludf.DUMMYFUNCTION("IF(C3457&lt;&gt;"""", GOOGLETRANSLATE(C3457, ""en"", ""te""),"""")"),"[ 'గత మ్యాచ్ (196) లో 7 వ హండ్రెడ్']")</f>
        <v>[ 'గత మ్యాచ్ (196) లో 7 వ హండ్రెడ్']</v>
      </c>
      <c r="E3457" s="2"/>
      <c r="F3457" s="2" t="str">
        <f>IFERROR(__xludf.DUMMYFUNCTION("IF(E3457&lt;&gt;"""", GOOGLETRANSLATE(E3457, ""en"", ""te""),"""")"),"")</f>
        <v/>
      </c>
      <c r="G3457" s="2"/>
      <c r="H3457" s="2" t="str">
        <f>IFERROR(__xludf.DUMMYFUNCTION("IF(G3457&lt;&gt;"""", GOOGLETRANSLATE(G3457, ""en"", ""te""),"""")"),"")</f>
        <v/>
      </c>
      <c r="I3457" s="3"/>
    </row>
    <row r="3458" customHeight="1" spans="1:9">
      <c r="A3458" s="2"/>
      <c r="B3458" s="2" t="str">
        <f>IFERROR(__xludf.DUMMYFUNCTION("IF(A3458&lt;&gt;"""", GOOGLETRANSLATE(A3458, ""en"", ""te""),"""")"),"")</f>
        <v/>
      </c>
      <c r="C3458" s="2"/>
      <c r="D3458" s="2" t="str">
        <f>IFERROR(__xludf.DUMMYFUNCTION("IF(C3458&lt;&gt;"""", GOOGLETRANSLATE(C3458, ""en"", ""te""),"""")"),"")</f>
        <v/>
      </c>
      <c r="E3458" s="2"/>
      <c r="F3458" s="2" t="str">
        <f>IFERROR(__xludf.DUMMYFUNCTION("IF(E3458&lt;&gt;"""", GOOGLETRANSLATE(E3458, ""en"", ""te""),"""")"),"")</f>
        <v/>
      </c>
      <c r="G3458" s="2"/>
      <c r="H3458" s="2" t="str">
        <f>IFERROR(__xludf.DUMMYFUNCTION("IF(G3458&lt;&gt;"""", GOOGLETRANSLATE(G3458, ""en"", ""te""),"""")"),"")</f>
        <v/>
      </c>
      <c r="I3458" s="3"/>
    </row>
    <row r="3459" customHeight="1" spans="1:9">
      <c r="A3459" s="2"/>
      <c r="B3459" s="2" t="str">
        <f>IFERROR(__xludf.DUMMYFUNCTION("IF(A3459&lt;&gt;"""", GOOGLETRANSLATE(A3459, ""en"", ""te""),"""")"),"")</f>
        <v/>
      </c>
      <c r="C3459" s="2"/>
      <c r="D3459" s="2" t="str">
        <f>IFERROR(__xludf.DUMMYFUNCTION("IF(C3459&lt;&gt;"""", GOOGLETRANSLATE(C3459, ""en"", ""te""),"""")"),"")</f>
        <v/>
      </c>
      <c r="E3459" s="2"/>
      <c r="F3459" s="2" t="str">
        <f>IFERROR(__xludf.DUMMYFUNCTION("IF(E3459&lt;&gt;"""", GOOGLETRANSLATE(E3459, ""en"", ""te""),"""")"),"")</f>
        <v/>
      </c>
      <c r="G3459" s="2"/>
      <c r="H3459" s="2" t="str">
        <f>IFERROR(__xludf.DUMMYFUNCTION("IF(G3459&lt;&gt;"""", GOOGLETRANSLATE(G3459, ""en"", ""te""),"""")"),"")</f>
        <v/>
      </c>
      <c r="I3459" s="3"/>
    </row>
    <row r="3460" customHeight="1" spans="1:9">
      <c r="A3460" s="2"/>
      <c r="B3460" s="2" t="str">
        <f>IFERROR(__xludf.DUMMYFUNCTION("IF(A3460&lt;&gt;"""", GOOGLETRANSLATE(A3460, ""en"", ""te""),"""")"),"")</f>
        <v/>
      </c>
      <c r="C3460" s="2"/>
      <c r="D3460" s="2" t="str">
        <f>IFERROR(__xludf.DUMMYFUNCTION("IF(C3460&lt;&gt;"""", GOOGLETRANSLATE(C3460, ""en"", ""te""),"""")"),"")</f>
        <v/>
      </c>
      <c r="E3460" s="2"/>
      <c r="F3460" s="2" t="str">
        <f>IFERROR(__xludf.DUMMYFUNCTION("IF(E3460&lt;&gt;"""", GOOGLETRANSLATE(E3460, ""en"", ""te""),"""")"),"")</f>
        <v/>
      </c>
      <c r="G3460" s="2"/>
      <c r="H3460" s="2" t="str">
        <f>IFERROR(__xludf.DUMMYFUNCTION("IF(G3460&lt;&gt;"""", GOOGLETRANSLATE(G3460, ""en"", ""te""),"""")"),"")</f>
        <v/>
      </c>
      <c r="I3460" s="3"/>
    </row>
    <row r="3461" customHeight="1" spans="1:9">
      <c r="A3461" s="2"/>
      <c r="B3461" s="2" t="str">
        <f>IFERROR(__xludf.DUMMYFUNCTION("IF(A3461&lt;&gt;"""", GOOGLETRANSLATE(A3461, ""en"", ""te""),"""")"),"")</f>
        <v/>
      </c>
      <c r="C3461" s="2" t="s">
        <v>2397</v>
      </c>
      <c r="D3461" s="2" t="str">
        <f>IFERROR(__xludf.DUMMYFUNCTION("IF(C3461&lt;&gt;"""", GOOGLETRANSLATE(C3461, ""en"", ""te""),"""")"),"[ '15 మ్యాచ్లో బెస్ట్ ఫిగర్స్ పరాజయం వైపు (11) ఉన్నప్పుడు', '22 వ అరంగేట్రంలోనే ఇన్నింగ్స్ లోని బెస్ట్ ఫిగర్స్ (6)', '29th అత్యంత వృద్ధ ఆటగాడు పది వికెట్లు లో ఒక మ్యాచ్ (34y 121d తీసుకోవాలని ) ']")</f>
        <v>[ '15 మ్యాచ్లో బెస్ట్ ఫిగర్స్ పరాజయం వైపు (11) ఉన్నప్పుడు', '22 వ అరంగేట్రంలోనే ఇన్నింగ్స్ లోని బెస్ట్ ఫిగర్స్ (6)', '29th అత్యంత వృద్ధ ఆటగాడు పది వికెట్లు లో ఒక మ్యాచ్ (34y 121d తీసుకోవాలని ) ']</v>
      </c>
      <c r="E3461" s="2"/>
      <c r="F3461" s="2" t="str">
        <f>IFERROR(__xludf.DUMMYFUNCTION("IF(E3461&lt;&gt;"""", GOOGLETRANSLATE(E3461, ""en"", ""te""),"""")"),"")</f>
        <v/>
      </c>
      <c r="G3461" s="2"/>
      <c r="H3461" s="2" t="str">
        <f>IFERROR(__xludf.DUMMYFUNCTION("IF(G3461&lt;&gt;"""", GOOGLETRANSLATE(G3461, ""en"", ""te""),"""")"),"")</f>
        <v/>
      </c>
      <c r="I3461" s="3"/>
    </row>
    <row r="3462" customHeight="1" spans="1:9">
      <c r="A3462" s="2"/>
      <c r="B3462" s="2" t="str">
        <f>IFERROR(__xludf.DUMMYFUNCTION("IF(A3462&lt;&gt;"""", GOOGLETRANSLATE(A3462, ""en"", ""te""),"""")"),"")</f>
        <v/>
      </c>
      <c r="C3462" s="2"/>
      <c r="D3462" s="2" t="str">
        <f>IFERROR(__xludf.DUMMYFUNCTION("IF(C3462&lt;&gt;"""", GOOGLETRANSLATE(C3462, ""en"", ""te""),"""")"),"")</f>
        <v/>
      </c>
      <c r="E3462" s="2"/>
      <c r="F3462" s="2" t="str">
        <f>IFERROR(__xludf.DUMMYFUNCTION("IF(E3462&lt;&gt;"""", GOOGLETRANSLATE(E3462, ""en"", ""te""),"""")"),"")</f>
        <v/>
      </c>
      <c r="G3462" s="2"/>
      <c r="H3462" s="2" t="str">
        <f>IFERROR(__xludf.DUMMYFUNCTION("IF(G3462&lt;&gt;"""", GOOGLETRANSLATE(G3462, ""en"", ""te""),"""")"),"")</f>
        <v/>
      </c>
      <c r="I3462" s="3"/>
    </row>
    <row r="3463" customHeight="1" spans="1:9">
      <c r="A3463" s="2"/>
      <c r="B3463" s="2" t="str">
        <f>IFERROR(__xludf.DUMMYFUNCTION("IF(A3463&lt;&gt;"""", GOOGLETRANSLATE(A3463, ""en"", ""te""),"""")"),"")</f>
        <v/>
      </c>
      <c r="C3463" s="2" t="s">
        <v>2398</v>
      </c>
      <c r="D3463" s="2" t="str">
        <f>IFERROR(__xludf.DUMMYFUNCTION("IF(C3463&lt;&gt;"""", GOOGLETRANSLATE(C3463, ""en"", ""te""),"""")"),"[ '42 వ సగటు (22.51) బౌలింగ్ ఉత్తమ జీవితం' '30 వ ఉత్తమ కెరీర్ ఆర్థిక రేటు (1.97)']")</f>
        <v>[ '42 వ సగటు (22.51) బౌలింగ్ ఉత్తమ జీవితం' '30 వ ఉత్తమ కెరీర్ ఆర్థిక రేటు (1.97)']</v>
      </c>
      <c r="E3463" s="2"/>
      <c r="F3463" s="2" t="str">
        <f>IFERROR(__xludf.DUMMYFUNCTION("IF(E3463&lt;&gt;"""", GOOGLETRANSLATE(E3463, ""en"", ""te""),"""")"),"")</f>
        <v/>
      </c>
      <c r="G3463" s="2"/>
      <c r="H3463" s="2" t="str">
        <f>IFERROR(__xludf.DUMMYFUNCTION("IF(G3463&lt;&gt;"""", GOOGLETRANSLATE(G3463, ""en"", ""te""),"""")"),"")</f>
        <v/>
      </c>
      <c r="I3463" s="3"/>
    </row>
    <row r="3464" customHeight="1" spans="1:9">
      <c r="A3464" s="2"/>
      <c r="B3464" s="2" t="str">
        <f>IFERROR(__xludf.DUMMYFUNCTION("IF(A3464&lt;&gt;"""", GOOGLETRANSLATE(A3464, ""en"", ""te""),"""")"),"")</f>
        <v/>
      </c>
      <c r="C3464" s="2"/>
      <c r="D3464" s="2" t="str">
        <f>IFERROR(__xludf.DUMMYFUNCTION("IF(C3464&lt;&gt;"""", GOOGLETRANSLATE(C3464, ""en"", ""te""),"""")"),"")</f>
        <v/>
      </c>
      <c r="E3464" s="2"/>
      <c r="F3464" s="2" t="str">
        <f>IFERROR(__xludf.DUMMYFUNCTION("IF(E3464&lt;&gt;"""", GOOGLETRANSLATE(E3464, ""en"", ""te""),"""")"),"")</f>
        <v/>
      </c>
      <c r="G3464" s="2"/>
      <c r="H3464" s="2" t="str">
        <f>IFERROR(__xludf.DUMMYFUNCTION("IF(G3464&lt;&gt;"""", GOOGLETRANSLATE(G3464, ""en"", ""te""),"""")"),"")</f>
        <v/>
      </c>
      <c r="I3464" s="3"/>
    </row>
    <row r="3465" customHeight="1" spans="1:9">
      <c r="A3465" s="2"/>
      <c r="B3465" s="2" t="str">
        <f>IFERROR(__xludf.DUMMYFUNCTION("IF(A3465&lt;&gt;"""", GOOGLETRANSLATE(A3465, ""en"", ""te""),"""")"),"")</f>
        <v/>
      </c>
      <c r="C3465" s="2"/>
      <c r="D3465" s="2" t="str">
        <f>IFERROR(__xludf.DUMMYFUNCTION("IF(C3465&lt;&gt;"""", GOOGLETRANSLATE(C3465, ""en"", ""te""),"""")"),"")</f>
        <v/>
      </c>
      <c r="E3465" s="2"/>
      <c r="F3465" s="2" t="str">
        <f>IFERROR(__xludf.DUMMYFUNCTION("IF(E3465&lt;&gt;"""", GOOGLETRANSLATE(E3465, ""en"", ""te""),"""")"),"")</f>
        <v/>
      </c>
      <c r="G3465" s="2"/>
      <c r="H3465" s="2" t="str">
        <f>IFERROR(__xludf.DUMMYFUNCTION("IF(G3465&lt;&gt;"""", GOOGLETRANSLATE(G3465, ""en"", ""te""),"""")"),"")</f>
        <v/>
      </c>
      <c r="I3465" s="3"/>
    </row>
    <row r="3466" customHeight="1" spans="1:9">
      <c r="A3466" s="2"/>
      <c r="B3466" s="2" t="str">
        <f>IFERROR(__xludf.DUMMYFUNCTION("IF(A3466&lt;&gt;"""", GOOGLETRANSLATE(A3466, ""en"", ""te""),"""")"),"")</f>
        <v/>
      </c>
      <c r="C3466" s="2"/>
      <c r="D3466" s="2" t="str">
        <f>IFERROR(__xludf.DUMMYFUNCTION("IF(C3466&lt;&gt;"""", GOOGLETRANSLATE(C3466, ""en"", ""te""),"""")"),"")</f>
        <v/>
      </c>
      <c r="E3466" s="2"/>
      <c r="F3466" s="2" t="str">
        <f>IFERROR(__xludf.DUMMYFUNCTION("IF(E3466&lt;&gt;"""", GOOGLETRANSLATE(E3466, ""en"", ""te""),"""")"),"")</f>
        <v/>
      </c>
      <c r="G3466" s="2"/>
      <c r="H3466" s="2" t="str">
        <f>IFERROR(__xludf.DUMMYFUNCTION("IF(G3466&lt;&gt;"""", GOOGLETRANSLATE(G3466, ""en"", ""te""),"""")"),"")</f>
        <v/>
      </c>
      <c r="I3466" s="3"/>
    </row>
    <row r="3467" customHeight="1" spans="1:9">
      <c r="A3467" s="2"/>
      <c r="B3467" s="2" t="str">
        <f>IFERROR(__xludf.DUMMYFUNCTION("IF(A3467&lt;&gt;"""", GOOGLETRANSLATE(A3467, ""en"", ""te""),"""")"),"")</f>
        <v/>
      </c>
      <c r="C3467" s="2"/>
      <c r="D3467" s="2" t="str">
        <f>IFERROR(__xludf.DUMMYFUNCTION("IF(C3467&lt;&gt;"""", GOOGLETRANSLATE(C3467, ""en"", ""te""),"""")"),"")</f>
        <v/>
      </c>
      <c r="E3467" s="2"/>
      <c r="F3467" s="2" t="str">
        <f>IFERROR(__xludf.DUMMYFUNCTION("IF(E3467&lt;&gt;"""", GOOGLETRANSLATE(E3467, ""en"", ""te""),"""")"),"")</f>
        <v/>
      </c>
      <c r="G3467" s="2"/>
      <c r="H3467" s="2" t="str">
        <f>IFERROR(__xludf.DUMMYFUNCTION("IF(G3467&lt;&gt;"""", GOOGLETRANSLATE(G3467, ""en"", ""te""),"""")"),"")</f>
        <v/>
      </c>
      <c r="I3467" s="3"/>
    </row>
    <row r="3468" customHeight="1" spans="1:9">
      <c r="A3468" s="2"/>
      <c r="B3468" s="2" t="str">
        <f>IFERROR(__xludf.DUMMYFUNCTION("IF(A3468&lt;&gt;"""", GOOGLETRANSLATE(A3468, ""en"", ""te""),"""")"),"")</f>
        <v/>
      </c>
      <c r="C3468" s="2"/>
      <c r="D3468" s="2" t="str">
        <f>IFERROR(__xludf.DUMMYFUNCTION("IF(C3468&lt;&gt;"""", GOOGLETRANSLATE(C3468, ""en"", ""te""),"""")"),"")</f>
        <v/>
      </c>
      <c r="E3468" s="2"/>
      <c r="F3468" s="2" t="str">
        <f>IFERROR(__xludf.DUMMYFUNCTION("IF(E3468&lt;&gt;"""", GOOGLETRANSLATE(E3468, ""en"", ""te""),"""")"),"")</f>
        <v/>
      </c>
      <c r="G3468" s="2"/>
      <c r="H3468" s="2" t="str">
        <f>IFERROR(__xludf.DUMMYFUNCTION("IF(G3468&lt;&gt;"""", GOOGLETRANSLATE(G3468, ""en"", ""te""),"""")"),"")</f>
        <v/>
      </c>
      <c r="I3468" s="3"/>
    </row>
    <row r="3469" customHeight="1" spans="1:9">
      <c r="A3469" s="2" t="s">
        <v>2399</v>
      </c>
      <c r="B3469" s="2" t="str">
        <f>IFERROR(__xludf.DUMMYFUNCTION("IF(A3469&lt;&gt;"""", GOOGLETRANSLATE(A3469, ""en"", ""te""),"""")"),"[ '9 వ అత్యంత బంతుల్లో ఒక మ్యాచ్లో (690) బౌల్డ్']")</f>
        <v>[ '9 వ అత్యంత బంతుల్లో ఒక మ్యాచ్లో (690) బౌల్డ్']</v>
      </c>
      <c r="C3469" s="2" t="s">
        <v>2400</v>
      </c>
      <c r="D3469" s="2" t="str">
        <f>IFERROR(__xludf.DUMMYFUNCTION("IF(C3469&lt;&gt;"""", GOOGLETRANSLATE(C3469, ""en"", ""te""),"""")"),"[ '22 ఒక సిరీస్లో అత్యధిక వికెట్లు (34)', '29 వ అత్యధిక పది వికెట్లు లో ఒక మ్యాచ్ ఒక వృత్తిలో (3)', '35 వ ఇన్నింగ్స్ లో బౌల్డ్ చాలా బంతుల్లో (438)', '9 వ అత్యంత బంతుల్లో ఒక సిరీస్లో 100 వికెట్ల (24) ',' 42 వ అత్యధిక క్యాచ్లు ఒక మ్యాచ్ (690) ',' ఫాస్టెస్ట్"&amp;" 48 వ లో బౌల్డ్ (10) ',' తొమ్మిదవ వికెట్ (109) కోసం 34 వ అత్యధిక భాగస్వామ్యం ']")</f>
        <v>[ '22 ఒక సిరీస్లో అత్యధిక వికెట్లు (34)', '29 వ అత్యధిక పది వికెట్లు లో ఒక మ్యాచ్ ఒక వృత్తిలో (3)', '35 వ ఇన్నింగ్స్ లో బౌల్డ్ చాలా బంతుల్లో (438)', '9 వ అత్యంత బంతుల్లో ఒక సిరీస్లో 100 వికెట్ల (24) ',' 42 వ అత్యధిక క్యాచ్లు ఒక మ్యాచ్ (690) ',' ఫాస్టెస్ట్ 48 వ లో బౌల్డ్ (10) ',' తొమ్మిదవ వికెట్ (109) కోసం 34 వ అత్యధిక భాగస్వామ్యం ']</v>
      </c>
      <c r="E3469" s="2"/>
      <c r="F3469" s="2" t="str">
        <f>IFERROR(__xludf.DUMMYFUNCTION("IF(E3469&lt;&gt;"""", GOOGLETRANSLATE(E3469, ""en"", ""te""),"""")"),"")</f>
        <v/>
      </c>
      <c r="G3469" s="2"/>
      <c r="H3469" s="2" t="str">
        <f>IFERROR(__xludf.DUMMYFUNCTION("IF(G3469&lt;&gt;"""", GOOGLETRANSLATE(G3469, ""en"", ""te""),"""")"),"")</f>
        <v/>
      </c>
      <c r="I3469" s="3"/>
    </row>
    <row r="3470" customHeight="1" spans="1:9">
      <c r="A3470" s="2"/>
      <c r="B3470" s="2" t="str">
        <f>IFERROR(__xludf.DUMMYFUNCTION("IF(A3470&lt;&gt;"""", GOOGLETRANSLATE(A3470, ""en"", ""te""),"""")"),"")</f>
        <v/>
      </c>
      <c r="C3470" s="2"/>
      <c r="D3470" s="2" t="str">
        <f>IFERROR(__xludf.DUMMYFUNCTION("IF(C3470&lt;&gt;"""", GOOGLETRANSLATE(C3470, ""en"", ""te""),"""")"),"")</f>
        <v/>
      </c>
      <c r="E3470" s="2"/>
      <c r="F3470" s="2" t="str">
        <f>IFERROR(__xludf.DUMMYFUNCTION("IF(E3470&lt;&gt;"""", GOOGLETRANSLATE(E3470, ""en"", ""te""),"""")"),"")</f>
        <v/>
      </c>
      <c r="G3470" s="2"/>
      <c r="H3470" s="2" t="str">
        <f>IFERROR(__xludf.DUMMYFUNCTION("IF(G3470&lt;&gt;"""", GOOGLETRANSLATE(G3470, ""en"", ""te""),"""")"),"")</f>
        <v/>
      </c>
      <c r="I3470" s="3"/>
    </row>
    <row r="3471" customHeight="1" spans="1:9">
      <c r="A3471" s="2"/>
      <c r="B3471" s="2" t="str">
        <f>IFERROR(__xludf.DUMMYFUNCTION("IF(A3471&lt;&gt;"""", GOOGLETRANSLATE(A3471, ""en"", ""te""),"""")"),"")</f>
        <v/>
      </c>
      <c r="C3471" s="2"/>
      <c r="D3471" s="2" t="str">
        <f>IFERROR(__xludf.DUMMYFUNCTION("IF(C3471&lt;&gt;"""", GOOGLETRANSLATE(C3471, ""en"", ""te""),"""")"),"")</f>
        <v/>
      </c>
      <c r="E3471" s="2"/>
      <c r="F3471" s="2" t="str">
        <f>IFERROR(__xludf.DUMMYFUNCTION("IF(E3471&lt;&gt;"""", GOOGLETRANSLATE(E3471, ""en"", ""te""),"""")"),"")</f>
        <v/>
      </c>
      <c r="G3471" s="2"/>
      <c r="H3471" s="2" t="str">
        <f>IFERROR(__xludf.DUMMYFUNCTION("IF(G3471&lt;&gt;"""", GOOGLETRANSLATE(G3471, ""en"", ""te""),"""")"),"")</f>
        <v/>
      </c>
      <c r="I3471" s="3"/>
    </row>
    <row r="3472" customHeight="1" spans="1:9">
      <c r="A3472" s="2"/>
      <c r="B3472" s="2" t="str">
        <f>IFERROR(__xludf.DUMMYFUNCTION("IF(A3472&lt;&gt;"""", GOOGLETRANSLATE(A3472, ""en"", ""te""),"""")"),"")</f>
        <v/>
      </c>
      <c r="C3472" s="2"/>
      <c r="D3472" s="2" t="str">
        <f>IFERROR(__xludf.DUMMYFUNCTION("IF(C3472&lt;&gt;"""", GOOGLETRANSLATE(C3472, ""en"", ""te""),"""")"),"")</f>
        <v/>
      </c>
      <c r="E3472" s="2"/>
      <c r="F3472" s="2" t="str">
        <f>IFERROR(__xludf.DUMMYFUNCTION("IF(E3472&lt;&gt;"""", GOOGLETRANSLATE(E3472, ""en"", ""te""),"""")"),"")</f>
        <v/>
      </c>
      <c r="G3472" s="2"/>
      <c r="H3472" s="2" t="str">
        <f>IFERROR(__xludf.DUMMYFUNCTION("IF(G3472&lt;&gt;"""", GOOGLETRANSLATE(G3472, ""en"", ""te""),"""")"),"")</f>
        <v/>
      </c>
      <c r="I3472" s="3"/>
    </row>
    <row r="3473" customHeight="1" spans="1:9">
      <c r="A3473" s="2"/>
      <c r="B3473" s="2" t="str">
        <f>IFERROR(__xludf.DUMMYFUNCTION("IF(A3473&lt;&gt;"""", GOOGLETRANSLATE(A3473, ""en"", ""te""),"""")"),"")</f>
        <v/>
      </c>
      <c r="C3473" s="2"/>
      <c r="D3473" s="2" t="str">
        <f>IFERROR(__xludf.DUMMYFUNCTION("IF(C3473&lt;&gt;"""", GOOGLETRANSLATE(C3473, ""en"", ""te""),"""")"),"")</f>
        <v/>
      </c>
      <c r="E3473" s="2"/>
      <c r="F3473" s="2" t="str">
        <f>IFERROR(__xludf.DUMMYFUNCTION("IF(E3473&lt;&gt;"""", GOOGLETRANSLATE(E3473, ""en"", ""te""),"""")"),"")</f>
        <v/>
      </c>
      <c r="G3473" s="2"/>
      <c r="H3473" s="2" t="str">
        <f>IFERROR(__xludf.DUMMYFUNCTION("IF(G3473&lt;&gt;"""", GOOGLETRANSLATE(G3473, ""en"", ""te""),"""")"),"")</f>
        <v/>
      </c>
      <c r="I3473" s="3"/>
    </row>
    <row r="3474" customHeight="1" spans="1:9">
      <c r="A3474" s="2"/>
      <c r="B3474" s="2" t="str">
        <f>IFERROR(__xludf.DUMMYFUNCTION("IF(A3474&lt;&gt;"""", GOOGLETRANSLATE(A3474, ""en"", ""te""),"""")"),"")</f>
        <v/>
      </c>
      <c r="C3474" s="2"/>
      <c r="D3474" s="2" t="str">
        <f>IFERROR(__xludf.DUMMYFUNCTION("IF(C3474&lt;&gt;"""", GOOGLETRANSLATE(C3474, ""en"", ""te""),"""")"),"")</f>
        <v/>
      </c>
      <c r="E3474" s="2"/>
      <c r="F3474" s="2" t="str">
        <f>IFERROR(__xludf.DUMMYFUNCTION("IF(E3474&lt;&gt;"""", GOOGLETRANSLATE(E3474, ""en"", ""te""),"""")"),"")</f>
        <v/>
      </c>
      <c r="G3474" s="2"/>
      <c r="H3474" s="2" t="str">
        <f>IFERROR(__xludf.DUMMYFUNCTION("IF(G3474&lt;&gt;"""", GOOGLETRANSLATE(G3474, ""en"", ""te""),"""")"),"")</f>
        <v/>
      </c>
      <c r="I3474" s="3"/>
    </row>
    <row r="3475" customHeight="1" spans="1:9">
      <c r="A3475" s="2"/>
      <c r="B3475" s="2" t="str">
        <f>IFERROR(__xludf.DUMMYFUNCTION("IF(A3475&lt;&gt;"""", GOOGLETRANSLATE(A3475, ""en"", ""te""),"""")"),"")</f>
        <v/>
      </c>
      <c r="C3475" s="2"/>
      <c r="D3475" s="2" t="str">
        <f>IFERROR(__xludf.DUMMYFUNCTION("IF(C3475&lt;&gt;"""", GOOGLETRANSLATE(C3475, ""en"", ""te""),"""")"),"")</f>
        <v/>
      </c>
      <c r="E3475" s="2"/>
      <c r="F3475" s="2" t="str">
        <f>IFERROR(__xludf.DUMMYFUNCTION("IF(E3475&lt;&gt;"""", GOOGLETRANSLATE(E3475, ""en"", ""te""),"""")"),"")</f>
        <v/>
      </c>
      <c r="G3475" s="2"/>
      <c r="H3475" s="2" t="str">
        <f>IFERROR(__xludf.DUMMYFUNCTION("IF(G3475&lt;&gt;"""", GOOGLETRANSLATE(G3475, ""en"", ""te""),"""")"),"")</f>
        <v/>
      </c>
      <c r="I3475" s="3"/>
    </row>
    <row r="3476" customHeight="1" spans="1:9">
      <c r="A3476" s="2"/>
      <c r="B3476" s="2" t="str">
        <f>IFERROR(__xludf.DUMMYFUNCTION("IF(A3476&lt;&gt;"""", GOOGLETRANSLATE(A3476, ""en"", ""te""),"""")"),"")</f>
        <v/>
      </c>
      <c r="C3476" s="2"/>
      <c r="D3476" s="2" t="str">
        <f>IFERROR(__xludf.DUMMYFUNCTION("IF(C3476&lt;&gt;"""", GOOGLETRANSLATE(C3476, ""en"", ""te""),"""")"),"")</f>
        <v/>
      </c>
      <c r="E3476" s="2"/>
      <c r="F3476" s="2" t="str">
        <f>IFERROR(__xludf.DUMMYFUNCTION("IF(E3476&lt;&gt;"""", GOOGLETRANSLATE(E3476, ""en"", ""te""),"""")"),"")</f>
        <v/>
      </c>
      <c r="G3476" s="2"/>
      <c r="H3476" s="2" t="str">
        <f>IFERROR(__xludf.DUMMYFUNCTION("IF(G3476&lt;&gt;"""", GOOGLETRANSLATE(G3476, ""en"", ""te""),"""")"),"")</f>
        <v/>
      </c>
      <c r="I3476" s="3"/>
    </row>
    <row r="3477" customHeight="1" spans="1:9">
      <c r="A3477" s="2"/>
      <c r="B3477" s="2" t="str">
        <f>IFERROR(__xludf.DUMMYFUNCTION("IF(A3477&lt;&gt;"""", GOOGLETRANSLATE(A3477, ""en"", ""te""),"""")"),"")</f>
        <v/>
      </c>
      <c r="C3477" s="2"/>
      <c r="D3477" s="2" t="str">
        <f>IFERROR(__xludf.DUMMYFUNCTION("IF(C3477&lt;&gt;"""", GOOGLETRANSLATE(C3477, ""en"", ""te""),"""")"),"")</f>
        <v/>
      </c>
      <c r="E3477" s="2"/>
      <c r="F3477" s="2" t="str">
        <f>IFERROR(__xludf.DUMMYFUNCTION("IF(E3477&lt;&gt;"""", GOOGLETRANSLATE(E3477, ""en"", ""te""),"""")"),"")</f>
        <v/>
      </c>
      <c r="G3477" s="2"/>
      <c r="H3477" s="2" t="str">
        <f>IFERROR(__xludf.DUMMYFUNCTION("IF(G3477&lt;&gt;"""", GOOGLETRANSLATE(G3477, ""en"", ""te""),"""")"),"")</f>
        <v/>
      </c>
      <c r="I3477" s="3"/>
    </row>
    <row r="3478" customHeight="1" spans="1:9">
      <c r="A3478" s="2"/>
      <c r="B3478" s="2" t="str">
        <f>IFERROR(__xludf.DUMMYFUNCTION("IF(A3478&lt;&gt;"""", GOOGLETRANSLATE(A3478, ""en"", ""te""),"""")"),"")</f>
        <v/>
      </c>
      <c r="C3478" s="2"/>
      <c r="D3478" s="2" t="str">
        <f>IFERROR(__xludf.DUMMYFUNCTION("IF(C3478&lt;&gt;"""", GOOGLETRANSLATE(C3478, ""en"", ""te""),"""")"),"")</f>
        <v/>
      </c>
      <c r="E3478" s="2"/>
      <c r="F3478" s="2" t="str">
        <f>IFERROR(__xludf.DUMMYFUNCTION("IF(E3478&lt;&gt;"""", GOOGLETRANSLATE(E3478, ""en"", ""te""),"""")"),"")</f>
        <v/>
      </c>
      <c r="G3478" s="2"/>
      <c r="H3478" s="2" t="str">
        <f>IFERROR(__xludf.DUMMYFUNCTION("IF(G3478&lt;&gt;"""", GOOGLETRANSLATE(G3478, ""en"", ""te""),"""")"),"")</f>
        <v/>
      </c>
      <c r="I3478" s="3"/>
    </row>
    <row r="3479" customHeight="1" spans="1:9">
      <c r="A3479" s="2" t="s">
        <v>1574</v>
      </c>
      <c r="B3479" s="2" t="str">
        <f>IFERROR(__xludf.DUMMYFUNCTION("IF(A3479&lt;&gt;"""", GOOGLETRANSLATE(A3479, ""en"", ""te""),"""")"),"[ 'తొలి ఇన్నింగ్స్లో 4 వ ఉత్తమ బొమ్మలు (4)']")</f>
        <v>[ 'తొలి ఇన్నింగ్స్లో 4 వ ఉత్తమ బొమ్మలు (4)']</v>
      </c>
      <c r="C3479" s="2"/>
      <c r="D3479" s="2" t="str">
        <f>IFERROR(__xludf.DUMMYFUNCTION("IF(C3479&lt;&gt;"""", GOOGLETRANSLATE(C3479, ""en"", ""te""),"""")"),"")</f>
        <v/>
      </c>
      <c r="E3479" s="2"/>
      <c r="F3479" s="2" t="str">
        <f>IFERROR(__xludf.DUMMYFUNCTION("IF(E3479&lt;&gt;"""", GOOGLETRANSLATE(E3479, ""en"", ""te""),"""")"),"")</f>
        <v/>
      </c>
      <c r="G3479" s="2" t="s">
        <v>1574</v>
      </c>
      <c r="H3479" s="2" t="str">
        <f>IFERROR(__xludf.DUMMYFUNCTION("IF(G3479&lt;&gt;"""", GOOGLETRANSLATE(G3479, ""en"", ""te""),"""")"),"[ 'తొలి ఇన్నింగ్స్లో 4 వ ఉత్తమ బొమ్మలు (4)']")</f>
        <v>[ 'తొలి ఇన్నింగ్స్లో 4 వ ఉత్తమ బొమ్మలు (4)']</v>
      </c>
      <c r="I3479" s="3"/>
    </row>
    <row r="3480" customHeight="1" spans="1:9">
      <c r="A3480" s="2"/>
      <c r="B3480" s="2" t="str">
        <f>IFERROR(__xludf.DUMMYFUNCTION("IF(A3480&lt;&gt;"""", GOOGLETRANSLATE(A3480, ""en"", ""te""),"""")"),"")</f>
        <v/>
      </c>
      <c r="C3480" s="2"/>
      <c r="D3480" s="2" t="str">
        <f>IFERROR(__xludf.DUMMYFUNCTION("IF(C3480&lt;&gt;"""", GOOGLETRANSLATE(C3480, ""en"", ""te""),"""")"),"")</f>
        <v/>
      </c>
      <c r="E3480" s="2" t="s">
        <v>549</v>
      </c>
      <c r="F3480" s="2" t="str">
        <f>IFERROR(__xludf.DUMMYFUNCTION("IF(E3480&lt;&gt;"""", GOOGLETRANSLATE(E3480, ""en"", ""te""),"""")"),"[ 'తొలి ఇన్నింగ్స్ 15 వ బెస్ట్ ఫిగర్స్ (4)']")</f>
        <v>[ 'తొలి ఇన్నింగ్స్ 15 వ బెస్ట్ ఫిగర్స్ (4)']</v>
      </c>
      <c r="G3480" s="2"/>
      <c r="H3480" s="2" t="str">
        <f>IFERROR(__xludf.DUMMYFUNCTION("IF(G3480&lt;&gt;"""", GOOGLETRANSLATE(G3480, ""en"", ""te""),"""")"),"")</f>
        <v/>
      </c>
      <c r="I3480" s="3"/>
    </row>
    <row r="3481" customHeight="1" spans="1:9">
      <c r="A3481" s="2" t="s">
        <v>642</v>
      </c>
      <c r="B3481" s="2" t="str">
        <f>IFERROR(__xludf.DUMMYFUNCTION("IF(A3481&lt;&gt;"""", GOOGLETRANSLATE(A3481, ""en"", ""te""),"""")"),"[ 'హండ్రెడ్ మరియు ఒక మ్యాచ్లో ఒక డక్', 'బ్యాటింగ్ తెరవడం మరియు అదే మ్యాచ్ లో బౌలింగ్']")</f>
        <v>[ 'హండ్రెడ్ మరియు ఒక మ్యాచ్లో ఒక డక్', 'బ్యాటింగ్ తెరవడం మరియు అదే మ్యాచ్ లో బౌలింగ్']</v>
      </c>
      <c r="C3481" s="2"/>
      <c r="D3481" s="2" t="str">
        <f>IFERROR(__xludf.DUMMYFUNCTION("IF(C3481&lt;&gt;"""", GOOGLETRANSLATE(C3481, ""en"", ""te""),"""")"),"")</f>
        <v/>
      </c>
      <c r="E3481" s="2"/>
      <c r="F3481" s="2" t="str">
        <f>IFERROR(__xludf.DUMMYFUNCTION("IF(E3481&lt;&gt;"""", GOOGLETRANSLATE(E3481, ""en"", ""te""),"""")"),"")</f>
        <v/>
      </c>
      <c r="G3481" s="2"/>
      <c r="H3481" s="2" t="str">
        <f>IFERROR(__xludf.DUMMYFUNCTION("IF(G3481&lt;&gt;"""", GOOGLETRANSLATE(G3481, ""en"", ""te""),"""")"),"")</f>
        <v/>
      </c>
      <c r="I3481" s="3"/>
    </row>
    <row r="3482" customHeight="1" spans="1:9">
      <c r="A3482" s="2"/>
      <c r="B3482" s="2" t="str">
        <f>IFERROR(__xludf.DUMMYFUNCTION("IF(A3482&lt;&gt;"""", GOOGLETRANSLATE(A3482, ""en"", ""te""),"""")"),"")</f>
        <v/>
      </c>
      <c r="C3482" s="2"/>
      <c r="D3482" s="2" t="str">
        <f>IFERROR(__xludf.DUMMYFUNCTION("IF(C3482&lt;&gt;"""", GOOGLETRANSLATE(C3482, ""en"", ""te""),"""")"),"")</f>
        <v/>
      </c>
      <c r="E3482" s="2" t="s">
        <v>2401</v>
      </c>
      <c r="F3482" s="2" t="str">
        <f>IFERROR(__xludf.DUMMYFUNCTION("IF(E3482&lt;&gt;"""", GOOGLETRANSLATE(E3482, ""en"", ""te""),"""")"),"[18 వ పురాతన దేశం ఆటగాళ్ళు (80y 257d) ']")</f>
        <v>[18 వ పురాతన దేశం ఆటగాళ్ళు (80y 257d) ']</v>
      </c>
      <c r="G3482" s="2"/>
      <c r="H3482" s="2" t="str">
        <f>IFERROR(__xludf.DUMMYFUNCTION("IF(G3482&lt;&gt;"""", GOOGLETRANSLATE(G3482, ""en"", ""te""),"""")"),"")</f>
        <v/>
      </c>
      <c r="I3482" s="3"/>
    </row>
    <row r="3483" customHeight="1" spans="1:9">
      <c r="A3483" s="2" t="s">
        <v>352</v>
      </c>
      <c r="B3483" s="2" t="str">
        <f>IFERROR(__xludf.DUMMYFUNCTION("IF(A3483&lt;&gt;"""", GOOGLETRANSLATE(A3483, ""en"", ""te""),"""")"),"[ 'బ్యాటింగ్ ప్రారంభించుటకు మరియు అదే మ్యాచ్ లో బౌలింగ్']")</f>
        <v>[ 'బ్యాటింగ్ ప్రారంభించుటకు మరియు అదే మ్యాచ్ లో బౌలింగ్']</v>
      </c>
      <c r="C3483" s="2"/>
      <c r="D3483" s="2" t="str">
        <f>IFERROR(__xludf.DUMMYFUNCTION("IF(C3483&lt;&gt;"""", GOOGLETRANSLATE(C3483, ""en"", ""te""),"""")"),"")</f>
        <v/>
      </c>
      <c r="E3483" s="2"/>
      <c r="F3483" s="2" t="str">
        <f>IFERROR(__xludf.DUMMYFUNCTION("IF(E3483&lt;&gt;"""", GOOGLETRANSLATE(E3483, ""en"", ""te""),"""")"),"")</f>
        <v/>
      </c>
      <c r="G3483" s="2"/>
      <c r="H3483" s="2" t="str">
        <f>IFERROR(__xludf.DUMMYFUNCTION("IF(G3483&lt;&gt;"""", GOOGLETRANSLATE(G3483, ""en"", ""te""),"""")"),"")</f>
        <v/>
      </c>
      <c r="I3483" s="3"/>
    </row>
    <row r="3484" customHeight="1" spans="1:9">
      <c r="A3484" s="2"/>
      <c r="B3484" s="2" t="str">
        <f>IFERROR(__xludf.DUMMYFUNCTION("IF(A3484&lt;&gt;"""", GOOGLETRANSLATE(A3484, ""en"", ""te""),"""")"),"")</f>
        <v/>
      </c>
      <c r="C3484" s="2"/>
      <c r="D3484" s="2" t="str">
        <f>IFERROR(__xludf.DUMMYFUNCTION("IF(C3484&lt;&gt;"""", GOOGLETRANSLATE(C3484, ""en"", ""te""),"""")"),"")</f>
        <v/>
      </c>
      <c r="E3484" s="2" t="s">
        <v>2402</v>
      </c>
      <c r="F3484" s="2" t="str">
        <f>IFERROR(__xludf.DUMMYFUNCTION("IF(E3484&lt;&gt;"""", GOOGLETRANSLATE(E3484, ""en"", ""te""),"""")"),"[ 'తొలి 37 వ ఓల్డెస్ట్ క్రీడాకారులు (33y 83d)']")</f>
        <v>[ 'తొలి 37 వ ఓల్డెస్ట్ క్రీడాకారులు (33y 83d)']</v>
      </c>
      <c r="G3484" s="2"/>
      <c r="H3484" s="2" t="str">
        <f>IFERROR(__xludf.DUMMYFUNCTION("IF(G3484&lt;&gt;"""", GOOGLETRANSLATE(G3484, ""en"", ""te""),"""")"),"")</f>
        <v/>
      </c>
      <c r="I3484" s="3"/>
    </row>
    <row r="3485" customHeight="1" spans="1:9">
      <c r="A3485" s="2"/>
      <c r="B3485" s="2" t="str">
        <f>IFERROR(__xludf.DUMMYFUNCTION("IF(A3485&lt;&gt;"""", GOOGLETRANSLATE(A3485, ""en"", ""te""),"""")"),"")</f>
        <v/>
      </c>
      <c r="C3485" s="2"/>
      <c r="D3485" s="2" t="str">
        <f>IFERROR(__xludf.DUMMYFUNCTION("IF(C3485&lt;&gt;"""", GOOGLETRANSLATE(C3485, ""en"", ""te""),"""")"),"")</f>
        <v/>
      </c>
      <c r="E3485" s="2"/>
      <c r="F3485" s="2" t="str">
        <f>IFERROR(__xludf.DUMMYFUNCTION("IF(E3485&lt;&gt;"""", GOOGLETRANSLATE(E3485, ""en"", ""te""),"""")"),"")</f>
        <v/>
      </c>
      <c r="G3485" s="2"/>
      <c r="H3485" s="2" t="str">
        <f>IFERROR(__xludf.DUMMYFUNCTION("IF(G3485&lt;&gt;"""", GOOGLETRANSLATE(G3485, ""en"", ""te""),"""")"),"")</f>
        <v/>
      </c>
      <c r="I3485" s="3"/>
    </row>
    <row r="3486" customHeight="1" spans="1:9">
      <c r="A3486" s="2"/>
      <c r="B3486" s="2" t="str">
        <f>IFERROR(__xludf.DUMMYFUNCTION("IF(A3486&lt;&gt;"""", GOOGLETRANSLATE(A3486, ""en"", ""te""),"""")"),"")</f>
        <v/>
      </c>
      <c r="C3486" s="2" t="s">
        <v>8</v>
      </c>
      <c r="D3486" s="2" t="str">
        <f>IFERROR(__xludf.DUMMYFUNCTION("IF(C3486&lt;&gt;"""", GOOGLETRANSLATE(C3486, ""en"", ""te""),"""")"),"[ '17 వ ప్రవేశం (9) ఒక మ్యాచ్లో బెస్ట్ ఫిగర్స్']")</f>
        <v>[ '17 వ ప్రవేశం (9) ఒక మ్యాచ్లో బెస్ట్ ఫిగర్స్']</v>
      </c>
      <c r="E3486" s="2"/>
      <c r="F3486" s="2" t="str">
        <f>IFERROR(__xludf.DUMMYFUNCTION("IF(E3486&lt;&gt;"""", GOOGLETRANSLATE(E3486, ""en"", ""te""),"""")"),"")</f>
        <v/>
      </c>
      <c r="G3486" s="2"/>
      <c r="H3486" s="2" t="str">
        <f>IFERROR(__xludf.DUMMYFUNCTION("IF(G3486&lt;&gt;"""", GOOGLETRANSLATE(G3486, ""en"", ""te""),"""")"),"")</f>
        <v/>
      </c>
      <c r="I3486" s="3"/>
    </row>
    <row r="3487" customHeight="1" spans="1:9">
      <c r="A3487" s="2"/>
      <c r="B3487" s="2" t="str">
        <f>IFERROR(__xludf.DUMMYFUNCTION("IF(A3487&lt;&gt;"""", GOOGLETRANSLATE(A3487, ""en"", ""te""),"""")"),"")</f>
        <v/>
      </c>
      <c r="C3487" s="2"/>
      <c r="D3487" s="2" t="str">
        <f>IFERROR(__xludf.DUMMYFUNCTION("IF(C3487&lt;&gt;"""", GOOGLETRANSLATE(C3487, ""en"", ""te""),"""")"),"")</f>
        <v/>
      </c>
      <c r="E3487" s="2"/>
      <c r="F3487" s="2" t="str">
        <f>IFERROR(__xludf.DUMMYFUNCTION("IF(E3487&lt;&gt;"""", GOOGLETRANSLATE(E3487, ""en"", ""te""),"""")"),"")</f>
        <v/>
      </c>
      <c r="G3487" s="2"/>
      <c r="H3487" s="2" t="str">
        <f>IFERROR(__xludf.DUMMYFUNCTION("IF(G3487&lt;&gt;"""", GOOGLETRANSLATE(G3487, ""en"", ""te""),"""")"),"")</f>
        <v/>
      </c>
      <c r="I3487" s="3"/>
    </row>
    <row r="3488" customHeight="1" spans="1:9">
      <c r="A3488" s="2"/>
      <c r="B3488" s="2" t="str">
        <f>IFERROR(__xludf.DUMMYFUNCTION("IF(A3488&lt;&gt;"""", GOOGLETRANSLATE(A3488, ""en"", ""te""),"""")"),"")</f>
        <v/>
      </c>
      <c r="C3488" s="2"/>
      <c r="D3488" s="2" t="str">
        <f>IFERROR(__xludf.DUMMYFUNCTION("IF(C3488&lt;&gt;"""", GOOGLETRANSLATE(C3488, ""en"", ""te""),"""")"),"")</f>
        <v/>
      </c>
      <c r="E3488" s="2"/>
      <c r="F3488" s="2" t="str">
        <f>IFERROR(__xludf.DUMMYFUNCTION("IF(E3488&lt;&gt;"""", GOOGLETRANSLATE(E3488, ""en"", ""te""),"""")"),"")</f>
        <v/>
      </c>
      <c r="G3488" s="2"/>
      <c r="H3488" s="2" t="str">
        <f>IFERROR(__xludf.DUMMYFUNCTION("IF(G3488&lt;&gt;"""", GOOGLETRANSLATE(G3488, ""en"", ""te""),"""")"),"")</f>
        <v/>
      </c>
      <c r="I3488" s="3"/>
    </row>
    <row r="3489" customHeight="1" spans="1:9">
      <c r="A3489" s="2"/>
      <c r="B3489" s="2" t="str">
        <f>IFERROR(__xludf.DUMMYFUNCTION("IF(A3489&lt;&gt;"""", GOOGLETRANSLATE(A3489, ""en"", ""te""),"""")"),"")</f>
        <v/>
      </c>
      <c r="C3489" s="2"/>
      <c r="D3489" s="2" t="str">
        <f>IFERROR(__xludf.DUMMYFUNCTION("IF(C3489&lt;&gt;"""", GOOGLETRANSLATE(C3489, ""en"", ""te""),"""")"),"")</f>
        <v/>
      </c>
      <c r="E3489" s="2"/>
      <c r="F3489" s="2" t="str">
        <f>IFERROR(__xludf.DUMMYFUNCTION("IF(E3489&lt;&gt;"""", GOOGLETRANSLATE(E3489, ""en"", ""te""),"""")"),"")</f>
        <v/>
      </c>
      <c r="G3489" s="2"/>
      <c r="H3489" s="2" t="str">
        <f>IFERROR(__xludf.DUMMYFUNCTION("IF(G3489&lt;&gt;"""", GOOGLETRANSLATE(G3489, ""en"", ""te""),"""")"),"")</f>
        <v/>
      </c>
      <c r="I3489" s="3"/>
    </row>
    <row r="3490" customHeight="1" spans="1:9">
      <c r="A3490" s="2"/>
      <c r="B3490" s="2" t="str">
        <f>IFERROR(__xludf.DUMMYFUNCTION("IF(A3490&lt;&gt;"""", GOOGLETRANSLATE(A3490, ""en"", ""te""),"""")"),"")</f>
        <v/>
      </c>
      <c r="C3490" s="2" t="s">
        <v>2403</v>
      </c>
      <c r="D3490" s="2" t="str">
        <f>IFERROR(__xludf.DUMMYFUNCTION("IF(C3490&lt;&gt;"""", GOOGLETRANSLATE(C3490, ""en"", ""te""),"""")"),"[ '11 వ హండ్రెడ్ గత మ్యాచ్లో (187)', '33 వ ఒక జట్టు (7) వ్యతిరేకంగా అత్యధిక వందలు']")</f>
        <v>[ '11 వ హండ్రెడ్ గత మ్యాచ్లో (187)', '33 వ ఒక జట్టు (7) వ్యతిరేకంగా అత్యధిక వందలు']</v>
      </c>
      <c r="E3490" s="2"/>
      <c r="F3490" s="2" t="str">
        <f>IFERROR(__xludf.DUMMYFUNCTION("IF(E3490&lt;&gt;"""", GOOGLETRANSLATE(E3490, ""en"", ""te""),"""")"),"")</f>
        <v/>
      </c>
      <c r="G3490" s="2"/>
      <c r="H3490" s="2" t="str">
        <f>IFERROR(__xludf.DUMMYFUNCTION("IF(G3490&lt;&gt;"""", GOOGLETRANSLATE(G3490, ""en"", ""te""),"""")"),"")</f>
        <v/>
      </c>
      <c r="I3490" s="3"/>
    </row>
    <row r="3491" customHeight="1" spans="1:9">
      <c r="A3491" s="2"/>
      <c r="B3491" s="2" t="str">
        <f>IFERROR(__xludf.DUMMYFUNCTION("IF(A3491&lt;&gt;"""", GOOGLETRANSLATE(A3491, ""en"", ""te""),"""")"),"")</f>
        <v/>
      </c>
      <c r="C3491" s="2"/>
      <c r="D3491" s="2" t="str">
        <f>IFERROR(__xludf.DUMMYFUNCTION("IF(C3491&lt;&gt;"""", GOOGLETRANSLATE(C3491, ""en"", ""te""),"""")"),"")</f>
        <v/>
      </c>
      <c r="E3491" s="2"/>
      <c r="F3491" s="2" t="str">
        <f>IFERROR(__xludf.DUMMYFUNCTION("IF(E3491&lt;&gt;"""", GOOGLETRANSLATE(E3491, ""en"", ""te""),"""")"),"")</f>
        <v/>
      </c>
      <c r="G3491" s="2"/>
      <c r="H3491" s="2" t="str">
        <f>IFERROR(__xludf.DUMMYFUNCTION("IF(G3491&lt;&gt;"""", GOOGLETRANSLATE(G3491, ""en"", ""te""),"""")"),"")</f>
        <v/>
      </c>
      <c r="I3491" s="3"/>
    </row>
    <row r="3492" customHeight="1" spans="1:9">
      <c r="A3492" s="2" t="s">
        <v>2404</v>
      </c>
      <c r="B3492" s="2" t="str">
        <f>IFERROR(__xludf.DUMMYFUNCTION("IF(A3492&lt;&gt;"""", GOOGLETRANSLATE(A3492, ""en"", ""te""),"""")"),"[ 'కన్య వందల (35y 331d) స్కోర్ 9 వ అత్యంత వృద్ధ ఆటగాడు' '10 వ వరుస మ్యాచ్లు ప్రదర్శనల మధ్య బృందం (85) కోసం తప్పిన',]")</f>
        <v>[ 'కన్య వందల (35y 331d) స్కోర్ 9 వ అత్యంత వృద్ధ ఆటగాడు' '10 వ వరుస మ్యాచ్లు ప్రదర్శనల మధ్య బృందం (85) కోసం తప్పిన',]</v>
      </c>
      <c r="C3492" s="2" t="s">
        <v>2405</v>
      </c>
      <c r="D3492" s="2" t="str">
        <f>IFERROR(__xludf.DUMMYFUNCTION("IF(C3492&lt;&gt;"""", GOOGLETRANSLATE(C3492, ""en"", ""te""),"""")"),"[ '10 వ వరుస మ్యాచ్లు ప్రదర్శనల మధ్య (85) జట్టు తప్పిన']")</f>
        <v>[ '10 వ వరుస మ్యాచ్లు ప్రదర్శనల మధ్య (85) జట్టు తప్పిన']</v>
      </c>
      <c r="E3492" s="2" t="s">
        <v>2406</v>
      </c>
      <c r="F3492" s="2" t="str">
        <f>IFERROR(__xludf.DUMMYFUNCTION("IF(E3492&lt;&gt;"""", GOOGLETRANSLATE(E3492, ""en"", ""te""),"""")"),"[ '9 వ అత్యంత వృద్ధ ఆటగాడు తొలి వంద (35y 331d) స్కోర్', 'ప్రదర్శనల మధ్య 6 వ లాంగెస్ట్ వ్యవధిలో (9y 266d)' '25 వ అత్యంత వృద్ధ ఆటగాడు వంద (35y 331d) స్కోర్',]")</f>
        <v>[ '9 వ అత్యంత వృద్ధ ఆటగాడు తొలి వంద (35y 331d) స్కోర్', 'ప్రదర్శనల మధ్య 6 వ లాంగెస్ట్ వ్యవధిలో (9y 266d)' '25 వ అత్యంత వృద్ధ ఆటగాడు వంద (35y 331d) స్కోర్',]</v>
      </c>
      <c r="G3492" s="2"/>
      <c r="H3492" s="2" t="str">
        <f>IFERROR(__xludf.DUMMYFUNCTION("IF(G3492&lt;&gt;"""", GOOGLETRANSLATE(G3492, ""en"", ""te""),"""")"),"")</f>
        <v/>
      </c>
      <c r="I3492" s="3"/>
    </row>
    <row r="3493" customHeight="1" spans="1:9">
      <c r="A3493" s="2" t="s">
        <v>63</v>
      </c>
      <c r="B3493" s="2" t="str">
        <f>IFERROR(__xludf.DUMMYFUNCTION("IF(A3493&lt;&gt;"""", GOOGLETRANSLATE(A3493, ""en"", ""te""),"""")"),"[ 'తొలి ఇన్నింగ్స్లో 9 వ బెస్ట్ ఫిగర్స్ (7)']")</f>
        <v>[ 'తొలి ఇన్నింగ్స్లో 9 వ బెస్ట్ ఫిగర్స్ (7)']</v>
      </c>
      <c r="C3493" s="2" t="s">
        <v>2407</v>
      </c>
      <c r="D3493" s="2" t="str">
        <f>IFERROR(__xludf.DUMMYFUNCTION("IF(C3493&lt;&gt;"""", GOOGLETRANSLATE(C3493, ""en"", ""te""),"""")"),"[ 'తొలి ఇన్నింగ్స్లో 9 వ బెస్ట్ ఫిగర్స్ (7)', 'ప్రదర్శనల మధ్య 24 లాంగెస్ట్ వ్యవధిలో (10y 48d)']")</f>
        <v>[ 'తొలి ఇన్నింగ్స్లో 9 వ బెస్ట్ ఫిగర్స్ (7)', 'ప్రదర్శనల మధ్య 24 లాంగెస్ట్ వ్యవధిలో (10y 48d)']</v>
      </c>
      <c r="E3493" s="2"/>
      <c r="F3493" s="2" t="str">
        <f>IFERROR(__xludf.DUMMYFUNCTION("IF(E3493&lt;&gt;"""", GOOGLETRANSLATE(E3493, ""en"", ""te""),"""")"),"")</f>
        <v/>
      </c>
      <c r="G3493" s="2"/>
      <c r="H3493" s="2" t="str">
        <f>IFERROR(__xludf.DUMMYFUNCTION("IF(G3493&lt;&gt;"""", GOOGLETRANSLATE(G3493, ""en"", ""te""),"""")"),"")</f>
        <v/>
      </c>
      <c r="I3493" s="3"/>
    </row>
    <row r="3494" customHeight="1" spans="1:9">
      <c r="A3494" s="2"/>
      <c r="B3494" s="2" t="str">
        <f>IFERROR(__xludf.DUMMYFUNCTION("IF(A3494&lt;&gt;"""", GOOGLETRANSLATE(A3494, ""en"", ""te""),"""")"),"")</f>
        <v/>
      </c>
      <c r="C3494" s="2"/>
      <c r="D3494" s="2" t="str">
        <f>IFERROR(__xludf.DUMMYFUNCTION("IF(C3494&lt;&gt;"""", GOOGLETRANSLATE(C3494, ""en"", ""te""),"""")"),"")</f>
        <v/>
      </c>
      <c r="E3494" s="2"/>
      <c r="F3494" s="2" t="str">
        <f>IFERROR(__xludf.DUMMYFUNCTION("IF(E3494&lt;&gt;"""", GOOGLETRANSLATE(E3494, ""en"", ""te""),"""")"),"")</f>
        <v/>
      </c>
      <c r="G3494" s="2"/>
      <c r="H3494" s="2" t="str">
        <f>IFERROR(__xludf.DUMMYFUNCTION("IF(G3494&lt;&gt;"""", GOOGLETRANSLATE(G3494, ""en"", ""te""),"""")"),"")</f>
        <v/>
      </c>
      <c r="I3494" s="3"/>
    </row>
    <row r="3495" customHeight="1" spans="1:9">
      <c r="A3495" s="2" t="s">
        <v>2408</v>
      </c>
      <c r="B3495" s="2" t="str">
        <f>IFERROR(__xludf.DUMMYFUNCTION("IF(A3495&lt;&gt;"""", GOOGLETRANSLATE(A3495, ""en"", ""te""),"""")"),"[ 'ప్రవేశం (106) పై వంద']")</f>
        <v>[ 'ప్రవేశం (106) పై వంద']</v>
      </c>
      <c r="C3495" s="2"/>
      <c r="D3495" s="2" t="str">
        <f>IFERROR(__xludf.DUMMYFUNCTION("IF(C3495&lt;&gt;"""", GOOGLETRANSLATE(C3495, ""en"", ""te""),"""")"),"")</f>
        <v/>
      </c>
      <c r="E3495" s="2" t="s">
        <v>2409</v>
      </c>
      <c r="F3495" s="2" t="str">
        <f>IFERROR(__xludf.DUMMYFUNCTION("IF(E3495&lt;&gt;"""", GOOGLETRANSLATE(E3495, ""en"", ""te""),"""")"),"[ '11 వ తొలి మ్యాచ్ (106) అత్యధిక పరుగులు' '19 వ అత్యంత వృద్ధ ఆటగాడు తొలి వంద (34y 16d) స్కోర్']")</f>
        <v>[ '11 వ తొలి మ్యాచ్ (106) అత్యధిక పరుగులు' '19 వ అత్యంత వృద్ధ ఆటగాడు తొలి వంద (34y 16d) స్కోర్']</v>
      </c>
      <c r="G3495" s="2" t="s">
        <v>2410</v>
      </c>
      <c r="H3495" s="2" t="str">
        <f>IFERROR(__xludf.DUMMYFUNCTION("IF(G3495&lt;&gt;"""", GOOGLETRANSLATE(G3495, ""en"", ""te""),"""")"),"[ '26 ఏ వికెట్కు అత్యధిక భాగస్వామ్యాల (143 *)', 'మొదటి వికెట్కు 14 అత్యధిక భాగస్వామ్యం (143 *)' 'మొదటి డక్ (24) ముందు 18 వ అత్యంత ఇన్నింగ్స్]")</f>
        <v>[ '26 ఏ వికెట్కు అత్యధిక భాగస్వామ్యాల (143 *)', 'మొదటి వికెట్కు 14 అత్యధిక భాగస్వామ్యం (143 *)' 'మొదటి డక్ (24) ముందు 18 వ అత్యంత ఇన్నింగ్స్]</v>
      </c>
      <c r="I3495" s="3"/>
    </row>
    <row r="3496" customHeight="1" spans="1:9">
      <c r="A3496" s="2"/>
      <c r="B3496" s="2" t="str">
        <f>IFERROR(__xludf.DUMMYFUNCTION("IF(A3496&lt;&gt;"""", GOOGLETRANSLATE(A3496, ""en"", ""te""),"""")"),"")</f>
        <v/>
      </c>
      <c r="C3496" s="2"/>
      <c r="D3496" s="2" t="str">
        <f>IFERROR(__xludf.DUMMYFUNCTION("IF(C3496&lt;&gt;"""", GOOGLETRANSLATE(C3496, ""en"", ""te""),"""")"),"")</f>
        <v/>
      </c>
      <c r="E3496" s="2"/>
      <c r="F3496" s="2" t="str">
        <f>IFERROR(__xludf.DUMMYFUNCTION("IF(E3496&lt;&gt;"""", GOOGLETRANSLATE(E3496, ""en"", ""te""),"""")"),"")</f>
        <v/>
      </c>
      <c r="G3496" s="2"/>
      <c r="H3496" s="2" t="str">
        <f>IFERROR(__xludf.DUMMYFUNCTION("IF(G3496&lt;&gt;"""", GOOGLETRANSLATE(G3496, ""en"", ""te""),"""")"),"")</f>
        <v/>
      </c>
      <c r="I3496" s="3"/>
    </row>
    <row r="3497" customHeight="1" spans="1:9">
      <c r="A3497" s="2"/>
      <c r="B3497" s="2" t="str">
        <f>IFERROR(__xludf.DUMMYFUNCTION("IF(A3497&lt;&gt;"""", GOOGLETRANSLATE(A3497, ""en"", ""te""),"""")"),"")</f>
        <v/>
      </c>
      <c r="C3497" s="2" t="s">
        <v>2411</v>
      </c>
      <c r="D3497" s="2" t="str">
        <f>IFERROR(__xludf.DUMMYFUNCTION("IF(C3497&lt;&gt;"""", GOOGLETRANSLATE(C3497, ""en"", ""te""),"""")"),"[ '33 వ ఒక సిరీస్లో అత్యధిక వికెట్లు (33)']")</f>
        <v>[ '33 వ ఒక సిరీస్లో అత్యధిక వికెట్లు (33)']</v>
      </c>
      <c r="E3497" s="2"/>
      <c r="F3497" s="2" t="str">
        <f>IFERROR(__xludf.DUMMYFUNCTION("IF(E3497&lt;&gt;"""", GOOGLETRANSLATE(E3497, ""en"", ""te""),"""")"),"")</f>
        <v/>
      </c>
      <c r="G3497" s="2"/>
      <c r="H3497" s="2" t="str">
        <f>IFERROR(__xludf.DUMMYFUNCTION("IF(G3497&lt;&gt;"""", GOOGLETRANSLATE(G3497, ""en"", ""te""),"""")"),"")</f>
        <v/>
      </c>
      <c r="I3497" s="3"/>
    </row>
    <row r="3498" customHeight="1" spans="1:9">
      <c r="A3498" s="2"/>
      <c r="B3498" s="2" t="str">
        <f>IFERROR(__xludf.DUMMYFUNCTION("IF(A3498&lt;&gt;"""", GOOGLETRANSLATE(A3498, ""en"", ""te""),"""")"),"")</f>
        <v/>
      </c>
      <c r="C3498" s="2"/>
      <c r="D3498" s="2" t="str">
        <f>IFERROR(__xludf.DUMMYFUNCTION("IF(C3498&lt;&gt;"""", GOOGLETRANSLATE(C3498, ""en"", ""te""),"""")"),"")</f>
        <v/>
      </c>
      <c r="E3498" s="2"/>
      <c r="F3498" s="2" t="str">
        <f>IFERROR(__xludf.DUMMYFUNCTION("IF(E3498&lt;&gt;"""", GOOGLETRANSLATE(E3498, ""en"", ""te""),"""")"),"")</f>
        <v/>
      </c>
      <c r="G3498" s="2"/>
      <c r="H3498" s="2" t="str">
        <f>IFERROR(__xludf.DUMMYFUNCTION("IF(G3498&lt;&gt;"""", GOOGLETRANSLATE(G3498, ""en"", ""te""),"""")"),"")</f>
        <v/>
      </c>
      <c r="I3498" s="3"/>
    </row>
    <row r="3499" customHeight="1" spans="1:9">
      <c r="A3499" s="2"/>
      <c r="B3499" s="2" t="str">
        <f>IFERROR(__xludf.DUMMYFUNCTION("IF(A3499&lt;&gt;"""", GOOGLETRANSLATE(A3499, ""en"", ""te""),"""")"),"")</f>
        <v/>
      </c>
      <c r="C3499" s="2"/>
      <c r="D3499" s="2" t="str">
        <f>IFERROR(__xludf.DUMMYFUNCTION("IF(C3499&lt;&gt;"""", GOOGLETRANSLATE(C3499, ""en"", ""te""),"""")"),"")</f>
        <v/>
      </c>
      <c r="E3499" s="2"/>
      <c r="F3499" s="2" t="str">
        <f>IFERROR(__xludf.DUMMYFUNCTION("IF(E3499&lt;&gt;"""", GOOGLETRANSLATE(E3499, ""en"", ""te""),"""")"),"")</f>
        <v/>
      </c>
      <c r="G3499" s="2"/>
      <c r="H3499" s="2" t="str">
        <f>IFERROR(__xludf.DUMMYFUNCTION("IF(G3499&lt;&gt;"""", GOOGLETRANSLATE(G3499, ""en"", ""te""),"""")"),"")</f>
        <v/>
      </c>
      <c r="I3499" s="3"/>
    </row>
    <row r="3500" customHeight="1" spans="1:9">
      <c r="A3500" s="2"/>
      <c r="B3500" s="2" t="str">
        <f>IFERROR(__xludf.DUMMYFUNCTION("IF(A3500&lt;&gt;"""", GOOGLETRANSLATE(A3500, ""en"", ""te""),"""")"),"")</f>
        <v/>
      </c>
      <c r="C3500" s="2"/>
      <c r="D3500" s="2" t="str">
        <f>IFERROR(__xludf.DUMMYFUNCTION("IF(C3500&lt;&gt;"""", GOOGLETRANSLATE(C3500, ""en"", ""te""),"""")"),"")</f>
        <v/>
      </c>
      <c r="E3500" s="2"/>
      <c r="F3500" s="2" t="str">
        <f>IFERROR(__xludf.DUMMYFUNCTION("IF(E3500&lt;&gt;"""", GOOGLETRANSLATE(E3500, ""en"", ""te""),"""")"),"")</f>
        <v/>
      </c>
      <c r="G3500" s="2"/>
      <c r="H3500" s="2" t="str">
        <f>IFERROR(__xludf.DUMMYFUNCTION("IF(G3500&lt;&gt;"""", GOOGLETRANSLATE(G3500, ""en"", ""te""),"""")"),"")</f>
        <v/>
      </c>
      <c r="I3500" s="3"/>
    </row>
    <row r="3501" customHeight="1" spans="1:9">
      <c r="A3501" s="2"/>
      <c r="B3501" s="2" t="str">
        <f>IFERROR(__xludf.DUMMYFUNCTION("IF(A3501&lt;&gt;"""", GOOGLETRANSLATE(A3501, ""en"", ""te""),"""")"),"")</f>
        <v/>
      </c>
      <c r="C3501" s="2"/>
      <c r="D3501" s="2" t="str">
        <f>IFERROR(__xludf.DUMMYFUNCTION("IF(C3501&lt;&gt;"""", GOOGLETRANSLATE(C3501, ""en"", ""te""),"""")"),"")</f>
        <v/>
      </c>
      <c r="E3501" s="2"/>
      <c r="F3501" s="2" t="str">
        <f>IFERROR(__xludf.DUMMYFUNCTION("IF(E3501&lt;&gt;"""", GOOGLETRANSLATE(E3501, ""en"", ""te""),"""")"),"")</f>
        <v/>
      </c>
      <c r="G3501" s="2"/>
      <c r="H3501" s="2" t="str">
        <f>IFERROR(__xludf.DUMMYFUNCTION("IF(G3501&lt;&gt;"""", GOOGLETRANSLATE(G3501, ""en"", ""te""),"""")"),"")</f>
        <v/>
      </c>
      <c r="I3501" s="3"/>
    </row>
    <row r="3502" customHeight="1" spans="1:9">
      <c r="A3502" s="2" t="s">
        <v>2412</v>
      </c>
      <c r="B3502" s="2" t="str">
        <f>IFERROR(__xludf.DUMMYFUNCTION("IF(A3502&lt;&gt;"""", GOOGLETRANSLATE(A3502, ""en"", ""te""),"""")"),"[ 'ఒక మ్యాచ్లో 8 వ అత్యధిక క్యాచ్లు (6)', 'ఐదు రోజుల మ్యాచ్లో ప్రతి రోజు బ్యాటింగ్' '1 వ 99 (199, 299 etc) (99) అవుటయ్యాడు']")</f>
        <v>[ 'ఒక మ్యాచ్లో 8 వ అత్యధిక క్యాచ్లు (6)', 'ఐదు రోజుల మ్యాచ్లో ప్రతి రోజు బ్యాటింగ్' '1 వ 99 (199, 299 etc) (99) అవుటయ్యాడు']</v>
      </c>
      <c r="C3502" s="2" t="s">
        <v>2413</v>
      </c>
      <c r="D3502" s="2" t="str">
        <f>IFERROR(__xludf.DUMMYFUNCTION("IF(C3502&lt;&gt;"""", GOOGLETRANSLATE(C3502, ""en"", ""te""),"""")"),"[ 'వరుస మ్యాచ్లలో 21 వందల (3)', 'ఒక డక్ లేకుండా 34 వ వరుస ఇన్నింగ్స్ (58)', '8 వ ఒక మ్యాచ్లో అత్యధిక క్యాచ్లు (6)', '42 వ ఒక సిరీస్లో అత్యధిక క్యాచ్లు (10)', ' 44 వ కెప్టెన్సీ తొలి ఓల్డెస్ట్ కాప్టెన్ (35y 289d) ']")</f>
        <v>[ 'వరుస మ్యాచ్లలో 21 వందల (3)', 'ఒక డక్ లేకుండా 34 వ వరుస ఇన్నింగ్స్ (58)', '8 వ ఒక మ్యాచ్లో అత్యధిక క్యాచ్లు (6)', '42 వ ఒక సిరీస్లో అత్యధిక క్యాచ్లు (10)', ' 44 వ కెప్టెన్సీ తొలి ఓల్డెస్ట్ కాప్టెన్ (35y 289d) ']</v>
      </c>
      <c r="E3502" s="2" t="s">
        <v>2414</v>
      </c>
      <c r="F3502" s="2" t="str">
        <f>IFERROR(__xludf.DUMMYFUNCTION("IF(E3502&lt;&gt;"""", GOOGLETRANSLATE(E3502, ""en"", ""te""),"""")"),"[ 'కెరీర్లో 34 వ అత్యంత తొంభైల (4)', 'ఒక ఇన్నింగ్స్లో పరుగుల 36 వ అత్యధిక శాతం (55.47)' 1000 పరుగులు '1st 99 (199, 299 etc) (99) అవుటయ్యాడు', '20 వ వేగంగా (26) ',' 41 వ వేగవంతమైన 2000 పరుగులు (57) ',' 33 వ 3000 పరుగులు వేగంగా (85) ',' 41 వ 4000 పరుగులు "&amp;"(117) ',' 47 వ ఓల్డెస్ట్ కాప్టెన్ (36y 172d) ',' 23 వ వేగంగా కెప్టెన్సీ తొలి పురాతన కాప్టెన్ (35y 287d) ']")</f>
        <v>[ 'కెరీర్లో 34 వ అత్యంత తొంభైల (4)', 'ఒక ఇన్నింగ్స్లో పరుగుల 36 వ అత్యధిక శాతం (55.47)' 1000 పరుగులు '1st 99 (199, 299 etc) (99) అవుటయ్యాడు', '20 వ వేగంగా (26) ',' 41 వ వేగవంతమైన 2000 పరుగులు (57) ',' 33 వ 3000 పరుగులు వేగంగా (85) ',' 41 వ 4000 పరుగులు (117) ',' 47 వ ఓల్డెస్ట్ కాప్టెన్ (36y 172d) ',' 23 వ వేగంగా కెప్టెన్సీ తొలి పురాతన కాప్టెన్ (35y 287d) ']</v>
      </c>
      <c r="G3502" s="2"/>
      <c r="H3502" s="2" t="str">
        <f>IFERROR(__xludf.DUMMYFUNCTION("IF(G3502&lt;&gt;"""", GOOGLETRANSLATE(G3502, ""en"", ""te""),"""")"),"")</f>
        <v/>
      </c>
      <c r="I3502" s="3"/>
    </row>
    <row r="3503" customHeight="1" spans="1:9">
      <c r="A3503" s="2"/>
      <c r="B3503" s="2" t="str">
        <f>IFERROR(__xludf.DUMMYFUNCTION("IF(A3503&lt;&gt;"""", GOOGLETRANSLATE(A3503, ""en"", ""te""),"""")"),"")</f>
        <v/>
      </c>
      <c r="C3503" s="2"/>
      <c r="D3503" s="2" t="str">
        <f>IFERROR(__xludf.DUMMYFUNCTION("IF(C3503&lt;&gt;"""", GOOGLETRANSLATE(C3503, ""en"", ""te""),"""")"),"")</f>
        <v/>
      </c>
      <c r="E3503" s="2"/>
      <c r="F3503" s="2" t="str">
        <f>IFERROR(__xludf.DUMMYFUNCTION("IF(E3503&lt;&gt;"""", GOOGLETRANSLATE(E3503, ""en"", ""te""),"""")"),"")</f>
        <v/>
      </c>
      <c r="G3503" s="2"/>
      <c r="H3503" s="2" t="str">
        <f>IFERROR(__xludf.DUMMYFUNCTION("IF(G3503&lt;&gt;"""", GOOGLETRANSLATE(G3503, ""en"", ""te""),"""")"),"")</f>
        <v/>
      </c>
      <c r="I3503" s="3"/>
    </row>
    <row r="3504" customHeight="1" spans="1:9">
      <c r="A3504" s="2"/>
      <c r="B3504" s="2" t="str">
        <f>IFERROR(__xludf.DUMMYFUNCTION("IF(A3504&lt;&gt;"""", GOOGLETRANSLATE(A3504, ""en"", ""te""),"""")"),"")</f>
        <v/>
      </c>
      <c r="C3504" s="2"/>
      <c r="D3504" s="2" t="str">
        <f>IFERROR(__xludf.DUMMYFUNCTION("IF(C3504&lt;&gt;"""", GOOGLETRANSLATE(C3504, ""en"", ""te""),"""")"),"")</f>
        <v/>
      </c>
      <c r="E3504" s="2"/>
      <c r="F3504" s="2" t="str">
        <f>IFERROR(__xludf.DUMMYFUNCTION("IF(E3504&lt;&gt;"""", GOOGLETRANSLATE(E3504, ""en"", ""te""),"""")"),"")</f>
        <v/>
      </c>
      <c r="G3504" s="2"/>
      <c r="H3504" s="2" t="str">
        <f>IFERROR(__xludf.DUMMYFUNCTION("IF(G3504&lt;&gt;"""", GOOGLETRANSLATE(G3504, ""en"", ""te""),"""")"),"")</f>
        <v/>
      </c>
      <c r="I3504" s="3"/>
    </row>
    <row r="3505" customHeight="1" spans="1:9">
      <c r="A3505" s="2"/>
      <c r="B3505" s="2" t="str">
        <f>IFERROR(__xludf.DUMMYFUNCTION("IF(A3505&lt;&gt;"""", GOOGLETRANSLATE(A3505, ""en"", ""te""),"""")"),"")</f>
        <v/>
      </c>
      <c r="C3505" s="2"/>
      <c r="D3505" s="2" t="str">
        <f>IFERROR(__xludf.DUMMYFUNCTION("IF(C3505&lt;&gt;"""", GOOGLETRANSLATE(C3505, ""en"", ""te""),"""")"),"")</f>
        <v/>
      </c>
      <c r="E3505" s="2"/>
      <c r="F3505" s="2" t="str">
        <f>IFERROR(__xludf.DUMMYFUNCTION("IF(E3505&lt;&gt;"""", GOOGLETRANSLATE(E3505, ""en"", ""te""),"""")"),"")</f>
        <v/>
      </c>
      <c r="G3505" s="2"/>
      <c r="H3505" s="2" t="str">
        <f>IFERROR(__xludf.DUMMYFUNCTION("IF(G3505&lt;&gt;"""", GOOGLETRANSLATE(G3505, ""en"", ""te""),"""")"),"")</f>
        <v/>
      </c>
      <c r="I3505" s="3"/>
    </row>
    <row r="3506" customHeight="1" spans="1:9">
      <c r="A3506" s="2"/>
      <c r="B3506" s="2" t="str">
        <f>IFERROR(__xludf.DUMMYFUNCTION("IF(A3506&lt;&gt;"""", GOOGLETRANSLATE(A3506, ""en"", ""te""),"""")"),"")</f>
        <v/>
      </c>
      <c r="C3506" s="2"/>
      <c r="D3506" s="2" t="str">
        <f>IFERROR(__xludf.DUMMYFUNCTION("IF(C3506&lt;&gt;"""", GOOGLETRANSLATE(C3506, ""en"", ""te""),"""")"),"")</f>
        <v/>
      </c>
      <c r="E3506" s="2"/>
      <c r="F3506" s="2" t="str">
        <f>IFERROR(__xludf.DUMMYFUNCTION("IF(E3506&lt;&gt;"""", GOOGLETRANSLATE(E3506, ""en"", ""te""),"""")"),"")</f>
        <v/>
      </c>
      <c r="G3506" s="2"/>
      <c r="H3506" s="2" t="str">
        <f>IFERROR(__xludf.DUMMYFUNCTION("IF(G3506&lt;&gt;"""", GOOGLETRANSLATE(G3506, ""en"", ""te""),"""")"),"")</f>
        <v/>
      </c>
      <c r="I3506" s="3"/>
    </row>
    <row r="3507" customHeight="1" spans="1:9">
      <c r="A3507" s="2"/>
      <c r="B3507" s="2" t="str">
        <f>IFERROR(__xludf.DUMMYFUNCTION("IF(A3507&lt;&gt;"""", GOOGLETRANSLATE(A3507, ""en"", ""te""),"""")"),"")</f>
        <v/>
      </c>
      <c r="C3507" s="2"/>
      <c r="D3507" s="2" t="str">
        <f>IFERROR(__xludf.DUMMYFUNCTION("IF(C3507&lt;&gt;"""", GOOGLETRANSLATE(C3507, ""en"", ""te""),"""")"),"")</f>
        <v/>
      </c>
      <c r="E3507" s="2"/>
      <c r="F3507" s="2" t="str">
        <f>IFERROR(__xludf.DUMMYFUNCTION("IF(E3507&lt;&gt;"""", GOOGLETRANSLATE(E3507, ""en"", ""te""),"""")"),"")</f>
        <v/>
      </c>
      <c r="G3507" s="2"/>
      <c r="H3507" s="2" t="str">
        <f>IFERROR(__xludf.DUMMYFUNCTION("IF(G3507&lt;&gt;"""", GOOGLETRANSLATE(G3507, ""en"", ""te""),"""")"),"")</f>
        <v/>
      </c>
      <c r="I3507" s="3"/>
    </row>
    <row r="3508" customHeight="1" spans="1:9">
      <c r="A3508" s="2" t="s">
        <v>2415</v>
      </c>
      <c r="B3508" s="2" t="str">
        <f>IFERROR(__xludf.DUMMYFUNCTION("IF(A3508&lt;&gt;"""", GOOGLETRANSLATE(A3508, ""en"", ""te""),"""")"),"[ '1st ఉత్తమ కెరీర్ ఆర్థిక రేటు (1.31)']")</f>
        <v>[ '1st ఉత్తమ కెరీర్ ఆర్థిక రేటు (1.31)']</v>
      </c>
      <c r="C3508" s="2" t="s">
        <v>2416</v>
      </c>
      <c r="D3508" s="2" t="str">
        <f>IFERROR(__xludf.DUMMYFUNCTION("IF(C3508&lt;&gt;"""", GOOGLETRANSLATE(C3508, ""en"", ""te""),"""")"),"[ '41 వ ఉత్తమ కెరీర్ బౌలింగ్ సరాసరి (22.35)', '1 వ ఉత్తమ కెరీర్ ఆర్థిక రేటు (1.31)']")</f>
        <v>[ '41 వ ఉత్తమ కెరీర్ బౌలింగ్ సరాసరి (22.35)', '1 వ ఉత్తమ కెరీర్ ఆర్థిక రేటు (1.31)']</v>
      </c>
      <c r="E3508" s="2"/>
      <c r="F3508" s="2" t="str">
        <f>IFERROR(__xludf.DUMMYFUNCTION("IF(E3508&lt;&gt;"""", GOOGLETRANSLATE(E3508, ""en"", ""te""),"""")"),"")</f>
        <v/>
      </c>
      <c r="G3508" s="2"/>
      <c r="H3508" s="2" t="str">
        <f>IFERROR(__xludf.DUMMYFUNCTION("IF(G3508&lt;&gt;"""", GOOGLETRANSLATE(G3508, ""en"", ""te""),"""")"),"")</f>
        <v/>
      </c>
      <c r="I3508" s="3"/>
    </row>
    <row r="3509" customHeight="1" spans="1:9">
      <c r="A3509" s="2"/>
      <c r="B3509" s="2" t="str">
        <f>IFERROR(__xludf.DUMMYFUNCTION("IF(A3509&lt;&gt;"""", GOOGLETRANSLATE(A3509, ""en"", ""te""),"""")"),"")</f>
        <v/>
      </c>
      <c r="C3509" s="2"/>
      <c r="D3509" s="2" t="str">
        <f>IFERROR(__xludf.DUMMYFUNCTION("IF(C3509&lt;&gt;"""", GOOGLETRANSLATE(C3509, ""en"", ""te""),"""")"),"")</f>
        <v/>
      </c>
      <c r="E3509" s="2"/>
      <c r="F3509" s="2" t="str">
        <f>IFERROR(__xludf.DUMMYFUNCTION("IF(E3509&lt;&gt;"""", GOOGLETRANSLATE(E3509, ""en"", ""te""),"""")"),"")</f>
        <v/>
      </c>
      <c r="G3509" s="2"/>
      <c r="H3509" s="2" t="str">
        <f>IFERROR(__xludf.DUMMYFUNCTION("IF(G3509&lt;&gt;"""", GOOGLETRANSLATE(G3509, ""en"", ""te""),"""")"),"")</f>
        <v/>
      </c>
      <c r="I3509" s="3"/>
    </row>
    <row r="3510" customHeight="1" spans="1:9">
      <c r="A3510" s="2"/>
      <c r="B3510" s="2" t="str">
        <f>IFERROR(__xludf.DUMMYFUNCTION("IF(A3510&lt;&gt;"""", GOOGLETRANSLATE(A3510, ""en"", ""te""),"""")"),"")</f>
        <v/>
      </c>
      <c r="C3510" s="2"/>
      <c r="D3510" s="2" t="str">
        <f>IFERROR(__xludf.DUMMYFUNCTION("IF(C3510&lt;&gt;"""", GOOGLETRANSLATE(C3510, ""en"", ""te""),"""")"),"")</f>
        <v/>
      </c>
      <c r="E3510" s="2"/>
      <c r="F3510" s="2" t="str">
        <f>IFERROR(__xludf.DUMMYFUNCTION("IF(E3510&lt;&gt;"""", GOOGLETRANSLATE(E3510, ""en"", ""te""),"""")"),"")</f>
        <v/>
      </c>
      <c r="G3510" s="2"/>
      <c r="H3510" s="2" t="str">
        <f>IFERROR(__xludf.DUMMYFUNCTION("IF(G3510&lt;&gt;"""", GOOGLETRANSLATE(G3510, ""en"", ""te""),"""")"),"")</f>
        <v/>
      </c>
      <c r="I3510" s="3"/>
    </row>
    <row r="3511" customHeight="1" spans="1:9">
      <c r="A3511" s="2"/>
      <c r="B3511" s="2" t="str">
        <f>IFERROR(__xludf.DUMMYFUNCTION("IF(A3511&lt;&gt;"""", GOOGLETRANSLATE(A3511, ""en"", ""te""),"""")"),"")</f>
        <v/>
      </c>
      <c r="C3511" s="2"/>
      <c r="D3511" s="2" t="str">
        <f>IFERROR(__xludf.DUMMYFUNCTION("IF(C3511&lt;&gt;"""", GOOGLETRANSLATE(C3511, ""en"", ""te""),"""")"),"")</f>
        <v/>
      </c>
      <c r="E3511" s="2"/>
      <c r="F3511" s="2" t="str">
        <f>IFERROR(__xludf.DUMMYFUNCTION("IF(E3511&lt;&gt;"""", GOOGLETRANSLATE(E3511, ""en"", ""te""),"""")"),"")</f>
        <v/>
      </c>
      <c r="G3511" s="2"/>
      <c r="H3511" s="2" t="str">
        <f>IFERROR(__xludf.DUMMYFUNCTION("IF(G3511&lt;&gt;"""", GOOGLETRANSLATE(G3511, ""en"", ""te""),"""")"),"")</f>
        <v/>
      </c>
      <c r="I3511" s="3"/>
    </row>
    <row r="3512" customHeight="1" spans="1:9">
      <c r="A3512" s="2"/>
      <c r="B3512" s="2" t="str">
        <f>IFERROR(__xludf.DUMMYFUNCTION("IF(A3512&lt;&gt;"""", GOOGLETRANSLATE(A3512, ""en"", ""te""),"""")"),"")</f>
        <v/>
      </c>
      <c r="C3512" s="2"/>
      <c r="D3512" s="2" t="str">
        <f>IFERROR(__xludf.DUMMYFUNCTION("IF(C3512&lt;&gt;"""", GOOGLETRANSLATE(C3512, ""en"", ""te""),"""")"),"")</f>
        <v/>
      </c>
      <c r="E3512" s="2"/>
      <c r="F3512" s="2" t="str">
        <f>IFERROR(__xludf.DUMMYFUNCTION("IF(E3512&lt;&gt;"""", GOOGLETRANSLATE(E3512, ""en"", ""te""),"""")"),"")</f>
        <v/>
      </c>
      <c r="G3512" s="2"/>
      <c r="H3512" s="2" t="str">
        <f>IFERROR(__xludf.DUMMYFUNCTION("IF(G3512&lt;&gt;"""", GOOGLETRANSLATE(G3512, ""en"", ""te""),"""")"),"")</f>
        <v/>
      </c>
      <c r="I3512" s="3"/>
    </row>
    <row r="3513" customHeight="1" spans="1:9">
      <c r="A3513" s="2"/>
      <c r="B3513" s="2" t="str">
        <f>IFERROR(__xludf.DUMMYFUNCTION("IF(A3513&lt;&gt;"""", GOOGLETRANSLATE(A3513, ""en"", ""te""),"""")"),"")</f>
        <v/>
      </c>
      <c r="C3513" s="2"/>
      <c r="D3513" s="2" t="str">
        <f>IFERROR(__xludf.DUMMYFUNCTION("IF(C3513&lt;&gt;"""", GOOGLETRANSLATE(C3513, ""en"", ""te""),"""")"),"")</f>
        <v/>
      </c>
      <c r="E3513" s="2"/>
      <c r="F3513" s="2" t="str">
        <f>IFERROR(__xludf.DUMMYFUNCTION("IF(E3513&lt;&gt;"""", GOOGLETRANSLATE(E3513, ""en"", ""te""),"""")"),"")</f>
        <v/>
      </c>
      <c r="G3513" s="2"/>
      <c r="H3513" s="2" t="str">
        <f>IFERROR(__xludf.DUMMYFUNCTION("IF(G3513&lt;&gt;"""", GOOGLETRANSLATE(G3513, ""en"", ""te""),"""")"),"")</f>
        <v/>
      </c>
      <c r="I3513" s="3"/>
    </row>
    <row r="3514" customHeight="1" spans="1:9">
      <c r="A3514" s="2"/>
      <c r="B3514" s="2" t="str">
        <f>IFERROR(__xludf.DUMMYFUNCTION("IF(A3514&lt;&gt;"""", GOOGLETRANSLATE(A3514, ""en"", ""te""),"""")"),"")</f>
        <v/>
      </c>
      <c r="C3514" s="2"/>
      <c r="D3514" s="2" t="str">
        <f>IFERROR(__xludf.DUMMYFUNCTION("IF(C3514&lt;&gt;"""", GOOGLETRANSLATE(C3514, ""en"", ""te""),"""")"),"")</f>
        <v/>
      </c>
      <c r="E3514" s="2"/>
      <c r="F3514" s="2" t="str">
        <f>IFERROR(__xludf.DUMMYFUNCTION("IF(E3514&lt;&gt;"""", GOOGLETRANSLATE(E3514, ""en"", ""te""),"""")"),"")</f>
        <v/>
      </c>
      <c r="G3514" s="2"/>
      <c r="H3514" s="2" t="str">
        <f>IFERROR(__xludf.DUMMYFUNCTION("IF(G3514&lt;&gt;"""", GOOGLETRANSLATE(G3514, ""en"", ""te""),"""")"),"")</f>
        <v/>
      </c>
      <c r="I3514" s="3"/>
    </row>
    <row r="3515" customHeight="1" spans="1:9">
      <c r="A3515" s="2" t="s">
        <v>2417</v>
      </c>
      <c r="B3515" s="2" t="str">
        <f>IFERROR(__xludf.DUMMYFUNCTION("IF(A3515&lt;&gt;"""", GOOGLETRANSLATE(A3515, ""en"", ""te""),"""")"),"[ 'కెరీర్లో 8 వ అత్యధిక మ్యాచ్లు (160)', '3 వ అత్యంత ఇన్నింగ్స్ లో నడుస్తుంది (బ్యాటింగ్ స్థానం) (81)', 'చాలా 5 వ ఇన్నింగ్స్ తొలి డక్ ముందు (54)', '4 వ ఒకే మైదానంలో అత్యధిక వికెట్లు ( 103) ',' 6 వ అత్యంత ఐదు-వికెట్ల లో-ఒక-ఇన్నింగ్స్ కెరీర్లో (30) ',' 4 వ"&amp;" కెరీర్ లో బౌల్డ్ చాలా బంతుల్లో (34326) ',' 4 వ కెరీర్ లో సాధించిన అత్యధిక పరుగులు (16251) ',' 1st అత్యధిక వికెట్లు సాధించిన వికెట్కీపర్గా (167) ',' 600 వికెట్లు (156) ',' 1000 పరుగులు మరియు 100 వికెట్లు ',' 1000 పరుగులు, 50 వికెట్లు, 50 క్యాచ్లు ',' 6 వ "&amp;"అత్యంత బాతులను వేగవంతమైన 4 వ వరుస (పట్టుకుంటే తీసుకున్న 3) ',' 10 వ అత్యంత నాలుగు వికెట్లు-ఇన్-ఒక-ఇన్నింగ్స్ కెరీర్లో (13) ',' చాలా 5 వ ఇన్నింగ్స్ (64) ',' 5 వ అత్యధిక వికెట్లు లో ఒకే నేలపై (ఇవ్వబడిన పరుగులలో 125) ', '8 వ అత్యంత ఐదు-వికెట్ల లో-ఒక-ఇన్నిం"&amp;"గ్స్ కెరీర్లో (32)', '4 వ కెరీర్ లో బౌల్డ్ చాలా బంతుల్లో (44332)', '4 వ కెరీర్ లో సాధించిన అత్యధిక పరుగులు (24664)', '2 వ అత్యంత ఆకర్షించింది తీసుకోబడిన వికెట్ల అత్యధిక వికెట్లు (217) ']")</f>
        <v>[ 'కెరీర్లో 8 వ అత్యధిక మ్యాచ్లు (160)', '3 వ అత్యంత ఇన్నింగ్స్ లో నడుస్తుంది (బ్యాటింగ్ స్థానం) (81)', 'చాలా 5 వ ఇన్నింగ్స్ తొలి డక్ ముందు (54)', '4 వ ఒకే మైదానంలో అత్యధిక వికెట్లు ( 103) ',' 6 వ అత్యంత ఐదు-వికెట్ల లో-ఒక-ఇన్నింగ్స్ కెరీర్లో (30) ',' 4 వ కెరీర్ లో బౌల్డ్ చాలా బంతుల్లో (34326) ',' 4 వ కెరీర్ లో సాధించిన అత్యధిక పరుగులు (16251) ',' 1st అత్యధిక వికెట్లు సాధించిన వికెట్కీపర్గా (167) ',' 600 వికెట్లు (156) ',' 1000 పరుగులు మరియు 100 వికెట్లు ',' 1000 పరుగులు, 50 వికెట్లు, 50 క్యాచ్లు ',' 6 వ అత్యంత బాతులను వేగవంతమైన 4 వ వరుస (పట్టుకుంటే తీసుకున్న 3) ',' 10 వ అత్యంత నాలుగు వికెట్లు-ఇన్-ఒక-ఇన్నింగ్స్ కెరీర్లో (13) ',' చాలా 5 వ ఇన్నింగ్స్ (64) ',' 5 వ అత్యధిక వికెట్లు లో ఒకే నేలపై (ఇవ్వబడిన పరుగులలో 125) ', '8 వ అత్యంత ఐదు-వికెట్ల లో-ఒక-ఇన్నింగ్స్ కెరీర్లో (32)', '4 వ కెరీర్ లో బౌల్డ్ చాలా బంతుల్లో (44332)', '4 వ కెరీర్ లో సాధించిన అత్యధిక పరుగులు (24664)', '2 వ అత్యంత ఆకర్షించింది తీసుకోబడిన వికెట్ల అత్యధిక వికెట్లు (217) ']</v>
      </c>
      <c r="C3515" s="2" t="s">
        <v>2418</v>
      </c>
      <c r="D3515" s="2" t="str">
        <f>IFERROR(__xludf.DUMMYFUNCTION("IF(C3515&lt;&gt;"""", GOOGLETRANSLATE(C3515, ""en"", ""te""),"""")"),"[ '31 అత్యధిక పరుగులు జీవితంలో వంద (1233) లేకుండా', '3 వ అత్యంత ఇన్నింగ్స్ లో నడుస్తుంది (బ్యాటింగ్ స్థానం) (81)', '47 వ వరుస ఇన్నింగ్స్ 5 వ మొట్టమొదటి డక్ (54) ముందు చాలా ఇన్నింగ్స్ ఒక డక్ లేకుండా (54) ',' 9 వ కెరీర్ బాతులు (28) ',' 4 వ అత్యధిక వికెట్లు "&amp;"కెరీర్లో (614) ',' 4 వ ఒకే మైదానంలో అత్యధిక వికెట్లు (103) ',' 6 వ అత్యంత ఐదు-wickets- లో-ఒక-ఇన్నింగ్స్ కెరీర్లో (30) ',' 29 వ అత్యధిక పది వికెట్లు లో ఒక మ్యాచ్ ఒక వృత్తిలో (3) ',' ఐదు వికెట్ల లో-ఒక-ఇన్నింగ్స్ (తీసుకోవాలని 23 వ అత్యంత వృద్ధ ఆటగాడు 38y 17"&amp;"6d) ',' పది వికెట్ల లో ఒక మ్యాచ్ పడుతుంది 39 వ ఓల్డెస్ట్ ఆటగాడు (33y 294d) ',' కెరీర్ లో బౌల్డ్ 4 వ అత్యంత బంతుల్లో (34326) ',' 4 వ అత్యధిక కెరీర్ లో సాధించిన పరుగులు (16251) ',' 32 వ బౌలర్ / బ్యాటర్ కలయికలు (11) ',' 11 వ బౌలర్ / ఫీల్డర్ కలయికలు (68) ',' "&amp;"2 వ అత్యంత బౌల్డ్ వికెట్లు తీసుకున్నారు (119) ',' 3 వ అత్యంత తీసుకోబడిన వికెట్ల ఆకర్షించింది (406) ',' 17 వ అత్యధిక వికెట్లు ఆకర్షించింది తీసుకున్న మరియు బౌల్డ్ (10) ',' 6 వ అత్యధిక వికెట్లు ఒక ఫీల్డర్ (239) ',' 1 వ అత్యధిక వికెట్లు తీసుకున్న వికెట్ కీపర్"&amp;" చే కాట్ (167) ',' 12 వ అత్యధిక వికెట్లు తీసుకున్న ఎల్బిడబ్ల్యు (8 పట్టుకుంటే తీసుకున్న 9) ',' 250 వికెట్లు వేగంగా 32 వ (67) ',' 27th 300 వికెట్లు వేగంగా (81) ',' 20 వ 350 వికెట్లు వేగంగా (93) ',' 13 వ 400 వికెట్లు (104) ',' 5 వ వేగంగా వేగవంతమైన 450 వికె"&amp;"ట్లు (115) ',' 5 వ 500 వికెట్లు (129) ',' 600 వికెట్లు కెరీర్లో (156) ',' 40 వ అత్యధిక క్యాచ్లు (97) ',' 8 వ అత్యధిక మ్యాచ్లు కెరీర్లో వేగంగా 4 వ అత్యంత వేగంగా (160 ) ',' 41 వ అత్యంత ప్లేయర్ ఆఫ్ ది మ్యాచ్ అవార్డులు (8) ',' 12 వ అత్యంత ప్లేయర్ ఆఫ్ ది సిరీస"&amp;"్ అవార్డులు (5) ']")</f>
        <v>[ '31 అత్యధిక పరుగులు జీవితంలో వంద (1233) లేకుండా', '3 వ అత్యంత ఇన్నింగ్స్ లో నడుస్తుంది (బ్యాటింగ్ స్థానం) (81)', '47 వ వరుస ఇన్నింగ్స్ 5 వ మొట్టమొదటి డక్ (54) ముందు చాలా ఇన్నింగ్స్ ఒక డక్ లేకుండా (54) ',' 9 వ కెరీర్ బాతులు (28) ',' 4 వ అత్యధిక వికెట్లు కెరీర్లో (614) ',' 4 వ ఒకే మైదానంలో అత్యధిక వికెట్లు (103) ',' 6 వ అత్యంత ఐదు-wickets- లో-ఒక-ఇన్నింగ్స్ కెరీర్లో (30) ',' 29 వ అత్యధిక పది వికెట్లు లో ఒక మ్యాచ్ ఒక వృత్తిలో (3) ',' ఐదు వికెట్ల లో-ఒక-ఇన్నింగ్స్ (తీసుకోవాలని 23 వ అత్యంత వృద్ధ ఆటగాడు 38y 176d) ',' పది వికెట్ల లో ఒక మ్యాచ్ పడుతుంది 39 వ ఓల్డెస్ట్ ఆటగాడు (33y 294d) ',' కెరీర్ లో బౌల్డ్ 4 వ అత్యంత బంతుల్లో (34326) ',' 4 వ అత్యధిక కెరీర్ లో సాధించిన పరుగులు (16251) ',' 32 వ బౌలర్ / బ్యాటర్ కలయికలు (11) ',' 11 వ బౌలర్ / ఫీల్డర్ కలయికలు (68) ',' 2 వ అత్యంత బౌల్డ్ వికెట్లు తీసుకున్నారు (119) ',' 3 వ అత్యంత తీసుకోబడిన వికెట్ల ఆకర్షించింది (406) ',' 17 వ అత్యధిక వికెట్లు ఆకర్షించింది తీసుకున్న మరియు బౌల్డ్ (10) ',' 6 వ అత్యధిక వికెట్లు ఒక ఫీల్డర్ (239) ',' 1 వ అత్యధిక వికెట్లు తీసుకున్న వికెట్ కీపర్ చే కాట్ (167) ',' 12 వ అత్యధిక వికెట్లు తీసుకున్న ఎల్బిడబ్ల్యు (8 పట్టుకుంటే తీసుకున్న 9) ',' 250 వికెట్లు వేగంగా 32 వ (67) ',' 27th 300 వికెట్లు వేగంగా (81) ',' 20 వ 350 వికెట్లు వేగంగా (93) ',' 13 వ 400 వికెట్లు (104) ',' 5 వ వేగంగా వేగవంతమైన 450 వికెట్లు (115) ',' 5 వ 500 వికెట్లు (129) ',' 600 వికెట్లు కెరీర్లో (156) ',' 40 వ అత్యధిక క్యాచ్లు (97) ',' 8 వ అత్యధిక మ్యాచ్లు కెరీర్లో వేగంగా 4 వ అత్యంత వేగంగా (160 ) ',' 41 వ అత్యంత ప్లేయర్ ఆఫ్ ది మ్యాచ్ అవార్డులు (8) ',' 12 వ అత్యంత ప్లేయర్ ఆఫ్ ది సిరీస్ అవార్డులు (5) ']</v>
      </c>
      <c r="E3515" s="2" t="s">
        <v>2419</v>
      </c>
      <c r="F3515" s="2" t="str">
        <f>IFERROR(__xludf.DUMMYFUNCTION("IF(E3515&lt;&gt;"""", GOOGLETRANSLATE(E3515, ""en"", ""te""),"""")"),"[ 'ఒక సిరీస్లో 6 వ అత్యంత బాతులు (3)', '21 వ కెరీర్ లో అత్యధిక వికెట్లు (269) ',' 43 వ అత్యంత ఐదు-వికెట్ల లో-ఒక-ఇన్నింగ్స్ కెరీర్లో (2) ',' 10 వ అత్యంత నాలుగు వికెట్లు -ఇన్-ఒక-ఇన్నింగ్స్ కెరీర్లో (13) ',' 24 వ కెరీర్ లో బౌల్డ్ చాలా బంతుల్లో (9584) ', '21 "&amp;"వ కెరీర్ లో సాధించిన అత్యధిక పరుగులు (7861)', '48 వ ఇన్నింగ్స్ లో సాధించిన అత్యధిక పరుగులు (91)' '20 వ అత్యధిక వికెట్లు బౌల్డ్ తీసుకున్న (61)', '12 వ అత్యధిక వికెట్లు తీసుకున్న ఆకర్షించింది (188)', '12 వ అత్యధిక వికెట్లు ఒక ఫీల్డర్ చేత క్యాచ్ తీసుకున్న (1"&amp;"41)', '22 వ అత్యధిక వికెట్లు ఒక వికెట్ కీపర్ చే కాట్ తీసుకోకూడదు (47)' '45 వ 50 వికెట్లు వేగంగా (31)', '200 వికెట్లు (148) 23 వేగవంతమైన' '150 వికెట్లు (115) వేగంగా 39 వ', '31 అత్యధిక పార్టనర్షిప్ ఫర్' 13 వ 250 వికెట్లు (177) వేగంగా ' పదవ వికెట్ను (53) ']")</f>
        <v>[ 'ఒక సిరీస్లో 6 వ అత్యంత బాతులు (3)', '21 వ కెరీర్ లో అత్యధిక వికెట్లు (269) ',' 43 వ అత్యంత ఐదు-వికెట్ల లో-ఒక-ఇన్నింగ్స్ కెరీర్లో (2) ',' 10 వ అత్యంత నాలుగు వికెట్లు -ఇన్-ఒక-ఇన్నింగ్స్ కెరీర్లో (13) ',' 24 వ కెరీర్ లో బౌల్డ్ చాలా బంతుల్లో (9584) ', '21 వ కెరీర్ లో సాధించిన అత్యధిక పరుగులు (7861)', '48 వ ఇన్నింగ్స్ లో సాధించిన అత్యధిక పరుగులు (91)' '20 వ అత్యధిక వికెట్లు బౌల్డ్ తీసుకున్న (61)', '12 వ అత్యధిక వికెట్లు తీసుకున్న ఆకర్షించింది (188)', '12 వ అత్యధిక వికెట్లు ఒక ఫీల్డర్ చేత క్యాచ్ తీసుకున్న (141)', '22 వ అత్యధిక వికెట్లు ఒక వికెట్ కీపర్ చే కాట్ తీసుకోకూడదు (47)' '45 వ 50 వికెట్లు వేగంగా (31)', '200 వికెట్లు (148) 23 వేగవంతమైన' '150 వికెట్లు (115) వేగంగా 39 వ', '31 అత్యధిక పార్టనర్షిప్ ఫర్' 13 వ 250 వికెట్లు (177) వేగంగా ' పదవ వికెట్ను (53) ']</v>
      </c>
      <c r="G3515" s="2" t="s">
        <v>298</v>
      </c>
      <c r="H3515" s="2" t="str">
        <f>IFERROR(__xludf.DUMMYFUNCTION("IF(G3515&lt;&gt;"""", GOOGLETRANSLATE(G3515, ""en"", ""te""),"""")"),"[ '5 వ అత్యధిక పరుగులు ఇన్నింగ్స్ (64) లో సాధించిన]")</f>
        <v>[ '5 వ అత్యధిక పరుగులు ఇన్నింగ్స్ (64) లో సాధించిన]</v>
      </c>
      <c r="I3515" s="3"/>
    </row>
    <row r="3516" customHeight="1" spans="1:9">
      <c r="A3516" s="2" t="s">
        <v>2420</v>
      </c>
      <c r="B3516" s="2" t="str">
        <f>IFERROR(__xludf.DUMMYFUNCTION("IF(A3516&lt;&gt;"""", GOOGLETRANSLATE(A3516, ""en"", ""te""),"""")"),"[ '1st చాలా ఇన్నింగ్స్ లో సాధించిన బైస్ (37)', 'ఒక వికెట్ కీపర్ సిరీస్లో 10 వ అత్యధిక పరుగులు (417)', 'ఎనిమిదవ వికెట్ (246) 5 వ అత్యధిక భాగస్వామ్యం']")</f>
        <v>[ '1st చాలా ఇన్నింగ్స్ లో సాధించిన బైస్ (37)', 'ఒక వికెట్ కీపర్ సిరీస్లో 10 వ అత్యధిక పరుగులు (417)', 'ఎనిమిదవ వికెట్ (246) 5 వ అత్యధిక భాగస్వామ్యం']</v>
      </c>
      <c r="C3516" s="2" t="s">
        <v>2421</v>
      </c>
      <c r="D3516" s="2" t="str">
        <f>IFERROR(__xludf.DUMMYFUNCTION("IF(C3516&lt;&gt;"""", GOOGLETRANSLATE(C3516, ""en"", ""te""),"""")"),"[ '10 వ అత్యంత వికెట్కీపర్ శ్రేణిలో పరుగులు (417)', 'ఎనిమిదవ వికెట్కు 5 వ అత్యధిక భాగస్వామ్యం (246)', '35 వ అత్యంత ఒక మ్యాచ్లో వికెట్లు (8)', '12 వ కెరీర్ స్టంపింగ్లు (23) ',' 12 వ మ్యాచ్ లో అత్యంత స్టంపింగ్లు (3) ',' 18 వ ఒక సిరీస్లో అత్యధిక స్టంపింగ్లు "&amp;"(5) ',' 1 వ అత్యంత ఇన్నింగ్స్ లో సాధించిన బైస్ (37) ']")</f>
        <v>[ '10 వ అత్యంత వికెట్కీపర్ శ్రేణిలో పరుగులు (417)', 'ఎనిమిదవ వికెట్కు 5 వ అత్యధిక భాగస్వామ్యం (246)', '35 వ అత్యంత ఒక మ్యాచ్లో వికెట్లు (8)', '12 వ కెరీర్ స్టంపింగ్లు (23) ',' 12 వ మ్యాచ్ లో అత్యంత స్టంపింగ్లు (3) ',' 18 వ ఒక సిరీస్లో అత్యధిక స్టంపింగ్లు (5) ',' 1 వ అత్యంత ఇన్నింగ్స్ లో సాధించిన బైస్ (37) ']</v>
      </c>
      <c r="E3516" s="2"/>
      <c r="F3516" s="2" t="str">
        <f>IFERROR(__xludf.DUMMYFUNCTION("IF(E3516&lt;&gt;"""", GOOGLETRANSLATE(E3516, ""en"", ""te""),"""")"),"")</f>
        <v/>
      </c>
      <c r="G3516" s="2"/>
      <c r="H3516" s="2" t="str">
        <f>IFERROR(__xludf.DUMMYFUNCTION("IF(G3516&lt;&gt;"""", GOOGLETRANSLATE(G3516, ""en"", ""te""),"""")"),"")</f>
        <v/>
      </c>
      <c r="I3516" s="3"/>
    </row>
    <row r="3517" customHeight="1" spans="1:9">
      <c r="A3517" s="2" t="s">
        <v>1942</v>
      </c>
      <c r="B3517" s="2" t="str">
        <f>IFERROR(__xludf.DUMMYFUNCTION("IF(A3517&lt;&gt;"""", GOOGLETRANSLATE(A3517, ""en"", ""te""),"""")"),"[ '5 వ అత్యుత్తమ ఇన్నింగ్స్ (4/7) విశ్లేషణలలో బౌలింగ్']")</f>
        <v>[ '5 వ అత్యుత్తమ ఇన్నింగ్స్ (4/7) విశ్లేషణలలో బౌలింగ్']</v>
      </c>
      <c r="C3517" s="2" t="s">
        <v>2422</v>
      </c>
      <c r="D3517" s="2" t="str">
        <f>IFERROR(__xludf.DUMMYFUNCTION("IF(C3517&lt;&gt;"""", GOOGLETRANSLATE(C3517, ""en"", ""te""),"""")"),"[40 వ ఉత్తమ సమ్మె ఇన్నింగ్స్ లో రేటు (9.0) '' 5 వ అత్యుత్తమ (4/7) ఒక ఇన్నింగ్స్ లో విశ్లేషణలు బౌలింగ్ ']")</f>
        <v>[40 వ ఉత్తమ సమ్మె ఇన్నింగ్స్ లో రేటు (9.0) '' 5 వ అత్యుత్తమ (4/7) ఒక ఇన్నింగ్స్ లో విశ్లేషణలు బౌలింగ్ ']</v>
      </c>
      <c r="E3517" s="2"/>
      <c r="F3517" s="2" t="str">
        <f>IFERROR(__xludf.DUMMYFUNCTION("IF(E3517&lt;&gt;"""", GOOGLETRANSLATE(E3517, ""en"", ""te""),"""")"),"")</f>
        <v/>
      </c>
      <c r="G3517" s="2"/>
      <c r="H3517" s="2" t="str">
        <f>IFERROR(__xludf.DUMMYFUNCTION("IF(G3517&lt;&gt;"""", GOOGLETRANSLATE(G3517, ""en"", ""te""),"""")"),"")</f>
        <v/>
      </c>
      <c r="I3517" s="3"/>
    </row>
    <row r="3518" customHeight="1" spans="1:9">
      <c r="A3518" s="2" t="s">
        <v>2423</v>
      </c>
      <c r="B3518" s="2" t="str">
        <f>IFERROR(__xludf.DUMMYFUNCTION("IF(A3518&lt;&gt;"""", GOOGLETRANSLATE(A3518, ""en"", ""te""),"""")"),"[ 'ఒక జట్టు కెప్టెన్గా 5 వ వరుస మ్యాచ్లు (52)', 'హండ్రెడ్ మరియు ఒక మ్యాచ్లో తొంభై', 'హండ్రెడ్ మరియు ఒక మ్యాచ్లో ఒక డక్', 'ఒక ఇన్నింగ్స్లో ద్వారా బ్యాట్ నిదర్శన (94 *)', ' 5000 పరుగులు మరియు 50 ఫీల్డింగ్ వికెట్లు ']")</f>
        <v>[ 'ఒక జట్టు కెప్టెన్గా 5 వ వరుస మ్యాచ్లు (52)', 'హండ్రెడ్ మరియు ఒక మ్యాచ్లో తొంభై', 'హండ్రెడ్ మరియు ఒక మ్యాచ్లో ఒక డక్', 'ఒక ఇన్నింగ్స్లో ద్వారా బ్యాట్ నిదర్శన (94 *)', ' 5000 పరుగులు మరియు 50 ఫీల్డింగ్ వికెట్లు ']</v>
      </c>
      <c r="C3518" s="2" t="s">
        <v>2424</v>
      </c>
      <c r="D3518" s="2" t="str">
        <f>IFERROR(__xludf.DUMMYFUNCTION("IF(C3518&lt;&gt;"""", GOOGLETRANSLATE(C3518, ""en"", ""te""),"""")"),"[ '32 వ కెరీర్ లో అత్యధిక పరుగులు (7728)' 'ఒక కెప్టెన్తో 45 వ ఒక సిరీస్లో అత్యధిక పరుగులు (510)', '20 వ కెరీర్ తొంభైల (5)', '46 వ 99 పరుగుల (199, 299 etc) (99) ',' 26th కెరీర్ అర్ధ (62) ',' 23 వ కెరీర్ బాతులు (20) ',' 35 వ కెరీర్ ఫోర్లు (904) ',' 34 వ చె"&amp;"త్త కెరీర్ (అర్హత లేకుండా) సగటు బౌలింగ్ (151.00 ) ',' రెండవ వికెట్కు 38 వ అత్యధిక భాగస్వామ్యం (263) ',' మూడో వికెట్కు 27 అత్యధిక భాగస్వామ్యం (303) ',' 37 వ అత్యధిక కెరీర్ లో మ్యాచ్లు (115) ',' ఒక జట్టు కోసం 31 వరుస మ్యాచ్లు (63 ) ',' 24 వ అత్యంత ప్లేయర్ ఆ"&amp;"ఫ్ ది సిరీస్ అవార్డులు (4) ',' 12 వ అత్యధిక మ్యాచ్లు కెప్టెన్గా (54) ',' ఒక జట్టు కెప్టెన్గా 5 వ వరుస మ్యాచ్లు (52) ',' 33 వ పిన్న కాప్టెన్ ( 25y 135d) ']")</f>
        <v>[ '32 వ కెరీర్ లో అత్యధిక పరుగులు (7728)' 'ఒక కెప్టెన్తో 45 వ ఒక సిరీస్లో అత్యధిక పరుగులు (510)', '20 వ కెరీర్ తొంభైల (5)', '46 వ 99 పరుగుల (199, 299 etc) (99) ',' 26th కెరీర్ అర్ధ (62) ',' 23 వ కెరీర్ బాతులు (20) ',' 35 వ కెరీర్ ఫోర్లు (904) ',' 34 వ చెత్త కెరీర్ (అర్హత లేకుండా) సగటు బౌలింగ్ (151.00 ) ',' రెండవ వికెట్కు 38 వ అత్యధిక భాగస్వామ్యం (263) ',' మూడో వికెట్కు 27 అత్యధిక భాగస్వామ్యం (303) ',' 37 వ అత్యధిక కెరీర్ లో మ్యాచ్లు (115) ',' ఒక జట్టు కోసం 31 వరుస మ్యాచ్లు (63 ) ',' 24 వ అత్యంత ప్లేయర్ ఆఫ్ ది సిరీస్ అవార్డులు (4) ',' 12 వ అత్యధిక మ్యాచ్లు కెప్టెన్గా (54) ',' ఒక జట్టు కెప్టెన్గా 5 వ వరుస మ్యాచ్లు (52) ',' 33 వ పిన్న కాప్టెన్ ( 25y 135d) ']</v>
      </c>
      <c r="E3518" s="2" t="s">
        <v>2425</v>
      </c>
      <c r="F3518" s="2" t="str">
        <f>IFERROR(__xludf.DUMMYFUNCTION("IF(E3518&lt;&gt;"""", GOOGLETRANSLATE(E3518, ""en"", ""te""),"""")"),"[ '1000 పరుగులు 16 వేగవంతమైన (25)' '35 వ లాంగెస్ట్ వ్యక్తిగత ఇన్నింగ్స్ (బంతులతో) (160)', '28th వరుస అన్ని టాస్ గెలిచిన (3)']")</f>
        <v>[ '1000 పరుగులు 16 వేగవంతమైన (25)' '35 వ లాంగెస్ట్ వ్యక్తిగత ఇన్నింగ్స్ (బంతులతో) (160)', '28th వరుస అన్ని టాస్ గెలిచిన (3)']</v>
      </c>
      <c r="G3518" s="2"/>
      <c r="H3518" s="2" t="str">
        <f>IFERROR(__xludf.DUMMYFUNCTION("IF(G3518&lt;&gt;"""", GOOGLETRANSLATE(G3518, ""en"", ""te""),"""")"),"")</f>
        <v/>
      </c>
      <c r="I3518" s="3"/>
    </row>
    <row r="3519" customHeight="1" spans="1:9">
      <c r="A3519" s="2" t="s">
        <v>2426</v>
      </c>
      <c r="B3519" s="2" t="str">
        <f>IFERROR(__xludf.DUMMYFUNCTION("IF(A3519&lt;&gt;"""", GOOGLETRANSLATE(A3519, ""en"", ""te""),"""")"),"[ '99 పరుగుల 1st (మరియు 199, 299 etc) (99)', 'హండ్రెడ్ మరియు ఒక మ్యాచ్లో ఒక డక్', 'ఇన్నింగ్స్ లో 2 వ అత్యధిక పరుగులు (ప్రగతిశీల రికార్డు హోల్డర్) (103)', 'హండ్రెడ్ తొలి ( 103) ']")</f>
        <v>[ '99 పరుగుల 1st (మరియు 199, 299 etc) (99)', 'హండ్రెడ్ మరియు ఒక మ్యాచ్లో ఒక డక్', 'ఇన్నింగ్స్ లో 2 వ అత్యధిక పరుగులు (ప్రగతిశీల రికార్డు హోల్డర్) (103)', 'హండ్రెడ్ తొలి ( 103) ']</v>
      </c>
      <c r="C3519" s="2" t="s">
        <v>2427</v>
      </c>
      <c r="D3519" s="2" t="str">
        <f>IFERROR(__xludf.DUMMYFUNCTION("IF(C3519&lt;&gt;"""", GOOGLETRANSLATE(C3519, ""en"", ""te""),"""")"),"[ '23 ఒక క్యాలెండర్ సంవత్సరంలో అత్యధిక పరుగులు (1379)', '31 అత్యధిక పరుగులు పరాజయం వైపు ఒక మ్యాచ్లో (219)' లో, '19 వ అత్యధిక వందలు ఒక క్యాలెండర్ సంవత్సరంలో' 47 వ వరుస (663) అత్యధిక పరుగులు ' (5) ',' ',' ఇన్నింగ్స్ లో 14 వ అత్యంత ఫోర్లు (40) ',' ఇన్నింగ్స"&amp;"్ లో ఫోర్లు, సిక్సర్లు నుండి 23 అత్యధిక పరుగులు (166) '1st 99 పరుగుల (199, 299 etc) (99), '17 వ లాంగెస్ట్ వ్యక్తిగత ఇన్నింగ్స్ (బంతులతో) (563)']")</f>
        <v>[ '23 ఒక క్యాలెండర్ సంవత్సరంలో అత్యధిక పరుగులు (1379)', '31 అత్యధిక పరుగులు పరాజయం వైపు ఒక మ్యాచ్లో (219)' లో, '19 వ అత్యధిక వందలు ఒక క్యాలెండర్ సంవత్సరంలో' 47 వ వరుస (663) అత్యధిక పరుగులు ' (5) ',' ',' ఇన్నింగ్స్ లో 14 వ అత్యంత ఫోర్లు (40) ',' ఇన్నింగ్స్ లో ఫోర్లు, సిక్సర్లు నుండి 23 అత్యధిక పరుగులు (166) '1st 99 పరుగుల (199, 299 etc) (99), '17 వ లాంగెస్ట్ వ్యక్తిగత ఇన్నింగ్స్ (బంతులతో) (563)']</v>
      </c>
      <c r="E3519" s="2" t="s">
        <v>2428</v>
      </c>
      <c r="F3519" s="2" t="str">
        <f>IFERROR(__xludf.DUMMYFUNCTION("IF(E3519&lt;&gt;"""", GOOGLETRANSLATE(E3519, ""en"", ""te""),"""")"),"[ '2 వ భాగం (ప్రగతిశీల రికార్డు హోల్డర్) ఒక ఇన్నింగ్స్ లో నడుస్తుంది (103)', 'తొలి మ్యాచ్లో 12 వ అత్యధిక పరుగులు (103)', 'గత మ్యాచ్లో 1st హండ్రెడ్ (108)', '45 వ అత్యంత ప్లేయర్ ఆఫ్ ది సిరీస్ అవార్డులు (3) ',' 37 వ పురాతన దేశం ఆటగాళ్ళు (78y 55d) ']")</f>
        <v>[ '2 వ భాగం (ప్రగతిశీల రికార్డు హోల్డర్) ఒక ఇన్నింగ్స్ లో నడుస్తుంది (103)', 'తొలి మ్యాచ్లో 12 వ అత్యధిక పరుగులు (103)', 'గత మ్యాచ్లో 1st హండ్రెడ్ (108)', '45 వ అత్యంత ప్లేయర్ ఆఫ్ ది సిరీస్ అవార్డులు (3) ',' 37 వ పురాతన దేశం ఆటగాళ్ళు (78y 55d) ']</v>
      </c>
      <c r="G3519" s="2"/>
      <c r="H3519" s="2" t="str">
        <f>IFERROR(__xludf.DUMMYFUNCTION("IF(G3519&lt;&gt;"""", GOOGLETRANSLATE(G3519, ""en"", ""te""),"""")"),"")</f>
        <v/>
      </c>
      <c r="I3519" s="3"/>
    </row>
    <row r="3520" customHeight="1" spans="1:9">
      <c r="A3520" s="2"/>
      <c r="B3520" s="2" t="str">
        <f>IFERROR(__xludf.DUMMYFUNCTION("IF(A3520&lt;&gt;"""", GOOGLETRANSLATE(A3520, ""en"", ""te""),"""")"),"")</f>
        <v/>
      </c>
      <c r="C3520" s="2"/>
      <c r="D3520" s="2" t="str">
        <f>IFERROR(__xludf.DUMMYFUNCTION("IF(C3520&lt;&gt;"""", GOOGLETRANSLATE(C3520, ""en"", ""te""),"""")"),"")</f>
        <v/>
      </c>
      <c r="E3520" s="2"/>
      <c r="F3520" s="2" t="str">
        <f>IFERROR(__xludf.DUMMYFUNCTION("IF(E3520&lt;&gt;"""", GOOGLETRANSLATE(E3520, ""en"", ""te""),"""")"),"")</f>
        <v/>
      </c>
      <c r="G3520" s="2"/>
      <c r="H3520" s="2" t="str">
        <f>IFERROR(__xludf.DUMMYFUNCTION("IF(G3520&lt;&gt;"""", GOOGLETRANSLATE(G3520, ""en"", ""te""),"""")"),"")</f>
        <v/>
      </c>
      <c r="I3520" s="3"/>
    </row>
    <row r="3521" customHeight="1" spans="1:9">
      <c r="A3521" s="2"/>
      <c r="B3521" s="2" t="str">
        <f>IFERROR(__xludf.DUMMYFUNCTION("IF(A3521&lt;&gt;"""", GOOGLETRANSLATE(A3521, ""en"", ""te""),"""")"),"")</f>
        <v/>
      </c>
      <c r="C3521" s="2"/>
      <c r="D3521" s="2" t="str">
        <f>IFERROR(__xludf.DUMMYFUNCTION("IF(C3521&lt;&gt;"""", GOOGLETRANSLATE(C3521, ""en"", ""te""),"""")"),"")</f>
        <v/>
      </c>
      <c r="E3521" s="2"/>
      <c r="F3521" s="2" t="str">
        <f>IFERROR(__xludf.DUMMYFUNCTION("IF(E3521&lt;&gt;"""", GOOGLETRANSLATE(E3521, ""en"", ""te""),"""")"),"")</f>
        <v/>
      </c>
      <c r="G3521" s="2"/>
      <c r="H3521" s="2" t="str">
        <f>IFERROR(__xludf.DUMMYFUNCTION("IF(G3521&lt;&gt;"""", GOOGLETRANSLATE(G3521, ""en"", ""te""),"""")"),"")</f>
        <v/>
      </c>
      <c r="I3521" s="3"/>
    </row>
    <row r="3522" customHeight="1" spans="1:9">
      <c r="A3522" s="2" t="s">
        <v>2429</v>
      </c>
      <c r="B3522" s="2" t="str">
        <f>IFERROR(__xludf.DUMMYFUNCTION("IF(A3522&lt;&gt;"""", GOOGLETRANSLATE(A3522, ""en"", ""te""),"""")"),"[ '10 వ చెత్త ఇన్నింగ్స్ లో ఆర్థిక రేటు (12.00)']")</f>
        <v>[ '10 వ చెత్త ఇన్నింగ్స్ లో ఆర్థిక రేటు (12.00)']</v>
      </c>
      <c r="C3522" s="2"/>
      <c r="D3522" s="2" t="str">
        <f>IFERROR(__xludf.DUMMYFUNCTION("IF(C3522&lt;&gt;"""", GOOGLETRANSLATE(C3522, ""en"", ""te""),"""")"),"")</f>
        <v/>
      </c>
      <c r="E3522" s="2" t="s">
        <v>2429</v>
      </c>
      <c r="F3522" s="2" t="str">
        <f>IFERROR(__xludf.DUMMYFUNCTION("IF(E3522&lt;&gt;"""", GOOGLETRANSLATE(E3522, ""en"", ""te""),"""")"),"[ '10 వ చెత్త ఇన్నింగ్స్ లో ఆర్థిక రేటు (12.00)']")</f>
        <v>[ '10 వ చెత్త ఇన్నింగ్స్ లో ఆర్థిక రేటు (12.00)']</v>
      </c>
      <c r="G3522" s="2"/>
      <c r="H3522" s="2" t="str">
        <f>IFERROR(__xludf.DUMMYFUNCTION("IF(G3522&lt;&gt;"""", GOOGLETRANSLATE(G3522, ""en"", ""te""),"""")"),"")</f>
        <v/>
      </c>
      <c r="I3522" s="3"/>
    </row>
    <row r="3523" customHeight="1" spans="1:9">
      <c r="A3523" s="2" t="s">
        <v>2430</v>
      </c>
      <c r="B3523" s="2" t="str">
        <f>IFERROR(__xludf.DUMMYFUNCTION("IF(A3523&lt;&gt;"""", GOOGLETRANSLATE(A3523, ""en"", ""te""),"""")"),"[ '1st ఇన్నింగ్స్ లో అత్యధిక పరుగులు (బ్యాటింగ్ స్థానంలో ప్రకారం) (68)', 'తొమ్మిదవ వికెట్కు 1st అత్యధిక భాగస్వామ్యం (73)']")</f>
        <v>[ '1st ఇన్నింగ్స్ లో అత్యధిక పరుగులు (బ్యాటింగ్ స్థానంలో ప్రకారం) (68)', 'తొమ్మిదవ వికెట్కు 1st అత్యధిక భాగస్వామ్యం (73)']</v>
      </c>
      <c r="C3523" s="2"/>
      <c r="D3523" s="2" t="str">
        <f>IFERROR(__xludf.DUMMYFUNCTION("IF(C3523&lt;&gt;"""", GOOGLETRANSLATE(C3523, ""en"", ""te""),"""")"),"")</f>
        <v/>
      </c>
      <c r="E3523" s="2" t="s">
        <v>2431</v>
      </c>
      <c r="F3523" s="2" t="str">
        <f>IFERROR(__xludf.DUMMYFUNCTION("IF(E3523&lt;&gt;"""", GOOGLETRANSLATE(E3523, ""en"", ""te""),"""")"),"[ 'ఇన్నింగ్స్ లో 1 వ అత్యధిక పరుగులు (బ్యాటింగ్ స్థానంలో ప్రకారం) (68)', 'వికెట్ తేడాతో 10 వ అత్యధిక భాగస్వామ్యాల (9)', 'తొమ్మిదవ వికెట్కు 1st అత్యధిక భాగస్వామ్యం (73)']")</f>
        <v>[ 'ఇన్నింగ్స్ లో 1 వ అత్యధిక పరుగులు (బ్యాటింగ్ స్థానంలో ప్రకారం) (68)', 'వికెట్ తేడాతో 10 వ అత్యధిక భాగస్వామ్యాల (9)', 'తొమ్మిదవ వికెట్కు 1st అత్యధిక భాగస్వామ్యం (73)']</v>
      </c>
      <c r="G3523" s="2"/>
      <c r="H3523" s="2" t="str">
        <f>IFERROR(__xludf.DUMMYFUNCTION("IF(G3523&lt;&gt;"""", GOOGLETRANSLATE(G3523, ""en"", ""te""),"""")"),"")</f>
        <v/>
      </c>
      <c r="I3523" s="3"/>
    </row>
    <row r="3524" customHeight="1" spans="1:9">
      <c r="A3524" s="2"/>
      <c r="B3524" s="2" t="str">
        <f>IFERROR(__xludf.DUMMYFUNCTION("IF(A3524&lt;&gt;"""", GOOGLETRANSLATE(A3524, ""en"", ""te""),"""")"),"")</f>
        <v/>
      </c>
      <c r="C3524" s="2"/>
      <c r="D3524" s="2" t="str">
        <f>IFERROR(__xludf.DUMMYFUNCTION("IF(C3524&lt;&gt;"""", GOOGLETRANSLATE(C3524, ""en"", ""te""),"""")"),"")</f>
        <v/>
      </c>
      <c r="E3524" s="2"/>
      <c r="F3524" s="2" t="str">
        <f>IFERROR(__xludf.DUMMYFUNCTION("IF(E3524&lt;&gt;"""", GOOGLETRANSLATE(E3524, ""en"", ""te""),"""")"),"")</f>
        <v/>
      </c>
      <c r="G3524" s="2"/>
      <c r="H3524" s="2" t="str">
        <f>IFERROR(__xludf.DUMMYFUNCTION("IF(G3524&lt;&gt;"""", GOOGLETRANSLATE(G3524, ""en"", ""te""),"""")"),"")</f>
        <v/>
      </c>
      <c r="I3524" s="3"/>
    </row>
    <row r="3525" customHeight="1" spans="1:9">
      <c r="A3525" s="2"/>
      <c r="B3525" s="2" t="str">
        <f>IFERROR(__xludf.DUMMYFUNCTION("IF(A3525&lt;&gt;"""", GOOGLETRANSLATE(A3525, ""en"", ""te""),"""")"),"")</f>
        <v/>
      </c>
      <c r="C3525" s="2"/>
      <c r="D3525" s="2" t="str">
        <f>IFERROR(__xludf.DUMMYFUNCTION("IF(C3525&lt;&gt;"""", GOOGLETRANSLATE(C3525, ""en"", ""te""),"""")"),"")</f>
        <v/>
      </c>
      <c r="E3525" s="2"/>
      <c r="F3525" s="2" t="str">
        <f>IFERROR(__xludf.DUMMYFUNCTION("IF(E3525&lt;&gt;"""", GOOGLETRANSLATE(E3525, ""en"", ""te""),"""")"),"")</f>
        <v/>
      </c>
      <c r="G3525" s="2"/>
      <c r="H3525" s="2" t="str">
        <f>IFERROR(__xludf.DUMMYFUNCTION("IF(G3525&lt;&gt;"""", GOOGLETRANSLATE(G3525, ""en"", ""te""),"""")"),"")</f>
        <v/>
      </c>
      <c r="I3525" s="3"/>
    </row>
    <row r="3526" customHeight="1" spans="1:9">
      <c r="A3526" s="2"/>
      <c r="B3526" s="2" t="str">
        <f>IFERROR(__xludf.DUMMYFUNCTION("IF(A3526&lt;&gt;"""", GOOGLETRANSLATE(A3526, ""en"", ""te""),"""")"),"")</f>
        <v/>
      </c>
      <c r="C3526" s="2"/>
      <c r="D3526" s="2" t="str">
        <f>IFERROR(__xludf.DUMMYFUNCTION("IF(C3526&lt;&gt;"""", GOOGLETRANSLATE(C3526, ""en"", ""te""),"""")"),"")</f>
        <v/>
      </c>
      <c r="E3526" s="2"/>
      <c r="F3526" s="2" t="str">
        <f>IFERROR(__xludf.DUMMYFUNCTION("IF(E3526&lt;&gt;"""", GOOGLETRANSLATE(E3526, ""en"", ""te""),"""")"),"")</f>
        <v/>
      </c>
      <c r="G3526" s="2"/>
      <c r="H3526" s="2" t="str">
        <f>IFERROR(__xludf.DUMMYFUNCTION("IF(G3526&lt;&gt;"""", GOOGLETRANSLATE(G3526, ""en"", ""te""),"""")"),"")</f>
        <v/>
      </c>
      <c r="I3526" s="3"/>
    </row>
    <row r="3527" customHeight="1" spans="1:9">
      <c r="A3527" s="2" t="s">
        <v>2432</v>
      </c>
      <c r="B3527" s="2" t="str">
        <f>IFERROR(__xludf.DUMMYFUNCTION("IF(A3527&lt;&gt;"""", GOOGLETRANSLATE(A3527, ""en"", ""te""),"""")"),"[ '2 వ ఓల్డెస్ట్ కాప్టెన్ (45y 245d)', '7 వ అత్యధిక పరుగులు ఇన్నింగ్స్ లో (బ్యాటింగ్ స్థానం) (122)', '5 వ ఒక ఇన్నింగ్స్ లోని బెస్ట్ ఫిగర్స్ ఒక కెప్టెన్ (7) ద్వారా']")</f>
        <v>[ '2 వ ఓల్డెస్ట్ కాప్టెన్ (45y 245d)', '7 వ అత్యధిక పరుగులు ఇన్నింగ్స్ లో (బ్యాటింగ్ స్థానం) (122)', '5 వ ఒక ఇన్నింగ్స్ లోని బెస్ట్ ఫిగర్స్ ఒక కెప్టెన్ (7) ద్వారా']</v>
      </c>
      <c r="C3527" s="2" t="s">
        <v>2433</v>
      </c>
      <c r="D3527" s="2" t="str">
        <f>IFERROR(__xludf.DUMMYFUNCTION("IF(C3527&lt;&gt;"""", GOOGLETRANSLATE(C3527, ""en"", ""te""),"""")"),"[ 'ఇన్నింగ్స్ లో 7 వ అత్యధిక పరుగులు (బ్యాటింగ్ స్థానంలో ప్రకారం) (122)', '15 వ అత్యుత్తమ ఇన్నింగ్స్ లో బౌలింగ్ విశ్లేషణలు (5/14)', 'ఒక కెప్టెన్ ద్వారా 5th ఒక ఇన్నింగ్స్ లోని బెస్ట్ ఫిగర్స్ (7)', '14 వ ఒక కెప్టెన్తో ఒక మ్యాచ్లో బెస్ట్ ఫిగర్స్ (10) ',' పది"&amp;" వికెట్ల లో ఒక మ్యాచ్ పడుతుంది 38 వ ఓల్డెస్ట్ ఆటగాడు (33y 332d) ',' 13 వ ఓల్డెస్ట్ క్రీడాకారులు (45y 245d) ',' ప్రదర్శనల మధ్య 18 వ లాంగెస్ట్ వ్యవధిలో (10y 345d) ',' 2 వ ఓల్డెస్ట్ కాప్టెన్ (45y 245d) ']")</f>
        <v>[ 'ఇన్నింగ్స్ లో 7 వ అత్యధిక పరుగులు (బ్యాటింగ్ స్థానంలో ప్రకారం) (122)', '15 వ అత్యుత్తమ ఇన్నింగ్స్ లో బౌలింగ్ విశ్లేషణలు (5/14)', 'ఒక కెప్టెన్ ద్వారా 5th ఒక ఇన్నింగ్స్ లోని బెస్ట్ ఫిగర్స్ (7)', '14 వ ఒక కెప్టెన్తో ఒక మ్యాచ్లో బెస్ట్ ఫిగర్స్ (10) ',' పది వికెట్ల లో ఒక మ్యాచ్ పడుతుంది 38 వ ఓల్డెస్ట్ ఆటగాడు (33y 332d) ',' 13 వ ఓల్డెస్ట్ క్రీడాకారులు (45y 245d) ',' ప్రదర్శనల మధ్య 18 వ లాంగెస్ట్ వ్యవధిలో (10y 345d) ',' 2 వ ఓల్డెస్ట్ కాప్టెన్ (45y 245d) ']</v>
      </c>
      <c r="E3527" s="2"/>
      <c r="F3527" s="2" t="str">
        <f>IFERROR(__xludf.DUMMYFUNCTION("IF(E3527&lt;&gt;"""", GOOGLETRANSLATE(E3527, ""en"", ""te""),"""")"),"")</f>
        <v/>
      </c>
      <c r="G3527" s="2"/>
      <c r="H3527" s="2" t="str">
        <f>IFERROR(__xludf.DUMMYFUNCTION("IF(G3527&lt;&gt;"""", GOOGLETRANSLATE(G3527, ""en"", ""te""),"""")"),"")</f>
        <v/>
      </c>
      <c r="I3527" s="3"/>
    </row>
    <row r="3528" customHeight="1" spans="1:9">
      <c r="A3528" s="2"/>
      <c r="B3528" s="2" t="str">
        <f>IFERROR(__xludf.DUMMYFUNCTION("IF(A3528&lt;&gt;"""", GOOGLETRANSLATE(A3528, ""en"", ""te""),"""")"),"")</f>
        <v/>
      </c>
      <c r="C3528" s="2"/>
      <c r="D3528" s="2" t="str">
        <f>IFERROR(__xludf.DUMMYFUNCTION("IF(C3528&lt;&gt;"""", GOOGLETRANSLATE(C3528, ""en"", ""te""),"""")"),"")</f>
        <v/>
      </c>
      <c r="E3528" s="2"/>
      <c r="F3528" s="2" t="str">
        <f>IFERROR(__xludf.DUMMYFUNCTION("IF(E3528&lt;&gt;"""", GOOGLETRANSLATE(E3528, ""en"", ""te""),"""")"),"")</f>
        <v/>
      </c>
      <c r="G3528" s="2"/>
      <c r="H3528" s="2" t="str">
        <f>IFERROR(__xludf.DUMMYFUNCTION("IF(G3528&lt;&gt;"""", GOOGLETRANSLATE(G3528, ""en"", ""te""),"""")"),"")</f>
        <v/>
      </c>
      <c r="I3528" s="3"/>
    </row>
    <row r="3529" customHeight="1" spans="1:9">
      <c r="A3529" s="2"/>
      <c r="B3529" s="2" t="str">
        <f>IFERROR(__xludf.DUMMYFUNCTION("IF(A3529&lt;&gt;"""", GOOGLETRANSLATE(A3529, ""en"", ""te""),"""")"),"")</f>
        <v/>
      </c>
      <c r="C3529" s="2" t="s">
        <v>2434</v>
      </c>
      <c r="D3529" s="2" t="str">
        <f>IFERROR(__xludf.DUMMYFUNCTION("IF(C3529&lt;&gt;"""", GOOGLETRANSLATE(C3529, ""en"", ""te""),"""")"),"[ '11 వ ఉత్తమ ఇన్నింగ్స్ లో ఆర్థిక రేటు (0.42)']")</f>
        <v>[ '11 వ ఉత్తమ ఇన్నింగ్స్ లో ఆర్థిక రేటు (0.42)']</v>
      </c>
      <c r="E3529" s="2"/>
      <c r="F3529" s="2" t="str">
        <f>IFERROR(__xludf.DUMMYFUNCTION("IF(E3529&lt;&gt;"""", GOOGLETRANSLATE(E3529, ""en"", ""te""),"""")"),"")</f>
        <v/>
      </c>
      <c r="G3529" s="2"/>
      <c r="H3529" s="2" t="str">
        <f>IFERROR(__xludf.DUMMYFUNCTION("IF(G3529&lt;&gt;"""", GOOGLETRANSLATE(G3529, ""en"", ""te""),"""")"),"")</f>
        <v/>
      </c>
      <c r="I3529" s="3"/>
    </row>
    <row r="3530" customHeight="1" spans="1:9">
      <c r="A3530" s="2"/>
      <c r="B3530" s="2" t="str">
        <f>IFERROR(__xludf.DUMMYFUNCTION("IF(A3530&lt;&gt;"""", GOOGLETRANSLATE(A3530, ""en"", ""te""),"""")"),"")</f>
        <v/>
      </c>
      <c r="C3530" s="2"/>
      <c r="D3530" s="2" t="str">
        <f>IFERROR(__xludf.DUMMYFUNCTION("IF(C3530&lt;&gt;"""", GOOGLETRANSLATE(C3530, ""en"", ""te""),"""")"),"")</f>
        <v/>
      </c>
      <c r="E3530" s="2"/>
      <c r="F3530" s="2" t="str">
        <f>IFERROR(__xludf.DUMMYFUNCTION("IF(E3530&lt;&gt;"""", GOOGLETRANSLATE(E3530, ""en"", ""te""),"""")"),"")</f>
        <v/>
      </c>
      <c r="G3530" s="2"/>
      <c r="H3530" s="2" t="str">
        <f>IFERROR(__xludf.DUMMYFUNCTION("IF(G3530&lt;&gt;"""", GOOGLETRANSLATE(G3530, ""en"", ""te""),"""")"),"")</f>
        <v/>
      </c>
      <c r="I3530" s="3"/>
    </row>
    <row r="3531" customHeight="1" spans="1:9">
      <c r="A3531" s="2" t="s">
        <v>2435</v>
      </c>
      <c r="B3531" s="2" t="str">
        <f>IFERROR(__xludf.DUMMYFUNCTION("IF(A3531&lt;&gt;"""", GOOGLETRANSLATE(A3531, ""en"", ""te""),"""")"),"[ '7th లాంగెస్ట్ వ్యక్తిగత ఇన్నింగ్స్ (బంతులతో) (172)']")</f>
        <v>[ '7th లాంగెస్ట్ వ్యక్తిగత ఇన్నింగ్స్ (బంతులతో) (172)']</v>
      </c>
      <c r="C3531" s="2" t="s">
        <v>2436</v>
      </c>
      <c r="D3531" s="2" t="str">
        <f>IFERROR(__xludf.DUMMYFUNCTION("IF(C3531&lt;&gt;"""", GOOGLETRANSLATE(C3531, ""en"", ""te""),"""")"),"[40 వ వరుస మ్యాచ్లు ప్రదర్శనల మధ్య (57) జట్టు తప్పిన ']")</f>
        <v>[40 వ వరుస మ్యాచ్లు ప్రదర్శనల మధ్య (57) జట్టు తప్పిన ']</v>
      </c>
      <c r="E3531" s="2" t="s">
        <v>2437</v>
      </c>
      <c r="F3531" s="2" t="str">
        <f>IFERROR(__xludf.DUMMYFUNCTION("IF(E3531&lt;&gt;"""", GOOGLETRANSLATE(E3531, ""en"", ""te""),"""")"),"[ '30 వ అత్యధిక తొలి వంద (142 *)', '7 వ లాంగెస్ట్ వ్యక్తిగత ఇన్నింగ్స్ (బంతులతో) (172)']")</f>
        <v>[ '30 వ అత్యధిక తొలి వంద (142 *)', '7 వ లాంగెస్ట్ వ్యక్తిగత ఇన్నింగ్స్ (బంతులతో) (172)']</v>
      </c>
      <c r="G3531" s="2"/>
      <c r="H3531" s="2" t="str">
        <f>IFERROR(__xludf.DUMMYFUNCTION("IF(G3531&lt;&gt;"""", GOOGLETRANSLATE(G3531, ""en"", ""te""),"""")"),"")</f>
        <v/>
      </c>
      <c r="I3531" s="3"/>
    </row>
    <row r="3532" customHeight="1" spans="1:9">
      <c r="A3532" s="2"/>
      <c r="B3532" s="2" t="str">
        <f>IFERROR(__xludf.DUMMYFUNCTION("IF(A3532&lt;&gt;"""", GOOGLETRANSLATE(A3532, ""en"", ""te""),"""")"),"")</f>
        <v/>
      </c>
      <c r="C3532" s="2"/>
      <c r="D3532" s="2" t="str">
        <f>IFERROR(__xludf.DUMMYFUNCTION("IF(C3532&lt;&gt;"""", GOOGLETRANSLATE(C3532, ""en"", ""te""),"""")"),"")</f>
        <v/>
      </c>
      <c r="E3532" s="2"/>
      <c r="F3532" s="2" t="str">
        <f>IFERROR(__xludf.DUMMYFUNCTION("IF(E3532&lt;&gt;"""", GOOGLETRANSLATE(E3532, ""en"", ""te""),"""")"),"")</f>
        <v/>
      </c>
      <c r="G3532" s="2"/>
      <c r="H3532" s="2" t="str">
        <f>IFERROR(__xludf.DUMMYFUNCTION("IF(G3532&lt;&gt;"""", GOOGLETRANSLATE(G3532, ""en"", ""te""),"""")"),"")</f>
        <v/>
      </c>
      <c r="I3532" s="3"/>
    </row>
    <row r="3533" customHeight="1" spans="1:9">
      <c r="A3533" s="2"/>
      <c r="B3533" s="2" t="str">
        <f>IFERROR(__xludf.DUMMYFUNCTION("IF(A3533&lt;&gt;"""", GOOGLETRANSLATE(A3533, ""en"", ""te""),"""")"),"")</f>
        <v/>
      </c>
      <c r="C3533" s="2"/>
      <c r="D3533" s="2" t="str">
        <f>IFERROR(__xludf.DUMMYFUNCTION("IF(C3533&lt;&gt;"""", GOOGLETRANSLATE(C3533, ""en"", ""te""),"""")"),"")</f>
        <v/>
      </c>
      <c r="E3533" s="2"/>
      <c r="F3533" s="2" t="str">
        <f>IFERROR(__xludf.DUMMYFUNCTION("IF(E3533&lt;&gt;"""", GOOGLETRANSLATE(E3533, ""en"", ""te""),"""")"),"")</f>
        <v/>
      </c>
      <c r="G3533" s="2"/>
      <c r="H3533" s="2" t="str">
        <f>IFERROR(__xludf.DUMMYFUNCTION("IF(G3533&lt;&gt;"""", GOOGLETRANSLATE(G3533, ""en"", ""te""),"""")"),"")</f>
        <v/>
      </c>
      <c r="I3533" s="3"/>
    </row>
    <row r="3534" customHeight="1" spans="1:9">
      <c r="A3534" s="2"/>
      <c r="B3534" s="2" t="str">
        <f>IFERROR(__xludf.DUMMYFUNCTION("IF(A3534&lt;&gt;"""", GOOGLETRANSLATE(A3534, ""en"", ""te""),"""")"),"")</f>
        <v/>
      </c>
      <c r="C3534" s="2"/>
      <c r="D3534" s="2" t="str">
        <f>IFERROR(__xludf.DUMMYFUNCTION("IF(C3534&lt;&gt;"""", GOOGLETRANSLATE(C3534, ""en"", ""te""),"""")"),"")</f>
        <v/>
      </c>
      <c r="E3534" s="2"/>
      <c r="F3534" s="2" t="str">
        <f>IFERROR(__xludf.DUMMYFUNCTION("IF(E3534&lt;&gt;"""", GOOGLETRANSLATE(E3534, ""en"", ""te""),"""")"),"")</f>
        <v/>
      </c>
      <c r="G3534" s="2"/>
      <c r="H3534" s="2" t="str">
        <f>IFERROR(__xludf.DUMMYFUNCTION("IF(G3534&lt;&gt;"""", GOOGLETRANSLATE(G3534, ""en"", ""te""),"""")"),"")</f>
        <v/>
      </c>
      <c r="I3534" s="3"/>
    </row>
    <row r="3535" customHeight="1" spans="1:9">
      <c r="A3535" s="2"/>
      <c r="B3535" s="2" t="str">
        <f>IFERROR(__xludf.DUMMYFUNCTION("IF(A3535&lt;&gt;"""", GOOGLETRANSLATE(A3535, ""en"", ""te""),"""")"),"")</f>
        <v/>
      </c>
      <c r="C3535" s="2"/>
      <c r="D3535" s="2" t="str">
        <f>IFERROR(__xludf.DUMMYFUNCTION("IF(C3535&lt;&gt;"""", GOOGLETRANSLATE(C3535, ""en"", ""te""),"""")"),"")</f>
        <v/>
      </c>
      <c r="E3535" s="2"/>
      <c r="F3535" s="2" t="str">
        <f>IFERROR(__xludf.DUMMYFUNCTION("IF(E3535&lt;&gt;"""", GOOGLETRANSLATE(E3535, ""en"", ""te""),"""")"),"")</f>
        <v/>
      </c>
      <c r="G3535" s="2"/>
      <c r="H3535" s="2" t="str">
        <f>IFERROR(__xludf.DUMMYFUNCTION("IF(G3535&lt;&gt;"""", GOOGLETRANSLATE(G3535, ""en"", ""te""),"""")"),"")</f>
        <v/>
      </c>
      <c r="I3535" s="3"/>
    </row>
    <row r="3536" customHeight="1" spans="1:9">
      <c r="A3536" s="2"/>
      <c r="B3536" s="2" t="str">
        <f>IFERROR(__xludf.DUMMYFUNCTION("IF(A3536&lt;&gt;"""", GOOGLETRANSLATE(A3536, ""en"", ""te""),"""")"),"")</f>
        <v/>
      </c>
      <c r="C3536" s="2"/>
      <c r="D3536" s="2" t="str">
        <f>IFERROR(__xludf.DUMMYFUNCTION("IF(C3536&lt;&gt;"""", GOOGLETRANSLATE(C3536, ""en"", ""te""),"""")"),"")</f>
        <v/>
      </c>
      <c r="E3536" s="2"/>
      <c r="F3536" s="2" t="str">
        <f>IFERROR(__xludf.DUMMYFUNCTION("IF(E3536&lt;&gt;"""", GOOGLETRANSLATE(E3536, ""en"", ""te""),"""")"),"")</f>
        <v/>
      </c>
      <c r="G3536" s="2"/>
      <c r="H3536" s="2" t="str">
        <f>IFERROR(__xludf.DUMMYFUNCTION("IF(G3536&lt;&gt;"""", GOOGLETRANSLATE(G3536, ""en"", ""te""),"""")"),"")</f>
        <v/>
      </c>
      <c r="I3536" s="3"/>
    </row>
    <row r="3537" customHeight="1" spans="1:9">
      <c r="A3537" s="2"/>
      <c r="B3537" s="2" t="str">
        <f>IFERROR(__xludf.DUMMYFUNCTION("IF(A3537&lt;&gt;"""", GOOGLETRANSLATE(A3537, ""en"", ""te""),"""")"),"")</f>
        <v/>
      </c>
      <c r="C3537" s="2"/>
      <c r="D3537" s="2" t="str">
        <f>IFERROR(__xludf.DUMMYFUNCTION("IF(C3537&lt;&gt;"""", GOOGLETRANSLATE(C3537, ""en"", ""te""),"""")"),"")</f>
        <v/>
      </c>
      <c r="E3537" s="2"/>
      <c r="F3537" s="2" t="str">
        <f>IFERROR(__xludf.DUMMYFUNCTION("IF(E3537&lt;&gt;"""", GOOGLETRANSLATE(E3537, ""en"", ""te""),"""")"),"")</f>
        <v/>
      </c>
      <c r="G3537" s="2"/>
      <c r="H3537" s="2" t="str">
        <f>IFERROR(__xludf.DUMMYFUNCTION("IF(G3537&lt;&gt;"""", GOOGLETRANSLATE(G3537, ""en"", ""te""),"""")"),"")</f>
        <v/>
      </c>
      <c r="I3537" s="3"/>
    </row>
    <row r="3538" customHeight="1" spans="1:9">
      <c r="A3538" s="2"/>
      <c r="B3538" s="2" t="str">
        <f>IFERROR(__xludf.DUMMYFUNCTION("IF(A3538&lt;&gt;"""", GOOGLETRANSLATE(A3538, ""en"", ""te""),"""")"),"")</f>
        <v/>
      </c>
      <c r="C3538" s="2" t="s">
        <v>655</v>
      </c>
      <c r="D3538" s="2" t="str">
        <f>IFERROR(__xludf.DUMMYFUNCTION("IF(C3538&lt;&gt;"""", GOOGLETRANSLATE(C3538, ""en"", ""te""),"""")"),"[ '33 వ ప్రవేశం (8) ఒక మ్యాచ్లో బెస్ట్ ఫిగర్స్']")</f>
        <v>[ '33 వ ప్రవేశం (8) ఒక మ్యాచ్లో బెస్ట్ ఫిగర్స్']</v>
      </c>
      <c r="E3538" s="2"/>
      <c r="F3538" s="2" t="str">
        <f>IFERROR(__xludf.DUMMYFUNCTION("IF(E3538&lt;&gt;"""", GOOGLETRANSLATE(E3538, ""en"", ""te""),"""")"),"")</f>
        <v/>
      </c>
      <c r="G3538" s="2"/>
      <c r="H3538" s="2" t="str">
        <f>IFERROR(__xludf.DUMMYFUNCTION("IF(G3538&lt;&gt;"""", GOOGLETRANSLATE(G3538, ""en"", ""te""),"""")"),"")</f>
        <v/>
      </c>
      <c r="I3538" s="3"/>
    </row>
    <row r="3539" customHeight="1" spans="1:9">
      <c r="A3539" s="2" t="s">
        <v>2438</v>
      </c>
      <c r="B3539" s="2" t="str">
        <f>IFERROR(__xludf.DUMMYFUNCTION("IF(A3539&lt;&gt;"""", GOOGLETRANSLATE(A3539, ""en"", ""te""),"""")"),"[ 'ఇన్నింగ్స్ లో 9 వ అత్యధిక స్ట్రైక్ రేట్ (238.88)', '250 పరుగులు మరియు ఒక సిరీస్లో 20 వికెట్లు', 'ఇన్నింగ్స్ లో 4 వ అత్యధిక స్ట్రైక్ రేట్ (344.44)', '1 వ వరుస బాతులు (3)', '5 వ మూడో వికెట్కు అత్యధిక భాగస్వామ్యం (135) ']")</f>
        <v>[ 'ఇన్నింగ్స్ లో 9 వ అత్యధిక స్ట్రైక్ రేట్ (238.88)', '250 పరుగులు మరియు ఒక సిరీస్లో 20 వికెట్లు', 'ఇన్నింగ్స్ లో 4 వ అత్యధిక స్ట్రైక్ రేట్ (344.44)', '1 వ వరుస బాతులు (3)', '5 వ మూడో వికెట్కు అత్యధిక భాగస్వామ్యం (135) ']</v>
      </c>
      <c r="C3539" s="2" t="s">
        <v>2439</v>
      </c>
      <c r="D3539" s="2" t="str">
        <f>IFERROR(__xludf.DUMMYFUNCTION("IF(C3539&lt;&gt;"""", GOOGLETRANSLATE(C3539, ""en"", ""te""),"""")"),"[ 'ఇన్నింగ్స్ లో 9 వ అత్యధిక స్ట్రైక్ రేట్ (238.88)', '23 వ చెత్త కెరీర్లో ఆర్థిక రేటు (3.62)']")</f>
        <v>[ 'ఇన్నింగ్స్ లో 9 వ అత్యధిక స్ట్రైక్ రేట్ (238.88)', '23 వ చెత్త కెరీర్లో ఆర్థిక రేటు (3.62)']</v>
      </c>
      <c r="E3539" s="2" t="s">
        <v>2440</v>
      </c>
      <c r="F3539" s="2" t="str">
        <f>IFERROR(__xludf.DUMMYFUNCTION("IF(E3539&lt;&gt;"""", GOOGLETRANSLATE(E3539, ""en"", ""te""),"""")"),"[ '15 వ ఇన్నింగ్స్ లో అత్యధిక పరుగులు (బ్యాటింగ్ స్థానంలో ప్రకారం) (102)', '26th అత్యధిక కెరీర్ సమ్మె రేటు (102.95)', ఒక ఇన్నింగ్స్ లో, '44th ఎక్కువ సిక్స్' 4 వ అత్యధిక సమ్మె ఇన్నింగ్స్ (344.44) లో రేటు '( 8) ',' 23 వ చెత్త బౌలింగ్ కెరీర్ సగటు (51.38) ','"&amp;" 32 వ అత్యధిక వికెట్లు తీసుకున్న స్టంప్ (11) ',' ఏడవ వికెట్ (117 కోసం 12 వ అత్యధిక భాగస్వామ్యం) ']")</f>
        <v>[ '15 వ ఇన్నింగ్స్ లో అత్యధిక పరుగులు (బ్యాటింగ్ స్థానంలో ప్రకారం) (102)', '26th అత్యధిక కెరీర్ సమ్మె రేటు (102.95)', ఒక ఇన్నింగ్స్ లో, '44th ఎక్కువ సిక్స్' 4 వ అత్యధిక సమ్మె ఇన్నింగ్స్ (344.44) లో రేటు '( 8) ',' 23 వ చెత్త బౌలింగ్ కెరీర్ సగటు (51.38) ',' 32 వ అత్యధిక వికెట్లు తీసుకున్న స్టంప్ (11) ',' ఏడవ వికెట్ (117 కోసం 12 వ అత్యధిక భాగస్వామ్యం) ']</v>
      </c>
      <c r="G3539" s="2" t="s">
        <v>2441</v>
      </c>
      <c r="H3539" s="2" t="str">
        <f>IFERROR(__xludf.DUMMYFUNCTION("IF(G3539&lt;&gt;"""", GOOGLETRANSLATE(G3539, ""en"", ""te""),"""")"),"[ '41 వ ఇన్నింగ్స్ లో అత్యధిక పరుగులు (బ్యాటింగ్ స్థానంలో ప్రకారం) (61)', 'ఇన్నింగ్స్ లో 10 వ అత్యధిక స్ట్రైక్ రేట్ (354.54)', '13 వ కెరీర్ బాతులు (6)', '1 వ వరుస బాతులు (3) ',' 29 వ అత్యధిక ఇన్నింగ్స్ ఏ వికెట్కు (58) ',' 35 వ అత్యధిక భాగస్వామ్య సాధించిన"&amp;" పరుగులు (135) ',' మూడో వికెట్కు 5 వ అత్యధిక భాగస్వామ్యం (135) ఎనిమిదో వికెట్కు ',' 8 వ అత్యధిక భాగస్వామ్యం (57 *) ']")</f>
        <v>[ '41 వ ఇన్నింగ్స్ లో అత్యధిక పరుగులు (బ్యాటింగ్ స్థానంలో ప్రకారం) (61)', 'ఇన్నింగ్స్ లో 10 వ అత్యధిక స్ట్రైక్ రేట్ (354.54)', '13 వ కెరీర్ బాతులు (6)', '1 వ వరుస బాతులు (3) ',' 29 వ అత్యధిక ఇన్నింగ్స్ ఏ వికెట్కు (58) ',' 35 వ అత్యధిక భాగస్వామ్య సాధించిన పరుగులు (135) ',' మూడో వికెట్కు 5 వ అత్యధిక భాగస్వామ్యం (135) ఎనిమిదో వికెట్కు ',' 8 వ అత్యధిక భాగస్వామ్యం (57 *) ']</v>
      </c>
      <c r="I3539" s="3"/>
    </row>
    <row r="3540" customHeight="1" spans="1:9">
      <c r="A3540" s="2" t="s">
        <v>323</v>
      </c>
      <c r="B3540" s="2" t="str">
        <f>IFERROR(__xludf.DUMMYFUNCTION("IF(A3540&lt;&gt;"""", GOOGLETRANSLATE(A3540, ""en"", ""te""),"""")"),"[ '4 వ అత్యధిక వరుస బాతులు (4)']")</f>
        <v>[ '4 వ అత్యధిక వరుస బాతులు (4)']</v>
      </c>
      <c r="C3540" s="2"/>
      <c r="D3540" s="2" t="str">
        <f>IFERROR(__xludf.DUMMYFUNCTION("IF(C3540&lt;&gt;"""", GOOGLETRANSLATE(C3540, ""en"", ""te""),"""")"),"")</f>
        <v/>
      </c>
      <c r="E3540" s="2"/>
      <c r="F3540" s="2" t="str">
        <f>IFERROR(__xludf.DUMMYFUNCTION("IF(E3540&lt;&gt;"""", GOOGLETRANSLATE(E3540, ""en"", ""te""),"""")"),"")</f>
        <v/>
      </c>
      <c r="G3540" s="2"/>
      <c r="H3540" s="2" t="str">
        <f>IFERROR(__xludf.DUMMYFUNCTION("IF(G3540&lt;&gt;"""", GOOGLETRANSLATE(G3540, ""en"", ""te""),"""")"),"")</f>
        <v/>
      </c>
      <c r="I3540" s="3"/>
    </row>
    <row r="3541" customHeight="1" spans="1:9">
      <c r="A3541" s="2"/>
      <c r="B3541" s="2" t="str">
        <f>IFERROR(__xludf.DUMMYFUNCTION("IF(A3541&lt;&gt;"""", GOOGLETRANSLATE(A3541, ""en"", ""te""),"""")"),"")</f>
        <v/>
      </c>
      <c r="C3541" s="2"/>
      <c r="D3541" s="2" t="str">
        <f>IFERROR(__xludf.DUMMYFUNCTION("IF(C3541&lt;&gt;"""", GOOGLETRANSLATE(C3541, ""en"", ""te""),"""")"),"")</f>
        <v/>
      </c>
      <c r="E3541" s="2"/>
      <c r="F3541" s="2" t="str">
        <f>IFERROR(__xludf.DUMMYFUNCTION("IF(E3541&lt;&gt;"""", GOOGLETRANSLATE(E3541, ""en"", ""te""),"""")"),"")</f>
        <v/>
      </c>
      <c r="G3541" s="2"/>
      <c r="H3541" s="2" t="str">
        <f>IFERROR(__xludf.DUMMYFUNCTION("IF(G3541&lt;&gt;"""", GOOGLETRANSLATE(G3541, ""en"", ""te""),"""")"),"")</f>
        <v/>
      </c>
      <c r="I3541" s="3"/>
    </row>
    <row r="3542" customHeight="1" spans="1:9">
      <c r="A3542" s="2"/>
      <c r="B3542" s="2" t="str">
        <f>IFERROR(__xludf.DUMMYFUNCTION("IF(A3542&lt;&gt;"""", GOOGLETRANSLATE(A3542, ""en"", ""te""),"""")"),"")</f>
        <v/>
      </c>
      <c r="C3542" s="2"/>
      <c r="D3542" s="2" t="str">
        <f>IFERROR(__xludf.DUMMYFUNCTION("IF(C3542&lt;&gt;"""", GOOGLETRANSLATE(C3542, ""en"", ""te""),"""")"),"")</f>
        <v/>
      </c>
      <c r="E3542" s="2"/>
      <c r="F3542" s="2" t="str">
        <f>IFERROR(__xludf.DUMMYFUNCTION("IF(E3542&lt;&gt;"""", GOOGLETRANSLATE(E3542, ""en"", ""te""),"""")"),"")</f>
        <v/>
      </c>
      <c r="G3542" s="2"/>
      <c r="H3542" s="2" t="str">
        <f>IFERROR(__xludf.DUMMYFUNCTION("IF(G3542&lt;&gt;"""", GOOGLETRANSLATE(G3542, ""en"", ""te""),"""")"),"")</f>
        <v/>
      </c>
      <c r="I3542" s="3"/>
    </row>
    <row r="3543" customHeight="1" spans="1:9">
      <c r="A3543" s="2"/>
      <c r="B3543" s="2" t="str">
        <f>IFERROR(__xludf.DUMMYFUNCTION("IF(A3543&lt;&gt;"""", GOOGLETRANSLATE(A3543, ""en"", ""te""),"""")"),"")</f>
        <v/>
      </c>
      <c r="C3543" s="2"/>
      <c r="D3543" s="2" t="str">
        <f>IFERROR(__xludf.DUMMYFUNCTION("IF(C3543&lt;&gt;"""", GOOGLETRANSLATE(C3543, ""en"", ""te""),"""")"),"")</f>
        <v/>
      </c>
      <c r="E3543" s="2"/>
      <c r="F3543" s="2" t="str">
        <f>IFERROR(__xludf.DUMMYFUNCTION("IF(E3543&lt;&gt;"""", GOOGLETRANSLATE(E3543, ""en"", ""te""),"""")"),"")</f>
        <v/>
      </c>
      <c r="G3543" s="2"/>
      <c r="H3543" s="2" t="str">
        <f>IFERROR(__xludf.DUMMYFUNCTION("IF(G3543&lt;&gt;"""", GOOGLETRANSLATE(G3543, ""en"", ""te""),"""")"),"")</f>
        <v/>
      </c>
      <c r="I3543" s="3"/>
    </row>
    <row r="3544" customHeight="1" spans="1:9">
      <c r="A3544" s="2" t="s">
        <v>814</v>
      </c>
      <c r="B3544" s="2" t="str">
        <f>IFERROR(__xludf.DUMMYFUNCTION("IF(A3544&lt;&gt;"""", GOOGLETRANSLATE(A3544, ""en"", ""te""),"""")"),"[ 'ఒక ఇన్నింగ్స్ లో 8 వ బెస్ట్ ఫిగర్స్ ఉన్నప్పుడు పరాజయం వైపు (4)']")</f>
        <v>[ 'ఒక ఇన్నింగ్స్ లో 8 వ బెస్ట్ ఫిగర్స్ ఉన్నప్పుడు పరాజయం వైపు (4)']</v>
      </c>
      <c r="C3544" s="2"/>
      <c r="D3544" s="2" t="str">
        <f>IFERROR(__xludf.DUMMYFUNCTION("IF(C3544&lt;&gt;"""", GOOGLETRANSLATE(C3544, ""en"", ""te""),"""")"),"")</f>
        <v/>
      </c>
      <c r="E3544" s="2" t="s">
        <v>2442</v>
      </c>
      <c r="F3544" s="2" t="str">
        <f>IFERROR(__xludf.DUMMYFUNCTION("IF(E3544&lt;&gt;"""", GOOGLETRANSLATE(E3544, ""en"", ""te""),"""")"),"[ '26 ఒక సిరీస్లో అత్యధిక వికెట్లు (20)']")</f>
        <v>[ '26 ఒక సిరీస్లో అత్యధిక వికెట్లు (20)']</v>
      </c>
      <c r="G3544" s="2" t="s">
        <v>814</v>
      </c>
      <c r="H3544" s="2" t="str">
        <f>IFERROR(__xludf.DUMMYFUNCTION("IF(G3544&lt;&gt;"""", GOOGLETRANSLATE(G3544, ""en"", ""te""),"""")"),"[ 'ఒక ఇన్నింగ్స్ లో 8 వ బెస్ట్ ఫిగర్స్ ఉన్నప్పుడు పరాజయం వైపు (4)']")</f>
        <v>[ 'ఒక ఇన్నింగ్స్ లో 8 వ బెస్ట్ ఫిగర్స్ ఉన్నప్పుడు పరాజయం వైపు (4)']</v>
      </c>
      <c r="I3544" s="3"/>
    </row>
    <row r="3545" customHeight="1" spans="1:9">
      <c r="A3545" s="2" t="s">
        <v>2443</v>
      </c>
      <c r="B3545" s="2" t="str">
        <f>IFERROR(__xludf.DUMMYFUNCTION("IF(A3545&lt;&gt;"""", GOOGLETRANSLATE(A3545, ""en"", ""te""),"""")"),"[ '5 వ వరుస మ్యాచ్లు ప్రదర్శనల మధ్య బృందం (8) కోసం తప్పిన', 'మూడో వికెట్కు 2 వ అత్యధిక భాగస్వామ్యం (178)', '4 వ అత్యధిక తొలి వంద (145)']")</f>
        <v>[ '5 వ వరుస మ్యాచ్లు ప్రదర్శనల మధ్య బృందం (8) కోసం తప్పిన', 'మూడో వికెట్కు 2 వ అత్యధిక భాగస్వామ్యం (178)', '4 వ అత్యధిక తొలి వంద (145)']</v>
      </c>
      <c r="C3545" s="2" t="s">
        <v>2444</v>
      </c>
      <c r="D3545" s="2" t="str">
        <f>IFERROR(__xludf.DUMMYFUNCTION("IF(C3545&lt;&gt;"""", GOOGLETRANSLATE(C3545, ""en"", ""te""),"""")"),"[ '11 వ ఏ వికెట్కు అత్యధిక భాగస్వామ్యాల (200)', 'మొదటి వికెట్కు 2 వ అత్యధిక భాగస్వామ్యం (200)', 'మూడో వికెట్కు 2 వ అత్యధిక భాగస్వామ్యం (178)', ఏడవ వికెట్కు '6 వ అత్యధిక భాగస్వామ్యం (93) ',' 5 వ వరుస మ్యాచ్లు ప్రదర్శనల మధ్య బృందం (8) కోసం తప్పిన ']")</f>
        <v>[ '11 వ ఏ వికెట్కు అత్యధిక భాగస్వామ్యాల (200)', 'మొదటి వికెట్కు 2 వ అత్యధిక భాగస్వామ్యం (200)', 'మూడో వికెట్కు 2 వ అత్యధిక భాగస్వామ్యం (178)', ఏడవ వికెట్కు '6 వ అత్యధిక భాగస్వామ్యం (93) ',' 5 వ వరుస మ్యాచ్లు ప్రదర్శనల మధ్య బృందం (8) కోసం తప్పిన ']</v>
      </c>
      <c r="E3545" s="2" t="s">
        <v>2445</v>
      </c>
      <c r="F3545" s="2" t="str">
        <f>IFERROR(__xludf.DUMMYFUNCTION("IF(E3545&lt;&gt;"""", GOOGLETRANSLATE(E3545, ""en"", ""te""),"""")"),"[ '23 వ ఇన్నింగ్స్ లో అత్యధిక పరుగులు (145)', '14 వ ఇన్నింగ్స్ లో అత్యధిక పరుగులు (బ్యాటింగ్ స్థానంలో ప్రకారం) (145)', '4 వ అత్యధిక తొలి వంద (145)', '40 వ అత్యంత ఇన్నింగ్స్ తొలి డక్ ముందు (15) ',' ఏ వికెట్కు 44 వ అత్యధిక భాగస్వామ్యాల (178 *) ',' రెండవ విక"&amp;"ెట్కు 13 వ అత్యధిక భాగస్వామ్యం (178 *) ',' ఎనిమిదవ వికెట్కు 11 వ అత్యధిక భాగస్వామ్యం (62) ',' 26 వరుస మ్యాచ్లు ఒక కోసం తప్పిన 'ప్రదర్శనల మధ్య జట్టు (39)]")</f>
        <v>[ '23 వ ఇన్నింగ్స్ లో అత్యధిక పరుగులు (145)', '14 వ ఇన్నింగ్స్ లో అత్యధిక పరుగులు (బ్యాటింగ్ స్థానంలో ప్రకారం) (145)', '4 వ అత్యధిక తొలి వంద (145)', '40 వ అత్యంత ఇన్నింగ్స్ తొలి డక్ ముందు (15) ',' ఏ వికెట్కు 44 వ అత్యధిక భాగస్వామ్యాల (178 *) ',' రెండవ వికెట్కు 13 వ అత్యధిక భాగస్వామ్యం (178 *) ',' ఎనిమిదవ వికెట్కు 11 వ అత్యధిక భాగస్వామ్యం (62) ',' 26 వరుస మ్యాచ్లు ఒక కోసం తప్పిన 'ప్రదర్శనల మధ్య జట్టు (39)]</v>
      </c>
      <c r="G3545" s="2" t="s">
        <v>2446</v>
      </c>
      <c r="H3545" s="2" t="str">
        <f>IFERROR(__xludf.DUMMYFUNCTION("IF(G3545&lt;&gt;"""", GOOGLETRANSLATE(G3545, ""en"", ""te""),"""")"),"[ '16 వ కెరీర్ బాతులు (6)']")</f>
        <v>[ '16 వ కెరీర్ బాతులు (6)']</v>
      </c>
      <c r="I3545" s="3"/>
    </row>
    <row r="3546" customHeight="1" spans="1:9">
      <c r="A3546" s="2"/>
      <c r="B3546" s="2" t="str">
        <f>IFERROR(__xludf.DUMMYFUNCTION("IF(A3546&lt;&gt;"""", GOOGLETRANSLATE(A3546, ""en"", ""te""),"""")"),"")</f>
        <v/>
      </c>
      <c r="C3546" s="2" t="s">
        <v>2447</v>
      </c>
      <c r="D3546" s="2" t="str">
        <f>IFERROR(__xludf.DUMMYFUNCTION("IF(C3546&lt;&gt;"""", GOOGLETRANSLATE(C3546, ""en"", ""te""),"""")"),"[ '14 వ వరుస మ్యాచ్లు ప్రదర్శనల మధ్య (79) జట్టు తప్పిన']")</f>
        <v>[ '14 వ వరుస మ్యాచ్లు ప్రదర్శనల మధ్య (79) జట్టు తప్పిన']</v>
      </c>
      <c r="E3546" s="2"/>
      <c r="F3546" s="2" t="str">
        <f>IFERROR(__xludf.DUMMYFUNCTION("IF(E3546&lt;&gt;"""", GOOGLETRANSLATE(E3546, ""en"", ""te""),"""")"),"")</f>
        <v/>
      </c>
      <c r="G3546" s="2"/>
      <c r="H3546" s="2" t="str">
        <f>IFERROR(__xludf.DUMMYFUNCTION("IF(G3546&lt;&gt;"""", GOOGLETRANSLATE(G3546, ""en"", ""te""),"""")"),"")</f>
        <v/>
      </c>
      <c r="I3546" s="3"/>
    </row>
    <row r="3547" customHeight="1" spans="1:9">
      <c r="A3547" s="2"/>
      <c r="B3547" s="2" t="str">
        <f>IFERROR(__xludf.DUMMYFUNCTION("IF(A3547&lt;&gt;"""", GOOGLETRANSLATE(A3547, ""en"", ""te""),"""")"),"")</f>
        <v/>
      </c>
      <c r="C3547" s="2"/>
      <c r="D3547" s="2" t="str">
        <f>IFERROR(__xludf.DUMMYFUNCTION("IF(C3547&lt;&gt;"""", GOOGLETRANSLATE(C3547, ""en"", ""te""),"""")"),"")</f>
        <v/>
      </c>
      <c r="E3547" s="2"/>
      <c r="F3547" s="2" t="str">
        <f>IFERROR(__xludf.DUMMYFUNCTION("IF(E3547&lt;&gt;"""", GOOGLETRANSLATE(E3547, ""en"", ""te""),"""")"),"")</f>
        <v/>
      </c>
      <c r="G3547" s="2"/>
      <c r="H3547" s="2" t="str">
        <f>IFERROR(__xludf.DUMMYFUNCTION("IF(G3547&lt;&gt;"""", GOOGLETRANSLATE(G3547, ""en"", ""te""),"""")"),"")</f>
        <v/>
      </c>
      <c r="I3547" s="3"/>
    </row>
    <row r="3548" customHeight="1" spans="1:9">
      <c r="A3548" s="2"/>
      <c r="B3548" s="2" t="str">
        <f>IFERROR(__xludf.DUMMYFUNCTION("IF(A3548&lt;&gt;"""", GOOGLETRANSLATE(A3548, ""en"", ""te""),"""")"),"")</f>
        <v/>
      </c>
      <c r="C3548" s="2" t="s">
        <v>2448</v>
      </c>
      <c r="D3548" s="2" t="str">
        <f>IFERROR(__xludf.DUMMYFUNCTION("IF(C3548&lt;&gt;"""", GOOGLETRANSLATE(C3548, ""en"", ""te""),"""")"),"[ 'తొలి 17 ఓల్డెస్ట్ క్రీడాకారులు (39y 298d)', '47 వ ఓల్డెస్ట్ క్రీడాకారులు (42y 42d)']")</f>
        <v>[ 'తొలి 17 ఓల్డెస్ట్ క్రీడాకారులు (39y 298d)', '47 వ ఓల్డెస్ట్ క్రీడాకారులు (42y 42d)']</v>
      </c>
      <c r="E3548" s="2"/>
      <c r="F3548" s="2" t="str">
        <f>IFERROR(__xludf.DUMMYFUNCTION("IF(E3548&lt;&gt;"""", GOOGLETRANSLATE(E3548, ""en"", ""te""),"""")"),"")</f>
        <v/>
      </c>
      <c r="G3548" s="2"/>
      <c r="H3548" s="2" t="str">
        <f>IFERROR(__xludf.DUMMYFUNCTION("IF(G3548&lt;&gt;"""", GOOGLETRANSLATE(G3548, ""en"", ""te""),"""")"),"")</f>
        <v/>
      </c>
      <c r="I3548" s="3"/>
    </row>
    <row r="3549" customHeight="1" spans="1:9">
      <c r="A3549" s="2"/>
      <c r="B3549" s="2" t="str">
        <f>IFERROR(__xludf.DUMMYFUNCTION("IF(A3549&lt;&gt;"""", GOOGLETRANSLATE(A3549, ""en"", ""te""),"""")"),"")</f>
        <v/>
      </c>
      <c r="C3549" s="2"/>
      <c r="D3549" s="2" t="str">
        <f>IFERROR(__xludf.DUMMYFUNCTION("IF(C3549&lt;&gt;"""", GOOGLETRANSLATE(C3549, ""en"", ""te""),"""")"),"")</f>
        <v/>
      </c>
      <c r="E3549" s="2"/>
      <c r="F3549" s="2" t="str">
        <f>IFERROR(__xludf.DUMMYFUNCTION("IF(E3549&lt;&gt;"""", GOOGLETRANSLATE(E3549, ""en"", ""te""),"""")"),"")</f>
        <v/>
      </c>
      <c r="G3549" s="2"/>
      <c r="H3549" s="2" t="str">
        <f>IFERROR(__xludf.DUMMYFUNCTION("IF(G3549&lt;&gt;"""", GOOGLETRANSLATE(G3549, ""en"", ""te""),"""")"),"")</f>
        <v/>
      </c>
      <c r="I3549" s="3"/>
    </row>
    <row r="3550" customHeight="1" spans="1:9">
      <c r="A3550" s="2"/>
      <c r="B3550" s="2" t="str">
        <f>IFERROR(__xludf.DUMMYFUNCTION("IF(A3550&lt;&gt;"""", GOOGLETRANSLATE(A3550, ""en"", ""te""),"""")"),"")</f>
        <v/>
      </c>
      <c r="C3550" s="2"/>
      <c r="D3550" s="2" t="str">
        <f>IFERROR(__xludf.DUMMYFUNCTION("IF(C3550&lt;&gt;"""", GOOGLETRANSLATE(C3550, ""en"", ""te""),"""")"),"")</f>
        <v/>
      </c>
      <c r="E3550" s="2"/>
      <c r="F3550" s="2" t="str">
        <f>IFERROR(__xludf.DUMMYFUNCTION("IF(E3550&lt;&gt;"""", GOOGLETRANSLATE(E3550, ""en"", ""te""),"""")"),"")</f>
        <v/>
      </c>
      <c r="G3550" s="2"/>
      <c r="H3550" s="2" t="str">
        <f>IFERROR(__xludf.DUMMYFUNCTION("IF(G3550&lt;&gt;"""", GOOGLETRANSLATE(G3550, ""en"", ""te""),"""")"),"")</f>
        <v/>
      </c>
      <c r="I3550" s="3"/>
    </row>
    <row r="3551" customHeight="1" spans="1:9">
      <c r="A3551" s="2"/>
      <c r="B3551" s="2" t="str">
        <f>IFERROR(__xludf.DUMMYFUNCTION("IF(A3551&lt;&gt;"""", GOOGLETRANSLATE(A3551, ""en"", ""te""),"""")"),"")</f>
        <v/>
      </c>
      <c r="C3551" s="2"/>
      <c r="D3551" s="2" t="str">
        <f>IFERROR(__xludf.DUMMYFUNCTION("IF(C3551&lt;&gt;"""", GOOGLETRANSLATE(C3551, ""en"", ""te""),"""")"),"")</f>
        <v/>
      </c>
      <c r="E3551" s="2"/>
      <c r="F3551" s="2" t="str">
        <f>IFERROR(__xludf.DUMMYFUNCTION("IF(E3551&lt;&gt;"""", GOOGLETRANSLATE(E3551, ""en"", ""te""),"""")"),"")</f>
        <v/>
      </c>
      <c r="G3551" s="2"/>
      <c r="H3551" s="2" t="str">
        <f>IFERROR(__xludf.DUMMYFUNCTION("IF(G3551&lt;&gt;"""", GOOGLETRANSLATE(G3551, ""en"", ""te""),"""")"),"")</f>
        <v/>
      </c>
      <c r="I3551" s="3"/>
    </row>
    <row r="3552" customHeight="1" spans="1:9">
      <c r="A3552" s="2" t="s">
        <v>2449</v>
      </c>
      <c r="B3552" s="2" t="str">
        <f>IFERROR(__xludf.DUMMYFUNCTION("IF(A3552&lt;&gt;"""", GOOGLETRANSLATE(A3552, ""en"", ""te""),"""")"),"[ 'ఇన్నింగ్స్ పూర్తి ద్వారా బ్యాట్ నిదర్శన (132 *)']")</f>
        <v>[ 'ఇన్నింగ్స్ పూర్తి ద్వారా బ్యాట్ నిదర్శన (132 *)']</v>
      </c>
      <c r="C3552" s="2" t="s">
        <v>2450</v>
      </c>
      <c r="D3552" s="2" t="str">
        <f>IFERROR(__xludf.DUMMYFUNCTION("IF(C3552&lt;&gt;"""", GOOGLETRANSLATE(C3552, ""en"", ""te""),"""")"),"[ '19 ఓల్డెస్ట్ క్రీడాకారులు (44y 238d)']")</f>
        <v>[ '19 ఓల్డెస్ట్ క్రీడాకారులు (44y 238d)']</v>
      </c>
      <c r="E3552" s="2"/>
      <c r="F3552" s="2" t="str">
        <f>IFERROR(__xludf.DUMMYFUNCTION("IF(E3552&lt;&gt;"""", GOOGLETRANSLATE(E3552, ""en"", ""te""),"""")"),"")</f>
        <v/>
      </c>
      <c r="G3552" s="2"/>
      <c r="H3552" s="2" t="str">
        <f>IFERROR(__xludf.DUMMYFUNCTION("IF(G3552&lt;&gt;"""", GOOGLETRANSLATE(G3552, ""en"", ""te""),"""")"),"")</f>
        <v/>
      </c>
      <c r="I3552" s="3"/>
    </row>
    <row r="3553" customHeight="1" spans="1:9">
      <c r="A3553" s="2" t="s">
        <v>352</v>
      </c>
      <c r="B3553" s="2" t="str">
        <f>IFERROR(__xludf.DUMMYFUNCTION("IF(A3553&lt;&gt;"""", GOOGLETRANSLATE(A3553, ""en"", ""te""),"""")"),"[ 'బ్యాటింగ్ ప్రారంభించుటకు మరియు అదే మ్యాచ్ లో బౌలింగ్']")</f>
        <v>[ 'బ్యాటింగ్ ప్రారంభించుటకు మరియు అదే మ్యాచ్ లో బౌలింగ్']</v>
      </c>
      <c r="C3553" s="2" t="s">
        <v>2451</v>
      </c>
      <c r="D3553" s="2" t="str">
        <f>IFERROR(__xludf.DUMMYFUNCTION("IF(C3553&lt;&gt;"""", GOOGLETRANSLATE(C3553, ""en"", ""te""),"""")"),"[ '43 వ ఉత్తమ కెరీర్ బౌలింగ్ సరాసరి (22.55)', '11 వ ఉత్తమ కెరీర్ ఆర్థిక రేటు (1.87)', 'ఇన్నింగ్స్ లో 46 వ ఉత్తమ ఆర్థిక రేటు (0.61)']")</f>
        <v>[ '43 వ ఉత్తమ కెరీర్ బౌలింగ్ సరాసరి (22.55)', '11 వ ఉత్తమ కెరీర్ ఆర్థిక రేటు (1.87)', 'ఇన్నింగ్స్ లో 46 వ ఉత్తమ ఆర్థిక రేటు (0.61)']</v>
      </c>
      <c r="E3553" s="2"/>
      <c r="F3553" s="2" t="str">
        <f>IFERROR(__xludf.DUMMYFUNCTION("IF(E3553&lt;&gt;"""", GOOGLETRANSLATE(E3553, ""en"", ""te""),"""")"),"")</f>
        <v/>
      </c>
      <c r="G3553" s="2"/>
      <c r="H3553" s="2" t="str">
        <f>IFERROR(__xludf.DUMMYFUNCTION("IF(G3553&lt;&gt;"""", GOOGLETRANSLATE(G3553, ""en"", ""te""),"""")"),"")</f>
        <v/>
      </c>
      <c r="I3553" s="3"/>
    </row>
    <row r="3554" customHeight="1" spans="1:9">
      <c r="A3554" s="2" t="s">
        <v>2452</v>
      </c>
      <c r="B3554" s="2" t="str">
        <f>IFERROR(__xludf.DUMMYFUNCTION("IF(A3554&lt;&gt;"""", GOOGLETRANSLATE(A3554, ""en"", ""te""),"""")"),"[ '9 వ అత్యధిక కెరీర్ బ్యాటింగ్ సగటు (58.67)', 'వరుస మ్యాచ్లలో 5 వ వందల (4)', 'హండ్రెడ్ మరియు ఒక మ్యాచ్లో తొంభై' డకౌట్ లేకుండా 'ఒక మ్యాచ్ లో రెండు అజేయంగా అర్ధ', '8 వ వరుస ఇన్నింగ్స్ (78) ',' 7 వ లాంగెస్ట్ వ్యక్తిగత ఇన్నింగ్స్ (బంతులతో) (624) ',' 5 వ 600"&amp;"0 వేగంగా పరుగులు (116) ',' 6 వ అత్యుత్తమ బౌలింగ్ ఇన్నింగ్స్ లో విశ్లేషించడం (3/4) ',' 5000 పరుగులు మరియు 50 ఫీల్డింగ్ వికెట్లు ',' వరుస మ్యాచ్లలో 4 వ వందల (4) ',' వరుస మ్యాచ్లలో 5 వ యాభైల్లో (8) ']")</f>
        <v>[ '9 వ అత్యధిక కెరీర్ బ్యాటింగ్ సగటు (58.67)', 'వరుస మ్యాచ్లలో 5 వ వందల (4)', 'హండ్రెడ్ మరియు ఒక మ్యాచ్లో తొంభై' డకౌట్ లేకుండా 'ఒక మ్యాచ్ లో రెండు అజేయంగా అర్ధ', '8 వ వరుస ఇన్నింగ్స్ (78) ',' 7 వ లాంగెస్ట్ వ్యక్తిగత ఇన్నింగ్స్ (బంతులతో) (624) ',' 5 వ 6000 వేగంగా పరుగులు (116) ',' 6 వ అత్యుత్తమ బౌలింగ్ ఇన్నింగ్స్ లో విశ్లేషించడం (3/4) ',' 5000 పరుగులు మరియు 50 ఫీల్డింగ్ వికెట్లు ',' వరుస మ్యాచ్లలో 4 వ వందల (4) ',' వరుస మ్యాచ్లలో 5 వ యాభైల్లో (8) ']</v>
      </c>
      <c r="C3554" s="2" t="s">
        <v>2453</v>
      </c>
      <c r="D3554" s="2" t="str">
        <f>IFERROR(__xludf.DUMMYFUNCTION("IF(C3554&lt;&gt;"""", GOOGLETRANSLATE(C3554, ""en"", ""te""),"""")"),"[ '9 వ అత్యధిక కెరీర్ బ్యాటింగ్ సగటు (58.67)', '42 వ ఒక వృత్తిలో అత్యధిక వందలు (20)', '20 వ అత్యంత తొంభైల కెరీర్లో (5)', '39 వ అత్యంత అర్ధ' వరుస మ్యాచ్లు (4) 5 వ వందల కెరీర్లో (55) ',' వరుస ఇన్నింగ్స్లో 7 వ యాభైల్లో (6) వరుస మ్యాచ్లలో ',' 15 వ యాభైల్లో"&amp;" (8) ',' ఒక డక్ లేకుండా 8 వ వరుస ఇన్నింగ్స్ (78) ',' 41 వ కెరీర్ లో అతి తక్కువ బాతులు (26.2 ) ',' 34 వ లాంగెస్ట్ వ్యక్తిగత ఇన్నింగ్స్ (నిమిషాలు) (683) ',' 7 వ లాంగెస్ట్ వ్యక్తిగత ఇన్నింగ్స్ (బంతులతో) (624) ',' 1000 పరుగులు (50 వ వేగంగా 22) ',' 22 వ 2000 ప"&amp;"రుగులు వేగంగా (41 ) ',' 12 వ 3000 వేగవంతమైన పరుగులు (61) ',' 15 వ 4000 పరుగులు (82) 5000 పరుగులు (97) 6000 పరుగులు (116) కు ',' 6 వ అత్యుత్తమ ',' 5 వ వేగవంతమైన వరకు ',' 7 వ వేగవంతమైన వేగంగా ఒక ఇన్నింగ్స్ లో బౌలింగ్ విశ్లేషణలు (3/4) ',' ఆరవ వికెట్కు 45 "&amp;"వ అత్యధిక భాగస్వామ్యం (206 *) ']")</f>
        <v>[ '9 వ అత్యధిక కెరీర్ బ్యాటింగ్ సగటు (58.67)', '42 వ ఒక వృత్తిలో అత్యధిక వందలు (20)', '20 వ అత్యంత తొంభైల కెరీర్లో (5)', '39 వ అత్యంత అర్ధ' వరుస మ్యాచ్లు (4) 5 వ వందల కెరీర్లో (55) ',' వరుస ఇన్నింగ్స్లో 7 వ యాభైల్లో (6) వరుస మ్యాచ్లలో ',' 15 వ యాభైల్లో (8) ',' ఒక డక్ లేకుండా 8 వ వరుస ఇన్నింగ్స్ (78) ',' 41 వ కెరీర్ లో అతి తక్కువ బాతులు (26.2 ) ',' 34 వ లాంగెస్ట్ వ్యక్తిగత ఇన్నింగ్స్ (నిమిషాలు) (683) ',' 7 వ లాంగెస్ట్ వ్యక్తిగత ఇన్నింగ్స్ (బంతులతో) (624) ',' 1000 పరుగులు (50 వ వేగంగా 22) ',' 22 వ 2000 పరుగులు వేగంగా (41 ) ',' 12 వ 3000 వేగవంతమైన పరుగులు (61) ',' 15 వ 4000 పరుగులు (82) 5000 పరుగులు (97) 6000 పరుగులు (116) కు ',' 6 వ అత్యుత్తమ ',' 5 వ వేగవంతమైన వరకు ',' 7 వ వేగవంతమైన వేగంగా ఒక ఇన్నింగ్స్ లో బౌలింగ్ విశ్లేషణలు (3/4) ',' ఆరవ వికెట్కు 45 వ అత్యధిక భాగస్వామ్యం (206 *) ']</v>
      </c>
      <c r="E3554" s="2"/>
      <c r="F3554" s="2" t="str">
        <f>IFERROR(__xludf.DUMMYFUNCTION("IF(E3554&lt;&gt;"""", GOOGLETRANSLATE(E3554, ""en"", ""te""),"""")"),"")</f>
        <v/>
      </c>
      <c r="G3554" s="2"/>
      <c r="H3554" s="2" t="str">
        <f>IFERROR(__xludf.DUMMYFUNCTION("IF(G3554&lt;&gt;"""", GOOGLETRANSLATE(G3554, ""en"", ""te""),"""")"),"")</f>
        <v/>
      </c>
      <c r="I3554" s="3"/>
    </row>
    <row r="3555" customHeight="1" spans="1:9">
      <c r="A3555" s="2"/>
      <c r="B3555" s="2" t="str">
        <f>IFERROR(__xludf.DUMMYFUNCTION("IF(A3555&lt;&gt;"""", GOOGLETRANSLATE(A3555, ""en"", ""te""),"""")"),"")</f>
        <v/>
      </c>
      <c r="C3555" s="2"/>
      <c r="D3555" s="2" t="str">
        <f>IFERROR(__xludf.DUMMYFUNCTION("IF(C3555&lt;&gt;"""", GOOGLETRANSLATE(C3555, ""en"", ""te""),"""")"),"")</f>
        <v/>
      </c>
      <c r="E3555" s="2"/>
      <c r="F3555" s="2" t="str">
        <f>IFERROR(__xludf.DUMMYFUNCTION("IF(E3555&lt;&gt;"""", GOOGLETRANSLATE(E3555, ""en"", ""te""),"""")"),"")</f>
        <v/>
      </c>
      <c r="G3555" s="2"/>
      <c r="H3555" s="2" t="str">
        <f>IFERROR(__xludf.DUMMYFUNCTION("IF(G3555&lt;&gt;"""", GOOGLETRANSLATE(G3555, ""en"", ""te""),"""")"),"")</f>
        <v/>
      </c>
      <c r="I3555" s="3"/>
    </row>
    <row r="3556" customHeight="1" spans="1:9">
      <c r="A3556" s="2"/>
      <c r="B3556" s="2" t="str">
        <f>IFERROR(__xludf.DUMMYFUNCTION("IF(A3556&lt;&gt;"""", GOOGLETRANSLATE(A3556, ""en"", ""te""),"""")"),"")</f>
        <v/>
      </c>
      <c r="C3556" s="2"/>
      <c r="D3556" s="2" t="str">
        <f>IFERROR(__xludf.DUMMYFUNCTION("IF(C3556&lt;&gt;"""", GOOGLETRANSLATE(C3556, ""en"", ""te""),"""")"),"")</f>
        <v/>
      </c>
      <c r="E3556" s="2"/>
      <c r="F3556" s="2" t="str">
        <f>IFERROR(__xludf.DUMMYFUNCTION("IF(E3556&lt;&gt;"""", GOOGLETRANSLATE(E3556, ""en"", ""te""),"""")"),"")</f>
        <v/>
      </c>
      <c r="G3556" s="2"/>
      <c r="H3556" s="2" t="str">
        <f>IFERROR(__xludf.DUMMYFUNCTION("IF(G3556&lt;&gt;"""", GOOGLETRANSLATE(G3556, ""en"", ""te""),"""")"),"")</f>
        <v/>
      </c>
      <c r="I3556" s="3"/>
    </row>
    <row r="3557" customHeight="1" spans="1:9">
      <c r="A3557" s="2"/>
      <c r="B3557" s="2" t="str">
        <f>IFERROR(__xludf.DUMMYFUNCTION("IF(A3557&lt;&gt;"""", GOOGLETRANSLATE(A3557, ""en"", ""te""),"""")"),"")</f>
        <v/>
      </c>
      <c r="C3557" s="2" t="s">
        <v>2454</v>
      </c>
      <c r="D3557" s="2" t="str">
        <f>IFERROR(__xludf.DUMMYFUNCTION("IF(C3557&lt;&gt;"""", GOOGLETRANSLATE(C3557, ""en"", ""te""),"""")"),"[ 'వంద (1442) లేకుండా ఒక వృత్తిలో 15 అత్యధిక పరుగులు' '45 వ కెప్టెన్గా అత్యధిక మ్యాచ్లు (31)', '31 ఓల్డెస్ట్ కాప్టెన్ (39y 126d)']")</f>
        <v>[ 'వంద (1442) లేకుండా ఒక వృత్తిలో 15 అత్యధిక పరుగులు' '45 వ కెప్టెన్గా అత్యధిక మ్యాచ్లు (31)', '31 ఓల్డెస్ట్ కాప్టెన్ (39y 126d)']</v>
      </c>
      <c r="E3557" s="2" t="s">
        <v>2455</v>
      </c>
      <c r="F3557" s="2" t="str">
        <f>IFERROR(__xludf.DUMMYFUNCTION("IF(E3557&lt;&gt;"""", GOOGLETRANSLATE(E3557, ""en"", ""te""),"""")"),"[ '33 వ పురాతన దేశం ఆటగాళ్ళు (79y 34d)', '25 వ ఓల్డెస్ట్ కాప్టెన్ (37y 269d)', '26th ఓల్డెస్ట్ కెప్టెన్లు కెప్టెన్సీ ప్రవేశం (35y -35 D) పై']")</f>
        <v>[ '33 వ పురాతన దేశం ఆటగాళ్ళు (79y 34d)', '25 వ ఓల్డెస్ట్ కాప్టెన్ (37y 269d)', '26th ఓల్డెస్ట్ కెప్టెన్లు కెప్టెన్సీ ప్రవేశం (35y -35 D) పై']</v>
      </c>
      <c r="G3557" s="2"/>
      <c r="H3557" s="2" t="str">
        <f>IFERROR(__xludf.DUMMYFUNCTION("IF(G3557&lt;&gt;"""", GOOGLETRANSLATE(G3557, ""en"", ""te""),"""")"),"")</f>
        <v/>
      </c>
      <c r="I3557" s="3"/>
    </row>
    <row r="3558" customHeight="1" spans="1:9">
      <c r="A3558" s="2"/>
      <c r="B3558" s="2" t="str">
        <f>IFERROR(__xludf.DUMMYFUNCTION("IF(A3558&lt;&gt;"""", GOOGLETRANSLATE(A3558, ""en"", ""te""),"""")"),"")</f>
        <v/>
      </c>
      <c r="C3558" s="2"/>
      <c r="D3558" s="2" t="str">
        <f>IFERROR(__xludf.DUMMYFUNCTION("IF(C3558&lt;&gt;"""", GOOGLETRANSLATE(C3558, ""en"", ""te""),"""")"),"")</f>
        <v/>
      </c>
      <c r="E3558" s="2"/>
      <c r="F3558" s="2" t="str">
        <f>IFERROR(__xludf.DUMMYFUNCTION("IF(E3558&lt;&gt;"""", GOOGLETRANSLATE(E3558, ""en"", ""te""),"""")"),"")</f>
        <v/>
      </c>
      <c r="G3558" s="2"/>
      <c r="H3558" s="2" t="str">
        <f>IFERROR(__xludf.DUMMYFUNCTION("IF(G3558&lt;&gt;"""", GOOGLETRANSLATE(G3558, ""en"", ""te""),"""")"),"")</f>
        <v/>
      </c>
      <c r="I3558" s="3"/>
    </row>
    <row r="3559" customHeight="1" spans="1:9">
      <c r="A3559" s="2" t="s">
        <v>2456</v>
      </c>
      <c r="B3559" s="2" t="str">
        <f>IFERROR(__xludf.DUMMYFUNCTION("IF(A3559&lt;&gt;"""", GOOGLETRANSLATE(A3559, ""en"", ""te""),"""")"),"[ 'వరుస ఇన్నింగ్స్లో 5 వ వందల (3)', 'హండ్రెడ్ మరియు ఒక మ్యాచ్లో తొంభై', 'హండ్రెడ్ మరియు ఒక మ్యాచ్లో ఒక డక్', 'ఐదు రోజుల మ్యాచ్లో ప్రతి రోజు బ్యాటింగ్', '2 వ అత్యంత వృద్ధ ఆటగాడు స్కోర్ కన్య వందల (39y 51d) ',' 1 వ 99 పరుగుల (199, 299 etc) (99) ',' వరుస ఇన్"&amp;"నింగ్స్లో 6 వ వందల (3) ']")</f>
        <v>[ 'వరుస ఇన్నింగ్స్లో 5 వ వందల (3)', 'హండ్రెడ్ మరియు ఒక మ్యాచ్లో తొంభై', 'హండ్రెడ్ మరియు ఒక మ్యాచ్లో ఒక డక్', 'ఐదు రోజుల మ్యాచ్లో ప్రతి రోజు బ్యాటింగ్', '2 వ అత్యంత వృద్ధ ఆటగాడు స్కోర్ కన్య వందల (39y 51d) ',' 1 వ 99 పరుగుల (199, 299 etc) (99) ',' వరుస ఇన్నింగ్స్లో 6 వ వందల (3) ']</v>
      </c>
      <c r="C3559" s="2" t="s">
        <v>2457</v>
      </c>
      <c r="D3559" s="2" t="str">
        <f>IFERROR(__xludf.DUMMYFUNCTION("IF(C3559&lt;&gt;"""", GOOGLETRANSLATE(C3559, ""en"", ""te""),"""")"),"[ '29 కెరీర్లో అత్యధిక పరుగులు (8114)', '32 వ ఒక వృత్తిలో అత్యధిక వందలు (22)', '33 వ ఒక జట్టు వ్యతిరేకంగా అత్యధిక వందలు (7)', '21 వ వందల వరుస ఇన్నింగ్స్లో (3) లో 5 వ వందల వరుస మ్యాచ్లలో (3) ',' 13 వ అత్యంత వృద్ధ ఆటగాడు వంద స్కోర్ (41y 63d) ',' 10 వ కెరీర్"&amp;" లో అత్యంత తొంభైల (6) ',' 1 వ 99 (199, 299 etc) (99) అవుటయ్యాడు ', 'కెరీర్ లో 25 వ అత్యంత అర్ధ (64)', 'వరుస ఇన్నింగ్స్లో 32 వ యాభైల్లో (5)', 'ఒక డక్ లేకుండా 16 వరుస ఇన్నింగ్స్ (67)', '21 వ లాంగెస్ట్ వ్యక్తిగత ఇన్నింగ్స్ (బంతులతో) (555) ',' 36 వ వేగవంతమె"&amp;"ౖన 5000 పరుగులు (115) ',' ఫాస్టెస్ట్ 6000 పరుగులు 40 వ (141) ',' 7000 పరుగులు 33 వ వేగంగా (165) ',' 25 వ వేగవంతమైన 8000 పరుగులు (190) మొదటి ',' 44 వ అత్యధిక భాగస్వామ్యం వికెట్ (234) ',' నాలుగవ వికెట్కు 43 వ అత్యధిక భాగస్వామ్యం (252) ',' ఆరవ వికెట్కు 35 వ"&amp;" అత్యధిక భాగస్వామ్యం (215) ',' 47 వ అత్యధిక కెరీర్ లో మ్యాచ్లు (108) ',' 23 కెప్టెన్సీ తొలి ఓల్డెస్ట్ కెప్టెన్లు (37y 89d) ']")</f>
        <v>[ '29 కెరీర్లో అత్యధిక పరుగులు (8114)', '32 వ ఒక వృత్తిలో అత్యధిక వందలు (22)', '33 వ ఒక జట్టు వ్యతిరేకంగా అత్యధిక వందలు (7)', '21 వ వందల వరుస ఇన్నింగ్స్లో (3) లో 5 వ వందల వరుస మ్యాచ్లలో (3) ',' 13 వ అత్యంత వృద్ధ ఆటగాడు వంద స్కోర్ (41y 63d) ',' 10 వ కెరీర్ లో అత్యంత తొంభైల (6) ',' 1 వ 99 (199, 299 etc) (99) అవుటయ్యాడు ', 'కెరీర్ లో 25 వ అత్యంత అర్ధ (64)', 'వరుస ఇన్నింగ్స్లో 32 వ యాభైల్లో (5)', 'ఒక డక్ లేకుండా 16 వరుస ఇన్నింగ్స్ (67)', '21 వ లాంగెస్ట్ వ్యక్తిగత ఇన్నింగ్స్ (బంతులతో) (555) ',' 36 వ వేగవంతమైన 5000 పరుగులు (115) ',' ఫాస్టెస్ట్ 6000 పరుగులు 40 వ (141) ',' 7000 పరుగులు 33 వ వేగంగా (165) ',' 25 వ వేగవంతమైన 8000 పరుగులు (190) మొదటి ',' 44 వ అత్యధిక భాగస్వామ్యం వికెట్ (234) ',' నాలుగవ వికెట్కు 43 వ అత్యధిక భాగస్వామ్యం (252) ',' ఆరవ వికెట్కు 35 వ అత్యధిక భాగస్వామ్యం (215) ',' 47 వ అత్యధిక కెరీర్ లో మ్యాచ్లు (108) ',' 23 కెప్టెన్సీ తొలి ఓల్డెస్ట్ కెప్టెన్లు (37y 89d) ']</v>
      </c>
      <c r="E3559" s="2" t="s">
        <v>2458</v>
      </c>
      <c r="F3559" s="2" t="str">
        <f>IFERROR(__xludf.DUMMYFUNCTION("IF(E3559&lt;&gt;"""", GOOGLETRANSLATE(E3559, ""en"", ""te""),"""")"),"[ '2nd అత్యంత వృద్ధ ఆటగాడు తొలి వంద (39y 51d) స్కోర్', '99 పరుగుల 1st (మరియు 199, 299 etc) (99)', '11 వ యాభైల్లో' 5 వ అత్యంత వృద్ధ ఆటగాడు వంద (39y 51d) స్కోర్ ', వరుస ఇన్నింగ్స్లో (5) ',' 26th ఓల్డెస్ట్ క్రీడాకారులు (41y 60d) ',' 19 వ పురాతన దేశం ఆటగాళ్ళ"&amp;"ు (80y 223d) ',' 29th ఓల్డెస్ట్ కాప్టెన్ (37y 216d) ',' కెప్టెన్సీ తొలి 17 ఓల్డెస్ట్ కాప్టెన్ (37y 70d) ']")</f>
        <v>[ '2nd అత్యంత వృద్ధ ఆటగాడు తొలి వంద (39y 51d) స్కోర్', '99 పరుగుల 1st (మరియు 199, 299 etc) (99)', '11 వ యాభైల్లో' 5 వ అత్యంత వృద్ధ ఆటగాడు వంద (39y 51d) స్కోర్ ', వరుస ఇన్నింగ్స్లో (5) ',' 26th ఓల్డెస్ట్ క్రీడాకారులు (41y 60d) ',' 19 వ పురాతన దేశం ఆటగాళ్ళు (80y 223d) ',' 29th ఓల్డెస్ట్ కాప్టెన్ (37y 216d) ',' కెప్టెన్సీ తొలి 17 ఓల్డెస్ట్ కాప్టెన్ (37y 70d) ']</v>
      </c>
      <c r="G3559" s="2"/>
      <c r="H3559" s="2" t="str">
        <f>IFERROR(__xludf.DUMMYFUNCTION("IF(G3559&lt;&gt;"""", GOOGLETRANSLATE(G3559, ""en"", ""te""),"""")"),"")</f>
        <v/>
      </c>
      <c r="I3559" s="3"/>
    </row>
    <row r="3560" customHeight="1" spans="1:9">
      <c r="A3560" s="2"/>
      <c r="B3560" s="2" t="str">
        <f>IFERROR(__xludf.DUMMYFUNCTION("IF(A3560&lt;&gt;"""", GOOGLETRANSLATE(A3560, ""en"", ""te""),"""")"),"")</f>
        <v/>
      </c>
      <c r="C3560" s="2"/>
      <c r="D3560" s="2" t="str">
        <f>IFERROR(__xludf.DUMMYFUNCTION("IF(C3560&lt;&gt;"""", GOOGLETRANSLATE(C3560, ""en"", ""te""),"""")"),"")</f>
        <v/>
      </c>
      <c r="E3560" s="2"/>
      <c r="F3560" s="2" t="str">
        <f>IFERROR(__xludf.DUMMYFUNCTION("IF(E3560&lt;&gt;"""", GOOGLETRANSLATE(E3560, ""en"", ""te""),"""")"),"")</f>
        <v/>
      </c>
      <c r="G3560" s="2"/>
      <c r="H3560" s="2" t="str">
        <f>IFERROR(__xludf.DUMMYFUNCTION("IF(G3560&lt;&gt;"""", GOOGLETRANSLATE(G3560, ""en"", ""te""),"""")"),"")</f>
        <v/>
      </c>
      <c r="I3560" s="3"/>
    </row>
    <row r="3561" customHeight="1" spans="1:9">
      <c r="A3561" s="2"/>
      <c r="B3561" s="2" t="str">
        <f>IFERROR(__xludf.DUMMYFUNCTION("IF(A3561&lt;&gt;"""", GOOGLETRANSLATE(A3561, ""en"", ""te""),"""")"),"")</f>
        <v/>
      </c>
      <c r="C3561" s="2"/>
      <c r="D3561" s="2" t="str">
        <f>IFERROR(__xludf.DUMMYFUNCTION("IF(C3561&lt;&gt;"""", GOOGLETRANSLATE(C3561, ""en"", ""te""),"""")"),"")</f>
        <v/>
      </c>
      <c r="E3561" s="2"/>
      <c r="F3561" s="2" t="str">
        <f>IFERROR(__xludf.DUMMYFUNCTION("IF(E3561&lt;&gt;"""", GOOGLETRANSLATE(E3561, ""en"", ""te""),"""")"),"")</f>
        <v/>
      </c>
      <c r="G3561" s="2"/>
      <c r="H3561" s="2" t="str">
        <f>IFERROR(__xludf.DUMMYFUNCTION("IF(G3561&lt;&gt;"""", GOOGLETRANSLATE(G3561, ""en"", ""te""),"""")"),"")</f>
        <v/>
      </c>
      <c r="I3561" s="3"/>
    </row>
    <row r="3562" customHeight="1" spans="1:9">
      <c r="A3562" s="2"/>
      <c r="B3562" s="2" t="str">
        <f>IFERROR(__xludf.DUMMYFUNCTION("IF(A3562&lt;&gt;"""", GOOGLETRANSLATE(A3562, ""en"", ""te""),"""")"),"")</f>
        <v/>
      </c>
      <c r="C3562" s="2"/>
      <c r="D3562" s="2" t="str">
        <f>IFERROR(__xludf.DUMMYFUNCTION("IF(C3562&lt;&gt;"""", GOOGLETRANSLATE(C3562, ""en"", ""te""),"""")"),"")</f>
        <v/>
      </c>
      <c r="E3562" s="2"/>
      <c r="F3562" s="2" t="str">
        <f>IFERROR(__xludf.DUMMYFUNCTION("IF(E3562&lt;&gt;"""", GOOGLETRANSLATE(E3562, ""en"", ""te""),"""")"),"")</f>
        <v/>
      </c>
      <c r="G3562" s="2"/>
      <c r="H3562" s="2" t="str">
        <f>IFERROR(__xludf.DUMMYFUNCTION("IF(G3562&lt;&gt;"""", GOOGLETRANSLATE(G3562, ""en"", ""te""),"""")"),"")</f>
        <v/>
      </c>
      <c r="I3562" s="3"/>
    </row>
    <row r="3563" customHeight="1" spans="1:9">
      <c r="A3563" s="2"/>
      <c r="B3563" s="2" t="str">
        <f>IFERROR(__xludf.DUMMYFUNCTION("IF(A3563&lt;&gt;"""", GOOGLETRANSLATE(A3563, ""en"", ""te""),"""")"),"")</f>
        <v/>
      </c>
      <c r="C3563" s="2"/>
      <c r="D3563" s="2" t="str">
        <f>IFERROR(__xludf.DUMMYFUNCTION("IF(C3563&lt;&gt;"""", GOOGLETRANSLATE(C3563, ""en"", ""te""),"""")"),"")</f>
        <v/>
      </c>
      <c r="E3563" s="2"/>
      <c r="F3563" s="2" t="str">
        <f>IFERROR(__xludf.DUMMYFUNCTION("IF(E3563&lt;&gt;"""", GOOGLETRANSLATE(E3563, ""en"", ""te""),"""")"),"")</f>
        <v/>
      </c>
      <c r="G3563" s="2"/>
      <c r="H3563" s="2" t="str">
        <f>IFERROR(__xludf.DUMMYFUNCTION("IF(G3563&lt;&gt;"""", GOOGLETRANSLATE(G3563, ""en"", ""te""),"""")"),"")</f>
        <v/>
      </c>
      <c r="I3563" s="3"/>
    </row>
    <row r="3564" customHeight="1" spans="1:9">
      <c r="A3564" s="2"/>
      <c r="B3564" s="2" t="str">
        <f>IFERROR(__xludf.DUMMYFUNCTION("IF(A3564&lt;&gt;"""", GOOGLETRANSLATE(A3564, ""en"", ""te""),"""")"),"")</f>
        <v/>
      </c>
      <c r="C3564" s="2"/>
      <c r="D3564" s="2" t="str">
        <f>IFERROR(__xludf.DUMMYFUNCTION("IF(C3564&lt;&gt;"""", GOOGLETRANSLATE(C3564, ""en"", ""te""),"""")"),"")</f>
        <v/>
      </c>
      <c r="E3564" s="2"/>
      <c r="F3564" s="2" t="str">
        <f>IFERROR(__xludf.DUMMYFUNCTION("IF(E3564&lt;&gt;"""", GOOGLETRANSLATE(E3564, ""en"", ""te""),"""")"),"")</f>
        <v/>
      </c>
      <c r="G3564" s="2"/>
      <c r="H3564" s="2" t="str">
        <f>IFERROR(__xludf.DUMMYFUNCTION("IF(G3564&lt;&gt;"""", GOOGLETRANSLATE(G3564, ""en"", ""te""),"""")"),"")</f>
        <v/>
      </c>
      <c r="I3564" s="3"/>
    </row>
    <row r="3565" customHeight="1" spans="1:9">
      <c r="A3565" s="2"/>
      <c r="B3565" s="2" t="str">
        <f>IFERROR(__xludf.DUMMYFUNCTION("IF(A3565&lt;&gt;"""", GOOGLETRANSLATE(A3565, ""en"", ""te""),"""")"),"")</f>
        <v/>
      </c>
      <c r="C3565" s="2"/>
      <c r="D3565" s="2" t="str">
        <f>IFERROR(__xludf.DUMMYFUNCTION("IF(C3565&lt;&gt;"""", GOOGLETRANSLATE(C3565, ""en"", ""te""),"""")"),"")</f>
        <v/>
      </c>
      <c r="E3565" s="2"/>
      <c r="F3565" s="2" t="str">
        <f>IFERROR(__xludf.DUMMYFUNCTION("IF(E3565&lt;&gt;"""", GOOGLETRANSLATE(E3565, ""en"", ""te""),"""")"),"")</f>
        <v/>
      </c>
      <c r="G3565" s="2"/>
      <c r="H3565" s="2" t="str">
        <f>IFERROR(__xludf.DUMMYFUNCTION("IF(G3565&lt;&gt;"""", GOOGLETRANSLATE(G3565, ""en"", ""te""),"""")"),"")</f>
        <v/>
      </c>
      <c r="I3565" s="3"/>
    </row>
    <row r="3566" customHeight="1" spans="1:9">
      <c r="A3566" s="2"/>
      <c r="B3566" s="2" t="str">
        <f>IFERROR(__xludf.DUMMYFUNCTION("IF(A3566&lt;&gt;"""", GOOGLETRANSLATE(A3566, ""en"", ""te""),"""")"),"")</f>
        <v/>
      </c>
      <c r="C3566" s="2" t="s">
        <v>2459</v>
      </c>
      <c r="D3566" s="2" t="str">
        <f>IFERROR(__xludf.DUMMYFUNCTION("IF(C3566&lt;&gt;"""", GOOGLETRANSLATE(C3566, ""en"", ""te""),"""")"),"[ '44 వ షార్టేస్ట్ క్రీడాకారులు నివసించారు (35y 76d)']")</f>
        <v>[ '44 వ షార్టేస్ట్ క్రీడాకారులు నివసించారు (35y 76d)']</v>
      </c>
      <c r="E3566" s="2"/>
      <c r="F3566" s="2" t="str">
        <f>IFERROR(__xludf.DUMMYFUNCTION("IF(E3566&lt;&gt;"""", GOOGLETRANSLATE(E3566, ""en"", ""te""),"""")"),"")</f>
        <v/>
      </c>
      <c r="G3566" s="2"/>
      <c r="H3566" s="2" t="str">
        <f>IFERROR(__xludf.DUMMYFUNCTION("IF(G3566&lt;&gt;"""", GOOGLETRANSLATE(G3566, ""en"", ""te""),"""")"),"")</f>
        <v/>
      </c>
      <c r="I3566" s="3"/>
    </row>
    <row r="3567" customHeight="1" spans="1:9">
      <c r="A3567" s="2"/>
      <c r="B3567" s="2" t="str">
        <f>IFERROR(__xludf.DUMMYFUNCTION("IF(A3567&lt;&gt;"""", GOOGLETRANSLATE(A3567, ""en"", ""te""),"""")"),"")</f>
        <v/>
      </c>
      <c r="C3567" s="2"/>
      <c r="D3567" s="2" t="str">
        <f>IFERROR(__xludf.DUMMYFUNCTION("IF(C3567&lt;&gt;"""", GOOGLETRANSLATE(C3567, ""en"", ""te""),"""")"),"")</f>
        <v/>
      </c>
      <c r="E3567" s="2"/>
      <c r="F3567" s="2" t="str">
        <f>IFERROR(__xludf.DUMMYFUNCTION("IF(E3567&lt;&gt;"""", GOOGLETRANSLATE(E3567, ""en"", ""te""),"""")"),"")</f>
        <v/>
      </c>
      <c r="G3567" s="2"/>
      <c r="H3567" s="2" t="str">
        <f>IFERROR(__xludf.DUMMYFUNCTION("IF(G3567&lt;&gt;"""", GOOGLETRANSLATE(G3567, ""en"", ""te""),"""")"),"")</f>
        <v/>
      </c>
      <c r="I3567" s="3"/>
    </row>
    <row r="3568" customHeight="1" spans="1:9">
      <c r="A3568" s="2"/>
      <c r="B3568" s="2" t="str">
        <f>IFERROR(__xludf.DUMMYFUNCTION("IF(A3568&lt;&gt;"""", GOOGLETRANSLATE(A3568, ""en"", ""te""),"""")"),"")</f>
        <v/>
      </c>
      <c r="C3568" s="2"/>
      <c r="D3568" s="2" t="str">
        <f>IFERROR(__xludf.DUMMYFUNCTION("IF(C3568&lt;&gt;"""", GOOGLETRANSLATE(C3568, ""en"", ""te""),"""")"),"")</f>
        <v/>
      </c>
      <c r="E3568" s="2" t="s">
        <v>2460</v>
      </c>
      <c r="F3568" s="2" t="str">
        <f>IFERROR(__xludf.DUMMYFUNCTION("IF(E3568&lt;&gt;"""", GOOGLETRANSLATE(E3568, ""en"", ""te""),"""")"),"[ '32 వ తొలి మ్యాచ్ (80 *) లో అత్యధిక పరుగులు']")</f>
        <v>[ '32 వ తొలి మ్యాచ్ (80 *) లో అత్యధిక పరుగులు']</v>
      </c>
      <c r="G3568" s="2"/>
      <c r="H3568" s="2" t="str">
        <f>IFERROR(__xludf.DUMMYFUNCTION("IF(G3568&lt;&gt;"""", GOOGLETRANSLATE(G3568, ""en"", ""te""),"""")"),"")</f>
        <v/>
      </c>
      <c r="I3568" s="3"/>
    </row>
    <row r="3569" customHeight="1" spans="1:9">
      <c r="A3569" s="2"/>
      <c r="B3569" s="2" t="str">
        <f>IFERROR(__xludf.DUMMYFUNCTION("IF(A3569&lt;&gt;"""", GOOGLETRANSLATE(A3569, ""en"", ""te""),"""")"),"")</f>
        <v/>
      </c>
      <c r="C3569" s="2" t="s">
        <v>2461</v>
      </c>
      <c r="D3569" s="2" t="str">
        <f>IFERROR(__xludf.DUMMYFUNCTION("IF(C3569&lt;&gt;"""", GOOGLETRANSLATE(C3569, ""en"", ""te""),"""")"),"[ '14 వ పిన్న కాప్టెన్ (23y 292d)']")</f>
        <v>[ '14 వ పిన్న కాప్టెన్ (23y 292d)']</v>
      </c>
      <c r="E3569" s="2"/>
      <c r="F3569" s="2" t="str">
        <f>IFERROR(__xludf.DUMMYFUNCTION("IF(E3569&lt;&gt;"""", GOOGLETRANSLATE(E3569, ""en"", ""te""),"""")"),"")</f>
        <v/>
      </c>
      <c r="G3569" s="2"/>
      <c r="H3569" s="2" t="str">
        <f>IFERROR(__xludf.DUMMYFUNCTION("IF(G3569&lt;&gt;"""", GOOGLETRANSLATE(G3569, ""en"", ""te""),"""")"),"")</f>
        <v/>
      </c>
      <c r="I3569" s="3"/>
    </row>
    <row r="3570" customHeight="1" spans="1:9">
      <c r="A3570" s="2" t="s">
        <v>2462</v>
      </c>
      <c r="B3570" s="2" t="str">
        <f>IFERROR(__xludf.DUMMYFUNCTION("IF(A3570&lt;&gt;"""", GOOGLETRANSLATE(A3570, ""en"", ""te""),"""")"),"[ '2 వ వరుస మ్యాచ్లు ప్రదర్శనల మధ్య (114) ఒక జట్టు తప్పిన']")</f>
        <v>[ '2 వ వరుస మ్యాచ్లు ప్రదర్శనల మధ్య (114) ఒక జట్టు తప్పిన']</v>
      </c>
      <c r="C3570" s="2" t="s">
        <v>2463</v>
      </c>
      <c r="D3570" s="2" t="str">
        <f>IFERROR(__xludf.DUMMYFUNCTION("IF(C3570&lt;&gt;"""", GOOGLETRANSLATE(C3570, ""en"", ""te""),"""")"),"[ 'ప్రదర్శనల మధ్య 25 లాంగెస్ట్ వ్యవధిలో (10y 12D)', '2 వ వరుస మ్యాచ్లు ఆడి మధ్య జట్టు (114) కోసం తప్పిన']")</f>
        <v>[ 'ప్రదర్శనల మధ్య 25 లాంగెస్ట్ వ్యవధిలో (10y 12D)', '2 వ వరుస మ్యాచ్లు ఆడి మధ్య జట్టు (114) కోసం తప్పిన']</v>
      </c>
      <c r="E3570" s="2"/>
      <c r="F3570" s="2" t="str">
        <f>IFERROR(__xludf.DUMMYFUNCTION("IF(E3570&lt;&gt;"""", GOOGLETRANSLATE(E3570, ""en"", ""te""),"""")"),"")</f>
        <v/>
      </c>
      <c r="G3570" s="2"/>
      <c r="H3570" s="2" t="str">
        <f>IFERROR(__xludf.DUMMYFUNCTION("IF(G3570&lt;&gt;"""", GOOGLETRANSLATE(G3570, ""en"", ""te""),"""")"),"")</f>
        <v/>
      </c>
      <c r="I3570" s="3"/>
    </row>
    <row r="3571" customHeight="1" spans="1:9">
      <c r="A3571" s="2"/>
      <c r="B3571" s="2" t="str">
        <f>IFERROR(__xludf.DUMMYFUNCTION("IF(A3571&lt;&gt;"""", GOOGLETRANSLATE(A3571, ""en"", ""te""),"""")"),"")</f>
        <v/>
      </c>
      <c r="C3571" s="2"/>
      <c r="D3571" s="2" t="str">
        <f>IFERROR(__xludf.DUMMYFUNCTION("IF(C3571&lt;&gt;"""", GOOGLETRANSLATE(C3571, ""en"", ""te""),"""")"),"")</f>
        <v/>
      </c>
      <c r="E3571" s="2"/>
      <c r="F3571" s="2" t="str">
        <f>IFERROR(__xludf.DUMMYFUNCTION("IF(E3571&lt;&gt;"""", GOOGLETRANSLATE(E3571, ""en"", ""te""),"""")"),"")</f>
        <v/>
      </c>
      <c r="G3571" s="2"/>
      <c r="H3571" s="2" t="str">
        <f>IFERROR(__xludf.DUMMYFUNCTION("IF(G3571&lt;&gt;"""", GOOGLETRANSLATE(G3571, ""en"", ""te""),"""")"),"")</f>
        <v/>
      </c>
      <c r="I3571" s="3"/>
    </row>
    <row r="3572" customHeight="1" spans="1:9">
      <c r="A3572" s="2"/>
      <c r="B3572" s="2" t="str">
        <f>IFERROR(__xludf.DUMMYFUNCTION("IF(A3572&lt;&gt;"""", GOOGLETRANSLATE(A3572, ""en"", ""te""),"""")"),"")</f>
        <v/>
      </c>
      <c r="C3572" s="2"/>
      <c r="D3572" s="2" t="str">
        <f>IFERROR(__xludf.DUMMYFUNCTION("IF(C3572&lt;&gt;"""", GOOGLETRANSLATE(C3572, ""en"", ""te""),"""")"),"")</f>
        <v/>
      </c>
      <c r="E3572" s="2"/>
      <c r="F3572" s="2" t="str">
        <f>IFERROR(__xludf.DUMMYFUNCTION("IF(E3572&lt;&gt;"""", GOOGLETRANSLATE(E3572, ""en"", ""te""),"""")"),"")</f>
        <v/>
      </c>
      <c r="G3572" s="2"/>
      <c r="H3572" s="2" t="str">
        <f>IFERROR(__xludf.DUMMYFUNCTION("IF(G3572&lt;&gt;"""", GOOGLETRANSLATE(G3572, ""en"", ""te""),"""")"),"")</f>
        <v/>
      </c>
      <c r="I3572" s="3"/>
    </row>
    <row r="3573" customHeight="1" spans="1:9">
      <c r="A3573" s="2" t="s">
        <v>2464</v>
      </c>
      <c r="B3573" s="2" t="str">
        <f>IFERROR(__xludf.DUMMYFUNCTION("IF(A3573&lt;&gt;"""", GOOGLETRANSLATE(A3573, ""en"", ""te""),"""")"),"[ '1st వరుస మ్యాచ్లు ఆడి మధ్య జట్టు (142) కోసం తప్పిన']")</f>
        <v>[ '1st వరుస మ్యాచ్లు ఆడి మధ్య జట్టు (142) కోసం తప్పిన']</v>
      </c>
      <c r="C3573" s="2" t="s">
        <v>2465</v>
      </c>
      <c r="D3573" s="2" t="str">
        <f>IFERROR(__xludf.DUMMYFUNCTION("IF(C3573&lt;&gt;"""", GOOGLETRANSLATE(C3573, ""en"", ""te""),"""")"),"[ 'ప్రదర్శనలు (11y 137d) మధ్య 17 వ లాంగెస్ట్ వ్యవధిలో' '1 వ వరుస మ్యాచ్లు ఆడి మధ్య జట్టు (142) కోసం తప్పిన']")</f>
        <v>[ 'ప్రదర్శనలు (11y 137d) మధ్య 17 వ లాంగెస్ట్ వ్యవధిలో' '1 వ వరుస మ్యాచ్లు ఆడి మధ్య జట్టు (142) కోసం తప్పిన']</v>
      </c>
      <c r="E3573" s="2"/>
      <c r="F3573" s="2" t="str">
        <f>IFERROR(__xludf.DUMMYFUNCTION("IF(E3573&lt;&gt;"""", GOOGLETRANSLATE(E3573, ""en"", ""te""),"""")"),"")</f>
        <v/>
      </c>
      <c r="G3573" s="2"/>
      <c r="H3573" s="2" t="str">
        <f>IFERROR(__xludf.DUMMYFUNCTION("IF(G3573&lt;&gt;"""", GOOGLETRANSLATE(G3573, ""en"", ""te""),"""")"),"")</f>
        <v/>
      </c>
      <c r="I3573" s="3"/>
    </row>
    <row r="3574" customHeight="1" spans="1:9">
      <c r="A3574" s="2"/>
      <c r="B3574" s="2" t="str">
        <f>IFERROR(__xludf.DUMMYFUNCTION("IF(A3574&lt;&gt;"""", GOOGLETRANSLATE(A3574, ""en"", ""te""),"""")"),"")</f>
        <v/>
      </c>
      <c r="C3574" s="2"/>
      <c r="D3574" s="2" t="str">
        <f>IFERROR(__xludf.DUMMYFUNCTION("IF(C3574&lt;&gt;"""", GOOGLETRANSLATE(C3574, ""en"", ""te""),"""")"),"")</f>
        <v/>
      </c>
      <c r="E3574" s="2"/>
      <c r="F3574" s="2" t="str">
        <f>IFERROR(__xludf.DUMMYFUNCTION("IF(E3574&lt;&gt;"""", GOOGLETRANSLATE(E3574, ""en"", ""te""),"""")"),"")</f>
        <v/>
      </c>
      <c r="G3574" s="2"/>
      <c r="H3574" s="2" t="str">
        <f>IFERROR(__xludf.DUMMYFUNCTION("IF(G3574&lt;&gt;"""", GOOGLETRANSLATE(G3574, ""en"", ""te""),"""")"),"")</f>
        <v/>
      </c>
      <c r="I3574" s="3"/>
    </row>
    <row r="3575" customHeight="1" spans="1:9">
      <c r="A3575" s="2"/>
      <c r="B3575" s="2" t="str">
        <f>IFERROR(__xludf.DUMMYFUNCTION("IF(A3575&lt;&gt;"""", GOOGLETRANSLATE(A3575, ""en"", ""te""),"""")"),"")</f>
        <v/>
      </c>
      <c r="C3575" s="2"/>
      <c r="D3575" s="2" t="str">
        <f>IFERROR(__xludf.DUMMYFUNCTION("IF(C3575&lt;&gt;"""", GOOGLETRANSLATE(C3575, ""en"", ""te""),"""")"),"")</f>
        <v/>
      </c>
      <c r="E3575" s="2"/>
      <c r="F3575" s="2" t="str">
        <f>IFERROR(__xludf.DUMMYFUNCTION("IF(E3575&lt;&gt;"""", GOOGLETRANSLATE(E3575, ""en"", ""te""),"""")"),"")</f>
        <v/>
      </c>
      <c r="G3575" s="2"/>
      <c r="H3575" s="2" t="str">
        <f>IFERROR(__xludf.DUMMYFUNCTION("IF(G3575&lt;&gt;"""", GOOGLETRANSLATE(G3575, ""en"", ""te""),"""")"),"")</f>
        <v/>
      </c>
      <c r="I3575" s="3"/>
    </row>
    <row r="3576" customHeight="1" spans="1:9">
      <c r="A3576" s="2"/>
      <c r="B3576" s="2" t="str">
        <f>IFERROR(__xludf.DUMMYFUNCTION("IF(A3576&lt;&gt;"""", GOOGLETRANSLATE(A3576, ""en"", ""te""),"""")"),"")</f>
        <v/>
      </c>
      <c r="C3576" s="2"/>
      <c r="D3576" s="2" t="str">
        <f>IFERROR(__xludf.DUMMYFUNCTION("IF(C3576&lt;&gt;"""", GOOGLETRANSLATE(C3576, ""en"", ""te""),"""")"),"")</f>
        <v/>
      </c>
      <c r="E3576" s="2"/>
      <c r="F3576" s="2" t="str">
        <f>IFERROR(__xludf.DUMMYFUNCTION("IF(E3576&lt;&gt;"""", GOOGLETRANSLATE(E3576, ""en"", ""te""),"""")"),"")</f>
        <v/>
      </c>
      <c r="G3576" s="2"/>
      <c r="H3576" s="2" t="str">
        <f>IFERROR(__xludf.DUMMYFUNCTION("IF(G3576&lt;&gt;"""", GOOGLETRANSLATE(G3576, ""en"", ""te""),"""")"),"")</f>
        <v/>
      </c>
      <c r="I3576" s="3"/>
    </row>
    <row r="3577" customHeight="1" spans="1:9">
      <c r="A3577" s="2"/>
      <c r="B3577" s="2" t="str">
        <f>IFERROR(__xludf.DUMMYFUNCTION("IF(A3577&lt;&gt;"""", GOOGLETRANSLATE(A3577, ""en"", ""te""),"""")"),"")</f>
        <v/>
      </c>
      <c r="C3577" s="2"/>
      <c r="D3577" s="2" t="str">
        <f>IFERROR(__xludf.DUMMYFUNCTION("IF(C3577&lt;&gt;"""", GOOGLETRANSLATE(C3577, ""en"", ""te""),"""")"),"")</f>
        <v/>
      </c>
      <c r="E3577" s="2"/>
      <c r="F3577" s="2" t="str">
        <f>IFERROR(__xludf.DUMMYFUNCTION("IF(E3577&lt;&gt;"""", GOOGLETRANSLATE(E3577, ""en"", ""te""),"""")"),"")</f>
        <v/>
      </c>
      <c r="G3577" s="2"/>
      <c r="H3577" s="2" t="str">
        <f>IFERROR(__xludf.DUMMYFUNCTION("IF(G3577&lt;&gt;"""", GOOGLETRANSLATE(G3577, ""en"", ""te""),"""")"),"")</f>
        <v/>
      </c>
      <c r="I3577" s="3"/>
    </row>
    <row r="3578" customHeight="1" spans="1:9">
      <c r="A3578" s="2"/>
      <c r="B3578" s="2" t="str">
        <f>IFERROR(__xludf.DUMMYFUNCTION("IF(A3578&lt;&gt;"""", GOOGLETRANSLATE(A3578, ""en"", ""te""),"""")"),"")</f>
        <v/>
      </c>
      <c r="C3578" s="2"/>
      <c r="D3578" s="2" t="str">
        <f>IFERROR(__xludf.DUMMYFUNCTION("IF(C3578&lt;&gt;"""", GOOGLETRANSLATE(C3578, ""en"", ""te""),"""")"),"")</f>
        <v/>
      </c>
      <c r="E3578" s="2"/>
      <c r="F3578" s="2" t="str">
        <f>IFERROR(__xludf.DUMMYFUNCTION("IF(E3578&lt;&gt;"""", GOOGLETRANSLATE(E3578, ""en"", ""te""),"""")"),"")</f>
        <v/>
      </c>
      <c r="G3578" s="2"/>
      <c r="H3578" s="2" t="str">
        <f>IFERROR(__xludf.DUMMYFUNCTION("IF(G3578&lt;&gt;"""", GOOGLETRANSLATE(G3578, ""en"", ""te""),"""")"),"")</f>
        <v/>
      </c>
      <c r="I3578" s="3"/>
    </row>
    <row r="3579" customHeight="1" spans="1:9">
      <c r="A3579" s="2"/>
      <c r="B3579" s="2" t="str">
        <f>IFERROR(__xludf.DUMMYFUNCTION("IF(A3579&lt;&gt;"""", GOOGLETRANSLATE(A3579, ""en"", ""te""),"""")"),"")</f>
        <v/>
      </c>
      <c r="C3579" s="2"/>
      <c r="D3579" s="2" t="str">
        <f>IFERROR(__xludf.DUMMYFUNCTION("IF(C3579&lt;&gt;"""", GOOGLETRANSLATE(C3579, ""en"", ""te""),"""")"),"")</f>
        <v/>
      </c>
      <c r="E3579" s="2"/>
      <c r="F3579" s="2" t="str">
        <f>IFERROR(__xludf.DUMMYFUNCTION("IF(E3579&lt;&gt;"""", GOOGLETRANSLATE(E3579, ""en"", ""te""),"""")"),"")</f>
        <v/>
      </c>
      <c r="G3579" s="2"/>
      <c r="H3579" s="2" t="str">
        <f>IFERROR(__xludf.DUMMYFUNCTION("IF(G3579&lt;&gt;"""", GOOGLETRANSLATE(G3579, ""en"", ""te""),"""")"),"")</f>
        <v/>
      </c>
      <c r="I3579" s="3"/>
    </row>
    <row r="3580" customHeight="1" spans="1:9">
      <c r="A3580" s="2"/>
      <c r="B3580" s="2" t="str">
        <f>IFERROR(__xludf.DUMMYFUNCTION("IF(A3580&lt;&gt;"""", GOOGLETRANSLATE(A3580, ""en"", ""te""),"""")"),"")</f>
        <v/>
      </c>
      <c r="C3580" s="2"/>
      <c r="D3580" s="2" t="str">
        <f>IFERROR(__xludf.DUMMYFUNCTION("IF(C3580&lt;&gt;"""", GOOGLETRANSLATE(C3580, ""en"", ""te""),"""")"),"")</f>
        <v/>
      </c>
      <c r="E3580" s="2"/>
      <c r="F3580" s="2" t="str">
        <f>IFERROR(__xludf.DUMMYFUNCTION("IF(E3580&lt;&gt;"""", GOOGLETRANSLATE(E3580, ""en"", ""te""),"""")"),"")</f>
        <v/>
      </c>
      <c r="G3580" s="2"/>
      <c r="H3580" s="2" t="str">
        <f>IFERROR(__xludf.DUMMYFUNCTION("IF(G3580&lt;&gt;"""", GOOGLETRANSLATE(G3580, ""en"", ""te""),"""")"),"")</f>
        <v/>
      </c>
      <c r="I3580" s="3"/>
    </row>
    <row r="3581" customHeight="1" spans="1:9">
      <c r="A3581" s="2" t="s">
        <v>2466</v>
      </c>
      <c r="B3581" s="2" t="str">
        <f>IFERROR(__xludf.DUMMYFUNCTION("IF(A3581&lt;&gt;"""", GOOGLETRANSLATE(A3581, ""en"", ""te""),"""")"),"[ 'ఇన్నింగ్స్ లో 5 వ అత్యధిక వికెట్లు (6)', 'ఇన్నింగ్స్ లో 5 వ అత్యధిక క్యాచ్లు (6)', 'వంద మరియు ఒక ఇన్నింగ్స్ లో ఐదు తొలగింపులకు', 'వరుస ఇన్నింగ్స్లో 2 వ వందల (3)', '5 వ వేగవంతమైన 3000 పరుగులు (72) ']")</f>
        <v>[ 'ఇన్నింగ్స్ లో 5 వ అత్యధిక వికెట్లు (6)', 'ఇన్నింగ్స్ లో 5 వ అత్యధిక క్యాచ్లు (6)', 'వంద మరియు ఒక ఇన్నింగ్స్ లో ఐదు తొలగింపులకు', 'వరుస ఇన్నింగ్స్లో 2 వ వందల (3)', '5 వ వేగవంతమైన 3000 పరుగులు (72) ']</v>
      </c>
      <c r="C3581" s="2" t="s">
        <v>2467</v>
      </c>
      <c r="D3581" s="2" t="str">
        <f>IFERROR(__xludf.DUMMYFUNCTION("IF(C3581&lt;&gt;"""", GOOGLETRANSLATE(C3581, ""en"", ""te""),"""")"),"[ '14 వ అత్యంత ఒక క్యాలెండర్ సంవత్సరంలో పరుగులు (1470)', 'వరుస వికెట్లు 14 వ అత్యధిక పరుగులు (387)', 'అత్యధిక వికెట్లు ఇన్నింగ్స్ లో 22 వ అత్యధిక పరుగులు (167 *)', '22 అత్యధిక వికెట్లు కెరీర్ (186) ',' ఒక మ్యాచ్లో ఇన్నింగ్స్ లో 5 వ అత్యధిక వికెట్లు (6) ',"&amp;"' 8 వ అత్యధిక వికెట్లు (9) ',' 32 వ ఒక సిరీస్లో అత్యధిక వికెట్లు (22) ',' 19 వ కెరీర్ లో అత్యధిక క్యాచ్లు (173 ) ',' ఒక మ్యాచ్లో ఇన్నింగ్స్ (6) ',' 8 వ అత్యధిక క్యాచ్లు 5 వ అత్యధిక క్యాచ్లు (9) ',' 29th ఒక సిరీస్లో అత్యధిక క్యాచ్లు (22) ',' కెరీర్ (13 33 "&amp;"వ అత్యంత స్టంపింగ్లు) ']")</f>
        <v>[ '14 వ అత్యంత ఒక క్యాలెండర్ సంవత్సరంలో పరుగులు (1470)', 'వరుస వికెట్లు 14 వ అత్యధిక పరుగులు (387)', 'అత్యధిక వికెట్లు ఇన్నింగ్స్ లో 22 వ అత్యధిక పరుగులు (167 *)', '22 అత్యధిక వికెట్లు కెరీర్ (186) ',' ఒక మ్యాచ్లో ఇన్నింగ్స్ లో 5 వ అత్యధిక వికెట్లు (6) ',' 8 వ అత్యధిక వికెట్లు (9) ',' 32 వ ఒక సిరీస్లో అత్యధిక వికెట్లు (22) ',' 19 వ కెరీర్ లో అత్యధిక క్యాచ్లు (173 ) ',' ఒక మ్యాచ్లో ఇన్నింగ్స్ (6) ',' 8 వ అత్యధిక క్యాచ్లు 5 వ అత్యధిక క్యాచ్లు (9) ',' 29th ఒక సిరీస్లో అత్యధిక క్యాచ్లు (22) ',' కెరీర్ (13 33 వ అత్యంత స్టంపింగ్లు) ']</v>
      </c>
      <c r="E3581" s="2" t="s">
        <v>2468</v>
      </c>
      <c r="F3581" s="2" t="str">
        <f>IFERROR(__xludf.DUMMYFUNCTION("IF(E3581&lt;&gt;"""", GOOGLETRANSLATE(E3581, ""en"", ""te""),"""")"),"[ '46 వ పరాజయం వైపు ఒక మ్యాచ్లో అత్యధిక పరుగులు (138)', 'అత్యధిక వికెట్లు ఇన్నింగ్స్ లో 41 వ అత్యధిక పరుగులు (128)', '17 వ అత్యధిక కెరీర్ బ్యాటింగ్ సగటు 21 వరుస (532) అత్యధిక పరుగులు' (48.25) ', '21 వ అత్యధిక కెరీర్ సమ్మె రేటు (104.64)', '41 వ ఒక వృత్తిల"&amp;"ో అత్యధిక వందలు (11)', '29th ఒక క్యాలెండర్ సంవత్సరంలో అత్యధిక వందలు (4)', 'వరుస ఇన్నింగ్స్లో 2 వ వందల (3) ',' కెరీర్లో 49 వ ఎక్కువ సిక్స్ (87) ',' 45 వ 1000 పరుగులు (29) 2000 పరుగులు ',' 9 వ వేగవంతమైన (49) 3000 పరుగులు (72) '] కు', '5 వ వేగవంతమైన వేగంగా")</f>
        <v>[ '46 వ పరాజయం వైపు ఒక మ్యాచ్లో అత్యధిక పరుగులు (138)', 'అత్యధిక వికెట్లు ఇన్నింగ్స్ లో 41 వ అత్యధిక పరుగులు (128)', '17 వ అత్యధిక కెరీర్ బ్యాటింగ్ సగటు 21 వరుస (532) అత్యధిక పరుగులు' (48.25) ', '21 వ అత్యధిక కెరీర్ సమ్మె రేటు (104.64)', '41 వ ఒక వృత్తిలో అత్యధిక వందలు (11)', '29th ఒక క్యాలెండర్ సంవత్సరంలో అత్యధిక వందలు (4)', 'వరుస ఇన్నింగ్స్లో 2 వ వందల (3) ',' కెరీర్లో 49 వ ఎక్కువ సిక్స్ (87) ',' 45 వ 1000 పరుగులు (29) 2000 పరుగులు ',' 9 వ వేగవంతమైన (49) 3000 పరుగులు (72) '] కు', '5 వ వేగవంతమైన వేగంగా</v>
      </c>
      <c r="G3581" s="2" t="s">
        <v>2469</v>
      </c>
      <c r="H3581" s="2" t="str">
        <f>IFERROR(__xludf.DUMMYFUNCTION("IF(G3581&lt;&gt;"""", GOOGLETRANSLATE(G3581, ""en"", ""te""),"""")"),"[ '20 వ ఇన్నింగ్స్ లో అత్యధిక పరుగులు (బ్యాటింగ్ స్థానంలో ద్వారా) (86 *)', '47 వ ఇన్నింగ్స్ లో అత్యధిక పరుగులు అత్యధిక వికెట్లు (68)', '42 వ అత్యధిక కెరీర్ సమ్మె రేటు (139.25)', '48 వ అత్యంత యాభైలలో కెరీర్ (6) ',' 34 వ అత్యంత ఇన్నింగ్స్ తొలి డక్ ముందు (1"&amp;"9) ',' 43 వ కెరీర్ లో అతి తక్కువ బాతులు (15) ',' 49 వ అత్యంత 1000 పరుగులు కెరీర్లో సిక్సర్లు (44) ',' 36 వ వేగవంతమైన (43) ' '36 వ కెరీర్ లో అత్యధిక క్యాచ్లు (27)', 'నాలుగవ వికెట్కు 43 వ అత్యధిక భాగస్వామ్యం (85)', '28 వ అతి ప్లేయర్ ఆఫ్ ది మ్యాచ్ అవార్డులు"&amp;" (5)']")</f>
        <v>[ '20 వ ఇన్నింగ్స్ లో అత్యధిక పరుగులు (బ్యాటింగ్ స్థానంలో ద్వారా) (86 *)', '47 వ ఇన్నింగ్స్ లో అత్యధిక పరుగులు అత్యధిక వికెట్లు (68)', '42 వ అత్యధిక కెరీర్ సమ్మె రేటు (139.25)', '48 వ అత్యంత యాభైలలో కెరీర్ (6) ',' 34 వ అత్యంత ఇన్నింగ్స్ తొలి డక్ ముందు (19) ',' 43 వ కెరీర్ లో అతి తక్కువ బాతులు (15) ',' 49 వ అత్యంత 1000 పరుగులు కెరీర్లో సిక్సర్లు (44) ',' 36 వ వేగవంతమైన (43) ' '36 వ కెరీర్ లో అత్యధిక క్యాచ్లు (27)', 'నాలుగవ వికెట్కు 43 వ అత్యధిక భాగస్వామ్యం (85)', '28 వ అతి ప్లేయర్ ఆఫ్ ది మ్యాచ్ అవార్డులు (5)']</v>
      </c>
      <c r="I3581" s="3"/>
    </row>
    <row r="3582" customHeight="1" spans="1:9">
      <c r="A3582" s="2"/>
      <c r="B3582" s="2" t="str">
        <f>IFERROR(__xludf.DUMMYFUNCTION("IF(A3582&lt;&gt;"""", GOOGLETRANSLATE(A3582, ""en"", ""te""),"""")"),"")</f>
        <v/>
      </c>
      <c r="C3582" s="2"/>
      <c r="D3582" s="2" t="str">
        <f>IFERROR(__xludf.DUMMYFUNCTION("IF(C3582&lt;&gt;"""", GOOGLETRANSLATE(C3582, ""en"", ""te""),"""")"),"")</f>
        <v/>
      </c>
      <c r="E3582" s="2"/>
      <c r="F3582" s="2" t="str">
        <f>IFERROR(__xludf.DUMMYFUNCTION("IF(E3582&lt;&gt;"""", GOOGLETRANSLATE(E3582, ""en"", ""te""),"""")"),"")</f>
        <v/>
      </c>
      <c r="G3582" s="2"/>
      <c r="H3582" s="2" t="str">
        <f>IFERROR(__xludf.DUMMYFUNCTION("IF(G3582&lt;&gt;"""", GOOGLETRANSLATE(G3582, ""en"", ""te""),"""")"),"")</f>
        <v/>
      </c>
      <c r="I3582" s="3"/>
    </row>
    <row r="3583" customHeight="1" spans="1:9">
      <c r="A3583" s="2"/>
      <c r="B3583" s="2" t="str">
        <f>IFERROR(__xludf.DUMMYFUNCTION("IF(A3583&lt;&gt;"""", GOOGLETRANSLATE(A3583, ""en"", ""te""),"""")"),"")</f>
        <v/>
      </c>
      <c r="C3583" s="2"/>
      <c r="D3583" s="2" t="str">
        <f>IFERROR(__xludf.DUMMYFUNCTION("IF(C3583&lt;&gt;"""", GOOGLETRANSLATE(C3583, ""en"", ""te""),"""")"),"")</f>
        <v/>
      </c>
      <c r="E3583" s="2"/>
      <c r="F3583" s="2" t="str">
        <f>IFERROR(__xludf.DUMMYFUNCTION("IF(E3583&lt;&gt;"""", GOOGLETRANSLATE(E3583, ""en"", ""te""),"""")"),"")</f>
        <v/>
      </c>
      <c r="G3583" s="2"/>
      <c r="H3583" s="2" t="str">
        <f>IFERROR(__xludf.DUMMYFUNCTION("IF(G3583&lt;&gt;"""", GOOGLETRANSLATE(G3583, ""en"", ""te""),"""")"),"")</f>
        <v/>
      </c>
      <c r="I3583" s="3"/>
    </row>
    <row r="3584" customHeight="1" spans="1:9">
      <c r="A3584" s="2"/>
      <c r="B3584" s="2" t="str">
        <f>IFERROR(__xludf.DUMMYFUNCTION("IF(A3584&lt;&gt;"""", GOOGLETRANSLATE(A3584, ""en"", ""te""),"""")"),"")</f>
        <v/>
      </c>
      <c r="C3584" s="2"/>
      <c r="D3584" s="2" t="str">
        <f>IFERROR(__xludf.DUMMYFUNCTION("IF(C3584&lt;&gt;"""", GOOGLETRANSLATE(C3584, ""en"", ""te""),"""")"),"")</f>
        <v/>
      </c>
      <c r="E3584" s="2"/>
      <c r="F3584" s="2" t="str">
        <f>IFERROR(__xludf.DUMMYFUNCTION("IF(E3584&lt;&gt;"""", GOOGLETRANSLATE(E3584, ""en"", ""te""),"""")"),"")</f>
        <v/>
      </c>
      <c r="G3584" s="2"/>
      <c r="H3584" s="2" t="str">
        <f>IFERROR(__xludf.DUMMYFUNCTION("IF(G3584&lt;&gt;"""", GOOGLETRANSLATE(G3584, ""en"", ""te""),"""")"),"")</f>
        <v/>
      </c>
      <c r="I3584" s="3"/>
    </row>
    <row r="3585" customHeight="1" spans="1:9">
      <c r="A3585" s="2"/>
      <c r="B3585" s="2" t="str">
        <f>IFERROR(__xludf.DUMMYFUNCTION("IF(A3585&lt;&gt;"""", GOOGLETRANSLATE(A3585, ""en"", ""te""),"""")"),"")</f>
        <v/>
      </c>
      <c r="C3585" s="2"/>
      <c r="D3585" s="2" t="str">
        <f>IFERROR(__xludf.DUMMYFUNCTION("IF(C3585&lt;&gt;"""", GOOGLETRANSLATE(C3585, ""en"", ""te""),"""")"),"")</f>
        <v/>
      </c>
      <c r="E3585" s="2"/>
      <c r="F3585" s="2" t="str">
        <f>IFERROR(__xludf.DUMMYFUNCTION("IF(E3585&lt;&gt;"""", GOOGLETRANSLATE(E3585, ""en"", ""te""),"""")"),"")</f>
        <v/>
      </c>
      <c r="G3585" s="2"/>
      <c r="H3585" s="2" t="str">
        <f>IFERROR(__xludf.DUMMYFUNCTION("IF(G3585&lt;&gt;"""", GOOGLETRANSLATE(G3585, ""en"", ""te""),"""")"),"")</f>
        <v/>
      </c>
      <c r="I3585" s="3"/>
    </row>
    <row r="3586" customHeight="1" spans="1:9">
      <c r="A3586" s="2"/>
      <c r="B3586" s="2" t="str">
        <f>IFERROR(__xludf.DUMMYFUNCTION("IF(A3586&lt;&gt;"""", GOOGLETRANSLATE(A3586, ""en"", ""te""),"""")"),"")</f>
        <v/>
      </c>
      <c r="C3586" s="2"/>
      <c r="D3586" s="2" t="str">
        <f>IFERROR(__xludf.DUMMYFUNCTION("IF(C3586&lt;&gt;"""", GOOGLETRANSLATE(C3586, ""en"", ""te""),"""")"),"")</f>
        <v/>
      </c>
      <c r="E3586" s="2"/>
      <c r="F3586" s="2" t="str">
        <f>IFERROR(__xludf.DUMMYFUNCTION("IF(E3586&lt;&gt;"""", GOOGLETRANSLATE(E3586, ""en"", ""te""),"""")"),"")</f>
        <v/>
      </c>
      <c r="G3586" s="2"/>
      <c r="H3586" s="2" t="str">
        <f>IFERROR(__xludf.DUMMYFUNCTION("IF(G3586&lt;&gt;"""", GOOGLETRANSLATE(G3586, ""en"", ""te""),"""")"),"")</f>
        <v/>
      </c>
      <c r="I3586" s="3"/>
    </row>
    <row r="3587" customHeight="1" spans="1:9">
      <c r="A3587" s="2"/>
      <c r="B3587" s="2" t="str">
        <f>IFERROR(__xludf.DUMMYFUNCTION("IF(A3587&lt;&gt;"""", GOOGLETRANSLATE(A3587, ""en"", ""te""),"""")"),"")</f>
        <v/>
      </c>
      <c r="C3587" s="2"/>
      <c r="D3587" s="2" t="str">
        <f>IFERROR(__xludf.DUMMYFUNCTION("IF(C3587&lt;&gt;"""", GOOGLETRANSLATE(C3587, ""en"", ""te""),"""")"),"")</f>
        <v/>
      </c>
      <c r="E3587" s="2"/>
      <c r="F3587" s="2" t="str">
        <f>IFERROR(__xludf.DUMMYFUNCTION("IF(E3587&lt;&gt;"""", GOOGLETRANSLATE(E3587, ""en"", ""te""),"""")"),"")</f>
        <v/>
      </c>
      <c r="G3587" s="2"/>
      <c r="H3587" s="2" t="str">
        <f>IFERROR(__xludf.DUMMYFUNCTION("IF(G3587&lt;&gt;"""", GOOGLETRANSLATE(G3587, ""en"", ""te""),"""")"),"")</f>
        <v/>
      </c>
      <c r="I3587" s="3"/>
    </row>
    <row r="3588" customHeight="1" spans="1:9">
      <c r="A3588" s="2"/>
      <c r="B3588" s="2" t="str">
        <f>IFERROR(__xludf.DUMMYFUNCTION("IF(A3588&lt;&gt;"""", GOOGLETRANSLATE(A3588, ""en"", ""te""),"""")"),"")</f>
        <v/>
      </c>
      <c r="C3588" s="2"/>
      <c r="D3588" s="2" t="str">
        <f>IFERROR(__xludf.DUMMYFUNCTION("IF(C3588&lt;&gt;"""", GOOGLETRANSLATE(C3588, ""en"", ""te""),"""")"),"")</f>
        <v/>
      </c>
      <c r="E3588" s="2"/>
      <c r="F3588" s="2" t="str">
        <f>IFERROR(__xludf.DUMMYFUNCTION("IF(E3588&lt;&gt;"""", GOOGLETRANSLATE(E3588, ""en"", ""te""),"""")"),"")</f>
        <v/>
      </c>
      <c r="G3588" s="2"/>
      <c r="H3588" s="2" t="str">
        <f>IFERROR(__xludf.DUMMYFUNCTION("IF(G3588&lt;&gt;"""", GOOGLETRANSLATE(G3588, ""en"", ""te""),"""")"),"")</f>
        <v/>
      </c>
      <c r="I3588" s="3"/>
    </row>
    <row r="3589" customHeight="1" spans="1:9">
      <c r="A3589" s="2" t="s">
        <v>2470</v>
      </c>
      <c r="B3589" s="2" t="str">
        <f>IFERROR(__xludf.DUMMYFUNCTION("IF(A3589&lt;&gt;"""", GOOGLETRANSLATE(A3589, ""en"", ""te""),"""")"),"[ '9 వ షార్టేస్ట్ క్రీడాకారులు (26y 110d) నివసించారు']")</f>
        <v>[ '9 వ షార్టేస్ట్ క్రీడాకారులు (26y 110d) నివసించారు']</v>
      </c>
      <c r="C3589" s="2" t="s">
        <v>2471</v>
      </c>
      <c r="D3589" s="2" t="str">
        <f>IFERROR(__xludf.DUMMYFUNCTION("IF(C3589&lt;&gt;"""", GOOGLETRANSLATE(C3589, ""en"", ""te""),"""")"),"[ '9 వ షార్టేస్ట్ క్రీడాకారులు నివసించారు (26y 110d)', '11 వ పిన్న కాప్టెన్ (23y 144d)']")</f>
        <v>[ '9 వ షార్టేస్ట్ క్రీడాకారులు నివసించారు (26y 110d)', '11 వ పిన్న కాప్టెన్ (23y 144d)']</v>
      </c>
      <c r="E3589" s="2"/>
      <c r="F3589" s="2" t="str">
        <f>IFERROR(__xludf.DUMMYFUNCTION("IF(E3589&lt;&gt;"""", GOOGLETRANSLATE(E3589, ""en"", ""te""),"""")"),"")</f>
        <v/>
      </c>
      <c r="G3589" s="2"/>
      <c r="H3589" s="2" t="str">
        <f>IFERROR(__xludf.DUMMYFUNCTION("IF(G3589&lt;&gt;"""", GOOGLETRANSLATE(G3589, ""en"", ""te""),"""")"),"")</f>
        <v/>
      </c>
      <c r="I3589" s="3"/>
    </row>
    <row r="3590" customHeight="1" spans="1:9">
      <c r="A3590" s="2"/>
      <c r="B3590" s="2" t="str">
        <f>IFERROR(__xludf.DUMMYFUNCTION("IF(A3590&lt;&gt;"""", GOOGLETRANSLATE(A3590, ""en"", ""te""),"""")"),"")</f>
        <v/>
      </c>
      <c r="C3590" s="2"/>
      <c r="D3590" s="2" t="str">
        <f>IFERROR(__xludf.DUMMYFUNCTION("IF(C3590&lt;&gt;"""", GOOGLETRANSLATE(C3590, ""en"", ""te""),"""")"),"")</f>
        <v/>
      </c>
      <c r="E3590" s="2"/>
      <c r="F3590" s="2" t="str">
        <f>IFERROR(__xludf.DUMMYFUNCTION("IF(E3590&lt;&gt;"""", GOOGLETRANSLATE(E3590, ""en"", ""te""),"""")"),"")</f>
        <v/>
      </c>
      <c r="G3590" s="2"/>
      <c r="H3590" s="2" t="str">
        <f>IFERROR(__xludf.DUMMYFUNCTION("IF(G3590&lt;&gt;"""", GOOGLETRANSLATE(G3590, ""en"", ""te""),"""")"),"")</f>
        <v/>
      </c>
      <c r="I3590" s="3"/>
    </row>
    <row r="3591" customHeight="1" spans="1:9">
      <c r="A3591" s="2"/>
      <c r="B3591" s="2" t="str">
        <f>IFERROR(__xludf.DUMMYFUNCTION("IF(A3591&lt;&gt;"""", GOOGLETRANSLATE(A3591, ""en"", ""te""),"""")"),"")</f>
        <v/>
      </c>
      <c r="C3591" s="2" t="s">
        <v>2472</v>
      </c>
      <c r="D3591" s="2" t="str">
        <f>IFERROR(__xludf.DUMMYFUNCTION("IF(C3591&lt;&gt;"""", GOOGLETRANSLATE(C3591, ""en"", ""te""),"""")"),"[ '20 వ షార్టేస్ట్ నివసించారు క్రీడాకారులు (29y 204d)']")</f>
        <v>[ '20 వ షార్టేస్ట్ నివసించారు క్రీడాకారులు (29y 204d)']</v>
      </c>
      <c r="E3591" s="2"/>
      <c r="F3591" s="2" t="str">
        <f>IFERROR(__xludf.DUMMYFUNCTION("IF(E3591&lt;&gt;"""", GOOGLETRANSLATE(E3591, ""en"", ""te""),"""")"),"")</f>
        <v/>
      </c>
      <c r="G3591" s="2"/>
      <c r="H3591" s="2" t="str">
        <f>IFERROR(__xludf.DUMMYFUNCTION("IF(G3591&lt;&gt;"""", GOOGLETRANSLATE(G3591, ""en"", ""te""),"""")"),"")</f>
        <v/>
      </c>
      <c r="I3591" s="3"/>
    </row>
    <row r="3592" customHeight="1" spans="1:9">
      <c r="A3592" s="2"/>
      <c r="B3592" s="2" t="str">
        <f>IFERROR(__xludf.DUMMYFUNCTION("IF(A3592&lt;&gt;"""", GOOGLETRANSLATE(A3592, ""en"", ""te""),"""")"),"")</f>
        <v/>
      </c>
      <c r="C3592" s="2"/>
      <c r="D3592" s="2" t="str">
        <f>IFERROR(__xludf.DUMMYFUNCTION("IF(C3592&lt;&gt;"""", GOOGLETRANSLATE(C3592, ""en"", ""te""),"""")"),"")</f>
        <v/>
      </c>
      <c r="E3592" s="2"/>
      <c r="F3592" s="2" t="str">
        <f>IFERROR(__xludf.DUMMYFUNCTION("IF(E3592&lt;&gt;"""", GOOGLETRANSLATE(E3592, ""en"", ""te""),"""")"),"")</f>
        <v/>
      </c>
      <c r="G3592" s="2"/>
      <c r="H3592" s="2" t="str">
        <f>IFERROR(__xludf.DUMMYFUNCTION("IF(G3592&lt;&gt;"""", GOOGLETRANSLATE(G3592, ""en"", ""te""),"""")"),"")</f>
        <v/>
      </c>
      <c r="I3592" s="3"/>
    </row>
    <row r="3593" customHeight="1" spans="1:9">
      <c r="A3593" s="2" t="s">
        <v>2473</v>
      </c>
      <c r="B3593" s="2" t="str">
        <f>IFERROR(__xludf.DUMMYFUNCTION("IF(A3593&lt;&gt;"""", GOOGLETRANSLATE(A3593, ""en"", ""te""),"""")"),"[ 'హండ్రెడ్ మరియు ఒక మ్యాచ్లో ఒక డక్', '5 వ ఒక ఇన్నింగ్స్ లోని బెస్ట్ ఫిగర్స్ ఉన్నప్పుడు పరాజయం వైపు (8)', '10th ఒక సిరీస్లో అత్యధిక క్యాచ్లు (12)', 'బ్యాటింగ్ తెరవడం మరియు అదే మ్యాచ్ లో బౌలింగ్ ']")</f>
        <v>[ 'హండ్రెడ్ మరియు ఒక మ్యాచ్లో ఒక డక్', '5 వ ఒక ఇన్నింగ్స్ లోని బెస్ట్ ఫిగర్స్ ఉన్నప్పుడు పరాజయం వైపు (8)', '10th ఒక సిరీస్లో అత్యధిక క్యాచ్లు (12)', 'బ్యాటింగ్ తెరవడం మరియు అదే మ్యాచ్ లో బౌలింగ్ ']</v>
      </c>
      <c r="C3593" s="2" t="s">
        <v>2474</v>
      </c>
      <c r="D3593" s="2" t="str">
        <f>IFERROR(__xludf.DUMMYFUNCTION("IF(C3593&lt;&gt;"""", GOOGLETRANSLATE(C3593, ""en"", ""te""),"""")"),"[ 'ఒక ఇన్నింగ్స్ లో 5 వ ఉత్తమ సంఖ్యలు ఉన్నప్పుడు పరాజయం వైపు (8)', '10th ఒక సిరీస్లో అత్యధిక క్యాచ్లు (12)']")</f>
        <v>[ 'ఒక ఇన్నింగ్స్ లో 5 వ ఉత్తమ సంఖ్యలు ఉన్నప్పుడు పరాజయం వైపు (8)', '10th ఒక సిరీస్లో అత్యధిక క్యాచ్లు (12)']</v>
      </c>
      <c r="E3593" s="2"/>
      <c r="F3593" s="2" t="str">
        <f>IFERROR(__xludf.DUMMYFUNCTION("IF(E3593&lt;&gt;"""", GOOGLETRANSLATE(E3593, ""en"", ""te""),"""")"),"")</f>
        <v/>
      </c>
      <c r="G3593" s="2"/>
      <c r="H3593" s="2" t="str">
        <f>IFERROR(__xludf.DUMMYFUNCTION("IF(G3593&lt;&gt;"""", GOOGLETRANSLATE(G3593, ""en"", ""te""),"""")"),"")</f>
        <v/>
      </c>
      <c r="I3593" s="3"/>
    </row>
    <row r="3594" customHeight="1" spans="1:9">
      <c r="A3594" s="2"/>
      <c r="B3594" s="2" t="str">
        <f>IFERROR(__xludf.DUMMYFUNCTION("IF(A3594&lt;&gt;"""", GOOGLETRANSLATE(A3594, ""en"", ""te""),"""")"),"")</f>
        <v/>
      </c>
      <c r="C3594" s="2"/>
      <c r="D3594" s="2" t="str">
        <f>IFERROR(__xludf.DUMMYFUNCTION("IF(C3594&lt;&gt;"""", GOOGLETRANSLATE(C3594, ""en"", ""te""),"""")"),"")</f>
        <v/>
      </c>
      <c r="E3594" s="2"/>
      <c r="F3594" s="2" t="str">
        <f>IFERROR(__xludf.DUMMYFUNCTION("IF(E3594&lt;&gt;"""", GOOGLETRANSLATE(E3594, ""en"", ""te""),"""")"),"")</f>
        <v/>
      </c>
      <c r="G3594" s="2"/>
      <c r="H3594" s="2" t="str">
        <f>IFERROR(__xludf.DUMMYFUNCTION("IF(G3594&lt;&gt;"""", GOOGLETRANSLATE(G3594, ""en"", ""te""),"""")"),"")</f>
        <v/>
      </c>
      <c r="I3594" s="3"/>
    </row>
    <row r="3595" customHeight="1" spans="1:9">
      <c r="A3595" s="2" t="s">
        <v>2475</v>
      </c>
      <c r="B3595" s="2" t="str">
        <f>IFERROR(__xludf.DUMMYFUNCTION("IF(A3595&lt;&gt;"""", GOOGLETRANSLATE(A3595, ""en"", ""te""),"""")"),"[ '2 వ అత్యుత్తమ బౌలింగ్ ఇన్నింగ్స్ లో విశ్లేషించడం (8/11)', '8 వ ఉత్తమ కెరీర్ బౌలింగ్ సరాసరి (17.75)', '4 వ అత్యధిక వరుస పది వికెట్లు లో ఒక మ్యాచ్ (2)']")</f>
        <v>[ '2 వ అత్యుత్తమ బౌలింగ్ ఇన్నింగ్స్ లో విశ్లేషించడం (8/11)', '8 వ ఉత్తమ కెరీర్ బౌలింగ్ సరాసరి (17.75)', '4 వ అత్యధిక వరుస పది వికెట్లు లో ఒక మ్యాచ్ (2)']</v>
      </c>
      <c r="C3595" s="2" t="s">
        <v>2476</v>
      </c>
      <c r="D3595" s="2" t="str">
        <f>IFERROR(__xludf.DUMMYFUNCTION("IF(C3595&lt;&gt;"""", GOOGLETRANSLATE(C3595, ""en"", ""te""),"""")"),"[ '21 వ ఉత్తమ ఇన్నింగ్స్ లో సంఖ్యలు (8/11)', 'ఒక మ్యాచ్లో 6 వ ఉత్తమ బొమ్మలు (15)', '2 వ అత్యుత్తమ బౌలింగ్ ఇన్నింగ్స్ లో విశ్లేషించడం (8/11)', '8 వ ఉత్తమ కెరీర్ సగటు బౌలింగ్ (17.75 ) ',' 13 వ ఉత్తమ కెరీర్ సమ్మె రేటు (45.1) ',' ఇన్నింగ్స్ లో 20 వ ఉత్తమ సమ్మ"&amp;"ె రేటు (7.2) ',' ఇన్నింగ్స్ లో 21 వ చెత్త సమ్మె రేటు (378.0) ',' 19 వ అత్యంత పది వికెట్లు లో ఒక ఒక వృత్తిలో మ్యాచ్ (4) ',' 5 వ అత్యధిక వరుస ఐదు వికెట్ల లో-ఒక-ఇన్నింగ్స్ (4) ',' 4 వ అత్యధిక వరుస పది వికెట్లు లో ఒక మ్యాచ్ (2) ',' 44th పిన్న ఆటగాడు పది వికెట"&amp;"్లు లో ఒక మ్యాచ్ తీసుకోవాలని (23y 289d) ',' 50 వ అత్యధిక వికెట్లు తీసుకున్న బౌల్డ్ (52) ',' పదవ వికెట్కు 29 అత్యధిక భాగస్వామ్యం (98) ']")</f>
        <v>[ '21 వ ఉత్తమ ఇన్నింగ్స్ లో సంఖ్యలు (8/11)', 'ఒక మ్యాచ్లో 6 వ ఉత్తమ బొమ్మలు (15)', '2 వ అత్యుత్తమ బౌలింగ్ ఇన్నింగ్స్ లో విశ్లేషించడం (8/11)', '8 వ ఉత్తమ కెరీర్ సగటు బౌలింగ్ (17.75 ) ',' 13 వ ఉత్తమ కెరీర్ సమ్మె రేటు (45.1) ',' ఇన్నింగ్స్ లో 20 వ ఉత్తమ సమ్మె రేటు (7.2) ',' ఇన్నింగ్స్ లో 21 వ చెత్త సమ్మె రేటు (378.0) ',' 19 వ అత్యంత పది వికెట్లు లో ఒక ఒక వృత్తిలో మ్యాచ్ (4) ',' 5 వ అత్యధిక వరుస ఐదు వికెట్ల లో-ఒక-ఇన్నింగ్స్ (4) ',' 4 వ అత్యధిక వరుస పది వికెట్లు లో ఒక మ్యాచ్ (2) ',' 44th పిన్న ఆటగాడు పది వికెట్లు లో ఒక మ్యాచ్ తీసుకోవాలని (23y 289d) ',' 50 వ అత్యధిక వికెట్లు తీసుకున్న బౌల్డ్ (52) ',' పదవ వికెట్కు 29 అత్యధిక భాగస్వామ్యం (98) ']</v>
      </c>
      <c r="E3595" s="2"/>
      <c r="F3595" s="2" t="str">
        <f>IFERROR(__xludf.DUMMYFUNCTION("IF(E3595&lt;&gt;"""", GOOGLETRANSLATE(E3595, ""en"", ""te""),"""")"),"")</f>
        <v/>
      </c>
      <c r="G3595" s="2"/>
      <c r="H3595" s="2" t="str">
        <f>IFERROR(__xludf.DUMMYFUNCTION("IF(G3595&lt;&gt;"""", GOOGLETRANSLATE(G3595, ""en"", ""te""),"""")"),"")</f>
        <v/>
      </c>
      <c r="I3595" s="3"/>
    </row>
    <row r="3596" customHeight="1" spans="1:9">
      <c r="A3596" s="2" t="s">
        <v>2477</v>
      </c>
      <c r="B3596" s="2" t="str">
        <f>IFERROR(__xludf.DUMMYFUNCTION("IF(A3596&lt;&gt;"""", GOOGLETRANSLATE(A3596, ""en"", ""te""),"""")"),"[ 'హండ్రెడ్ మరియు ఒక మ్యాచ్లో ఒక డక్', '5000 పరుగులు మరియు 50 ఫీల్డింగ్ వికెట్లు', 'మూడో వికెట్కు 10 వ అత్యధిక భాగస్వామ్యం (350)', '5000 పరుగులు మరియు 50 ఫీల్డింగ్ వికెట్లు']")</f>
        <v>[ 'హండ్రెడ్ మరియు ఒక మ్యాచ్లో ఒక డక్', '5000 పరుగులు మరియు 50 ఫీల్డింగ్ వికెట్లు', 'మూడో వికెట్కు 10 వ అత్యధిక భాగస్వామ్యం (350)', '5000 పరుగులు మరియు 50 ఫీల్డింగ్ వికెట్లు']</v>
      </c>
      <c r="C3596" s="2" t="s">
        <v>2478</v>
      </c>
      <c r="D3596" s="2" t="str">
        <f>IFERROR(__xludf.DUMMYFUNCTION("IF(C3596&lt;&gt;"""", GOOGLETRANSLATE(C3596, ""en"", ""te""),"""")"),"[ '33 వ కెరీర్ లో అత్యధిక పరుగులు (7727)', '36 వ ఒకే మైదానంలో అత్యధిక పరుగులు (1264)', '32 వ ఒక వృత్తిలో అత్యధిక వందలు (22)', '19 ఒక క్యాలెండర్ సంవత్సరంలో అత్యధిక వందలు (5)', 'వరుస మ్యాచ్లలో 21 వందల (3)', '18 వ కెరీర్ అర్ధ (68)', 'వరుస ఇన్నింగ్స్లో 32 వ "&amp;"యాభైల్లో (5)', '30 వ అత్యంత ఫోర్లు కెరీర్లో (919)', '39 వ వేగవంతమైన 5000 పరుగులు (116) ',' 38 వ అత్యధిక క్యాచ్లు కెరీర్లో (100) ',' 45 వ అత్యధిక ఏ వికెట్కు పార్టనర్ షిప్ (350) ',' మూడో వికెట్కు 10 వ అత్యధిక భాగస్వామ్యం (350) ',' 30 వ అత్యధిక కెరీర్ లో మ"&amp;"్యాచ్లు (118) ']")</f>
        <v>[ '33 వ కెరీర్ లో అత్యధిక పరుగులు (7727)', '36 వ ఒకే మైదానంలో అత్యధిక పరుగులు (1264)', '32 వ ఒక వృత్తిలో అత్యధిక వందలు (22)', '19 ఒక క్యాలెండర్ సంవత్సరంలో అత్యధిక వందలు (5)', 'వరుస మ్యాచ్లలో 21 వందల (3)', '18 వ కెరీర్ అర్ధ (68)', 'వరుస ఇన్నింగ్స్లో 32 వ యాభైల్లో (5)', '30 వ అత్యంత ఫోర్లు కెరీర్లో (919)', '39 వ వేగవంతమైన 5000 పరుగులు (116) ',' 38 వ అత్యధిక క్యాచ్లు కెరీర్లో (100) ',' 45 వ అత్యధిక ఏ వికెట్కు పార్టనర్ షిప్ (350) ',' మూడో వికెట్కు 10 వ అత్యధిక భాగస్వామ్యం (350) ',' 30 వ అత్యధిక కెరీర్ లో మ్యాచ్లు (118) ']</v>
      </c>
      <c r="E3596" s="2" t="s">
        <v>2479</v>
      </c>
      <c r="F3596" s="2" t="str">
        <f>IFERROR(__xludf.DUMMYFUNCTION("IF(E3596&lt;&gt;"""", GOOGLETRANSLATE(E3596, ""en"", ""te""),"""")"),"[ '34 వ పరాజయం వైపు ఒక మ్యాచ్లో అత్యధిక పరుగులు (141)', '40 వ తొలి మ్యాచ్లో అత్యధిక పరుగులు (75)', '21 వ అత్యంత ఇన్నింగ్స్ తొలి డక్ ముందు (40) ',' ఒక డక్ లేకుండా 46 వ వరుస ఇన్నింగ్స్ ( 62) ',' 4000 పరుగులు (120) ',' 5000 పరుగులు (149) ',' 49 వ ఉత్తమ కెరీ"&amp;"ర్ సగటు (అర్హత లేకుండా) (14.66) ',' మోస్ట్ ప్లేయర్ ఆఫ్ ది 45 వ బౌలింగ్ చేయడానికి 41 వ వేగంగా వేగంగా 47 వ సిరీస్ అవార్డులు (3) ']")</f>
        <v>[ '34 వ పరాజయం వైపు ఒక మ్యాచ్లో అత్యధిక పరుగులు (141)', '40 వ తొలి మ్యాచ్లో అత్యధిక పరుగులు (75)', '21 వ అత్యంత ఇన్నింగ్స్ తొలి డక్ ముందు (40) ',' ఒక డక్ లేకుండా 46 వ వరుస ఇన్నింగ్స్ ( 62) ',' 4000 పరుగులు (120) ',' 5000 పరుగులు (149) ',' 49 వ ఉత్తమ కెరీర్ సగటు (అర్హత లేకుండా) (14.66) ',' మోస్ట్ ప్లేయర్ ఆఫ్ ది 45 వ బౌలింగ్ చేయడానికి 41 వ వేగంగా వేగంగా 47 వ సిరీస్ అవార్డులు (3) ']</v>
      </c>
      <c r="G3596" s="2"/>
      <c r="H3596" s="2" t="str">
        <f>IFERROR(__xludf.DUMMYFUNCTION("IF(G3596&lt;&gt;"""", GOOGLETRANSLATE(G3596, ""en"", ""te""),"""")"),"")</f>
        <v/>
      </c>
      <c r="I3596" s="3"/>
    </row>
    <row r="3597" customHeight="1" spans="1:9">
      <c r="A3597" s="2" t="s">
        <v>2480</v>
      </c>
      <c r="B3597" s="2" t="str">
        <f>IFERROR(__xludf.DUMMYFUNCTION("IF(A3597&lt;&gt;"""", GOOGLETRANSLATE(A3597, ""en"", ""te""),"""")"),"[ '9 వ 1000 వేగవంతమైన పరుగులు (17)']")</f>
        <v>[ '9 వ 1000 వేగవంతమైన పరుగులు (17)']</v>
      </c>
      <c r="C3597" s="2" t="s">
        <v>2480</v>
      </c>
      <c r="D3597" s="2" t="str">
        <f>IFERROR(__xludf.DUMMYFUNCTION("IF(C3597&lt;&gt;"""", GOOGLETRANSLATE(C3597, ""en"", ""te""),"""")"),"[ '9 వ 1000 వేగవంతమైన పరుగులు (17)']")</f>
        <v>[ '9 వ 1000 వేగవంతమైన పరుగులు (17)']</v>
      </c>
      <c r="E3597" s="2"/>
      <c r="F3597" s="2" t="str">
        <f>IFERROR(__xludf.DUMMYFUNCTION("IF(E3597&lt;&gt;"""", GOOGLETRANSLATE(E3597, ""en"", ""te""),"""")"),"")</f>
        <v/>
      </c>
      <c r="G3597" s="2"/>
      <c r="H3597" s="2" t="str">
        <f>IFERROR(__xludf.DUMMYFUNCTION("IF(G3597&lt;&gt;"""", GOOGLETRANSLATE(G3597, ""en"", ""te""),"""")"),"")</f>
        <v/>
      </c>
      <c r="I3597" s="3"/>
    </row>
    <row r="3598" customHeight="1" spans="1:9">
      <c r="A3598" s="2"/>
      <c r="B3598" s="2" t="str">
        <f>IFERROR(__xludf.DUMMYFUNCTION("IF(A3598&lt;&gt;"""", GOOGLETRANSLATE(A3598, ""en"", ""te""),"""")"),"")</f>
        <v/>
      </c>
      <c r="C3598" s="2"/>
      <c r="D3598" s="2" t="str">
        <f>IFERROR(__xludf.DUMMYFUNCTION("IF(C3598&lt;&gt;"""", GOOGLETRANSLATE(C3598, ""en"", ""te""),"""")"),"")</f>
        <v/>
      </c>
      <c r="E3598" s="2"/>
      <c r="F3598" s="2" t="str">
        <f>IFERROR(__xludf.DUMMYFUNCTION("IF(E3598&lt;&gt;"""", GOOGLETRANSLATE(E3598, ""en"", ""te""),"""")"),"")</f>
        <v/>
      </c>
      <c r="G3598" s="2"/>
      <c r="H3598" s="2" t="str">
        <f>IFERROR(__xludf.DUMMYFUNCTION("IF(G3598&lt;&gt;"""", GOOGLETRANSLATE(G3598, ""en"", ""te""),"""")"),"")</f>
        <v/>
      </c>
      <c r="I3598" s="3"/>
    </row>
    <row r="3599" customHeight="1" spans="1:9">
      <c r="A3599" s="2"/>
      <c r="B3599" s="2" t="str">
        <f>IFERROR(__xludf.DUMMYFUNCTION("IF(A3599&lt;&gt;"""", GOOGLETRANSLATE(A3599, ""en"", ""te""),"""")"),"")</f>
        <v/>
      </c>
      <c r="C3599" s="2"/>
      <c r="D3599" s="2" t="str">
        <f>IFERROR(__xludf.DUMMYFUNCTION("IF(C3599&lt;&gt;"""", GOOGLETRANSLATE(C3599, ""en"", ""te""),"""")"),"")</f>
        <v/>
      </c>
      <c r="E3599" s="2"/>
      <c r="F3599" s="2" t="str">
        <f>IFERROR(__xludf.DUMMYFUNCTION("IF(E3599&lt;&gt;"""", GOOGLETRANSLATE(E3599, ""en"", ""te""),"""")"),"")</f>
        <v/>
      </c>
      <c r="G3599" s="2"/>
      <c r="H3599" s="2" t="str">
        <f>IFERROR(__xludf.DUMMYFUNCTION("IF(G3599&lt;&gt;"""", GOOGLETRANSLATE(G3599, ""en"", ""te""),"""")"),"")</f>
        <v/>
      </c>
      <c r="I3599" s="3"/>
    </row>
    <row r="3600" customHeight="1" spans="1:9">
      <c r="A3600" s="2"/>
      <c r="B3600" s="2" t="str">
        <f>IFERROR(__xludf.DUMMYFUNCTION("IF(A3600&lt;&gt;"""", GOOGLETRANSLATE(A3600, ""en"", ""te""),"""")"),"")</f>
        <v/>
      </c>
      <c r="C3600" s="2"/>
      <c r="D3600" s="2" t="str">
        <f>IFERROR(__xludf.DUMMYFUNCTION("IF(C3600&lt;&gt;"""", GOOGLETRANSLATE(C3600, ""en"", ""te""),"""")"),"")</f>
        <v/>
      </c>
      <c r="E3600" s="2"/>
      <c r="F3600" s="2" t="str">
        <f>IFERROR(__xludf.DUMMYFUNCTION("IF(E3600&lt;&gt;"""", GOOGLETRANSLATE(E3600, ""en"", ""te""),"""")"),"")</f>
        <v/>
      </c>
      <c r="G3600" s="2" t="s">
        <v>2481</v>
      </c>
      <c r="H3600" s="2" t="str">
        <f>IFERROR(__xludf.DUMMYFUNCTION("IF(G3600&lt;&gt;"""", GOOGLETRANSLATE(G3600, ""en"", ""te""),"""")"),"[ '44 వ అంపాయర్ (18) గా అత్యధిక మ్యాచ్లు']")</f>
        <v>[ '44 వ అంపాయర్ (18) గా అత్యధిక మ్యాచ్లు']</v>
      </c>
      <c r="I3600" s="3"/>
    </row>
    <row r="3601" customHeight="1" spans="1:9">
      <c r="A3601" s="2" t="s">
        <v>2482</v>
      </c>
      <c r="B3601" s="2" t="str">
        <f>IFERROR(__xludf.DUMMYFUNCTION("IF(A3601&lt;&gt;"""", GOOGLETRANSLATE(A3601, ""en"", ""te""),"""")"),"[ 'ఇన్నింగ్స్ లో 3 వ అత్యధిక పరుగులు (బ్యాటింగ్ స్థానంలో ప్రకారం) (52)', 'ఒకే మైదానంలో 2 వ అత్యధిక వికెట్లు (16)', '10 వ ఉత్తమ కెరీర్ సమ్మె రేటు (54.5)', '8 వ పిన్న ఆటగాడు ఐదు- తీసుకోవాలని వికెట్ల లో-ఒక-ఇన్నింగ్స్ (20y 53d) ',' 1 వ అత్యధిక వికెట్లు తీసుక"&amp;"ున్న ఎల్బిడబ్ల్యు (17) ',' పదవ వికెట్కు 2 వ అత్యధిక భాగస్వామ్యం (85) ',' 7 వ ఇన్నింగ్స్ లో అత్యధిక పరుగులు (బ్యాటింగ్ స్థానంలో ప్రకారం) ( (153) ',' ఐదు వికెట్ల లో-ఒక-ఇన్నింగ్స్ తీసుకోవాలని 2nd అత్యంత వృద్ధ ఆటగాడు 72 *) ',' 3 వ అత్యధిక కెరీర్ లో వికెట్లు ("&amp;"33y 241d) ',' కెరీర్ (6077) లో బౌల్డ్ 2nd అత్యంత బంతుల్లో ',' కెరీర్లో 7 వ అత్యంత సాధించిన పరుగులు (3540) ',' 4 వ అత్యధిక వికెట్లు తీసుకున్న ఎల్బిడబ్ల్యు (36) ',' 250 పరుగులు మరియు ఒక సిరీస్ ',' ఏడవ వికెట్కు 7 వ అత్యధిక భాగస్వామ్యం (85) ',' 10 వ అత్యధిక వ"&amp;"ికెట్లు లో 10 వికెట్లు కెరీర్లో (93) ',' 6 వ అత్యంత బంతుల్లో కెరీర్ (1931) లో బౌల్డ్ ',' కెరీర్ (15) ',' కెరీర్ లో 7 వ అత్యంత సాధించిన పరుగులు (1758) ',' 2 వ బౌలర్ / బ్యాట్స్ కాంబినేషన్ లో 2 వ పెద్ద పనికత్తెలయొద్ద (8 ) ',' తొమ్మిదవ వికెట్కు 9 వ అత్యధిక భా"&amp;"గస్వామ్యం (28) ']")</f>
        <v>[ 'ఇన్నింగ్స్ లో 3 వ అత్యధిక పరుగులు (బ్యాటింగ్ స్థానంలో ప్రకారం) (52)', 'ఒకే మైదానంలో 2 వ అత్యధిక వికెట్లు (16)', '10 వ ఉత్తమ కెరీర్ సమ్మె రేటు (54.5)', '8 వ పిన్న ఆటగాడు ఐదు- తీసుకోవాలని వికెట్ల లో-ఒక-ఇన్నింగ్స్ (20y 53d) ',' 1 వ అత్యధిక వికెట్లు తీసుకున్న ఎల్బిడబ్ల్యు (17) ',' పదవ వికెట్కు 2 వ అత్యధిక భాగస్వామ్యం (85) ',' 7 వ ఇన్నింగ్స్ లో అత్యధిక పరుగులు (బ్యాటింగ్ స్థానంలో ప్రకారం) ( (153) ',' ఐదు వికెట్ల లో-ఒక-ఇన్నింగ్స్ తీసుకోవాలని 2nd అత్యంత వృద్ధ ఆటగాడు 72 *) ',' 3 వ అత్యధిక కెరీర్ లో వికెట్లు (33y 241d) ',' కెరీర్ (6077) లో బౌల్డ్ 2nd అత్యంత బంతుల్లో ',' కెరీర్లో 7 వ అత్యంత సాధించిన పరుగులు (3540) ',' 4 వ అత్యధిక వికెట్లు తీసుకున్న ఎల్బిడబ్ల్యు (36) ',' 250 పరుగులు మరియు ఒక సిరీస్ ',' ఏడవ వికెట్కు 7 వ అత్యధిక భాగస్వామ్యం (85) ',' 10 వ అత్యధిక వికెట్లు లో 10 వికెట్లు కెరీర్లో (93) ',' 6 వ అత్యంత బంతుల్లో కెరీర్ (1931) లో బౌల్డ్ ',' కెరీర్ (15) ',' కెరీర్ లో 7 వ అత్యంత సాధించిన పరుగులు (1758) ',' 2 వ బౌలర్ / బ్యాట్స్ కాంబినేషన్ లో 2 వ పెద్ద పనికత్తెలయొద్ద (8 ) ',' తొమ్మిదవ వికెట్కు 9 వ అత్యధిక భాగస్వామ్యం (28) ']</v>
      </c>
      <c r="C3601" s="2" t="s">
        <v>2483</v>
      </c>
      <c r="D3601" s="2" t="str">
        <f>IFERROR(__xludf.DUMMYFUNCTION("IF(C3601&lt;&gt;"""", GOOGLETRANSLATE(C3601, ""en"", ""te""),"""")"),"[ '3 వ అత్యంత ఇన్నింగ్స్ లో నడుస్తుంది (బ్యాటింగ్ స్థానం) (52)' ఒక మ్యాచ్లో 'ఇన్నింగ్స్ లో 26 వ బెస్ట్ ఫిగర్స్ (6/69)' '11 వ కెరీర్ లో అత్యధిక వికెట్లు (41)', '11 వ బెస్ట్ ఫిగర్స్ (9) ',' 26 ఒక క్యాలెండర్ సంవత్సరంలో అత్యధిక వికెట్లు (15) ',' ఒకే మైదానంలో"&amp;" 2 వ అత్యధిక వికెట్లు (16) ',' 36 వ ఉత్తమ కెరీర్ బౌలింగ్ సరాసరి (22.51) ',' 10 వ ఉత్తమ కెరీర్ సమ్మె రేటు (54.5 ) ',' ఇన్నింగ్స్ లో 20 వ ఉత్తమ సమ్మె రేటు (16.2) ',' 11 వ అత్యంత ఐదు-వికెట్ల లో-ఒక-ఇన్నింగ్స్ కెరీర్లో (2) ',' అయిదు వికెట్లు ఇన్ an- తీసుకోవాలన"&amp;"ి 8 వ పిన్న ఆటగాడు ఇన్నింగ్స్ (20y 53d) ',' 20 వ అత్యంత బంతుల్లో కెరీర్లో బౌల్డ్ (2238) ',' 12 వ కెరీర్ లో సాధించిన అత్యధిక పరుగులు (923) ',' 20 వ అత్యంత ఒక మ్యాచ్ (133) ',' 12 వ బౌలర్ / బ్యాట్స్ కాంబినేషన్ లో ఇవ్వబడిన పరుగులలో (4) ',' 16 వ అత్యధిక వికెట్"&amp;"లు తీసుకున్న ఆకర్షించింది (17) ',' 4 వ అత్యంత ఆకర్షించింది తీసుకోబడిన వికెట్ల అత్యధిక వికెట్లు (9) ',' 1 వ అత్యధిక వికెట్లు తీసుకున్న ఎల్బిడబ్ల్యు (17) ',' పదవ వికెట్కు 2 వ అత్యధిక భాగస్వామ్యం ( 85) ',' 13 వ లాంగెస్ట్ కెరీర్లు (14y 334d) ']")</f>
        <v>[ '3 వ అత్యంత ఇన్నింగ్స్ లో నడుస్తుంది (బ్యాటింగ్ స్థానం) (52)' ఒక మ్యాచ్లో 'ఇన్నింగ్స్ లో 26 వ బెస్ట్ ఫిగర్స్ (6/69)' '11 వ కెరీర్ లో అత్యధిక వికెట్లు (41)', '11 వ బెస్ట్ ఫిగర్స్ (9) ',' 26 ఒక క్యాలెండర్ సంవత్సరంలో అత్యధిక వికెట్లు (15) ',' ఒకే మైదానంలో 2 వ అత్యధిక వికెట్లు (16) ',' 36 వ ఉత్తమ కెరీర్ బౌలింగ్ సరాసరి (22.51) ',' 10 వ ఉత్తమ కెరీర్ సమ్మె రేటు (54.5 ) ',' ఇన్నింగ్స్ లో 20 వ ఉత్తమ సమ్మె రేటు (16.2) ',' 11 వ అత్యంత ఐదు-వికెట్ల లో-ఒక-ఇన్నింగ్స్ కెరీర్లో (2) ',' అయిదు వికెట్లు ఇన్ an- తీసుకోవాలని 8 వ పిన్న ఆటగాడు ఇన్నింగ్స్ (20y 53d) ',' 20 వ అత్యంత బంతుల్లో కెరీర్లో బౌల్డ్ (2238) ',' 12 వ కెరీర్ లో సాధించిన అత్యధిక పరుగులు (923) ',' 20 వ అత్యంత ఒక మ్యాచ్ (133) ',' 12 వ బౌలర్ / బ్యాట్స్ కాంబినేషన్ లో ఇవ్వబడిన పరుగులలో (4) ',' 16 వ అత్యధిక వికెట్లు తీసుకున్న ఆకర్షించింది (17) ',' 4 వ అత్యంత ఆకర్షించింది తీసుకోబడిన వికెట్ల అత్యధిక వికెట్లు (9) ',' 1 వ అత్యధిక వికెట్లు తీసుకున్న ఎల్బిడబ్ల్యు (17) ',' పదవ వికెట్కు 2 వ అత్యధిక భాగస్వామ్యం ( 85) ',' 13 వ లాంగెస్ట్ కెరీర్లు (14y 334d) ']</v>
      </c>
      <c r="E3601" s="2" t="s">
        <v>2484</v>
      </c>
      <c r="F3601" s="2" t="str">
        <f>IFERROR(__xludf.DUMMYFUNCTION("IF(E3601&lt;&gt;"""", GOOGLETRANSLATE(E3601, ""en"", ""te""),"""")"),"[ 'ఇన్నింగ్స్ లో 7 వ అత్యధిక పరుగులు (72 *) (బ్యాటింగ్ స్థానం)' 'వంద (844) లేకుండా ఒక వృత్తిలో 50 వ అత్యధిక పరుగులు', 'ఒక డక్ లేకుండా 12 వ వరుస ఇన్నింగ్స్ (46)', '3 వ అత్యంత కెరీర్లో వికెట్లు (153) ',' 44 వ ఉత్తమ శ్రేణిలో ఒక ఇన్నింగ్స్ లో సంఖ్యలు (5/18) '"&amp;",' 17 వ అత్యధిక వికెట్లు (23) ',' 46 వ ఒక క్యాలెండర్ సంవత్సరంలో అత్యధిక వికెట్లు (21) ',' 6 వ అత్యంత ఒకే మైదానంలో వికెట్లు (20) ',' 11 వ ఒక ఇన్నింగ్స్ లోని బెస్ట్ ఫిగర్స్ ఉన్నప్పుడు పరాజయం వైపు (4) ',' 2 వ అత్యంత ఐదు-వికెట్ల లో-ఒక-ఇన్నింగ్స్ కెరీర్లో (5"&amp;") ',' 8 వ అత్యంత నాలుగు వికెట్లు-ఇన్-ఒక-ఇన్నింగ్స్ కెరీర్లో (7) ',' ఐదు వికెట్ల లో-ఒక-ఇన్నింగ్స్ (23y 37d) ఐదు వికెట్ల తేడాతో in- తీసుకోవాలని తీసుకోవాలని 29 పిన్న ఆటగాడు ',' 2 వ అత్యంత వృద్ధ ఆటగాడు ఒక-ఇన్నింగ్స్ (33y 241d) ',' కెరీర్ (6077) లో బౌల్డ్ 2nd "&amp;"అత్యంత బంతుల్లో ',' 7 వ అత్యధిక కెరీర్ లో సాధించిన పరుగులు (3540) ',' 13 వ బౌలర్ / ఫీల్డర్ కలయికలు (16) ',' 5 వ అత్యధిక వికెట్లు బౌల్డ్ తీసుకున్న (41) ',' 7 వ అత్యధిక వికెట్లు తీసుకున్న ఆకర్షించింది (72) ',' 16 వ అత్యధిక వికెట్లు ఒక ఫీల్డర్ చేత క్యాచ్ తీస"&amp;"ుకున్న (49) ',' 5 వ అత్యధిక వికెట్లు ఒక వికెట్ కీపర్ చే కాట్ తీసుకోకూడదు (23) ',' 4 వ అత్యంత వికెట్లు తీసుకున్న ఎల్బిడబ్ల్యు (36) ',' 20 వ అత్యధిక క్యాచ్లు కెరీర్లో (37) ',' 12 వ ఒక సిరీస్లో అత్యధిక క్యాచ్లు (10) ',' ఏడవ వికెట్కు 7 వ అత్యధిక భాగస్వామ్యం ("&amp;"85) ',' 9 వ అత్యధిక కొరకు చేసిన భాగస్వామ్యం తొమ్మిదవ వికెట్ (51) పదవ వికెట్ను (41 *) కోసం ',' 10 వ అత్యధిక భాగస్వామ్యం ',' 15 వ కెరీర్ లో అత్యధిక మ్యాచ్లు (125) ',' 20 వ లాంగెస్ట్ కెరీర్లు (15y 350D) ']")</f>
        <v>[ 'ఇన్నింగ్స్ లో 7 వ అత్యధిక పరుగులు (72 *) (బ్యాటింగ్ స్థానం)' 'వంద (844) లేకుండా ఒక వృత్తిలో 50 వ అత్యధిక పరుగులు', 'ఒక డక్ లేకుండా 12 వ వరుస ఇన్నింగ్స్ (46)', '3 వ అత్యంత కెరీర్లో వికెట్లు (153) ',' 44 వ ఉత్తమ శ్రేణిలో ఒక ఇన్నింగ్స్ లో సంఖ్యలు (5/18) ',' 17 వ అత్యధిక వికెట్లు (23) ',' 46 వ ఒక క్యాలెండర్ సంవత్సరంలో అత్యధిక వికెట్లు (21) ',' 6 వ అత్యంత ఒకే మైదానంలో వికెట్లు (20) ',' 11 వ ఒక ఇన్నింగ్స్ లోని బెస్ట్ ఫిగర్స్ ఉన్నప్పుడు పరాజయం వైపు (4) ',' 2 వ అత్యంత ఐదు-వికెట్ల లో-ఒక-ఇన్నింగ్స్ కెరీర్లో (5) ',' 8 వ అత్యంత నాలుగు వికెట్లు-ఇన్-ఒక-ఇన్నింగ్స్ కెరీర్లో (7) ',' ఐదు వికెట్ల లో-ఒక-ఇన్నింగ్స్ (23y 37d) ఐదు వికెట్ల తేడాతో in- తీసుకోవాలని తీసుకోవాలని 29 పిన్న ఆటగాడు ',' 2 వ అత్యంత వృద్ధ ఆటగాడు ఒక-ఇన్నింగ్స్ (33y 241d) ',' కెరీర్ (6077) లో బౌల్డ్ 2nd అత్యంత బంతుల్లో ',' 7 వ అత్యధిక కెరీర్ లో సాధించిన పరుగులు (3540) ',' 13 వ బౌలర్ / ఫీల్డర్ కలయికలు (16) ',' 5 వ అత్యధిక వికెట్లు బౌల్డ్ తీసుకున్న (41) ',' 7 వ అత్యధిక వికెట్లు తీసుకున్న ఆకర్షించింది (72) ',' 16 వ అత్యధిక వికెట్లు ఒక ఫీల్డర్ చేత క్యాచ్ తీసుకున్న (49) ',' 5 వ అత్యధిక వికెట్లు ఒక వికెట్ కీపర్ చే కాట్ తీసుకోకూడదు (23) ',' 4 వ అత్యంత వికెట్లు తీసుకున్న ఎల్బిడబ్ల్యు (36) ',' 20 వ అత్యధిక క్యాచ్లు కెరీర్లో (37) ',' 12 వ ఒక సిరీస్లో అత్యధిక క్యాచ్లు (10) ',' ఏడవ వికెట్కు 7 వ అత్యధిక భాగస్వామ్యం (85) ',' 9 వ అత్యధిక కొరకు చేసిన భాగస్వామ్యం తొమ్మిదవ వికెట్ (51) పదవ వికెట్ను (41 *) కోసం ',' 10 వ అత్యధిక భాగస్వామ్యం ',' 15 వ కెరీర్ లో అత్యధిక మ్యాచ్లు (125) ',' 20 వ లాంగెస్ట్ కెరీర్లు (15y 350D) ']</v>
      </c>
      <c r="G3601" s="2" t="s">
        <v>2485</v>
      </c>
      <c r="H3601" s="2" t="str">
        <f>IFERROR(__xludf.DUMMYFUNCTION("IF(G3601&lt;&gt;"""", GOOGLETRANSLATE(G3601, ""en"", ""te""),"""")"),"[ '25 వ ఇన్నింగ్స్ లో అత్యధిక పరుగులు (బ్యాటింగ్ స్థానంలో ప్రకారం) (15 *)', '10 వ కెరీర్ లో అత్యధిక వికెట్లు (93)', '27 వ అత్యుత్తమ బౌలింగ్ ఇన్నింగ్స్ లో విశ్లేషించడం (1/2)', '35 వ ఉత్తమ కెరీర్ బౌలింగ్ సగటు (18.90) ',' 27 వ ఉత్తమ కెరీర్ ఆర్థిక రేటు (5.46)"&amp;" ',' 43 వ ఉత్తమ కెరీర్ సమ్మె రేటు (20.7) ',' 12 వ అరంగేట్రంలోనే ఇన్నింగ్స్ లోని బెస్ట్ ఫిగర్స్ (3) ',' 6 వ కెరీర్ లో బౌల్డ్ చాలా బంతుల్లో ( కెరీర్లో సాధించిన 1931) ',' 7 వ అత్యధిక పరుగులు (1758) ',' 29 వ అత్యధిక పరుగులు ఇన్నింగ్స్ లో సాధించిన (47) ',' 2 వ"&amp;" బౌలర్ / బ్యాట్స్ కలయికలు (8) ',' 16 వ బౌలర్ / ఫీల్డర్ కలయికలు (10) ' '11 వ అత్యధిక వికెట్లు తీసుకున్న బౌల్డ్ (21)', '8 వ అత్యధిక వికెట్లు ఆకర్షించింది తీసుకున్న (54)', '12 వ అత్యధిక వికెట్లు ఆకర్షించింది తీసుకున్న మరియు బౌల్డ్ (4)', '11 వ అత్యధిక వికెట్ల"&amp;"ు చిక్కుకున్న ఫీల్డర్ తీసుకున్న (40)', '3 వ అత్యధిక వికెట్లు వికెట్లు తీసుకున్న ఆకర్షించింది (14)', '3 వ అత్యంత తీసుకోబడిన వికెట్ల ఎల్బిడబ్ల్యు (14)' 'కెరీర్ లో 26 వ అత్యధిక క్యాచ్లు (25)', 'ఏడవ వికెట్కు 12 వ అత్యధిక భాగస్వామ్యం (46)', ' తొమ్మిదవ వికెట్కు"&amp;" 9 వ అత్యధిక భాగస్వామ్యం (28) ',' పదవ వికెట్కు 32 వ అత్యధిక భాగస్వామ్యం (11) ',' కెరీర్ లో 26 వ అత్యధిక మ్యాచ్లు (89) ',' కెరీర్ లో 2 వ పెద్ద పనికత్తెలయొద్ద (15) ',' 12 వ ఇన్నింగ్స్ లో వచ్చిన ఎక్కువ పనికత్తెలయొద్ద (2) ']")</f>
        <v>[ '25 వ ఇన్నింగ్స్ లో అత్యధిక పరుగులు (బ్యాటింగ్ స్థానంలో ప్రకారం) (15 *)', '10 వ కెరీర్ లో అత్యధిక వికెట్లు (93)', '27 వ అత్యుత్తమ బౌలింగ్ ఇన్నింగ్స్ లో విశ్లేషించడం (1/2)', '35 వ ఉత్తమ కెరీర్ బౌలింగ్ సగటు (18.90) ',' 27 వ ఉత్తమ కెరీర్ ఆర్థిక రేటు (5.46) ',' 43 వ ఉత్తమ కెరీర్ సమ్మె రేటు (20.7) ',' 12 వ అరంగేట్రంలోనే ఇన్నింగ్స్ లోని బెస్ట్ ఫిగర్స్ (3) ',' 6 వ కెరీర్ లో బౌల్డ్ చాలా బంతుల్లో ( కెరీర్లో సాధించిన 1931) ',' 7 వ అత్యధిక పరుగులు (1758) ',' 29 వ అత్యధిక పరుగులు ఇన్నింగ్స్ లో సాధించిన (47) ',' 2 వ బౌలర్ / బ్యాట్స్ కలయికలు (8) ',' 16 వ బౌలర్ / ఫీల్డర్ కలయికలు (10) ' '11 వ అత్యధిక వికెట్లు తీసుకున్న బౌల్డ్ (21)', '8 వ అత్యధిక వికెట్లు ఆకర్షించింది తీసుకున్న (54)', '12 వ అత్యధిక వికెట్లు ఆకర్షించింది తీసుకున్న మరియు బౌల్డ్ (4)', '11 వ అత్యధిక వికెట్లు చిక్కుకున్న ఫీల్డర్ తీసుకున్న (40)', '3 వ అత్యధిక వికెట్లు వికెట్లు తీసుకున్న ఆకర్షించింది (14)', '3 వ అత్యంత తీసుకోబడిన వికెట్ల ఎల్బిడబ్ల్యు (14)' 'కెరీర్ లో 26 వ అత్యధిక క్యాచ్లు (25)', 'ఏడవ వికెట్కు 12 వ అత్యధిక భాగస్వామ్యం (46)', ' తొమ్మిదవ వికెట్కు 9 వ అత్యధిక భాగస్వామ్యం (28) ',' పదవ వికెట్కు 32 వ అత్యధిక భాగస్వామ్యం (11) ',' కెరీర్ లో 26 వ అత్యధిక మ్యాచ్లు (89) ',' కెరీర్ లో 2 వ పెద్ద పనికత్తెలయొద్ద (15) ',' 12 వ ఇన్నింగ్స్ లో వచ్చిన ఎక్కువ పనికత్తెలయొద్ద (2) ']</v>
      </c>
      <c r="I3601" s="3"/>
    </row>
    <row r="3602" customHeight="1" spans="1:9">
      <c r="A3602" s="2"/>
      <c r="B3602" s="2" t="str">
        <f>IFERROR(__xludf.DUMMYFUNCTION("IF(A3602&lt;&gt;"""", GOOGLETRANSLATE(A3602, ""en"", ""te""),"""")"),"")</f>
        <v/>
      </c>
      <c r="C3602" s="2"/>
      <c r="D3602" s="2" t="str">
        <f>IFERROR(__xludf.DUMMYFUNCTION("IF(C3602&lt;&gt;"""", GOOGLETRANSLATE(C3602, ""en"", ""te""),"""")"),"")</f>
        <v/>
      </c>
      <c r="E3602" s="2"/>
      <c r="F3602" s="2" t="str">
        <f>IFERROR(__xludf.DUMMYFUNCTION("IF(E3602&lt;&gt;"""", GOOGLETRANSLATE(E3602, ""en"", ""te""),"""")"),"")</f>
        <v/>
      </c>
      <c r="G3602" s="2"/>
      <c r="H3602" s="2" t="str">
        <f>IFERROR(__xludf.DUMMYFUNCTION("IF(G3602&lt;&gt;"""", GOOGLETRANSLATE(G3602, ""en"", ""te""),"""")"),"")</f>
        <v/>
      </c>
      <c r="I3602" s="3"/>
    </row>
    <row r="3603" customHeight="1" spans="1:9">
      <c r="A3603" s="2"/>
      <c r="B3603" s="2" t="str">
        <f>IFERROR(__xludf.DUMMYFUNCTION("IF(A3603&lt;&gt;"""", GOOGLETRANSLATE(A3603, ""en"", ""te""),"""")"),"")</f>
        <v/>
      </c>
      <c r="C3603" s="2"/>
      <c r="D3603" s="2" t="str">
        <f>IFERROR(__xludf.DUMMYFUNCTION("IF(C3603&lt;&gt;"""", GOOGLETRANSLATE(C3603, ""en"", ""te""),"""")"),"")</f>
        <v/>
      </c>
      <c r="E3603" s="2"/>
      <c r="F3603" s="2" t="str">
        <f>IFERROR(__xludf.DUMMYFUNCTION("IF(E3603&lt;&gt;"""", GOOGLETRANSLATE(E3603, ""en"", ""te""),"""")"),"")</f>
        <v/>
      </c>
      <c r="G3603" s="2"/>
      <c r="H3603" s="2" t="str">
        <f>IFERROR(__xludf.DUMMYFUNCTION("IF(G3603&lt;&gt;"""", GOOGLETRANSLATE(G3603, ""en"", ""te""),"""")"),"")</f>
        <v/>
      </c>
      <c r="I3603" s="3"/>
    </row>
    <row r="3604" customHeight="1" spans="1:9">
      <c r="A3604" s="2"/>
      <c r="B3604" s="2" t="str">
        <f>IFERROR(__xludf.DUMMYFUNCTION("IF(A3604&lt;&gt;"""", GOOGLETRANSLATE(A3604, ""en"", ""te""),"""")"),"")</f>
        <v/>
      </c>
      <c r="C3604" s="2"/>
      <c r="D3604" s="2" t="str">
        <f>IFERROR(__xludf.DUMMYFUNCTION("IF(C3604&lt;&gt;"""", GOOGLETRANSLATE(C3604, ""en"", ""te""),"""")"),"")</f>
        <v/>
      </c>
      <c r="E3604" s="2"/>
      <c r="F3604" s="2" t="str">
        <f>IFERROR(__xludf.DUMMYFUNCTION("IF(E3604&lt;&gt;"""", GOOGLETRANSLATE(E3604, ""en"", ""te""),"""")"),"")</f>
        <v/>
      </c>
      <c r="G3604" s="2"/>
      <c r="H3604" s="2" t="str">
        <f>IFERROR(__xludf.DUMMYFUNCTION("IF(G3604&lt;&gt;"""", GOOGLETRANSLATE(G3604, ""en"", ""te""),"""")"),"")</f>
        <v/>
      </c>
      <c r="I3604" s="3"/>
    </row>
    <row r="3605" customHeight="1" spans="1:9">
      <c r="A3605" s="2"/>
      <c r="B3605" s="2" t="str">
        <f>IFERROR(__xludf.DUMMYFUNCTION("IF(A3605&lt;&gt;"""", GOOGLETRANSLATE(A3605, ""en"", ""te""),"""")"),"")</f>
        <v/>
      </c>
      <c r="C3605" s="2"/>
      <c r="D3605" s="2" t="str">
        <f>IFERROR(__xludf.DUMMYFUNCTION("IF(C3605&lt;&gt;"""", GOOGLETRANSLATE(C3605, ""en"", ""te""),"""")"),"")</f>
        <v/>
      </c>
      <c r="E3605" s="2"/>
      <c r="F3605" s="2" t="str">
        <f>IFERROR(__xludf.DUMMYFUNCTION("IF(E3605&lt;&gt;"""", GOOGLETRANSLATE(E3605, ""en"", ""te""),"""")"),"")</f>
        <v/>
      </c>
      <c r="G3605" s="2"/>
      <c r="H3605" s="2" t="str">
        <f>IFERROR(__xludf.DUMMYFUNCTION("IF(G3605&lt;&gt;"""", GOOGLETRANSLATE(G3605, ""en"", ""te""),"""")"),"")</f>
        <v/>
      </c>
      <c r="I3605" s="3"/>
    </row>
    <row r="3606" customHeight="1" spans="1:9">
      <c r="A3606" s="2" t="s">
        <v>2486</v>
      </c>
      <c r="B3606" s="2" t="str">
        <f>IFERROR(__xludf.DUMMYFUNCTION("IF(A3606&lt;&gt;"""", GOOGLETRANSLATE(A3606, ""en"", ""te""),"""")"),"[ '4 వ ఉత్తమ కెరీర్ సమ్మె రేటు (29.1)', '3 వ వరుస నాలుగు వికెట్లు-ఇన్-ఒక-ఇన్నింగ్స్ (2)', 'ఒక ఇన్నింగ్స్ లో 5 వ బెస్ట్ ఫిగర్స్ కూడా ఓడిపోయింది వైపు (4)', '4 వ ఉత్తమ అరంగేట్రంలోనే ఇన్నింగ్స్లో గణాంకాలు (4) ']")</f>
        <v>[ '4 వ ఉత్తమ కెరీర్ సమ్మె రేటు (29.1)', '3 వ వరుస నాలుగు వికెట్లు-ఇన్-ఒక-ఇన్నింగ్స్ (2)', 'ఒక ఇన్నింగ్స్ లో 5 వ బెస్ట్ ఫిగర్స్ కూడా ఓడిపోయింది వైపు (4)', '4 వ ఉత్తమ అరంగేట్రంలోనే ఇన్నింగ్స్లో గణాంకాలు (4) ']</v>
      </c>
      <c r="C3606" s="2" t="s">
        <v>2487</v>
      </c>
      <c r="D3606" s="2" t="str">
        <f>IFERROR(__xludf.DUMMYFUNCTION("IF(C3606&lt;&gt;"""", GOOGLETRANSLATE(C3606, ""en"", ""te""),"""")"),"[ 'ఎనిమిదవ వికెట్కు 19 అత్యధిక భాగస్వామ్యం (55)']")</f>
        <v>[ 'ఎనిమిదవ వికెట్కు 19 అత్యధిక భాగస్వామ్యం (55)']</v>
      </c>
      <c r="E3606" s="2" t="s">
        <v>2488</v>
      </c>
      <c r="F3606" s="2" t="str">
        <f>IFERROR(__xludf.DUMMYFUNCTION("IF(E3606&lt;&gt;"""", GOOGLETRANSLATE(E3606, ""en"", ""te""),"""")"),"[ '15 వ అత్యంత నాలుగు వికెట్లు-ఇన్-ఒక ఇన్నింగ్స్లో' (3) అరంగేట్రంలోనే ఇన్నింగ్స్లో 15 బెస్ట్ ఫిగర్స్ '' 24 వ ఉత్తమ కెరీర్ బౌలింగ్ సరాసరి (18.04) ',' 4 వ ఉత్తమ కెరీర్ సమ్మె రేటు (29.1) ', ఒక కెరీర్ (5) ',' 3 వ వరుస నాలుగు వికెట్లు-ఇన్-ఒక-ఇన్నింగ్స్ (2) ','"&amp;" ఐదు వికెట్ల లో-ఒక-ఇన్నింగ్స్ తీసుకోవాలని 14 వ పిన్న వయస్కుడిగా నిలిచాడు (20y 86d) ']")</f>
        <v>[ '15 వ అత్యంత నాలుగు వికెట్లు-ఇన్-ఒక ఇన్నింగ్స్లో' (3) అరంగేట్రంలోనే ఇన్నింగ్స్లో 15 బెస్ట్ ఫిగర్స్ '' 24 వ ఉత్తమ కెరీర్ బౌలింగ్ సరాసరి (18.04) ',' 4 వ ఉత్తమ కెరీర్ సమ్మె రేటు (29.1) ', ఒక కెరీర్ (5) ',' 3 వ వరుస నాలుగు వికెట్లు-ఇన్-ఒక-ఇన్నింగ్స్ (2) ',' ఐదు వికెట్ల లో-ఒక-ఇన్నింగ్స్ తీసుకోవాలని 14 వ పిన్న వయస్కుడిగా నిలిచాడు (20y 86d) ']</v>
      </c>
      <c r="G3606" s="2" t="s">
        <v>2489</v>
      </c>
      <c r="H3606" s="2" t="str">
        <f>IFERROR(__xludf.DUMMYFUNCTION("IF(G3606&lt;&gt;"""", GOOGLETRANSLATE(G3606, ""en"", ""te""),"""")"),"[ 'ఒక ఇన్నింగ్స్ లో 5 వ ఉత్తమ సంఖ్యలు ఉన్నప్పుడు పరాజయం వైపు (4)', '50 వ ఉత్తమ కెరీర్ సగటు (అర్హత లేకుండా) బౌలింగ్ (7.80)', '4 వ ఉత్తమ తొలి ఇన్నింగ్స్లో గణాంకాలు (4)']")</f>
        <v>[ 'ఒక ఇన్నింగ్స్ లో 5 వ ఉత్తమ సంఖ్యలు ఉన్నప్పుడు పరాజయం వైపు (4)', '50 వ ఉత్తమ కెరీర్ సగటు (అర్హత లేకుండా) బౌలింగ్ (7.80)', '4 వ ఉత్తమ తొలి ఇన్నింగ్స్లో గణాంకాలు (4)']</v>
      </c>
      <c r="I3606" s="3"/>
    </row>
    <row r="3607" customHeight="1" spans="1:9">
      <c r="A3607" s="2"/>
      <c r="B3607" s="2" t="str">
        <f>IFERROR(__xludf.DUMMYFUNCTION("IF(A3607&lt;&gt;"""", GOOGLETRANSLATE(A3607, ""en"", ""te""),"""")"),"")</f>
        <v/>
      </c>
      <c r="C3607" s="2"/>
      <c r="D3607" s="2" t="str">
        <f>IFERROR(__xludf.DUMMYFUNCTION("IF(C3607&lt;&gt;"""", GOOGLETRANSLATE(C3607, ""en"", ""te""),"""")"),"")</f>
        <v/>
      </c>
      <c r="E3607" s="2"/>
      <c r="F3607" s="2" t="str">
        <f>IFERROR(__xludf.DUMMYFUNCTION("IF(E3607&lt;&gt;"""", GOOGLETRANSLATE(E3607, ""en"", ""te""),"""")"),"")</f>
        <v/>
      </c>
      <c r="G3607" s="2"/>
      <c r="H3607" s="2" t="str">
        <f>IFERROR(__xludf.DUMMYFUNCTION("IF(G3607&lt;&gt;"""", GOOGLETRANSLATE(G3607, ""en"", ""te""),"""")"),"")</f>
        <v/>
      </c>
      <c r="I3607" s="3"/>
    </row>
    <row r="3608" customHeight="1" spans="1:9">
      <c r="A3608" s="2"/>
      <c r="B3608" s="2" t="str">
        <f>IFERROR(__xludf.DUMMYFUNCTION("IF(A3608&lt;&gt;"""", GOOGLETRANSLATE(A3608, ""en"", ""te""),"""")"),"")</f>
        <v/>
      </c>
      <c r="C3608" s="2"/>
      <c r="D3608" s="2" t="str">
        <f>IFERROR(__xludf.DUMMYFUNCTION("IF(C3608&lt;&gt;"""", GOOGLETRANSLATE(C3608, ""en"", ""te""),"""")"),"")</f>
        <v/>
      </c>
      <c r="E3608" s="2"/>
      <c r="F3608" s="2" t="str">
        <f>IFERROR(__xludf.DUMMYFUNCTION("IF(E3608&lt;&gt;"""", GOOGLETRANSLATE(E3608, ""en"", ""te""),"""")"),"")</f>
        <v/>
      </c>
      <c r="G3608" s="2"/>
      <c r="H3608" s="2" t="str">
        <f>IFERROR(__xludf.DUMMYFUNCTION("IF(G3608&lt;&gt;"""", GOOGLETRANSLATE(G3608, ""en"", ""te""),"""")"),"")</f>
        <v/>
      </c>
      <c r="I3608" s="3"/>
    </row>
    <row r="3609" customHeight="1" spans="1:9">
      <c r="A3609" s="2" t="s">
        <v>2490</v>
      </c>
      <c r="B3609" s="2" t="str">
        <f>IFERROR(__xludf.DUMMYFUNCTION("IF(A3609&lt;&gt;"""", GOOGLETRANSLATE(A3609, ""en"", ""te""),"""")"),"[ 'వరుస ఇన్నింగ్స్లో 2 వ వందల (2)' ఒక జట్టు, రెండో వికెట్కు 2 వ అత్యధిక భాగస్వామ్యం (275) ',' 10 వ వరుస మ్యాచ్లు '(114) పరాజయం వైపు ఒక మ్యాచ్లో 4 వ అత్యధిక పరుగులు' ( 58 *) ',' 1 వ అత్యంత ఇన్నింగ్స్ లో సాధించిన బైస్ (9) ',' 7 వ ఇన్నింగ్స్ లో అత్యధిక పరు"&amp;"గులు (బ్యాటింగ్ స్థానంలో ప్రకారం) (116) ',' మూడో వికెట్కు 7 వ అత్యధిక భాగస్వామ్యం (116 *) ']")</f>
        <v>[ 'వరుస ఇన్నింగ్స్లో 2 వ వందల (2)' ఒక జట్టు, రెండో వికెట్కు 2 వ అత్యధిక భాగస్వామ్యం (275) ',' 10 వ వరుస మ్యాచ్లు '(114) పరాజయం వైపు ఒక మ్యాచ్లో 4 వ అత్యధిక పరుగులు' ( 58 *) ',' 1 వ అత్యంత ఇన్నింగ్స్ లో సాధించిన బైస్ (9) ',' 7 వ ఇన్నింగ్స్ లో అత్యధిక పరుగులు (బ్యాటింగ్ స్థానంలో ప్రకారం) (116) ',' మూడో వికెట్కు 7 వ అత్యధిక భాగస్వామ్యం (116 *) ']</v>
      </c>
      <c r="C3609" s="2" t="s">
        <v>2491</v>
      </c>
      <c r="D3609" s="2" t="str">
        <f>IFERROR(__xludf.DUMMYFUNCTION("IF(C3609&lt;&gt;"""", GOOGLETRANSLATE(C3609, ""en"", ""te""),"""")"),"[ 'రెండో వికెట్కు (104) కోసం 22 అత్యధిక భాగస్వామ్యం']")</f>
        <v>[ 'రెండో వికెట్కు (104) కోసం 22 అత్యధిక భాగస్వామ్యం']</v>
      </c>
      <c r="E3609" s="2" t="s">
        <v>2492</v>
      </c>
      <c r="F3609" s="2" t="str">
        <f>IFERROR(__xludf.DUMMYFUNCTION("IF(E3609&lt;&gt;"""", GOOGLETRANSLATE(E3609, ""en"", ""te""),"""")"),"[ 'ఇన్నింగ్స్ (168 *) లో 8 వ అత్యధిక పరుగులు' 'కెరీర్ లో 26 వ అత్యధిక పరుగులు (2618)', 'వరుస 5 వ అత్యధిక పరుగులు (945)', '27 ఒక క్యాలెండర్ ఏడాది (611) అత్యధిక పరుగులు', '39 వ అత్యధిక పరుగులు (299) ఒకే నేలపై' 11 వ అత్యధిక, '' పరాజయం వైపు (114) ఒక మ్యాచ్ల"&amp;"ో 4 వ అత్యధిక పరుగులు '' ఇన్నింగ్స్ లో 6 వ అత్యధిక పరుగులు (బ్యాటింగ్ స్థానంలో ప్రకారం) (168 *) ', కెరీర్ బ్యాటింగ్ సగటు (45.13) ',' 6 వ అత్యధిక వందలు ఒక వృత్తిలో (7) ',' వరుస (3) ',' 5 వ ఒక క్యాలెండర్ సంవత్సరంలో అత్యధిక వందలు (2) ',' 2 వ అత్యధిక వందలు వ్"&amp;"యతిరేకంగా 2 వ అత్యధిక వందలు ఒక జట్టు (3) ',' వరుస ఇన్నింగ్స్లో 2 వ వందల (2) ', '21 వ కెరీర్ అర్ధ (19)', 'వరుస ఇన్నింగ్స్లో 28 యాభైల్లో (3)', 'ఒక డక్ లేకుండా 26 వరుస ఇన్నింగ్స్ (38 *) ',' కెరీర్ లో 31 అతి తక్కువ బాతులు (22) ',' 36 వ అత్యధిక ఏ వికెట్కు ఇన్"&amp;"నింగ్స్ పూర్తి (52.53) ',' 3 వ అత్యధిక భాగస్వామ్య పరుగులు శాతం (275) తొలి వికెట్కు ',' 13 వ అత్యధిక భాగస్వామ్యం (188) ',' రెండవ వికెట్కు 2 వ అత్యధిక భాగస్వామ్యం (275) మూడో వికెట్కు ',' 14 వ అత్యధిక భాగస్వామ్యం ( 154) ',' నాలుగవ వికెట్కు 6 వ అత్యధిక భాగస్వ"&amp;"ామ్యం (170) ',' ఒక జట్టుకు 22 వ వరుస మ్యాచ్లు (51 *) ']")</f>
        <v>[ 'ఇన్నింగ్స్ (168 *) లో 8 వ అత్యధిక పరుగులు' 'కెరీర్ లో 26 వ అత్యధిక పరుగులు (2618)', 'వరుస 5 వ అత్యధిక పరుగులు (945)', '27 ఒక క్యాలెండర్ ఏడాది (611) అత్యధిక పరుగులు', '39 వ అత్యధిక పరుగులు (299) ఒకే నేలపై' 11 వ అత్యధిక, '' పరాజయం వైపు (114) ఒక మ్యాచ్లో 4 వ అత్యధిక పరుగులు '' ఇన్నింగ్స్ లో 6 వ అత్యధిక పరుగులు (బ్యాటింగ్ స్థానంలో ప్రకారం) (168 *) ', కెరీర్ బ్యాటింగ్ సగటు (45.13) ',' 6 వ అత్యధిక వందలు ఒక వృత్తిలో (7) ',' వరుస (3) ',' 5 వ ఒక క్యాలెండర్ సంవత్సరంలో అత్యధిక వందలు (2) ',' 2 వ అత్యధిక వందలు వ్యతిరేకంగా 2 వ అత్యధిక వందలు ఒక జట్టు (3) ',' వరుస ఇన్నింగ్స్లో 2 వ వందల (2) ', '21 వ కెరీర్ అర్ధ (19)', 'వరుస ఇన్నింగ్స్లో 28 యాభైల్లో (3)', 'ఒక డక్ లేకుండా 26 వరుస ఇన్నింగ్స్ (38 *) ',' కెరీర్ లో 31 అతి తక్కువ బాతులు (22) ',' 36 వ అత్యధిక ఏ వికెట్కు ఇన్నింగ్స్ పూర్తి (52.53) ',' 3 వ అత్యధిక భాగస్వామ్య పరుగులు శాతం (275) తొలి వికెట్కు ',' 13 వ అత్యధిక భాగస్వామ్యం (188) ',' రెండవ వికెట్కు 2 వ అత్యధిక భాగస్వామ్యం (275) మూడో వికెట్కు ',' 14 వ అత్యధిక భాగస్వామ్యం ( 154) ',' నాలుగవ వికెట్కు 6 వ అత్యధిక భాగస్వామ్యం (170) ',' ఒక జట్టుకు 22 వ వరుస మ్యాచ్లు (51 *) ']</v>
      </c>
      <c r="G3609" s="2" t="s">
        <v>2493</v>
      </c>
      <c r="H3609" s="2" t="str">
        <f>IFERROR(__xludf.DUMMYFUNCTION("IF(G3609&lt;&gt;"""", GOOGLETRANSLATE(G3609, ""en"", ""te""),"""")"),"[ 'ఒక క్యాలెండర్ సంవత్సరంలో 23 వ అత్యధిక పరుగులు (430)' '22 వ అత్యధిక కెరీర్ లో పరుగులు (1484)', '9 వ ఇన్నింగ్స్ లో అత్యధిక పరుగులు (116)', '7 వ ఇన్నింగ్స్ లో అత్యధిక పరుగులు (బ్యాటింగ్ స్థానంలో ప్రకారం) ( 116) ',' 16 వ పరాజయం వైపు ఒక మ్యాచ్లో అత్యధిక పర"&amp;"ుగులు (71) ',' 23 వ అత్యధిక పరుగులు ఒకే నేలపై (210) ',' అత్యధిక వికెట్లు ఇన్నింగ్స్ లో 22 వ అత్యధిక పరుగులు (62) ',' 16 వ జీవితంలో అత్యధిక అర్ధ (9) ',' 43 వ అత్యధిక వరుస ఇన్నింగ్స్లో డకౌట్ లేకుండా కెరీర్లో (28) ',' 31 అతి తక్కువ బాతులు (18.75) ',' ఏ వికె"&amp;"ట్కు 50 వ అత్యధిక భాగస్వామ్యాల (116 *) ',' 7 వ అత్యధిక భాగస్వామ్యం మూడో వికెట్ (116 *) ',' 23 వ కెరీర్ లో అత్యధిక మ్యాచ్లు (91) ',' ఒక జట్టుకు 10 వ వరుస మ్యాచ్లు (58 *) ',' 1 వ ఇన్నింగ్స్ లో సాధించిన అత్యంత బైలు (9) '] కోసం")</f>
        <v>[ 'ఒక క్యాలెండర్ సంవత్సరంలో 23 వ అత్యధిక పరుగులు (430)' '22 వ అత్యధిక కెరీర్ లో పరుగులు (1484)', '9 వ ఇన్నింగ్స్ లో అత్యధిక పరుగులు (116)', '7 వ ఇన్నింగ్స్ లో అత్యధిక పరుగులు (బ్యాటింగ్ స్థానంలో ప్రకారం) ( 116) ',' 16 వ పరాజయం వైపు ఒక మ్యాచ్లో అత్యధిక పరుగులు (71) ',' 23 వ అత్యధిక పరుగులు ఒకే నేలపై (210) ',' అత్యధిక వికెట్లు ఇన్నింగ్స్ లో 22 వ అత్యధిక పరుగులు (62) ',' 16 వ జీవితంలో అత్యధిక అర్ధ (9) ',' 43 వ అత్యధిక వరుస ఇన్నింగ్స్లో డకౌట్ లేకుండా కెరీర్లో (28) ',' 31 అతి తక్కువ బాతులు (18.75) ',' ఏ వికెట్కు 50 వ అత్యధిక భాగస్వామ్యాల (116 *) ',' 7 వ అత్యధిక భాగస్వామ్యం మూడో వికెట్ (116 *) ',' 23 వ కెరీర్ లో అత్యధిక మ్యాచ్లు (91) ',' ఒక జట్టుకు 10 వ వరుస మ్యాచ్లు (58 *) ',' 1 వ ఇన్నింగ్స్ లో సాధించిన అత్యంత బైలు (9) '] కోసం</v>
      </c>
      <c r="I3609" s="3"/>
    </row>
    <row r="3610" customHeight="1" spans="1:9">
      <c r="A3610" s="2"/>
      <c r="B3610" s="2" t="str">
        <f>IFERROR(__xludf.DUMMYFUNCTION("IF(A3610&lt;&gt;"""", GOOGLETRANSLATE(A3610, ""en"", ""te""),"""")"),"")</f>
        <v/>
      </c>
      <c r="C3610" s="2"/>
      <c r="D3610" s="2" t="str">
        <f>IFERROR(__xludf.DUMMYFUNCTION("IF(C3610&lt;&gt;"""", GOOGLETRANSLATE(C3610, ""en"", ""te""),"""")"),"")</f>
        <v/>
      </c>
      <c r="E3610" s="2"/>
      <c r="F3610" s="2" t="str">
        <f>IFERROR(__xludf.DUMMYFUNCTION("IF(E3610&lt;&gt;"""", GOOGLETRANSLATE(E3610, ""en"", ""te""),"""")"),"")</f>
        <v/>
      </c>
      <c r="G3610" s="2"/>
      <c r="H3610" s="2" t="str">
        <f>IFERROR(__xludf.DUMMYFUNCTION("IF(G3610&lt;&gt;"""", GOOGLETRANSLATE(G3610, ""en"", ""te""),"""")"),"")</f>
        <v/>
      </c>
      <c r="I3610" s="3"/>
    </row>
    <row r="3611" customHeight="1" spans="1:9">
      <c r="A3611" s="2" t="s">
        <v>2494</v>
      </c>
      <c r="B3611" s="2" t="str">
        <f>IFERROR(__xludf.DUMMYFUNCTION("IF(A3611&lt;&gt;"""", GOOGLETRANSLATE(A3611, ""en"", ""te""),"""")"),"[ '10 వ లాంగెస్ట్ కెరీర్లు (21y 336d)', '6 వ అత్యంత వృద్ధ ఆటగాడు తొలి తీసుకుని ఐదు-వికెట్ల లో-ఒక-ఇన్నింగ్స్ (40y 69d)', '10 వ లాంగెస్ట్ కెరీర్లు (21y 336d)']")</f>
        <v>[ '10 వ లాంగెస్ట్ కెరీర్లు (21y 336d)', '6 వ అత్యంత వృద్ధ ఆటగాడు తొలి తీసుకుని ఐదు-వికెట్ల లో-ఒక-ఇన్నింగ్స్ (40y 69d)', '10 వ లాంగెస్ట్ కెరీర్లు (21y 336d)']</v>
      </c>
      <c r="C3611" s="2" t="s">
        <v>2495</v>
      </c>
      <c r="D3611" s="2" t="str">
        <f>IFERROR(__xludf.DUMMYFUNCTION("IF(C3611&lt;&gt;"""", GOOGLETRANSLATE(C3611, ""en"", ""te""),"""")"),"[ 'కన్య తీసుకోవాలని 6 వ అత్యంత వృద్ధ ఆటగాడు ఐదు వికెట్ల లో-ఒక-ఇన్నింగ్స్ (40y 69d)' '15 వ అత్యంత వృద్ధ ఆటగాడు (40y 69d) ఐదు వికెట్లు-ఇన్-ఒక-ఇన్నింగ్స్ తీసుకోవాలని', '36 వ ఓల్డెస్ట్ క్రీడాకారులు ( 42y 196d) ',' 10 వ లాంగెస్ట్ కెరీర్లు (21y 336d) ',' ప్రదర్"&amp;"శనల మధ్య 11 వ లాంగెస్ట్ వ్యవధిలో (11y 361d) ',' 18 వ ఓల్డెస్ట్ కాప్టెన్ (40y 245d) ',' కెప్టెన్సీ తొలి 16 వ ఓల్డెస్ట్ కాప్టెన్ (38y 219d) ']")</f>
        <v>[ 'కన్య తీసుకోవాలని 6 వ అత్యంత వృద్ధ ఆటగాడు ఐదు వికెట్ల లో-ఒక-ఇన్నింగ్స్ (40y 69d)' '15 వ అత్యంత వృద్ధ ఆటగాడు (40y 69d) ఐదు వికెట్లు-ఇన్-ఒక-ఇన్నింగ్స్ తీసుకోవాలని', '36 వ ఓల్డెస్ట్ క్రీడాకారులు ( 42y 196d) ',' 10 వ లాంగెస్ట్ కెరీర్లు (21y 336d) ',' ప్రదర్శనల మధ్య 11 వ లాంగెస్ట్ వ్యవధిలో (11y 361d) ',' 18 వ ఓల్డెస్ట్ కాప్టెన్ (40y 245d) ',' కెప్టెన్సీ తొలి 16 వ ఓల్డెస్ట్ కాప్టెన్ (38y 219d) ']</v>
      </c>
      <c r="E3611" s="2"/>
      <c r="F3611" s="2" t="str">
        <f>IFERROR(__xludf.DUMMYFUNCTION("IF(E3611&lt;&gt;"""", GOOGLETRANSLATE(E3611, ""en"", ""te""),"""")"),"")</f>
        <v/>
      </c>
      <c r="G3611" s="2"/>
      <c r="H3611" s="2" t="str">
        <f>IFERROR(__xludf.DUMMYFUNCTION("IF(G3611&lt;&gt;"""", GOOGLETRANSLATE(G3611, ""en"", ""te""),"""")"),"")</f>
        <v/>
      </c>
      <c r="I3611" s="3"/>
    </row>
    <row r="3612" customHeight="1" spans="1:9">
      <c r="A3612" s="2"/>
      <c r="B3612" s="2" t="str">
        <f>IFERROR(__xludf.DUMMYFUNCTION("IF(A3612&lt;&gt;"""", GOOGLETRANSLATE(A3612, ""en"", ""te""),"""")"),"")</f>
        <v/>
      </c>
      <c r="C3612" s="2"/>
      <c r="D3612" s="2" t="str">
        <f>IFERROR(__xludf.DUMMYFUNCTION("IF(C3612&lt;&gt;"""", GOOGLETRANSLATE(C3612, ""en"", ""te""),"""")"),"")</f>
        <v/>
      </c>
      <c r="E3612" s="2"/>
      <c r="F3612" s="2" t="str">
        <f>IFERROR(__xludf.DUMMYFUNCTION("IF(E3612&lt;&gt;"""", GOOGLETRANSLATE(E3612, ""en"", ""te""),"""")"),"")</f>
        <v/>
      </c>
      <c r="G3612" s="2"/>
      <c r="H3612" s="2" t="str">
        <f>IFERROR(__xludf.DUMMYFUNCTION("IF(G3612&lt;&gt;"""", GOOGLETRANSLATE(G3612, ""en"", ""te""),"""")"),"")</f>
        <v/>
      </c>
      <c r="I3612" s="3"/>
    </row>
    <row r="3613" customHeight="1" spans="1:9">
      <c r="A3613" s="2"/>
      <c r="B3613" s="2" t="str">
        <f>IFERROR(__xludf.DUMMYFUNCTION("IF(A3613&lt;&gt;"""", GOOGLETRANSLATE(A3613, ""en"", ""te""),"""")"),"")</f>
        <v/>
      </c>
      <c r="C3613" s="2"/>
      <c r="D3613" s="2" t="str">
        <f>IFERROR(__xludf.DUMMYFUNCTION("IF(C3613&lt;&gt;"""", GOOGLETRANSLATE(C3613, ""en"", ""te""),"""")"),"")</f>
        <v/>
      </c>
      <c r="E3613" s="2"/>
      <c r="F3613" s="2" t="str">
        <f>IFERROR(__xludf.DUMMYFUNCTION("IF(E3613&lt;&gt;"""", GOOGLETRANSLATE(E3613, ""en"", ""te""),"""")"),"")</f>
        <v/>
      </c>
      <c r="G3613" s="2"/>
      <c r="H3613" s="2" t="str">
        <f>IFERROR(__xludf.DUMMYFUNCTION("IF(G3613&lt;&gt;"""", GOOGLETRANSLATE(G3613, ""en"", ""te""),"""")"),"")</f>
        <v/>
      </c>
      <c r="I3613" s="3"/>
    </row>
    <row r="3614" customHeight="1" spans="1:9">
      <c r="A3614" s="2"/>
      <c r="B3614" s="2" t="str">
        <f>IFERROR(__xludf.DUMMYFUNCTION("IF(A3614&lt;&gt;"""", GOOGLETRANSLATE(A3614, ""en"", ""te""),"""")"),"")</f>
        <v/>
      </c>
      <c r="C3614" s="2"/>
      <c r="D3614" s="2" t="str">
        <f>IFERROR(__xludf.DUMMYFUNCTION("IF(C3614&lt;&gt;"""", GOOGLETRANSLATE(C3614, ""en"", ""te""),"""")"),"")</f>
        <v/>
      </c>
      <c r="E3614" s="2"/>
      <c r="F3614" s="2" t="str">
        <f>IFERROR(__xludf.DUMMYFUNCTION("IF(E3614&lt;&gt;"""", GOOGLETRANSLATE(E3614, ""en"", ""te""),"""")"),"")</f>
        <v/>
      </c>
      <c r="G3614" s="2"/>
      <c r="H3614" s="2" t="str">
        <f>IFERROR(__xludf.DUMMYFUNCTION("IF(G3614&lt;&gt;"""", GOOGLETRANSLATE(G3614, ""en"", ""te""),"""")"),"")</f>
        <v/>
      </c>
      <c r="I3614" s="3"/>
    </row>
    <row r="3615" customHeight="1" spans="1:9">
      <c r="A3615" s="2"/>
      <c r="B3615" s="2" t="str">
        <f>IFERROR(__xludf.DUMMYFUNCTION("IF(A3615&lt;&gt;"""", GOOGLETRANSLATE(A3615, ""en"", ""te""),"""")"),"")</f>
        <v/>
      </c>
      <c r="C3615" s="2"/>
      <c r="D3615" s="2" t="str">
        <f>IFERROR(__xludf.DUMMYFUNCTION("IF(C3615&lt;&gt;"""", GOOGLETRANSLATE(C3615, ""en"", ""te""),"""")"),"")</f>
        <v/>
      </c>
      <c r="E3615" s="2"/>
      <c r="F3615" s="2" t="str">
        <f>IFERROR(__xludf.DUMMYFUNCTION("IF(E3615&lt;&gt;"""", GOOGLETRANSLATE(E3615, ""en"", ""te""),"""")"),"")</f>
        <v/>
      </c>
      <c r="G3615" s="2"/>
      <c r="H3615" s="2" t="str">
        <f>IFERROR(__xludf.DUMMYFUNCTION("IF(G3615&lt;&gt;"""", GOOGLETRANSLATE(G3615, ""en"", ""te""),"""")"),"")</f>
        <v/>
      </c>
      <c r="I3615" s="3"/>
    </row>
    <row r="3616" customHeight="1" spans="1:9">
      <c r="A3616" s="2"/>
      <c r="B3616" s="2" t="str">
        <f>IFERROR(__xludf.DUMMYFUNCTION("IF(A3616&lt;&gt;"""", GOOGLETRANSLATE(A3616, ""en"", ""te""),"""")"),"")</f>
        <v/>
      </c>
      <c r="C3616" s="2"/>
      <c r="D3616" s="2" t="str">
        <f>IFERROR(__xludf.DUMMYFUNCTION("IF(C3616&lt;&gt;"""", GOOGLETRANSLATE(C3616, ""en"", ""te""),"""")"),"")</f>
        <v/>
      </c>
      <c r="E3616" s="2"/>
      <c r="F3616" s="2" t="str">
        <f>IFERROR(__xludf.DUMMYFUNCTION("IF(E3616&lt;&gt;"""", GOOGLETRANSLATE(E3616, ""en"", ""te""),"""")"),"")</f>
        <v/>
      </c>
      <c r="G3616" s="2"/>
      <c r="H3616" s="2" t="str">
        <f>IFERROR(__xludf.DUMMYFUNCTION("IF(G3616&lt;&gt;"""", GOOGLETRANSLATE(G3616, ""en"", ""te""),"""")"),"")</f>
        <v/>
      </c>
      <c r="I3616" s="3"/>
    </row>
    <row r="3617" customHeight="1" spans="1:9">
      <c r="A3617" s="2"/>
      <c r="B3617" s="2" t="str">
        <f>IFERROR(__xludf.DUMMYFUNCTION("IF(A3617&lt;&gt;"""", GOOGLETRANSLATE(A3617, ""en"", ""te""),"""")"),"")</f>
        <v/>
      </c>
      <c r="C3617" s="2"/>
      <c r="D3617" s="2" t="str">
        <f>IFERROR(__xludf.DUMMYFUNCTION("IF(C3617&lt;&gt;"""", GOOGLETRANSLATE(C3617, ""en"", ""te""),"""")"),"")</f>
        <v/>
      </c>
      <c r="E3617" s="2"/>
      <c r="F3617" s="2" t="str">
        <f>IFERROR(__xludf.DUMMYFUNCTION("IF(E3617&lt;&gt;"""", GOOGLETRANSLATE(E3617, ""en"", ""te""),"""")"),"")</f>
        <v/>
      </c>
      <c r="G3617" s="2"/>
      <c r="H3617" s="2" t="str">
        <f>IFERROR(__xludf.DUMMYFUNCTION("IF(G3617&lt;&gt;"""", GOOGLETRANSLATE(G3617, ""en"", ""te""),"""")"),"")</f>
        <v/>
      </c>
      <c r="I3617" s="3"/>
    </row>
    <row r="3618" customHeight="1" spans="1:9">
      <c r="A3618" s="2"/>
      <c r="B3618" s="2" t="str">
        <f>IFERROR(__xludf.DUMMYFUNCTION("IF(A3618&lt;&gt;"""", GOOGLETRANSLATE(A3618, ""en"", ""te""),"""")"),"")</f>
        <v/>
      </c>
      <c r="C3618" s="2"/>
      <c r="D3618" s="2" t="str">
        <f>IFERROR(__xludf.DUMMYFUNCTION("IF(C3618&lt;&gt;"""", GOOGLETRANSLATE(C3618, ""en"", ""te""),"""")"),"")</f>
        <v/>
      </c>
      <c r="E3618" s="2"/>
      <c r="F3618" s="2" t="str">
        <f>IFERROR(__xludf.DUMMYFUNCTION("IF(E3618&lt;&gt;"""", GOOGLETRANSLATE(E3618, ""en"", ""te""),"""")"),"")</f>
        <v/>
      </c>
      <c r="G3618" s="2"/>
      <c r="H3618" s="2" t="str">
        <f>IFERROR(__xludf.DUMMYFUNCTION("IF(G3618&lt;&gt;"""", GOOGLETRANSLATE(G3618, ""en"", ""te""),"""")"),"")</f>
        <v/>
      </c>
      <c r="I3618" s="3"/>
    </row>
    <row r="3619" customHeight="1" spans="1:9">
      <c r="A3619" s="2" t="s">
        <v>2496</v>
      </c>
      <c r="B3619" s="2" t="str">
        <f>IFERROR(__xludf.DUMMYFUNCTION("IF(A3619&lt;&gt;"""", GOOGLETRANSLATE(A3619, ""en"", ""te""),"""")"),"[ '4 వ ఉత్తమ కెరీర్ బౌలింగ్ సరాసరి (16.42)']")</f>
        <v>[ '4 వ ఉత్తమ కెరీర్ బౌలింగ్ సరాసరి (16.42)']</v>
      </c>
      <c r="C3619" s="2" t="s">
        <v>2497</v>
      </c>
      <c r="D3619" s="2" t="str">
        <f>IFERROR(__xludf.DUMMYFUNCTION("IF(C3619&lt;&gt;"""", GOOGLETRANSLATE(C3619, ""en"", ""te""),"""")"),"[ '16 వ కెరీర్ లో బాతులు (26)', '13 వ ఉత్తమ ఒక మ్యాచ్లో గణాంకాలు (14)', 'సగటు (16.42) బౌలింగ్ 4 వ ఉత్తమ జీవితం' '23 వ ఉత్తమ కెరీర్ సమ్మె రేటు (47.2)']")</f>
        <v>[ '16 వ కెరీర్ లో బాతులు (26)', '13 వ ఉత్తమ ఒక మ్యాచ్లో గణాంకాలు (14)', 'సగటు (16.42) బౌలింగ్ 4 వ ఉత్తమ జీవితం' '23 వ ఉత్తమ కెరీర్ సమ్మె రేటు (47.2)']</v>
      </c>
      <c r="E3619" s="2"/>
      <c r="F3619" s="2" t="str">
        <f>IFERROR(__xludf.DUMMYFUNCTION("IF(E3619&lt;&gt;"""", GOOGLETRANSLATE(E3619, ""en"", ""te""),"""")"),"")</f>
        <v/>
      </c>
      <c r="G3619" s="2"/>
      <c r="H3619" s="2" t="str">
        <f>IFERROR(__xludf.DUMMYFUNCTION("IF(G3619&lt;&gt;"""", GOOGLETRANSLATE(G3619, ""en"", ""te""),"""")"),"")</f>
        <v/>
      </c>
      <c r="I3619" s="3"/>
    </row>
    <row r="3620" customHeight="1" spans="1:9">
      <c r="A3620" s="2"/>
      <c r="B3620" s="2" t="str">
        <f>IFERROR(__xludf.DUMMYFUNCTION("IF(A3620&lt;&gt;"""", GOOGLETRANSLATE(A3620, ""en"", ""te""),"""")"),"")</f>
        <v/>
      </c>
      <c r="C3620" s="2"/>
      <c r="D3620" s="2" t="str">
        <f>IFERROR(__xludf.DUMMYFUNCTION("IF(C3620&lt;&gt;"""", GOOGLETRANSLATE(C3620, ""en"", ""te""),"""")"),"")</f>
        <v/>
      </c>
      <c r="E3620" s="2"/>
      <c r="F3620" s="2" t="str">
        <f>IFERROR(__xludf.DUMMYFUNCTION("IF(E3620&lt;&gt;"""", GOOGLETRANSLATE(E3620, ""en"", ""te""),"""")"),"")</f>
        <v/>
      </c>
      <c r="G3620" s="2"/>
      <c r="H3620" s="2" t="str">
        <f>IFERROR(__xludf.DUMMYFUNCTION("IF(G3620&lt;&gt;"""", GOOGLETRANSLATE(G3620, ""en"", ""te""),"""")"),"")</f>
        <v/>
      </c>
      <c r="I3620" s="3"/>
    </row>
    <row r="3621" customHeight="1" spans="1:9">
      <c r="A3621" s="2"/>
      <c r="B3621" s="2" t="str">
        <f>IFERROR(__xludf.DUMMYFUNCTION("IF(A3621&lt;&gt;"""", GOOGLETRANSLATE(A3621, ""en"", ""te""),"""")"),"")</f>
        <v/>
      </c>
      <c r="C3621" s="2"/>
      <c r="D3621" s="2" t="str">
        <f>IFERROR(__xludf.DUMMYFUNCTION("IF(C3621&lt;&gt;"""", GOOGLETRANSLATE(C3621, ""en"", ""te""),"""")"),"")</f>
        <v/>
      </c>
      <c r="E3621" s="2"/>
      <c r="F3621" s="2" t="str">
        <f>IFERROR(__xludf.DUMMYFUNCTION("IF(E3621&lt;&gt;"""", GOOGLETRANSLATE(E3621, ""en"", ""te""),"""")"),"")</f>
        <v/>
      </c>
      <c r="G3621" s="2"/>
      <c r="H3621" s="2" t="str">
        <f>IFERROR(__xludf.DUMMYFUNCTION("IF(G3621&lt;&gt;"""", GOOGLETRANSLATE(G3621, ""en"", ""te""),"""")"),"")</f>
        <v/>
      </c>
      <c r="I3621" s="3"/>
    </row>
    <row r="3622" customHeight="1" spans="1:9">
      <c r="A3622" s="2"/>
      <c r="B3622" s="2" t="str">
        <f>IFERROR(__xludf.DUMMYFUNCTION("IF(A3622&lt;&gt;"""", GOOGLETRANSLATE(A3622, ""en"", ""te""),"""")"),"")</f>
        <v/>
      </c>
      <c r="C3622" s="2"/>
      <c r="D3622" s="2" t="str">
        <f>IFERROR(__xludf.DUMMYFUNCTION("IF(C3622&lt;&gt;"""", GOOGLETRANSLATE(C3622, ""en"", ""te""),"""")"),"")</f>
        <v/>
      </c>
      <c r="E3622" s="2"/>
      <c r="F3622" s="2" t="str">
        <f>IFERROR(__xludf.DUMMYFUNCTION("IF(E3622&lt;&gt;"""", GOOGLETRANSLATE(E3622, ""en"", ""te""),"""")"),"")</f>
        <v/>
      </c>
      <c r="G3622" s="2"/>
      <c r="H3622" s="2" t="str">
        <f>IFERROR(__xludf.DUMMYFUNCTION("IF(G3622&lt;&gt;"""", GOOGLETRANSLATE(G3622, ""en"", ""te""),"""")"),"")</f>
        <v/>
      </c>
      <c r="I3622" s="3"/>
    </row>
    <row r="3623" customHeight="1" spans="1:9">
      <c r="A3623" s="2"/>
      <c r="B3623" s="2" t="str">
        <f>IFERROR(__xludf.DUMMYFUNCTION("IF(A3623&lt;&gt;"""", GOOGLETRANSLATE(A3623, ""en"", ""te""),"""")"),"")</f>
        <v/>
      </c>
      <c r="C3623" s="2" t="s">
        <v>2498</v>
      </c>
      <c r="D3623" s="2" t="str">
        <f>IFERROR(__xludf.DUMMYFUNCTION("IF(C3623&lt;&gt;"""", GOOGLETRANSLATE(C3623, ""en"", ""te""),"""")"),"[ 'మొదటి డక్ (36) ముందు 30 వ అత్యంత ఇన్నింగ్స్]")</f>
        <v>[ 'మొదటి డక్ (36) ముందు 30 వ అత్యంత ఇన్నింగ్స్]</v>
      </c>
      <c r="E3623" s="2"/>
      <c r="F3623" s="2" t="str">
        <f>IFERROR(__xludf.DUMMYFUNCTION("IF(E3623&lt;&gt;"""", GOOGLETRANSLATE(E3623, ""en"", ""te""),"""")"),"")</f>
        <v/>
      </c>
      <c r="G3623" s="2"/>
      <c r="H3623" s="2" t="str">
        <f>IFERROR(__xludf.DUMMYFUNCTION("IF(G3623&lt;&gt;"""", GOOGLETRANSLATE(G3623, ""en"", ""te""),"""")"),"")</f>
        <v/>
      </c>
      <c r="I3623" s="3"/>
    </row>
    <row r="3624" customHeight="1" spans="1:9">
      <c r="A3624" s="2" t="s">
        <v>352</v>
      </c>
      <c r="B3624" s="2" t="str">
        <f>IFERROR(__xludf.DUMMYFUNCTION("IF(A3624&lt;&gt;"""", GOOGLETRANSLATE(A3624, ""en"", ""te""),"""")"),"[ 'బ్యాటింగ్ ప్రారంభించుటకు మరియు అదే మ్యాచ్ లో బౌలింగ్']")</f>
        <v>[ 'బ్యాటింగ్ ప్రారంభించుటకు మరియు అదే మ్యాచ్ లో బౌలింగ్']</v>
      </c>
      <c r="C3624" s="2" t="s">
        <v>2499</v>
      </c>
      <c r="D3624" s="2" t="str">
        <f>IFERROR(__xludf.DUMMYFUNCTION("IF(C3624&lt;&gt;"""", GOOGLETRANSLATE(C3624, ""en"", ""te""),"""")"),"[ '22 వ అరంగేట్రంలోనే ఇన్నింగ్స్ లోని బెస్ట్ ఫిగర్స్ (6)', 'తొమ్మిదవ వికెట్కు 30 వ అత్యధిక భాగస్వామ్యం (117)' 'పది వికెట్ల లో ఒక మ్యాచ్ పడుతుంది 41 వ ఓల్డెస్ట్ ఆటగాడు (33y 199d)',]")</f>
        <v>[ '22 వ అరంగేట్రంలోనే ఇన్నింగ్స్ లోని బెస్ట్ ఫిగర్స్ (6)', 'తొమ్మిదవ వికెట్కు 30 వ అత్యధిక భాగస్వామ్యం (117)' 'పది వికెట్ల లో ఒక మ్యాచ్ పడుతుంది 41 వ ఓల్డెస్ట్ ఆటగాడు (33y 199d)',]</v>
      </c>
      <c r="E3624" s="2"/>
      <c r="F3624" s="2" t="str">
        <f>IFERROR(__xludf.DUMMYFUNCTION("IF(E3624&lt;&gt;"""", GOOGLETRANSLATE(E3624, ""en"", ""te""),"""")"),"")</f>
        <v/>
      </c>
      <c r="G3624" s="2"/>
      <c r="H3624" s="2" t="str">
        <f>IFERROR(__xludf.DUMMYFUNCTION("IF(G3624&lt;&gt;"""", GOOGLETRANSLATE(G3624, ""en"", ""te""),"""")"),"")</f>
        <v/>
      </c>
      <c r="I3624" s="3"/>
    </row>
    <row r="3625" customHeight="1" spans="1:9">
      <c r="A3625" s="2"/>
      <c r="B3625" s="2" t="str">
        <f>IFERROR(__xludf.DUMMYFUNCTION("IF(A3625&lt;&gt;"""", GOOGLETRANSLATE(A3625, ""en"", ""te""),"""")"),"")</f>
        <v/>
      </c>
      <c r="C3625" s="2"/>
      <c r="D3625" s="2" t="str">
        <f>IFERROR(__xludf.DUMMYFUNCTION("IF(C3625&lt;&gt;"""", GOOGLETRANSLATE(C3625, ""en"", ""te""),"""")"),"")</f>
        <v/>
      </c>
      <c r="E3625" s="2"/>
      <c r="F3625" s="2" t="str">
        <f>IFERROR(__xludf.DUMMYFUNCTION("IF(E3625&lt;&gt;"""", GOOGLETRANSLATE(E3625, ""en"", ""te""),"""")"),"")</f>
        <v/>
      </c>
      <c r="G3625" s="2"/>
      <c r="H3625" s="2" t="str">
        <f>IFERROR(__xludf.DUMMYFUNCTION("IF(G3625&lt;&gt;"""", GOOGLETRANSLATE(G3625, ""en"", ""te""),"""")"),"")</f>
        <v/>
      </c>
      <c r="I3625" s="3"/>
    </row>
    <row r="3626" customHeight="1" spans="1:9">
      <c r="A3626" s="2"/>
      <c r="B3626" s="2" t="str">
        <f>IFERROR(__xludf.DUMMYFUNCTION("IF(A3626&lt;&gt;"""", GOOGLETRANSLATE(A3626, ""en"", ""te""),"""")"),"")</f>
        <v/>
      </c>
      <c r="C3626" s="2"/>
      <c r="D3626" s="2" t="str">
        <f>IFERROR(__xludf.DUMMYFUNCTION("IF(C3626&lt;&gt;"""", GOOGLETRANSLATE(C3626, ""en"", ""te""),"""")"),"")</f>
        <v/>
      </c>
      <c r="E3626" s="2"/>
      <c r="F3626" s="2" t="str">
        <f>IFERROR(__xludf.DUMMYFUNCTION("IF(E3626&lt;&gt;"""", GOOGLETRANSLATE(E3626, ""en"", ""te""),"""")"),"")</f>
        <v/>
      </c>
      <c r="G3626" s="2"/>
      <c r="H3626" s="2" t="str">
        <f>IFERROR(__xludf.DUMMYFUNCTION("IF(G3626&lt;&gt;"""", GOOGLETRANSLATE(G3626, ""en"", ""te""),"""")"),"")</f>
        <v/>
      </c>
      <c r="I3626" s="3"/>
    </row>
    <row r="3627" customHeight="1" spans="1:9">
      <c r="A3627" s="2" t="s">
        <v>2500</v>
      </c>
      <c r="B3627" s="2" t="str">
        <f>IFERROR(__xludf.DUMMYFUNCTION("IF(A3627&lt;&gt;"""", GOOGLETRANSLATE(A3627, ""en"", ""te""),"""")"),"[ 'ఇన్నింగ్స్ లో 2 వ అత్యధిక పరుగులు (బ్యాటింగ్ స్థానంలో ప్రకారం) (169)', 'కెరీర్ లో 2 వ పెద్ద బాతులు (36)', '6 వ అత్యంత బంతుల్లో బౌల్డ్' 3 వ అత్యుత్తమ బౌలింగ్ ఇన్నింగ్స్ (8/15) విశ్లేషణలలో ' కెరీర్ (29316) ',' 5 వ కెరీర్ లో సాధించిన అత్యధిక పరుగులు (1432"&amp;"8) ',' 3 వ అత్యంత వికెట్కీపర్గా (124) ',' 7 వ పట్టుకుంటే తీసుకోబడిన వికెట్ల 500 వికెట్లు (140) ',' 1000 పరుగులు మరియు 100 వికెట్లు 'వేగంగా , '3 వ వరుస అన్ని టాస్ గెలిచిన (3)', 'ఒక కెప్టెన్తో ఒక ఇన్నింగ్స్ లో 4 వ ఉత్తమ బొమ్మలు (4)', '2 వ అత్యంత ఆకర్షించింద"&amp;"ి తీసుకోబడిన వికెట్ల' 1st అత్యుత్తమ బౌలింగ్ ఇన్నింగ్స్ (1/0) విశ్లేషణలలో ' అత్యధిక వికెట్లు (13) ',' 6 వ కెరీర్ బాతులు (46) ',' 9 వ ఒకే క్రీడా (111) ',' 9 వ అత్యధిక కెరీర్ లో సాధించిన పరుగులు అత్యధిక వికెట్లు (21183) ',' 4 వ అత్యధిక వికెట్లు ఆకర్షించింది "&amp;"తీసుకున్న అత్యధిక వికెట్లు (186) ']")</f>
        <v>[ 'ఇన్నింగ్స్ లో 2 వ అత్యధిక పరుగులు (బ్యాటింగ్ స్థానంలో ప్రకారం) (169)', 'కెరీర్ లో 2 వ పెద్ద బాతులు (36)', '6 వ అత్యంత బంతుల్లో బౌల్డ్' 3 వ అత్యుత్తమ బౌలింగ్ ఇన్నింగ్స్ (8/15) విశ్లేషణలలో ' కెరీర్ (29316) ',' 5 వ కెరీర్ లో సాధించిన అత్యధిక పరుగులు (14328) ',' 3 వ అత్యంత వికెట్కీపర్గా (124) ',' 7 వ పట్టుకుంటే తీసుకోబడిన వికెట్ల 500 వికెట్లు (140) ',' 1000 పరుగులు మరియు 100 వికెట్లు 'వేగంగా , '3 వ వరుస అన్ని టాస్ గెలిచిన (3)', 'ఒక కెప్టెన్తో ఒక ఇన్నింగ్స్ లో 4 వ ఉత్తమ బొమ్మలు (4)', '2 వ అత్యంత ఆకర్షించింది తీసుకోబడిన వికెట్ల' 1st అత్యుత్తమ బౌలింగ్ ఇన్నింగ్స్ (1/0) విశ్లేషణలలో ' అత్యధిక వికెట్లు (13) ',' 6 వ కెరీర్ బాతులు (46) ',' 9 వ ఒకే క్రీడా (111) ',' 9 వ అత్యధిక కెరీర్ లో సాధించిన పరుగులు అత్యధిక వికెట్లు (21183) ',' 4 వ అత్యధిక వికెట్లు ఆకర్షించింది తీసుకున్న అత్యధిక వికెట్లు (186) ']</v>
      </c>
      <c r="C3627" s="2" t="s">
        <v>2501</v>
      </c>
      <c r="D3627" s="2" t="str">
        <f>IFERROR(__xludf.DUMMYFUNCTION("IF(C3627&lt;&gt;"""", GOOGLETRANSLATE(C3627, ""en"", ""te""),"""")"),"[ '2nd అత్యంత ఇన్నింగ్స్ లో నడుస్తుంది (బ్యాటింగ్ స్థానం) (169)', 'ఇన్నింగ్స్ లో 31 అత్యధిక స్ట్రైక్ రేట్ (186.66)', 'కెరీర్ లో 2 వ పెద్ద బాతులు (36)', '40 వ కెరీర్ లో వచ్చిన ఎక్కువ సిక్స్ (48 ) ',' 7 వ కెరీర్ లో అత్యధిక వికెట్లు (517) ',' 22 వ ఒక క్యాలె"&amp;"ండర్ సంవత్సరంలో ఇన్నింగ్స్ (8/15) ',' 37 వ అత్యధిక వికెట్లు ఉత్తమ బొమ్మలు (62) ',' 3 వ అత్యుత్తమ బౌలింగ్ ఇన్నింగ్స్ లో విశ్లేషించడం ( ఒకే మైదానంలో 8/15) ',' 6 వ అత్యధిక వికెట్లు (94) ',' ఇన్నింగ్స్ లో 19 ఉత్తమ సమ్మె రేటు (7.1) ',' ఇన్నింగ్స్ లో 50 వ చెత్"&amp;"త ఆర్థిక రేటు (6.34) ',' 24 వ అత్యంత ఐదు- వికెట్ల లో-ఒక-ఇన్నింగ్స్ కెరీర్లో (18) ',' 29 వ అత్యధిక పది వికెట్లు లో ఒక మ్యాచ్ ఒక వృత్తిలో (3) ',' పది వికెట్ల తేడాతో-ఒక-మ్యాచ్లో తీసుకోవాలని 35 వ అత్యంత వృద్ధ ఆటగాడు (34y 30D) ',' కెరీర్ (29316) లో బౌల్డ్ 6 వ "&amp;"అత్యంత బంతుల్లో ',' కెరీర్ లో చాలా 5 వ సాధించిన పరుగులు (14328) ',' 18 వ బౌలర్ / బ్యాటర్ కలయికలు (12) ',' 20 వ బౌలర్ / ఫీల్డర్ కలయికలు (53) ',' 14 వ అత్యధిక వికెట్లు తీసుకున్న బౌల్డ్ (88) ',' 7 వ అత్యధిక వికెట్లు తీసుకున్న క్యాచ్ (339) ',' 9 వ అత్యధిక విక"&amp;"ెట్లు తీసుకున్న ఫీల్డర్ చేత క్యాచ్ (215) ',' 3 వ భాగం ఒక పట్టుకుంటే తీసుకోబడిన వికెట్ల వికెట్కీపర్గా (124) ',' 10 వ అత్యధిక వికెట్లు తీసుకున్న ఎల్బిడబ్ల్యు (90) ',' 40 వ 250 వికెట్లు వేగంగా (71) ',' 29th 300 వికెట్లు (83) ', '21 వ వేగవంతమైన 350 వికెట్లు "&amp;"(95)' వేగంగా, '15 వ 400 వికెట్లు (115) వేగంగా', '7 వ వేగవంతమైన 500 వికెట్లు (140)', '12 వ అత్యధిక మ్యాచ్లు కెరీర్లో (146)', '25 వ అత్యంత ప్లేయర్ ఆఫ్' 450 వికెట్లు (128) 7 వేగంగా ' -ది-మ్యాచ్ అవార్డులు (10) ']")</f>
        <v>[ '2nd అత్యంత ఇన్నింగ్స్ లో నడుస్తుంది (బ్యాటింగ్ స్థానం) (169)', 'ఇన్నింగ్స్ లో 31 అత్యధిక స్ట్రైక్ రేట్ (186.66)', 'కెరీర్ లో 2 వ పెద్ద బాతులు (36)', '40 వ కెరీర్ లో వచ్చిన ఎక్కువ సిక్స్ (48 ) ',' 7 వ కెరీర్ లో అత్యధిక వికెట్లు (517) ',' 22 వ ఒక క్యాలెండర్ సంవత్సరంలో ఇన్నింగ్స్ (8/15) ',' 37 వ అత్యధిక వికెట్లు ఉత్తమ బొమ్మలు (62) ',' 3 వ అత్యుత్తమ బౌలింగ్ ఇన్నింగ్స్ లో విశ్లేషించడం ( ఒకే మైదానంలో 8/15) ',' 6 వ అత్యధిక వికెట్లు (94) ',' ఇన్నింగ్స్ లో 19 ఉత్తమ సమ్మె రేటు (7.1) ',' ఇన్నింగ్స్ లో 50 వ చెత్త ఆర్థిక రేటు (6.34) ',' 24 వ అత్యంత ఐదు- వికెట్ల లో-ఒక-ఇన్నింగ్స్ కెరీర్లో (18) ',' 29 వ అత్యధిక పది వికెట్లు లో ఒక మ్యాచ్ ఒక వృత్తిలో (3) ',' పది వికెట్ల తేడాతో-ఒక-మ్యాచ్లో తీసుకోవాలని 35 వ అత్యంత వృద్ధ ఆటగాడు (34y 30D) ',' కెరీర్ (29316) లో బౌల్డ్ 6 వ అత్యంత బంతుల్లో ',' కెరీర్ లో చాలా 5 వ సాధించిన పరుగులు (14328) ',' 18 వ బౌలర్ / బ్యాటర్ కలయికలు (12) ',' 20 వ బౌలర్ / ఫీల్డర్ కలయికలు (53) ',' 14 వ అత్యధిక వికెట్లు తీసుకున్న బౌల్డ్ (88) ',' 7 వ అత్యధిక వికెట్లు తీసుకున్న క్యాచ్ (339) ',' 9 వ అత్యధిక వికెట్లు తీసుకున్న ఫీల్డర్ చేత క్యాచ్ (215) ',' 3 వ భాగం ఒక పట్టుకుంటే తీసుకోబడిన వికెట్ల వికెట్కీపర్గా (124) ',' 10 వ అత్యధిక వికెట్లు తీసుకున్న ఎల్బిడబ్ల్యు (90) ',' 40 వ 250 వికెట్లు వేగంగా (71) ',' 29th 300 వికెట్లు (83) ', '21 వ వేగవంతమైన 350 వికెట్లు (95)' వేగంగా, '15 వ 400 వికెట్లు (115) వేగంగా', '7 వ వేగవంతమైన 500 వికెట్లు (140)', '12 వ అత్యధిక మ్యాచ్లు కెరీర్లో (146)', '25 వ అత్యంత ప్లేయర్ ఆఫ్' 450 వికెట్లు (128) 7 వేగంగా ' -ది-మ్యాచ్ అవార్డులు (10) ']</v>
      </c>
      <c r="E3627" s="2" t="s">
        <v>2502</v>
      </c>
      <c r="F3627" s="2" t="str">
        <f>IFERROR(__xludf.DUMMYFUNCTION("IF(E3627&lt;&gt;"""", GOOGLETRANSLATE(E3627, ""en"", ""te""),"""")"),"[ '1st అత్యుత్తమ బౌలింగ్ ఇన్నింగ్స్ లో విశ్లేషించడం (1/0)', ​​'25 వ అత్యంత నాలుగు వికెట్లు-ఇన్-ఒక-ఇన్నింగ్స్ కెరీర్లో (10)', '13 వ వరుస నాలుగు వికెట్లు-ఇన్-ఒక-ఇన్నింగ్స్ ( 2) ',' తీసుకోవాలని 38 వ పిన్న ఆటగాడు ఐదు వికెట్ల లో-ఒక-ఇన్నింగ్స్ (22y 63d) ',' 35 "&amp;"వ అత్యధిక వికెట్లు తీసుకున్న ఆకర్షించింది (139) ',' 42 వ అత్యధిక వికెట్లు ఒక ఫీల్డర్ (90) 'పట్టుకుంటే తీసుకోకూడదు, 'వేగవంతమైన 100 వికెట్లు (62) కు 21', 'ఫాస్టెస్ట్ 13 150 వికెట్లు (95)' '20 వ అత్యధిక వికెట్లు ఆకర్షించింది అత్యధిక వికెట్లు తీసిన (49)',]")</f>
        <v>[ '1st అత్యుత్తమ బౌలింగ్ ఇన్నింగ్స్ లో విశ్లేషించడం (1/0)', ​​'25 వ అత్యంత నాలుగు వికెట్లు-ఇన్-ఒక-ఇన్నింగ్స్ కెరీర్లో (10)', '13 వ వరుస నాలుగు వికెట్లు-ఇన్-ఒక-ఇన్నింగ్స్ ( 2) ',' తీసుకోవాలని 38 వ పిన్న ఆటగాడు ఐదు వికెట్ల లో-ఒక-ఇన్నింగ్స్ (22y 63d) ',' 35 వ అత్యధిక వికెట్లు తీసుకున్న ఆకర్షించింది (139) ',' 42 వ అత్యధిక వికెట్లు ఒక ఫీల్డర్ (90) 'పట్టుకుంటే తీసుకోకూడదు, 'వేగవంతమైన 100 వికెట్లు (62) కు 21', 'ఫాస్టెస్ట్ 13 150 వికెట్లు (95)' '20 వ అత్యధిక వికెట్లు ఆకర్షించింది అత్యధిక వికెట్లు తీసిన (49)',]</v>
      </c>
      <c r="G3627" s="2" t="s">
        <v>2503</v>
      </c>
      <c r="H3627" s="2" t="str">
        <f>IFERROR(__xludf.DUMMYFUNCTION("IF(G3627&lt;&gt;"""", GOOGLETRANSLATE(G3627, ""en"", ""te""),"""")"),"[ '14 వ కెరీర్ లో అత్యధిక వికెట్లు (65)', 'ఒక కెప్టెన్తో ఒక ఇన్నింగ్స్ లో 4 వ ఉత్తమ బొమ్మలు (4)', '45 వ ఉత్తమ కెరీర్ సమ్మె రేటు (18.0)', '47 వ చెత్త కెరీర్లో ఆర్థిక రేటు (7.62)', ' కెరీర్ (1173) లో బౌల్డ్ 14 మోస్ట్ బంతుల్లో ',' 15 వ కెరీర్ లో సాధించిన అత్"&amp;"యధిక పరుగులు (1491) ',' 22 వ అత్యధిక పరుగులు ఇన్నింగ్స్ లో సాధించిన (60) ',' 17 వ బౌలర్ / బ్యాట్స్ కలయికలు (3) ',' 2 వ అత్యంత వికెట్లు ఆకర్షించింది తీసుకోకూడదు (54) ',' 8 వ అత్యధిక వికెట్లు ఒక ఫీల్డర్ చేత క్యాచ్ తీసుకున్న (41) ',' 2 వ అత్యంత వికెట్కీపర్గా"&amp;" (13) ',' 24 ద్వారా వేగవంతమైన 50 వికెట్లు (44) ',' 15 వ అత్యంత చిక్కుకున్నాయి తీసుకోబడిన వికెట్ల ఒక ఇన్నింగ్స్ లో క్యాచ్లు (3) ',' కెప్టెన్ 22 అత్యధిక మ్యాచ్లు (27) ',' 31 పిన్న కాప్టెన్ (25y 1D) ',' వరుస (3) లో అన్ని టాస్ గెలిచి 3 వ ']")</f>
        <v>[ '14 వ కెరీర్ లో అత్యధిక వికెట్లు (65)', 'ఒక కెప్టెన్తో ఒక ఇన్నింగ్స్ లో 4 వ ఉత్తమ బొమ్మలు (4)', '45 వ ఉత్తమ కెరీర్ సమ్మె రేటు (18.0)', '47 వ చెత్త కెరీర్లో ఆర్థిక రేటు (7.62)', ' కెరీర్ (1173) లో బౌల్డ్ 14 మోస్ట్ బంతుల్లో ',' 15 వ కెరీర్ లో సాధించిన అత్యధిక పరుగులు (1491) ',' 22 వ అత్యధిక పరుగులు ఇన్నింగ్స్ లో సాధించిన (60) ',' 17 వ బౌలర్ / బ్యాట్స్ కలయికలు (3) ',' 2 వ అత్యంత వికెట్లు ఆకర్షించింది తీసుకోకూడదు (54) ',' 8 వ అత్యధిక వికెట్లు ఒక ఫీల్డర్ చేత క్యాచ్ తీసుకున్న (41) ',' 2 వ అత్యంత వికెట్కీపర్గా (13) ',' 24 ద్వారా వేగవంతమైన 50 వికెట్లు (44) ',' 15 వ అత్యంత చిక్కుకున్నాయి తీసుకోబడిన వికెట్ల ఒక ఇన్నింగ్స్ లో క్యాచ్లు (3) ',' కెప్టెన్ 22 అత్యధిక మ్యాచ్లు (27) ',' 31 పిన్న కాప్టెన్ (25y 1D) ',' వరుస (3) లో అన్ని టాస్ గెలిచి 3 వ ']</v>
      </c>
      <c r="I3627" s="3"/>
    </row>
    <row r="3628" customHeight="1" spans="1:9">
      <c r="A3628" s="2"/>
      <c r="B3628" s="2" t="str">
        <f>IFERROR(__xludf.DUMMYFUNCTION("IF(A3628&lt;&gt;"""", GOOGLETRANSLATE(A3628, ""en"", ""te""),"""")"),"")</f>
        <v/>
      </c>
      <c r="C3628" s="2"/>
      <c r="D3628" s="2" t="str">
        <f>IFERROR(__xludf.DUMMYFUNCTION("IF(C3628&lt;&gt;"""", GOOGLETRANSLATE(C3628, ""en"", ""te""),"""")"),"")</f>
        <v/>
      </c>
      <c r="E3628" s="2"/>
      <c r="F3628" s="2" t="str">
        <f>IFERROR(__xludf.DUMMYFUNCTION("IF(E3628&lt;&gt;"""", GOOGLETRANSLATE(E3628, ""en"", ""te""),"""")"),"")</f>
        <v/>
      </c>
      <c r="G3628" s="2"/>
      <c r="H3628" s="2" t="str">
        <f>IFERROR(__xludf.DUMMYFUNCTION("IF(G3628&lt;&gt;"""", GOOGLETRANSLATE(G3628, ""en"", ""te""),"""")"),"")</f>
        <v/>
      </c>
      <c r="I3628" s="3"/>
    </row>
    <row r="3629" customHeight="1" spans="1:9">
      <c r="A3629" s="2"/>
      <c r="B3629" s="2" t="str">
        <f>IFERROR(__xludf.DUMMYFUNCTION("IF(A3629&lt;&gt;"""", GOOGLETRANSLATE(A3629, ""en"", ""te""),"""")"),"")</f>
        <v/>
      </c>
      <c r="C3629" s="2"/>
      <c r="D3629" s="2" t="str">
        <f>IFERROR(__xludf.DUMMYFUNCTION("IF(C3629&lt;&gt;"""", GOOGLETRANSLATE(C3629, ""en"", ""te""),"""")"),"")</f>
        <v/>
      </c>
      <c r="E3629" s="2"/>
      <c r="F3629" s="2" t="str">
        <f>IFERROR(__xludf.DUMMYFUNCTION("IF(E3629&lt;&gt;"""", GOOGLETRANSLATE(E3629, ""en"", ""te""),"""")"),"")</f>
        <v/>
      </c>
      <c r="G3629" s="2"/>
      <c r="H3629" s="2" t="str">
        <f>IFERROR(__xludf.DUMMYFUNCTION("IF(G3629&lt;&gt;"""", GOOGLETRANSLATE(G3629, ""en"", ""te""),"""")"),"")</f>
        <v/>
      </c>
      <c r="I3629" s="3"/>
    </row>
    <row r="3630" customHeight="1" spans="1:9">
      <c r="A3630" s="2" t="s">
        <v>2285</v>
      </c>
      <c r="B3630" s="2" t="str">
        <f>IFERROR(__xludf.DUMMYFUNCTION("IF(A3630&lt;&gt;"""", GOOGLETRANSLATE(A3630, ""en"", ""te""),"""")"),"[ '1st అత్యుత్తమ ఇన్నింగ్స్ లో విశ్లేషణలు బౌలింగ్ (1/0)', ​​'1st బెస్ట్ కెరీర్ (అర్హత లేకుండా) సగటు బౌలింగ్ (0.00)']")</f>
        <v>[ '1st అత్యుత్తమ ఇన్నింగ్స్ లో విశ్లేషణలు బౌలింగ్ (1/0)', ​​'1st బెస్ట్ కెరీర్ (అర్హత లేకుండా) సగటు బౌలింగ్ (0.00)']</v>
      </c>
      <c r="C3630" s="2" t="s">
        <v>2285</v>
      </c>
      <c r="D3630" s="2" t="str">
        <f>IFERROR(__xludf.DUMMYFUNCTION("IF(C3630&lt;&gt;"""", GOOGLETRANSLATE(C3630, ""en"", ""te""),"""")"),"[ '1st అత్యుత్తమ ఇన్నింగ్స్ లో విశ్లేషణలు బౌలింగ్ (1/0)', ​​'1st బెస్ట్ కెరీర్ (అర్హత లేకుండా) సగటు బౌలింగ్ (0.00)']")</f>
        <v>[ '1st అత్యుత్తమ ఇన్నింగ్స్ లో విశ్లేషణలు బౌలింగ్ (1/0)', ​​'1st బెస్ట్ కెరీర్ (అర్హత లేకుండా) సగటు బౌలింగ్ (0.00)']</v>
      </c>
      <c r="E3630" s="2"/>
      <c r="F3630" s="2" t="str">
        <f>IFERROR(__xludf.DUMMYFUNCTION("IF(E3630&lt;&gt;"""", GOOGLETRANSLATE(E3630, ""en"", ""te""),"""")"),"")</f>
        <v/>
      </c>
      <c r="G3630" s="2"/>
      <c r="H3630" s="2" t="str">
        <f>IFERROR(__xludf.DUMMYFUNCTION("IF(G3630&lt;&gt;"""", GOOGLETRANSLATE(G3630, ""en"", ""te""),"""")"),"")</f>
        <v/>
      </c>
      <c r="I3630" s="3"/>
    </row>
    <row r="3631" customHeight="1" spans="1:9">
      <c r="A3631" s="2"/>
      <c r="B3631" s="2" t="str">
        <f>IFERROR(__xludf.DUMMYFUNCTION("IF(A3631&lt;&gt;"""", GOOGLETRANSLATE(A3631, ""en"", ""te""),"""")"),"")</f>
        <v/>
      </c>
      <c r="C3631" s="2"/>
      <c r="D3631" s="2" t="str">
        <f>IFERROR(__xludf.DUMMYFUNCTION("IF(C3631&lt;&gt;"""", GOOGLETRANSLATE(C3631, ""en"", ""te""),"""")"),"")</f>
        <v/>
      </c>
      <c r="E3631" s="2" t="s">
        <v>2504</v>
      </c>
      <c r="F3631" s="2" t="str">
        <f>IFERROR(__xludf.DUMMYFUNCTION("IF(E3631&lt;&gt;"""", GOOGLETRANSLATE(E3631, ""en"", ""te""),"""")"),"[ '43 వ లాంగెస్ట్ క్రీడాకారులు (60y 34d) నివసించారు']")</f>
        <v>[ '43 వ లాంగెస్ట్ క్రీడాకారులు (60y 34d) నివసించారు']</v>
      </c>
      <c r="G3631" s="2"/>
      <c r="H3631" s="2" t="str">
        <f>IFERROR(__xludf.DUMMYFUNCTION("IF(G3631&lt;&gt;"""", GOOGLETRANSLATE(G3631, ""en"", ""te""),"""")"),"")</f>
        <v/>
      </c>
      <c r="I3631" s="3"/>
    </row>
    <row r="3632" customHeight="1" spans="1:9">
      <c r="A3632" s="2" t="s">
        <v>2505</v>
      </c>
      <c r="B3632" s="2" t="str">
        <f>IFERROR(__xludf.DUMMYFUNCTION("IF(A3632&lt;&gt;"""", GOOGLETRANSLATE(A3632, ""en"", ""te""),"""")"),"[ 'ఒక మ్యాచ్లో 6 వ ఉత్తమ బొమ్మలు (15)', 'ఫాస్టెస్ట్ 100 వికెట్లు 7 వ (19)']")</f>
        <v>[ 'ఒక మ్యాచ్లో 6 వ ఉత్తమ బొమ్మలు (15)', 'ఫాస్టెస్ట్ 100 వికెట్లు 7 వ (19)']</v>
      </c>
      <c r="C3632" s="2" t="s">
        <v>2506</v>
      </c>
      <c r="D3632" s="2" t="str">
        <f>IFERROR(__xludf.DUMMYFUNCTION("IF(C3632&lt;&gt;"""", GOOGLETRANSLATE(C3632, ""en"", ""te""),"""")"),"[ '50 వ ఉత్తమ ఇన్నింగ్స్ లో సంఖ్యలు (8/59)', 'ఒక మ్యాచ్లో 6 వ ఉత్తమ బొమ్మలు (15)', '12 వ సగటు (18.63) బౌలింగ్ ఉత్తమ జీవితం' '15 వ ఉత్తమ కెరీర్ సమ్మె రేటు (45.4)', ' 19 అత్యంత పది వికెట్లు లో ఒక మ్యాచ్ ఒక కెరీర్ (4) ',' 18 వ వరుస ఐదు వికెట్ల లో-ఒక-ఇన్నింగ్"&amp;"స్ (3) ',' ఫాస్టెస్ట్ 100 వికెట్లు 7 వ (19) లో ']")</f>
        <v>[ '50 వ ఉత్తమ ఇన్నింగ్స్ లో సంఖ్యలు (8/59)', 'ఒక మ్యాచ్లో 6 వ ఉత్తమ బొమ్మలు (15)', '12 వ సగటు (18.63) బౌలింగ్ ఉత్తమ జీవితం' '15 వ ఉత్తమ కెరీర్ సమ్మె రేటు (45.4)', ' 19 అత్యంత పది వికెట్లు లో ఒక మ్యాచ్ ఒక కెరీర్ (4) ',' 18 వ వరుస ఐదు వికెట్ల లో-ఒక-ఇన్నింగ్స్ (3) ',' ఫాస్టెస్ట్ 100 వికెట్లు 7 వ (19) లో ']</v>
      </c>
      <c r="E3632" s="2"/>
      <c r="F3632" s="2" t="str">
        <f>IFERROR(__xludf.DUMMYFUNCTION("IF(E3632&lt;&gt;"""", GOOGLETRANSLATE(E3632, ""en"", ""te""),"""")"),"")</f>
        <v/>
      </c>
      <c r="G3632" s="2"/>
      <c r="H3632" s="2" t="str">
        <f>IFERROR(__xludf.DUMMYFUNCTION("IF(G3632&lt;&gt;"""", GOOGLETRANSLATE(G3632, ""en"", ""te""),"""")"),"")</f>
        <v/>
      </c>
      <c r="I3632" s="3"/>
    </row>
    <row r="3633" customHeight="1" spans="1:9">
      <c r="A3633" s="2"/>
      <c r="B3633" s="2" t="str">
        <f>IFERROR(__xludf.DUMMYFUNCTION("IF(A3633&lt;&gt;"""", GOOGLETRANSLATE(A3633, ""en"", ""te""),"""")"),"")</f>
        <v/>
      </c>
      <c r="C3633" s="2"/>
      <c r="D3633" s="2" t="str">
        <f>IFERROR(__xludf.DUMMYFUNCTION("IF(C3633&lt;&gt;"""", GOOGLETRANSLATE(C3633, ""en"", ""te""),"""")"),"")</f>
        <v/>
      </c>
      <c r="E3633" s="2"/>
      <c r="F3633" s="2" t="str">
        <f>IFERROR(__xludf.DUMMYFUNCTION("IF(E3633&lt;&gt;"""", GOOGLETRANSLATE(E3633, ""en"", ""te""),"""")"),"")</f>
        <v/>
      </c>
      <c r="G3633" s="2"/>
      <c r="H3633" s="2" t="str">
        <f>IFERROR(__xludf.DUMMYFUNCTION("IF(G3633&lt;&gt;"""", GOOGLETRANSLATE(G3633, ""en"", ""te""),"""")"),"")</f>
        <v/>
      </c>
      <c r="I3633" s="3"/>
    </row>
    <row r="3634" customHeight="1" spans="1:9">
      <c r="A3634" s="2"/>
      <c r="B3634" s="2" t="str">
        <f>IFERROR(__xludf.DUMMYFUNCTION("IF(A3634&lt;&gt;"""", GOOGLETRANSLATE(A3634, ""en"", ""te""),"""")"),"")</f>
        <v/>
      </c>
      <c r="C3634" s="2"/>
      <c r="D3634" s="2" t="str">
        <f>IFERROR(__xludf.DUMMYFUNCTION("IF(C3634&lt;&gt;"""", GOOGLETRANSLATE(C3634, ""en"", ""te""),"""")"),"")</f>
        <v/>
      </c>
      <c r="E3634" s="2"/>
      <c r="F3634" s="2" t="str">
        <f>IFERROR(__xludf.DUMMYFUNCTION("IF(E3634&lt;&gt;"""", GOOGLETRANSLATE(E3634, ""en"", ""te""),"""")"),"")</f>
        <v/>
      </c>
      <c r="G3634" s="2"/>
      <c r="H3634" s="2" t="str">
        <f>IFERROR(__xludf.DUMMYFUNCTION("IF(G3634&lt;&gt;"""", GOOGLETRANSLATE(G3634, ""en"", ""te""),"""")"),"")</f>
        <v/>
      </c>
      <c r="I3634" s="3"/>
    </row>
    <row r="3635" customHeight="1" spans="1:9">
      <c r="A3635" s="2"/>
      <c r="B3635" s="2" t="str">
        <f>IFERROR(__xludf.DUMMYFUNCTION("IF(A3635&lt;&gt;"""", GOOGLETRANSLATE(A3635, ""en"", ""te""),"""")"),"")</f>
        <v/>
      </c>
      <c r="C3635" s="2" t="s">
        <v>2507</v>
      </c>
      <c r="D3635" s="2" t="str">
        <f>IFERROR(__xludf.DUMMYFUNCTION("IF(C3635&lt;&gt;"""", GOOGLETRANSLATE(C3635, ""en"", ""te""),"""")"),"[ '46 వ అంపాయర్ (27) గా అత్యధిక మ్యాచ్లు']")</f>
        <v>[ '46 వ అంపాయర్ (27) గా అత్యధిక మ్యాచ్లు']</v>
      </c>
      <c r="E3635" s="2" t="s">
        <v>2508</v>
      </c>
      <c r="F3635" s="2" t="str">
        <f>IFERROR(__xludf.DUMMYFUNCTION("IF(E3635&lt;&gt;"""", GOOGLETRANSLATE(E3635, ""en"", ""te""),"""")"),"[ '29 అంపాయర్ (72) గా అత్యధిక మ్యాచ్లు']")</f>
        <v>[ '29 అంపాయర్ (72) గా అత్యధిక మ్యాచ్లు']</v>
      </c>
      <c r="G3635" s="2" t="s">
        <v>2509</v>
      </c>
      <c r="H3635" s="2" t="str">
        <f>IFERROR(__xludf.DUMMYFUNCTION("IF(G3635&lt;&gt;"""", GOOGLETRANSLATE(G3635, ""en"", ""te""),"""")"),"[ '38 వ అంపాయర్ (19) గా అత్యధిక మ్యాచ్లు']")</f>
        <v>[ '38 వ అంపాయర్ (19) గా అత్యధిక మ్యాచ్లు']</v>
      </c>
      <c r="I3635" s="3"/>
    </row>
    <row r="3636" customHeight="1" spans="1:9">
      <c r="A3636" s="2"/>
      <c r="B3636" s="2" t="str">
        <f>IFERROR(__xludf.DUMMYFUNCTION("IF(A3636&lt;&gt;"""", GOOGLETRANSLATE(A3636, ""en"", ""te""),"""")"),"")</f>
        <v/>
      </c>
      <c r="C3636" s="2" t="s">
        <v>2510</v>
      </c>
      <c r="D3636" s="2" t="str">
        <f>IFERROR(__xludf.DUMMYFUNCTION("IF(C3636&lt;&gt;"""", GOOGLETRANSLATE(C3636, ""en"", ""te""),"""")"),"[ '33 వ అత్యధిక ఇన్నింగ్స్ బై (560 / 6d) గూడా ఇవ్వకుండా మొత్తం']")</f>
        <v>[ '33 వ అత్యధిక ఇన్నింగ్స్ బై (560 / 6d) గూడా ఇవ్వకుండా మొత్తం']</v>
      </c>
      <c r="E3636" s="2"/>
      <c r="F3636" s="2" t="str">
        <f>IFERROR(__xludf.DUMMYFUNCTION("IF(E3636&lt;&gt;"""", GOOGLETRANSLATE(E3636, ""en"", ""te""),"""")"),"")</f>
        <v/>
      </c>
      <c r="G3636" s="2"/>
      <c r="H3636" s="2" t="str">
        <f>IFERROR(__xludf.DUMMYFUNCTION("IF(G3636&lt;&gt;"""", GOOGLETRANSLATE(G3636, ""en"", ""te""),"""")"),"")</f>
        <v/>
      </c>
      <c r="I3636" s="3"/>
    </row>
    <row r="3637" customHeight="1" spans="1:9">
      <c r="A3637" s="2" t="s">
        <v>2511</v>
      </c>
      <c r="B3637" s="2" t="str">
        <f>IFERROR(__xludf.DUMMYFUNCTION("IF(A3637&lt;&gt;"""", GOOGLETRANSLATE(A3637, ""en"", ""te""),"""")"),"[ 'వరుస 2 వ అత్యధిక క్యాచ్లు (49)', '2000 పరుగులు మరియు 100 వికెట్ కీపింగ్ తొలగింపులకు', '1 వ ఇన్నింగ్స్ లో అత్యధిక క్యాచ్లు (6)', '4 వ అత్యధిక పరుగులు' 1st ఎక్కువ సార్లు అవుట్ ఇన్నింగ్స్ (6) లో ' ఇన్నింగ్స్ (బ్యాటింగ్ స్థానం) లో (129) ',' 3 వ అత్యధిక కెర"&amp;"ీర్ సమ్మె రేటు (118.66) ',' 1 వ 99 పరుగుల (199, 299 etc) (99) ',' 9 వ ఇన్నింగ్స్ లో వచ్చిన ఎక్కువ సిక్స్ (12 ) ',' ఎ ఏబది ఇన్నింగ్స్ లో ఐదు తొలగింపులకు ',' ఏడవ వికెట్కు 1st అత్యధిక భాగస్వామ్యం (177) ',' 9 వ కెరీర్ లో అత్యధిక వికెట్లు (37) ',' 6 వ అత్యధిక "&amp;"క్యాచ్లు కెరీర్లో (31) ',' రెండవ వికెట్కు 1st అత్యధిక భాగస్వామ్యం (167 *) ']")</f>
        <v>[ 'వరుస 2 వ అత్యధిక క్యాచ్లు (49)', '2000 పరుగులు మరియు 100 వికెట్ కీపింగ్ తొలగింపులకు', '1 వ ఇన్నింగ్స్ లో అత్యధిక క్యాచ్లు (6)', '4 వ అత్యధిక పరుగులు' 1st ఎక్కువ సార్లు అవుట్ ఇన్నింగ్స్ (6) లో ' ఇన్నింగ్స్ (బ్యాటింగ్ స్థానం) లో (129) ',' 3 వ అత్యధిక కెరీర్ సమ్మె రేటు (118.66) ',' 1 వ 99 పరుగుల (199, 299 etc) (99) ',' 9 వ ఇన్నింగ్స్ లో వచ్చిన ఎక్కువ సిక్స్ (12 ) ',' ఎ ఏబది ఇన్నింగ్స్ లో ఐదు తొలగింపులకు ',' ఏడవ వికెట్కు 1st అత్యధిక భాగస్వామ్యం (177) ',' 9 వ కెరీర్ లో అత్యధిక వికెట్లు (37) ',' 6 వ అత్యధిక క్యాచ్లు కెరీర్లో (31) ',' రెండవ వికెట్కు 1st అత్యధిక భాగస్వామ్యం (167 *) ']</v>
      </c>
      <c r="C3637" s="2" t="s">
        <v>2512</v>
      </c>
      <c r="D3637" s="2" t="str">
        <f>IFERROR(__xludf.DUMMYFUNCTION("IF(C3637&lt;&gt;"""", GOOGLETRANSLATE(C3637, ""en"", ""te""),"""")"),"[ 'అత్యధిక వికెట్లు ఇన్నింగ్స్ 37 వ అత్యధిక పరుగులు (152)', 'కెరీర్లో 41 వ అత్యధిక క్యాచ్లు (100)' '47 వ అత్యధిక కెరీర్ లో వికెట్లు (101)', 'వరుస 2 వ అత్యధిక క్యాచ్లు (49)', '20 వ అత్యంత బైలు ఇన్నింగ్స్ (26) లో సాధించిన]")</f>
        <v>[ 'అత్యధిక వికెట్లు ఇన్నింగ్స్ 37 వ అత్యధిక పరుగులు (152)', 'కెరీర్లో 41 వ అత్యధిక క్యాచ్లు (100)' '47 వ అత్యధిక కెరీర్ లో వికెట్లు (101)', 'వరుస 2 వ అత్యధిక క్యాచ్లు (49)', '20 వ అత్యంత బైలు ఇన్నింగ్స్ (26) లో సాధించిన]</v>
      </c>
      <c r="E3637" s="2" t="s">
        <v>2513</v>
      </c>
      <c r="F3637" s="2" t="str">
        <f>IFERROR(__xludf.DUMMYFUNCTION("IF(E3637&lt;&gt;"""", GOOGLETRANSLATE(E3637, ""en"", ""te""),"""")"),"[ 'ఇన్నింగ్స్ లో 4 వ అత్యధిక పరుగులు (బ్యాటింగ్ స్థానంలో ప్రకారం) (129)', 'అత్యధిక వికెట్లు 41 వ ఒక సిరీస్లో అత్యధిక పరుగులు (312)', 'అత్యధిక వికెట్లు ఇన్నింగ్స్ లో 11 వ అత్యధిక పరుగులు (150)', '3 వ అత్యధిక కెరీర్ సమ్మె రేటు (118.66) ',' 17 వ అత్యధిక సమ్మ"&amp;"ె ఇన్నింగ్స్ లో రేటు (293.75) ',' 34 వ కెరీర్ తొంభైల (4) ',' 1 వ 99 (199, 299 etc) (99) అవుటయ్యాడు ', 'కెరీర్ లో 26 వ ఎక్కువ సిక్స్ (125)', 'ఇన్నింగ్స్ లో 9 వ ఎక్కువ సిక్స్ (12)', 'వికెట్ తేడాతో 7 వ అత్యధిక భాగస్వామ్యాల (7)' '14 వ అత్యంత ఇన్నింగ్స్ లో ఫో"&amp;"ర్లు, సిక్సర్లు నుండి పరుగులు (124)', 'ఏడో వికెట్కు 1st అత్యధిక భాగస్వామ్యం (177)', 'తొమ్మిదవ వికెట్కు 20 వ అత్యధిక భాగస్వామ్యం (81)', 'వికెట్ను కాపాడుకున్నాడు చేసిన 20 వ కెప్టెన్ల (8)', '10 వ కెరీర్ లో అత్యధిక వికెట్లు (213)', ' వరుస ఇన్నింగ్స్ లో 1 వ అత"&amp;"్యధిక వికెట్లు (6) ',' 46 వ అత్యధిక వికెట్లు (14) ',' 11 వ అత్యధిక క్యాచ్లు కెరీర్లో (181) ',' 1 వ ఇన్నింగ్స్ లో అత్యధిక క్యాచ్లు (6) ',' 12 వ అత్యంత స్టంపింగ్లు కెరీర్లో (32) ', '21 వ ఒక సిరీస్లో అత్యధిక స్టంపింగ్లు (4)', '23 వ ఇన్నింగ్స్ లో సాధించిన బై"&amp;"స్ (10)']")</f>
        <v>[ 'ఇన్నింగ్స్ లో 4 వ అత్యధిక పరుగులు (బ్యాటింగ్ స్థానంలో ప్రకారం) (129)', 'అత్యధిక వికెట్లు 41 వ ఒక సిరీస్లో అత్యధిక పరుగులు (312)', 'అత్యధిక వికెట్లు ఇన్నింగ్స్ లో 11 వ అత్యధిక పరుగులు (150)', '3 వ అత్యధిక కెరీర్ సమ్మె రేటు (118.66) ',' 17 వ అత్యధిక సమ్మె ఇన్నింగ్స్ లో రేటు (293.75) ',' 34 వ కెరీర్ తొంభైల (4) ',' 1 వ 99 (199, 299 etc) (99) అవుటయ్యాడు ', 'కెరీర్ లో 26 వ ఎక్కువ సిక్స్ (125)', 'ఇన్నింగ్స్ లో 9 వ ఎక్కువ సిక్స్ (12)', 'వికెట్ తేడాతో 7 వ అత్యధిక భాగస్వామ్యాల (7)' '14 వ అత్యంత ఇన్నింగ్స్ లో ఫోర్లు, సిక్సర్లు నుండి పరుగులు (124)', 'ఏడో వికెట్కు 1st అత్యధిక భాగస్వామ్యం (177)', 'తొమ్మిదవ వికెట్కు 20 వ అత్యధిక భాగస్వామ్యం (81)', 'వికెట్ను కాపాడుకున్నాడు చేసిన 20 వ కెప్టెన్ల (8)', '10 వ కెరీర్ లో అత్యధిక వికెట్లు (213)', ' వరుస ఇన్నింగ్స్ లో 1 వ అత్యధిక వికెట్లు (6) ',' 46 వ అత్యధిక వికెట్లు (14) ',' 11 వ అత్యధిక క్యాచ్లు కెరీర్లో (181) ',' 1 వ ఇన్నింగ్స్ లో అత్యధిక క్యాచ్లు (6) ',' 12 వ అత్యంత స్టంపింగ్లు కెరీర్లో (32) ', '21 వ ఒక సిరీస్లో అత్యధిక స్టంపింగ్లు (4)', '23 వ ఇన్నింగ్స్ లో సాధించిన బైస్ (10)']</v>
      </c>
      <c r="G3637" s="2" t="s">
        <v>2514</v>
      </c>
      <c r="H3637" s="2" t="str">
        <f>IFERROR(__xludf.DUMMYFUNCTION("IF(G3637&lt;&gt;"""", GOOGLETRANSLATE(G3637, ""en"", ""te""),"""")"),"[ '20 వ కెరీర్ లో అత్యధిక పరుగులు (1723)', '27 వ ఇన్నింగ్స్ లో అత్యధిక పరుగులు (బ్యాటింగ్ స్థానంలో ప్రకారం) (54)', 'అత్యధిక వికెట్లు ఇన్నింగ్స్ లో 13 వ అత్యధిక పరుగులు (83 *)', '45 వ అత్యధిక కెరీర్ బ్యాటింగ్ సగటు (30.22) ',' 33 వ అత్యధిక కెరీర్ సమ్మె రేటు"&amp;" (140.99) ',' ఇన్నింగ్స్ లో 16 వ అత్యధిక స్ట్రైక్ రేట్ (320.00) ',' 17 వ కెరీర్ అర్ధ (12) ',' 38 వ అత్యంత ఇన్నింగ్స్ తొలి డక్ ముందు (18 ) ',' కెరీర్లో 34 వ అతి తక్కువ బాతులు (17.75) ',' 16 వ కెరీర్ లో వచ్చిన ఎక్కువ సిక్స్ (74) ',' 25 వ అత్యంత ఫోర్లు కెరీ"&amp;"ర్లో (144) ',' ఏ వికెట్కు 9 వ అత్యధిక భాగస్వామ్యాల (167 *) ',' వికెట్ తేడాతో 2nd అత్యధిక భాగస్వామ్యాల (2 వ) ',' రెండవ వికెట్కు 1st అత్యధిక భాగస్వామ్యం (167 *) ',' మూడో వికెట్ (114 *) 19 వ అత్యధిక భాగస్వామ్యం ',' ఎనిమిదవ వికెట్కు 42 వ అత్యధిక భాగస్వామ్యం ("&amp;"35) ' 'కెరీర్లో 23 వ అత్యధిక మ్యాచ్లు (79)', 'ఒక జట్టు కోసం 24 వరుస మ్యాచ్లు (37)', '28 వ అతి ప్లేయర్ ఆఫ్ ది మ్యాచ్ అవార్డులు (5)', '36 వ పిన్న కాప్టెన్ (25y 80D)' 'వికెట్ (4) ఉంచింది చేసిన 18 వ కెప్టెన్ల', 'కెరీర్లో 9 వ అత్యధిక వికెట్లు (37)', '6 వ అత్యం"&amp;"త పిల్లి కెరీర్లో చెస్ట్ (31) ',' 13 వ ఇన్నింగ్స్ లో అత్యధిక క్యాచ్లు (3) ',' 17 వ కెరీర్ స్టంపింగ్లు (6) ',' 32 వ అత్యంత ఇన్నింగ్స్ లో సాధించిన బైస్ (5) ']")</f>
        <v>[ '20 వ కెరీర్ లో అత్యధిక పరుగులు (1723)', '27 వ ఇన్నింగ్స్ లో అత్యధిక పరుగులు (బ్యాటింగ్ స్థానంలో ప్రకారం) (54)', 'అత్యధిక వికెట్లు ఇన్నింగ్స్ లో 13 వ అత్యధిక పరుగులు (83 *)', '45 వ అత్యధిక కెరీర్ బ్యాటింగ్ సగటు (30.22) ',' 33 వ అత్యధిక కెరీర్ సమ్మె రేటు (140.99) ',' ఇన్నింగ్స్ లో 16 వ అత్యధిక స్ట్రైక్ రేట్ (320.00) ',' 17 వ కెరీర్ అర్ధ (12) ',' 38 వ అత్యంత ఇన్నింగ్స్ తొలి డక్ ముందు (18 ) ',' కెరీర్లో 34 వ అతి తక్కువ బాతులు (17.75) ',' 16 వ కెరీర్ లో వచ్చిన ఎక్కువ సిక్స్ (74) ',' 25 వ అత్యంత ఫోర్లు కెరీర్లో (144) ',' ఏ వికెట్కు 9 వ అత్యధిక భాగస్వామ్యాల (167 *) ',' వికెట్ తేడాతో 2nd అత్యధిక భాగస్వామ్యాల (2 వ) ',' రెండవ వికెట్కు 1st అత్యధిక భాగస్వామ్యం (167 *) ',' మూడో వికెట్ (114 *) 19 వ అత్యధిక భాగస్వామ్యం ',' ఎనిమిదవ వికెట్కు 42 వ అత్యధిక భాగస్వామ్యం (35) ' 'కెరీర్లో 23 వ అత్యధిక మ్యాచ్లు (79)', 'ఒక జట్టు కోసం 24 వరుస మ్యాచ్లు (37)', '28 వ అతి ప్లేయర్ ఆఫ్ ది మ్యాచ్ అవార్డులు (5)', '36 వ పిన్న కాప్టెన్ (25y 80D)' 'వికెట్ (4) ఉంచింది చేసిన 18 వ కెప్టెన్ల', 'కెరీర్లో 9 వ అత్యధిక వికెట్లు (37)', '6 వ అత్యంత పిల్లి కెరీర్లో చెస్ట్ (31) ',' 13 వ ఇన్నింగ్స్ లో అత్యధిక క్యాచ్లు (3) ',' 17 వ కెరీర్ స్టంపింగ్లు (6) ',' 32 వ అత్యంత ఇన్నింగ్స్ లో సాధించిన బైస్ (5) ']</v>
      </c>
      <c r="I3637" s="3"/>
    </row>
    <row r="3638" customHeight="1" spans="1:9">
      <c r="A3638" s="2"/>
      <c r="B3638" s="2" t="str">
        <f>IFERROR(__xludf.DUMMYFUNCTION("IF(A3638&lt;&gt;"""", GOOGLETRANSLATE(A3638, ""en"", ""te""),"""")"),"")</f>
        <v/>
      </c>
      <c r="C3638" s="2"/>
      <c r="D3638" s="2" t="str">
        <f>IFERROR(__xludf.DUMMYFUNCTION("IF(C3638&lt;&gt;"""", GOOGLETRANSLATE(C3638, ""en"", ""te""),"""")"),"")</f>
        <v/>
      </c>
      <c r="E3638" s="2"/>
      <c r="F3638" s="2" t="str">
        <f>IFERROR(__xludf.DUMMYFUNCTION("IF(E3638&lt;&gt;"""", GOOGLETRANSLATE(E3638, ""en"", ""te""),"""")"),"")</f>
        <v/>
      </c>
      <c r="G3638" s="2"/>
      <c r="H3638" s="2" t="str">
        <f>IFERROR(__xludf.DUMMYFUNCTION("IF(G3638&lt;&gt;"""", GOOGLETRANSLATE(G3638, ""en"", ""te""),"""")"),"")</f>
        <v/>
      </c>
      <c r="I3638" s="3"/>
    </row>
    <row r="3639" customHeight="1" spans="1:9">
      <c r="A3639" s="2"/>
      <c r="B3639" s="2" t="str">
        <f>IFERROR(__xludf.DUMMYFUNCTION("IF(A3639&lt;&gt;"""", GOOGLETRANSLATE(A3639, ""en"", ""te""),"""")"),"")</f>
        <v/>
      </c>
      <c r="C3639" s="2"/>
      <c r="D3639" s="2" t="str">
        <f>IFERROR(__xludf.DUMMYFUNCTION("IF(C3639&lt;&gt;"""", GOOGLETRANSLATE(C3639, ""en"", ""te""),"""")"),"")</f>
        <v/>
      </c>
      <c r="E3639" s="2"/>
      <c r="F3639" s="2" t="str">
        <f>IFERROR(__xludf.DUMMYFUNCTION("IF(E3639&lt;&gt;"""", GOOGLETRANSLATE(E3639, ""en"", ""te""),"""")"),"")</f>
        <v/>
      </c>
      <c r="G3639" s="2"/>
      <c r="H3639" s="2" t="str">
        <f>IFERROR(__xludf.DUMMYFUNCTION("IF(G3639&lt;&gt;"""", GOOGLETRANSLATE(G3639, ""en"", ""te""),"""")"),"")</f>
        <v/>
      </c>
      <c r="I3639" s="3"/>
    </row>
    <row r="3640" customHeight="1" spans="1:9">
      <c r="A3640" s="2"/>
      <c r="B3640" s="2" t="str">
        <f>IFERROR(__xludf.DUMMYFUNCTION("IF(A3640&lt;&gt;"""", GOOGLETRANSLATE(A3640, ""en"", ""te""),"""")"),"")</f>
        <v/>
      </c>
      <c r="C3640" s="2"/>
      <c r="D3640" s="2" t="str">
        <f>IFERROR(__xludf.DUMMYFUNCTION("IF(C3640&lt;&gt;"""", GOOGLETRANSLATE(C3640, ""en"", ""te""),"""")"),"")</f>
        <v/>
      </c>
      <c r="E3640" s="2"/>
      <c r="F3640" s="2" t="str">
        <f>IFERROR(__xludf.DUMMYFUNCTION("IF(E3640&lt;&gt;"""", GOOGLETRANSLATE(E3640, ""en"", ""te""),"""")"),"")</f>
        <v/>
      </c>
      <c r="G3640" s="2"/>
      <c r="H3640" s="2" t="str">
        <f>IFERROR(__xludf.DUMMYFUNCTION("IF(G3640&lt;&gt;"""", GOOGLETRANSLATE(G3640, ""en"", ""te""),"""")"),"")</f>
        <v/>
      </c>
      <c r="I3640" s="3"/>
    </row>
    <row r="3641" customHeight="1" spans="1:9">
      <c r="A3641" s="2"/>
      <c r="B3641" s="2" t="str">
        <f>IFERROR(__xludf.DUMMYFUNCTION("IF(A3641&lt;&gt;"""", GOOGLETRANSLATE(A3641, ""en"", ""te""),"""")"),"")</f>
        <v/>
      </c>
      <c r="C3641" s="2"/>
      <c r="D3641" s="2" t="str">
        <f>IFERROR(__xludf.DUMMYFUNCTION("IF(C3641&lt;&gt;"""", GOOGLETRANSLATE(C3641, ""en"", ""te""),"""")"),"")</f>
        <v/>
      </c>
      <c r="E3641" s="2"/>
      <c r="F3641" s="2" t="str">
        <f>IFERROR(__xludf.DUMMYFUNCTION("IF(E3641&lt;&gt;"""", GOOGLETRANSLATE(E3641, ""en"", ""te""),"""")"),"")</f>
        <v/>
      </c>
      <c r="G3641" s="2"/>
      <c r="H3641" s="2" t="str">
        <f>IFERROR(__xludf.DUMMYFUNCTION("IF(G3641&lt;&gt;"""", GOOGLETRANSLATE(G3641, ""en"", ""te""),"""")"),"")</f>
        <v/>
      </c>
      <c r="I3641" s="3"/>
    </row>
    <row r="3642" customHeight="1" spans="1:9">
      <c r="A3642" s="2"/>
      <c r="B3642" s="2" t="str">
        <f>IFERROR(__xludf.DUMMYFUNCTION("IF(A3642&lt;&gt;"""", GOOGLETRANSLATE(A3642, ""en"", ""te""),"""")"),"")</f>
        <v/>
      </c>
      <c r="C3642" s="2"/>
      <c r="D3642" s="2" t="str">
        <f>IFERROR(__xludf.DUMMYFUNCTION("IF(C3642&lt;&gt;"""", GOOGLETRANSLATE(C3642, ""en"", ""te""),"""")"),"")</f>
        <v/>
      </c>
      <c r="E3642" s="2"/>
      <c r="F3642" s="2" t="str">
        <f>IFERROR(__xludf.DUMMYFUNCTION("IF(E3642&lt;&gt;"""", GOOGLETRANSLATE(E3642, ""en"", ""te""),"""")"),"")</f>
        <v/>
      </c>
      <c r="G3642" s="2"/>
      <c r="H3642" s="2" t="str">
        <f>IFERROR(__xludf.DUMMYFUNCTION("IF(G3642&lt;&gt;"""", GOOGLETRANSLATE(G3642, ""en"", ""te""),"""")"),"")</f>
        <v/>
      </c>
      <c r="I3642" s="3"/>
    </row>
    <row r="3643" customHeight="1" spans="1:9">
      <c r="A3643" s="2"/>
      <c r="B3643" s="2" t="str">
        <f>IFERROR(__xludf.DUMMYFUNCTION("IF(A3643&lt;&gt;"""", GOOGLETRANSLATE(A3643, ""en"", ""te""),"""")"),"")</f>
        <v/>
      </c>
      <c r="C3643" s="2"/>
      <c r="D3643" s="2" t="str">
        <f>IFERROR(__xludf.DUMMYFUNCTION("IF(C3643&lt;&gt;"""", GOOGLETRANSLATE(C3643, ""en"", ""te""),"""")"),"")</f>
        <v/>
      </c>
      <c r="E3643" s="2"/>
      <c r="F3643" s="2" t="str">
        <f>IFERROR(__xludf.DUMMYFUNCTION("IF(E3643&lt;&gt;"""", GOOGLETRANSLATE(E3643, ""en"", ""te""),"""")"),"")</f>
        <v/>
      </c>
      <c r="G3643" s="2"/>
      <c r="H3643" s="2" t="str">
        <f>IFERROR(__xludf.DUMMYFUNCTION("IF(G3643&lt;&gt;"""", GOOGLETRANSLATE(G3643, ""en"", ""te""),"""")"),"")</f>
        <v/>
      </c>
      <c r="I3643" s="3"/>
    </row>
    <row r="3644" customHeight="1" spans="1:9">
      <c r="A3644" s="2" t="s">
        <v>2515</v>
      </c>
      <c r="B3644" s="2" t="str">
        <f>IFERROR(__xludf.DUMMYFUNCTION("IF(A3644&lt;&gt;"""", GOOGLETRANSLATE(A3644, ""en"", ""te""),"""")"),"[ 'కెరీర్లో 6 వ లేవు బాతులు (20)', '4 వ వరుస మ్యాచ్లు ఆడి మధ్య జట్టుకు దూరమయ్యాడు (68)', '1st పిన్న కాప్టెన్ (19y 260d)', '3 వ అత్యంత ఇన్నింగ్స్ లో నడుస్తుంది (బ్యాటింగ్ స్థానం) (107 *) ',' కెరీర్ లో 1 వ అతి తక్కువ బాతులు (42) ',' 1 వ అత్యుత్తమ బౌలింగ్ ఇన"&amp;"్నింగ్స్ లో విశ్లేషించడం (3/0) ',' 5 వ ఉత్తమ కెరీర్ సమ్మె రేటు (29.4) ',' 1 వ ఇన్నింగ్స్ లో అత్యధిక పరుగులు (39) (బ్యాటింగ్ స్థానం) ']")</f>
        <v>[ 'కెరీర్లో 6 వ లేవు బాతులు (20)', '4 వ వరుస మ్యాచ్లు ఆడి మధ్య జట్టుకు దూరమయ్యాడు (68)', '1st పిన్న కాప్టెన్ (19y 260d)', '3 వ అత్యంత ఇన్నింగ్స్ లో నడుస్తుంది (బ్యాటింగ్ స్థానం) (107 *) ',' కెరీర్ లో 1 వ అతి తక్కువ బాతులు (42) ',' 1 వ అత్యుత్తమ బౌలింగ్ ఇన్నింగ్స్ లో విశ్లేషించడం (3/0) ',' 5 వ ఉత్తమ కెరీర్ సమ్మె రేటు (29.4) ',' 1 వ ఇన్నింగ్స్ లో అత్యధిక పరుగులు (39) (బ్యాటింగ్ స్థానం) ']</v>
      </c>
      <c r="C3644" s="2" t="s">
        <v>2516</v>
      </c>
      <c r="D3644" s="2" t="str">
        <f>IFERROR(__xludf.DUMMYFUNCTION("IF(C3644&lt;&gt;"""", GOOGLETRANSLATE(C3644, ""en"", ""te""),"""")"),"[ '32 వ కెరీర్ లో అత్యధిక పరుగులు (551)', '37 వ మ్యాచ్ లో అత్యధిక పరుగులు (155)', 'ఇన్నింగ్స్ లో 11 వ అత్యధిక పరుగులు (బ్యాటింగ్ స్థానంలో ప్రకారం) (101 *)', '48 వ అత్యధిక కెరీర్ బ్యాటింగ్ సగటు (30.61 ) ',' వంద (23y 259d కెరీర్లో (ఒక డక్ (20 *) లేకుండా స్క"&amp;"ోర్ 16 పిన్న ఆటగాడు) ',' 6 వ లేవు బాతులు 20) ',' 13 వ వరుస ఇన్నింగ్స్ ',' 38 వ లాంగెస్ట్ కెరీర్లు (12y 203d) ',' 17 వ వరుస మ్యాచ్లు ఆడి మధ్య జట్టు (5) తప్పిన ']")</f>
        <v>[ '32 వ కెరీర్ లో అత్యధిక పరుగులు (551)', '37 వ మ్యాచ్ లో అత్యధిక పరుగులు (155)', 'ఇన్నింగ్స్ లో 11 వ అత్యధిక పరుగులు (బ్యాటింగ్ స్థానంలో ప్రకారం) (101 *)', '48 వ అత్యధిక కెరీర్ బ్యాటింగ్ సగటు (30.61 ) ',' వంద (23y 259d కెరీర్లో (ఒక డక్ (20 *) లేకుండా స్కోర్ 16 పిన్న ఆటగాడు) ',' 6 వ లేవు బాతులు 20) ',' 13 వ వరుస ఇన్నింగ్స్ ',' 38 వ లాంగెస్ట్ కెరీర్లు (12y 203d) ',' 17 వ వరుస మ్యాచ్లు ఆడి మధ్య జట్టు (5) తప్పిన ']</v>
      </c>
      <c r="E3644" s="2" t="s">
        <v>2517</v>
      </c>
      <c r="F3644" s="2" t="str">
        <f>IFERROR(__xludf.DUMMYFUNCTION("IF(E3644&lt;&gt;"""", GOOGLETRANSLATE(E3644, ""en"", ""te""),"""")"),"[ '45 వ అత్యధిక కెరీర్ లో పరుగులు (1928)', 'ఒక క్యాలెండర్ సంవత్సరంలో 39 వ అత్యధిక పరుగులు (556)', 'ఇన్నింగ్స్ లో 3 వ అత్యధిక పరుగులు (బ్యాటింగ్ స్థానంలో ప్రకారం) (107 *)', '49 వ అత్యధిక తొలి వంద (107 *) ',' 43 వ అత్యంత అర్ధ కెరీర్లో (12) ',' 3 వ అత్యంత ఇన"&amp;"్నింగ్స్ తొలి డక్ ముందు (45) ',' ఒక డక్ లేకుండా 13 వరుస ఇన్నింగ్స్ (45) ',' 1 వ అతి తక్కువ బాతులు కెరీర్ లో (42) ' '1 వ అత్యుత్తమ బౌలింగ్ ఇన్నింగ్స్ లో విశ్లేషించడం (3/0)', ​​'5 వ ఉత్తమ కెరీర్ సమ్మె రేటు (29.4)', '13 వ చెత్త కెరీర్లో ఆర్థిక రేటు (4.51)', "&amp;"'17 వ కెరీర్ లో అత్యధిక క్యాచ్లు (40)', ' ఐదవ వికెట్కు 24 అత్యధిక భాగస్వామ్యం (97) ',' 28th లాంగెస్ట్ కెరీర్లు (14y 190d) ',' 4 వ వరుస మ్యాచ్లు ఆడి మధ్య జట్టుకు దూరమయ్యాడు (68) ',' 1st పిన్న కాప్టెన్ (19y 260d) ']")</f>
        <v>[ '45 వ అత్యధిక కెరీర్ లో పరుగులు (1928)', 'ఒక క్యాలెండర్ సంవత్సరంలో 39 వ అత్యధిక పరుగులు (556)', 'ఇన్నింగ్స్ లో 3 వ అత్యధిక పరుగులు (బ్యాటింగ్ స్థానంలో ప్రకారం) (107 *)', '49 వ అత్యధిక తొలి వంద (107 *) ',' 43 వ అత్యంత అర్ధ కెరీర్లో (12) ',' 3 వ అత్యంత ఇన్నింగ్స్ తొలి డక్ ముందు (45) ',' ఒక డక్ లేకుండా 13 వరుస ఇన్నింగ్స్ (45) ',' 1 వ అతి తక్కువ బాతులు కెరీర్ లో (42) ' '1 వ అత్యుత్తమ బౌలింగ్ ఇన్నింగ్స్ లో విశ్లేషించడం (3/0)', ​​'5 వ ఉత్తమ కెరీర్ సమ్మె రేటు (29.4)', '13 వ చెత్త కెరీర్లో ఆర్థిక రేటు (4.51)', '17 వ కెరీర్ లో అత్యధిక క్యాచ్లు (40)', ' ఐదవ వికెట్కు 24 అత్యధిక భాగస్వామ్యం (97) ',' 28th లాంగెస్ట్ కెరీర్లు (14y 190d) ',' 4 వ వరుస మ్యాచ్లు ఆడి మధ్య జట్టుకు దూరమయ్యాడు (68) ',' 1st పిన్న కాప్టెన్ (19y 260d) ']</v>
      </c>
      <c r="G3644" s="2" t="s">
        <v>2518</v>
      </c>
      <c r="H3644" s="2" t="str">
        <f>IFERROR(__xludf.DUMMYFUNCTION("IF(G3644&lt;&gt;"""", GOOGLETRANSLATE(G3644, ""en"", ""te""),"""")"),"[ '1st ఇన్నింగ్స్ లో అత్యధిక పరుగులు (బ్యాటింగ్ స్థానంలో ప్రకారం) (39)', 'ఆరవ వికెట్ (49 *) కోసం 21 వ అత్యధిక భాగస్వామ్యం', 'పదవ వికెట్కు 32 వ అత్యధిక భాగస్వామ్యం (11)']")</f>
        <v>[ '1st ఇన్నింగ్స్ లో అత్యధిక పరుగులు (బ్యాటింగ్ స్థానంలో ప్రకారం) (39)', 'ఆరవ వికెట్ (49 *) కోసం 21 వ అత్యధిక భాగస్వామ్యం', 'పదవ వికెట్కు 32 వ అత్యధిక భాగస్వామ్యం (11)']</v>
      </c>
      <c r="I3644" s="3"/>
    </row>
    <row r="3645" customHeight="1" spans="1:9">
      <c r="A3645" s="2"/>
      <c r="B3645" s="2" t="str">
        <f>IFERROR(__xludf.DUMMYFUNCTION("IF(A3645&lt;&gt;"""", GOOGLETRANSLATE(A3645, ""en"", ""te""),"""")"),"")</f>
        <v/>
      </c>
      <c r="C3645" s="2"/>
      <c r="D3645" s="2" t="str">
        <f>IFERROR(__xludf.DUMMYFUNCTION("IF(C3645&lt;&gt;"""", GOOGLETRANSLATE(C3645, ""en"", ""te""),"""")"),"")</f>
        <v/>
      </c>
      <c r="E3645" s="2"/>
      <c r="F3645" s="2" t="str">
        <f>IFERROR(__xludf.DUMMYFUNCTION("IF(E3645&lt;&gt;"""", GOOGLETRANSLATE(E3645, ""en"", ""te""),"""")"),"")</f>
        <v/>
      </c>
      <c r="G3645" s="2"/>
      <c r="H3645" s="2" t="str">
        <f>IFERROR(__xludf.DUMMYFUNCTION("IF(G3645&lt;&gt;"""", GOOGLETRANSLATE(G3645, ""en"", ""te""),"""")"),"")</f>
        <v/>
      </c>
      <c r="I3645" s="3"/>
    </row>
    <row r="3646" customHeight="1" spans="1:9">
      <c r="A3646" s="2"/>
      <c r="B3646" s="2" t="str">
        <f>IFERROR(__xludf.DUMMYFUNCTION("IF(A3646&lt;&gt;"""", GOOGLETRANSLATE(A3646, ""en"", ""te""),"""")"),"")</f>
        <v/>
      </c>
      <c r="C3646" s="2" t="s">
        <v>655</v>
      </c>
      <c r="D3646" s="2" t="str">
        <f>IFERROR(__xludf.DUMMYFUNCTION("IF(C3646&lt;&gt;"""", GOOGLETRANSLATE(C3646, ""en"", ""te""),"""")"),"[ '33 వ ప్రవేశం (8) ఒక మ్యాచ్లో బెస్ట్ ఫిగర్స్']")</f>
        <v>[ '33 వ ప్రవేశం (8) ఒక మ్యాచ్లో బెస్ట్ ఫిగర్స్']</v>
      </c>
      <c r="E3646" s="2"/>
      <c r="F3646" s="2" t="str">
        <f>IFERROR(__xludf.DUMMYFUNCTION("IF(E3646&lt;&gt;"""", GOOGLETRANSLATE(E3646, ""en"", ""te""),"""")"),"")</f>
        <v/>
      </c>
      <c r="G3646" s="2"/>
      <c r="H3646" s="2" t="str">
        <f>IFERROR(__xludf.DUMMYFUNCTION("IF(G3646&lt;&gt;"""", GOOGLETRANSLATE(G3646, ""en"", ""te""),"""")"),"")</f>
        <v/>
      </c>
      <c r="I3646" s="3"/>
    </row>
    <row r="3647" customHeight="1" spans="1:9">
      <c r="A3647" s="2"/>
      <c r="B3647" s="2" t="str">
        <f>IFERROR(__xludf.DUMMYFUNCTION("IF(A3647&lt;&gt;"""", GOOGLETRANSLATE(A3647, ""en"", ""te""),"""")"),"")</f>
        <v/>
      </c>
      <c r="C3647" s="2"/>
      <c r="D3647" s="2" t="str">
        <f>IFERROR(__xludf.DUMMYFUNCTION("IF(C3647&lt;&gt;"""", GOOGLETRANSLATE(C3647, ""en"", ""te""),"""")"),"")</f>
        <v/>
      </c>
      <c r="E3647" s="2"/>
      <c r="F3647" s="2" t="str">
        <f>IFERROR(__xludf.DUMMYFUNCTION("IF(E3647&lt;&gt;"""", GOOGLETRANSLATE(E3647, ""en"", ""te""),"""")"),"")</f>
        <v/>
      </c>
      <c r="G3647" s="2"/>
      <c r="H3647" s="2" t="str">
        <f>IFERROR(__xludf.DUMMYFUNCTION("IF(G3647&lt;&gt;"""", GOOGLETRANSLATE(G3647, ""en"", ""te""),"""")"),"")</f>
        <v/>
      </c>
      <c r="I3647" s="3"/>
    </row>
    <row r="3648" customHeight="1" spans="1:9">
      <c r="A3648" s="2"/>
      <c r="B3648" s="2" t="str">
        <f>IFERROR(__xludf.DUMMYFUNCTION("IF(A3648&lt;&gt;"""", GOOGLETRANSLATE(A3648, ""en"", ""te""),"""")"),"")</f>
        <v/>
      </c>
      <c r="C3648" s="2"/>
      <c r="D3648" s="2" t="str">
        <f>IFERROR(__xludf.DUMMYFUNCTION("IF(C3648&lt;&gt;"""", GOOGLETRANSLATE(C3648, ""en"", ""te""),"""")"),"")</f>
        <v/>
      </c>
      <c r="E3648" s="2"/>
      <c r="F3648" s="2" t="str">
        <f>IFERROR(__xludf.DUMMYFUNCTION("IF(E3648&lt;&gt;"""", GOOGLETRANSLATE(E3648, ""en"", ""te""),"""")"),"")</f>
        <v/>
      </c>
      <c r="G3648" s="2"/>
      <c r="H3648" s="2" t="str">
        <f>IFERROR(__xludf.DUMMYFUNCTION("IF(G3648&lt;&gt;"""", GOOGLETRANSLATE(G3648, ""en"", ""te""),"""")"),"")</f>
        <v/>
      </c>
      <c r="I3648" s="3"/>
    </row>
    <row r="3649" customHeight="1" spans="1:9">
      <c r="A3649" s="2"/>
      <c r="B3649" s="2" t="str">
        <f>IFERROR(__xludf.DUMMYFUNCTION("IF(A3649&lt;&gt;"""", GOOGLETRANSLATE(A3649, ""en"", ""te""),"""")"),"")</f>
        <v/>
      </c>
      <c r="C3649" s="2"/>
      <c r="D3649" s="2" t="str">
        <f>IFERROR(__xludf.DUMMYFUNCTION("IF(C3649&lt;&gt;"""", GOOGLETRANSLATE(C3649, ""en"", ""te""),"""")"),"")</f>
        <v/>
      </c>
      <c r="E3649" s="2"/>
      <c r="F3649" s="2" t="str">
        <f>IFERROR(__xludf.DUMMYFUNCTION("IF(E3649&lt;&gt;"""", GOOGLETRANSLATE(E3649, ""en"", ""te""),"""")"),"")</f>
        <v/>
      </c>
      <c r="G3649" s="2"/>
      <c r="H3649" s="2" t="str">
        <f>IFERROR(__xludf.DUMMYFUNCTION("IF(G3649&lt;&gt;"""", GOOGLETRANSLATE(G3649, ""en"", ""te""),"""")"),"")</f>
        <v/>
      </c>
      <c r="I3649" s="3"/>
    </row>
    <row r="3650" customHeight="1" spans="1:9">
      <c r="A3650" s="2"/>
      <c r="B3650" s="2" t="str">
        <f>IFERROR(__xludf.DUMMYFUNCTION("IF(A3650&lt;&gt;"""", GOOGLETRANSLATE(A3650, ""en"", ""te""),"""")"),"")</f>
        <v/>
      </c>
      <c r="C3650" s="2"/>
      <c r="D3650" s="2" t="str">
        <f>IFERROR(__xludf.DUMMYFUNCTION("IF(C3650&lt;&gt;"""", GOOGLETRANSLATE(C3650, ""en"", ""te""),"""")"),"")</f>
        <v/>
      </c>
      <c r="E3650" s="2"/>
      <c r="F3650" s="2" t="str">
        <f>IFERROR(__xludf.DUMMYFUNCTION("IF(E3650&lt;&gt;"""", GOOGLETRANSLATE(E3650, ""en"", ""te""),"""")"),"")</f>
        <v/>
      </c>
      <c r="G3650" s="2"/>
      <c r="H3650" s="2" t="str">
        <f>IFERROR(__xludf.DUMMYFUNCTION("IF(G3650&lt;&gt;"""", GOOGLETRANSLATE(G3650, ""en"", ""te""),"""")"),"")</f>
        <v/>
      </c>
      <c r="I3650" s="3"/>
    </row>
    <row r="3651" customHeight="1" spans="1:9">
      <c r="A3651" s="2"/>
      <c r="B3651" s="2" t="str">
        <f>IFERROR(__xludf.DUMMYFUNCTION("IF(A3651&lt;&gt;"""", GOOGLETRANSLATE(A3651, ""en"", ""te""),"""")"),"")</f>
        <v/>
      </c>
      <c r="C3651" s="2"/>
      <c r="D3651" s="2" t="str">
        <f>IFERROR(__xludf.DUMMYFUNCTION("IF(C3651&lt;&gt;"""", GOOGLETRANSLATE(C3651, ""en"", ""te""),"""")"),"")</f>
        <v/>
      </c>
      <c r="E3651" s="2"/>
      <c r="F3651" s="2" t="str">
        <f>IFERROR(__xludf.DUMMYFUNCTION("IF(E3651&lt;&gt;"""", GOOGLETRANSLATE(E3651, ""en"", ""te""),"""")"),"")</f>
        <v/>
      </c>
      <c r="G3651" s="2"/>
      <c r="H3651" s="2" t="str">
        <f>IFERROR(__xludf.DUMMYFUNCTION("IF(G3651&lt;&gt;"""", GOOGLETRANSLATE(G3651, ""en"", ""te""),"""")"),"")</f>
        <v/>
      </c>
      <c r="I3651" s="3"/>
    </row>
    <row r="3652" customHeight="1" spans="1:9">
      <c r="A3652" s="2" t="s">
        <v>2519</v>
      </c>
      <c r="B3652" s="2" t="str">
        <f>IFERROR(__xludf.DUMMYFUNCTION("IF(A3652&lt;&gt;"""", GOOGLETRANSLATE(A3652, ""en"", ""te""),"""")"),"[ 'కెరీర్లో 1st అత్యధిక మ్యాచ్లు (27)', 'ఒక క్యాలెండర్ ఏడాది (531) లో 1 వ అత్యధిక పరుగులు', '1 వ అత్యంత వృద్ధ ఆటగాడు వంద (39y 38d) స్కోర్' '1 వ కెరీర్ అర్ధ (16)', 'నూట ఒక మ్యాచ్లో ఒక డక్', '8 వ చెత్త కెరీర్లో సమ్మె రేటు (132.0)', '10 వ కెరీర్ లో అత్యధిక క"&amp;"్యాచ్లు (12)', '4 వ లాంగెస్ట్ కెరీర్లు (19y 42d)' ఇన్నింగ్స్ లో, '2 వ అత్యధిక పరుగులు ( ప్రగతిశీల రికార్డు హోల్డర్) (138 *) ',' 2 వ అత్యంత వృద్ధ ఆటగాడు వంద (38y స్కోర్ 161d) ',' రెండవ వికెట్ (203 6 వ అత్యధిక భాగస్వామ్యం) ']")</f>
        <v>[ 'కెరీర్లో 1st అత్యధిక మ్యాచ్లు (27)', 'ఒక క్యాలెండర్ ఏడాది (531) లో 1 వ అత్యధిక పరుగులు', '1 వ అత్యంత వృద్ధ ఆటగాడు వంద (39y 38d) స్కోర్' '1 వ కెరీర్ అర్ధ (16)', 'నూట ఒక మ్యాచ్లో ఒక డక్', '8 వ చెత్త కెరీర్లో సమ్మె రేటు (132.0)', '10 వ కెరీర్ లో అత్యధిక క్యాచ్లు (12)', '4 వ లాంగెస్ట్ కెరీర్లు (19y 42d)' ఇన్నింగ్స్ లో, '2 వ అత్యధిక పరుగులు ( ప్రగతిశీల రికార్డు హోల్డర్) (138 *) ',' 2 వ అత్యంత వృద్ధ ఆటగాడు వంద (38y స్కోర్ 161d) ',' రెండవ వికెట్ (203 6 వ అత్యధిక భాగస్వామ్యం) ']</v>
      </c>
      <c r="C3652" s="2" t="s">
        <v>2520</v>
      </c>
      <c r="D3652" s="2" t="str">
        <f>IFERROR(__xludf.DUMMYFUNCTION("IF(C3652&lt;&gt;"""", GOOGLETRANSLATE(C3652, ""en"", ""te""),"""")"),"[ 'కెరీర్లో 1st అత్యధిక పరుగులు (1935)', 'ఒక మ్యాచ్ (205) లో 8 వ అత్యధిక పరుగులు', '15 వ ఇన్నింగ్స్ (167) అత్యధిక పరుగులు' 'వరుస 2 వ అత్యధిక పరుగులు (450)', '1st ఒక క్యాలెండర్ సంవత్సరంలో అత్యధిక పరుగులు (531) ',' 5 వ ఇన్నింగ్స్ లో అత్యధిక పరుగులు (బ్యాటిం"&amp;"గ్ స్థానంలో ప్రకారం) (167) ',' 9 వ పరాజయం వైపు ఒక మ్యాచ్లో అత్యధిక పరుగులు (110) ',' 3 వ అత్యంత ఒక నడుస్తుంది ఒకే క్రీడా (313) ',' 12 వ అత్యధిక కెరీర్ బ్యాటింగ్ సగటు (49.61) ',' 1 వ అత్యధిక వందలు ఒక వృత్తిలో (5) ',' 1st ఒక సిరీస్లో అత్యధిక సెంచరీలు (2) '"&amp;",' 1st చాలా క్యాలెండర్ సంవత్సరంలో వందల (2) ',' 1st ఒక జట్టు వ్యతిరేకంగా అత్యధిక వందలు (3) ',' వరుస మ్యాచ్లలో 1st వందల (2) ',' 16 వ అత్యధిక తొలి వంద (144 *) ',' 1 వ అత్యంత వృద్ధ ఆటగాడు వంద (39y స్కోర్ 38d ) ',' 1 వ కెరీర్ అర్ధ (16) ',' వరుస ఇన్నింగ్స్లో 3 "&amp;"వ యాభైల్లో (4) ',' వరుస మ్యాచ్లలో 3 వ యాభైల్లో (4) ',' 2 వ అత్యంత ఇన్నింగ్స్ తొలి డక్ ముందు (20) ',' 6 వ ఒక డక్ లేకుండా అత్యధిక వరుస ఇన్నింగ్స్ (22 *) ',' కెరీర్లో 11 వ అతి తక్కువ బాతులు (22) ',' ఒక ఇన్నింగ్స్లో పరుగుల 20 వ అత్యధిక శాతం (50.78) ',' 8 వ "&amp;"వో rst కెరీర్ బౌలింగ్ సరాసరి (46.11) ',' 8 వ చెత్త కెరీర్లో సమ్మె రేటు (132.0) ',' 10 వ అత్యధిక క్యాచ్లు కెరీర్లో (12) ',' మొదటి వికెట్కు 22 అత్యధిక భాగస్వామ్యం (108) ',' 23 వ ఎత్తైన కొరకు చేసిన భాగస్వామ్యం మూడో వికెట్ (106) నాలుగవ వికెట్కు ',' 13 వ అత్య"&amp;"ధిక భాగస్వామ్యం (100) ఆరవ వికెట్కు ',' 20 వ అత్యధిక భాగస్వామ్యం (77) ',' 1st కెరీర్లో అత్యధిక మ్యాచ్లు (27) ',' 23 వ వరుస మ్యాచ్లు ఒక జట్టు (12) ',' 24 వ ఓల్డెస్ట్ క్రీడాకారులు (39y 51d) ',' 3 వ లాంగెస్ట్ కెరీర్లు (19y 69d) ']")</f>
        <v>[ 'కెరీర్లో 1st అత్యధిక పరుగులు (1935)', 'ఒక మ్యాచ్ (205) లో 8 వ అత్యధిక పరుగులు', '15 వ ఇన్నింగ్స్ (167) అత్యధిక పరుగులు' 'వరుస 2 వ అత్యధిక పరుగులు (450)', '1st ఒక క్యాలెండర్ సంవత్సరంలో అత్యధిక పరుగులు (531) ',' 5 వ ఇన్నింగ్స్ లో అత్యధిక పరుగులు (బ్యాటింగ్ స్థానంలో ప్రకారం) (167) ',' 9 వ పరాజయం వైపు ఒక మ్యాచ్లో అత్యధిక పరుగులు (110) ',' 3 వ అత్యంత ఒక నడుస్తుంది ఒకే క్రీడా (313) ',' 12 వ అత్యధిక కెరీర్ బ్యాటింగ్ సగటు (49.61) ',' 1 వ అత్యధిక వందలు ఒక వృత్తిలో (5) ',' 1st ఒక సిరీస్లో అత్యధిక సెంచరీలు (2) ',' 1st చాలా క్యాలెండర్ సంవత్సరంలో వందల (2) ',' 1st ఒక జట్టు వ్యతిరేకంగా అత్యధిక వందలు (3) ',' వరుస మ్యాచ్లలో 1st వందల (2) ',' 16 వ అత్యధిక తొలి వంద (144 *) ',' 1 వ అత్యంత వృద్ధ ఆటగాడు వంద (39y స్కోర్ 38d ) ',' 1 వ కెరీర్ అర్ధ (16) ',' వరుస ఇన్నింగ్స్లో 3 వ యాభైల్లో (4) ',' వరుస మ్యాచ్లలో 3 వ యాభైల్లో (4) ',' 2 వ అత్యంత ఇన్నింగ్స్ తొలి డక్ ముందు (20) ',' 6 వ ఒక డక్ లేకుండా అత్యధిక వరుస ఇన్నింగ్స్ (22 *) ',' కెరీర్లో 11 వ అతి తక్కువ బాతులు (22) ',' ఒక ఇన్నింగ్స్లో పరుగుల 20 వ అత్యధిక శాతం (50.78) ',' 8 వ వో rst కెరీర్ బౌలింగ్ సరాసరి (46.11) ',' 8 వ చెత్త కెరీర్లో సమ్మె రేటు (132.0) ',' 10 వ అత్యధిక క్యాచ్లు కెరీర్లో (12) ',' మొదటి వికెట్కు 22 అత్యధిక భాగస్వామ్యం (108) ',' 23 వ ఎత్తైన కొరకు చేసిన భాగస్వామ్యం మూడో వికెట్ (106) నాలుగవ వికెట్కు ',' 13 వ అత్యధిక భాగస్వామ్యం (100) ఆరవ వికెట్కు ',' 20 వ అత్యధిక భాగస్వామ్యం (77) ',' 1st కెరీర్లో అత్యధిక మ్యాచ్లు (27) ',' 23 వ వరుస మ్యాచ్లు ఒక జట్టు (12) ',' 24 వ ఓల్డెస్ట్ క్రీడాకారులు (39y 51d) ',' 3 వ లాంగెస్ట్ కెరీర్లు (19y 69d) ']</v>
      </c>
      <c r="E3652" s="2" t="s">
        <v>2521</v>
      </c>
      <c r="F3652" s="2" t="str">
        <f>IFERROR(__xludf.DUMMYFUNCTION("IF(E3652&lt;&gt;"""", GOOGLETRANSLATE(E3652, ""en"", ""te""),"""")"),"[ '36 వ కెరీర్ లో అత్యధిక పరుగులు (2121)', '30 వ ఇన్నింగ్స్ లో అత్యధిక పరుగులు (138 *)', 'ఇన్నింగ్స్ లో 2 వ అత్యధిక పరుగులు (ప్రగతిశీల రికార్డు హోల్డర్) (138 *)', '16 వ అత్యధిక కెరీర్ బ్యాటింగ్ సగటు ( 42,42) ',' 10th ఒక వృత్తిలో అత్యధిక వందలు (5) ',' 6 వ "&amp;"ఒక సిరీస్లో అత్యధిక సెంచరీలు (2) ',' 5 వ ఒక క్యాలెండర్ సంవత్సరంలో అత్యధిక వందలు (2) ',' 8 వ అత్యధిక తొలి వంద (138 *) ',' 20th పిన్న ఆటగాడు వంద (22y 194d) 2 వ అత్యంత వృద్ధ ఆటగాడు కెరీర్లో వంద (38y 161d) ',' 41 వ అత్యంత అర్థ శతకాలు సాధించాడు స్కోర్ ',' (13)"&amp;" ',' వరుస ఇన్నింగ్స్లో 12 వ యాభైల్లో (4) ',' ఒక డక్ లేకుండా 34 వ వరుస ఇన్నింగ్స్ (34 *) ',' కెరీర్లో 17 వ అతి తక్కువ బాతులు సిరీస్లో ఒక ఇన్నింగ్స్లో పరుగులు (56.79) ',' 47 వ అత్యధిక క్యాచ్లు (29.5) ',' 11 వ అత్యధిక శాతం ( 6) ',' 23 వ ఏ వికెట్కు అత్యధిక భ"&amp;"ాగస్వామ్యాల (203) ',' మొదటి వికెట్కు 35 వ అత్యధిక భాగస్వామ్యం (152) ',' రెండవ వికెట్కు 6 వ అత్యధిక భాగస్వామ్యం (203) ',' 28th ఓల్డెస్ట్ క్రీడాకారులు (39y 14D) ',' 4 వ లాంగెస్ట్ కెరీర్లు (19y 42d) ']")</f>
        <v>[ '36 వ కెరీర్ లో అత్యధిక పరుగులు (2121)', '30 వ ఇన్నింగ్స్ లో అత్యధిక పరుగులు (138 *)', 'ఇన్నింగ్స్ లో 2 వ అత్యధిక పరుగులు (ప్రగతిశీల రికార్డు హోల్డర్) (138 *)', '16 వ అత్యధిక కెరీర్ బ్యాటింగ్ సగటు ( 42,42) ',' 10th ఒక వృత్తిలో అత్యధిక వందలు (5) ',' 6 వ ఒక సిరీస్లో అత్యధిక సెంచరీలు (2) ',' 5 వ ఒక క్యాలెండర్ సంవత్సరంలో అత్యధిక వందలు (2) ',' 8 వ అత్యధిక తొలి వంద (138 *) ',' 20th పిన్న ఆటగాడు వంద (22y 194d) 2 వ అత్యంత వృద్ధ ఆటగాడు కెరీర్లో వంద (38y 161d) ',' 41 వ అత్యంత అర్థ శతకాలు సాధించాడు స్కోర్ ',' (13) ',' వరుస ఇన్నింగ్స్లో 12 వ యాభైల్లో (4) ',' ఒక డక్ లేకుండా 34 వ వరుస ఇన్నింగ్స్ (34 *) ',' కెరీర్లో 17 వ అతి తక్కువ బాతులు సిరీస్లో ఒక ఇన్నింగ్స్లో పరుగులు (56.79) ',' 47 వ అత్యధిక క్యాచ్లు (29.5) ',' 11 వ అత్యధిక శాతం ( 6) ',' 23 వ ఏ వికెట్కు అత్యధిక భాగస్వామ్యాల (203) ',' మొదటి వికెట్కు 35 వ అత్యధిక భాగస్వామ్యం (152) ',' రెండవ వికెట్కు 6 వ అత్యధిక భాగస్వామ్యం (203) ',' 28th ఓల్డెస్ట్ క్రీడాకారులు (39y 14D) ',' 4 వ లాంగెస్ట్ కెరీర్లు (19y 42d) ']</v>
      </c>
      <c r="G3652" s="2"/>
      <c r="H3652" s="2" t="str">
        <f>IFERROR(__xludf.DUMMYFUNCTION("IF(G3652&lt;&gt;"""", GOOGLETRANSLATE(G3652, ""en"", ""te""),"""")"),"")</f>
        <v/>
      </c>
      <c r="I3652" s="3"/>
    </row>
    <row r="3653" customHeight="1" spans="1:9">
      <c r="A3653" s="2" t="s">
        <v>2522</v>
      </c>
      <c r="B3653" s="2" t="str">
        <f>IFERROR(__xludf.DUMMYFUNCTION("IF(A3653&lt;&gt;"""", GOOGLETRANSLATE(A3653, ""en"", ""te""),"""")"),"[ '1st ఒక మ్యాచ్లో బెస్ట్ ఫిగర్స్ పరాజయం వైపు (13) ఉన్నప్పుడు', '4 వ ఉత్తమ కెరీర్ సమ్మె రేటు (41.6)', 'తీసుకోవాలని 4 వ అత్యంత వృద్ధ ఆటగాడు పది వికెట్లు లో ఒక మ్యాచ్ (40y 301d)', '1 వ వేగవంతమైన 150 వికెట్లు (24)', '5 వ అత్యధిక వరుస ఐదు వికెట్ల లో-ఒక-ఇన్న"&amp;"ింగ్స్ (4)']")</f>
        <v>[ '1st ఒక మ్యాచ్లో బెస్ట్ ఫిగర్స్ పరాజయం వైపు (13) ఉన్నప్పుడు', '4 వ ఉత్తమ కెరీర్ సమ్మె రేటు (41.6)', 'తీసుకోవాలని 4 వ అత్యంత వృద్ధ ఆటగాడు పది వికెట్లు లో ఒక మ్యాచ్ (40y 301d)', '1 వ వేగవంతమైన 150 వికెట్లు (24)', '5 వ అత్యధిక వరుస ఐదు వికెట్ల లో-ఒక-ఇన్నింగ్స్ (4)']</v>
      </c>
      <c r="C3653" s="2" t="s">
        <v>2523</v>
      </c>
      <c r="D3653" s="2" t="str">
        <f>IFERROR(__xludf.DUMMYFUNCTION("IF(C3653&lt;&gt;"""", GOOGLETRANSLATE(C3653, ""en"", ""te""),"""")"),"[ 'ఒక మ్యాచ్లో 2nd బెస్ట్ ఫిగర్స్ (17)' 'వరుస 1 వ అత్యధిక వికెట్లు (49)' ఒక క్యాలెండర్ సంవత్సరంలో '15 వ ఉత్తమ ఇన్నింగ్స్ లో సంఖ్యలు (9/103)', '27 వ అత్యధిక వికెట్లు (64) ',' 5 వ అత్యుత్తమ బౌలింగ్ ఇన్నింగ్స్ లో విశ్లేషించడం (8/29) ',' 24th ఒక ఇన్నింగ్స్ లో"&amp;"ని బెస్ట్ ఫిగర్స్ ఉన్నప్పుడు పరాజయం వైపు (7) ',' 1 వ ఉత్తమ పరాజయం వైపు ఒక మ్యాచ్ను లో సంఖ్యలు (13) ' '5 వ ఉత్తమ కెరీర్ సగటు (16.43) బౌలింగ్', '4 వ ఉత్తమ కెరీర్ సమ్మె రేటు (41.6)', '13 వ అత్యంత ఐదు-వికెట్ల లో-ఒక-ఇన్నింగ్స్ కెరీర్లో (24)', '6 వ అత్యంత పది"&amp;" wickets- లో-ఒక-మ్యాచ్ ఒక వృత్తిలో (7) ',' 5 వ అత్యధిక వరుస ఐదు వికెట్ల లో-ఒక-ఇన్నింగ్స్ (4) ',' 4 వ అత్యధిక వరుస పది వికెట్లు లో ఒక మ్యాచ్ (2) ',' 9 వ అత్యంత వృద్ధ ఆటగాడు పది వికెట్లు లో ఒక మ్యాచ్ తీసుకుని ఐదు-వికెట్ల లో-ఒక-ఇన్నింగ్స్ (40y 301d) తీసుకోవా"&amp;"లని ',' 4 వ అత్యంత వృద్ధ ఆటగాడు (40y 301d) ',' 13 వ బౌలర్ / బ్యాటర్ కలయికలు (13) ',' 27 వ అత్యధిక వికెట్లు బౌల్డ్ (68) ',' 8 వ వేగవంతమైన 50 వికెట్లు (9) తీసుకున్న ',' 100 వికెట్లు (17) ',' 150 వికెట్లు (24) ',' 12 వ లాంగెస్ట్ నివసించారు కు 1 వ వేగవంతమైన"&amp;" 2 వ వేగవంతమైన క్రీడాకారులు (94y 251d) ']")</f>
        <v>[ 'ఒక మ్యాచ్లో 2nd బెస్ట్ ఫిగర్స్ (17)' 'వరుస 1 వ అత్యధిక వికెట్లు (49)' ఒక క్యాలెండర్ సంవత్సరంలో '15 వ ఉత్తమ ఇన్నింగ్స్ లో సంఖ్యలు (9/103)', '27 వ అత్యధిక వికెట్లు (64) ',' 5 వ అత్యుత్తమ బౌలింగ్ ఇన్నింగ్స్ లో విశ్లేషించడం (8/29) ',' 24th ఒక ఇన్నింగ్స్ లోని బెస్ట్ ఫిగర్స్ ఉన్నప్పుడు పరాజయం వైపు (7) ',' 1 వ ఉత్తమ పరాజయం వైపు ఒక మ్యాచ్ను లో సంఖ్యలు (13) ' '5 వ ఉత్తమ కెరీర్ సగటు (16.43) బౌలింగ్', '4 వ ఉత్తమ కెరీర్ సమ్మె రేటు (41.6)', '13 వ అత్యంత ఐదు-వికెట్ల లో-ఒక-ఇన్నింగ్స్ కెరీర్లో (24)', '6 వ అత్యంత పది wickets- లో-ఒక-మ్యాచ్ ఒక వృత్తిలో (7) ',' 5 వ అత్యధిక వరుస ఐదు వికెట్ల లో-ఒక-ఇన్నింగ్స్ (4) ',' 4 వ అత్యధిక వరుస పది వికెట్లు లో ఒక మ్యాచ్ (2) ',' 9 వ అత్యంత వృద్ధ ఆటగాడు పది వికెట్లు లో ఒక మ్యాచ్ తీసుకుని ఐదు-వికెట్ల లో-ఒక-ఇన్నింగ్స్ (40y 301d) తీసుకోవాలని ',' 4 వ అత్యంత వృద్ధ ఆటగాడు (40y 301d) ',' 13 వ బౌలర్ / బ్యాటర్ కలయికలు (13) ',' 27 వ అత్యధిక వికెట్లు బౌల్డ్ (68) ',' 8 వ వేగవంతమైన 50 వికెట్లు (9) తీసుకున్న ',' 100 వికెట్లు (17) ',' 150 వికెట్లు (24) ',' 12 వ లాంగెస్ట్ నివసించారు కు 1 వ వేగవంతమైన 2 వ వేగవంతమైన క్రీడాకారులు (94y 251d) ']</v>
      </c>
      <c r="E3653" s="2"/>
      <c r="F3653" s="2" t="str">
        <f>IFERROR(__xludf.DUMMYFUNCTION("IF(E3653&lt;&gt;"""", GOOGLETRANSLATE(E3653, ""en"", ""te""),"""")"),"")</f>
        <v/>
      </c>
      <c r="G3653" s="2"/>
      <c r="H3653" s="2" t="str">
        <f>IFERROR(__xludf.DUMMYFUNCTION("IF(G3653&lt;&gt;"""", GOOGLETRANSLATE(G3653, ""en"", ""te""),"""")"),"")</f>
        <v/>
      </c>
      <c r="I3653" s="3"/>
    </row>
    <row r="3654" customHeight="1" spans="1:9">
      <c r="A3654" s="2"/>
      <c r="B3654" s="2" t="str">
        <f>IFERROR(__xludf.DUMMYFUNCTION("IF(A3654&lt;&gt;"""", GOOGLETRANSLATE(A3654, ""en"", ""te""),"""")"),"")</f>
        <v/>
      </c>
      <c r="C3654" s="2"/>
      <c r="D3654" s="2" t="str">
        <f>IFERROR(__xludf.DUMMYFUNCTION("IF(C3654&lt;&gt;"""", GOOGLETRANSLATE(C3654, ""en"", ""te""),"""")"),"")</f>
        <v/>
      </c>
      <c r="E3654" s="2"/>
      <c r="F3654" s="2" t="str">
        <f>IFERROR(__xludf.DUMMYFUNCTION("IF(E3654&lt;&gt;"""", GOOGLETRANSLATE(E3654, ""en"", ""te""),"""")"),"")</f>
        <v/>
      </c>
      <c r="G3654" s="2"/>
      <c r="H3654" s="2" t="str">
        <f>IFERROR(__xludf.DUMMYFUNCTION("IF(G3654&lt;&gt;"""", GOOGLETRANSLATE(G3654, ""en"", ""te""),"""")"),"")</f>
        <v/>
      </c>
      <c r="I3654" s="3"/>
    </row>
    <row r="3655" customHeight="1" spans="1:9">
      <c r="A3655" s="2"/>
      <c r="B3655" s="2" t="str">
        <f>IFERROR(__xludf.DUMMYFUNCTION("IF(A3655&lt;&gt;"""", GOOGLETRANSLATE(A3655, ""en"", ""te""),"""")"),"")</f>
        <v/>
      </c>
      <c r="C3655" s="2"/>
      <c r="D3655" s="2" t="str">
        <f>IFERROR(__xludf.DUMMYFUNCTION("IF(C3655&lt;&gt;"""", GOOGLETRANSLATE(C3655, ""en"", ""te""),"""")"),"")</f>
        <v/>
      </c>
      <c r="E3655" s="2"/>
      <c r="F3655" s="2" t="str">
        <f>IFERROR(__xludf.DUMMYFUNCTION("IF(E3655&lt;&gt;"""", GOOGLETRANSLATE(E3655, ""en"", ""te""),"""")"),"")</f>
        <v/>
      </c>
      <c r="G3655" s="2"/>
      <c r="H3655" s="2" t="str">
        <f>IFERROR(__xludf.DUMMYFUNCTION("IF(G3655&lt;&gt;"""", GOOGLETRANSLATE(G3655, ""en"", ""te""),"""")"),"")</f>
        <v/>
      </c>
      <c r="I3655" s="3"/>
    </row>
    <row r="3656" customHeight="1" spans="1:9">
      <c r="A3656" s="2"/>
      <c r="B3656" s="2" t="str">
        <f>IFERROR(__xludf.DUMMYFUNCTION("IF(A3656&lt;&gt;"""", GOOGLETRANSLATE(A3656, ""en"", ""te""),"""")"),"")</f>
        <v/>
      </c>
      <c r="C3656" s="2" t="s">
        <v>8</v>
      </c>
      <c r="D3656" s="2" t="str">
        <f>IFERROR(__xludf.DUMMYFUNCTION("IF(C3656&lt;&gt;"""", GOOGLETRANSLATE(C3656, ""en"", ""te""),"""")"),"[ '17 వ ప్రవేశం (9) ఒక మ్యాచ్లో బెస్ట్ ఫిగర్స్']")</f>
        <v>[ '17 వ ప్రవేశం (9) ఒక మ్యాచ్లో బెస్ట్ ఫిగర్స్']</v>
      </c>
      <c r="E3656" s="2"/>
      <c r="F3656" s="2" t="str">
        <f>IFERROR(__xludf.DUMMYFUNCTION("IF(E3656&lt;&gt;"""", GOOGLETRANSLATE(E3656, ""en"", ""te""),"""")"),"")</f>
        <v/>
      </c>
      <c r="G3656" s="2"/>
      <c r="H3656" s="2" t="str">
        <f>IFERROR(__xludf.DUMMYFUNCTION("IF(G3656&lt;&gt;"""", GOOGLETRANSLATE(G3656, ""en"", ""te""),"""")"),"")</f>
        <v/>
      </c>
      <c r="I3656" s="3"/>
    </row>
    <row r="3657" customHeight="1" spans="1:9">
      <c r="A3657" s="2" t="s">
        <v>2524</v>
      </c>
      <c r="B3657" s="2" t="str">
        <f>IFERROR(__xludf.DUMMYFUNCTION("IF(A3657&lt;&gt;"""", GOOGLETRANSLATE(A3657, ""en"", ""te""),"""")"),"[ 'ఒక మ్యాచ్ రిఫరీ గా 2nd అత్యధిక మ్యాచ్లు (106)' గా '1st 99 (199, 299 etc) తీసివేసిన (99)', '10 వ లాంగెస్ట్ వ్యక్తిగత ఇన్నింగ్స్ (బంతులతో) (168)', '2 వ అత్యధిక మ్యాచ్లు ఒక మ్యాచ్ రిఫరీ (109) ']")</f>
        <v>[ 'ఒక మ్యాచ్ రిఫరీ గా 2nd అత్యధిక మ్యాచ్లు (106)' గా '1st 99 (199, 299 etc) తీసివేసిన (99)', '10 వ లాంగెస్ట్ వ్యక్తిగత ఇన్నింగ్స్ (బంతులతో) (168)', '2 వ అత్యధిక మ్యాచ్లు ఒక మ్యాచ్ రిఫరీ (109) ']</v>
      </c>
      <c r="C3657" s="2" t="s">
        <v>2525</v>
      </c>
      <c r="D3657" s="2" t="str">
        <f>IFERROR(__xludf.DUMMYFUNCTION("IF(C3657&lt;&gt;"""", GOOGLETRANSLATE(C3657, ""en"", ""te""),"""")"),"[ 'వరుస మ్యాచ్లలో 21 వందల (3)', '2 వ అత్యధిక మ్యాచ్లు ఒక మ్యాచ్ రిఫరీ (106) వంటి']")</f>
        <v>[ 'వరుస మ్యాచ్లలో 21 వందల (3)', '2 వ అత్యధిక మ్యాచ్లు ఒక మ్యాచ్ రిఫరీ (106) వంటి']</v>
      </c>
      <c r="E3657" s="2" t="s">
        <v>2526</v>
      </c>
      <c r="F3657" s="2" t="str">
        <f>IFERROR(__xludf.DUMMYFUNCTION("IF(E3657&lt;&gt;"""", GOOGLETRANSLATE(E3657, ""en"", ""te""),"""")"),"[20 వేగవంతమైన 1000 పరుగులు '39 వ అత్యంత తొలి మ్యాచ్లో పరుగులు (76)', '1 వ 99 పరుగుల (199, 299 etc) (99)', '10 వ లాంగెస్ట్ వ్యక్తిగత ఇన్నింగ్స్ (బంతులతో) (168)', ' (26) ',' 2nd చాలా మ్యాచ్ రిఫరీ (326) వంటి ఆటలకు]")</f>
        <v>[20 వేగవంతమైన 1000 పరుగులు '39 వ అత్యంత తొలి మ్యాచ్లో పరుగులు (76)', '1 వ 99 పరుగుల (199, 299 etc) (99)', '10 వ లాంగెస్ట్ వ్యక్తిగత ఇన్నింగ్స్ (బంతులతో) (168)', ' (26) ',' 2nd చాలా మ్యాచ్ రిఫరీ (326) వంటి ఆటలకు]</v>
      </c>
      <c r="G3657" s="2" t="s">
        <v>2527</v>
      </c>
      <c r="H3657" s="2" t="str">
        <f>IFERROR(__xludf.DUMMYFUNCTION("IF(G3657&lt;&gt;"""", GOOGLETRANSLATE(G3657, ""en"", ""te""),"""")"),"[ '2nd చాలా మ్యాచ్ రిఫరీ (109) వంటి ఆటలకు]")</f>
        <v>[ '2nd చాలా మ్యాచ్ రిఫరీ (109) వంటి ఆటలకు]</v>
      </c>
      <c r="I3657" s="3"/>
    </row>
    <row r="3658" customHeight="1" spans="1:9">
      <c r="A3658" s="2"/>
      <c r="B3658" s="2" t="str">
        <f>IFERROR(__xludf.DUMMYFUNCTION("IF(A3658&lt;&gt;"""", GOOGLETRANSLATE(A3658, ""en"", ""te""),"""")"),"")</f>
        <v/>
      </c>
      <c r="C3658" s="2"/>
      <c r="D3658" s="2" t="str">
        <f>IFERROR(__xludf.DUMMYFUNCTION("IF(C3658&lt;&gt;"""", GOOGLETRANSLATE(C3658, ""en"", ""te""),"""")"),"")</f>
        <v/>
      </c>
      <c r="E3658" s="2"/>
      <c r="F3658" s="2" t="str">
        <f>IFERROR(__xludf.DUMMYFUNCTION("IF(E3658&lt;&gt;"""", GOOGLETRANSLATE(E3658, ""en"", ""te""),"""")"),"")</f>
        <v/>
      </c>
      <c r="G3658" s="2"/>
      <c r="H3658" s="2" t="str">
        <f>IFERROR(__xludf.DUMMYFUNCTION("IF(G3658&lt;&gt;"""", GOOGLETRANSLATE(G3658, ""en"", ""te""),"""")"),"")</f>
        <v/>
      </c>
      <c r="I3658" s="3"/>
    </row>
    <row r="3659" customHeight="1" spans="1:9">
      <c r="A3659" s="2"/>
      <c r="B3659" s="2" t="str">
        <f>IFERROR(__xludf.DUMMYFUNCTION("IF(A3659&lt;&gt;"""", GOOGLETRANSLATE(A3659, ""en"", ""te""),"""")"),"")</f>
        <v/>
      </c>
      <c r="C3659" s="2"/>
      <c r="D3659" s="2" t="str">
        <f>IFERROR(__xludf.DUMMYFUNCTION("IF(C3659&lt;&gt;"""", GOOGLETRANSLATE(C3659, ""en"", ""te""),"""")"),"")</f>
        <v/>
      </c>
      <c r="E3659" s="2"/>
      <c r="F3659" s="2" t="str">
        <f>IFERROR(__xludf.DUMMYFUNCTION("IF(E3659&lt;&gt;"""", GOOGLETRANSLATE(E3659, ""en"", ""te""),"""")"),"")</f>
        <v/>
      </c>
      <c r="G3659" s="2"/>
      <c r="H3659" s="2" t="str">
        <f>IFERROR(__xludf.DUMMYFUNCTION("IF(G3659&lt;&gt;"""", GOOGLETRANSLATE(G3659, ""en"", ""te""),"""")"),"")</f>
        <v/>
      </c>
      <c r="I3659" s="3"/>
    </row>
    <row r="3660" customHeight="1" spans="1:9">
      <c r="A3660" s="2"/>
      <c r="B3660" s="2" t="str">
        <f>IFERROR(__xludf.DUMMYFUNCTION("IF(A3660&lt;&gt;"""", GOOGLETRANSLATE(A3660, ""en"", ""te""),"""")"),"")</f>
        <v/>
      </c>
      <c r="C3660" s="2"/>
      <c r="D3660" s="2" t="str">
        <f>IFERROR(__xludf.DUMMYFUNCTION("IF(C3660&lt;&gt;"""", GOOGLETRANSLATE(C3660, ""en"", ""te""),"""")"),"")</f>
        <v/>
      </c>
      <c r="E3660" s="2"/>
      <c r="F3660" s="2" t="str">
        <f>IFERROR(__xludf.DUMMYFUNCTION("IF(E3660&lt;&gt;"""", GOOGLETRANSLATE(E3660, ""en"", ""te""),"""")"),"")</f>
        <v/>
      </c>
      <c r="G3660" s="2"/>
      <c r="H3660" s="2" t="str">
        <f>IFERROR(__xludf.DUMMYFUNCTION("IF(G3660&lt;&gt;"""", GOOGLETRANSLATE(G3660, ""en"", ""te""),"""")"),"")</f>
        <v/>
      </c>
      <c r="I3660" s="3"/>
    </row>
    <row r="3661" customHeight="1" spans="1:9">
      <c r="A3661" s="2"/>
      <c r="B3661" s="2" t="str">
        <f>IFERROR(__xludf.DUMMYFUNCTION("IF(A3661&lt;&gt;"""", GOOGLETRANSLATE(A3661, ""en"", ""te""),"""")"),"")</f>
        <v/>
      </c>
      <c r="C3661" s="2"/>
      <c r="D3661" s="2" t="str">
        <f>IFERROR(__xludf.DUMMYFUNCTION("IF(C3661&lt;&gt;"""", GOOGLETRANSLATE(C3661, ""en"", ""te""),"""")"),"")</f>
        <v/>
      </c>
      <c r="E3661" s="2"/>
      <c r="F3661" s="2" t="str">
        <f>IFERROR(__xludf.DUMMYFUNCTION("IF(E3661&lt;&gt;"""", GOOGLETRANSLATE(E3661, ""en"", ""te""),"""")"),"")</f>
        <v/>
      </c>
      <c r="G3661" s="2"/>
      <c r="H3661" s="2" t="str">
        <f>IFERROR(__xludf.DUMMYFUNCTION("IF(G3661&lt;&gt;"""", GOOGLETRANSLATE(G3661, ""en"", ""te""),"""")"),"")</f>
        <v/>
      </c>
      <c r="I3661" s="3"/>
    </row>
    <row r="3662" customHeight="1" spans="1:9">
      <c r="A3662" s="2"/>
      <c r="B3662" s="2" t="str">
        <f>IFERROR(__xludf.DUMMYFUNCTION("IF(A3662&lt;&gt;"""", GOOGLETRANSLATE(A3662, ""en"", ""te""),"""")"),"")</f>
        <v/>
      </c>
      <c r="C3662" s="2"/>
      <c r="D3662" s="2" t="str">
        <f>IFERROR(__xludf.DUMMYFUNCTION("IF(C3662&lt;&gt;"""", GOOGLETRANSLATE(C3662, ""en"", ""te""),"""")"),"")</f>
        <v/>
      </c>
      <c r="E3662" s="2"/>
      <c r="F3662" s="2" t="str">
        <f>IFERROR(__xludf.DUMMYFUNCTION("IF(E3662&lt;&gt;"""", GOOGLETRANSLATE(E3662, ""en"", ""te""),"""")"),"")</f>
        <v/>
      </c>
      <c r="G3662" s="2"/>
      <c r="H3662" s="2" t="str">
        <f>IFERROR(__xludf.DUMMYFUNCTION("IF(G3662&lt;&gt;"""", GOOGLETRANSLATE(G3662, ""en"", ""te""),"""")"),"")</f>
        <v/>
      </c>
      <c r="I3662" s="3"/>
    </row>
    <row r="3663" customHeight="1" spans="1:9">
      <c r="A3663" s="2"/>
      <c r="B3663" s="2" t="str">
        <f>IFERROR(__xludf.DUMMYFUNCTION("IF(A3663&lt;&gt;"""", GOOGLETRANSLATE(A3663, ""en"", ""te""),"""")"),"")</f>
        <v/>
      </c>
      <c r="C3663" s="2"/>
      <c r="D3663" s="2" t="str">
        <f>IFERROR(__xludf.DUMMYFUNCTION("IF(C3663&lt;&gt;"""", GOOGLETRANSLATE(C3663, ""en"", ""te""),"""")"),"")</f>
        <v/>
      </c>
      <c r="E3663" s="2"/>
      <c r="F3663" s="2" t="str">
        <f>IFERROR(__xludf.DUMMYFUNCTION("IF(E3663&lt;&gt;"""", GOOGLETRANSLATE(E3663, ""en"", ""te""),"""")"),"")</f>
        <v/>
      </c>
      <c r="G3663" s="2"/>
      <c r="H3663" s="2" t="str">
        <f>IFERROR(__xludf.DUMMYFUNCTION("IF(G3663&lt;&gt;"""", GOOGLETRANSLATE(G3663, ""en"", ""te""),"""")"),"")</f>
        <v/>
      </c>
      <c r="I3663" s="3"/>
    </row>
    <row r="3664" customHeight="1" spans="1:9">
      <c r="A3664" s="2" t="s">
        <v>2528</v>
      </c>
      <c r="B3664" s="2" t="str">
        <f>IFERROR(__xludf.DUMMYFUNCTION("IF(A3664&lt;&gt;"""", GOOGLETRANSLATE(A3664, ""en"", ""te""),"""")"),"[ '2nd అత్యంత వృద్ధ ఆటగాడు తొలి వంద (39y 253d) స్కోర్']")</f>
        <v>[ '2nd అత్యంత వృద్ధ ఆటగాడు తొలి వంద (39y 253d) స్కోర్']</v>
      </c>
      <c r="C3664" s="2" t="s">
        <v>2529</v>
      </c>
      <c r="D3664" s="2" t="str">
        <f>IFERROR(__xludf.DUMMYFUNCTION("IF(C3664&lt;&gt;"""", GOOGLETRANSLATE(C3664, ""en"", ""te""),"""")"),"[ '2nd అత్యంత వృద్ధ ఆటగాడు తొలి వంద (39y 253d) స్కోర్', 'ప్రవేశం (39y 37d) 23 వ ఓల్డెస్ట్ క్రీడాకారుల]")</f>
        <v>[ '2nd అత్యంత వృద్ధ ఆటగాడు తొలి వంద (39y 253d) స్కోర్', 'ప్రవేశం (39y 37d) 23 వ ఓల్డెస్ట్ క్రీడాకారుల]</v>
      </c>
      <c r="E3664" s="2"/>
      <c r="F3664" s="2" t="str">
        <f>IFERROR(__xludf.DUMMYFUNCTION("IF(E3664&lt;&gt;"""", GOOGLETRANSLATE(E3664, ""en"", ""te""),"""")"),"")</f>
        <v/>
      </c>
      <c r="G3664" s="2"/>
      <c r="H3664" s="2" t="str">
        <f>IFERROR(__xludf.DUMMYFUNCTION("IF(G3664&lt;&gt;"""", GOOGLETRANSLATE(G3664, ""en"", ""te""),"""")"),"")</f>
        <v/>
      </c>
      <c r="I3664" s="3"/>
    </row>
    <row r="3665" customHeight="1" spans="1:9">
      <c r="A3665" s="2"/>
      <c r="B3665" s="2" t="str">
        <f>IFERROR(__xludf.DUMMYFUNCTION("IF(A3665&lt;&gt;"""", GOOGLETRANSLATE(A3665, ""en"", ""te""),"""")"),"")</f>
        <v/>
      </c>
      <c r="C3665" s="2"/>
      <c r="D3665" s="2" t="str">
        <f>IFERROR(__xludf.DUMMYFUNCTION("IF(C3665&lt;&gt;"""", GOOGLETRANSLATE(C3665, ""en"", ""te""),"""")"),"")</f>
        <v/>
      </c>
      <c r="E3665" s="2"/>
      <c r="F3665" s="2" t="str">
        <f>IFERROR(__xludf.DUMMYFUNCTION("IF(E3665&lt;&gt;"""", GOOGLETRANSLATE(E3665, ""en"", ""te""),"""")"),"")</f>
        <v/>
      </c>
      <c r="G3665" s="2"/>
      <c r="H3665" s="2" t="str">
        <f>IFERROR(__xludf.DUMMYFUNCTION("IF(G3665&lt;&gt;"""", GOOGLETRANSLATE(G3665, ""en"", ""te""),"""")"),"")</f>
        <v/>
      </c>
      <c r="I3665" s="3"/>
    </row>
    <row r="3666" customHeight="1" spans="1:9">
      <c r="A3666" s="2"/>
      <c r="B3666" s="2" t="str">
        <f>IFERROR(__xludf.DUMMYFUNCTION("IF(A3666&lt;&gt;"""", GOOGLETRANSLATE(A3666, ""en"", ""te""),"""")"),"")</f>
        <v/>
      </c>
      <c r="C3666" s="2" t="s">
        <v>2530</v>
      </c>
      <c r="D3666" s="2" t="str">
        <f>IFERROR(__xludf.DUMMYFUNCTION("IF(C3666&lt;&gt;"""", GOOGLETRANSLATE(C3666, ""en"", ""te""),"""")"),"[40 వ ఉత్తమ కెరీర్ బౌలింగ్ సరాసరి (22.33) ']")</f>
        <v>[40 వ ఉత్తమ కెరీర్ బౌలింగ్ సరాసరి (22.33) ']</v>
      </c>
      <c r="E3666" s="2"/>
      <c r="F3666" s="2" t="str">
        <f>IFERROR(__xludf.DUMMYFUNCTION("IF(E3666&lt;&gt;"""", GOOGLETRANSLATE(E3666, ""en"", ""te""),"""")"),"")</f>
        <v/>
      </c>
      <c r="G3666" s="2"/>
      <c r="H3666" s="2" t="str">
        <f>IFERROR(__xludf.DUMMYFUNCTION("IF(G3666&lt;&gt;"""", GOOGLETRANSLATE(G3666, ""en"", ""te""),"""")"),"")</f>
        <v/>
      </c>
      <c r="I3666" s="3"/>
    </row>
    <row r="3667" customHeight="1" spans="1:9">
      <c r="A3667" s="2"/>
      <c r="B3667" s="2" t="str">
        <f>IFERROR(__xludf.DUMMYFUNCTION("IF(A3667&lt;&gt;"""", GOOGLETRANSLATE(A3667, ""en"", ""te""),"""")"),"")</f>
        <v/>
      </c>
      <c r="C3667" s="2"/>
      <c r="D3667" s="2" t="str">
        <f>IFERROR(__xludf.DUMMYFUNCTION("IF(C3667&lt;&gt;"""", GOOGLETRANSLATE(C3667, ""en"", ""te""),"""")"),"")</f>
        <v/>
      </c>
      <c r="E3667" s="2"/>
      <c r="F3667" s="2" t="str">
        <f>IFERROR(__xludf.DUMMYFUNCTION("IF(E3667&lt;&gt;"""", GOOGLETRANSLATE(E3667, ""en"", ""te""),"""")"),"")</f>
        <v/>
      </c>
      <c r="G3667" s="2"/>
      <c r="H3667" s="2" t="str">
        <f>IFERROR(__xludf.DUMMYFUNCTION("IF(G3667&lt;&gt;"""", GOOGLETRANSLATE(G3667, ""en"", ""te""),"""")"),"")</f>
        <v/>
      </c>
      <c r="I3667" s="3"/>
    </row>
    <row r="3668" customHeight="1" spans="1:9">
      <c r="A3668" s="2"/>
      <c r="B3668" s="2" t="str">
        <f>IFERROR(__xludf.DUMMYFUNCTION("IF(A3668&lt;&gt;"""", GOOGLETRANSLATE(A3668, ""en"", ""te""),"""")"),"")</f>
        <v/>
      </c>
      <c r="C3668" s="2"/>
      <c r="D3668" s="2" t="str">
        <f>IFERROR(__xludf.DUMMYFUNCTION("IF(C3668&lt;&gt;"""", GOOGLETRANSLATE(C3668, ""en"", ""te""),"""")"),"")</f>
        <v/>
      </c>
      <c r="E3668" s="2"/>
      <c r="F3668" s="2" t="str">
        <f>IFERROR(__xludf.DUMMYFUNCTION("IF(E3668&lt;&gt;"""", GOOGLETRANSLATE(E3668, ""en"", ""te""),"""")"),"")</f>
        <v/>
      </c>
      <c r="G3668" s="2"/>
      <c r="H3668" s="2" t="str">
        <f>IFERROR(__xludf.DUMMYFUNCTION("IF(G3668&lt;&gt;"""", GOOGLETRANSLATE(G3668, ""en"", ""te""),"""")"),"")</f>
        <v/>
      </c>
      <c r="I3668" s="3"/>
    </row>
    <row r="3669" customHeight="1" spans="1:9">
      <c r="A3669" s="2" t="s">
        <v>2531</v>
      </c>
      <c r="B3669" s="2" t="str">
        <f>IFERROR(__xludf.DUMMYFUNCTION("IF(A3669&lt;&gt;"""", GOOGLETRANSLATE(A3669, ""en"", ""te""),"""")"),"[ 'హండ్రెడ్ మరియు ఒక మ్యాచ్లో ఒక డక్', '5 వ ఒక ఇన్నింగ్స్ లోని బెస్ట్ ఫిగర్స్ ఉన్నప్పుడు పరాజయం వైపు (8)', '9 వ అత్యంత ఐదు-వికెట్ల లో-ఒక-ఇన్నింగ్స్ కెరీర్లో (27)', '5 వ ఒక సిరీస్లో 150 వికెట్ల (29) ',' 10 వ అత్యధిక క్యాచ్లు వేగవంతమైన (12) ',' నూట ఇన్నిం"&amp;"గ్స్ ',' 1000 పరుగులు, 50 వికెట్లు, 50 క్యాచ్లు ',' 5000 పరుగులు మరియు 50 ఫీల్డింగ్ వికెట్లు ఐదు వికెట్లు ',' 3 వ బృందం (129) (3) ',' బ్యాటింగ్ తెరవడం మరియు అదే మ్యాచ్ లో బౌలింగ్ ',' 9 వ వరుస మ్యాచ్లు వరుస అన్ని టాస్ గెలిచి ']")</f>
        <v>[ 'హండ్రెడ్ మరియు ఒక మ్యాచ్లో ఒక డక్', '5 వ ఒక ఇన్నింగ్స్ లోని బెస్ట్ ఫిగర్స్ ఉన్నప్పుడు పరాజయం వైపు (8)', '9 వ అత్యంత ఐదు-వికెట్ల లో-ఒక-ఇన్నింగ్స్ కెరీర్లో (27)', '5 వ ఒక సిరీస్లో 150 వికెట్ల (29) ',' 10 వ అత్యధిక క్యాచ్లు వేగవంతమైన (12) ',' నూట ఇన్నింగ్స్ ',' 1000 పరుగులు, 50 వికెట్లు, 50 క్యాచ్లు ',' 5000 పరుగులు మరియు 50 ఫీల్డింగ్ వికెట్లు ఐదు వికెట్లు ',' 3 వ బృందం (129) (3) ',' బ్యాటింగ్ తెరవడం మరియు అదే మ్యాచ్ లో బౌలింగ్ ',' 9 వ వరుస మ్యాచ్లు వరుస అన్ని టాస్ గెలిచి ']</v>
      </c>
      <c r="C3669" s="2" t="s">
        <v>2532</v>
      </c>
      <c r="D3669" s="2" t="str">
        <f>IFERROR(__xludf.DUMMYFUNCTION("IF(C3669&lt;&gt;"""", GOOGLETRANSLATE(C3669, ""en"", ""te""),"""")"),"[ '20 వ కెరీర్ లో వచ్చిన ఎక్కువ సిక్స్ (67)', '36 వ ఇన్నింగ్స్ లో వచ్చిన ఎక్కువ సిక్స్ (6)', '19 వ కెరీర్ లో అత్యధిక వికెట్లు (383)', '28th ఉత్తమ ఇన్నింగ్స్ లో సంఖ్యలు (8/34)', ' ఒక మ్యాచ్లో 25 బెస్ట్ ఫిగర్స్ (13) ',' 22 వ ఒక సిరీస్లో అత్యధిక వికెట్లు (34"&amp;") ',' 30th ఒక క్యాలెండర్ సంవత్సరంలో అత్యధిక వికెట్లు (63) ',' 9 వ అత్యుత్తమ బౌలింగ్ ఇన్నింగ్స్ లో విశ్లేషించడం (5/11) ' 'ఒకే మైదానంలో 13 వ అత్యధిక వికెట్లు (69)', '5 వ ఒక ఇన్నింగ్స్ లోని బెస్ట్ ఫిగర్స్ ఉన్నప్పుడు పరాజయం వైపు (8)', '15 వ ఉత్తమ ఒక మ్యాచ్ల"&amp;"ో సంఖ్యలు ఉన్నప్పుడు పరాజయం వైపు (11)', '9 వ అత్యంత ఐదు-వికెట్ల లో-ఒక-ఇన్నింగ్స్ కెరీర్లో (27) ',' 19 వ అత్యంత పది వికెట్లు లో ఒక మ్యాచ్ ఒక వృత్తిలో (4) ',' తీసుకోవాలని 31 పిన్న ఆటగాడు పది వికెట్ల తేడాతో in- ఒక మ్యాచ్ (22y 273d) ',' 20 వ కెరీర్ లో బౌల్డ్"&amp;" చాలా బంతుల్లో (21815) ',' 14 వ కెరీర్ లో సాధించిన అత్యధిక పరుగులు (10878) ',' 18 వ అత్యధిక పరుగులు ఇన్నింగ్స్ (217) ',' 18 వ బౌలర్ సాధించిన / బ్యాటర్ కలయికలు (12) ',' 12 వ బౌలర్ / ఫీల్డర్ కలయికలు (60) ',' 40 వ అత్యధిక వికెట్లు తీసుకున్న బౌల్డ్ (58) ',' 1"&amp;"5 వ అత్యధిక వికెట్లు తీసుకున్న ఆకర్షించింది (243) ',' 23 వ అత్యధిక వికెట్లు పట్టుకుంటే తీసుకున్న ఒక ఫీల్డర్ (148) ',' 11 వ అత్యధిక వికెట్లు ఒక వికెట్ కీపర్ చే కాట్ తీసుకున్న (95) ',' 15 వ అత్యధిక వికెట్లు తీసుకున్న ఎల్బిడబ్ల్యు (81) ',' 50 వికెట్లు వేగంగా"&amp;" 20 (10) ',' 100 వికెట్లు వేగంగా 7 వ ( 19) ',' 5 వ వేగవంతమైన 150 వికెట్లు (29) ',' 7 వ వేగవంతమైన 200 వికెట్లు (41) ',' 9 వ 250 వికెట్లు (వేగంగా 55) ',' 18 వ 300 వికెట్లు (72) ',' 14 వ వేగంగా వేగవంతమైన 350 వికెట్లు (83) ',' 24th కెరీర్లో అత్యధిక క్యాచ్ల"&amp;"ు (120) ',' 10th ఒక సిరీస్లో అత్యధిక క్యాచ్లు (12) ',' ఆరవ వికెట్కు 27 అత్యధిక భాగస్వామ్యం (232) ',' 26 వరుస మ్యాచ్లు ఒక జట్టు (65) ',' 11 వ అత్యంత ప్లేయర్ ఆఫ్ ది మ్యాచ్ అవార్డులు (12) ',' 44 వ అత్యంత ప్లేయర్ ఆఫ్ ది సిరీస్ అవార్డులు (3) ',' 23 వ పిన్న కాప"&amp;"్టెన్ (24y 194d) ']")</f>
        <v>[ '20 వ కెరీర్ లో వచ్చిన ఎక్కువ సిక్స్ (67)', '36 వ ఇన్నింగ్స్ లో వచ్చిన ఎక్కువ సిక్స్ (6)', '19 వ కెరీర్ లో అత్యధిక వికెట్లు (383)', '28th ఉత్తమ ఇన్నింగ్స్ లో సంఖ్యలు (8/34)', ' ఒక మ్యాచ్లో 25 బెస్ట్ ఫిగర్స్ (13) ',' 22 వ ఒక సిరీస్లో అత్యధిక వికెట్లు (34) ',' 30th ఒక క్యాలెండర్ సంవత్సరంలో అత్యధిక వికెట్లు (63) ',' 9 వ అత్యుత్తమ బౌలింగ్ ఇన్నింగ్స్ లో విశ్లేషించడం (5/11) ' 'ఒకే మైదానంలో 13 వ అత్యధిక వికెట్లు (69)', '5 వ ఒక ఇన్నింగ్స్ లోని బెస్ట్ ఫిగర్స్ ఉన్నప్పుడు పరాజయం వైపు (8)', '15 వ ఉత్తమ ఒక మ్యాచ్లో సంఖ్యలు ఉన్నప్పుడు పరాజయం వైపు (11)', '9 వ అత్యంత ఐదు-వికెట్ల లో-ఒక-ఇన్నింగ్స్ కెరీర్లో (27) ',' 19 వ అత్యంత పది వికెట్లు లో ఒక మ్యాచ్ ఒక వృత్తిలో (4) ',' తీసుకోవాలని 31 పిన్న ఆటగాడు పది వికెట్ల తేడాతో in- ఒక మ్యాచ్ (22y 273d) ',' 20 వ కెరీర్ లో బౌల్డ్ చాలా బంతుల్లో (21815) ',' 14 వ కెరీర్ లో సాధించిన అత్యధిక పరుగులు (10878) ',' 18 వ అత్యధిక పరుగులు ఇన్నింగ్స్ (217) ',' 18 వ బౌలర్ సాధించిన / బ్యాటర్ కలయికలు (12) ',' 12 వ బౌలర్ / ఫీల్డర్ కలయికలు (60) ',' 40 వ అత్యధిక వికెట్లు తీసుకున్న బౌల్డ్ (58) ',' 15 వ అత్యధిక వికెట్లు తీసుకున్న ఆకర్షించింది (243) ',' 23 వ అత్యధిక వికెట్లు పట్టుకుంటే తీసుకున్న ఒక ఫీల్డర్ (148) ',' 11 వ అత్యధిక వికెట్లు ఒక వికెట్ కీపర్ చే కాట్ తీసుకున్న (95) ',' 15 వ అత్యధిక వికెట్లు తీసుకున్న ఎల్బిడబ్ల్యు (81) ',' 50 వికెట్లు వేగంగా 20 (10) ',' 100 వికెట్లు వేగంగా 7 వ ( 19) ',' 5 వ వేగవంతమైన 150 వికెట్లు (29) ',' 7 వ వేగవంతమైన 200 వికెట్లు (41) ',' 9 వ 250 వికెట్లు (వేగంగా 55) ',' 18 వ 300 వికెట్లు (72) ',' 14 వ వేగంగా వేగవంతమైన 350 వికెట్లు (83) ',' 24th కెరీర్లో అత్యధిక క్యాచ్లు (120) ',' 10th ఒక సిరీస్లో అత్యధిక క్యాచ్లు (12) ',' ఆరవ వికెట్కు 27 అత్యధిక భాగస్వామ్యం (232) ',' 26 వరుస మ్యాచ్లు ఒక జట్టు (65) ',' 11 వ అత్యంత ప్లేయర్ ఆఫ్ ది మ్యాచ్ అవార్డులు (12) ',' 44 వ అత్యంత ప్లేయర్ ఆఫ్ ది సిరీస్ అవార్డులు (3) ',' 23 వ పిన్న కాప్టెన్ (24y 194d) ']</v>
      </c>
      <c r="E3669" s="2" t="s">
        <v>2533</v>
      </c>
      <c r="F3669" s="2" t="str">
        <f>IFERROR(__xludf.DUMMYFUNCTION("IF(E3669&lt;&gt;"""", GOOGLETRANSLATE(E3669, ""en"", ""te""),"""")"),"[ '50 వ అత్యధిక సమ్మె ఇన్నింగ్స్ లో రేటు (261.53)', '39 వ లాంగెస్ట్ కెరీర్లు (15y 364d)' '15 వ అత్యంత వంద (2113) లేకుండా ఒక వృత్తిలో పరుగులు', '3 వ వరుస అన్ని టాస్ గెలిచిన (3) ',' 32 వ పిన్న కాప్టెన్ (24y 186d) ']")</f>
        <v>[ '50 వ అత్యధిక సమ్మె ఇన్నింగ్స్ లో రేటు (261.53)', '39 వ లాంగెస్ట్ కెరీర్లు (15y 364d)' '15 వ అత్యంత వంద (2113) లేకుండా ఒక వృత్తిలో పరుగులు', '3 వ వరుస అన్ని టాస్ గెలిచిన (3) ',' 32 వ పిన్న కాప్టెన్ (24y 186d) ']</v>
      </c>
      <c r="G3669" s="2"/>
      <c r="H3669" s="2" t="str">
        <f>IFERROR(__xludf.DUMMYFUNCTION("IF(G3669&lt;&gt;"""", GOOGLETRANSLATE(G3669, ""en"", ""te""),"""")"),"")</f>
        <v/>
      </c>
      <c r="I3669" s="3"/>
    </row>
    <row r="3670" customHeight="1" spans="1:9">
      <c r="A3670" s="2"/>
      <c r="B3670" s="2" t="str">
        <f>IFERROR(__xludf.DUMMYFUNCTION("IF(A3670&lt;&gt;"""", GOOGLETRANSLATE(A3670, ""en"", ""te""),"""")"),"")</f>
        <v/>
      </c>
      <c r="C3670" s="2"/>
      <c r="D3670" s="2" t="str">
        <f>IFERROR(__xludf.DUMMYFUNCTION("IF(C3670&lt;&gt;"""", GOOGLETRANSLATE(C3670, ""en"", ""te""),"""")"),"")</f>
        <v/>
      </c>
      <c r="E3670" s="2"/>
      <c r="F3670" s="2" t="str">
        <f>IFERROR(__xludf.DUMMYFUNCTION("IF(E3670&lt;&gt;"""", GOOGLETRANSLATE(E3670, ""en"", ""te""),"""")"),"")</f>
        <v/>
      </c>
      <c r="G3670" s="2"/>
      <c r="H3670" s="2" t="str">
        <f>IFERROR(__xludf.DUMMYFUNCTION("IF(G3670&lt;&gt;"""", GOOGLETRANSLATE(G3670, ""en"", ""te""),"""")"),"")</f>
        <v/>
      </c>
      <c r="I3670" s="3"/>
    </row>
    <row r="3671" customHeight="1" spans="1:9">
      <c r="A3671" s="2"/>
      <c r="B3671" s="2" t="str">
        <f>IFERROR(__xludf.DUMMYFUNCTION("IF(A3671&lt;&gt;"""", GOOGLETRANSLATE(A3671, ""en"", ""te""),"""")"),"")</f>
        <v/>
      </c>
      <c r="C3671" s="2"/>
      <c r="D3671" s="2" t="str">
        <f>IFERROR(__xludf.DUMMYFUNCTION("IF(C3671&lt;&gt;"""", GOOGLETRANSLATE(C3671, ""en"", ""te""),"""")"),"")</f>
        <v/>
      </c>
      <c r="E3671" s="2"/>
      <c r="F3671" s="2" t="str">
        <f>IFERROR(__xludf.DUMMYFUNCTION("IF(E3671&lt;&gt;"""", GOOGLETRANSLATE(E3671, ""en"", ""te""),"""")"),"")</f>
        <v/>
      </c>
      <c r="G3671" s="2"/>
      <c r="H3671" s="2" t="str">
        <f>IFERROR(__xludf.DUMMYFUNCTION("IF(G3671&lt;&gt;"""", GOOGLETRANSLATE(G3671, ""en"", ""te""),"""")"),"")</f>
        <v/>
      </c>
      <c r="I3671" s="3"/>
    </row>
    <row r="3672" customHeight="1" spans="1:9">
      <c r="A3672" s="2" t="s">
        <v>2534</v>
      </c>
      <c r="B3672" s="2" t="str">
        <f>IFERROR(__xludf.DUMMYFUNCTION("IF(A3672&lt;&gt;"""", GOOGLETRANSLATE(A3672, ""en"", ""te""),"""")"),"[ '2nd అత్యంత ఇన్నింగ్స్ లో నడుస్తుంది (బ్యాటింగ్ స్థానం) (87)']")</f>
        <v>[ '2nd అత్యంత ఇన్నింగ్స్ లో నడుస్తుంది (బ్యాటింగ్ స్థానం) (87)']</v>
      </c>
      <c r="C3672" s="2"/>
      <c r="D3672" s="2" t="str">
        <f>IFERROR(__xludf.DUMMYFUNCTION("IF(C3672&lt;&gt;"""", GOOGLETRANSLATE(C3672, ""en"", ""te""),"""")"),"")</f>
        <v/>
      </c>
      <c r="E3672" s="2" t="s">
        <v>2535</v>
      </c>
      <c r="F3672" s="2" t="str">
        <f>IFERROR(__xludf.DUMMYFUNCTION("IF(E3672&lt;&gt;"""", GOOGLETRANSLATE(E3672, ""en"", ""te""),"""")"),"[ '14 వ ఇన్నింగ్స్ లో అత్యధిక పరుగులు (బ్యాటింగ్ స్థానంలో ప్రకారం) (118)']")</f>
        <v>[ '14 వ ఇన్నింగ్స్ లో అత్యధిక పరుగులు (బ్యాటింగ్ స్థానంలో ప్రకారం) (118)']</v>
      </c>
      <c r="G3672" s="2" t="s">
        <v>2536</v>
      </c>
      <c r="H3672" s="2" t="str">
        <f>IFERROR(__xludf.DUMMYFUNCTION("IF(G3672&lt;&gt;"""", GOOGLETRANSLATE(G3672, ""en"", ""te""),"""")"),"[ '2 వ భాగం (బ్యాటింగ్ స్థానంలో ద్వారా) ఒక ఇన్నింగ్స్ లో నడుస్తుంది (87)', 'ఆరవ వికెట్కు 30 వ అత్యధిక భాగస్వామ్యం (68)']")</f>
        <v>[ '2 వ భాగం (బ్యాటింగ్ స్థానంలో ద్వారా) ఒక ఇన్నింగ్స్ లో నడుస్తుంది (87)', 'ఆరవ వికెట్కు 30 వ అత్యధిక భాగస్వామ్యం (68)']</v>
      </c>
      <c r="I3672" s="3"/>
    </row>
    <row r="3673" customHeight="1" spans="1:9">
      <c r="A3673" s="2"/>
      <c r="B3673" s="2" t="str">
        <f>IFERROR(__xludf.DUMMYFUNCTION("IF(A3673&lt;&gt;"""", GOOGLETRANSLATE(A3673, ""en"", ""te""),"""")"),"")</f>
        <v/>
      </c>
      <c r="C3673" s="2"/>
      <c r="D3673" s="2" t="str">
        <f>IFERROR(__xludf.DUMMYFUNCTION("IF(C3673&lt;&gt;"""", GOOGLETRANSLATE(C3673, ""en"", ""te""),"""")"),"")</f>
        <v/>
      </c>
      <c r="E3673" s="2" t="s">
        <v>2537</v>
      </c>
      <c r="F3673" s="2" t="str">
        <f>IFERROR(__xludf.DUMMYFUNCTION("IF(E3673&lt;&gt;"""", GOOGLETRANSLATE(E3673, ""en"", ""te""),"""")"),"[ 'వరుస ఇన్నింగ్స్లో 44 వ యాభైల్లో (4)']")</f>
        <v>[ 'వరుస ఇన్నింగ్స్లో 44 వ యాభైల్లో (4)']</v>
      </c>
      <c r="G3673" s="2"/>
      <c r="H3673" s="2" t="str">
        <f>IFERROR(__xludf.DUMMYFUNCTION("IF(G3673&lt;&gt;"""", GOOGLETRANSLATE(G3673, ""en"", ""te""),"""")"),"")</f>
        <v/>
      </c>
      <c r="I3673" s="3"/>
    </row>
    <row r="3674" customHeight="1" spans="1:9">
      <c r="A3674" s="2"/>
      <c r="B3674" s="2" t="str">
        <f>IFERROR(__xludf.DUMMYFUNCTION("IF(A3674&lt;&gt;"""", GOOGLETRANSLATE(A3674, ""en"", ""te""),"""")"),"")</f>
        <v/>
      </c>
      <c r="C3674" s="2"/>
      <c r="D3674" s="2" t="str">
        <f>IFERROR(__xludf.DUMMYFUNCTION("IF(C3674&lt;&gt;"""", GOOGLETRANSLATE(C3674, ""en"", ""te""),"""")"),"")</f>
        <v/>
      </c>
      <c r="E3674" s="2"/>
      <c r="F3674" s="2" t="str">
        <f>IFERROR(__xludf.DUMMYFUNCTION("IF(E3674&lt;&gt;"""", GOOGLETRANSLATE(E3674, ""en"", ""te""),"""")"),"")</f>
        <v/>
      </c>
      <c r="G3674" s="2"/>
      <c r="H3674" s="2" t="str">
        <f>IFERROR(__xludf.DUMMYFUNCTION("IF(G3674&lt;&gt;"""", GOOGLETRANSLATE(G3674, ""en"", ""te""),"""")"),"")</f>
        <v/>
      </c>
      <c r="I3674" s="3"/>
    </row>
    <row r="3675" customHeight="1" spans="1:9">
      <c r="A3675" s="2" t="s">
        <v>2538</v>
      </c>
      <c r="B3675" s="2" t="str">
        <f>IFERROR(__xludf.DUMMYFUNCTION("IF(A3675&lt;&gt;"""", GOOGLETRANSLATE(A3675, ""en"", ""te""),"""")"),"[ '3 వ అత్యంత వృద్ధ ఆటగాడు పది వికెట్లు లో ఒక మ్యాచ్ తీసుకోవాలని (41y 71d)']")</f>
        <v>[ '3 వ అత్యంత వృద్ధ ఆటగాడు పది వికెట్లు లో ఒక మ్యాచ్ తీసుకోవాలని (41y 71d)']</v>
      </c>
      <c r="C3675" s="2" t="s">
        <v>2539</v>
      </c>
      <c r="D3675" s="2" t="str">
        <f>IFERROR(__xludf.DUMMYFUNCTION("IF(C3675&lt;&gt;"""", GOOGLETRANSLATE(C3675, ""en"", ""te""),"""")"),"[ '29 వ అత్యధిక పది వికెట్లు లో ఒక మ్యాచ్ ఒక వృత్తిలో (3)', '4 వ అత్యధిక వరుస పది వికెట్లు లో ఒక మ్యాచ్ (2)', 'ఐదు వికెట్ల తేడాతో తీసుకోవాలని 7 వ అత్యంత వృద్ధ ఆటగాడు -an-ఇన్నింగ్స్ (41y 71d) ',' తొలి తీసుకోవాలని పది వికెట్లు లో ఒక మ్యాచ్ తీసుకోవాలని 3 వ అ"&amp;"త్యంత వృద్ధ ఆటగాడు (41y 71d) ',' 7 వ ఓల్డెస్ట్ క్రీడాకారుడు ఐదు-వికెట్ల లో-ఒక-ఇన్నింగ్స్ (40y 65d) ',' 12 వ అత్యంత బంతుల్లో ఒక మ్యాచ్లో బౌల్డ్ (688) ',' 46 వ అత్యంత ఒక మ్యాచ్లో సాధించిన పరుగులు (258) ',' 20 వ 50 వికెట్లు (10) వేగంగా ']")</f>
        <v>[ '29 వ అత్యధిక పది వికెట్లు లో ఒక మ్యాచ్ ఒక వృత్తిలో (3)', '4 వ అత్యధిక వరుస పది వికెట్లు లో ఒక మ్యాచ్ (2)', 'ఐదు వికెట్ల తేడాతో తీసుకోవాలని 7 వ అత్యంత వృద్ధ ఆటగాడు -an-ఇన్నింగ్స్ (41y 71d) ',' తొలి తీసుకోవాలని పది వికెట్లు లో ఒక మ్యాచ్ తీసుకోవాలని 3 వ అత్యంత వృద్ధ ఆటగాడు (41y 71d) ',' 7 వ ఓల్డెస్ట్ క్రీడాకారుడు ఐదు-వికెట్ల లో-ఒక-ఇన్నింగ్స్ (40y 65d) ',' 12 వ అత్యంత బంతుల్లో ఒక మ్యాచ్లో బౌల్డ్ (688) ',' 46 వ అత్యంత ఒక మ్యాచ్లో సాధించిన పరుగులు (258) ',' 20 వ 50 వికెట్లు (10) వేగంగా ']</v>
      </c>
      <c r="E3675" s="2"/>
      <c r="F3675" s="2" t="str">
        <f>IFERROR(__xludf.DUMMYFUNCTION("IF(E3675&lt;&gt;"""", GOOGLETRANSLATE(E3675, ""en"", ""te""),"""")"),"")</f>
        <v/>
      </c>
      <c r="G3675" s="2"/>
      <c r="H3675" s="2" t="str">
        <f>IFERROR(__xludf.DUMMYFUNCTION("IF(G3675&lt;&gt;"""", GOOGLETRANSLATE(G3675, ""en"", ""te""),"""")"),"")</f>
        <v/>
      </c>
      <c r="I3675" s="3"/>
    </row>
    <row r="3676" customHeight="1" spans="1:9">
      <c r="A3676" s="2"/>
      <c r="B3676" s="2" t="str">
        <f>IFERROR(__xludf.DUMMYFUNCTION("IF(A3676&lt;&gt;"""", GOOGLETRANSLATE(A3676, ""en"", ""te""),"""")"),"")</f>
        <v/>
      </c>
      <c r="C3676" s="2"/>
      <c r="D3676" s="2" t="str">
        <f>IFERROR(__xludf.DUMMYFUNCTION("IF(C3676&lt;&gt;"""", GOOGLETRANSLATE(C3676, ""en"", ""te""),"""")"),"")</f>
        <v/>
      </c>
      <c r="E3676" s="2"/>
      <c r="F3676" s="2" t="str">
        <f>IFERROR(__xludf.DUMMYFUNCTION("IF(E3676&lt;&gt;"""", GOOGLETRANSLATE(E3676, ""en"", ""te""),"""")"),"")</f>
        <v/>
      </c>
      <c r="G3676" s="2"/>
      <c r="H3676" s="2" t="str">
        <f>IFERROR(__xludf.DUMMYFUNCTION("IF(G3676&lt;&gt;"""", GOOGLETRANSLATE(G3676, ""en"", ""te""),"""")"),"")</f>
        <v/>
      </c>
      <c r="I3676" s="3"/>
    </row>
    <row r="3677" customHeight="1" spans="1:9">
      <c r="A3677" s="2"/>
      <c r="B3677" s="2" t="str">
        <f>IFERROR(__xludf.DUMMYFUNCTION("IF(A3677&lt;&gt;"""", GOOGLETRANSLATE(A3677, ""en"", ""te""),"""")"),"")</f>
        <v/>
      </c>
      <c r="C3677" s="2"/>
      <c r="D3677" s="2" t="str">
        <f>IFERROR(__xludf.DUMMYFUNCTION("IF(C3677&lt;&gt;"""", GOOGLETRANSLATE(C3677, ""en"", ""te""),"""")"),"")</f>
        <v/>
      </c>
      <c r="E3677" s="2"/>
      <c r="F3677" s="2" t="str">
        <f>IFERROR(__xludf.DUMMYFUNCTION("IF(E3677&lt;&gt;"""", GOOGLETRANSLATE(E3677, ""en"", ""te""),"""")"),"")</f>
        <v/>
      </c>
      <c r="G3677" s="2"/>
      <c r="H3677" s="2" t="str">
        <f>IFERROR(__xludf.DUMMYFUNCTION("IF(G3677&lt;&gt;"""", GOOGLETRANSLATE(G3677, ""en"", ""te""),"""")"),"")</f>
        <v/>
      </c>
      <c r="I3677" s="3"/>
    </row>
    <row r="3678" customHeight="1" spans="1:9">
      <c r="A3678" s="2"/>
      <c r="B3678" s="2" t="str">
        <f>IFERROR(__xludf.DUMMYFUNCTION("IF(A3678&lt;&gt;"""", GOOGLETRANSLATE(A3678, ""en"", ""te""),"""")"),"")</f>
        <v/>
      </c>
      <c r="C3678" s="2"/>
      <c r="D3678" s="2" t="str">
        <f>IFERROR(__xludf.DUMMYFUNCTION("IF(C3678&lt;&gt;"""", GOOGLETRANSLATE(C3678, ""en"", ""te""),"""")"),"")</f>
        <v/>
      </c>
      <c r="E3678" s="2"/>
      <c r="F3678" s="2" t="str">
        <f>IFERROR(__xludf.DUMMYFUNCTION("IF(E3678&lt;&gt;"""", GOOGLETRANSLATE(E3678, ""en"", ""te""),"""")"),"")</f>
        <v/>
      </c>
      <c r="G3678" s="2"/>
      <c r="H3678" s="2" t="str">
        <f>IFERROR(__xludf.DUMMYFUNCTION("IF(G3678&lt;&gt;"""", GOOGLETRANSLATE(G3678, ""en"", ""te""),"""")"),"")</f>
        <v/>
      </c>
      <c r="I3678" s="3"/>
    </row>
    <row r="3679" customHeight="1" spans="1:9">
      <c r="A3679" s="2"/>
      <c r="B3679" s="2" t="str">
        <f>IFERROR(__xludf.DUMMYFUNCTION("IF(A3679&lt;&gt;"""", GOOGLETRANSLATE(A3679, ""en"", ""te""),"""")"),"")</f>
        <v/>
      </c>
      <c r="C3679" s="2"/>
      <c r="D3679" s="2" t="str">
        <f>IFERROR(__xludf.DUMMYFUNCTION("IF(C3679&lt;&gt;"""", GOOGLETRANSLATE(C3679, ""en"", ""te""),"""")"),"")</f>
        <v/>
      </c>
      <c r="E3679" s="2"/>
      <c r="F3679" s="2" t="str">
        <f>IFERROR(__xludf.DUMMYFUNCTION("IF(E3679&lt;&gt;"""", GOOGLETRANSLATE(E3679, ""en"", ""te""),"""")"),"")</f>
        <v/>
      </c>
      <c r="G3679" s="2"/>
      <c r="H3679" s="2" t="str">
        <f>IFERROR(__xludf.DUMMYFUNCTION("IF(G3679&lt;&gt;"""", GOOGLETRANSLATE(G3679, ""en"", ""te""),"""")"),"")</f>
        <v/>
      </c>
      <c r="I3679" s="3"/>
    </row>
    <row r="3680" customHeight="1" spans="1:9">
      <c r="A3680" s="2" t="s">
        <v>2540</v>
      </c>
      <c r="B3680" s="2" t="str">
        <f>IFERROR(__xludf.DUMMYFUNCTION("IF(A3680&lt;&gt;"""", GOOGLETRANSLATE(A3680, ""en"", ""te""),"""")"),"[ 'హండ్రెడ్ మరియు ఒక మ్యాచ్లో ఒక డక్', '9 వ కెరీర్ లో వచ్చిన ఎక్కువ సిక్స్ (82)', 'ఐదు రోజుల మ్యాచ్లో ప్రతి రోజు బ్యాటింగ్', '1 వ అత్యుత్తమ బౌలింగ్ ఇన్నింగ్స్ లో విశ్లేషించడం (1/0)', ​​' 250 పరుగులు మరియు ఒక సిరీస్లో 20 వికెట్లు ',' 1000 పరుగులు, 50 వికెట"&amp;"్లు, 50 క్యాచ్లు ',' 1 వ 99 పరుగుల (199, 299 etc) (99) ',' 250 పరుగులు మరియు ఒక సిరీస్లో 10 వికెట్లు ',' వరుస ఇన్నింగ్స్లో 10 వ యాభైల్లో (6) ']")</f>
        <v>[ 'హండ్రెడ్ మరియు ఒక మ్యాచ్లో ఒక డక్', '9 వ కెరీర్ లో వచ్చిన ఎక్కువ సిక్స్ (82)', 'ఐదు రోజుల మ్యాచ్లో ప్రతి రోజు బ్యాటింగ్', '1 వ అత్యుత్తమ బౌలింగ్ ఇన్నింగ్స్ లో విశ్లేషించడం (1/0)', ​​' 250 పరుగులు మరియు ఒక సిరీస్లో 20 వికెట్లు ',' 1000 పరుగులు, 50 వికెట్లు, 50 క్యాచ్లు ',' 1 వ 99 పరుగుల (199, 299 etc) (99) ',' 250 పరుగులు మరియు ఒక సిరీస్లో 10 వికెట్లు ',' వరుస ఇన్నింగ్స్లో 10 వ యాభైల్లో (6) ']</v>
      </c>
      <c r="C3680" s="2" t="s">
        <v>2541</v>
      </c>
      <c r="D3680" s="2" t="str">
        <f>IFERROR(__xludf.DUMMYFUNCTION("IF(C3680&lt;&gt;"""", GOOGLETRANSLATE(C3680, ""en"", ""te""),"""")"),"[ 'వరుస మ్యాచ్లలో 15 వ యాభైల్లో (8)', '39 వ అత్యంత బాతులు కెరీర్ లో (17)', '7 వ అత్యంత జతల కెరీర్లో (3)', '9 వ ఎక్కువ సిక్స్ కెరీర్లో (82)', '19 వ ఎక్కువ సిక్స్ లో ఇన్నింగ్స్ (7) ',' 19 ఒక క్యాలెండర్ సంవత్సరంలో అత్యధిక వికెట్లు (68) ',' 1 వ అత్యుత్తమ బౌల"&amp;"ింగ్ ఇన్నింగ్స్ విశ్లేషణలలో కెరీర్లో సాధించిన (7410) ',' 47 వ భాగం (1/0) ',' 45 వ అత్యధిక పరుగులు వికెట్లు ఆకర్షించింది తీసుకోకూడదు (155) ',' 45 వ అత్యధిక వికెట్లు ఒక వికెట్ కీపర్ చే కాట్ తీసుకున్న (52) ',' 24 వ అత్యంత ప్లేయర్ ఆఫ్ ది సిరీస్ అవార్డులు (4) "&amp;"']")</f>
        <v>[ 'వరుస మ్యాచ్లలో 15 వ యాభైల్లో (8)', '39 వ అత్యంత బాతులు కెరీర్ లో (17)', '7 వ అత్యంత జతల కెరీర్లో (3)', '9 వ ఎక్కువ సిక్స్ కెరీర్లో (82)', '19 వ ఎక్కువ సిక్స్ లో ఇన్నింగ్స్ (7) ',' 19 ఒక క్యాలెండర్ సంవత్సరంలో అత్యధిక వికెట్లు (68) ',' 1 వ అత్యుత్తమ బౌలింగ్ ఇన్నింగ్స్ విశ్లేషణలలో కెరీర్లో సాధించిన (7410) ',' 47 వ భాగం (1/0) ',' 45 వ అత్యధిక పరుగులు వికెట్లు ఆకర్షించింది తీసుకోకూడదు (155) ',' 45 వ అత్యధిక వికెట్లు ఒక వికెట్ కీపర్ చే కాట్ తీసుకున్న (52) ',' 24 వ అత్యంత ప్లేయర్ ఆఫ్ ది సిరీస్ అవార్డులు (4) ']</v>
      </c>
      <c r="E3680" s="2" t="s">
        <v>2542</v>
      </c>
      <c r="F3680" s="2" t="str">
        <f>IFERROR(__xludf.DUMMYFUNCTION("IF(E3680&lt;&gt;"""", GOOGLETRANSLATE(E3680, ""en"", ""te""),"""")"),"[ '99 పరుగుల 1st (మరియు 199, 299 etc) (99)', '43 వ కెరీర్ లో వచ్చిన ఎక్కువ సిక్స్ (93)', '12 వ అత్యుత్తమ బౌలింగ్ ఇన్నింగ్స్ లో విశ్లేషించడం (2/3)', '26 ఒక ఉత్తమ బొమ్మలు ఒక కెప్టెన్తో ఇన్నింగ్స్ (4) ',' 14 వ ఒక ఇన్నింగ్స్ లోని బెస్ట్ ఫిగర్స్ ఉన్నప్పుడు పరా"&amp;"జయం వైపు (5) ',' ఇన్నింగ్స్ లో 12 వ ఉత్తమ సమ్మె రేటు (6.0) ',' 43 వ అత్యంత ఐదు-వికెట్ల ఇన్ an- ఒక వృత్తిలో ఇన్నింగ్స్ (2) ',' 43 వ అత్యంత నాలుగు వికెట్లు-ఇన్-ఒక-ఇన్నింగ్స్ కెరీర్లో (8) ',' 38 వ అత్యధిక వికెట్లు తీసుకున్న బౌల్డ్ (49) ',' 26th అత్యధిక వికె"&amp;"ట్లు ఒక వికెట్ కీపర్ చే కాట్ తీసుకోకూడదు ( 44) ',' ఐదవ వికెట్కు 15 అత్యధిక భాగస్వామ్యం (174) ',' 45 వ అత్యంత ప్లేయర్ ఆఫ్ ది సిరీస్ అవార్డులు (3) ']")</f>
        <v>[ '99 పరుగుల 1st (మరియు 199, 299 etc) (99)', '43 వ కెరీర్ లో వచ్చిన ఎక్కువ సిక్స్ (93)', '12 వ అత్యుత్తమ బౌలింగ్ ఇన్నింగ్స్ లో విశ్లేషించడం (2/3)', '26 ఒక ఉత్తమ బొమ్మలు ఒక కెప్టెన్తో ఇన్నింగ్స్ (4) ',' 14 వ ఒక ఇన్నింగ్స్ లోని బెస్ట్ ఫిగర్స్ ఉన్నప్పుడు పరాజయం వైపు (5) ',' ఇన్నింగ్స్ లో 12 వ ఉత్తమ సమ్మె రేటు (6.0) ',' 43 వ అత్యంత ఐదు-వికెట్ల ఇన్ an- ఒక వృత్తిలో ఇన్నింగ్స్ (2) ',' 43 వ అత్యంత నాలుగు వికెట్లు-ఇన్-ఒక-ఇన్నింగ్స్ కెరీర్లో (8) ',' 38 వ అత్యధిక వికెట్లు తీసుకున్న బౌల్డ్ (49) ',' 26th అత్యధిక వికెట్లు ఒక వికెట్ కీపర్ చే కాట్ తీసుకోకూడదు ( 44) ',' ఐదవ వికెట్కు 15 అత్యధిక భాగస్వామ్యం (174) ',' 45 వ అత్యంత ప్లేయర్ ఆఫ్ ది సిరీస్ అవార్డులు (3) ']</v>
      </c>
      <c r="G3680" s="2"/>
      <c r="H3680" s="2" t="str">
        <f>IFERROR(__xludf.DUMMYFUNCTION("IF(G3680&lt;&gt;"""", GOOGLETRANSLATE(G3680, ""en"", ""te""),"""")"),"")</f>
        <v/>
      </c>
      <c r="I3680" s="3"/>
    </row>
    <row r="3681" customHeight="1" spans="1:9">
      <c r="A3681" s="2"/>
      <c r="B3681" s="2" t="str">
        <f>IFERROR(__xludf.DUMMYFUNCTION("IF(A3681&lt;&gt;"""", GOOGLETRANSLATE(A3681, ""en"", ""te""),"""")"),"")</f>
        <v/>
      </c>
      <c r="C3681" s="2" t="s">
        <v>2543</v>
      </c>
      <c r="D3681" s="2" t="str">
        <f>IFERROR(__xludf.DUMMYFUNCTION("IF(C3681&lt;&gt;"""", GOOGLETRANSLATE(C3681, ""en"", ""te""),"""")"),"[ '30 వ లాంగెస్ట్ నివసించారు క్రీడాకారులు (92y 297d)']")</f>
        <v>[ '30 వ లాంగెస్ట్ నివసించారు క్రీడాకారులు (92y 297d)']</v>
      </c>
      <c r="E3681" s="2"/>
      <c r="F3681" s="2" t="str">
        <f>IFERROR(__xludf.DUMMYFUNCTION("IF(E3681&lt;&gt;"""", GOOGLETRANSLATE(E3681, ""en"", ""te""),"""")"),"")</f>
        <v/>
      </c>
      <c r="G3681" s="2"/>
      <c r="H3681" s="2" t="str">
        <f>IFERROR(__xludf.DUMMYFUNCTION("IF(G3681&lt;&gt;"""", GOOGLETRANSLATE(G3681, ""en"", ""te""),"""")"),"")</f>
        <v/>
      </c>
      <c r="I3681" s="3"/>
    </row>
    <row r="3682" customHeight="1" spans="1:9">
      <c r="A3682" s="2"/>
      <c r="B3682" s="2" t="str">
        <f>IFERROR(__xludf.DUMMYFUNCTION("IF(A3682&lt;&gt;"""", GOOGLETRANSLATE(A3682, ""en"", ""te""),"""")"),"")</f>
        <v/>
      </c>
      <c r="C3682" s="2"/>
      <c r="D3682" s="2" t="str">
        <f>IFERROR(__xludf.DUMMYFUNCTION("IF(C3682&lt;&gt;"""", GOOGLETRANSLATE(C3682, ""en"", ""te""),"""")"),"")</f>
        <v/>
      </c>
      <c r="E3682" s="2"/>
      <c r="F3682" s="2" t="str">
        <f>IFERROR(__xludf.DUMMYFUNCTION("IF(E3682&lt;&gt;"""", GOOGLETRANSLATE(E3682, ""en"", ""te""),"""")"),"")</f>
        <v/>
      </c>
      <c r="G3682" s="2"/>
      <c r="H3682" s="2" t="str">
        <f>IFERROR(__xludf.DUMMYFUNCTION("IF(G3682&lt;&gt;"""", GOOGLETRANSLATE(G3682, ""en"", ""te""),"""")"),"")</f>
        <v/>
      </c>
      <c r="I3682" s="3"/>
    </row>
    <row r="3683" customHeight="1" spans="1:9">
      <c r="A3683" s="2"/>
      <c r="B3683" s="2" t="str">
        <f>IFERROR(__xludf.DUMMYFUNCTION("IF(A3683&lt;&gt;"""", GOOGLETRANSLATE(A3683, ""en"", ""te""),"""")"),"")</f>
        <v/>
      </c>
      <c r="C3683" s="2" t="s">
        <v>2544</v>
      </c>
      <c r="D3683" s="2" t="str">
        <f>IFERROR(__xludf.DUMMYFUNCTION("IF(C3683&lt;&gt;"""", GOOGLETRANSLATE(C3683, ""en"", ""te""),"""")"),"[ '44 వ ఒక సిరీస్లో అత్యధిక వికెట్లు (32)', '16 వ ఉత్తమ కెరీర్ బౌలింగ్ సరాసరి (20.57)']")</f>
        <v>[ '44 వ ఒక సిరీస్లో అత్యధిక వికెట్లు (32)', '16 వ ఉత్తమ కెరీర్ బౌలింగ్ సరాసరి (20.57)']</v>
      </c>
      <c r="E3683" s="2"/>
      <c r="F3683" s="2" t="str">
        <f>IFERROR(__xludf.DUMMYFUNCTION("IF(E3683&lt;&gt;"""", GOOGLETRANSLATE(E3683, ""en"", ""te""),"""")"),"")</f>
        <v/>
      </c>
      <c r="G3683" s="2"/>
      <c r="H3683" s="2" t="str">
        <f>IFERROR(__xludf.DUMMYFUNCTION("IF(G3683&lt;&gt;"""", GOOGLETRANSLATE(G3683, ""en"", ""te""),"""")"),"")</f>
        <v/>
      </c>
      <c r="I3683" s="3"/>
    </row>
    <row r="3684" customHeight="1" spans="1:9">
      <c r="A3684" s="2"/>
      <c r="B3684" s="2" t="str">
        <f>IFERROR(__xludf.DUMMYFUNCTION("IF(A3684&lt;&gt;"""", GOOGLETRANSLATE(A3684, ""en"", ""te""),"""")"),"")</f>
        <v/>
      </c>
      <c r="C3684" s="2"/>
      <c r="D3684" s="2" t="str">
        <f>IFERROR(__xludf.DUMMYFUNCTION("IF(C3684&lt;&gt;"""", GOOGLETRANSLATE(C3684, ""en"", ""te""),"""")"),"")</f>
        <v/>
      </c>
      <c r="E3684" s="2"/>
      <c r="F3684" s="2" t="str">
        <f>IFERROR(__xludf.DUMMYFUNCTION("IF(E3684&lt;&gt;"""", GOOGLETRANSLATE(E3684, ""en"", ""te""),"""")"),"")</f>
        <v/>
      </c>
      <c r="G3684" s="2"/>
      <c r="H3684" s="2" t="str">
        <f>IFERROR(__xludf.DUMMYFUNCTION("IF(G3684&lt;&gt;"""", GOOGLETRANSLATE(G3684, ""en"", ""te""),"""")"),"")</f>
        <v/>
      </c>
      <c r="I3684" s="3"/>
    </row>
    <row r="3685" customHeight="1" spans="1:9">
      <c r="A3685" s="2"/>
      <c r="B3685" s="2" t="str">
        <f>IFERROR(__xludf.DUMMYFUNCTION("IF(A3685&lt;&gt;"""", GOOGLETRANSLATE(A3685, ""en"", ""te""),"""")"),"")</f>
        <v/>
      </c>
      <c r="C3685" s="2"/>
      <c r="D3685" s="2" t="str">
        <f>IFERROR(__xludf.DUMMYFUNCTION("IF(C3685&lt;&gt;"""", GOOGLETRANSLATE(C3685, ""en"", ""te""),"""")"),"")</f>
        <v/>
      </c>
      <c r="E3685" s="2"/>
      <c r="F3685" s="2" t="str">
        <f>IFERROR(__xludf.DUMMYFUNCTION("IF(E3685&lt;&gt;"""", GOOGLETRANSLATE(E3685, ""en"", ""te""),"""")"),"")</f>
        <v/>
      </c>
      <c r="G3685" s="2"/>
      <c r="H3685" s="2" t="str">
        <f>IFERROR(__xludf.DUMMYFUNCTION("IF(G3685&lt;&gt;"""", GOOGLETRANSLATE(G3685, ""en"", ""te""),"""")"),"")</f>
        <v/>
      </c>
      <c r="I3685" s="3"/>
    </row>
    <row r="3686" customHeight="1" spans="1:9">
      <c r="A3686" s="2"/>
      <c r="B3686" s="2" t="str">
        <f>IFERROR(__xludf.DUMMYFUNCTION("IF(A3686&lt;&gt;"""", GOOGLETRANSLATE(A3686, ""en"", ""te""),"""")"),"")</f>
        <v/>
      </c>
      <c r="C3686" s="2"/>
      <c r="D3686" s="2" t="str">
        <f>IFERROR(__xludf.DUMMYFUNCTION("IF(C3686&lt;&gt;"""", GOOGLETRANSLATE(C3686, ""en"", ""te""),"""")"),"")</f>
        <v/>
      </c>
      <c r="E3686" s="2"/>
      <c r="F3686" s="2" t="str">
        <f>IFERROR(__xludf.DUMMYFUNCTION("IF(E3686&lt;&gt;"""", GOOGLETRANSLATE(E3686, ""en"", ""te""),"""")"),"")</f>
        <v/>
      </c>
      <c r="G3686" s="2"/>
      <c r="H3686" s="2" t="str">
        <f>IFERROR(__xludf.DUMMYFUNCTION("IF(G3686&lt;&gt;"""", GOOGLETRANSLATE(G3686, ""en"", ""te""),"""")"),"")</f>
        <v/>
      </c>
      <c r="I3686" s="3"/>
    </row>
    <row r="3687" customHeight="1" spans="1:9">
      <c r="A3687" s="2"/>
      <c r="B3687" s="2" t="str">
        <f>IFERROR(__xludf.DUMMYFUNCTION("IF(A3687&lt;&gt;"""", GOOGLETRANSLATE(A3687, ""en"", ""te""),"""")"),"")</f>
        <v/>
      </c>
      <c r="C3687" s="2"/>
      <c r="D3687" s="2" t="str">
        <f>IFERROR(__xludf.DUMMYFUNCTION("IF(C3687&lt;&gt;"""", GOOGLETRANSLATE(C3687, ""en"", ""te""),"""")"),"")</f>
        <v/>
      </c>
      <c r="E3687" s="2"/>
      <c r="F3687" s="2" t="str">
        <f>IFERROR(__xludf.DUMMYFUNCTION("IF(E3687&lt;&gt;"""", GOOGLETRANSLATE(E3687, ""en"", ""te""),"""")"),"")</f>
        <v/>
      </c>
      <c r="G3687" s="2"/>
      <c r="H3687" s="2" t="str">
        <f>IFERROR(__xludf.DUMMYFUNCTION("IF(G3687&lt;&gt;"""", GOOGLETRANSLATE(G3687, ""en"", ""te""),"""")"),"")</f>
        <v/>
      </c>
      <c r="I3687" s="3"/>
    </row>
    <row r="3688" customHeight="1" spans="1:9">
      <c r="A3688" s="2" t="s">
        <v>2545</v>
      </c>
      <c r="B3688" s="2" t="str">
        <f>IFERROR(__xludf.DUMMYFUNCTION("IF(A3688&lt;&gt;"""", GOOGLETRANSLATE(A3688, ""en"", ""te""),"""")"),"[ '5 వ వరుస (3) లో అన్ని టాస్ గెలిచి']")</f>
        <v>[ '5 వ వరుస (3) లో అన్ని టాస్ గెలిచి']</v>
      </c>
      <c r="C3688" s="2" t="s">
        <v>2546</v>
      </c>
      <c r="D3688" s="2" t="str">
        <f>IFERROR(__xludf.DUMMYFUNCTION("IF(C3688&lt;&gt;"""", GOOGLETRANSLATE(C3688, ""en"", ""te""),"""")"),"[ '5 వ వరుస అన్ని టాస్ గెలిచిన (3)', '21 వ ఓల్డెస్ట్ కాప్టెన్ (40y 119d) ',' కెప్టెన్సీ తొలి 8 వ ఓల్డెస్ట్ కాప్టెన్ (40y 46d) ']")</f>
        <v>[ '5 వ వరుస అన్ని టాస్ గెలిచిన (3)', '21 వ ఓల్డెస్ట్ కాప్టెన్ (40y 119d) ',' కెప్టెన్సీ తొలి 8 వ ఓల్డెస్ట్ కాప్టెన్ (40y 46d) ']</v>
      </c>
      <c r="E3688" s="2"/>
      <c r="F3688" s="2" t="str">
        <f>IFERROR(__xludf.DUMMYFUNCTION("IF(E3688&lt;&gt;"""", GOOGLETRANSLATE(E3688, ""en"", ""te""),"""")"),"")</f>
        <v/>
      </c>
      <c r="G3688" s="2"/>
      <c r="H3688" s="2" t="str">
        <f>IFERROR(__xludf.DUMMYFUNCTION("IF(G3688&lt;&gt;"""", GOOGLETRANSLATE(G3688, ""en"", ""te""),"""")"),"")</f>
        <v/>
      </c>
      <c r="I3688" s="3"/>
    </row>
    <row r="3689" customHeight="1" spans="1:9">
      <c r="A3689" s="2"/>
      <c r="B3689" s="2" t="str">
        <f>IFERROR(__xludf.DUMMYFUNCTION("IF(A3689&lt;&gt;"""", GOOGLETRANSLATE(A3689, ""en"", ""te""),"""")"),"")</f>
        <v/>
      </c>
      <c r="C3689" s="2"/>
      <c r="D3689" s="2" t="str">
        <f>IFERROR(__xludf.DUMMYFUNCTION("IF(C3689&lt;&gt;"""", GOOGLETRANSLATE(C3689, ""en"", ""te""),"""")"),"")</f>
        <v/>
      </c>
      <c r="E3689" s="2"/>
      <c r="F3689" s="2" t="str">
        <f>IFERROR(__xludf.DUMMYFUNCTION("IF(E3689&lt;&gt;"""", GOOGLETRANSLATE(E3689, ""en"", ""te""),"""")"),"")</f>
        <v/>
      </c>
      <c r="G3689" s="2"/>
      <c r="H3689" s="2" t="str">
        <f>IFERROR(__xludf.DUMMYFUNCTION("IF(G3689&lt;&gt;"""", GOOGLETRANSLATE(G3689, ""en"", ""te""),"""")"),"")</f>
        <v/>
      </c>
      <c r="I3689" s="3"/>
    </row>
    <row r="3690" customHeight="1" spans="1:9">
      <c r="A3690" s="2"/>
      <c r="B3690" s="2" t="str">
        <f>IFERROR(__xludf.DUMMYFUNCTION("IF(A3690&lt;&gt;"""", GOOGLETRANSLATE(A3690, ""en"", ""te""),"""")"),"")</f>
        <v/>
      </c>
      <c r="C3690" s="2"/>
      <c r="D3690" s="2" t="str">
        <f>IFERROR(__xludf.DUMMYFUNCTION("IF(C3690&lt;&gt;"""", GOOGLETRANSLATE(C3690, ""en"", ""te""),"""")"),"")</f>
        <v/>
      </c>
      <c r="E3690" s="2"/>
      <c r="F3690" s="2" t="str">
        <f>IFERROR(__xludf.DUMMYFUNCTION("IF(E3690&lt;&gt;"""", GOOGLETRANSLATE(E3690, ""en"", ""te""),"""")"),"")</f>
        <v/>
      </c>
      <c r="G3690" s="2"/>
      <c r="H3690" s="2" t="str">
        <f>IFERROR(__xludf.DUMMYFUNCTION("IF(G3690&lt;&gt;"""", GOOGLETRANSLATE(G3690, ""en"", ""te""),"""")"),"")</f>
        <v/>
      </c>
      <c r="I3690" s="3"/>
    </row>
    <row r="3691" customHeight="1" spans="1:9">
      <c r="A3691" s="2"/>
      <c r="B3691" s="2" t="str">
        <f>IFERROR(__xludf.DUMMYFUNCTION("IF(A3691&lt;&gt;"""", GOOGLETRANSLATE(A3691, ""en"", ""te""),"""")"),"")</f>
        <v/>
      </c>
      <c r="C3691" s="2"/>
      <c r="D3691" s="2" t="str">
        <f>IFERROR(__xludf.DUMMYFUNCTION("IF(C3691&lt;&gt;"""", GOOGLETRANSLATE(C3691, ""en"", ""te""),"""")"),"")</f>
        <v/>
      </c>
      <c r="E3691" s="2"/>
      <c r="F3691" s="2" t="str">
        <f>IFERROR(__xludf.DUMMYFUNCTION("IF(E3691&lt;&gt;"""", GOOGLETRANSLATE(E3691, ""en"", ""te""),"""")"),"")</f>
        <v/>
      </c>
      <c r="G3691" s="2"/>
      <c r="H3691" s="2" t="str">
        <f>IFERROR(__xludf.DUMMYFUNCTION("IF(G3691&lt;&gt;"""", GOOGLETRANSLATE(G3691, ""en"", ""te""),"""")"),"")</f>
        <v/>
      </c>
      <c r="I3691" s="3"/>
    </row>
    <row r="3692" customHeight="1" spans="1:9">
      <c r="A3692" s="2" t="s">
        <v>2547</v>
      </c>
      <c r="B3692" s="2" t="str">
        <f>IFERROR(__xludf.DUMMYFUNCTION("IF(A3692&lt;&gt;"""", GOOGLETRANSLATE(A3692, ""en"", ""te""),"""")"),"[ '3 వ వరుస అన్ని టాస్ గెలిచిన (3)', 'ఇన్నింగ్స్ లో 3 వ అత్యధిక పరుగులు (ప్రగతిశీల రికార్డు హోల్డర్) (287)', 'హండ్రెడ్ తొలి (287)', '4 వ అత్యధిక తొలి వంద (287)', 'పదవ వికెట్కు 8 వ అత్యధిక భాగస్వామ్యం (130)']")</f>
        <v>[ '3 వ వరుస అన్ని టాస్ గెలిచిన (3)', 'ఇన్నింగ్స్ లో 3 వ అత్యధిక పరుగులు (ప్రగతిశీల రికార్డు హోల్డర్) (287)', 'హండ్రెడ్ తొలి (287)', '4 వ అత్యధిక తొలి వంద (287)', 'పదవ వికెట్కు 8 వ అత్యధిక భాగస్వామ్యం (130)']</v>
      </c>
      <c r="C3692" s="2" t="s">
        <v>2548</v>
      </c>
      <c r="D3692" s="2" t="str">
        <f>IFERROR(__xludf.DUMMYFUNCTION("IF(C3692&lt;&gt;"""", GOOGLETRANSLATE(C3692, ""en"", ""te""),"""")"),"[ 'ఇన్నింగ్స్ (287) లో 39 వ అత్యధిక పరుగులు' '3 వ అత్యంత ఇన్నింగ్స్ లో నడుస్తుంది (ప్రగతిశీల రికార్డు హోల్డర్) (287)', 'ఒక మ్యాచ్లో 46 వ అత్యధిక పరుగులు (306)', 'చాలా 5 వ ఇన్నింగ్స్ లో పరుగులు ( ఒక రోజు బ్యాటింగ్ స్థానం) (287) ',' 23 వ పరుగుల తేడాతో (214)"&amp;" ',' తొలి మ్యాచ్లో 2nd అత్యధిక పరుగులు (306) ',' 4 వ అత్యధిక తొలి వంద (287) ',' 28th చాలా ఇన్నింగ్స్ లో ఫోర్లు (37) ',' తొమ్మిదవ వికెట్కు 32 వ అత్యధిక భాగస్వామ్యం (115) పదవ వికెట్కు ',' 8 వ అత్యధిక భాగస్వామ్యం (130) ',' 3 వ వరుస అన్ని టాస్ గెలిచిన (3) ']")</f>
        <v>[ 'ఇన్నింగ్స్ (287) లో 39 వ అత్యధిక పరుగులు' '3 వ అత్యంత ఇన్నింగ్స్ లో నడుస్తుంది (ప్రగతిశీల రికార్డు హోల్డర్) (287)', 'ఒక మ్యాచ్లో 46 వ అత్యధిక పరుగులు (306)', 'చాలా 5 వ ఇన్నింగ్స్ లో పరుగులు ( ఒక రోజు బ్యాటింగ్ స్థానం) (287) ',' 23 వ పరుగుల తేడాతో (214) ',' తొలి మ్యాచ్లో 2nd అత్యధిక పరుగులు (306) ',' 4 వ అత్యధిక తొలి వంద (287) ',' 28th చాలా ఇన్నింగ్స్ లో ఫోర్లు (37) ',' తొమ్మిదవ వికెట్కు 32 వ అత్యధిక భాగస్వామ్యం (115) పదవ వికెట్కు ',' 8 వ అత్యధిక భాగస్వామ్యం (130) ',' 3 వ వరుస అన్ని టాస్ గెలిచిన (3) ']</v>
      </c>
      <c r="E3692" s="2"/>
      <c r="F3692" s="2" t="str">
        <f>IFERROR(__xludf.DUMMYFUNCTION("IF(E3692&lt;&gt;"""", GOOGLETRANSLATE(E3692, ""en"", ""te""),"""")"),"")</f>
        <v/>
      </c>
      <c r="G3692" s="2"/>
      <c r="H3692" s="2" t="str">
        <f>IFERROR(__xludf.DUMMYFUNCTION("IF(G3692&lt;&gt;"""", GOOGLETRANSLATE(G3692, ""en"", ""te""),"""")"),"")</f>
        <v/>
      </c>
      <c r="I3692" s="3"/>
    </row>
    <row r="3693" customHeight="1" spans="1:9">
      <c r="A3693" s="2"/>
      <c r="B3693" s="2" t="str">
        <f>IFERROR(__xludf.DUMMYFUNCTION("IF(A3693&lt;&gt;"""", GOOGLETRANSLATE(A3693, ""en"", ""te""),"""")"),"")</f>
        <v/>
      </c>
      <c r="C3693" s="2"/>
      <c r="D3693" s="2" t="str">
        <f>IFERROR(__xludf.DUMMYFUNCTION("IF(C3693&lt;&gt;"""", GOOGLETRANSLATE(C3693, ""en"", ""te""),"""")"),"")</f>
        <v/>
      </c>
      <c r="E3693" s="2"/>
      <c r="F3693" s="2" t="str">
        <f>IFERROR(__xludf.DUMMYFUNCTION("IF(E3693&lt;&gt;"""", GOOGLETRANSLATE(E3693, ""en"", ""te""),"""")"),"")</f>
        <v/>
      </c>
      <c r="G3693" s="2"/>
      <c r="H3693" s="2" t="str">
        <f>IFERROR(__xludf.DUMMYFUNCTION("IF(G3693&lt;&gt;"""", GOOGLETRANSLATE(G3693, ""en"", ""te""),"""")"),"")</f>
        <v/>
      </c>
      <c r="I3693" s="3"/>
    </row>
    <row r="3694" customHeight="1" spans="1:9">
      <c r="A3694" s="2"/>
      <c r="B3694" s="2" t="str">
        <f>IFERROR(__xludf.DUMMYFUNCTION("IF(A3694&lt;&gt;"""", GOOGLETRANSLATE(A3694, ""en"", ""te""),"""")"),"")</f>
        <v/>
      </c>
      <c r="C3694" s="2" t="s">
        <v>2549</v>
      </c>
      <c r="D3694" s="2" t="str">
        <f>IFERROR(__xludf.DUMMYFUNCTION("IF(C3694&lt;&gt;"""", GOOGLETRANSLATE(C3694, ""en"", ""te""),"""")"),"[ 'ప్రదర్శనల మధ్య 26 లాంగెస్ట్ వ్యవధిలో (9y 364d)']")</f>
        <v>[ 'ప్రదర్శనల మధ్య 26 లాంగెస్ట్ వ్యవధిలో (9y 364d)']</v>
      </c>
      <c r="E3694" s="2"/>
      <c r="F3694" s="2" t="str">
        <f>IFERROR(__xludf.DUMMYFUNCTION("IF(E3694&lt;&gt;"""", GOOGLETRANSLATE(E3694, ""en"", ""te""),"""")"),"")</f>
        <v/>
      </c>
      <c r="G3694" s="2"/>
      <c r="H3694" s="2" t="str">
        <f>IFERROR(__xludf.DUMMYFUNCTION("IF(G3694&lt;&gt;"""", GOOGLETRANSLATE(G3694, ""en"", ""te""),"""")"),"")</f>
        <v/>
      </c>
      <c r="I3694" s="3"/>
    </row>
    <row r="3695" customHeight="1" spans="1:9">
      <c r="A3695" s="2" t="s">
        <v>352</v>
      </c>
      <c r="B3695" s="2" t="str">
        <f>IFERROR(__xludf.DUMMYFUNCTION("IF(A3695&lt;&gt;"""", GOOGLETRANSLATE(A3695, ""en"", ""te""),"""")"),"[ 'బ్యాటింగ్ ప్రారంభించుటకు మరియు అదే మ్యాచ్ లో బౌలింగ్']")</f>
        <v>[ 'బ్యాటింగ్ ప్రారంభించుటకు మరియు అదే మ్యాచ్ లో బౌలింగ్']</v>
      </c>
      <c r="C3695" s="2" t="s">
        <v>2550</v>
      </c>
      <c r="D3695" s="2" t="str">
        <f>IFERROR(__xludf.DUMMYFUNCTION("IF(C3695&lt;&gt;"""", GOOGLETRANSLATE(C3695, ""en"", ""te""),"""")"),"[40 వ మ్యాచ్ లో బెస్ట్ ఫిగర్స్ ఉన్నప్పుడు పరాజయం వైపు (10) ',' ఇన్నింగ్స్ లో 24 చెత్త సమ్మె రేటు (368.0) ',' తొలి మ్యాచ్లో 13 వ బెస్ట్ ఫిగర్స్ (10) ',' 34 వ పిన్న ఆటగాడు పది వికెట్ల లో ఒక మ్యాచ్ పడుతుంది (22y 335d) ',' 27 షార్టేస్ట్ నివసించారు క్రీడాకారు"&amp;"లు (30y 104d) ']")</f>
        <v>[40 వ మ్యాచ్ లో బెస్ట్ ఫిగర్స్ ఉన్నప్పుడు పరాజయం వైపు (10) ',' ఇన్నింగ్స్ లో 24 చెత్త సమ్మె రేటు (368.0) ',' తొలి మ్యాచ్లో 13 వ బెస్ట్ ఫిగర్స్ (10) ',' 34 వ పిన్న ఆటగాడు పది వికెట్ల లో ఒక మ్యాచ్ పడుతుంది (22y 335d) ',' 27 షార్టేస్ట్ నివసించారు క్రీడాకారులు (30y 104d) ']</v>
      </c>
      <c r="E3695" s="2"/>
      <c r="F3695" s="2" t="str">
        <f>IFERROR(__xludf.DUMMYFUNCTION("IF(E3695&lt;&gt;"""", GOOGLETRANSLATE(E3695, ""en"", ""te""),"""")"),"")</f>
        <v/>
      </c>
      <c r="G3695" s="2"/>
      <c r="H3695" s="2" t="str">
        <f>IFERROR(__xludf.DUMMYFUNCTION("IF(G3695&lt;&gt;"""", GOOGLETRANSLATE(G3695, ""en"", ""te""),"""")"),"")</f>
        <v/>
      </c>
      <c r="I3695" s="3"/>
    </row>
    <row r="3696" customHeight="1" spans="1:9">
      <c r="A3696" s="2"/>
      <c r="B3696" s="2" t="str">
        <f>IFERROR(__xludf.DUMMYFUNCTION("IF(A3696&lt;&gt;"""", GOOGLETRANSLATE(A3696, ""en"", ""te""),"""")"),"")</f>
        <v/>
      </c>
      <c r="C3696" s="2"/>
      <c r="D3696" s="2" t="str">
        <f>IFERROR(__xludf.DUMMYFUNCTION("IF(C3696&lt;&gt;"""", GOOGLETRANSLATE(C3696, ""en"", ""te""),"""")"),"")</f>
        <v/>
      </c>
      <c r="E3696" s="2"/>
      <c r="F3696" s="2" t="str">
        <f>IFERROR(__xludf.DUMMYFUNCTION("IF(E3696&lt;&gt;"""", GOOGLETRANSLATE(E3696, ""en"", ""te""),"""")"),"")</f>
        <v/>
      </c>
      <c r="G3696" s="2"/>
      <c r="H3696" s="2" t="str">
        <f>IFERROR(__xludf.DUMMYFUNCTION("IF(G3696&lt;&gt;"""", GOOGLETRANSLATE(G3696, ""en"", ""te""),"""")"),"")</f>
        <v/>
      </c>
      <c r="I3696" s="3"/>
    </row>
    <row r="3697" customHeight="1" spans="1:9">
      <c r="A3697" s="2" t="s">
        <v>2551</v>
      </c>
      <c r="B3697" s="2" t="str">
        <f>IFERROR(__xludf.DUMMYFUNCTION("IF(A3697&lt;&gt;"""", GOOGLETRANSLATE(A3697, ""en"", ""te""),"""")"),"[ '6 వ అత్యంత ఇన్నింగ్స్ లో నడుస్తుంది (బ్యాటింగ్ స్థానం) (35)']")</f>
        <v>[ '6 వ అత్యంత ఇన్నింగ్స్ లో నడుస్తుంది (బ్యాటింగ్ స్థానం) (35)']</v>
      </c>
      <c r="C3697" s="2" t="s">
        <v>2552</v>
      </c>
      <c r="D3697" s="2" t="str">
        <f>IFERROR(__xludf.DUMMYFUNCTION("IF(C3697&lt;&gt;"""", GOOGLETRANSLATE(C3697, ""en"", ""te""),"""")"),"[ '45 వ ఉత్తమ కెరీర్ సమ్మె రేటు (51.2)', '29th చెత్త కెరీర్లో ఆర్థిక రేటు (3.55)']")</f>
        <v>[ '45 వ ఉత్తమ కెరీర్ సమ్మె రేటు (51.2)', '29th చెత్త కెరీర్లో ఆర్థిక రేటు (3.55)']</v>
      </c>
      <c r="E3697" s="2" t="s">
        <v>2553</v>
      </c>
      <c r="F3697" s="2" t="str">
        <f>IFERROR(__xludf.DUMMYFUNCTION("IF(E3697&lt;&gt;"""", GOOGLETRANSLATE(E3697, ""en"", ""te""),"""")"),"[ 'ఇన్నింగ్స్ లో 6 వ అత్యధిక పరుగులు (బ్యాటింగ్ స్థానంలో ప్రకారం) (35)', '14 వ ఒక ఇన్నింగ్స్ లోని బెస్ట్ ఫిగర్స్ ఉన్నప్పుడు (5) పరాజయం వైపు', '43 వ అత్యంత ఐదు-వికెట్ల లో-ఒక-ఇన్నింగ్స్ కెరీర్లో (2) ',' 13 వ వరుస నాలుగు వికెట్లు-ఇన్-ఒక-ఇన్నింగ్స్ (2) ',' 3"&amp;"4 వ 100 వికెట్లు (67) వేగంగా ']")</f>
        <v>[ 'ఇన్నింగ్స్ లో 6 వ అత్యధిక పరుగులు (బ్యాటింగ్ స్థానంలో ప్రకారం) (35)', '14 వ ఒక ఇన్నింగ్స్ లోని బెస్ట్ ఫిగర్స్ ఉన్నప్పుడు (5) పరాజయం వైపు', '43 వ అత్యంత ఐదు-వికెట్ల లో-ఒక-ఇన్నింగ్స్ కెరీర్లో (2) ',' 13 వ వరుస నాలుగు వికెట్లు-ఇన్-ఒక-ఇన్నింగ్స్ (2) ',' 34 వ 100 వికెట్లు (67) వేగంగా ']</v>
      </c>
      <c r="G3697" s="2" t="s">
        <v>2554</v>
      </c>
      <c r="H3697" s="2" t="str">
        <f>IFERROR(__xludf.DUMMYFUNCTION("IF(G3697&lt;&gt;"""", GOOGLETRANSLATE(G3697, ""en"", ""te""),"""")"),"[ '48 వ అత్యంత ఒక వికెట్ కీపర్ చే కాట్ తీసుకోబడిన వికెట్ల (5)', 'పదవ వికెట్ను (20) 24 వ అత్యధిక భాగస్వామ్యం']")</f>
        <v>[ '48 వ అత్యంత ఒక వికెట్ కీపర్ చే కాట్ తీసుకోబడిన వికెట్ల (5)', 'పదవ వికెట్ను (20) 24 వ అత్యధిక భాగస్వామ్యం']</v>
      </c>
      <c r="I3697" s="3"/>
    </row>
    <row r="3698" customHeight="1" spans="1:9">
      <c r="A3698" s="2"/>
      <c r="B3698" s="2" t="str">
        <f>IFERROR(__xludf.DUMMYFUNCTION("IF(A3698&lt;&gt;"""", GOOGLETRANSLATE(A3698, ""en"", ""te""),"""")"),"")</f>
        <v/>
      </c>
      <c r="C3698" s="2"/>
      <c r="D3698" s="2" t="str">
        <f>IFERROR(__xludf.DUMMYFUNCTION("IF(C3698&lt;&gt;"""", GOOGLETRANSLATE(C3698, ""en"", ""te""),"""")"),"")</f>
        <v/>
      </c>
      <c r="E3698" s="2"/>
      <c r="F3698" s="2" t="str">
        <f>IFERROR(__xludf.DUMMYFUNCTION("IF(E3698&lt;&gt;"""", GOOGLETRANSLATE(E3698, ""en"", ""te""),"""")"),"")</f>
        <v/>
      </c>
      <c r="G3698" s="2"/>
      <c r="H3698" s="2" t="str">
        <f>IFERROR(__xludf.DUMMYFUNCTION("IF(G3698&lt;&gt;"""", GOOGLETRANSLATE(G3698, ""en"", ""te""),"""")"),"")</f>
        <v/>
      </c>
      <c r="I3698" s="3"/>
    </row>
    <row r="3699" customHeight="1" spans="1:9">
      <c r="A3699" s="2" t="s">
        <v>2555</v>
      </c>
      <c r="B3699" s="2" t="str">
        <f>IFERROR(__xludf.DUMMYFUNCTION("IF(A3699&lt;&gt;"""", GOOGLETRANSLATE(A3699, ""en"", ""te""),"""")"),"[ '7th వరుస మ్యాచ్లు ప్రదర్శనల మధ్య (64) జట్టు తప్పిన']")</f>
        <v>[ '7th వరుస మ్యాచ్లు ప్రదర్శనల మధ్య (64) జట్టు తప్పిన']</v>
      </c>
      <c r="C3699" s="2"/>
      <c r="D3699" s="2" t="str">
        <f>IFERROR(__xludf.DUMMYFUNCTION("IF(C3699&lt;&gt;"""", GOOGLETRANSLATE(C3699, ""en"", ""te""),"""")"),"")</f>
        <v/>
      </c>
      <c r="E3699" s="2" t="s">
        <v>2556</v>
      </c>
      <c r="F3699" s="2" t="str">
        <f>IFERROR(__xludf.DUMMYFUNCTION("IF(E3699&lt;&gt;"""", GOOGLETRANSLATE(E3699, ""en"", ""te""),"""")"),"[ 'ప్రదర్శనల మధ్య 13 వ లాంగెస్ట్ వ్యవధిలో (7y 112d)', '7 వ వరుస మ్యాచ్లు ప్రదర్శనల మధ్య బృందం (64) కోసం తప్పిన']")</f>
        <v>[ 'ప్రదర్శనల మధ్య 13 వ లాంగెస్ట్ వ్యవధిలో (7y 112d)', '7 వ వరుస మ్యాచ్లు ప్రదర్శనల మధ్య బృందం (64) కోసం తప్పిన']</v>
      </c>
      <c r="G3699" s="2" t="s">
        <v>2557</v>
      </c>
      <c r="H3699" s="2" t="str">
        <f>IFERROR(__xludf.DUMMYFUNCTION("IF(G3699&lt;&gt;"""", GOOGLETRANSLATE(G3699, ""en"", ""te""),"""")"),"[ '43 వ అత్యధిక పరుగులు ఇన్నింగ్స్ (44) లో సాధించిన]")</f>
        <v>[ '43 వ అత్యధిక పరుగులు ఇన్నింగ్స్ (44) లో సాధించిన]</v>
      </c>
      <c r="I3699" s="3"/>
    </row>
    <row r="3700" customHeight="1" spans="1:9">
      <c r="A3700" s="2"/>
      <c r="B3700" s="2" t="str">
        <f>IFERROR(__xludf.DUMMYFUNCTION("IF(A3700&lt;&gt;"""", GOOGLETRANSLATE(A3700, ""en"", ""te""),"""")"),"")</f>
        <v/>
      </c>
      <c r="C3700" s="2"/>
      <c r="D3700" s="2" t="str">
        <f>IFERROR(__xludf.DUMMYFUNCTION("IF(C3700&lt;&gt;"""", GOOGLETRANSLATE(C3700, ""en"", ""te""),"""")"),"")</f>
        <v/>
      </c>
      <c r="E3700" s="2" t="s">
        <v>2558</v>
      </c>
      <c r="F3700" s="2" t="str">
        <f>IFERROR(__xludf.DUMMYFUNCTION("IF(E3700&lt;&gt;"""", GOOGLETRANSLATE(E3700, ""en"", ""te""),"""")"),"[ 'మొదటి డక్ (48) ముందు 11 వ అత్యంత ఇన్నింగ్స్' 25 వ కెరీర్ లో అతి తక్కువ బాతులు (35.5) ']")</f>
        <v>[ 'మొదటి డక్ (48) ముందు 11 వ అత్యంత ఇన్నింగ్స్' 25 వ కెరీర్ లో అతి తక్కువ బాతులు (35.5) ']</v>
      </c>
      <c r="G3700" s="2"/>
      <c r="H3700" s="2" t="str">
        <f>IFERROR(__xludf.DUMMYFUNCTION("IF(G3700&lt;&gt;"""", GOOGLETRANSLATE(G3700, ""en"", ""te""),"""")"),"")</f>
        <v/>
      </c>
      <c r="I3700" s="3"/>
    </row>
    <row r="3701" customHeight="1" spans="1:9">
      <c r="A3701" s="2"/>
      <c r="B3701" s="2" t="str">
        <f>IFERROR(__xludf.DUMMYFUNCTION("IF(A3701&lt;&gt;"""", GOOGLETRANSLATE(A3701, ""en"", ""te""),"""")"),"")</f>
        <v/>
      </c>
      <c r="C3701" s="2"/>
      <c r="D3701" s="2" t="str">
        <f>IFERROR(__xludf.DUMMYFUNCTION("IF(C3701&lt;&gt;"""", GOOGLETRANSLATE(C3701, ""en"", ""te""),"""")"),"")</f>
        <v/>
      </c>
      <c r="E3701" s="2"/>
      <c r="F3701" s="2" t="str">
        <f>IFERROR(__xludf.DUMMYFUNCTION("IF(E3701&lt;&gt;"""", GOOGLETRANSLATE(E3701, ""en"", ""te""),"""")"),"")</f>
        <v/>
      </c>
      <c r="G3701" s="2"/>
      <c r="H3701" s="2" t="str">
        <f>IFERROR(__xludf.DUMMYFUNCTION("IF(G3701&lt;&gt;"""", GOOGLETRANSLATE(G3701, ""en"", ""te""),"""")"),"")</f>
        <v/>
      </c>
      <c r="I3701" s="3"/>
    </row>
    <row r="3702" customHeight="1" spans="1:9">
      <c r="A3702" s="2"/>
      <c r="B3702" s="2" t="str">
        <f>IFERROR(__xludf.DUMMYFUNCTION("IF(A3702&lt;&gt;"""", GOOGLETRANSLATE(A3702, ""en"", ""te""),"""")"),"")</f>
        <v/>
      </c>
      <c r="C3702" s="2"/>
      <c r="D3702" s="2" t="str">
        <f>IFERROR(__xludf.DUMMYFUNCTION("IF(C3702&lt;&gt;"""", GOOGLETRANSLATE(C3702, ""en"", ""te""),"""")"),"")</f>
        <v/>
      </c>
      <c r="E3702" s="2"/>
      <c r="F3702" s="2" t="str">
        <f>IFERROR(__xludf.DUMMYFUNCTION("IF(E3702&lt;&gt;"""", GOOGLETRANSLATE(E3702, ""en"", ""te""),"""")"),"")</f>
        <v/>
      </c>
      <c r="G3702" s="2"/>
      <c r="H3702" s="2" t="str">
        <f>IFERROR(__xludf.DUMMYFUNCTION("IF(G3702&lt;&gt;"""", GOOGLETRANSLATE(G3702, ""en"", ""te""),"""")"),"")</f>
        <v/>
      </c>
      <c r="I3702" s="3"/>
    </row>
    <row r="3703" customHeight="1" spans="1:9">
      <c r="A3703" s="2"/>
      <c r="B3703" s="2" t="str">
        <f>IFERROR(__xludf.DUMMYFUNCTION("IF(A3703&lt;&gt;"""", GOOGLETRANSLATE(A3703, ""en"", ""te""),"""")"),"")</f>
        <v/>
      </c>
      <c r="C3703" s="2"/>
      <c r="D3703" s="2" t="str">
        <f>IFERROR(__xludf.DUMMYFUNCTION("IF(C3703&lt;&gt;"""", GOOGLETRANSLATE(C3703, ""en"", ""te""),"""")"),"")</f>
        <v/>
      </c>
      <c r="E3703" s="2"/>
      <c r="F3703" s="2" t="str">
        <f>IFERROR(__xludf.DUMMYFUNCTION("IF(E3703&lt;&gt;"""", GOOGLETRANSLATE(E3703, ""en"", ""te""),"""")"),"")</f>
        <v/>
      </c>
      <c r="G3703" s="2"/>
      <c r="H3703" s="2" t="str">
        <f>IFERROR(__xludf.DUMMYFUNCTION("IF(G3703&lt;&gt;"""", GOOGLETRANSLATE(G3703, ""en"", ""te""),"""")"),"")</f>
        <v/>
      </c>
      <c r="I3703" s="3"/>
    </row>
    <row r="3704" customHeight="1" spans="1:9">
      <c r="A3704" s="2"/>
      <c r="B3704" s="2" t="str">
        <f>IFERROR(__xludf.DUMMYFUNCTION("IF(A3704&lt;&gt;"""", GOOGLETRANSLATE(A3704, ""en"", ""te""),"""")"),"")</f>
        <v/>
      </c>
      <c r="C3704" s="2"/>
      <c r="D3704" s="2" t="str">
        <f>IFERROR(__xludf.DUMMYFUNCTION("IF(C3704&lt;&gt;"""", GOOGLETRANSLATE(C3704, ""en"", ""te""),"""")"),"")</f>
        <v/>
      </c>
      <c r="E3704" s="2"/>
      <c r="F3704" s="2" t="str">
        <f>IFERROR(__xludf.DUMMYFUNCTION("IF(E3704&lt;&gt;"""", GOOGLETRANSLATE(E3704, ""en"", ""te""),"""")"),"")</f>
        <v/>
      </c>
      <c r="G3704" s="2"/>
      <c r="H3704" s="2" t="str">
        <f>IFERROR(__xludf.DUMMYFUNCTION("IF(G3704&lt;&gt;"""", GOOGLETRANSLATE(G3704, ""en"", ""te""),"""")"),"")</f>
        <v/>
      </c>
      <c r="I3704" s="3"/>
    </row>
    <row r="3705" customHeight="1" spans="1:9">
      <c r="A3705" s="2"/>
      <c r="B3705" s="2" t="str">
        <f>IFERROR(__xludf.DUMMYFUNCTION("IF(A3705&lt;&gt;"""", GOOGLETRANSLATE(A3705, ""en"", ""te""),"""")"),"")</f>
        <v/>
      </c>
      <c r="C3705" s="2" t="s">
        <v>2559</v>
      </c>
      <c r="D3705" s="2" t="str">
        <f>IFERROR(__xludf.DUMMYFUNCTION("IF(C3705&lt;&gt;"""", GOOGLETRANSLATE(C3705, ""en"", ""te""),"""")"),"[ 'ఐదవ వికెట్కు 30 వ అత్యధిక భాగస్వామ్యం (254)', 'కెప్టెన్సీ ప్రవేశం (37y 191d) పై 22 ఓల్డెస్ట్ కెప్టెన్లు']")</f>
        <v>[ 'ఐదవ వికెట్కు 30 వ అత్యధిక భాగస్వామ్యం (254)', 'కెప్టెన్సీ ప్రవేశం (37y 191d) పై 22 ఓల్డెస్ట్ కెప్టెన్లు']</v>
      </c>
      <c r="E3705" s="2" t="s">
        <v>2560</v>
      </c>
      <c r="F3705" s="2" t="str">
        <f>IFERROR(__xludf.DUMMYFUNCTION("IF(E3705&lt;&gt;"""", GOOGLETRANSLATE(E3705, ""en"", ""te""),"""")"),"[ 'కెరీర్లో 20 వ బాతులు నో (22)', '49 వ పురాతన దేశం ఆటగాళ్ళు (77y 12D)', '24 వ ఓల్డెస్ట్ కాప్టెన్ (37y 270d)', '15 వ ఓల్డెస్ట్ న కెప్టెన్లు' ప్రదర్శనలు (6y 160d) మధ్య 48 వ లాంగెస్ట్ వ్యవధిలో ' కెప్టెన్సీ ప్రవేశం (37y 189d) ']")</f>
        <v>[ 'కెరీర్లో 20 వ బాతులు నో (22)', '49 వ పురాతన దేశం ఆటగాళ్ళు (77y 12D)', '24 వ ఓల్డెస్ట్ కాప్టెన్ (37y 270d)', '15 వ ఓల్డెస్ట్ న కెప్టెన్లు' ప్రదర్శనలు (6y 160d) మధ్య 48 వ లాంగెస్ట్ వ్యవధిలో ' కెప్టెన్సీ ప్రవేశం (37y 189d) ']</v>
      </c>
      <c r="G3705" s="2"/>
      <c r="H3705" s="2" t="str">
        <f>IFERROR(__xludf.DUMMYFUNCTION("IF(G3705&lt;&gt;"""", GOOGLETRANSLATE(G3705, ""en"", ""te""),"""")"),"")</f>
        <v/>
      </c>
      <c r="I3705" s="3"/>
    </row>
    <row r="3706" customHeight="1" spans="1:9">
      <c r="A3706" s="2"/>
      <c r="B3706" s="2" t="str">
        <f>IFERROR(__xludf.DUMMYFUNCTION("IF(A3706&lt;&gt;"""", GOOGLETRANSLATE(A3706, ""en"", ""te""),"""")"),"")</f>
        <v/>
      </c>
      <c r="C3706" s="2"/>
      <c r="D3706" s="2" t="str">
        <f>IFERROR(__xludf.DUMMYFUNCTION("IF(C3706&lt;&gt;"""", GOOGLETRANSLATE(C3706, ""en"", ""te""),"""")"),"")</f>
        <v/>
      </c>
      <c r="E3706" s="2" t="s">
        <v>549</v>
      </c>
      <c r="F3706" s="2" t="str">
        <f>IFERROR(__xludf.DUMMYFUNCTION("IF(E3706&lt;&gt;"""", GOOGLETRANSLATE(E3706, ""en"", ""te""),"""")"),"[ 'తొలి ఇన్నింగ్స్ 15 వ బెస్ట్ ఫిగర్స్ (4)']")</f>
        <v>[ 'తొలి ఇన్నింగ్స్ 15 వ బెస్ట్ ఫిగర్స్ (4)']</v>
      </c>
      <c r="G3706" s="2"/>
      <c r="H3706" s="2" t="str">
        <f>IFERROR(__xludf.DUMMYFUNCTION("IF(G3706&lt;&gt;"""", GOOGLETRANSLATE(G3706, ""en"", ""te""),"""")"),"")</f>
        <v/>
      </c>
      <c r="I3706" s="3"/>
    </row>
    <row r="3707" customHeight="1" spans="1:9">
      <c r="A3707" s="2"/>
      <c r="B3707" s="2" t="str">
        <f>IFERROR(__xludf.DUMMYFUNCTION("IF(A3707&lt;&gt;"""", GOOGLETRANSLATE(A3707, ""en"", ""te""),"""")"),"")</f>
        <v/>
      </c>
      <c r="C3707" s="2" t="s">
        <v>2561</v>
      </c>
      <c r="D3707" s="2" t="str">
        <f>IFERROR(__xludf.DUMMYFUNCTION("IF(C3707&lt;&gt;"""", GOOGLETRANSLATE(C3707, ""en"", ""te""),"""")"),"[ '45 వ అత్యధిక ఇన్నింగ్స్ బై (551 / 6d) గూడా ఇవ్వకుండా మొత్తం']")</f>
        <v>[ '45 వ అత్యధిక ఇన్నింగ్స్ బై (551 / 6d) గూడా ఇవ్వకుండా మొత్తం']</v>
      </c>
      <c r="E3707" s="2" t="s">
        <v>2562</v>
      </c>
      <c r="F3707" s="2" t="str">
        <f>IFERROR(__xludf.DUMMYFUNCTION("IF(E3707&lt;&gt;"""", GOOGLETRANSLATE(E3707, ""en"", ""te""),"""")"),"[ '21 వ ఒక సిరీస్లో అత్యధిక స్టంపింగ్లు (4)']")</f>
        <v>[ '21 వ ఒక సిరీస్లో అత్యధిక స్టంపింగ్లు (4)']</v>
      </c>
      <c r="G3707" s="2"/>
      <c r="H3707" s="2" t="str">
        <f>IFERROR(__xludf.DUMMYFUNCTION("IF(G3707&lt;&gt;"""", GOOGLETRANSLATE(G3707, ""en"", ""te""),"""")"),"")</f>
        <v/>
      </c>
      <c r="I3707" s="3"/>
    </row>
    <row r="3708" customHeight="1" spans="1:9">
      <c r="A3708" s="2"/>
      <c r="B3708" s="2" t="str">
        <f>IFERROR(__xludf.DUMMYFUNCTION("IF(A3708&lt;&gt;"""", GOOGLETRANSLATE(A3708, ""en"", ""te""),"""")"),"")</f>
        <v/>
      </c>
      <c r="C3708" s="2"/>
      <c r="D3708" s="2" t="str">
        <f>IFERROR(__xludf.DUMMYFUNCTION("IF(C3708&lt;&gt;"""", GOOGLETRANSLATE(C3708, ""en"", ""te""),"""")"),"")</f>
        <v/>
      </c>
      <c r="E3708" s="2"/>
      <c r="F3708" s="2" t="str">
        <f>IFERROR(__xludf.DUMMYFUNCTION("IF(E3708&lt;&gt;"""", GOOGLETRANSLATE(E3708, ""en"", ""te""),"""")"),"")</f>
        <v/>
      </c>
      <c r="G3708" s="2"/>
      <c r="H3708" s="2" t="str">
        <f>IFERROR(__xludf.DUMMYFUNCTION("IF(G3708&lt;&gt;"""", GOOGLETRANSLATE(G3708, ""en"", ""te""),"""")"),"")</f>
        <v/>
      </c>
      <c r="I3708" s="3"/>
    </row>
    <row r="3709" customHeight="1" spans="1:9">
      <c r="A3709" s="2"/>
      <c r="B3709" s="2" t="str">
        <f>IFERROR(__xludf.DUMMYFUNCTION("IF(A3709&lt;&gt;"""", GOOGLETRANSLATE(A3709, ""en"", ""te""),"""")"),"")</f>
        <v/>
      </c>
      <c r="C3709" s="2"/>
      <c r="D3709" s="2" t="str">
        <f>IFERROR(__xludf.DUMMYFUNCTION("IF(C3709&lt;&gt;"""", GOOGLETRANSLATE(C3709, ""en"", ""te""),"""")"),"")</f>
        <v/>
      </c>
      <c r="E3709" s="2"/>
      <c r="F3709" s="2" t="str">
        <f>IFERROR(__xludf.DUMMYFUNCTION("IF(E3709&lt;&gt;"""", GOOGLETRANSLATE(E3709, ""en"", ""te""),"""")"),"")</f>
        <v/>
      </c>
      <c r="G3709" s="2"/>
      <c r="H3709" s="2" t="str">
        <f>IFERROR(__xludf.DUMMYFUNCTION("IF(G3709&lt;&gt;"""", GOOGLETRANSLATE(G3709, ""en"", ""te""),"""")"),"")</f>
        <v/>
      </c>
      <c r="I3709" s="3"/>
    </row>
    <row r="3710" customHeight="1" spans="1:9">
      <c r="A3710" s="2"/>
      <c r="B3710" s="2" t="str">
        <f>IFERROR(__xludf.DUMMYFUNCTION("IF(A3710&lt;&gt;"""", GOOGLETRANSLATE(A3710, ""en"", ""te""),"""")"),"")</f>
        <v/>
      </c>
      <c r="C3710" s="2"/>
      <c r="D3710" s="2" t="str">
        <f>IFERROR(__xludf.DUMMYFUNCTION("IF(C3710&lt;&gt;"""", GOOGLETRANSLATE(C3710, ""en"", ""te""),"""")"),"")</f>
        <v/>
      </c>
      <c r="E3710" s="2"/>
      <c r="F3710" s="2" t="str">
        <f>IFERROR(__xludf.DUMMYFUNCTION("IF(E3710&lt;&gt;"""", GOOGLETRANSLATE(E3710, ""en"", ""te""),"""")"),"")</f>
        <v/>
      </c>
      <c r="G3710" s="2"/>
      <c r="H3710" s="2" t="str">
        <f>IFERROR(__xludf.DUMMYFUNCTION("IF(G3710&lt;&gt;"""", GOOGLETRANSLATE(G3710, ""en"", ""te""),"""")"),"")</f>
        <v/>
      </c>
      <c r="I3710" s="3"/>
    </row>
    <row r="3711" customHeight="1" spans="1:9">
      <c r="A3711" s="2" t="s">
        <v>1893</v>
      </c>
      <c r="B3711" s="2" t="str">
        <f>IFERROR(__xludf.DUMMYFUNCTION("IF(A3711&lt;&gt;"""", GOOGLETRANSLATE(A3711, ""en"", ""te""),"""")"),"[ 'ప్రవేశం (107) పై వంద']")</f>
        <v>[ 'ప్రవేశం (107) పై వంద']</v>
      </c>
      <c r="C3711" s="2" t="s">
        <v>619</v>
      </c>
      <c r="D3711" s="2" t="str">
        <f>IFERROR(__xludf.DUMMYFUNCTION("IF(C3711&lt;&gt;"""", GOOGLETRANSLATE(C3711, ""en"", ""te""),"""")"),"[ '12 వ మ్యాచ్లో (3) అత్యంత స్టంపింగ్లు']")</f>
        <v>[ '12 వ మ్యాచ్లో (3) అత్యంత స్టంపింగ్లు']</v>
      </c>
      <c r="E3711" s="2"/>
      <c r="F3711" s="2" t="str">
        <f>IFERROR(__xludf.DUMMYFUNCTION("IF(E3711&lt;&gt;"""", GOOGLETRANSLATE(E3711, ""en"", ""te""),"""")"),"")</f>
        <v/>
      </c>
      <c r="G3711" s="2"/>
      <c r="H3711" s="2" t="str">
        <f>IFERROR(__xludf.DUMMYFUNCTION("IF(G3711&lt;&gt;"""", GOOGLETRANSLATE(G3711, ""en"", ""te""),"""")"),"")</f>
        <v/>
      </c>
      <c r="I3711" s="3"/>
    </row>
    <row r="3712" customHeight="1" spans="1:9">
      <c r="A3712" s="2"/>
      <c r="B3712" s="2" t="str">
        <f>IFERROR(__xludf.DUMMYFUNCTION("IF(A3712&lt;&gt;"""", GOOGLETRANSLATE(A3712, ""en"", ""te""),"""")"),"")</f>
        <v/>
      </c>
      <c r="C3712" s="2"/>
      <c r="D3712" s="2" t="str">
        <f>IFERROR(__xludf.DUMMYFUNCTION("IF(C3712&lt;&gt;"""", GOOGLETRANSLATE(C3712, ""en"", ""te""),"""")"),"")</f>
        <v/>
      </c>
      <c r="E3712" s="2"/>
      <c r="F3712" s="2" t="str">
        <f>IFERROR(__xludf.DUMMYFUNCTION("IF(E3712&lt;&gt;"""", GOOGLETRANSLATE(E3712, ""en"", ""te""),"""")"),"")</f>
        <v/>
      </c>
      <c r="G3712" s="2"/>
      <c r="H3712" s="2" t="str">
        <f>IFERROR(__xludf.DUMMYFUNCTION("IF(G3712&lt;&gt;"""", GOOGLETRANSLATE(G3712, ""en"", ""te""),"""")"),"")</f>
        <v/>
      </c>
      <c r="I3712" s="3"/>
    </row>
    <row r="3713" customHeight="1" spans="1:9">
      <c r="A3713" s="2"/>
      <c r="B3713" s="2" t="str">
        <f>IFERROR(__xludf.DUMMYFUNCTION("IF(A3713&lt;&gt;"""", GOOGLETRANSLATE(A3713, ""en"", ""te""),"""")"),"")</f>
        <v/>
      </c>
      <c r="C3713" s="2"/>
      <c r="D3713" s="2" t="str">
        <f>IFERROR(__xludf.DUMMYFUNCTION("IF(C3713&lt;&gt;"""", GOOGLETRANSLATE(C3713, ""en"", ""te""),"""")"),"")</f>
        <v/>
      </c>
      <c r="E3713" s="2"/>
      <c r="F3713" s="2" t="str">
        <f>IFERROR(__xludf.DUMMYFUNCTION("IF(E3713&lt;&gt;"""", GOOGLETRANSLATE(E3713, ""en"", ""te""),"""")"),"")</f>
        <v/>
      </c>
      <c r="G3713" s="2"/>
      <c r="H3713" s="2" t="str">
        <f>IFERROR(__xludf.DUMMYFUNCTION("IF(G3713&lt;&gt;"""", GOOGLETRANSLATE(G3713, ""en"", ""te""),"""")"),"")</f>
        <v/>
      </c>
      <c r="I3713" s="3"/>
    </row>
    <row r="3714" customHeight="1" spans="1:9">
      <c r="A3714" s="2" t="s">
        <v>2563</v>
      </c>
      <c r="B3714" s="2" t="str">
        <f>IFERROR(__xludf.DUMMYFUNCTION("IF(A3714&lt;&gt;"""", GOOGLETRANSLATE(A3714, ""en"", ""te""),"""")"),"[ 'ఒక ఇన్నింగ్స్ లో 5 వ ఉత్తమ సంఖ్యలు ఉన్నప్పుడు పరాజయం వైపు (8)']")</f>
        <v>[ 'ఒక ఇన్నింగ్స్ లో 5 వ ఉత్తమ సంఖ్యలు ఉన్నప్పుడు పరాజయం వైపు (8)']</v>
      </c>
      <c r="C3714" s="2" t="s">
        <v>2564</v>
      </c>
      <c r="D3714" s="2" t="str">
        <f>IFERROR(__xludf.DUMMYFUNCTION("IF(C3714&lt;&gt;"""", GOOGLETRANSLATE(C3714, ""en"", ""te""),"""")"),"[ '43 వ ఇన్నింగ్స్ లో బెస్ట్ ఫిగర్స్ (8/53)', '5 వ ఒక ఇన్నింగ్స్ లోని బెస్ట్ ఫిగర్స్ ఉన్నప్పుడు పరాజయం వైపు (8)', '15 మ్యాచ్లో ఉత్తమ సంఖ్యలు ఉన్నప్పుడు పరాజయం వైపు (11)', ' 46 వ అత్యంత ఐదు-వికెట్ల లో-ఒక-ఇన్నింగ్స్ కెరీర్లో (13) ',' 18 వ వరుస ఐదు వికెట్ల"&amp;" లో-ఒక-ఇన్నింగ్స్ (3) ',' పది వికెట్లు ఇన్ తీసుకోవాలని 47 వ అత్యంత వృద్ధ ఆటగాడు మ్యాచ్ (32y 349d) ']")</f>
        <v>[ '43 వ ఇన్నింగ్స్ లో బెస్ట్ ఫిగర్స్ (8/53)', '5 వ ఒక ఇన్నింగ్స్ లోని బెస్ట్ ఫిగర్స్ ఉన్నప్పుడు పరాజయం వైపు (8)', '15 మ్యాచ్లో ఉత్తమ సంఖ్యలు ఉన్నప్పుడు పరాజయం వైపు (11)', ' 46 వ అత్యంత ఐదు-వికెట్ల లో-ఒక-ఇన్నింగ్స్ కెరీర్లో (13) ',' 18 వ వరుస ఐదు వికెట్ల లో-ఒక-ఇన్నింగ్స్ (3) ',' పది వికెట్లు ఇన్ తీసుకోవాలని 47 వ అత్యంత వృద్ధ ఆటగాడు మ్యాచ్ (32y 349d) ']</v>
      </c>
      <c r="E3714" s="2" t="s">
        <v>2565</v>
      </c>
      <c r="F3714" s="2" t="str">
        <f>IFERROR(__xludf.DUMMYFUNCTION("IF(E3714&lt;&gt;"""", GOOGLETRANSLATE(E3714, ""en"", ""te""),"""")"),"[ '14 వ ఇన్నింగ్స్ లో అత్యధిక పరుగులు (బ్యాటింగ్ స్థానంలో ప్రకారం) (30)', '15 వ ఉత్తమ కెరీర్ ఆర్థిక రేటు (3.54)']")</f>
        <v>[ '14 వ ఇన్నింగ్స్ లో అత్యధిక పరుగులు (బ్యాటింగ్ స్థానంలో ప్రకారం) (30)', '15 వ ఉత్తమ కెరీర్ ఆర్థిక రేటు (3.54)']</v>
      </c>
      <c r="G3714" s="2"/>
      <c r="H3714" s="2" t="str">
        <f>IFERROR(__xludf.DUMMYFUNCTION("IF(G3714&lt;&gt;"""", GOOGLETRANSLATE(G3714, ""en"", ""te""),"""")"),"")</f>
        <v/>
      </c>
      <c r="I3714" s="3"/>
    </row>
    <row r="3715" customHeight="1" spans="1:9">
      <c r="A3715" s="2"/>
      <c r="B3715" s="2" t="str">
        <f>IFERROR(__xludf.DUMMYFUNCTION("IF(A3715&lt;&gt;"""", GOOGLETRANSLATE(A3715, ""en"", ""te""),"""")"),"")</f>
        <v/>
      </c>
      <c r="C3715" s="2" t="s">
        <v>2566</v>
      </c>
      <c r="D3715" s="2" t="str">
        <f>IFERROR(__xludf.DUMMYFUNCTION("IF(C3715&lt;&gt;"""", GOOGLETRANSLATE(C3715, ""en"", ""te""),"""")"),"[ '35 వ ఉత్తమ కెరీర్ బౌలింగ్ సరాసరి (అర్హత లేకుండా) (11.25)']")</f>
        <v>[ '35 వ ఉత్తమ కెరీర్ బౌలింగ్ సరాసరి (అర్హత లేకుండా) (11.25)']</v>
      </c>
      <c r="E3715" s="2"/>
      <c r="F3715" s="2" t="str">
        <f>IFERROR(__xludf.DUMMYFUNCTION("IF(E3715&lt;&gt;"""", GOOGLETRANSLATE(E3715, ""en"", ""te""),"""")"),"")</f>
        <v/>
      </c>
      <c r="G3715" s="2"/>
      <c r="H3715" s="2" t="str">
        <f>IFERROR(__xludf.DUMMYFUNCTION("IF(G3715&lt;&gt;"""", GOOGLETRANSLATE(G3715, ""en"", ""te""),"""")"),"")</f>
        <v/>
      </c>
      <c r="I3715" s="3"/>
    </row>
    <row r="3716" customHeight="1" spans="1:9">
      <c r="A3716" s="2"/>
      <c r="B3716" s="2" t="str">
        <f>IFERROR(__xludf.DUMMYFUNCTION("IF(A3716&lt;&gt;"""", GOOGLETRANSLATE(A3716, ""en"", ""te""),"""")"),"")</f>
        <v/>
      </c>
      <c r="C3716" s="2"/>
      <c r="D3716" s="2" t="str">
        <f>IFERROR(__xludf.DUMMYFUNCTION("IF(C3716&lt;&gt;"""", GOOGLETRANSLATE(C3716, ""en"", ""te""),"""")"),"")</f>
        <v/>
      </c>
      <c r="E3716" s="2"/>
      <c r="F3716" s="2" t="str">
        <f>IFERROR(__xludf.DUMMYFUNCTION("IF(E3716&lt;&gt;"""", GOOGLETRANSLATE(E3716, ""en"", ""te""),"""")"),"")</f>
        <v/>
      </c>
      <c r="G3716" s="2"/>
      <c r="H3716" s="2" t="str">
        <f>IFERROR(__xludf.DUMMYFUNCTION("IF(G3716&lt;&gt;"""", GOOGLETRANSLATE(G3716, ""en"", ""te""),"""")"),"")</f>
        <v/>
      </c>
      <c r="I3716" s="3"/>
    </row>
    <row r="3717" customHeight="1" spans="1:9">
      <c r="A3717" s="2"/>
      <c r="B3717" s="2" t="str">
        <f>IFERROR(__xludf.DUMMYFUNCTION("IF(A3717&lt;&gt;"""", GOOGLETRANSLATE(A3717, ""en"", ""te""),"""")"),"")</f>
        <v/>
      </c>
      <c r="C3717" s="2"/>
      <c r="D3717" s="2" t="str">
        <f>IFERROR(__xludf.DUMMYFUNCTION("IF(C3717&lt;&gt;"""", GOOGLETRANSLATE(C3717, ""en"", ""te""),"""")"),"")</f>
        <v/>
      </c>
      <c r="E3717" s="2"/>
      <c r="F3717" s="2" t="str">
        <f>IFERROR(__xludf.DUMMYFUNCTION("IF(E3717&lt;&gt;"""", GOOGLETRANSLATE(E3717, ""en"", ""te""),"""")"),"")</f>
        <v/>
      </c>
      <c r="G3717" s="2"/>
      <c r="H3717" s="2" t="str">
        <f>IFERROR(__xludf.DUMMYFUNCTION("IF(G3717&lt;&gt;"""", GOOGLETRANSLATE(G3717, ""en"", ""te""),"""")"),"")</f>
        <v/>
      </c>
      <c r="I3717" s="3"/>
    </row>
    <row r="3718" customHeight="1" spans="1:9">
      <c r="A3718" s="2" t="s">
        <v>2567</v>
      </c>
      <c r="B3718" s="2" t="str">
        <f>IFERROR(__xludf.DUMMYFUNCTION("IF(A3718&lt;&gt;"""", GOOGLETRANSLATE(A3718, ""en"", ""te""),"""")"),"[ '4 వ అత్యధిక వరుస బాతులు (4)', 'పరాజయం వైపు ఉన్నప్పుడు ఒక ఇన్నింగ్స్ లో 5 వ ఉత్తమ బొమ్మలు (8)']")</f>
        <v>[ '4 వ అత్యధిక వరుస బాతులు (4)', 'పరాజయం వైపు ఉన్నప్పుడు ఒక ఇన్నింగ్స్ లో 5 వ ఉత్తమ బొమ్మలు (8)']</v>
      </c>
      <c r="C3718" s="2" t="s">
        <v>2568</v>
      </c>
      <c r="D3718" s="2" t="str">
        <f>IFERROR(__xludf.DUMMYFUNCTION("IF(C3718&lt;&gt;"""", GOOGLETRANSLATE(C3718, ""en"", ""te""),"""")"),"[ '4 వ అత్యధిక వరుస బాతులు (4)', '5 వ ఒక ఇన్నింగ్స్ లోని బెస్ట్ ఫిగర్స్ ఉన్నప్పుడు పరాజయం వైపు (8)', 'పది వికెట్లు లో ఒక మ్యాచ్ తీసుకోవాలని 30 వ పిన్న వయస్కుడిగా నిలిచాడు (22y 252d)']")</f>
        <v>[ '4 వ అత్యధిక వరుస బాతులు (4)', '5 వ ఒక ఇన్నింగ్స్ లోని బెస్ట్ ఫిగర్స్ ఉన్నప్పుడు పరాజయం వైపు (8)', 'పది వికెట్లు లో ఒక మ్యాచ్ తీసుకోవాలని 30 వ పిన్న వయస్కుడిగా నిలిచాడు (22y 252d)']</v>
      </c>
      <c r="E3718" s="2"/>
      <c r="F3718" s="2" t="str">
        <f>IFERROR(__xludf.DUMMYFUNCTION("IF(E3718&lt;&gt;"""", GOOGLETRANSLATE(E3718, ""en"", ""te""),"""")"),"")</f>
        <v/>
      </c>
      <c r="G3718" s="2"/>
      <c r="H3718" s="2" t="str">
        <f>IFERROR(__xludf.DUMMYFUNCTION("IF(G3718&lt;&gt;"""", GOOGLETRANSLATE(G3718, ""en"", ""te""),"""")"),"")</f>
        <v/>
      </c>
      <c r="I3718" s="3"/>
    </row>
    <row r="3719" customHeight="1" spans="1:9">
      <c r="A3719" s="2" t="s">
        <v>2569</v>
      </c>
      <c r="B3719" s="2" t="str">
        <f>IFERROR(__xludf.DUMMYFUNCTION("IF(A3719&lt;&gt;"""", GOOGLETRANSLATE(A3719, ""en"", ""te""),"""")"),"[ 'ఒక మ్యాచ్లో 8 వ అత్యధిక క్యాచ్లు (6)', 'నూట ఒక ఇన్నింగ్స్ లో ఐదు వికెట్లు', '1000 పరుగులు, 50 వికెట్లు, 50 క్యాచ్లు']")</f>
        <v>[ 'ఒక మ్యాచ్లో 8 వ అత్యధిక క్యాచ్లు (6)', 'నూట ఒక ఇన్నింగ్స్ లో ఐదు వికెట్లు', '1000 పరుగులు, 50 వికెట్లు, 50 క్యాచ్లు']</v>
      </c>
      <c r="C3719" s="2" t="s">
        <v>2570</v>
      </c>
      <c r="D3719" s="2" t="str">
        <f>IFERROR(__xludf.DUMMYFUNCTION("IF(C3719&lt;&gt;"""", GOOGLETRANSLATE(C3719, ""en"", ""te""),"""")"),"[ '25 వ మ్యాచ్ లో బెస్ట్ ఫిగర్స్ (13)', 'ఇన్నింగ్స్ లో 37 వ ఉత్తమ ఆర్థిక రేటు (0.60)', '17 వ అత్యధిక వికెట్లు ఆకర్షించింది తీసుకున్న మరియు బౌల్డ్ (10)', '8 వ ఒక మ్యాచ్లో అత్యధిక క్యాచ్లు (6)' '10th ఒక సిరీస్లో అత్యధిక క్యాచ్లు (12)', 'బృందం (58) కోసం 41 వ"&amp;" వరుస మ్యాచ్లు']")</f>
        <v>[ '25 వ మ్యాచ్ లో బెస్ట్ ఫిగర్స్ (13)', 'ఇన్నింగ్స్ లో 37 వ ఉత్తమ ఆర్థిక రేటు (0.60)', '17 వ అత్యధిక వికెట్లు ఆకర్షించింది తీసుకున్న మరియు బౌల్డ్ (10)', '8 వ ఒక మ్యాచ్లో అత్యధిక క్యాచ్లు (6)' '10th ఒక సిరీస్లో అత్యధిక క్యాచ్లు (12)', 'బృందం (58) కోసం 41 వ వరుస మ్యాచ్లు']</v>
      </c>
      <c r="E3719" s="2" t="s">
        <v>2571</v>
      </c>
      <c r="F3719" s="2" t="str">
        <f>IFERROR(__xludf.DUMMYFUNCTION("IF(E3719&lt;&gt;"""", GOOGLETRANSLATE(E3719, ""en"", ""te""),"""")"),"[ '25 లాంగెస్ట్ క్రీడాకారులు నివసించారు (66y 84d)']")</f>
        <v>[ '25 లాంగెస్ట్ క్రీడాకారులు నివసించారు (66y 84d)']</v>
      </c>
      <c r="G3719" s="2"/>
      <c r="H3719" s="2" t="str">
        <f>IFERROR(__xludf.DUMMYFUNCTION("IF(G3719&lt;&gt;"""", GOOGLETRANSLATE(G3719, ""en"", ""te""),"""")"),"")</f>
        <v/>
      </c>
      <c r="I3719" s="3"/>
    </row>
    <row r="3720" customHeight="1" spans="1:9">
      <c r="A3720" s="2" t="s">
        <v>2572</v>
      </c>
      <c r="B3720" s="2" t="str">
        <f>IFERROR(__xludf.DUMMYFUNCTION("IF(A3720&lt;&gt;"""", GOOGLETRANSLATE(A3720, ""en"", ""te""),"""")"),"[ 'తొలి 1st ఓల్డెస్ట్ క్రీడాకారులు (45y 292d)']")</f>
        <v>[ 'తొలి 1st ఓల్డెస్ట్ క్రీడాకారులు (45y 292d)']</v>
      </c>
      <c r="C3720" s="2"/>
      <c r="D3720" s="2" t="str">
        <f>IFERROR(__xludf.DUMMYFUNCTION("IF(C3720&lt;&gt;"""", GOOGLETRANSLATE(C3720, ""en"", ""te""),"""")"),"")</f>
        <v/>
      </c>
      <c r="E3720" s="2" t="s">
        <v>2573</v>
      </c>
      <c r="F3720" s="2" t="str">
        <f>IFERROR(__xludf.DUMMYFUNCTION("IF(E3720&lt;&gt;"""", GOOGLETRANSLATE(E3720, ""en"", ""te""),"""")"),"[ 'తొలి 1st ఓల్డెస్ట్ క్రీడాకారులు (45y 292d)', '2 వ ఓల్డెస్ట్ క్రీడాకారులు (45y 296d)']")</f>
        <v>[ 'తొలి 1st ఓల్డెస్ట్ క్రీడాకారులు (45y 292d)', '2 వ ఓల్డెస్ట్ క్రీడాకారులు (45y 296d)']</v>
      </c>
      <c r="G3720" s="2"/>
      <c r="H3720" s="2" t="str">
        <f>IFERROR(__xludf.DUMMYFUNCTION("IF(G3720&lt;&gt;"""", GOOGLETRANSLATE(G3720, ""en"", ""te""),"""")"),"")</f>
        <v/>
      </c>
      <c r="I3720" s="3"/>
    </row>
    <row r="3721" customHeight="1" spans="1:9">
      <c r="A3721" s="2" t="s">
        <v>2574</v>
      </c>
      <c r="B3721" s="2" t="str">
        <f>IFERROR(__xludf.DUMMYFUNCTION("IF(A3721&lt;&gt;"""", GOOGLETRANSLATE(A3721, ""en"", ""te""),"""")"),"[ '4 వ చెత్త ఆర్థిక వ్యవస్థ ఇన్నింగ్స్లో రేటు (5.00)']")</f>
        <v>[ '4 వ చెత్త ఆర్థిక వ్యవస్థ ఇన్నింగ్స్లో రేటు (5.00)']</v>
      </c>
      <c r="C3721" s="2" t="s">
        <v>2574</v>
      </c>
      <c r="D3721" s="2" t="str">
        <f>IFERROR(__xludf.DUMMYFUNCTION("IF(C3721&lt;&gt;"""", GOOGLETRANSLATE(C3721, ""en"", ""te""),"""")"),"[ '4 వ చెత్త ఆర్థిక వ్యవస్థ ఇన్నింగ్స్లో రేటు (5.00)']")</f>
        <v>[ '4 వ చెత్త ఆర్థిక వ్యవస్థ ఇన్నింగ్స్లో రేటు (5.00)']</v>
      </c>
      <c r="E3721" s="2"/>
      <c r="F3721" s="2" t="str">
        <f>IFERROR(__xludf.DUMMYFUNCTION("IF(E3721&lt;&gt;"""", GOOGLETRANSLATE(E3721, ""en"", ""te""),"""")"),"")</f>
        <v/>
      </c>
      <c r="G3721" s="2" t="s">
        <v>522</v>
      </c>
      <c r="H3721" s="2" t="str">
        <f>IFERROR(__xludf.DUMMYFUNCTION("IF(G3721&lt;&gt;"""", GOOGLETRANSLATE(G3721, ""en"", ""te""),"""")"),"[ 'తొలి ఇన్నింగ్స్ 12 వ బెస్ట్ ఫిగర్స్ (3)']")</f>
        <v>[ 'తొలి ఇన్నింగ్స్ 12 వ బెస్ట్ ఫిగర్స్ (3)']</v>
      </c>
      <c r="I3721" s="3"/>
    </row>
    <row r="3722" customHeight="1" spans="1:9">
      <c r="A3722" s="2" t="s">
        <v>2575</v>
      </c>
      <c r="B3722" s="2" t="str">
        <f>IFERROR(__xludf.DUMMYFUNCTION("IF(A3722&lt;&gt;"""", GOOGLETRANSLATE(A3722, ""en"", ""te""),"""")"),"[ 'తొలి 2nd ఓల్డెస్ట్ క్రీడాకారులు (44y 359d)', 'కెప్టెన్సీ తొలి 1st ఓల్డెస్ట్ కాప్టెన్ (44y 359d)']")</f>
        <v>[ 'తొలి 2nd ఓల్డెస్ట్ క్రీడాకారులు (44y 359d)', 'కెప్టెన్సీ తొలి 1st ఓల్డెస్ట్ కాప్టెన్ (44y 359d)']</v>
      </c>
      <c r="C3722" s="2" t="s">
        <v>2576</v>
      </c>
      <c r="D3722" s="2" t="str">
        <f>IFERROR(__xludf.DUMMYFUNCTION("IF(C3722&lt;&gt;"""", GOOGLETRANSLATE(C3722, ""en"", ""te""),"""")"),"[ '37 వ ఉత్తమ కెరీర్ ఆర్థిక రేటు (1.99)', '33 వ వరుస మ్యాచ్లు ప్రదర్శనల మధ్య బృందం (60) కోసం తప్పిన']")</f>
        <v>[ '37 వ ఉత్తమ కెరీర్ ఆర్థిక రేటు (1.99)', '33 వ వరుస మ్యాచ్లు ప్రదర్శనల మధ్య బృందం (60) కోసం తప్పిన']</v>
      </c>
      <c r="E3722" s="2" t="s">
        <v>2577</v>
      </c>
      <c r="F3722" s="2" t="str">
        <f>IFERROR(__xludf.DUMMYFUNCTION("IF(E3722&lt;&gt;"""", GOOGLETRANSLATE(E3722, ""en"", ""te""),"""")"),"[ '39 వ ఉత్తమ కెరీర్ సగటు (అర్హత లేకుండా) (12.50) బౌలింగ్', 3 వ ఓల్డెస్ట్ క్రీడాకారుల తొలి 2nd ఓల్డెస్ట్ క్రీడాకారులు (44y 359d) ',' (44y 361d '26 బెస్ట్ కెప్టెన్ (4) ఒక ఇన్నింగ్స్ లో బొమ్మల ) ',' 15 వ పురాతన దేశం ఆటగాళ్ళు (81y 63d) ',' 1 వ ఓల్డెస్ట్ కాప్"&amp;"టెన్ (44y 361d) ',' కెప్టెన్సీ తొలి 1st ఓల్డెస్ట్ కాప్టెన్ (44y 359d) ']")</f>
        <v>[ '39 వ ఉత్తమ కెరీర్ సగటు (అర్హత లేకుండా) (12.50) బౌలింగ్', 3 వ ఓల్డెస్ట్ క్రీడాకారుల తొలి 2nd ఓల్డెస్ట్ క్రీడాకారులు (44y 359d) ',' (44y 361d '26 బెస్ట్ కెప్టెన్ (4) ఒక ఇన్నింగ్స్ లో బొమ్మల ) ',' 15 వ పురాతన దేశం ఆటగాళ్ళు (81y 63d) ',' 1 వ ఓల్డెస్ట్ కాప్టెన్ (44y 361d) ',' కెప్టెన్సీ తొలి 1st ఓల్డెస్ట్ కాప్టెన్ (44y 359d) ']</v>
      </c>
      <c r="G3722" s="2"/>
      <c r="H3722" s="2" t="str">
        <f>IFERROR(__xludf.DUMMYFUNCTION("IF(G3722&lt;&gt;"""", GOOGLETRANSLATE(G3722, ""en"", ""te""),"""")"),"")</f>
        <v/>
      </c>
      <c r="I3722" s="3"/>
    </row>
    <row r="3723" customHeight="1" spans="1:9">
      <c r="A3723" s="2" t="s">
        <v>982</v>
      </c>
      <c r="B3723" s="2" t="str">
        <f>IFERROR(__xludf.DUMMYFUNCTION("IF(A3723&lt;&gt;"""", GOOGLETRANSLATE(A3723, ""en"", ""te""),"""")"),"[ '1000 పరుగులు మరియు 100 వికెట్లు']")</f>
        <v>[ '1000 పరుగులు మరియు 100 వికెట్లు']</v>
      </c>
      <c r="C3723" s="2" t="s">
        <v>2578</v>
      </c>
      <c r="D3723" s="2" t="str">
        <f>IFERROR(__xludf.DUMMYFUNCTION("IF(C3723&lt;&gt;"""", GOOGLETRANSLATE(C3723, ""en"", ""te""),"""")"),"[ 'లేకుండా కెరీర్లో 18 వ అత్యధిక పరుగులు వంద (1421)']")</f>
        <v>[ 'లేకుండా కెరీర్లో 18 వ అత్యధిక పరుగులు వంద (1421)']</v>
      </c>
      <c r="E3723" s="2" t="s">
        <v>2579</v>
      </c>
      <c r="F3723" s="2" t="str">
        <f>IFERROR(__xludf.DUMMYFUNCTION("IF(E3723&lt;&gt;"""", GOOGLETRANSLATE(E3723, ""en"", ""te""),"""")"),"[ '12 వ అత్యుత్తమ ఇన్నింగ్స్ (2/3) విశ్లేషణలలో బౌలింగ్']")</f>
        <v>[ '12 వ అత్యుత్తమ ఇన్నింగ్స్ (2/3) విశ్లేషణలలో బౌలింగ్']</v>
      </c>
      <c r="G3723" s="2"/>
      <c r="H3723" s="2" t="str">
        <f>IFERROR(__xludf.DUMMYFUNCTION("IF(G3723&lt;&gt;"""", GOOGLETRANSLATE(G3723, ""en"", ""te""),"""")"),"")</f>
        <v/>
      </c>
      <c r="I3723" s="3"/>
    </row>
    <row r="3724" customHeight="1" spans="1:9">
      <c r="A3724" s="2"/>
      <c r="B3724" s="2" t="str">
        <f>IFERROR(__xludf.DUMMYFUNCTION("IF(A3724&lt;&gt;"""", GOOGLETRANSLATE(A3724, ""en"", ""te""),"""")"),"")</f>
        <v/>
      </c>
      <c r="C3724" s="2"/>
      <c r="D3724" s="2" t="str">
        <f>IFERROR(__xludf.DUMMYFUNCTION("IF(C3724&lt;&gt;"""", GOOGLETRANSLATE(C3724, ""en"", ""te""),"""")"),"")</f>
        <v/>
      </c>
      <c r="E3724" s="2"/>
      <c r="F3724" s="2" t="str">
        <f>IFERROR(__xludf.DUMMYFUNCTION("IF(E3724&lt;&gt;"""", GOOGLETRANSLATE(E3724, ""en"", ""te""),"""")"),"")</f>
        <v/>
      </c>
      <c r="G3724" s="2"/>
      <c r="H3724" s="2" t="str">
        <f>IFERROR(__xludf.DUMMYFUNCTION("IF(G3724&lt;&gt;"""", GOOGLETRANSLATE(G3724, ""en"", ""te""),"""")"),"")</f>
        <v/>
      </c>
      <c r="I3724" s="3"/>
    </row>
    <row r="3725" customHeight="1" spans="1:9">
      <c r="A3725" s="2"/>
      <c r="B3725" s="2" t="str">
        <f>IFERROR(__xludf.DUMMYFUNCTION("IF(A3725&lt;&gt;"""", GOOGLETRANSLATE(A3725, ""en"", ""te""),"""")"),"")</f>
        <v/>
      </c>
      <c r="C3725" s="2"/>
      <c r="D3725" s="2" t="str">
        <f>IFERROR(__xludf.DUMMYFUNCTION("IF(C3725&lt;&gt;"""", GOOGLETRANSLATE(C3725, ""en"", ""te""),"""")"),"")</f>
        <v/>
      </c>
      <c r="E3725" s="2"/>
      <c r="F3725" s="2" t="str">
        <f>IFERROR(__xludf.DUMMYFUNCTION("IF(E3725&lt;&gt;"""", GOOGLETRANSLATE(E3725, ""en"", ""te""),"""")"),"")</f>
        <v/>
      </c>
      <c r="G3725" s="2"/>
      <c r="H3725" s="2" t="str">
        <f>IFERROR(__xludf.DUMMYFUNCTION("IF(G3725&lt;&gt;"""", GOOGLETRANSLATE(G3725, ""en"", ""te""),"""")"),"")</f>
        <v/>
      </c>
      <c r="I3725" s="3"/>
    </row>
    <row r="3726" customHeight="1" spans="1:9">
      <c r="A3726" s="2" t="s">
        <v>399</v>
      </c>
      <c r="B3726" s="2" t="str">
        <f>IFERROR(__xludf.DUMMYFUNCTION("IF(A3726&lt;&gt;"""", GOOGLETRANSLATE(A3726, ""en"", ""te""),"""")"),"[ 'తొలి పెయిర్']")</f>
        <v>[ 'తొలి పెయిర్']</v>
      </c>
      <c r="C3726" s="2" t="s">
        <v>2580</v>
      </c>
      <c r="D3726" s="2" t="str">
        <f>IFERROR(__xludf.DUMMYFUNCTION("IF(C3726&lt;&gt;"""", GOOGLETRANSLATE(C3726, ""en"", ""te""),"""")"),"[ '23 షార్టేస్ట్ క్రీడాకారులు (29y 284d) నివసించారు']")</f>
        <v>[ '23 షార్టేస్ట్ క్రీడాకారులు (29y 284d) నివసించారు']</v>
      </c>
      <c r="E3726" s="2"/>
      <c r="F3726" s="2" t="str">
        <f>IFERROR(__xludf.DUMMYFUNCTION("IF(E3726&lt;&gt;"""", GOOGLETRANSLATE(E3726, ""en"", ""te""),"""")"),"")</f>
        <v/>
      </c>
      <c r="G3726" s="2"/>
      <c r="H3726" s="2" t="str">
        <f>IFERROR(__xludf.DUMMYFUNCTION("IF(G3726&lt;&gt;"""", GOOGLETRANSLATE(G3726, ""en"", ""te""),"""")"),"")</f>
        <v/>
      </c>
      <c r="I3726" s="3"/>
    </row>
    <row r="3727" customHeight="1" spans="1:9">
      <c r="A3727" s="2"/>
      <c r="B3727" s="2" t="str">
        <f>IFERROR(__xludf.DUMMYFUNCTION("IF(A3727&lt;&gt;"""", GOOGLETRANSLATE(A3727, ""en"", ""te""),"""")"),"")</f>
        <v/>
      </c>
      <c r="C3727" s="2"/>
      <c r="D3727" s="2" t="str">
        <f>IFERROR(__xludf.DUMMYFUNCTION("IF(C3727&lt;&gt;"""", GOOGLETRANSLATE(C3727, ""en"", ""te""),"""")"),"")</f>
        <v/>
      </c>
      <c r="E3727" s="2"/>
      <c r="F3727" s="2" t="str">
        <f>IFERROR(__xludf.DUMMYFUNCTION("IF(E3727&lt;&gt;"""", GOOGLETRANSLATE(E3727, ""en"", ""te""),"""")"),"")</f>
        <v/>
      </c>
      <c r="G3727" s="2"/>
      <c r="H3727" s="2" t="str">
        <f>IFERROR(__xludf.DUMMYFUNCTION("IF(G3727&lt;&gt;"""", GOOGLETRANSLATE(G3727, ""en"", ""te""),"""")"),"")</f>
        <v/>
      </c>
      <c r="I3727" s="3"/>
    </row>
    <row r="3728" customHeight="1" spans="1:9">
      <c r="A3728" s="2"/>
      <c r="B3728" s="2" t="str">
        <f>IFERROR(__xludf.DUMMYFUNCTION("IF(A3728&lt;&gt;"""", GOOGLETRANSLATE(A3728, ""en"", ""te""),"""")"),"")</f>
        <v/>
      </c>
      <c r="C3728" s="2"/>
      <c r="D3728" s="2" t="str">
        <f>IFERROR(__xludf.DUMMYFUNCTION("IF(C3728&lt;&gt;"""", GOOGLETRANSLATE(C3728, ""en"", ""te""),"""")"),"")</f>
        <v/>
      </c>
      <c r="E3728" s="2"/>
      <c r="F3728" s="2" t="str">
        <f>IFERROR(__xludf.DUMMYFUNCTION("IF(E3728&lt;&gt;"""", GOOGLETRANSLATE(E3728, ""en"", ""te""),"""")"),"")</f>
        <v/>
      </c>
      <c r="G3728" s="2"/>
      <c r="H3728" s="2" t="str">
        <f>IFERROR(__xludf.DUMMYFUNCTION("IF(G3728&lt;&gt;"""", GOOGLETRANSLATE(G3728, ""en"", ""te""),"""")"),"")</f>
        <v/>
      </c>
      <c r="I3728" s="3"/>
    </row>
    <row r="3729" customHeight="1" spans="1:9">
      <c r="A3729" s="2"/>
      <c r="B3729" s="2" t="str">
        <f>IFERROR(__xludf.DUMMYFUNCTION("IF(A3729&lt;&gt;"""", GOOGLETRANSLATE(A3729, ""en"", ""te""),"""")"),"")</f>
        <v/>
      </c>
      <c r="C3729" s="2"/>
      <c r="D3729" s="2" t="str">
        <f>IFERROR(__xludf.DUMMYFUNCTION("IF(C3729&lt;&gt;"""", GOOGLETRANSLATE(C3729, ""en"", ""te""),"""")"),"")</f>
        <v/>
      </c>
      <c r="E3729" s="2"/>
      <c r="F3729" s="2" t="str">
        <f>IFERROR(__xludf.DUMMYFUNCTION("IF(E3729&lt;&gt;"""", GOOGLETRANSLATE(E3729, ""en"", ""te""),"""")"),"")</f>
        <v/>
      </c>
      <c r="G3729" s="2"/>
      <c r="H3729" s="2" t="str">
        <f>IFERROR(__xludf.DUMMYFUNCTION("IF(G3729&lt;&gt;"""", GOOGLETRANSLATE(G3729, ""en"", ""te""),"""")"),"")</f>
        <v/>
      </c>
      <c r="I3729" s="3"/>
    </row>
    <row r="3730" customHeight="1" spans="1:9">
      <c r="A3730" s="2" t="s">
        <v>2581</v>
      </c>
      <c r="B3730" s="2" t="str">
        <f>IFERROR(__xludf.DUMMYFUNCTION("IF(A3730&lt;&gt;"""", GOOGLETRANSLATE(A3730, ""en"", ""te""),"""")"),"[ 'కెరీర్లో 4 వ అత్యధిక క్యాచ్లు (15)', 'ఇన్నింగ్స్ లో 5 వ అత్యధిక పరుగులు (బ్యాటింగ్ స్థానంలో ప్రకారం) (125 *)', 'ఒక డక్ లేకుండా 7 వ అత్యధిక వరుస ఇన్నింగ్స్ (52)', '4 వ అత్యంత ఇన్నింగ్స్ లో క్యాచ్లు (3) ',' ఇన్నింగ్స్ లో నాలుగవ వికెట్కు (218 *) ',' 2 వ అ"&amp;"త్యధిక పరుగులు కోసం 2 వ అత్యధిక భాగస్వామ్యం (బ్యాటింగ్ స్థానం) (80 *) ',' 6 వ కెరీర్ బాతులు (8) ',' 1st ఒక ఇన్నింగ్స్ లో అత్యధిక క్యాచ్లు (4) ']")</f>
        <v>[ 'కెరీర్లో 4 వ అత్యధిక క్యాచ్లు (15)', 'ఇన్నింగ్స్ లో 5 వ అత్యధిక పరుగులు (బ్యాటింగ్ స్థానంలో ప్రకారం) (125 *)', 'ఒక డక్ లేకుండా 7 వ అత్యధిక వరుస ఇన్నింగ్స్ (52)', '4 వ అత్యంత ఇన్నింగ్స్ లో క్యాచ్లు (3) ',' ఇన్నింగ్స్ లో నాలుగవ వికెట్కు (218 *) ',' 2 వ అత్యధిక పరుగులు కోసం 2 వ అత్యధిక భాగస్వామ్యం (బ్యాటింగ్ స్థానం) (80 *) ',' 6 వ కెరీర్ బాతులు (8) ',' 1st ఒక ఇన్నింగ్స్ లో అత్యధిక క్యాచ్లు (4) ']</v>
      </c>
      <c r="C3730" s="2" t="s">
        <v>2582</v>
      </c>
      <c r="D3730" s="2" t="str">
        <f>IFERROR(__xludf.DUMMYFUNCTION("IF(C3730&lt;&gt;"""", GOOGLETRANSLATE(C3730, ""en"", ""te""),"""")"),"[ 'కెరీర్లో 23 వ అతి తక్కువ బాతులు (12)', '4 వ అత్యధిక క్యాచ్లు కెరీర్లో (15)', 'ఐదవ వికెట్కు 18 అత్యధిక భాగస్వామ్యం (84)', '21 వ పిన్న క్రీడాకారులు (17y 193d) ',' 39 వ లాంగెస్ట్ కెరీర్లు (12y 180d) ']")</f>
        <v>[ 'కెరీర్లో 23 వ అతి తక్కువ బాతులు (12)', '4 వ అత్యధిక క్యాచ్లు కెరీర్లో (15)', 'ఐదవ వికెట్కు 18 అత్యధిక భాగస్వామ్యం (84)', '21 వ పిన్న క్రీడాకారులు (17y 193d) ',' 39 వ లాంగెస్ట్ కెరీర్లు (12y 180d) ']</v>
      </c>
      <c r="E3730" s="2" t="s">
        <v>2583</v>
      </c>
      <c r="F3730" s="2" t="str">
        <f>IFERROR(__xludf.DUMMYFUNCTION("IF(E3730&lt;&gt;"""", GOOGLETRANSLATE(E3730, ""en"", ""te""),"""")"),"[ '29 కెరీర్లో అత్యధిక పరుగులు (2554)', 'ఇన్నింగ్స్ లో 5 వ అత్యధిక పరుగులు (బ్యాటింగ్ స్థానంలో ప్రకారం) (125 *)', '18 వ అత్యధిక తొలి వంద (125 *)', '41 వ కెరీర్ అర్ధ (13) ',' ఒక డక్ లేకుండా 7 వ అత్యధిక వరుస ఇన్నింగ్స్ (52) ',' 6 వ అత్యధిక క్యాచ్లు కెరీర్లో"&amp;" (52) ',' 4 వ అత్యధిక క్యాచ్లు ఒక ఇన్నింగ్స్ లో (3) ',' 20 వ అత్యధిక క్యాచ్లు వరుస (8) ', 'ఏ వికెట్కు (218 *) కోసం 17 అత్యధిక భాగస్వామ్యాలు', 'నాలుగవ వికెట్కు (218 *) కోసం 2 వ అత్యధిక భాగస్వామ్యం', 'ఐదవ వికెట్కు 6 వ అత్యధిక భాగస్వామ్యం (122)', ఏడవ వికెట్క"&amp;"ు '46 వ అత్యధిక భాగస్వామ్యం (57 ) ',' తొమ్మిదవ వికెట్కు 20 వ అత్యధిక భాగస్వామ్యం (41) ',' 11 వ కెరీర్ లో అత్యధిక మ్యాచ్లు (126) ',' బృందం (40 40 వ వరుస మ్యాచ్లు) ']")</f>
        <v>[ '29 కెరీర్లో అత్యధిక పరుగులు (2554)', 'ఇన్నింగ్స్ లో 5 వ అత్యధిక పరుగులు (బ్యాటింగ్ స్థానంలో ప్రకారం) (125 *)', '18 వ అత్యధిక తొలి వంద (125 *)', '41 వ కెరీర్ అర్ధ (13) ',' ఒక డక్ లేకుండా 7 వ అత్యధిక వరుస ఇన్నింగ్స్ (52) ',' 6 వ అత్యధిక క్యాచ్లు కెరీర్లో (52) ',' 4 వ అత్యధిక క్యాచ్లు ఒక ఇన్నింగ్స్ లో (3) ',' 20 వ అత్యధిక క్యాచ్లు వరుస (8) ', 'ఏ వికెట్కు (218 *) కోసం 17 అత్యధిక భాగస్వామ్యాలు', 'నాలుగవ వికెట్కు (218 *) కోసం 2 వ అత్యధిక భాగస్వామ్యం', 'ఐదవ వికెట్కు 6 వ అత్యధిక భాగస్వామ్యం (122)', ఏడవ వికెట్కు '46 వ అత్యధిక భాగస్వామ్యం (57 ) ',' తొమ్మిదవ వికెట్కు 20 వ అత్యధిక భాగస్వామ్యం (41) ',' 11 వ కెరీర్ లో అత్యధిక మ్యాచ్లు (126) ',' బృందం (40 40 వ వరుస మ్యాచ్లు) ']</v>
      </c>
      <c r="G3730" s="2" t="s">
        <v>2584</v>
      </c>
      <c r="H3730" s="2" t="str">
        <f>IFERROR(__xludf.DUMMYFUNCTION("IF(G3730&lt;&gt;"""", GOOGLETRANSLATE(G3730, ""en"", ""te""),"""")"),"[ '27 కెరీర్లో అత్యధిక పరుగులు (1192)', 'ఇన్నింగ్స్ లో 2 వ అత్యధిక పరుగులు (బ్యాటింగ్ స్థానంలో ప్రకారం) (80 *)', '6 వ కెరీర్ బాతులు (8)', 'కెరీర్ లో 3 వ అత్యధిక క్యాచ్లు (54) ',' 1 వ ఇన్నింగ్స్ లో అత్యధిక క్యాచ్లు (4) ',' నాలుగవ వికెట్కు 21 అత్యధిక భాగస్వ"&amp;"ామ్యం (78 *) ఆరవ వికెట్కు ',' 17 వ అత్యధిక భాగస్వామ్యం (53) ఎనిమిదో వికెట్కు ',' 26th అత్యధిక భాగస్వామ్యం ( 26) ',' పదవ వికెట్కు 39 వ అత్యధిక భాగస్వామ్యం (10) ',' 29 వ అత్యధిక కెరీర్ (85 మ్యాచ్ లు) ']")</f>
        <v>[ '27 కెరీర్లో అత్యధిక పరుగులు (1192)', 'ఇన్నింగ్స్ లో 2 వ అత్యధిక పరుగులు (బ్యాటింగ్ స్థానంలో ప్రకారం) (80 *)', '6 వ కెరీర్ బాతులు (8)', 'కెరీర్ లో 3 వ అత్యధిక క్యాచ్లు (54) ',' 1 వ ఇన్నింగ్స్ లో అత్యధిక క్యాచ్లు (4) ',' నాలుగవ వికెట్కు 21 అత్యధిక భాగస్వామ్యం (78 *) ఆరవ వికెట్కు ',' 17 వ అత్యధిక భాగస్వామ్యం (53) ఎనిమిదో వికెట్కు ',' 26th అత్యధిక భాగస్వామ్యం ( 26) ',' పదవ వికెట్కు 39 వ అత్యధిక భాగస్వామ్యం (10) ',' 29 వ అత్యధిక కెరీర్ (85 మ్యాచ్ లు) ']</v>
      </c>
      <c r="I3730" s="3"/>
    </row>
    <row r="3731" customHeight="1" spans="1:9">
      <c r="A3731" s="2"/>
      <c r="B3731" s="2" t="str">
        <f>IFERROR(__xludf.DUMMYFUNCTION("IF(A3731&lt;&gt;"""", GOOGLETRANSLATE(A3731, ""en"", ""te""),"""")"),"")</f>
        <v/>
      </c>
      <c r="C3731" s="2"/>
      <c r="D3731" s="2" t="str">
        <f>IFERROR(__xludf.DUMMYFUNCTION("IF(C3731&lt;&gt;"""", GOOGLETRANSLATE(C3731, ""en"", ""te""),"""")"),"")</f>
        <v/>
      </c>
      <c r="E3731" s="2"/>
      <c r="F3731" s="2" t="str">
        <f>IFERROR(__xludf.DUMMYFUNCTION("IF(E3731&lt;&gt;"""", GOOGLETRANSLATE(E3731, ""en"", ""te""),"""")"),"")</f>
        <v/>
      </c>
      <c r="G3731" s="2"/>
      <c r="H3731" s="2" t="str">
        <f>IFERROR(__xludf.DUMMYFUNCTION("IF(G3731&lt;&gt;"""", GOOGLETRANSLATE(G3731, ""en"", ""te""),"""")"),"")</f>
        <v/>
      </c>
      <c r="I3731" s="3"/>
    </row>
    <row r="3732" customHeight="1" spans="1:9">
      <c r="A3732" s="2"/>
      <c r="B3732" s="2" t="str">
        <f>IFERROR(__xludf.DUMMYFUNCTION("IF(A3732&lt;&gt;"""", GOOGLETRANSLATE(A3732, ""en"", ""te""),"""")"),"")</f>
        <v/>
      </c>
      <c r="C3732" s="2"/>
      <c r="D3732" s="2" t="str">
        <f>IFERROR(__xludf.DUMMYFUNCTION("IF(C3732&lt;&gt;"""", GOOGLETRANSLATE(C3732, ""en"", ""te""),"""")"),"")</f>
        <v/>
      </c>
      <c r="E3732" s="2"/>
      <c r="F3732" s="2" t="str">
        <f>IFERROR(__xludf.DUMMYFUNCTION("IF(E3732&lt;&gt;"""", GOOGLETRANSLATE(E3732, ""en"", ""te""),"""")"),"")</f>
        <v/>
      </c>
      <c r="G3732" s="2"/>
      <c r="H3732" s="2" t="str">
        <f>IFERROR(__xludf.DUMMYFUNCTION("IF(G3732&lt;&gt;"""", GOOGLETRANSLATE(G3732, ""en"", ""te""),"""")"),"")</f>
        <v/>
      </c>
      <c r="I3732" s="3"/>
    </row>
    <row r="3733" customHeight="1" spans="1:9">
      <c r="A3733" s="2"/>
      <c r="B3733" s="2" t="str">
        <f>IFERROR(__xludf.DUMMYFUNCTION("IF(A3733&lt;&gt;"""", GOOGLETRANSLATE(A3733, ""en"", ""te""),"""")"),"")</f>
        <v/>
      </c>
      <c r="C3733" s="2"/>
      <c r="D3733" s="2" t="str">
        <f>IFERROR(__xludf.DUMMYFUNCTION("IF(C3733&lt;&gt;"""", GOOGLETRANSLATE(C3733, ""en"", ""te""),"""")"),"")</f>
        <v/>
      </c>
      <c r="E3733" s="2"/>
      <c r="F3733" s="2" t="str">
        <f>IFERROR(__xludf.DUMMYFUNCTION("IF(E3733&lt;&gt;"""", GOOGLETRANSLATE(E3733, ""en"", ""te""),"""")"),"")</f>
        <v/>
      </c>
      <c r="G3733" s="2"/>
      <c r="H3733" s="2" t="str">
        <f>IFERROR(__xludf.DUMMYFUNCTION("IF(G3733&lt;&gt;"""", GOOGLETRANSLATE(G3733, ""en"", ""te""),"""")"),"")</f>
        <v/>
      </c>
      <c r="I3733" s="3"/>
    </row>
    <row r="3734" customHeight="1" spans="1:9">
      <c r="A3734" s="2" t="s">
        <v>2585</v>
      </c>
      <c r="B3734" s="2" t="str">
        <f>IFERROR(__xludf.DUMMYFUNCTION("IF(A3734&lt;&gt;"""", GOOGLETRANSLATE(A3734, ""en"", ""te""),"""")"),"[ 'ఒక మ్యాచ్లో 1st అత్యధిక పరుగులు (456)', 'హండ్రెడ్ ఒక మ్యాచ్లో ప్రతి ఇన్నింగ్స్లో' '99 (199, 299 etc) కొట్టివేయబడింది 1st (99)', 'పెయిర్ తొలి', '6 వ అత్యంత ఫోర్లు ఒక ఇన్నింగ్స్ లో (43) ',' ఒక ఇన్నింగ్స్లో ద్వారా బ్యాట్ నిదర్శన (154 *) ',' 2 వ అసాధారణ వి"&amp;"కెట్లు (bal నిర్వహించింది) ',' బ్యాటింగ్ తెరవడం మరియు అదే మ్యాచ్ లో బౌలింగ్ ',' 5000 పరుగులు మరియు 50 ఫీల్డింగ్ తొలగింపులకు ',' రెండవ వికెట్కు 9 వ అత్యధిక భాగస్వామ్యం (351) ',' 9 వ లాంగెస్ట్ కెరీర్లు (18y 137d) ',' 10 వ వరుస ఇన్నింగ్స్లో డకౌట్ లేకుండా (86"&amp;") ',' 1 వ అత్యుత్తమ బౌలింగ్ ఇన్నింగ్స్ లో విశ్లేషించడం (1 / 0) ',' వరుస ఇన్నింగ్స్లో 6 వ వందల (3) ']")</f>
        <v>[ 'ఒక మ్యాచ్లో 1st అత్యధిక పరుగులు (456)', 'హండ్రెడ్ ఒక మ్యాచ్లో ప్రతి ఇన్నింగ్స్లో' '99 (199, 299 etc) కొట్టివేయబడింది 1st (99)', 'పెయిర్ తొలి', '6 వ అత్యంత ఫోర్లు ఒక ఇన్నింగ్స్ లో (43) ',' ఒక ఇన్నింగ్స్లో ద్వారా బ్యాట్ నిదర్శన (154 *) ',' 2 వ అసాధారణ వికెట్లు (bal నిర్వహించింది) ',' బ్యాటింగ్ తెరవడం మరియు అదే మ్యాచ్ లో బౌలింగ్ ',' 5000 పరుగులు మరియు 50 ఫీల్డింగ్ తొలగింపులకు ',' రెండవ వికెట్కు 9 వ అత్యధిక భాగస్వామ్యం (351) ',' 9 వ లాంగెస్ట్ కెరీర్లు (18y 137d) ',' 10 వ వరుస ఇన్నింగ్స్లో డకౌట్ లేకుండా (86) ',' 1 వ అత్యుత్తమ బౌలింగ్ ఇన్నింగ్స్ లో విశ్లేషించడం (1 / 0) ',' వరుస ఇన్నింగ్స్లో 6 వ వందల (3) ']</v>
      </c>
      <c r="C3734" s="2" t="s">
        <v>2586</v>
      </c>
      <c r="D3734" s="2" t="str">
        <f>IFERROR(__xludf.DUMMYFUNCTION("IF(C3734&lt;&gt;"""", GOOGLETRANSLATE(C3734, ""en"", ""te""),"""")"),"[ '16 వ అత్యధిక కెరీర్ లో పరుగులు (8900)', '13 వ ఇన్నింగ్స్ లో అత్యధిక పరుగులు (333)', 'ఒక మ్యాచ్లో 1st అత్యధిక పరుగులు (456)', '20 వ ఒక సిరీస్లో అత్యధిక పరుగులు (752)', '42 వ ఒక క్యాలెండర్ సంవత్సరంలో అత్యధిక పరుగులు (1264) ',' ఇన్నింగ్స్ లో 7 వ అత్యధిక ప"&amp;"రుగులు (బ్యాటింగ్ స్థానంలో ప్రకారం) (333) ',' 5 వ ఒకే క్రీడా (2015) లో అత్యధిక పరుగులు ',' ఒక ద్వారా ఒక సిరీస్ 2 వ అత్యధిక పరుగులు కెప్టెన్ (752) ',' ఒక కెప్టెన్ (333) ',' 42 వ ఒక వృత్తిలో అత్యధిక వందలు (20) ',' ఒక వృత్తిలో 5 వ అత్యధిక ట్రిపుల్ వందల (1) '"&amp;",' 5 వ వందల ఇన్నింగ్స్ లో 4 వ అత్యధిక పరుగులు వరుస ఇన్నింగ్స్లో (3) ',' వరుస మ్యాచ్లలో 21 వందల (3) ',' వంద (40y 314d) ',' 1 వ 99 (199, 299 etc) (99) అవుటయ్యాడు స్కోరు 14 అత్యంత వృద్ధ ఆటగాడు ',' కెరీర్లో 22 వ అత్యంత అర్ధ (66) ',' వరుస ఇన్నింగ్స్లో 32 వ యాభ"&amp;"ైల్లో (5) ',' వరుస మ్యాచ్లలో 15 వ యాభైల్లో (8) ',' ఒక డక్ లేకుండా 30 వ వరుస ఇన్నింగ్స్ (60) ',' 19 వ అత్యంత ఫోర్లు కెరీర్ (1079) ',' ఇన్నింగ్స్ లో 6 వ అత్యంత ఫోర్లు (43) ',' ఇన్నింగ్స్ లో ఫోర్లు, సిక్సర్లు నుండి 10 వ అత్యధిక పరుగులు (190) ',' 10 వ అత్యధ"&amp;"ిక పరుగులు శాతం i na పూర్తి ఇన్నింగ్స్ (61.11) ',' 2 వ అసాధారణ వికెట్లు (bal నిర్వహించింది) ',' 50th 6000 పరుగులు (150) ',' 35 వ వేగంగా వేగంగా 7000 పరుగులు (166) ',' 24th 8000 పరుగులు వేగంగా (189) ',' 35 వ చెత్త కెరీర్లో సమ్మె రేటు (115.4) ',' 37 వ అత్యధి"&amp;"క క్యాచ్లు కెరీర్లో (103) ',' ఏ వికెట్కు 43 వ అత్యధిక భాగస్వామ్యాల (351) ',' రెండవ వికెట్కు 9 వ అత్యధిక భాగస్వామ్యం (351) ',' మూడో వికెట్కు 24 అత్యధిక భాగస్వామ్యం (308) ',' 30 వ కెరీర్ లో అత్యధిక మ్యాచ్లు (118) ',' 32 వ అత్యంత ప్లేయర్ ఆఫ్ ది మ్యాచ్ అవార్డ"&amp;"ులు (9) ',' 12 వ అత్యంత ప్లేయర్ ఆఫ్ ది సిరీస్ అవార్డులు (5) ',' 23 వ లాంగెస్ట్ కెరీర్లు (19y 212d) ',' 36 వ అత్యధిక మ్యాచ్లు కెప్టెన్గా (34) ',' 22 వ ఓల్డెస్ట్ కాప్టెన్ (40y 3) ']")</f>
        <v>[ '16 వ అత్యధిక కెరీర్ లో పరుగులు (8900)', '13 వ ఇన్నింగ్స్ లో అత్యధిక పరుగులు (333)', 'ఒక మ్యాచ్లో 1st అత్యధిక పరుగులు (456)', '20 వ ఒక సిరీస్లో అత్యధిక పరుగులు (752)', '42 వ ఒక క్యాలెండర్ సంవత్సరంలో అత్యధిక పరుగులు (1264) ',' ఇన్నింగ్స్ లో 7 వ అత్యధిక పరుగులు (బ్యాటింగ్ స్థానంలో ప్రకారం) (333) ',' 5 వ ఒకే క్రీడా (2015) లో అత్యధిక పరుగులు ',' ఒక ద్వారా ఒక సిరీస్ 2 వ అత్యధిక పరుగులు కెప్టెన్ (752) ',' ఒక కెప్టెన్ (333) ',' 42 వ ఒక వృత్తిలో అత్యధిక వందలు (20) ',' ఒక వృత్తిలో 5 వ అత్యధిక ట్రిపుల్ వందల (1) ',' 5 వ వందల ఇన్నింగ్స్ లో 4 వ అత్యధిక పరుగులు వరుస ఇన్నింగ్స్లో (3) ',' వరుస మ్యాచ్లలో 21 వందల (3) ',' వంద (40y 314d) ',' 1 వ 99 (199, 299 etc) (99) అవుటయ్యాడు స్కోరు 14 అత్యంత వృద్ధ ఆటగాడు ',' కెరీర్లో 22 వ అత్యంత అర్ధ (66) ',' వరుస ఇన్నింగ్స్లో 32 వ యాభైల్లో (5) ',' వరుస మ్యాచ్లలో 15 వ యాభైల్లో (8) ',' ఒక డక్ లేకుండా 30 వ వరుస ఇన్నింగ్స్ (60) ',' 19 వ అత్యంత ఫోర్లు కెరీర్ (1079) ',' ఇన్నింగ్స్ లో 6 వ అత్యంత ఫోర్లు (43) ',' ఇన్నింగ్స్ లో ఫోర్లు, సిక్సర్లు నుండి 10 వ అత్యధిక పరుగులు (190) ',' 10 వ అత్యధిక పరుగులు శాతం i na పూర్తి ఇన్నింగ్స్ (61.11) ',' 2 వ అసాధారణ వికెట్లు (bal నిర్వహించింది) ',' 50th 6000 పరుగులు (150) ',' 35 వ వేగంగా వేగంగా 7000 పరుగులు (166) ',' 24th 8000 పరుగులు వేగంగా (189) ',' 35 వ చెత్త కెరీర్లో సమ్మె రేటు (115.4) ',' 37 వ అత్యధిక క్యాచ్లు కెరీర్లో (103) ',' ఏ వికెట్కు 43 వ అత్యధిక భాగస్వామ్యాల (351) ',' రెండవ వికెట్కు 9 వ అత్యధిక భాగస్వామ్యం (351) ',' మూడో వికెట్కు 24 అత్యధిక భాగస్వామ్యం (308) ',' 30 వ కెరీర్ లో అత్యధిక మ్యాచ్లు (118) ',' 32 వ అత్యంత ప్లేయర్ ఆఫ్ ది మ్యాచ్ అవార్డులు (9) ',' 12 వ అత్యంత ప్లేయర్ ఆఫ్ ది సిరీస్ అవార్డులు (5) ',' 23 వ లాంగెస్ట్ కెరీర్లు (19y 212d) ',' 36 వ అత్యధిక మ్యాచ్లు కెప్టెన్గా (34) ',' 22 వ ఓల్డెస్ట్ కాప్టెన్ (40y 3) ']</v>
      </c>
      <c r="E3734" s="2" t="s">
        <v>2587</v>
      </c>
      <c r="F3734" s="2" t="str">
        <f>IFERROR(__xludf.DUMMYFUNCTION("IF(E3734&lt;&gt;"""", GOOGLETRANSLATE(E3734, ""en"", ""te""),"""")"),"[ '47 వ ఒక సిరీస్లో అత్యధిక పరుగులు (471)', '39 వ ఒక జట్టు (4) వ్యతిరేకంగా అత్యధిక వందలు' '19 వ అత్యంత వృద్ధ ఆటగాడు వంద స్కోర్ (36y 306d)', 'వరుస ఇన్నింగ్స్లో 11 వ యాభైల్లో (5)', 'ఒక డక్ లేకుండా 10 వ వరుస ఇన్నింగ్స్ (86)', '32 వ అతి తక్కువ బాతులు కెరీర్ "&amp;"లో (30.5)', '21 వ లాంగెస్ట్ వ్యక్తిగత ఇన్నింగ్స్ (బంతులతో) (164) ',' 34 వ 2000 పరుగులు వేగంగా (56) ',' 13 వ వేగవంతమైన 3000 పరుగులు (76) ',' 19 వ వేగవంతమైన 4000 పరుగులు (108) ',' 1 వ అత్యుత్తమ బౌలింగ్ ఇన్నింగ్స్ లో విశ్లేషించడం (1/0) ',' రెండవ వికెట్కు 3"&amp;"9 వ అత్యధిక భాగస్వామ్యం (202) ',' 24 వ అత్యంత ప్లేయర్ ఆఫ్ ది సిరీస్ అవార్డులు (4) ',' 25 వ ఓల్డెస్ట్ క్రీడాకారులు (41y 171d) ',' 9 వ లాంగెస్ట్ కెరీర్లు (18y 137d) ',' 14 వ వరుస అన్ని టాస్ గెలిచిన (3) ',' 18 వ పురాతన కాప్టెన్ (39y 304d) ',' కెప్టెన్సీ తొలి"&amp;" 25 పురాతన కాప్టెన్ (35y 43D) ']")</f>
        <v>[ '47 వ ఒక సిరీస్లో అత్యధిక పరుగులు (471)', '39 వ ఒక జట్టు (4) వ్యతిరేకంగా అత్యధిక వందలు' '19 వ అత్యంత వృద్ధ ఆటగాడు వంద స్కోర్ (36y 306d)', 'వరుస ఇన్నింగ్స్లో 11 వ యాభైల్లో (5)', 'ఒక డక్ లేకుండా 10 వ వరుస ఇన్నింగ్స్ (86)', '32 వ అతి తక్కువ బాతులు కెరీర్ లో (30.5)', '21 వ లాంగెస్ట్ వ్యక్తిగత ఇన్నింగ్స్ (బంతులతో) (164) ',' 34 వ 2000 పరుగులు వేగంగా (56) ',' 13 వ వేగవంతమైన 3000 పరుగులు (76) ',' 19 వ వేగవంతమైన 4000 పరుగులు (108) ',' 1 వ అత్యుత్తమ బౌలింగ్ ఇన్నింగ్స్ లో విశ్లేషించడం (1/0) ',' రెండవ వికెట్కు 39 వ అత్యధిక భాగస్వామ్యం (202) ',' 24 వ అత్యంత ప్లేయర్ ఆఫ్ ది సిరీస్ అవార్డులు (4) ',' 25 వ ఓల్డెస్ట్ క్రీడాకారులు (41y 171d) ',' 9 వ లాంగెస్ట్ కెరీర్లు (18y 137d) ',' 14 వ వరుస అన్ని టాస్ గెలిచిన (3) ',' 18 వ పురాతన కాప్టెన్ (39y 304d) ',' కెప్టెన్సీ తొలి 25 పురాతన కాప్టెన్ (35y 43D) ']</v>
      </c>
      <c r="G3734" s="2"/>
      <c r="H3734" s="2" t="str">
        <f>IFERROR(__xludf.DUMMYFUNCTION("IF(G3734&lt;&gt;"""", GOOGLETRANSLATE(G3734, ""en"", ""te""),"""")"),"")</f>
        <v/>
      </c>
      <c r="I3734" s="3"/>
    </row>
    <row r="3735" customHeight="1" spans="1:9">
      <c r="A3735" s="2"/>
      <c r="B3735" s="2" t="str">
        <f>IFERROR(__xludf.DUMMYFUNCTION("IF(A3735&lt;&gt;"""", GOOGLETRANSLATE(A3735, ""en"", ""te""),"""")"),"")</f>
        <v/>
      </c>
      <c r="C3735" s="2"/>
      <c r="D3735" s="2" t="str">
        <f>IFERROR(__xludf.DUMMYFUNCTION("IF(C3735&lt;&gt;"""", GOOGLETRANSLATE(C3735, ""en"", ""te""),"""")"),"")</f>
        <v/>
      </c>
      <c r="E3735" s="2"/>
      <c r="F3735" s="2" t="str">
        <f>IFERROR(__xludf.DUMMYFUNCTION("IF(E3735&lt;&gt;"""", GOOGLETRANSLATE(E3735, ""en"", ""te""),"""")"),"")</f>
        <v/>
      </c>
      <c r="G3735" s="2"/>
      <c r="H3735" s="2" t="str">
        <f>IFERROR(__xludf.DUMMYFUNCTION("IF(G3735&lt;&gt;"""", GOOGLETRANSLATE(G3735, ""en"", ""te""),"""")"),"")</f>
        <v/>
      </c>
      <c r="I3735" s="3"/>
    </row>
    <row r="3736" customHeight="1" spans="1:9">
      <c r="A3736" s="2"/>
      <c r="B3736" s="2" t="str">
        <f>IFERROR(__xludf.DUMMYFUNCTION("IF(A3736&lt;&gt;"""", GOOGLETRANSLATE(A3736, ""en"", ""te""),"""")"),"")</f>
        <v/>
      </c>
      <c r="C3736" s="2"/>
      <c r="D3736" s="2" t="str">
        <f>IFERROR(__xludf.DUMMYFUNCTION("IF(C3736&lt;&gt;"""", GOOGLETRANSLATE(C3736, ""en"", ""te""),"""")"),"")</f>
        <v/>
      </c>
      <c r="E3736" s="2"/>
      <c r="F3736" s="2" t="str">
        <f>IFERROR(__xludf.DUMMYFUNCTION("IF(E3736&lt;&gt;"""", GOOGLETRANSLATE(E3736, ""en"", ""te""),"""")"),"")</f>
        <v/>
      </c>
      <c r="G3736" s="2"/>
      <c r="H3736" s="2" t="str">
        <f>IFERROR(__xludf.DUMMYFUNCTION("IF(G3736&lt;&gt;"""", GOOGLETRANSLATE(G3736, ""en"", ""te""),"""")"),"")</f>
        <v/>
      </c>
      <c r="I3736" s="3"/>
    </row>
    <row r="3737" customHeight="1" spans="1:9">
      <c r="A3737" s="2" t="s">
        <v>2588</v>
      </c>
      <c r="B3737" s="2" t="str">
        <f>IFERROR(__xludf.DUMMYFUNCTION("IF(A3737&lt;&gt;"""", GOOGLETRANSLATE(A3737, ""en"", ""te""),"""")"),"[ 'ఇన్నింగ్స్ లో 4 వ అత్యధిక పరుగులు (బ్యాటింగ్ స్థానంలో ప్రకారం) (31 *)', '7 వ ఉత్తమ కెరీర్ సమ్మె రేటు (51.4)', '7 వ అత్యధిక వికెట్లు తీసుకున్న ఎల్బిడబ్ల్యు (10)', '10 వ అత్యుత్తమ బౌలింగ్ ఇన్నింగ్స్ లో విశ్లేషించడం ( 2/2) ',' 7 వ అత్యంత ఐదు-వికెట్ల లో-ఒక"&amp;"-ఇన్నింగ్స్ కెరీర్ లో ఒక ఇన్నింగ్స్ లో (2) ',' 4 వ అత్యధిక క్యాచ్లు (3) ']")</f>
        <v>[ 'ఇన్నింగ్స్ లో 4 వ అత్యధిక పరుగులు (బ్యాటింగ్ స్థానంలో ప్రకారం) (31 *)', '7 వ ఉత్తమ కెరీర్ సమ్మె రేటు (51.4)', '7 వ అత్యధిక వికెట్లు తీసుకున్న ఎల్బిడబ్ల్యు (10)', '10 వ అత్యుత్తమ బౌలింగ్ ఇన్నింగ్స్ లో విశ్లేషించడం ( 2/2) ',' 7 వ అత్యంత ఐదు-వికెట్ల లో-ఒక-ఇన్నింగ్స్ కెరీర్ లో ఒక ఇన్నింగ్స్ లో (2) ',' 4 వ అత్యధిక క్యాచ్లు (3) ']</v>
      </c>
      <c r="C3737" s="2" t="s">
        <v>2589</v>
      </c>
      <c r="D3737" s="2" t="str">
        <f>IFERROR(__xludf.DUMMYFUNCTION("IF(C3737&lt;&gt;"""", GOOGLETRANSLATE(C3737, ""en"", ""te""),"""")"),"[ '4 వ అత్యంత ఇన్నింగ్స్ లో నడుస్తుంది (బ్యాటింగ్ స్థానం) (31 *)' 'ఒక మ్యాచ్లో 11 వ బెస్ట్ ఫిగర్స్ (9)', '25 వ కెరీర్ లో అత్యధిక వికెట్లు (29)', ఒకే నేలపై, '14 వ అత్యధిక వికెట్లు (10) ',' పరాజయం వైపు (4) ',' 17 వ పరాజయం వైపు ఒక మ్యాచ్ను ఉత్తమ బొమ్మలు ("&amp;"5) ',' 20 వ ఉత్తమ కెరీర్ బౌలింగ్ చేస్తున్నప్పుడు ఒక ఇన్నింగ్స్ లో 15 వ బెస్ట్ ఫిగర్స్ సగటు (18.93) ', '7 వ ఉత్తమ కెరీర్ సమ్మె రేటు (51.4)', 'ఐదు వికెట్ల లో-ఒక-ఇన్నింగ్స్ తీసుకోవాలని 13 వ పిన్న వయస్కుడిగా నిలిచాడు (22y 270d)', '21 వ అత్యధిక వికెట్లు తీసుకు"&amp;"న్న ఆకర్షించింది (15) ',' 14 వ అత్యధిక వికెట్లు తీసుకున్న పట్టుకుంటే వికెట్కీపర్గా (5) ',' 7 వ అత్యధిక వికెట్లు తీసుకున్న ఎల్బిడబ్ల్యు (10) తొమ్మిదవ వికెట్కు ',' 28th అత్యధిక భాగస్వామ్యం (41) ',' 11 వ పిన్న క్రీడాకారులు (17y 85d) ']")</f>
        <v>[ '4 వ అత్యంత ఇన్నింగ్స్ లో నడుస్తుంది (బ్యాటింగ్ స్థానం) (31 *)' 'ఒక మ్యాచ్లో 11 వ బెస్ట్ ఫిగర్స్ (9)', '25 వ కెరీర్ లో అత్యధిక వికెట్లు (29)', ఒకే నేలపై, '14 వ అత్యధిక వికెట్లు (10) ',' పరాజయం వైపు (4) ',' 17 వ పరాజయం వైపు ఒక మ్యాచ్ను ఉత్తమ బొమ్మలు (5) ',' 20 వ ఉత్తమ కెరీర్ బౌలింగ్ చేస్తున్నప్పుడు ఒక ఇన్నింగ్స్ లో 15 వ బెస్ట్ ఫిగర్స్ సగటు (18.93) ', '7 వ ఉత్తమ కెరీర్ సమ్మె రేటు (51.4)', 'ఐదు వికెట్ల లో-ఒక-ఇన్నింగ్స్ తీసుకోవాలని 13 వ పిన్న వయస్కుడిగా నిలిచాడు (22y 270d)', '21 వ అత్యధిక వికెట్లు తీసుకున్న ఆకర్షించింది (15) ',' 14 వ అత్యధిక వికెట్లు తీసుకున్న పట్టుకుంటే వికెట్కీపర్గా (5) ',' 7 వ అత్యధిక వికెట్లు తీసుకున్న ఎల్బిడబ్ల్యు (10) తొమ్మిదవ వికెట్కు ',' 28th అత్యధిక భాగస్వామ్యం (41) ',' 11 వ పిన్న క్రీడాకారులు (17y 85d) ']</v>
      </c>
      <c r="E3737" s="2" t="s">
        <v>2590</v>
      </c>
      <c r="F3737" s="2" t="str">
        <f>IFERROR(__xludf.DUMMYFUNCTION("IF(E3737&lt;&gt;"""", GOOGLETRANSLATE(E3737, ""en"", ""te""),"""")"),"[ '13 వ ఇన్నింగ్స్ లో అత్యధిక పరుగులు (బ్యాటింగ్ స్థానంలో ప్రకారం) (26)', '18 వ కెరీర్ లో అత్యధిక వికెట్లు (101)', '30 వ ఉత్తమ ఇన్నింగ్స్ లో సంఖ్యలు (5/14)', '27 ఒక క్యాలెండర్ లో అత్యధిక వికెట్లు సంవత్సరం (23) ',' 10 వ అత్యుత్తమ ఇన్నింగ్స్ లో బౌలింగ్ విశ్"&amp;"లేషణలు (2/2) ',' ఇన్నింగ్స్ లో 26 వ ఉత్తమ ఆర్థిక రేటు (0.40) ',' 7 వ అత్యంత ఐదు-వికెట్ల లో-ఒక-ఇన్నింగ్స్ కెరీర్లో ( 2) ',' 25 వ అత్యంత నాలుగు వికెట్లు-ఇన్-ఒక-ఇన్నింగ్స్ కెరీర్లో (4) ',' ఐదు వికెట్ల లో-ఒక-ఇన్నింగ్స్ తీసుకోవాలని 8 వ పిన్న వయస్కుడిగా నిలిచాడ"&amp;"ు (19y 86d) ',' 23 వ బంతులను బౌలింగ్ చేశాడు కెరీర్లో (3767) ',' 24 వ కెరీర్ లో సాధించిన అత్యధిక పరుగులు (2345) ',' 31 బౌలర్ / బ్యాట్స్ కలయికలు (5) ',' 18 వ అత్యధిక వికెట్లు తీసుకున్న బౌల్డ్ (27) ',' 22 వ అత్యధిక వికెట్లు తీసుకున్న ఆకర్షించింది (54) ',' 31"&amp;" అత్యధిక వికెట్లు తీసుకున్న క్యాచ్ మరియు బౌల్డ్ (5) ',' 19 వ అత్యధిక వికెట్లు ఒక ఫీల్డర్ చేత క్యాచ్ తీసుకున్న (45) ',' 18 వ అత్యధిక వికెట్లు తీసుకున్న ఎల్బిడబ్ల్యు (17) ',' 4 వ ఇన్నింగ్స్ లో అత్యధిక క్యాచ్లు (3) ',' తొమ్మిదవ వికెట్కు 46 వ అత్యధిక భాగస్వామ"&amp;"్యం (35) ',' పదవ వికెట్కు 28 అత్యధిక భాగస్వామ్యం (29) ',' 30 వ పిన్న క్రీడాకారులు (16y 81d) ']")</f>
        <v>[ '13 వ ఇన్నింగ్స్ లో అత్యధిక పరుగులు (బ్యాటింగ్ స్థానంలో ప్రకారం) (26)', '18 వ కెరీర్ లో అత్యధిక వికెట్లు (101)', '30 వ ఉత్తమ ఇన్నింగ్స్ లో సంఖ్యలు (5/14)', '27 ఒక క్యాలెండర్ లో అత్యధిక వికెట్లు సంవత్సరం (23) ',' 10 వ అత్యుత్తమ ఇన్నింగ్స్ లో బౌలింగ్ విశ్లేషణలు (2/2) ',' ఇన్నింగ్స్ లో 26 వ ఉత్తమ ఆర్థిక రేటు (0.40) ',' 7 వ అత్యంత ఐదు-వికెట్ల లో-ఒక-ఇన్నింగ్స్ కెరీర్లో ( 2) ',' 25 వ అత్యంత నాలుగు వికెట్లు-ఇన్-ఒక-ఇన్నింగ్స్ కెరీర్లో (4) ',' ఐదు వికెట్ల లో-ఒక-ఇన్నింగ్స్ తీసుకోవాలని 8 వ పిన్న వయస్కుడిగా నిలిచాడు (19y 86d) ',' 23 వ బంతులను బౌలింగ్ చేశాడు కెరీర్లో (3767) ',' 24 వ కెరీర్ లో సాధించిన అత్యధిక పరుగులు (2345) ',' 31 బౌలర్ / బ్యాట్స్ కలయికలు (5) ',' 18 వ అత్యధిక వికెట్లు తీసుకున్న బౌల్డ్ (27) ',' 22 వ అత్యధిక వికెట్లు తీసుకున్న ఆకర్షించింది (54) ',' 31 అత్యధిక వికెట్లు తీసుకున్న క్యాచ్ మరియు బౌల్డ్ (5) ',' 19 వ అత్యధిక వికెట్లు ఒక ఫీల్డర్ చేత క్యాచ్ తీసుకున్న (45) ',' 18 వ అత్యధిక వికెట్లు తీసుకున్న ఎల్బిడబ్ల్యు (17) ',' 4 వ ఇన్నింగ్స్ లో అత్యధిక క్యాచ్లు (3) ',' తొమ్మిదవ వికెట్కు 46 వ అత్యధిక భాగస్వామ్యం (35) ',' పదవ వికెట్కు 28 అత్యధిక భాగస్వామ్యం (29) ',' 30 వ పిన్న క్రీడాకారులు (16y 81d) ']</v>
      </c>
      <c r="G3737" s="2" t="s">
        <v>2591</v>
      </c>
      <c r="H3737" s="2" t="str">
        <f>IFERROR(__xludf.DUMMYFUNCTION("IF(G3737&lt;&gt;"""", GOOGLETRANSLATE(G3737, ""en"", ""te""),"""")"),"[ 'కెరీర్లో 41 వ అత్యంత పనికత్తెలయొద్ద (5)' 'ఇన్నింగ్స్ లో 12 వ అత్యంత పనికత్తెలయొద్ద (2)' '44 వ అత్యుత్తమ విశ్లేషణలు ఇన్నింగ్స్ లో బౌలింగ్ (2/4)',]")</f>
        <v>[ 'కెరీర్లో 41 వ అత్యంత పనికత్తెలయొద్ద (5)' 'ఇన్నింగ్స్ లో 12 వ అత్యంత పనికత్తెలయొద్ద (2)' '44 వ అత్యుత్తమ విశ్లేషణలు ఇన్నింగ్స్ లో బౌలింగ్ (2/4)',]</v>
      </c>
      <c r="I3737" s="3"/>
    </row>
    <row r="3738" customHeight="1" spans="1:9">
      <c r="A3738" s="2"/>
      <c r="B3738" s="2" t="str">
        <f>IFERROR(__xludf.DUMMYFUNCTION("IF(A3738&lt;&gt;"""", GOOGLETRANSLATE(A3738, ""en"", ""te""),"""")"),"")</f>
        <v/>
      </c>
      <c r="C3738" s="2"/>
      <c r="D3738" s="2" t="str">
        <f>IFERROR(__xludf.DUMMYFUNCTION("IF(C3738&lt;&gt;"""", GOOGLETRANSLATE(C3738, ""en"", ""te""),"""")"),"")</f>
        <v/>
      </c>
      <c r="E3738" s="2"/>
      <c r="F3738" s="2" t="str">
        <f>IFERROR(__xludf.DUMMYFUNCTION("IF(E3738&lt;&gt;"""", GOOGLETRANSLATE(E3738, ""en"", ""te""),"""")"),"")</f>
        <v/>
      </c>
      <c r="G3738" s="2"/>
      <c r="H3738" s="2" t="str">
        <f>IFERROR(__xludf.DUMMYFUNCTION("IF(G3738&lt;&gt;"""", GOOGLETRANSLATE(G3738, ""en"", ""te""),"""")"),"")</f>
        <v/>
      </c>
      <c r="I3738" s="3"/>
    </row>
    <row r="3739" customHeight="1" spans="1:9">
      <c r="A3739" s="2"/>
      <c r="B3739" s="2" t="str">
        <f>IFERROR(__xludf.DUMMYFUNCTION("IF(A3739&lt;&gt;"""", GOOGLETRANSLATE(A3739, ""en"", ""te""),"""")"),"")</f>
        <v/>
      </c>
      <c r="C3739" s="2" t="s">
        <v>2592</v>
      </c>
      <c r="D3739" s="2" t="str">
        <f>IFERROR(__xludf.DUMMYFUNCTION("IF(C3739&lt;&gt;"""", GOOGLETRANSLATE(C3739, ""en"", ""te""),"""")"),"[ 'తొలి 24 ఓల్డెస్ట్ క్రీడాకారులు (38y 283d)']")</f>
        <v>[ 'తొలి 24 ఓల్డెస్ట్ క్రీడాకారులు (38y 283d)']</v>
      </c>
      <c r="E3739" s="2"/>
      <c r="F3739" s="2" t="str">
        <f>IFERROR(__xludf.DUMMYFUNCTION("IF(E3739&lt;&gt;"""", GOOGLETRANSLATE(E3739, ""en"", ""te""),"""")"),"")</f>
        <v/>
      </c>
      <c r="G3739" s="2"/>
      <c r="H3739" s="2" t="str">
        <f>IFERROR(__xludf.DUMMYFUNCTION("IF(G3739&lt;&gt;"""", GOOGLETRANSLATE(G3739, ""en"", ""te""),"""")"),"")</f>
        <v/>
      </c>
      <c r="I3739" s="3"/>
    </row>
    <row r="3740" customHeight="1" spans="1:9">
      <c r="A3740" s="2"/>
      <c r="B3740" s="2" t="str">
        <f>IFERROR(__xludf.DUMMYFUNCTION("IF(A3740&lt;&gt;"""", GOOGLETRANSLATE(A3740, ""en"", ""te""),"""")"),"")</f>
        <v/>
      </c>
      <c r="C3740" s="2"/>
      <c r="D3740" s="2" t="str">
        <f>IFERROR(__xludf.DUMMYFUNCTION("IF(C3740&lt;&gt;"""", GOOGLETRANSLATE(C3740, ""en"", ""te""),"""")"),"")</f>
        <v/>
      </c>
      <c r="E3740" s="2"/>
      <c r="F3740" s="2" t="str">
        <f>IFERROR(__xludf.DUMMYFUNCTION("IF(E3740&lt;&gt;"""", GOOGLETRANSLATE(E3740, ""en"", ""te""),"""")"),"")</f>
        <v/>
      </c>
      <c r="G3740" s="2"/>
      <c r="H3740" s="2" t="str">
        <f>IFERROR(__xludf.DUMMYFUNCTION("IF(G3740&lt;&gt;"""", GOOGLETRANSLATE(G3740, ""en"", ""te""),"""")"),"")</f>
        <v/>
      </c>
      <c r="I3740" s="3"/>
    </row>
    <row r="3741" customHeight="1" spans="1:9">
      <c r="A3741" s="2"/>
      <c r="B3741" s="2" t="str">
        <f>IFERROR(__xludf.DUMMYFUNCTION("IF(A3741&lt;&gt;"""", GOOGLETRANSLATE(A3741, ""en"", ""te""),"""")"),"")</f>
        <v/>
      </c>
      <c r="C3741" s="2" t="s">
        <v>2593</v>
      </c>
      <c r="D3741" s="2" t="str">
        <f>IFERROR(__xludf.DUMMYFUNCTION("IF(C3741&lt;&gt;"""", GOOGLETRANSLATE(C3741, ""en"", ""te""),"""")"),"[ 'ప్రదర్శనల మధ్య 37 వ లాంగెస్ట్ వ్యవధిలో (9y 0 రో)', '23 వ లాంగెస్ట్ క్రీడాకారులు నివసించారు (93y 220d)']")</f>
        <v>[ 'ప్రదర్శనల మధ్య 37 వ లాంగెస్ట్ వ్యవధిలో (9y 0 రో)', '23 వ లాంగెస్ట్ క్రీడాకారులు నివసించారు (93y 220d)']</v>
      </c>
      <c r="E3741" s="2"/>
      <c r="F3741" s="2" t="str">
        <f>IFERROR(__xludf.DUMMYFUNCTION("IF(E3741&lt;&gt;"""", GOOGLETRANSLATE(E3741, ""en"", ""te""),"""")"),"")</f>
        <v/>
      </c>
      <c r="G3741" s="2"/>
      <c r="H3741" s="2" t="str">
        <f>IFERROR(__xludf.DUMMYFUNCTION("IF(G3741&lt;&gt;"""", GOOGLETRANSLATE(G3741, ""en"", ""te""),"""")"),"")</f>
        <v/>
      </c>
      <c r="I3741" s="3"/>
    </row>
    <row r="3742" customHeight="1" spans="1:9">
      <c r="A3742" s="2"/>
      <c r="B3742" s="2" t="str">
        <f>IFERROR(__xludf.DUMMYFUNCTION("IF(A3742&lt;&gt;"""", GOOGLETRANSLATE(A3742, ""en"", ""te""),"""")"),"")</f>
        <v/>
      </c>
      <c r="C3742" s="2"/>
      <c r="D3742" s="2" t="str">
        <f>IFERROR(__xludf.DUMMYFUNCTION("IF(C3742&lt;&gt;"""", GOOGLETRANSLATE(C3742, ""en"", ""te""),"""")"),"")</f>
        <v/>
      </c>
      <c r="E3742" s="2"/>
      <c r="F3742" s="2" t="str">
        <f>IFERROR(__xludf.DUMMYFUNCTION("IF(E3742&lt;&gt;"""", GOOGLETRANSLATE(E3742, ""en"", ""te""),"""")"),"")</f>
        <v/>
      </c>
      <c r="G3742" s="2"/>
      <c r="H3742" s="2" t="str">
        <f>IFERROR(__xludf.DUMMYFUNCTION("IF(G3742&lt;&gt;"""", GOOGLETRANSLATE(G3742, ""en"", ""te""),"""")"),"")</f>
        <v/>
      </c>
      <c r="I3742" s="3"/>
    </row>
    <row r="3743" customHeight="1" spans="1:9">
      <c r="A3743" s="2"/>
      <c r="B3743" s="2" t="str">
        <f>IFERROR(__xludf.DUMMYFUNCTION("IF(A3743&lt;&gt;"""", GOOGLETRANSLATE(A3743, ""en"", ""te""),"""")"),"")</f>
        <v/>
      </c>
      <c r="C3743" s="2"/>
      <c r="D3743" s="2" t="str">
        <f>IFERROR(__xludf.DUMMYFUNCTION("IF(C3743&lt;&gt;"""", GOOGLETRANSLATE(C3743, ""en"", ""te""),"""")"),"")</f>
        <v/>
      </c>
      <c r="E3743" s="2"/>
      <c r="F3743" s="2" t="str">
        <f>IFERROR(__xludf.DUMMYFUNCTION("IF(E3743&lt;&gt;"""", GOOGLETRANSLATE(E3743, ""en"", ""te""),"""")"),"")</f>
        <v/>
      </c>
      <c r="G3743" s="2"/>
      <c r="H3743" s="2" t="str">
        <f>IFERROR(__xludf.DUMMYFUNCTION("IF(G3743&lt;&gt;"""", GOOGLETRANSLATE(G3743, ""en"", ""te""),"""")"),"")</f>
        <v/>
      </c>
      <c r="I3743" s="3"/>
    </row>
    <row r="3744" customHeight="1" spans="1:9">
      <c r="A3744" s="2" t="s">
        <v>2594</v>
      </c>
      <c r="B3744" s="2" t="str">
        <f>IFERROR(__xludf.DUMMYFUNCTION("IF(A3744&lt;&gt;"""", GOOGLETRANSLATE(A3744, ""en"", ""te""),"""")"),"[ '10 వ ఇన్నింగ్స్ లో అత్యధిక పరుగులు (బ్యాటింగ్ స్థానంలో ప్రకారం) (46 *)']")</f>
        <v>[ '10 వ ఇన్నింగ్స్ లో అత్యధిక పరుగులు (బ్యాటింగ్ స్థానంలో ప్రకారం) (46 *)']</v>
      </c>
      <c r="C3744" s="2" t="s">
        <v>2595</v>
      </c>
      <c r="D3744" s="2" t="str">
        <f>IFERROR(__xludf.DUMMYFUNCTION("IF(C3744&lt;&gt;"""", GOOGLETRANSLATE(C3744, ""en"", ""te""),"""")"),"[ '50 వ ఉత్తమ కెరీర్ సమ్మె రేటు (51.6)', '41 వ బౌలర్ / ఫీల్డర్ కలయికలు (41)', '39 వ 200 వికెట్లు (50) వేగంగా']")</f>
        <v>[ '50 వ ఉత్తమ కెరీర్ సమ్మె రేటు (51.6)', '41 వ బౌలర్ / ఫీల్డర్ కలయికలు (41)', '39 వ 200 వికెట్లు (50) వేగంగా']</v>
      </c>
      <c r="E3744" s="2" t="s">
        <v>2596</v>
      </c>
      <c r="F3744" s="2" t="str">
        <f>IFERROR(__xludf.DUMMYFUNCTION("IF(E3744&lt;&gt;"""", GOOGLETRANSLATE(E3744, ""en"", ""te""),"""")"),"[ '10 వ ఇన్నింగ్స్ లో అత్యధిక పరుగులు (బ్యాటింగ్ స్థానంలో ప్రకారం) (46 *)', '31 కెరీర్లో అత్యధిక వికెట్లు (235)', '42 వ అత్యధిక వికెట్లు వరుస (18)', '14 వ ఉత్తమ ఇన్నింగ్స్ ఉన్నప్పుడు గణాంకాలు పరాజయం వైపు (5) ',' 43 వ అత్యంత ఐదు-వికెట్ల లో-ఒక-ఇన్నింగ్స్ క"&amp;"ెరీర్లో (2) ',' 16 వ అత్యంత నాలుగు వికెట్లు-ఇన్-ఒక-ఇన్నింగ్స్ కెరీర్లో (12) ',' కెరీర్లో బౌల్డ్ 35 వ అత్యంత బంతుల్లో (8470) ',' 39 వ అత్యధిక పరుగులు కెరీర్లో సాధించిన (6209) ',' 44 వ బౌలర్ / ఫీల్డర్ కలయికలు (25) ', '21 వ అత్యధిక వికెట్లు తీసుకున్న బౌల్డ్ "&amp;"(60)', '28th అత్యధిక వికెట్లు తీసుకున్న క్యాచ్ (148) ',' 37 వ అత్యధిక వికెట్లు ఒక ఫీల్డర్ చేత క్యాచ్ తీసుకున్న (96) ',' 18 వ అత్యధిక వికెట్లు ఒక వికెట్ కీపర్ చే కాట్ తీసుకోకూడదు (52) ',' 31 అత్యధిక వికెట్లు తీసుకున్న ఎల్బిడబ్ల్యు (27) ', '21 వ 100 ఫాస్టెస"&amp;"్ట్ వికెట్లు (62) ',' వేగంగా 150 వికెట్లు పడగొట్టిన 17 (97) ',' 12 వ 200 వికెట్లు (134) ',' పదవ వికెట్కు 39 వ అత్యధిక భాగస్వామ్యం (50 *) కు వేగవంతమైన ']")</f>
        <v>[ '10 వ ఇన్నింగ్స్ లో అత్యధిక పరుగులు (బ్యాటింగ్ స్థానంలో ప్రకారం) (46 *)', '31 కెరీర్లో అత్యధిక వికెట్లు (235)', '42 వ అత్యధిక వికెట్లు వరుస (18)', '14 వ ఉత్తమ ఇన్నింగ్స్ ఉన్నప్పుడు గణాంకాలు పరాజయం వైపు (5) ',' 43 వ అత్యంత ఐదు-వికెట్ల లో-ఒక-ఇన్నింగ్స్ కెరీర్లో (2) ',' 16 వ అత్యంత నాలుగు వికెట్లు-ఇన్-ఒక-ఇన్నింగ్స్ కెరీర్లో (12) ',' కెరీర్లో బౌల్డ్ 35 వ అత్యంత బంతుల్లో (8470) ',' 39 వ అత్యధిక పరుగులు కెరీర్లో సాధించిన (6209) ',' 44 వ బౌలర్ / ఫీల్డర్ కలయికలు (25) ', '21 వ అత్యధిక వికెట్లు తీసుకున్న బౌల్డ్ (60)', '28th అత్యధిక వికెట్లు తీసుకున్న క్యాచ్ (148) ',' 37 వ అత్యధిక వికెట్లు ఒక ఫీల్డర్ చేత క్యాచ్ తీసుకున్న (96) ',' 18 వ అత్యధిక వికెట్లు ఒక వికెట్ కీపర్ చే కాట్ తీసుకోకూడదు (52) ',' 31 అత్యధిక వికెట్లు తీసుకున్న ఎల్బిడబ్ల్యు (27) ', '21 వ 100 ఫాస్టెస్ట్ వికెట్లు (62) ',' వేగంగా 150 వికెట్లు పడగొట్టిన 17 (97) ',' 12 వ 200 వికెట్లు (134) ',' పదవ వికెట్కు 39 వ అత్యధిక భాగస్వామ్యం (50 *) కు వేగవంతమైన ']</v>
      </c>
      <c r="G3744" s="2" t="s">
        <v>2597</v>
      </c>
      <c r="H3744" s="2" t="str">
        <f>IFERROR(__xludf.DUMMYFUNCTION("IF(G3744&lt;&gt;"""", GOOGLETRANSLATE(G3744, ""en"", ""te""),"""")"),"[ '17 వ పురాతన దేశం ఆటగాళ్ళు (50y 178d)']")</f>
        <v>[ '17 వ పురాతన దేశం ఆటగాళ్ళు (50y 178d)']</v>
      </c>
      <c r="I3744" s="3"/>
    </row>
    <row r="3745" customHeight="1" spans="1:9">
      <c r="A3745" s="2" t="s">
        <v>2598</v>
      </c>
      <c r="B3745" s="2" t="str">
        <f>IFERROR(__xludf.DUMMYFUNCTION("IF(A3745&lt;&gt;"""", GOOGLETRANSLATE(A3745, ""en"", ""te""),"""")"),"[ 'ఇన్నింగ్స్ లో 4 వ అత్యధిక పరుగులు (బ్యాటింగ్ స్థానంలో ప్రకారం) (65)' 'చాలా 5 వ ఇన్నింగ్స్ లో సాధించిన బైస్ (18)',]")</f>
        <v>[ 'ఇన్నింగ్స్ లో 4 వ అత్యధిక పరుగులు (బ్యాటింగ్ స్థానంలో ప్రకారం) (65)' 'చాలా 5 వ ఇన్నింగ్స్ లో సాధించిన బైస్ (18)',]</v>
      </c>
      <c r="C3745" s="2" t="s">
        <v>2599</v>
      </c>
      <c r="D3745" s="2" t="str">
        <f>IFERROR(__xludf.DUMMYFUNCTION("IF(C3745&lt;&gt;"""", GOOGLETRANSLATE(C3745, ""en"", ""te""),"""")"),"[ 'ఇన్నింగ్స్ లో 4 వ అత్యధిక పరుగులు (బ్యాటింగ్ స్థానంలో ప్రకారం) (65)', 'ఎనిమిదవ వికెట్కు 15 అత్యధిక భాగస్వామ్యం (60)', 'చాలా 5 వ బైలు ఇన్నింగ్స్ లో సాధించిన (18)']")</f>
        <v>[ 'ఇన్నింగ్స్ లో 4 వ అత్యధిక పరుగులు (బ్యాటింగ్ స్థానంలో ప్రకారం) (65)', 'ఎనిమిదవ వికెట్కు 15 అత్యధిక భాగస్వామ్యం (60)', 'చాలా 5 వ బైలు ఇన్నింగ్స్ లో సాధించిన (18)']</v>
      </c>
      <c r="E3745" s="2"/>
      <c r="F3745" s="2" t="str">
        <f>IFERROR(__xludf.DUMMYFUNCTION("IF(E3745&lt;&gt;"""", GOOGLETRANSLATE(E3745, ""en"", ""te""),"""")"),"")</f>
        <v/>
      </c>
      <c r="G3745" s="2"/>
      <c r="H3745" s="2" t="str">
        <f>IFERROR(__xludf.DUMMYFUNCTION("IF(G3745&lt;&gt;"""", GOOGLETRANSLATE(G3745, ""en"", ""te""),"""")"),"")</f>
        <v/>
      </c>
      <c r="I3745" s="3"/>
    </row>
    <row r="3746" customHeight="1" spans="1:9">
      <c r="A3746" s="2"/>
      <c r="B3746" s="2" t="str">
        <f>IFERROR(__xludf.DUMMYFUNCTION("IF(A3746&lt;&gt;"""", GOOGLETRANSLATE(A3746, ""en"", ""te""),"""")"),"")</f>
        <v/>
      </c>
      <c r="C3746" s="2"/>
      <c r="D3746" s="2" t="str">
        <f>IFERROR(__xludf.DUMMYFUNCTION("IF(C3746&lt;&gt;"""", GOOGLETRANSLATE(C3746, ""en"", ""te""),"""")"),"")</f>
        <v/>
      </c>
      <c r="E3746" s="2"/>
      <c r="F3746" s="2" t="str">
        <f>IFERROR(__xludf.DUMMYFUNCTION("IF(E3746&lt;&gt;"""", GOOGLETRANSLATE(E3746, ""en"", ""te""),"""")"),"")</f>
        <v/>
      </c>
      <c r="G3746" s="2"/>
      <c r="H3746" s="2" t="str">
        <f>IFERROR(__xludf.DUMMYFUNCTION("IF(G3746&lt;&gt;"""", GOOGLETRANSLATE(G3746, ""en"", ""te""),"""")"),"")</f>
        <v/>
      </c>
      <c r="I3746" s="3"/>
    </row>
    <row r="3747" customHeight="1" spans="1:9">
      <c r="A3747" s="2" t="s">
        <v>2600</v>
      </c>
      <c r="B3747" s="2" t="str">
        <f>IFERROR(__xludf.DUMMYFUNCTION("IF(A3747&lt;&gt;"""", GOOGLETRANSLATE(A3747, ""en"", ""te""),"""")"),"[ 'ప్రదర్శనలు (17y 316d) మధ్య 2 వ లాంగెస్ట్ వ్యవధిలో', 'హండ్రెడ్ తొలి (119)', 'హండ్రెడ్ మరియు ఒక మ్యాచ్లో ఒక డక్', 'ప్రదర్శనలు (17y 316d) మధ్య 1st లాంగెస్ట్ వ్యవధిలో']")</f>
        <v>[ 'ప్రదర్శనలు (17y 316d) మధ్య 2 వ లాంగెస్ట్ వ్యవధిలో', 'హండ్రెడ్ తొలి (119)', 'హండ్రెడ్ మరియు ఒక మ్యాచ్లో ఒక డక్', 'ప్రదర్శనలు (17y 316d) మధ్య 1st లాంగెస్ట్ వ్యవధిలో']</v>
      </c>
      <c r="C3747" s="2" t="s">
        <v>2601</v>
      </c>
      <c r="D3747" s="2" t="str">
        <f>IFERROR(__xludf.DUMMYFUNCTION("IF(C3747&lt;&gt;"""", GOOGLETRANSLATE(C3747, ""en"", ""te""),"""")"),"[ '16 వ అత్యంత తొలి మ్యాచ్లో పరుగులు (193)', '4 వ ఓల్డెస్ట్ క్రీడాకారులు (50y 303d)', '8 వ లాంగెస్ట్ కెరీర్లు (22y 120d)', 'ప్రదర్శనల మధ్య 2 వ లాంగెస్ట్ వ్యవధిలో (17y 316d)', '33 వ వరుస మ్యాచ్లు ప్రదర్శనల మధ్య (60) జట్టు తప్పిన ']")</f>
        <v>[ '16 వ అత్యంత తొలి మ్యాచ్లో పరుగులు (193)', '4 వ ఓల్డెస్ట్ క్రీడాకారులు (50y 303d)', '8 వ లాంగెస్ట్ కెరీర్లు (22y 120d)', 'ప్రదర్శనల మధ్య 2 వ లాంగెస్ట్ వ్యవధిలో (17y 316d)', '33 వ వరుస మ్యాచ్లు ప్రదర్శనల మధ్య (60) జట్టు తప్పిన ']</v>
      </c>
      <c r="E3747" s="2"/>
      <c r="F3747" s="2" t="str">
        <f>IFERROR(__xludf.DUMMYFUNCTION("IF(E3747&lt;&gt;"""", GOOGLETRANSLATE(E3747, ""en"", ""te""),"""")"),"")</f>
        <v/>
      </c>
      <c r="G3747" s="2"/>
      <c r="H3747" s="2" t="str">
        <f>IFERROR(__xludf.DUMMYFUNCTION("IF(G3747&lt;&gt;"""", GOOGLETRANSLATE(G3747, ""en"", ""te""),"""")"),"")</f>
        <v/>
      </c>
      <c r="I3747" s="3"/>
    </row>
    <row r="3748" customHeight="1" spans="1:9">
      <c r="A3748" s="2" t="s">
        <v>2602</v>
      </c>
      <c r="B3748" s="2" t="str">
        <f>IFERROR(__xludf.DUMMYFUNCTION("IF(A3748&lt;&gt;"""", GOOGLETRANSLATE(A3748, ""en"", ""te""),"""")"),"[ '2 వ ఉత్తమ కెరీర్ ఆర్థిక రేటు (1.60)']")</f>
        <v>[ '2 వ ఉత్తమ కెరీర్ ఆర్థిక రేటు (1.60)']</v>
      </c>
      <c r="C3748" s="2" t="s">
        <v>2603</v>
      </c>
      <c r="D3748" s="2" t="str">
        <f>IFERROR(__xludf.DUMMYFUNCTION("IF(C3748&lt;&gt;"""", GOOGLETRANSLATE(C3748, ""en"", ""te""),"""")"),"[ '2 వ ఉత్తమ కెరీర్ ఆర్థిక రేటు (1.60)', '12 వ చెత్త కెరీర్లో సమ్మె రేటు (141.9)']")</f>
        <v>[ '2 వ ఉత్తమ కెరీర్ ఆర్థిక రేటు (1.60)', '12 వ చెత్త కెరీర్లో సమ్మె రేటు (141.9)']</v>
      </c>
      <c r="E3748" s="2"/>
      <c r="F3748" s="2" t="str">
        <f>IFERROR(__xludf.DUMMYFUNCTION("IF(E3748&lt;&gt;"""", GOOGLETRANSLATE(E3748, ""en"", ""te""),"""")"),"")</f>
        <v/>
      </c>
      <c r="G3748" s="2"/>
      <c r="H3748" s="2" t="str">
        <f>IFERROR(__xludf.DUMMYFUNCTION("IF(G3748&lt;&gt;"""", GOOGLETRANSLATE(G3748, ""en"", ""te""),"""")"),"")</f>
        <v/>
      </c>
      <c r="I3748" s="3"/>
    </row>
    <row r="3749" customHeight="1" spans="1:9">
      <c r="A3749" s="2" t="s">
        <v>9</v>
      </c>
      <c r="B3749" s="2" t="str">
        <f>IFERROR(__xludf.DUMMYFUNCTION("IF(A3749&lt;&gt;"""", GOOGLETRANSLATE(A3749, ""en"", ""te""),"""")"),"[ 'హండ్రెడ్ మరియు ఒక మ్యాచ్లో ఒక డక్']")</f>
        <v>[ 'హండ్రెడ్ మరియు ఒక మ్యాచ్లో ఒక డక్']</v>
      </c>
      <c r="C3749" s="2" t="s">
        <v>2604</v>
      </c>
      <c r="D3749" s="2" t="str">
        <f>IFERROR(__xludf.DUMMYFUNCTION("IF(C3749&lt;&gt;"""", GOOGLETRANSLATE(C3749, ""en"", ""te""),"""")"),"[ 'వరుస మ్యాచ్లలో 26 యాభైల్లో (7)', '39 వ వరుస మ్యాచ్లు ఒక జట్టు కెప్టెన్గా (23)', 'వరుస (3) లో అన్ని టాస్ గెలిచి 33 వ']")</f>
        <v>[ 'వరుస మ్యాచ్లలో 26 యాభైల్లో (7)', '39 వ వరుస మ్యాచ్లు ఒక జట్టు కెప్టెన్గా (23)', 'వరుస (3) లో అన్ని టాస్ గెలిచి 33 వ']</v>
      </c>
      <c r="E3749" s="2" t="s">
        <v>2605</v>
      </c>
      <c r="F3749" s="2" t="str">
        <f>IFERROR(__xludf.DUMMYFUNCTION("IF(E3749&lt;&gt;"""", GOOGLETRANSLATE(E3749, ""en"", ""te""),"""")"),"[ '35 వ అత్యంత కెప్టెన్ (354) ద్వారా సిరీస్లో పరుగులు']")</f>
        <v>[ '35 వ అత్యంత కెప్టెన్ (354) ద్వారా సిరీస్లో పరుగులు']</v>
      </c>
      <c r="G3749" s="2"/>
      <c r="H3749" s="2" t="str">
        <f>IFERROR(__xludf.DUMMYFUNCTION("IF(G3749&lt;&gt;"""", GOOGLETRANSLATE(G3749, ""en"", ""te""),"""")"),"")</f>
        <v/>
      </c>
      <c r="I3749" s="3"/>
    </row>
    <row r="3750" customHeight="1" spans="1:9">
      <c r="A3750" s="2"/>
      <c r="B3750" s="2" t="str">
        <f>IFERROR(__xludf.DUMMYFUNCTION("IF(A3750&lt;&gt;"""", GOOGLETRANSLATE(A3750, ""en"", ""te""),"""")"),"")</f>
        <v/>
      </c>
      <c r="C3750" s="2"/>
      <c r="D3750" s="2" t="str">
        <f>IFERROR(__xludf.DUMMYFUNCTION("IF(C3750&lt;&gt;"""", GOOGLETRANSLATE(C3750, ""en"", ""te""),"""")"),"")</f>
        <v/>
      </c>
      <c r="E3750" s="2"/>
      <c r="F3750" s="2" t="str">
        <f>IFERROR(__xludf.DUMMYFUNCTION("IF(E3750&lt;&gt;"""", GOOGLETRANSLATE(E3750, ""en"", ""te""),"""")"),"")</f>
        <v/>
      </c>
      <c r="G3750" s="2" t="s">
        <v>2606</v>
      </c>
      <c r="H3750" s="2" t="str">
        <f>IFERROR(__xludf.DUMMYFUNCTION("IF(G3750&lt;&gt;"""", GOOGLETRANSLATE(G3750, ""en"", ""te""),"""")"),"[ '13 వ చెత్త కెరీర్ బౌలింగ్ సరాసరి (అర్హత లేకుండా) (92.00)']")</f>
        <v>[ '13 వ చెత్త కెరీర్ బౌలింగ్ సరాసరి (అర్హత లేకుండా) (92.00)']</v>
      </c>
      <c r="I3750" s="3"/>
    </row>
    <row r="3751" customHeight="1" spans="1:9">
      <c r="A3751" s="2"/>
      <c r="B3751" s="2" t="str">
        <f>IFERROR(__xludf.DUMMYFUNCTION("IF(A3751&lt;&gt;"""", GOOGLETRANSLATE(A3751, ""en"", ""te""),"""")"),"")</f>
        <v/>
      </c>
      <c r="C3751" s="2" t="s">
        <v>2607</v>
      </c>
      <c r="D3751" s="2" t="str">
        <f>IFERROR(__xludf.DUMMYFUNCTION("IF(C3751&lt;&gt;"""", GOOGLETRANSLATE(C3751, ""en"", ""te""),"""")"),"[ '19 అత్యుత్తమ బౌలింగ్ ఇన్నింగ్స్ లో విశ్లేషించడం (5/15)', 'ఇన్నింగ్స్ లో 35 వ ఉత్తమ సమ్మె రేటు (8.4)']")</f>
        <v>[ '19 అత్యుత్తమ బౌలింగ్ ఇన్నింగ్స్ లో విశ్లేషించడం (5/15)', 'ఇన్నింగ్స్ లో 35 వ ఉత్తమ సమ్మె రేటు (8.4)']</v>
      </c>
      <c r="E3751" s="2"/>
      <c r="F3751" s="2" t="str">
        <f>IFERROR(__xludf.DUMMYFUNCTION("IF(E3751&lt;&gt;"""", GOOGLETRANSLATE(E3751, ""en"", ""te""),"""")"),"")</f>
        <v/>
      </c>
      <c r="G3751" s="2"/>
      <c r="H3751" s="2" t="str">
        <f>IFERROR(__xludf.DUMMYFUNCTION("IF(G3751&lt;&gt;"""", GOOGLETRANSLATE(G3751, ""en"", ""te""),"""")"),"")</f>
        <v/>
      </c>
      <c r="I3751" s="3"/>
    </row>
    <row r="3752" customHeight="1" spans="1:9">
      <c r="A3752" s="2"/>
      <c r="B3752" s="2" t="str">
        <f>IFERROR(__xludf.DUMMYFUNCTION("IF(A3752&lt;&gt;"""", GOOGLETRANSLATE(A3752, ""en"", ""te""),"""")"),"")</f>
        <v/>
      </c>
      <c r="C3752" s="2"/>
      <c r="D3752" s="2" t="str">
        <f>IFERROR(__xludf.DUMMYFUNCTION("IF(C3752&lt;&gt;"""", GOOGLETRANSLATE(C3752, ""en"", ""te""),"""")"),"")</f>
        <v/>
      </c>
      <c r="E3752" s="2"/>
      <c r="F3752" s="2" t="str">
        <f>IFERROR(__xludf.DUMMYFUNCTION("IF(E3752&lt;&gt;"""", GOOGLETRANSLATE(E3752, ""en"", ""te""),"""")"),"")</f>
        <v/>
      </c>
      <c r="G3752" s="2"/>
      <c r="H3752" s="2" t="str">
        <f>IFERROR(__xludf.DUMMYFUNCTION("IF(G3752&lt;&gt;"""", GOOGLETRANSLATE(G3752, ""en"", ""te""),"""")"),"")</f>
        <v/>
      </c>
      <c r="I3752" s="3"/>
    </row>
    <row r="3753" customHeight="1" spans="1:9">
      <c r="A3753" s="2" t="s">
        <v>2608</v>
      </c>
      <c r="B3753" s="2" t="str">
        <f>IFERROR(__xludf.DUMMYFUNCTION("IF(A3753&lt;&gt;"""", GOOGLETRANSLATE(A3753, ""en"", ""te""),"""")"),"[ 'హండ్రెడ్ తొలి (106)', 'హండ్రెడ్ మరియు ఒక మ్యాచ్లో తొంభై']")</f>
        <v>[ 'హండ్రెడ్ తొలి (106)', 'హండ్రెడ్ మరియు ఒక మ్యాచ్లో తొంభై']</v>
      </c>
      <c r="C3753" s="2" t="s">
        <v>2609</v>
      </c>
      <c r="D3753" s="2" t="str">
        <f>IFERROR(__xludf.DUMMYFUNCTION("IF(C3753&lt;&gt;"""", GOOGLETRANSLATE(C3753, ""en"", ""te""),"""")"),"[ '13 వ అత్యంత తొలి మ్యాచ్లో పరుగులు (199)', '6 వ తొంభై తొలి (93)', 'రెండవ వికెట్ (280) కోసం 27 అత్యధిక భాగస్వామ్యం']")</f>
        <v>[ '13 వ అత్యంత తొలి మ్యాచ్లో పరుగులు (199)', '6 వ తొంభై తొలి (93)', 'రెండవ వికెట్ (280) కోసం 27 అత్యధిక భాగస్వామ్యం']</v>
      </c>
      <c r="E3753" s="2"/>
      <c r="F3753" s="2" t="str">
        <f>IFERROR(__xludf.DUMMYFUNCTION("IF(E3753&lt;&gt;"""", GOOGLETRANSLATE(E3753, ""en"", ""te""),"""")"),"")</f>
        <v/>
      </c>
      <c r="G3753" s="2"/>
      <c r="H3753" s="2" t="str">
        <f>IFERROR(__xludf.DUMMYFUNCTION("IF(G3753&lt;&gt;"""", GOOGLETRANSLATE(G3753, ""en"", ""te""),"""")"),"")</f>
        <v/>
      </c>
      <c r="I3753" s="3"/>
    </row>
    <row r="3754" customHeight="1" spans="1:9">
      <c r="A3754" s="2" t="s">
        <v>2610</v>
      </c>
      <c r="B3754" s="2" t="str">
        <f>IFERROR(__xludf.DUMMYFUNCTION("IF(A3754&lt;&gt;"""", GOOGLETRANSLATE(A3754, ""en"", ""te""),"""")"),"[ 'కెప్టెన్సీ ప్రవేశం (41y 39d) 6 వ ఓల్డెస్ట్ కెప్టెన్లు' '10 వ అత్యంత వృద్ధ ఆటగాడు వంద స్కోర్ (41y 263d)', 'ఎనిమిదవ వికెట్ (217) కోసం 8 వ అత్యధిక భాగస్వామ్యం']")</f>
        <v>[ 'కెప్టెన్సీ ప్రవేశం (41y 39d) 6 వ ఓల్డెస్ట్ కెప్టెన్లు' '10 వ అత్యంత వృద్ధ ఆటగాడు వంద స్కోర్ (41y 263d)', 'ఎనిమిదవ వికెట్ (217) కోసం 8 వ అత్యధిక భాగస్వామ్యం']</v>
      </c>
      <c r="C3754" s="2" t="s">
        <v>2611</v>
      </c>
      <c r="D3754" s="2" t="str">
        <f>IFERROR(__xludf.DUMMYFUNCTION("IF(C3754&lt;&gt;"""", GOOGLETRANSLATE(C3754, ""en"", ""te""),"""")"),"[ '50 వ ఓల్డెస్ట్ క్రీడాకారులు (42y 1D' ఎనిమిదవ వికెట్ (217) కోసం 8 వ అత్యధిక భాగస్వామ్యం '' 10 వ అత్యంత వృద్ధ ఆటగాడు వంద (41y 263d) స్కోర్ ',' 22 వ చెత్త కెరీర్ (167.00) (అర్హత లేకుండా) సగటు బౌలింగ్ ', ) ',' 47 వ లాంగెస్ట్ కెరీర్లు (17y 347d) ',' 15 వ ఓల"&amp;"్డెస్ట్ కాప్టెన్ (41y 44d) ',' కెప్టెన్సీ తొలి 6 వ ఓల్డెస్ట్ కాప్టెన్ (41y 39d) ']")</f>
        <v>[ '50 వ ఓల్డెస్ట్ క్రీడాకారులు (42y 1D' ఎనిమిదవ వికెట్ (217) కోసం 8 వ అత్యధిక భాగస్వామ్యం '' 10 వ అత్యంత వృద్ధ ఆటగాడు వంద (41y 263d) స్కోర్ ',' 22 వ చెత్త కెరీర్ (167.00) (అర్హత లేకుండా) సగటు బౌలింగ్ ', ) ',' 47 వ లాంగెస్ట్ కెరీర్లు (17y 347d) ',' 15 వ ఓల్డెస్ట్ కాప్టెన్ (41y 44d) ',' కెప్టెన్సీ తొలి 6 వ ఓల్డెస్ట్ కాప్టెన్ (41y 39d) ']</v>
      </c>
      <c r="E3754" s="2"/>
      <c r="F3754" s="2" t="str">
        <f>IFERROR(__xludf.DUMMYFUNCTION("IF(E3754&lt;&gt;"""", GOOGLETRANSLATE(E3754, ""en"", ""te""),"""")"),"")</f>
        <v/>
      </c>
      <c r="G3754" s="2"/>
      <c r="H3754" s="2" t="str">
        <f>IFERROR(__xludf.DUMMYFUNCTION("IF(G3754&lt;&gt;"""", GOOGLETRANSLATE(G3754, ""en"", ""te""),"""")"),"")</f>
        <v/>
      </c>
      <c r="I3754" s="3"/>
    </row>
    <row r="3755" customHeight="1" spans="1:9">
      <c r="A3755" s="2"/>
      <c r="B3755" s="2" t="str">
        <f>IFERROR(__xludf.DUMMYFUNCTION("IF(A3755&lt;&gt;"""", GOOGLETRANSLATE(A3755, ""en"", ""te""),"""")"),"")</f>
        <v/>
      </c>
      <c r="C3755" s="2"/>
      <c r="D3755" s="2" t="str">
        <f>IFERROR(__xludf.DUMMYFUNCTION("IF(C3755&lt;&gt;"""", GOOGLETRANSLATE(C3755, ""en"", ""te""),"""")"),"")</f>
        <v/>
      </c>
      <c r="E3755" s="2"/>
      <c r="F3755" s="2" t="str">
        <f>IFERROR(__xludf.DUMMYFUNCTION("IF(E3755&lt;&gt;"""", GOOGLETRANSLATE(E3755, ""en"", ""te""),"""")"),"")</f>
        <v/>
      </c>
      <c r="G3755" s="2"/>
      <c r="H3755" s="2" t="str">
        <f>IFERROR(__xludf.DUMMYFUNCTION("IF(G3755&lt;&gt;"""", GOOGLETRANSLATE(G3755, ""en"", ""te""),"""")"),"")</f>
        <v/>
      </c>
      <c r="I3755" s="3"/>
    </row>
    <row r="3756" customHeight="1" spans="1:9">
      <c r="A3756" s="2"/>
      <c r="B3756" s="2" t="str">
        <f>IFERROR(__xludf.DUMMYFUNCTION("IF(A3756&lt;&gt;"""", GOOGLETRANSLATE(A3756, ""en"", ""te""),"""")"),"")</f>
        <v/>
      </c>
      <c r="C3756" s="2"/>
      <c r="D3756" s="2" t="str">
        <f>IFERROR(__xludf.DUMMYFUNCTION("IF(C3756&lt;&gt;"""", GOOGLETRANSLATE(C3756, ""en"", ""te""),"""")"),"")</f>
        <v/>
      </c>
      <c r="E3756" s="2"/>
      <c r="F3756" s="2" t="str">
        <f>IFERROR(__xludf.DUMMYFUNCTION("IF(E3756&lt;&gt;"""", GOOGLETRANSLATE(E3756, ""en"", ""te""),"""")"),"")</f>
        <v/>
      </c>
      <c r="G3756" s="2"/>
      <c r="H3756" s="2" t="str">
        <f>IFERROR(__xludf.DUMMYFUNCTION("IF(G3756&lt;&gt;"""", GOOGLETRANSLATE(G3756, ""en"", ""te""),"""")"),"")</f>
        <v/>
      </c>
      <c r="I3756" s="3"/>
    </row>
    <row r="3757" customHeight="1" spans="1:9">
      <c r="A3757" s="2"/>
      <c r="B3757" s="2" t="str">
        <f>IFERROR(__xludf.DUMMYFUNCTION("IF(A3757&lt;&gt;"""", GOOGLETRANSLATE(A3757, ""en"", ""te""),"""")"),"")</f>
        <v/>
      </c>
      <c r="C3757" s="2"/>
      <c r="D3757" s="2" t="str">
        <f>IFERROR(__xludf.DUMMYFUNCTION("IF(C3757&lt;&gt;"""", GOOGLETRANSLATE(C3757, ""en"", ""te""),"""")"),"")</f>
        <v/>
      </c>
      <c r="E3757" s="2"/>
      <c r="F3757" s="2" t="str">
        <f>IFERROR(__xludf.DUMMYFUNCTION("IF(E3757&lt;&gt;"""", GOOGLETRANSLATE(E3757, ""en"", ""te""),"""")"),"")</f>
        <v/>
      </c>
      <c r="G3757" s="2"/>
      <c r="H3757" s="2" t="str">
        <f>IFERROR(__xludf.DUMMYFUNCTION("IF(G3757&lt;&gt;"""", GOOGLETRANSLATE(G3757, ""en"", ""te""),"""")"),"")</f>
        <v/>
      </c>
      <c r="I3757" s="3"/>
    </row>
    <row r="3758" customHeight="1" spans="1:9">
      <c r="A3758" s="2" t="s">
        <v>2612</v>
      </c>
      <c r="B3758" s="2" t="str">
        <f>IFERROR(__xludf.DUMMYFUNCTION("IF(A3758&lt;&gt;"""", GOOGLETRANSLATE(A3758, ""en"", ""te""),"""")"),"[ '3 వ ఓల్డెస్ట్ క్రీడాకారులు (50y 320d)', '1 వ ఓల్డెస్ట్ కాప్టెన్ (50y 320d)', 'హండ్రెడ్ ప్రవేశం (152) న']")</f>
        <v>[ '3 వ ఓల్డెస్ట్ క్రీడాకారులు (50y 320d)', '1 వ ఓల్డెస్ట్ కాప్టెన్ (50y 320d)', 'హండ్రెడ్ ప్రవేశం (152) న']</v>
      </c>
      <c r="C3758" s="2" t="s">
        <v>2613</v>
      </c>
      <c r="D3758" s="2" t="str">
        <f>IFERROR(__xludf.DUMMYFUNCTION("IF(C3758&lt;&gt;"""", GOOGLETRANSLATE(C3758, ""en"", ""te""),"""")"),"[ '36 వ అత్యంత తొలి మ్యాచ్లో పరుగులు (161)', '3 వ ఓల్డెస్ట్ క్రీడాకారులు (50y 320d)', '29th లాంగెస్ట్ కెరీర్లు (18y 270d)', '1 వ ఓల్డెస్ట్ కాప్టెన్ (50y 320d)', 'కెప్టెన్సీ తొలి 9 వ ఓల్డెస్ట్ కెప్టెన్లు (40y 26d) ']")</f>
        <v>[ '36 వ అత్యంత తొలి మ్యాచ్లో పరుగులు (161)', '3 వ ఓల్డెస్ట్ క్రీడాకారులు (50y 320d)', '29th లాంగెస్ట్ కెరీర్లు (18y 270d)', '1 వ ఓల్డెస్ట్ కాప్టెన్ (50y 320d)', 'కెప్టెన్సీ తొలి 9 వ ఓల్డెస్ట్ కెప్టెన్లు (40y 26d) ']</v>
      </c>
      <c r="E3758" s="2"/>
      <c r="F3758" s="2" t="str">
        <f>IFERROR(__xludf.DUMMYFUNCTION("IF(E3758&lt;&gt;"""", GOOGLETRANSLATE(E3758, ""en"", ""te""),"""")"),"")</f>
        <v/>
      </c>
      <c r="G3758" s="2"/>
      <c r="H3758" s="2" t="str">
        <f>IFERROR(__xludf.DUMMYFUNCTION("IF(G3758&lt;&gt;"""", GOOGLETRANSLATE(G3758, ""en"", ""te""),"""")"),"")</f>
        <v/>
      </c>
      <c r="I3758" s="3"/>
    </row>
    <row r="3759" customHeight="1" spans="1:9">
      <c r="A3759" s="2" t="s">
        <v>2614</v>
      </c>
      <c r="B3759" s="2" t="str">
        <f>IFERROR(__xludf.DUMMYFUNCTION("IF(A3759&lt;&gt;"""", GOOGLETRANSLATE(A3759, ""en"", ""te""),"""")"),"[ '10 వ ఇన్నింగ్స్ లో అత్యధిక పరుగులు (బ్యాటింగ్ స్థానంలో ప్రకారం) (26)']")</f>
        <v>[ '10 వ ఇన్నింగ్స్ లో అత్యధిక పరుగులు (బ్యాటింగ్ స్థానంలో ప్రకారం) (26)']</v>
      </c>
      <c r="C3759" s="2"/>
      <c r="D3759" s="2" t="str">
        <f>IFERROR(__xludf.DUMMYFUNCTION("IF(C3759&lt;&gt;"""", GOOGLETRANSLATE(C3759, ""en"", ""te""),"""")"),"")</f>
        <v/>
      </c>
      <c r="E3759" s="2"/>
      <c r="F3759" s="2" t="str">
        <f>IFERROR(__xludf.DUMMYFUNCTION("IF(E3759&lt;&gt;"""", GOOGLETRANSLATE(E3759, ""en"", ""te""),"""")"),"")</f>
        <v/>
      </c>
      <c r="G3759" s="2" t="s">
        <v>2615</v>
      </c>
      <c r="H3759" s="2" t="str">
        <f>IFERROR(__xludf.DUMMYFUNCTION("IF(G3759&lt;&gt;"""", GOOGLETRANSLATE(G3759, ""en"", ""te""),"""")"),"[ '10 వ ఇన్నింగ్స్ లో అత్యధిక పరుగులు (బ్యాటింగ్ స్థానంలో ప్రకారం) (26)', '46 వ ఒక క్యాలెండర్ సంవత్సరంలో అత్యధిక వికెట్లు (18)', '20 వ అత్యధిక వికెట్లు తీసుకున్న క్యాచ్ మరియు బౌల్డ్ (3)', '43 వ అత్యధిక వికెట్లు తీసుకున్న స్టంప్డ్ (5) ']")</f>
        <v>[ '10 వ ఇన్నింగ్స్ లో అత్యధిక పరుగులు (బ్యాటింగ్ స్థానంలో ప్రకారం) (26)', '46 వ ఒక క్యాలెండర్ సంవత్సరంలో అత్యధిక వికెట్లు (18)', '20 వ అత్యధిక వికెట్లు తీసుకున్న క్యాచ్ మరియు బౌల్డ్ (3)', '43 వ అత్యధిక వికెట్లు తీసుకున్న స్టంప్డ్ (5) ']</v>
      </c>
      <c r="I3759" s="3"/>
    </row>
    <row r="3760" customHeight="1" spans="1:9">
      <c r="A3760" s="2"/>
      <c r="B3760" s="2" t="str">
        <f>IFERROR(__xludf.DUMMYFUNCTION("IF(A3760&lt;&gt;"""", GOOGLETRANSLATE(A3760, ""en"", ""te""),"""")"),"")</f>
        <v/>
      </c>
      <c r="C3760" s="2"/>
      <c r="D3760" s="2" t="str">
        <f>IFERROR(__xludf.DUMMYFUNCTION("IF(C3760&lt;&gt;"""", GOOGLETRANSLATE(C3760, ""en"", ""te""),"""")"),"")</f>
        <v/>
      </c>
      <c r="E3760" s="2"/>
      <c r="F3760" s="2" t="str">
        <f>IFERROR(__xludf.DUMMYFUNCTION("IF(E3760&lt;&gt;"""", GOOGLETRANSLATE(E3760, ""en"", ""te""),"""")"),"")</f>
        <v/>
      </c>
      <c r="G3760" s="2"/>
      <c r="H3760" s="2" t="str">
        <f>IFERROR(__xludf.DUMMYFUNCTION("IF(G3760&lt;&gt;"""", GOOGLETRANSLATE(G3760, ""en"", ""te""),"""")"),"")</f>
        <v/>
      </c>
      <c r="I3760" s="3"/>
    </row>
    <row r="3761" customHeight="1" spans="1:9">
      <c r="A3761" s="2"/>
      <c r="B3761" s="2" t="str">
        <f>IFERROR(__xludf.DUMMYFUNCTION("IF(A3761&lt;&gt;"""", GOOGLETRANSLATE(A3761, ""en"", ""te""),"""")"),"")</f>
        <v/>
      </c>
      <c r="C3761" s="2"/>
      <c r="D3761" s="2" t="str">
        <f>IFERROR(__xludf.DUMMYFUNCTION("IF(C3761&lt;&gt;"""", GOOGLETRANSLATE(C3761, ""en"", ""te""),"""")"),"")</f>
        <v/>
      </c>
      <c r="E3761" s="2"/>
      <c r="F3761" s="2" t="str">
        <f>IFERROR(__xludf.DUMMYFUNCTION("IF(E3761&lt;&gt;"""", GOOGLETRANSLATE(E3761, ""en"", ""te""),"""")"),"")</f>
        <v/>
      </c>
      <c r="G3761" s="2"/>
      <c r="H3761" s="2" t="str">
        <f>IFERROR(__xludf.DUMMYFUNCTION("IF(G3761&lt;&gt;"""", GOOGLETRANSLATE(G3761, ""en"", ""te""),"""")"),"")</f>
        <v/>
      </c>
      <c r="I3761" s="3"/>
    </row>
    <row r="3762" customHeight="1" spans="1:9">
      <c r="A3762" s="2"/>
      <c r="B3762" s="2" t="str">
        <f>IFERROR(__xludf.DUMMYFUNCTION("IF(A3762&lt;&gt;"""", GOOGLETRANSLATE(A3762, ""en"", ""te""),"""")"),"")</f>
        <v/>
      </c>
      <c r="C3762" s="2"/>
      <c r="D3762" s="2" t="str">
        <f>IFERROR(__xludf.DUMMYFUNCTION("IF(C3762&lt;&gt;"""", GOOGLETRANSLATE(C3762, ""en"", ""te""),"""")"),"")</f>
        <v/>
      </c>
      <c r="E3762" s="2"/>
      <c r="F3762" s="2" t="str">
        <f>IFERROR(__xludf.DUMMYFUNCTION("IF(E3762&lt;&gt;"""", GOOGLETRANSLATE(E3762, ""en"", ""te""),"""")"),"")</f>
        <v/>
      </c>
      <c r="G3762" s="2"/>
      <c r="H3762" s="2" t="str">
        <f>IFERROR(__xludf.DUMMYFUNCTION("IF(G3762&lt;&gt;"""", GOOGLETRANSLATE(G3762, ""en"", ""te""),"""")"),"")</f>
        <v/>
      </c>
      <c r="I3762" s="3"/>
    </row>
    <row r="3763" customHeight="1" spans="1:9">
      <c r="A3763" s="2" t="s">
        <v>2616</v>
      </c>
      <c r="B3763" s="2" t="str">
        <f>IFERROR(__xludf.DUMMYFUNCTION("IF(A3763&lt;&gt;"""", GOOGLETRANSLATE(A3763, ""en"", ""te""),"""")"),"[ 'వరుస 1 వ అత్యధిక వికెట్లు (23)', '1 వ ఉత్తమ కెరీర్ సమ్మె రేటు (38.7)', '1 వ వరుస ఐదు వికెట్ల లో-ఒక-ఇన్నింగ్స్ (3)']")</f>
        <v>[ 'వరుస 1 వ అత్యధిక వికెట్లు (23)', '1 వ ఉత్తమ కెరీర్ సమ్మె రేటు (38.7)', '1 వ వరుస ఐదు వికెట్ల లో-ఒక-ఇన్నింగ్స్ (3)']</v>
      </c>
      <c r="C3763" s="2" t="s">
        <v>2617</v>
      </c>
      <c r="D3763" s="2" t="str">
        <f>IFERROR(__xludf.DUMMYFUNCTION("IF(C3763&lt;&gt;"""", GOOGLETRANSLATE(C3763, ""en"", ""te""),"""")"),"[ 'ఒక మ్యాచ్లో 2nd బెస్ట్ ఫిగర్స్ (11)' 'ఇన్నింగ్స్ లో 20 వ బెస్ట్ ఫిగర్స్ (6/46)' '25 వ అత్యధిక కెరీర్ వికెట్లు (29)', 'వరుస 1 వ అత్యధిక వికెట్లు (23)', 'ఒక క్యాలెండర్ సంవత్సరంలో 4 వ అత్యధిక వికెట్లు (23)', '(11) ఒకే మైదానంలో 10 వ అత్యధిక వికెట్లు', '7 "&amp;"వ ఉత్తమ కెరీర్ సగటు బౌలింగ్,' 2 వ అత్యుత్తమ బౌలింగ్ ఇన్నింగ్స్ (5/17) విశ్లేషణలలో '(16.13) ',' 1 వ ఉత్తమ కెరీర్ సమ్మె రేటు (38.7) ',' ఇన్నింగ్స్ లో 24 వ ఉత్తమ సమ్మె రేటు (18.0) ',' 8 వ చెత్త కెరీర్లో ఆర్థిక రేటు (2.50) ',' 5 వ అత్యంత ఐదు-వికెట్ల లో-ఒక-ఇన్"&amp;"నింగ్స్ లో ఒక కెరీర్ (3) ',' 2 వ అత్యంత పది వికెట్లు లో ఒక మ్యాచ్ ఒక వృత్తిలో (1) ',' 1 వ వరుస ఐదు వికెట్ల లో-ఒక-ఇన్నింగ్స్ (3) ',' 18 వ అత్యధిక వికెట్లు తీసుకున్న బౌల్డ్ (10) ']")</f>
        <v>[ 'ఒక మ్యాచ్లో 2nd బెస్ట్ ఫిగర్స్ (11)' 'ఇన్నింగ్స్ లో 20 వ బెస్ట్ ఫిగర్స్ (6/46)' '25 వ అత్యధిక కెరీర్ వికెట్లు (29)', 'వరుస 1 వ అత్యధిక వికెట్లు (23)', 'ఒక క్యాలెండర్ సంవత్సరంలో 4 వ అత్యధిక వికెట్లు (23)', '(11) ఒకే మైదానంలో 10 వ అత్యధిక వికెట్లు', '7 వ ఉత్తమ కెరీర్ సగటు బౌలింగ్,' 2 వ అత్యుత్తమ బౌలింగ్ ఇన్నింగ్స్ (5/17) విశ్లేషణలలో '(16.13) ',' 1 వ ఉత్తమ కెరీర్ సమ్మె రేటు (38.7) ',' ఇన్నింగ్స్ లో 24 వ ఉత్తమ సమ్మె రేటు (18.0) ',' 8 వ చెత్త కెరీర్లో ఆర్థిక రేటు (2.50) ',' 5 వ అత్యంత ఐదు-వికెట్ల లో-ఒక-ఇన్నింగ్స్ లో ఒక కెరీర్ (3) ',' 2 వ అత్యంత పది వికెట్లు లో ఒక మ్యాచ్ ఒక వృత్తిలో (1) ',' 1 వ వరుస ఐదు వికెట్ల లో-ఒక-ఇన్నింగ్స్ (3) ',' 18 వ అత్యధిక వికెట్లు తీసుకున్న బౌల్డ్ (10) ']</v>
      </c>
      <c r="E3763" s="2"/>
      <c r="F3763" s="2" t="str">
        <f>IFERROR(__xludf.DUMMYFUNCTION("IF(E3763&lt;&gt;"""", GOOGLETRANSLATE(E3763, ""en"", ""te""),"""")"),"")</f>
        <v/>
      </c>
      <c r="G3763" s="2"/>
      <c r="H3763" s="2" t="str">
        <f>IFERROR(__xludf.DUMMYFUNCTION("IF(G3763&lt;&gt;"""", GOOGLETRANSLATE(G3763, ""en"", ""te""),"""")"),"")</f>
        <v/>
      </c>
      <c r="I3763" s="3"/>
    </row>
    <row r="3764" customHeight="1" spans="1:9">
      <c r="A3764" s="2"/>
      <c r="B3764" s="2" t="str">
        <f>IFERROR(__xludf.DUMMYFUNCTION("IF(A3764&lt;&gt;"""", GOOGLETRANSLATE(A3764, ""en"", ""te""),"""")"),"")</f>
        <v/>
      </c>
      <c r="C3764" s="2"/>
      <c r="D3764" s="2" t="str">
        <f>IFERROR(__xludf.DUMMYFUNCTION("IF(C3764&lt;&gt;"""", GOOGLETRANSLATE(C3764, ""en"", ""te""),"""")"),"")</f>
        <v/>
      </c>
      <c r="E3764" s="2"/>
      <c r="F3764" s="2" t="str">
        <f>IFERROR(__xludf.DUMMYFUNCTION("IF(E3764&lt;&gt;"""", GOOGLETRANSLATE(E3764, ""en"", ""te""),"""")"),"")</f>
        <v/>
      </c>
      <c r="G3764" s="2"/>
      <c r="H3764" s="2" t="str">
        <f>IFERROR(__xludf.DUMMYFUNCTION("IF(G3764&lt;&gt;"""", GOOGLETRANSLATE(G3764, ""en"", ""te""),"""")"),"")</f>
        <v/>
      </c>
      <c r="I3764" s="3"/>
    </row>
    <row r="3765" customHeight="1" spans="1:9">
      <c r="A3765" s="2"/>
      <c r="B3765" s="2" t="str">
        <f>IFERROR(__xludf.DUMMYFUNCTION("IF(A3765&lt;&gt;"""", GOOGLETRANSLATE(A3765, ""en"", ""te""),"""")"),"")</f>
        <v/>
      </c>
      <c r="C3765" s="2"/>
      <c r="D3765" s="2" t="str">
        <f>IFERROR(__xludf.DUMMYFUNCTION("IF(C3765&lt;&gt;"""", GOOGLETRANSLATE(C3765, ""en"", ""te""),"""")"),"")</f>
        <v/>
      </c>
      <c r="E3765" s="2"/>
      <c r="F3765" s="2" t="str">
        <f>IFERROR(__xludf.DUMMYFUNCTION("IF(E3765&lt;&gt;"""", GOOGLETRANSLATE(E3765, ""en"", ""te""),"""")"),"")</f>
        <v/>
      </c>
      <c r="G3765" s="2" t="s">
        <v>2618</v>
      </c>
      <c r="H3765" s="2" t="str">
        <f>IFERROR(__xludf.DUMMYFUNCTION("IF(G3765&lt;&gt;"""", GOOGLETRANSLATE(G3765, ""en"", ""te""),"""")"),"[ '49 వ చెత్త కెరీర్ బౌలింగ్ సరాసరి (అర్హత లేకుండా) (58.50)']")</f>
        <v>[ '49 వ చెత్త కెరీర్ బౌలింగ్ సరాసరి (అర్హత లేకుండా) (58.50)']</v>
      </c>
      <c r="I3765" s="3"/>
    </row>
    <row r="3766" customHeight="1" spans="1:9">
      <c r="A3766" s="2" t="s">
        <v>2619</v>
      </c>
      <c r="B3766" s="2" t="str">
        <f>IFERROR(__xludf.DUMMYFUNCTION("IF(A3766&lt;&gt;"""", GOOGLETRANSLATE(A3766, ""en"", ""te""),"""")"),"[ '2 వ అత్యుత్తమ ఇన్నింగ్స్ (6/7) విశ్లేషణలలో బౌలింగ్']")</f>
        <v>[ '2 వ అత్యుత్తమ ఇన్నింగ్స్ (6/7) విశ్లేషణలలో బౌలింగ్']</v>
      </c>
      <c r="C3766" s="2" t="s">
        <v>2620</v>
      </c>
      <c r="D3766" s="2" t="str">
        <f>IFERROR(__xludf.DUMMYFUNCTION("IF(C3766&lt;&gt;"""", GOOGLETRANSLATE(C3766, ""en"", ""te""),"""")"),"[ '2 వ అత్యుత్తమ బౌలింగ్ ఇన్నింగ్స్ లో విశ్లేషించడం (6/7)', 'ఒక కెప్టెన్తో ఒక ఇన్నింగ్స్ లో 16 వ బెస్ట్ ఫిగర్స్ (6)', 'ఒక కెప్టెన్తో ఒక మ్యాచ్లో 5 వ ఉత్తమ బొమ్మలు (11)', '12 వ ఉత్తమ సమ్మె ఒక ఇన్నింగ్స్ లో రేటు (6.5) ']")</f>
        <v>[ '2 వ అత్యుత్తమ బౌలింగ్ ఇన్నింగ్స్ లో విశ్లేషించడం (6/7)', 'ఒక కెప్టెన్తో ఒక ఇన్నింగ్స్ లో 16 వ బెస్ట్ ఫిగర్స్ (6)', 'ఒక కెప్టెన్తో ఒక మ్యాచ్లో 5 వ ఉత్తమ బొమ్మలు (11)', '12 వ ఉత్తమ సమ్మె ఒక ఇన్నింగ్స్ లో రేటు (6.5) ']</v>
      </c>
      <c r="E3766" s="2"/>
      <c r="F3766" s="2" t="str">
        <f>IFERROR(__xludf.DUMMYFUNCTION("IF(E3766&lt;&gt;"""", GOOGLETRANSLATE(E3766, ""en"", ""te""),"""")"),"")</f>
        <v/>
      </c>
      <c r="G3766" s="2"/>
      <c r="H3766" s="2" t="str">
        <f>IFERROR(__xludf.DUMMYFUNCTION("IF(G3766&lt;&gt;"""", GOOGLETRANSLATE(G3766, ""en"", ""te""),"""")"),"")</f>
        <v/>
      </c>
      <c r="I3766" s="3"/>
    </row>
    <row r="3767" customHeight="1" spans="1:9">
      <c r="A3767" s="2"/>
      <c r="B3767" s="2" t="str">
        <f>IFERROR(__xludf.DUMMYFUNCTION("IF(A3767&lt;&gt;"""", GOOGLETRANSLATE(A3767, ""en"", ""te""),"""")"),"")</f>
        <v/>
      </c>
      <c r="C3767" s="2"/>
      <c r="D3767" s="2" t="str">
        <f>IFERROR(__xludf.DUMMYFUNCTION("IF(C3767&lt;&gt;"""", GOOGLETRANSLATE(C3767, ""en"", ""te""),"""")"),"")</f>
        <v/>
      </c>
      <c r="E3767" s="2"/>
      <c r="F3767" s="2" t="str">
        <f>IFERROR(__xludf.DUMMYFUNCTION("IF(E3767&lt;&gt;"""", GOOGLETRANSLATE(E3767, ""en"", ""te""),"""")"),"")</f>
        <v/>
      </c>
      <c r="G3767" s="2"/>
      <c r="H3767" s="2" t="str">
        <f>IFERROR(__xludf.DUMMYFUNCTION("IF(G3767&lt;&gt;"""", GOOGLETRANSLATE(G3767, ""en"", ""te""),"""")"),"")</f>
        <v/>
      </c>
      <c r="I3767" s="3"/>
    </row>
    <row r="3768" customHeight="1" spans="1:9">
      <c r="A3768" s="2"/>
      <c r="B3768" s="2" t="str">
        <f>IFERROR(__xludf.DUMMYFUNCTION("IF(A3768&lt;&gt;"""", GOOGLETRANSLATE(A3768, ""en"", ""te""),"""")"),"")</f>
        <v/>
      </c>
      <c r="C3768" s="2"/>
      <c r="D3768" s="2" t="str">
        <f>IFERROR(__xludf.DUMMYFUNCTION("IF(C3768&lt;&gt;"""", GOOGLETRANSLATE(C3768, ""en"", ""te""),"""")"),"")</f>
        <v/>
      </c>
      <c r="E3768" s="2" t="s">
        <v>2621</v>
      </c>
      <c r="F3768" s="2" t="str">
        <f>IFERROR(__xludf.DUMMYFUNCTION("IF(E3768&lt;&gt;"""", GOOGLETRANSLATE(E3768, ""en"", ""te""),"""")"),"[ '39 వ అంపాయర్ (63) గా అత్యధిక మ్యాచ్లు']")</f>
        <v>[ '39 వ అంపాయర్ (63) గా అత్యధిక మ్యాచ్లు']</v>
      </c>
      <c r="G3768" s="2"/>
      <c r="H3768" s="2" t="str">
        <f>IFERROR(__xludf.DUMMYFUNCTION("IF(G3768&lt;&gt;"""", GOOGLETRANSLATE(G3768, ""en"", ""te""),"""")"),"")</f>
        <v/>
      </c>
      <c r="I3768" s="3"/>
    </row>
    <row r="3769" customHeight="1" spans="1:9">
      <c r="A3769" s="2"/>
      <c r="B3769" s="2" t="str">
        <f>IFERROR(__xludf.DUMMYFUNCTION("IF(A3769&lt;&gt;"""", GOOGLETRANSLATE(A3769, ""en"", ""te""),"""")"),"")</f>
        <v/>
      </c>
      <c r="C3769" s="2"/>
      <c r="D3769" s="2" t="str">
        <f>IFERROR(__xludf.DUMMYFUNCTION("IF(C3769&lt;&gt;"""", GOOGLETRANSLATE(C3769, ""en"", ""te""),"""")"),"")</f>
        <v/>
      </c>
      <c r="E3769" s="2"/>
      <c r="F3769" s="2" t="str">
        <f>IFERROR(__xludf.DUMMYFUNCTION("IF(E3769&lt;&gt;"""", GOOGLETRANSLATE(E3769, ""en"", ""te""),"""")"),"")</f>
        <v/>
      </c>
      <c r="G3769" s="2"/>
      <c r="H3769" s="2" t="str">
        <f>IFERROR(__xludf.DUMMYFUNCTION("IF(G3769&lt;&gt;"""", GOOGLETRANSLATE(G3769, ""en"", ""te""),"""")"),"")</f>
        <v/>
      </c>
      <c r="I3769" s="3"/>
    </row>
    <row r="3770" customHeight="1" spans="1:9">
      <c r="A3770" s="2"/>
      <c r="B3770" s="2" t="str">
        <f>IFERROR(__xludf.DUMMYFUNCTION("IF(A3770&lt;&gt;"""", GOOGLETRANSLATE(A3770, ""en"", ""te""),"""")"),"")</f>
        <v/>
      </c>
      <c r="C3770" s="2"/>
      <c r="D3770" s="2" t="str">
        <f>IFERROR(__xludf.DUMMYFUNCTION("IF(C3770&lt;&gt;"""", GOOGLETRANSLATE(C3770, ""en"", ""te""),"""")"),"")</f>
        <v/>
      </c>
      <c r="E3770" s="2"/>
      <c r="F3770" s="2" t="str">
        <f>IFERROR(__xludf.DUMMYFUNCTION("IF(E3770&lt;&gt;"""", GOOGLETRANSLATE(E3770, ""en"", ""te""),"""")"),"")</f>
        <v/>
      </c>
      <c r="G3770" s="2"/>
      <c r="H3770" s="2" t="str">
        <f>IFERROR(__xludf.DUMMYFUNCTION("IF(G3770&lt;&gt;"""", GOOGLETRANSLATE(G3770, ""en"", ""te""),"""")"),"")</f>
        <v/>
      </c>
      <c r="I3770" s="3"/>
    </row>
    <row r="3771" customHeight="1" spans="1:9">
      <c r="A3771" s="2"/>
      <c r="B3771" s="2" t="str">
        <f>IFERROR(__xludf.DUMMYFUNCTION("IF(A3771&lt;&gt;"""", GOOGLETRANSLATE(A3771, ""en"", ""te""),"""")"),"")</f>
        <v/>
      </c>
      <c r="C3771" s="2"/>
      <c r="D3771" s="2" t="str">
        <f>IFERROR(__xludf.DUMMYFUNCTION("IF(C3771&lt;&gt;"""", GOOGLETRANSLATE(C3771, ""en"", ""te""),"""")"),"")</f>
        <v/>
      </c>
      <c r="E3771" s="2"/>
      <c r="F3771" s="2" t="str">
        <f>IFERROR(__xludf.DUMMYFUNCTION("IF(E3771&lt;&gt;"""", GOOGLETRANSLATE(E3771, ""en"", ""te""),"""")"),"")</f>
        <v/>
      </c>
      <c r="G3771" s="2"/>
      <c r="H3771" s="2" t="str">
        <f>IFERROR(__xludf.DUMMYFUNCTION("IF(G3771&lt;&gt;"""", GOOGLETRANSLATE(G3771, ""en"", ""te""),"""")"),"")</f>
        <v/>
      </c>
      <c r="I3771" s="3"/>
    </row>
    <row r="3772" customHeight="1" spans="1:9">
      <c r="A3772" s="2" t="s">
        <v>2622</v>
      </c>
      <c r="B3772" s="2" t="str">
        <f>IFERROR(__xludf.DUMMYFUNCTION("IF(A3772&lt;&gt;"""", GOOGLETRANSLATE(A3772, ""en"", ""te""),"""")"),"[ 'ఒక కెప్టెన్ ద్వారా ఒక సిరీస్లో 3 వ అత్యధిక పరుగులు (732)', 'హండ్రెడ్ మరియు ఒక మ్యాచ్లో ఒక డక్', '5000 పరుగులు మరియు 50 ఫీల్డింగ్ వికెట్లు', '3 వ అత్యంత,' ఒక జట్టు (9) వ్యతిరేకంగా 9 వ అత్యధిక వందలు ' వరుస సెంచరీలు (3) ']")</f>
        <v>[ 'ఒక కెప్టెన్ ద్వారా ఒక సిరీస్లో 3 వ అత్యధిక పరుగులు (732)', 'హండ్రెడ్ మరియు ఒక మ్యాచ్లో ఒక డక్', '5000 పరుగులు మరియు 50 ఫీల్డింగ్ వికెట్లు', '3 వ అత్యంత,' ఒక జట్టు (9) వ్యతిరేకంగా 9 వ అత్యధిక వందలు ' వరుస సెంచరీలు (3) ']</v>
      </c>
      <c r="C3772" s="2" t="s">
        <v>2623</v>
      </c>
      <c r="D3772" s="2" t="str">
        <f>IFERROR(__xludf.DUMMYFUNCTION("IF(C3772&lt;&gt;"""", GOOGLETRANSLATE(C3772, ""en"", ""te""),"""")"),"[ '27 వ కెరీర్ లో పరుగులు (8231)', 'వరుస 22 వ అత్యధిక పరుగులు (732)', ఒక నాయకుడు, '3 వ చాల వరకు ఒక సిరీస్లో నడుస్తుంది' ఒకే క్రీడా (1241) లో 42 వ అత్యధిక పరుగులు '(732) ',' ఒక కెప్టెన్తో ఇన్నింగ్స్ లో 48 వ అత్యధిక పరుగులు ఒక జట్టు (9) ',' 12 వ పిన్న ఆటగాడ"&amp;"ు వ్యతిరేకంగా (215) ',' 9 వ అత్యధిక వందలు డబుల్ సెంచరీ (22y 102d) స్కోర్ ',' 34 వ కెరీర్ అర్ధ (57) ',' ఒక డక్ కెరీర్లో (119) ',' 26 అతి తక్కువ బాతులు (29.14) ',' కెరీర్ లో 24 వ అత్యంత ఫోర్లు (979) లేకుండా 1st వరుస ఇన్నింగ్స్ ',' 26th 1000 పరుగులు (20) వేగ"&amp;"ంగా ' '6000 పరుగులు వేగంగా 47 వ (147)', '39 వ వేగవంతమైన 7000 పరుగులు (172)', '28th 8000 పరుగులు (195) వేగంగా', 'ఆరవ వికెట్కు 41 వ అత్యధిక భాగస్వామ్యం (207)', '40 వ అత్యధిక ఏడవ వికెట్ కొరకు చేసిన భాగస్వామ్యం (167) ',' 33 వ కెరీర్ లో అత్యధిక మ్యాచ్లు (117)"&amp;" ',' 44 వ అత్యంత ప్లేయర్ ఆఫ్ ది సిరీస్ అవార్డులు (3) ',' 43 వ అత్యధిక మ్యాచ్లు కెప్టెన్గా (32) ',' 33 వ ఒక జట్టు కెప్టెన్గా వరుస మ్యాచ్లు (25) ',' 32 వ పిన్న కాప్టెన్ (25y 133d) ']")</f>
        <v>[ '27 వ కెరీర్ లో పరుగులు (8231)', 'వరుస 22 వ అత్యధిక పరుగులు (732)', ఒక నాయకుడు, '3 వ చాల వరకు ఒక సిరీస్లో నడుస్తుంది' ఒకే క్రీడా (1241) లో 42 వ అత్యధిక పరుగులు '(732) ',' ఒక కెప్టెన్తో ఇన్నింగ్స్ లో 48 వ అత్యధిక పరుగులు ఒక జట్టు (9) ',' 12 వ పిన్న ఆటగాడు వ్యతిరేకంగా (215) ',' 9 వ అత్యధిక వందలు డబుల్ సెంచరీ (22y 102d) స్కోర్ ',' 34 వ కెరీర్ అర్ధ (57) ',' ఒక డక్ కెరీర్లో (119) ',' 26 అతి తక్కువ బాతులు (29.14) ',' కెరీర్ లో 24 వ అత్యంత ఫోర్లు (979) లేకుండా 1st వరుస ఇన్నింగ్స్ ',' 26th 1000 పరుగులు (20) వేగంగా ' '6000 పరుగులు వేగంగా 47 వ (147)', '39 వ వేగవంతమైన 7000 పరుగులు (172)', '28th 8000 పరుగులు (195) వేగంగా', 'ఆరవ వికెట్కు 41 వ అత్యధిక భాగస్వామ్యం (207)', '40 వ అత్యధిక ఏడవ వికెట్ కొరకు చేసిన భాగస్వామ్యం (167) ',' 33 వ కెరీర్ లో అత్యధిక మ్యాచ్లు (117) ',' 44 వ అత్యంత ప్లేయర్ ఆఫ్ ది సిరీస్ అవార్డులు (3) ',' 43 వ అత్యధిక మ్యాచ్లు కెప్టెన్గా (32) ',' 33 వ ఒక జట్టు కెప్టెన్గా వరుస మ్యాచ్లు (25) ',' 32 వ పిన్న కాప్టెన్ (25y 133d) ']</v>
      </c>
      <c r="E3772" s="2" t="s">
        <v>2624</v>
      </c>
      <c r="F3772" s="2" t="str">
        <f>IFERROR(__xludf.DUMMYFUNCTION("IF(E3772&lt;&gt;"""", GOOGLETRANSLATE(E3772, ""en"", ""te""),"""")"),"[ '11 వ ఒక సిరీస్లో అత్యధిక పరుగులు (563)', '12 వ ఇన్నింగ్స్ లో అత్యధిక పరుగులు (బ్యాటింగ్ స్థానంలో ప్రకారం) (158)', 'వరుస 3 వ అత్యధిక వందలు (3)', '29th చాలా క్యాలెండర్ లో వందల సంవత్సరం (4) ',' 33 వ పిన్న ఆటగాడు వంద స్కోర్ (21y 55d) ',' ఒక ఇన్నింగ్స్లో పర"&amp;"ుగుల 18 అత్యధిక శాతం (59.17) ',' 41 వ 2000 పరుగులు (57) ',' 24 వ అత్యంత player- వేగంగా ఆఫ్ ది సిరీస్ అవార్డులు (4) ',' 12 వ వరుస అన్ని టాస్ గెలిచిన (3) ']")</f>
        <v>[ '11 వ ఒక సిరీస్లో అత్యధిక పరుగులు (563)', '12 వ ఇన్నింగ్స్ లో అత్యధిక పరుగులు (బ్యాటింగ్ స్థానంలో ప్రకారం) (158)', 'వరుస 3 వ అత్యధిక వందలు (3)', '29th చాలా క్యాలెండర్ లో వందల సంవత్సరం (4) ',' 33 వ పిన్న ఆటగాడు వంద స్కోర్ (21y 55d) ',' ఒక ఇన్నింగ్స్లో పరుగుల 18 అత్యధిక శాతం (59.17) ',' 41 వ 2000 పరుగులు (57) ',' 24 వ అత్యంత player- వేగంగా ఆఫ్ ది సిరీస్ అవార్డులు (4) ',' 12 వ వరుస అన్ని టాస్ గెలిచిన (3) ']</v>
      </c>
      <c r="G3772" s="2"/>
      <c r="H3772" s="2" t="str">
        <f>IFERROR(__xludf.DUMMYFUNCTION("IF(G3772&lt;&gt;"""", GOOGLETRANSLATE(G3772, ""en"", ""te""),"""")"),"")</f>
        <v/>
      </c>
      <c r="I3772" s="3"/>
    </row>
    <row r="3773" customHeight="1" spans="1:9">
      <c r="A3773" s="2"/>
      <c r="B3773" s="2" t="str">
        <f>IFERROR(__xludf.DUMMYFUNCTION("IF(A3773&lt;&gt;"""", GOOGLETRANSLATE(A3773, ""en"", ""te""),"""")"),"")</f>
        <v/>
      </c>
      <c r="C3773" s="2"/>
      <c r="D3773" s="2" t="str">
        <f>IFERROR(__xludf.DUMMYFUNCTION("IF(C3773&lt;&gt;"""", GOOGLETRANSLATE(C3773, ""en"", ""te""),"""")"),"")</f>
        <v/>
      </c>
      <c r="E3773" s="2"/>
      <c r="F3773" s="2" t="str">
        <f>IFERROR(__xludf.DUMMYFUNCTION("IF(E3773&lt;&gt;"""", GOOGLETRANSLATE(E3773, ""en"", ""te""),"""")"),"")</f>
        <v/>
      </c>
      <c r="G3773" s="2"/>
      <c r="H3773" s="2" t="str">
        <f>IFERROR(__xludf.DUMMYFUNCTION("IF(G3773&lt;&gt;"""", GOOGLETRANSLATE(G3773, ""en"", ""te""),"""")"),"")</f>
        <v/>
      </c>
      <c r="I3773" s="3"/>
    </row>
    <row r="3774" customHeight="1" spans="1:9">
      <c r="A3774" s="2" t="s">
        <v>2625</v>
      </c>
      <c r="B3774" s="2" t="str">
        <f>IFERROR(__xludf.DUMMYFUNCTION("IF(A3774&lt;&gt;"""", GOOGLETRANSLATE(A3774, ""en"", ""te""),"""")"),"[ '10 వ అత్యంత బంతుల్లో ఇన్నింగ్స్ (486) లో బౌల్డ్']")</f>
        <v>[ '10 వ అత్యంత బంతుల్లో ఇన్నింగ్స్ (486) లో బౌల్డ్']</v>
      </c>
      <c r="C3774" s="2" t="s">
        <v>2626</v>
      </c>
      <c r="D3774" s="2" t="str">
        <f>IFERROR(__xludf.DUMMYFUNCTION("IF(C3774&lt;&gt;"""", GOOGLETRANSLATE(C3774, ""en"", ""te""),"""")"),"[ '27 అత్యంత వృద్ధ ఆటగాడు పది వికెట్లు లో ఒక మ్యాచ్ తీసుకోవాలని (34y 168d)', '42 వ అత్యంత బంతుల్లో ఒక మ్యాచ్లో బౌల్డ్ (606)', '36 వ' 10 వ ఇన్నింగ్స్ (486) లో బౌల్డ్ చాలా బంతుల్లో ' తొమ్మిదవ వికెట్కు అత్యధిక భాగస్వామ్యం (108) ']")</f>
        <v>[ '27 అత్యంత వృద్ధ ఆటగాడు పది వికెట్లు లో ఒక మ్యాచ్ తీసుకోవాలని (34y 168d)', '42 వ అత్యంత బంతుల్లో ఒక మ్యాచ్లో బౌల్డ్ (606)', '36 వ' 10 వ ఇన్నింగ్స్ (486) లో బౌల్డ్ చాలా బంతుల్లో ' తొమ్మిదవ వికెట్కు అత్యధిక భాగస్వామ్యం (108) ']</v>
      </c>
      <c r="E3774" s="2"/>
      <c r="F3774" s="2" t="str">
        <f>IFERROR(__xludf.DUMMYFUNCTION("IF(E3774&lt;&gt;"""", GOOGLETRANSLATE(E3774, ""en"", ""te""),"""")"),"")</f>
        <v/>
      </c>
      <c r="G3774" s="2"/>
      <c r="H3774" s="2" t="str">
        <f>IFERROR(__xludf.DUMMYFUNCTION("IF(G3774&lt;&gt;"""", GOOGLETRANSLATE(G3774, ""en"", ""te""),"""")"),"")</f>
        <v/>
      </c>
      <c r="I3774" s="3"/>
    </row>
    <row r="3775" customHeight="1" spans="1:9">
      <c r="A3775" s="2" t="s">
        <v>2627</v>
      </c>
      <c r="B3775" s="2" t="str">
        <f>IFERROR(__xludf.DUMMYFUNCTION("IF(A3775&lt;&gt;"""", GOOGLETRANSLATE(A3775, ""en"", ""te""),"""")"),"[ 'ఇన్నింగ్స్ లో 6 వ అత్యధిక పరుగులు (బ్యాటింగ్ స్థానంలో ప్రకారం) (62 *)', '4 వ అత్యుత్తమ బౌలింగ్ ఇన్నింగ్స్ లో విశ్లేషించడం (5/19)', '8 వ అత్యధిక వికెట్లు ఒక వికెట్ కీపర్ చే కాట్ తీసుకున్న (7)', '4 వ వంద (1629) ',' 10 వ కెరీర్ లో అత్యంత బాతులు (11) ',' ఇ"&amp;"న్నింగ్స్ లో 9 వ చెత్త ఆర్థిక రేటు (9.60) ',' 7 వ లేకుండా కెరీర్లో అత్యధిక మ్యాచ్లు (144) ',' ఒక వృత్తిలో 9 వ అత్యధిక పరుగులు అత్యంత ఐదు-వికెట్ల లో-ఒక-ఇన్నింగ్స్ కెరీర్లో (2) ',' కెరీర్ (5906) లో బౌల్డ్ 6 వ అత్యంత బంతుల్లో ',' 2 వ అత్యధిక కెరీర్ (3822) లో"&amp;" ఇవ్వబడిన పరుగులలో ',' 3 వ అత్యంత ఒక పట్టుకుంటే తీసుకోబడిన వికెట్ల ఫీల్డర్ (67) ',' 1 వ ఇన్నింగ్స్ లో అత్యధిక క్యాచ్లు (4) ',' ఒక కెప్టెన్ (5) ',' 4 వ అత్యంత నాలుగు ద్వారా ఒక ఇన్నింగ్స్ బ్యాటింగ్ తెరవడం మరియు ఉత్తమ గణాంకాలు అదే మ్యాచ్ ',' 1st లో బౌలింగ్ వ"&amp;"ికెట్ల లో-ఒక-ఇన్నింగ్స్ కెరీర్లో (3) ',' 8 వ అత్యధిక వికెట్లు ఆకర్షించింది తీసుకున్న మరియు బౌల్డ్ కెరీర్ (58) లో (5) ',' 2 వ అత్యధిక క్యాచ్లు ']")</f>
        <v>[ 'ఇన్నింగ్స్ లో 6 వ అత్యధిక పరుగులు (బ్యాటింగ్ స్థానంలో ప్రకారం) (62 *)', '4 వ అత్యుత్తమ బౌలింగ్ ఇన్నింగ్స్ లో విశ్లేషించడం (5/19)', '8 వ అత్యధిక వికెట్లు ఒక వికెట్ కీపర్ చే కాట్ తీసుకున్న (7)', '4 వ వంద (1629) ',' 10 వ కెరీర్ లో అత్యంత బాతులు (11) ',' ఇన్నింగ్స్ లో 9 వ చెత్త ఆర్థిక రేటు (9.60) ',' 7 వ లేకుండా కెరీర్లో అత్యధిక మ్యాచ్లు (144) ',' ఒక వృత్తిలో 9 వ అత్యధిక పరుగులు అత్యంత ఐదు-వికెట్ల లో-ఒక-ఇన్నింగ్స్ కెరీర్లో (2) ',' కెరీర్ (5906) లో బౌల్డ్ 6 వ అత్యంత బంతుల్లో ',' 2 వ అత్యధిక కెరీర్ (3822) లో ఇవ్వబడిన పరుగులలో ',' 3 వ అత్యంత ఒక పట్టుకుంటే తీసుకోబడిన వికెట్ల ఫీల్డర్ (67) ',' 1 వ ఇన్నింగ్స్ లో అత్యధిక క్యాచ్లు (4) ',' ఒక కెప్టెన్ (5) ',' 4 వ అత్యంత నాలుగు ద్వారా ఒక ఇన్నింగ్స్ బ్యాటింగ్ తెరవడం మరియు ఉత్తమ గణాంకాలు అదే మ్యాచ్ ',' 1st లో బౌలింగ్ వికెట్ల లో-ఒక-ఇన్నింగ్స్ కెరీర్లో (3) ',' 8 వ అత్యధిక వికెట్లు ఆకర్షించింది తీసుకున్న మరియు బౌల్డ్ కెరీర్ (58) లో (5) ',' 2 వ అత్యధిక క్యాచ్లు ']</v>
      </c>
      <c r="C3775" s="2" t="s">
        <v>2628</v>
      </c>
      <c r="D3775" s="2" t="str">
        <f>IFERROR(__xludf.DUMMYFUNCTION("IF(C3775&lt;&gt;"""", GOOGLETRANSLATE(C3775, ""en"", ""te""),"""")"),"[ 'ఇన్నింగ్స్ లో 6 వ అత్యధిక పరుగులు (బ్యాటింగ్ స్థానంలో ప్రకారం) (62 *)', '25 వ కెరీర్ లో అత్యధిక వికెట్లు (29)', '4 వ అత్యుత్తమ బౌలింగ్ ఇన్నింగ్స్ లో విశ్లేషించడం (5/19)', '8 వ ఉత్తమ బొమ్మలు ఒక ఇన్నింగ్స్ ఉన్నప్పుడు పరాజయం వైపు (5) ',' 17 వ మ్యాచ్ లో బ"&amp;"ెస్ట్ ఫిగర్స్ ఉన్నప్పుడు పరాజయం వైపు (5) ',' 35 వ ఉత్తమ కెరీర్ సగటు (22.24) ',' 38 వ ఉత్తమ కెరీర్ ఆర్థిక రేటు (1.76) బౌలింగ్ 'పై 'ఇన్నింగ్స్ లో 27 చెత్త సమ్మె రేటు (210.0)', '23 వ కెరీర్ లో బౌల్డ్ చాలా బంతుల్లో (2189)', '12 వ బౌలర్ / బ్యాట్స్ కలయికలు (4"&amp;")', '21 వ అత్యధిక వికెట్లు తీసుకున్న ఆకర్షించింది (15) ',' 8 వ ఎక్కువ వికెట్లు ఒక వికెట్ కీపర్ చే కాట్ తీసుకోకూడదు (7) ',' 12 వ అత్యధిక వికెట్లు తీసుకున్న ఎల్బిడబ్ల్యు (8) ',' ఆరవ వికెట్కు 13 వ అత్యధిక భాగస్వామ్యం (85) ',' ఎనిమిదవ వికెట్కు 17 అత్యధిక భాగస"&amp;"్వామ్యం (58) ']")</f>
        <v>[ 'ఇన్నింగ్స్ లో 6 వ అత్యధిక పరుగులు (బ్యాటింగ్ స్థానంలో ప్రకారం) (62 *)', '25 వ కెరీర్ లో అత్యధిక వికెట్లు (29)', '4 వ అత్యుత్తమ బౌలింగ్ ఇన్నింగ్స్ లో విశ్లేషించడం (5/19)', '8 వ ఉత్తమ బొమ్మలు ఒక ఇన్నింగ్స్ ఉన్నప్పుడు పరాజయం వైపు (5) ',' 17 వ మ్యాచ్ లో బెస్ట్ ఫిగర్స్ ఉన్నప్పుడు పరాజయం వైపు (5) ',' 35 వ ఉత్తమ కెరీర్ సగటు (22.24) ',' 38 వ ఉత్తమ కెరీర్ ఆర్థిక రేటు (1.76) బౌలింగ్ 'పై 'ఇన్నింగ్స్ లో 27 చెత్త సమ్మె రేటు (210.0)', '23 వ కెరీర్ లో బౌల్డ్ చాలా బంతుల్లో (2189)', '12 వ బౌలర్ / బ్యాట్స్ కలయికలు (4)', '21 వ అత్యధిక వికెట్లు తీసుకున్న ఆకర్షించింది (15) ',' 8 వ ఎక్కువ వికెట్లు ఒక వికెట్ కీపర్ చే కాట్ తీసుకోకూడదు (7) ',' 12 వ అత్యధిక వికెట్లు తీసుకున్న ఎల్బిడబ్ల్యు (8) ',' ఆరవ వికెట్కు 13 వ అత్యధిక భాగస్వామ్యం (85) ',' ఎనిమిదవ వికెట్కు 17 అత్యధిక భాగస్వామ్యం (58) ']</v>
      </c>
      <c r="E3775" s="2" t="s">
        <v>2629</v>
      </c>
      <c r="F3775" s="2" t="str">
        <f>IFERROR(__xludf.DUMMYFUNCTION("IF(E3775&lt;&gt;"""", GOOGLETRANSLATE(E3775, ""en"", ""te""),"""")"),"[ 'ముందు 33 వ అత్యంత ఇన్నింగ్స్ తొలి డక్ (16)', '10 వ కెరీర్ లో చాలా బాతులు (11)', '11 వ కెరీర్ లో అత్యధిక వికెట్లు (136)' '9 వ అత్యంత వంద (1629) లేకుండా ఒక వృత్తిలో నడుస్తుంది', '11 వ ఒక ఇన్నింగ్స్ లోని బెస్ట్ ఫిగర్స్ ఉన్నప్పుడు పరాజయం వైపు (4)', 'ఇన్ని"&amp;"ంగ్స్ లో 9 వ చెత్త ఆర్థిక రేటు (9.60)', '7 వ అత్యంత ఐదు-వికెట్ల లో-ఒక-ఇన్నింగ్స్ కెరీర్ (2) లో', '9 వ అత్యంత నాలుగు వికెట్లు-ఇన్-ఒక-ఇన్నింగ్స్ కెరీర్లో (6)', 'కెరీర్ లో బౌల్డ్ 6 వ అత్యంత బంతుల్లో (5906)', '2 వ అత్యధిక కెరీర్ లో సాధించిన పరుగులు (3822)', '"&amp;"3 వ బౌలర్ / బ్యాట్స్ కాంబినేషన్ (8) ',' 20 వ బౌలర్ / ఫీల్డర్ కలయికలు (13) ',' 8 వ అత్యధిక వికెట్లు తీసుకున్న బౌల్డ్ (35) ',' 5 వ అత్యధిక వికెట్లు తీసుకున్న ఆకర్షించింది (80) ',' 16 వ అత్యధిక వికెట్లు ఆకర్షించింది తీసుకున్న మరియు బౌల్డ్ (7) ' '3 వ అత్యంత ఫ"&amp;"ీల్డర్ చేత క్యాచ్ తీసుకున్న వికెట్ల (67)', '15 వ అత్యధిక వికెట్లు ఒక వికెట్ కీపర్ చే కాట్ తీసుకోకూడదు (13)', '25 వ అత్యధిక వికెట్లు తీసుకున్న ఎల్బిడబ్ల్యు (15)', '10 వ కెరీర్ లో అత్యధిక క్యాచ్లు (49)' '1 వ ఇన్నింగ్స్ లో అత్యధిక క్యాచ్లు (4)', 'ఆరవ వికెట్క"&amp;"ు 15 అత్యధిక భాగస్వామ్యం (83)', ఎనిమిదవ వికెట్కు '26 అత్యధిక భాగస్వామ్యం ( 48 *) ',' పదవ వికెట్ను (30 *) 24 అత్యధిక భాగస్వామ్యం ',' కెరీర్లో 4 వ అత్యధిక మ్యాచ్లు (144) ',' 24th లాంగెస్ట్ కెరీర్లు (15y 118d) ']")</f>
        <v>[ 'ముందు 33 వ అత్యంత ఇన్నింగ్స్ తొలి డక్ (16)', '10 వ కెరీర్ లో చాలా బాతులు (11)', '11 వ కెరీర్ లో అత్యధిక వికెట్లు (136)' '9 వ అత్యంత వంద (1629) లేకుండా ఒక వృత్తిలో నడుస్తుంది', '11 వ ఒక ఇన్నింగ్స్ లోని బెస్ట్ ఫిగర్స్ ఉన్నప్పుడు పరాజయం వైపు (4)', 'ఇన్నింగ్స్ లో 9 వ చెత్త ఆర్థిక రేటు (9.60)', '7 వ అత్యంత ఐదు-వికెట్ల లో-ఒక-ఇన్నింగ్స్ కెరీర్ (2) లో', '9 వ అత్యంత నాలుగు వికెట్లు-ఇన్-ఒక-ఇన్నింగ్స్ కెరీర్లో (6)', 'కెరీర్ లో బౌల్డ్ 6 వ అత్యంత బంతుల్లో (5906)', '2 వ అత్యధిక కెరీర్ లో సాధించిన పరుగులు (3822)', '3 వ బౌలర్ / బ్యాట్స్ కాంబినేషన్ (8) ',' 20 వ బౌలర్ / ఫీల్డర్ కలయికలు (13) ',' 8 వ అత్యధిక వికెట్లు తీసుకున్న బౌల్డ్ (35) ',' 5 వ అత్యధిక వికెట్లు తీసుకున్న ఆకర్షించింది (80) ',' 16 వ అత్యధిక వికెట్లు ఆకర్షించింది తీసుకున్న మరియు బౌల్డ్ (7) ' '3 వ అత్యంత ఫీల్డర్ చేత క్యాచ్ తీసుకున్న వికెట్ల (67)', '15 వ అత్యధిక వికెట్లు ఒక వికెట్ కీపర్ చే కాట్ తీసుకోకూడదు (13)', '25 వ అత్యధిక వికెట్లు తీసుకున్న ఎల్బిడబ్ల్యు (15)', '10 వ కెరీర్ లో అత్యధిక క్యాచ్లు (49)' '1 వ ఇన్నింగ్స్ లో అత్యధిక క్యాచ్లు (4)', 'ఆరవ వికెట్కు 15 అత్యధిక భాగస్వామ్యం (83)', ఎనిమిదవ వికెట్కు '26 అత్యధిక భాగస్వామ్యం ( 48 *) ',' పదవ వికెట్ను (30 *) 24 అత్యధిక భాగస్వామ్యం ',' కెరీర్లో 4 వ అత్యధిక మ్యాచ్లు (144) ',' 24th లాంగెస్ట్ కెరీర్లు (15y 118d) ']</v>
      </c>
      <c r="G3775" s="2" t="s">
        <v>2630</v>
      </c>
      <c r="H3775" s="2" t="str">
        <f>IFERROR(__xludf.DUMMYFUNCTION("IF(G3775&lt;&gt;"""", GOOGLETRANSLATE(G3775, ""en"", ""te""),"""")"),"[ '22 వ ఇన్నింగ్స్ లో అత్యధిక పరుగులు (బ్యాటింగ్ స్థానంలో ప్రకారం) (30 *)', ఒక ఇన్నింగ్స్ లో 'కెరీర్ లో 16 వ అత్యంత బాతులు (6)', '14 వ కెరీర్ లో అత్యధిక వికెట్లు (75)', '36 వ బెస్ట్ ఫిగర్స్ (5 / 18) ',' 26 అత్యుత్తమ ఇన్నింగ్స్ లో బౌలింగ్ విశ్లేషణలు (2/3) "&amp;"',' 11 వ ఒకే మైదానంలో అత్యధిక వికెట్లు (11) ',' ఒక కెప్టెన్తో ఒక ఇన్నింగ్స్ లో 1 వ బెస్ట్ ఫిగర్స్ (5) ',' 40 వ ఉత్తమ కెరీర్ బౌలింగ్ సరాసరి (19.82) ',' 22 వ ఉత్తమ కెరీర్ సమ్మె రేటు (18.4) ',' ఇన్నింగ్స్ లో 13 వ ఉత్తమ సమ్మె రేటు (3.0) ',' 13 వ చెత్త కెరీర్"&amp;"లో ఆర్థిక రేటు (6.44) ',' 4 వ అత్యంత నాలుగు వికెట్లు -ఇన్-ఒక-ఇన్నింగ్స్ కెరీర్లో (3) ',' 20 వ కెరీర్ లో బౌల్డ్ చాలా బంతుల్లో (1385) ',' 13 వ కెరీర్ లో సాధించిన అత్యధిక పరుగులు (1487) ',' 23 వ ఇన్నింగ్స్ లో సాధించిన అత్యధిక పరుగులు (49) ' , 18 వ బౌలర్ / బ్"&amp;"యాట్స్ కలయికలు (4) ',' 10 వ బౌలర్ / ఫీల్డర్ కలయికలు (11) ',' 27 వ అత్యధిక వికెట్లు తీసుకున్న బౌల్డ్ (14) ',' 10 వ అత్యధిక వికెట్లు తీసుకున్న ఆకర్షించింది (50) ',' 8 వ అత్యధిక వికెట్లు తీసుకున్న క్యాచ్ మరియు బౌల్డ్ (5) ',' 9 వ అత్యధిక వికెట్లు ఒక ఫీల్డర్ చ"&amp;"ేత క్యాచ్ తీసుకున్న (46) ',' 32 వ అత్యధిక వికెట్లు తీసుకున్న స్టంప్ (6) ',' 2 వ పలు c లో క్యాచ్లు areer (58) ',' ఇన్నింగ్స్ లో (3) ',' ఐదవ వికెట్కు 43 వ అత్యధిక భాగస్వామ్యం (52) ',' ఏడవ వికెట్ (44 *) కోసం 16 అత్యధిక భాగస్వామ్యం ',' 16 వ అత్యధిక మ్యాచ్లు ల"&amp;"ో 3 వ అత్యధిక క్యాచ్లు కెరీర్ (104) ',' బృందం (41) 28 వరుస మ్యాచ్లు ']")</f>
        <v>[ '22 వ ఇన్నింగ్స్ లో అత్యధిక పరుగులు (బ్యాటింగ్ స్థానంలో ప్రకారం) (30 *)', ఒక ఇన్నింగ్స్ లో 'కెరీర్ లో 16 వ అత్యంత బాతులు (6)', '14 వ కెరీర్ లో అత్యధిక వికెట్లు (75)', '36 వ బెస్ట్ ఫిగర్స్ (5 / 18) ',' 26 అత్యుత్తమ ఇన్నింగ్స్ లో బౌలింగ్ విశ్లేషణలు (2/3) ',' 11 వ ఒకే మైదానంలో అత్యధిక వికెట్లు (11) ',' ఒక కెప్టెన్తో ఒక ఇన్నింగ్స్ లో 1 వ బెస్ట్ ఫిగర్స్ (5) ',' 40 వ ఉత్తమ కెరీర్ బౌలింగ్ సరాసరి (19.82) ',' 22 వ ఉత్తమ కెరీర్ సమ్మె రేటు (18.4) ',' ఇన్నింగ్స్ లో 13 వ ఉత్తమ సమ్మె రేటు (3.0) ',' 13 వ చెత్త కెరీర్లో ఆర్థిక రేటు (6.44) ',' 4 వ అత్యంత నాలుగు వికెట్లు -ఇన్-ఒక-ఇన్నింగ్స్ కెరీర్లో (3) ',' 20 వ కెరీర్ లో బౌల్డ్ చాలా బంతుల్లో (1385) ',' 13 వ కెరీర్ లో సాధించిన అత్యధిక పరుగులు (1487) ',' 23 వ ఇన్నింగ్స్ లో సాధించిన అత్యధిక పరుగులు (49) ' , 18 వ బౌలర్ / బ్యాట్స్ కలయికలు (4) ',' 10 వ బౌలర్ / ఫీల్డర్ కలయికలు (11) ',' 27 వ అత్యధిక వికెట్లు తీసుకున్న బౌల్డ్ (14) ',' 10 వ అత్యధిక వికెట్లు తీసుకున్న ఆకర్షించింది (50) ',' 8 వ అత్యధిక వికెట్లు తీసుకున్న క్యాచ్ మరియు బౌల్డ్ (5) ',' 9 వ అత్యధిక వికెట్లు ఒక ఫీల్డర్ చేత క్యాచ్ తీసుకున్న (46) ',' 32 వ అత్యధిక వికెట్లు తీసుకున్న స్టంప్ (6) ',' 2 వ పలు c లో క్యాచ్లు areer (58) ',' ఇన్నింగ్స్ లో (3) ',' ఐదవ వికెట్కు 43 వ అత్యధిక భాగస్వామ్యం (52) ',' ఏడవ వికెట్ (44 *) కోసం 16 అత్యధిక భాగస్వామ్యం ',' 16 వ అత్యధిక మ్యాచ్లు లో 3 వ అత్యధిక క్యాచ్లు కెరీర్ (104) ',' బృందం (41) 28 వరుస మ్యాచ్లు ']</v>
      </c>
      <c r="I3775" s="3"/>
    </row>
    <row r="3776" customHeight="1" spans="1:9">
      <c r="A3776" s="2"/>
      <c r="B3776" s="2" t="str">
        <f>IFERROR(__xludf.DUMMYFUNCTION("IF(A3776&lt;&gt;"""", GOOGLETRANSLATE(A3776, ""en"", ""te""),"""")"),"")</f>
        <v/>
      </c>
      <c r="C3776" s="2"/>
      <c r="D3776" s="2" t="str">
        <f>IFERROR(__xludf.DUMMYFUNCTION("IF(C3776&lt;&gt;"""", GOOGLETRANSLATE(C3776, ""en"", ""te""),"""")"),"")</f>
        <v/>
      </c>
      <c r="E3776" s="2"/>
      <c r="F3776" s="2" t="str">
        <f>IFERROR(__xludf.DUMMYFUNCTION("IF(E3776&lt;&gt;"""", GOOGLETRANSLATE(E3776, ""en"", ""te""),"""")"),"")</f>
        <v/>
      </c>
      <c r="G3776" s="2"/>
      <c r="H3776" s="2" t="str">
        <f>IFERROR(__xludf.DUMMYFUNCTION("IF(G3776&lt;&gt;"""", GOOGLETRANSLATE(G3776, ""en"", ""te""),"""")"),"")</f>
        <v/>
      </c>
      <c r="I3776" s="3"/>
    </row>
    <row r="3777" customHeight="1" spans="1:9">
      <c r="A3777" s="2"/>
      <c r="B3777" s="2" t="str">
        <f>IFERROR(__xludf.DUMMYFUNCTION("IF(A3777&lt;&gt;"""", GOOGLETRANSLATE(A3777, ""en"", ""te""),"""")"),"")</f>
        <v/>
      </c>
      <c r="C3777" s="2"/>
      <c r="D3777" s="2" t="str">
        <f>IFERROR(__xludf.DUMMYFUNCTION("IF(C3777&lt;&gt;"""", GOOGLETRANSLATE(C3777, ""en"", ""te""),"""")"),"")</f>
        <v/>
      </c>
      <c r="E3777" s="2"/>
      <c r="F3777" s="2" t="str">
        <f>IFERROR(__xludf.DUMMYFUNCTION("IF(E3777&lt;&gt;"""", GOOGLETRANSLATE(E3777, ""en"", ""te""),"""")"),"")</f>
        <v/>
      </c>
      <c r="G3777" s="2"/>
      <c r="H3777" s="2" t="str">
        <f>IFERROR(__xludf.DUMMYFUNCTION("IF(G3777&lt;&gt;"""", GOOGLETRANSLATE(G3777, ""en"", ""te""),"""")"),"")</f>
        <v/>
      </c>
      <c r="I3777" s="3"/>
    </row>
    <row r="3778" customHeight="1" spans="1:9">
      <c r="A3778" s="2"/>
      <c r="B3778" s="2" t="str">
        <f>IFERROR(__xludf.DUMMYFUNCTION("IF(A3778&lt;&gt;"""", GOOGLETRANSLATE(A3778, ""en"", ""te""),"""")"),"")</f>
        <v/>
      </c>
      <c r="C3778" s="2"/>
      <c r="D3778" s="2" t="str">
        <f>IFERROR(__xludf.DUMMYFUNCTION("IF(C3778&lt;&gt;"""", GOOGLETRANSLATE(C3778, ""en"", ""te""),"""")"),"")</f>
        <v/>
      </c>
      <c r="E3778" s="2"/>
      <c r="F3778" s="2" t="str">
        <f>IFERROR(__xludf.DUMMYFUNCTION("IF(E3778&lt;&gt;"""", GOOGLETRANSLATE(E3778, ""en"", ""te""),"""")"),"")</f>
        <v/>
      </c>
      <c r="G3778" s="2"/>
      <c r="H3778" s="2" t="str">
        <f>IFERROR(__xludf.DUMMYFUNCTION("IF(G3778&lt;&gt;"""", GOOGLETRANSLATE(G3778, ""en"", ""te""),"""")"),"")</f>
        <v/>
      </c>
      <c r="I3778" s="3"/>
    </row>
    <row r="3779" customHeight="1" spans="1:9">
      <c r="A3779" s="2"/>
      <c r="B3779" s="2" t="str">
        <f>IFERROR(__xludf.DUMMYFUNCTION("IF(A3779&lt;&gt;"""", GOOGLETRANSLATE(A3779, ""en"", ""te""),"""")"),"")</f>
        <v/>
      </c>
      <c r="C3779" s="2"/>
      <c r="D3779" s="2" t="str">
        <f>IFERROR(__xludf.DUMMYFUNCTION("IF(C3779&lt;&gt;"""", GOOGLETRANSLATE(C3779, ""en"", ""te""),"""")"),"")</f>
        <v/>
      </c>
      <c r="E3779" s="2"/>
      <c r="F3779" s="2" t="str">
        <f>IFERROR(__xludf.DUMMYFUNCTION("IF(E3779&lt;&gt;"""", GOOGLETRANSLATE(E3779, ""en"", ""te""),"""")"),"")</f>
        <v/>
      </c>
      <c r="G3779" s="2"/>
      <c r="H3779" s="2" t="str">
        <f>IFERROR(__xludf.DUMMYFUNCTION("IF(G3779&lt;&gt;"""", GOOGLETRANSLATE(G3779, ""en"", ""te""),"""")"),"")</f>
        <v/>
      </c>
      <c r="I3779" s="3"/>
    </row>
    <row r="3780" customHeight="1" spans="1:9">
      <c r="A3780" s="2"/>
      <c r="B3780" s="2" t="str">
        <f>IFERROR(__xludf.DUMMYFUNCTION("IF(A3780&lt;&gt;"""", GOOGLETRANSLATE(A3780, ""en"", ""te""),"""")"),"")</f>
        <v/>
      </c>
      <c r="C3780" s="2" t="s">
        <v>2631</v>
      </c>
      <c r="D3780" s="2" t="str">
        <f>IFERROR(__xludf.DUMMYFUNCTION("IF(C3780&lt;&gt;"""", GOOGLETRANSLATE(C3780, ""en"", ""te""),"""")"),"[ '21 వ అత్యంత వృద్ధ ఆటగాడు తొలి తీసుకుని ఐదు-వికెట్ల లో-ఒక-ఇన్నింగ్స్ (36y 296d)']")</f>
        <v>[ '21 వ అత్యంత వృద్ధ ఆటగాడు తొలి తీసుకుని ఐదు-వికెట్ల లో-ఒక-ఇన్నింగ్స్ (36y 296d)']</v>
      </c>
      <c r="E3780" s="2"/>
      <c r="F3780" s="2" t="str">
        <f>IFERROR(__xludf.DUMMYFUNCTION("IF(E3780&lt;&gt;"""", GOOGLETRANSLATE(E3780, ""en"", ""te""),"""")"),"")</f>
        <v/>
      </c>
      <c r="G3780" s="2"/>
      <c r="H3780" s="2" t="str">
        <f>IFERROR(__xludf.DUMMYFUNCTION("IF(G3780&lt;&gt;"""", GOOGLETRANSLATE(G3780, ""en"", ""te""),"""")"),"")</f>
        <v/>
      </c>
      <c r="I3780" s="3"/>
    </row>
    <row r="3781" customHeight="1" spans="1:9">
      <c r="A3781" s="2" t="s">
        <v>2632</v>
      </c>
      <c r="B3781" s="2" t="str">
        <f>IFERROR(__xludf.DUMMYFUNCTION("IF(A3781&lt;&gt;"""", GOOGLETRANSLATE(A3781, ""en"", ""te""),"""")"),"[ '8 వ చాల వరకు ఒక అంపైర్ (74) గా పేర్కొంటే']")</f>
        <v>[ '8 వ చాల వరకు ఒక అంపైర్ (74) గా పేర్కొంటే']</v>
      </c>
      <c r="C3781" s="2" t="s">
        <v>2632</v>
      </c>
      <c r="D3781" s="2" t="str">
        <f>IFERROR(__xludf.DUMMYFUNCTION("IF(C3781&lt;&gt;"""", GOOGLETRANSLATE(C3781, ""en"", ""te""),"""")"),"[ '8 వ చాల వరకు ఒక అంపైర్ (74) గా పేర్కొంటే']")</f>
        <v>[ '8 వ చాల వరకు ఒక అంపైర్ (74) గా పేర్కొంటే']</v>
      </c>
      <c r="E3781" s="2" t="s">
        <v>2633</v>
      </c>
      <c r="F3781" s="2" t="str">
        <f>IFERROR(__xludf.DUMMYFUNCTION("IF(E3781&lt;&gt;"""", GOOGLETRANSLATE(E3781, ""en"", ""te""),"""")"),"[ '9 వ చాల వరకు ఒక అంపైర్ (140) వంటి ఆటలకు]")</f>
        <v>[ '9 వ చాల వరకు ఒక అంపైర్ (140) వంటి ఆటలకు]</v>
      </c>
      <c r="G3781" s="2" t="s">
        <v>2634</v>
      </c>
      <c r="H3781" s="2" t="str">
        <f>IFERROR(__xludf.DUMMYFUNCTION("IF(G3781&lt;&gt;"""", GOOGLETRANSLATE(G3781, ""en"", ""te""),"""")"),"[ '4 వ చాల వరకు ఒక అంపైర్ (37) గా పేర్కొంటే']")</f>
        <v>[ '4 వ చాల వరకు ఒక అంపైర్ (37) గా పేర్కొంటే']</v>
      </c>
      <c r="I3781" s="3"/>
    </row>
    <row r="3782" customHeight="1" spans="1:9">
      <c r="A3782" s="2"/>
      <c r="B3782" s="2" t="str">
        <f>IFERROR(__xludf.DUMMYFUNCTION("IF(A3782&lt;&gt;"""", GOOGLETRANSLATE(A3782, ""en"", ""te""),"""")"),"")</f>
        <v/>
      </c>
      <c r="C3782" s="2"/>
      <c r="D3782" s="2" t="str">
        <f>IFERROR(__xludf.DUMMYFUNCTION("IF(C3782&lt;&gt;"""", GOOGLETRANSLATE(C3782, ""en"", ""te""),"""")"),"")</f>
        <v/>
      </c>
      <c r="E3782" s="2"/>
      <c r="F3782" s="2" t="str">
        <f>IFERROR(__xludf.DUMMYFUNCTION("IF(E3782&lt;&gt;"""", GOOGLETRANSLATE(E3782, ""en"", ""te""),"""")"),"")</f>
        <v/>
      </c>
      <c r="G3782" s="2"/>
      <c r="H3782" s="2" t="str">
        <f>IFERROR(__xludf.DUMMYFUNCTION("IF(G3782&lt;&gt;"""", GOOGLETRANSLATE(G3782, ""en"", ""te""),"""")"),"")</f>
        <v/>
      </c>
      <c r="I3782" s="3"/>
    </row>
    <row r="3783" customHeight="1" spans="1:9">
      <c r="A3783" s="2"/>
      <c r="B3783" s="2" t="str">
        <f>IFERROR(__xludf.DUMMYFUNCTION("IF(A3783&lt;&gt;"""", GOOGLETRANSLATE(A3783, ""en"", ""te""),"""")"),"")</f>
        <v/>
      </c>
      <c r="C3783" s="2" t="s">
        <v>2635</v>
      </c>
      <c r="D3783" s="2" t="str">
        <f>IFERROR(__xludf.DUMMYFUNCTION("IF(C3783&lt;&gt;"""", GOOGLETRANSLATE(C3783, ""en"", ""te""),"""")"),"['21 వ చెత్త కెరీర్ బౌలింగ్ సరాసరి (58.47) ',' 50th చెత్త కెరీర్లో సమ్మె రేటు (106.4) ']")</f>
        <v>['21 వ చెత్త కెరీర్ బౌలింగ్ సరాసరి (58.47) ',' 50th చెత్త కెరీర్లో సమ్మె రేటు (106.4) ']</v>
      </c>
      <c r="E3783" s="2" t="s">
        <v>2636</v>
      </c>
      <c r="F3783" s="2" t="str">
        <f>IFERROR(__xludf.DUMMYFUNCTION("IF(E3783&lt;&gt;"""", GOOGLETRANSLATE(E3783, ""en"", ""te""),"""")"),"[ '26 ఒక సిరీస్లో అత్యధిక వికెట్లు (20)', '50 వికెట్లు (28) కు 24 వ వేగవంతమైన', '18 వ ఉత్తమ కెరీర్ సమ్మె రేటు (29.3)', '29th సగటు (23.21) బౌలింగ్ ఉత్తమ కెరీర్లో']")</f>
        <v>[ '26 ఒక సిరీస్లో అత్యధిక వికెట్లు (20)', '50 వికెట్లు (28) కు 24 వ వేగవంతమైన', '18 వ ఉత్తమ కెరీర్ సమ్మె రేటు (29.3)', '29th సగటు (23.21) బౌలింగ్ ఉత్తమ కెరీర్లో']</v>
      </c>
      <c r="G3783" s="2"/>
      <c r="H3783" s="2" t="str">
        <f>IFERROR(__xludf.DUMMYFUNCTION("IF(G3783&lt;&gt;"""", GOOGLETRANSLATE(G3783, ""en"", ""te""),"""")"),"")</f>
        <v/>
      </c>
      <c r="I3783" s="3"/>
    </row>
    <row r="3784" customHeight="1" spans="1:9">
      <c r="A3784" s="2"/>
      <c r="B3784" s="2" t="str">
        <f>IFERROR(__xludf.DUMMYFUNCTION("IF(A3784&lt;&gt;"""", GOOGLETRANSLATE(A3784, ""en"", ""te""),"""")"),"")</f>
        <v/>
      </c>
      <c r="C3784" s="2"/>
      <c r="D3784" s="2" t="str">
        <f>IFERROR(__xludf.DUMMYFUNCTION("IF(C3784&lt;&gt;"""", GOOGLETRANSLATE(C3784, ""en"", ""te""),"""")"),"")</f>
        <v/>
      </c>
      <c r="E3784" s="2"/>
      <c r="F3784" s="2" t="str">
        <f>IFERROR(__xludf.DUMMYFUNCTION("IF(E3784&lt;&gt;"""", GOOGLETRANSLATE(E3784, ""en"", ""te""),"""")"),"")</f>
        <v/>
      </c>
      <c r="G3784" s="2" t="s">
        <v>2637</v>
      </c>
      <c r="H3784" s="2" t="str">
        <f>IFERROR(__xludf.DUMMYFUNCTION("IF(G3784&lt;&gt;"""", GOOGLETRANSLATE(G3784, ""en"", ""te""),"""")"),"[ '23 వ ఉత్తమ కెరీర్ బౌలింగ్ సరాసరి (అర్హత లేకుండా) (5.66)']")</f>
        <v>[ '23 వ ఉత్తమ కెరీర్ బౌలింగ్ సరాసరి (అర్హత లేకుండా) (5.66)']</v>
      </c>
      <c r="I3784" s="3"/>
    </row>
    <row r="3785" customHeight="1" spans="1:9">
      <c r="A3785" s="2" t="s">
        <v>2638</v>
      </c>
      <c r="B3785" s="2" t="str">
        <f>IFERROR(__xludf.DUMMYFUNCTION("IF(A3785&lt;&gt;"""", GOOGLETRANSLATE(A3785, ""en"", ""te""),"""")"),"[ '6 వ ఉత్తమ సమ్మె ఇన్నింగ్స్ లో రేటు (3.0)']")</f>
        <v>[ '6 వ ఉత్తమ సమ్మె ఇన్నింగ్స్ లో రేటు (3.0)']</v>
      </c>
      <c r="C3785" s="2"/>
      <c r="D3785" s="2" t="str">
        <f>IFERROR(__xludf.DUMMYFUNCTION("IF(C3785&lt;&gt;"""", GOOGLETRANSLATE(C3785, ""en"", ""te""),"""")"),"")</f>
        <v/>
      </c>
      <c r="E3785" s="2"/>
      <c r="F3785" s="2" t="str">
        <f>IFERROR(__xludf.DUMMYFUNCTION("IF(E3785&lt;&gt;"""", GOOGLETRANSLATE(E3785, ""en"", ""te""),"""")"),"")</f>
        <v/>
      </c>
      <c r="G3785" s="2" t="s">
        <v>2638</v>
      </c>
      <c r="H3785" s="2" t="str">
        <f>IFERROR(__xludf.DUMMYFUNCTION("IF(G3785&lt;&gt;"""", GOOGLETRANSLATE(G3785, ""en"", ""te""),"""")"),"[ '6 వ ఉత్తమ సమ్మె ఇన్నింగ్స్ లో రేటు (3.0)']")</f>
        <v>[ '6 వ ఉత్తమ సమ్మె ఇన్నింగ్స్ లో రేటు (3.0)']</v>
      </c>
      <c r="I3785" s="3"/>
    </row>
    <row r="3786" customHeight="1" spans="1:9">
      <c r="A3786" s="2"/>
      <c r="B3786" s="2" t="str">
        <f>IFERROR(__xludf.DUMMYFUNCTION("IF(A3786&lt;&gt;"""", GOOGLETRANSLATE(A3786, ""en"", ""te""),"""")"),"")</f>
        <v/>
      </c>
      <c r="C3786" s="2"/>
      <c r="D3786" s="2" t="str">
        <f>IFERROR(__xludf.DUMMYFUNCTION("IF(C3786&lt;&gt;"""", GOOGLETRANSLATE(C3786, ""en"", ""te""),"""")"),"")</f>
        <v/>
      </c>
      <c r="E3786" s="2"/>
      <c r="F3786" s="2" t="str">
        <f>IFERROR(__xludf.DUMMYFUNCTION("IF(E3786&lt;&gt;"""", GOOGLETRANSLATE(E3786, ""en"", ""te""),"""")"),"")</f>
        <v/>
      </c>
      <c r="G3786" s="2"/>
      <c r="H3786" s="2" t="str">
        <f>IFERROR(__xludf.DUMMYFUNCTION("IF(G3786&lt;&gt;"""", GOOGLETRANSLATE(G3786, ""en"", ""te""),"""")"),"")</f>
        <v/>
      </c>
      <c r="I3786" s="3"/>
    </row>
    <row r="3787" customHeight="1" spans="1:9">
      <c r="A3787" s="2" t="s">
        <v>2639</v>
      </c>
      <c r="B3787" s="2" t="str">
        <f>IFERROR(__xludf.DUMMYFUNCTION("IF(A3787&lt;&gt;"""", GOOGLETRANSLATE(A3787, ""en"", ""te""),"""")"),"[ 'ఇన్నింగ్స్ లో 2 వ ఎక్కువ సిక్స్ (11)', '1000 పరుగులు, 50 వికెట్లు, 50 క్యాచ్లు', 'ఎనిమిదవ వికెట్ (253) 4 వ అత్యధిక భాగస్వామ్యం', 'కెరీర్ లో 2 వ పెద్ద తొంభైల (9)', '6 వ ఒక సిరీస్లో అత్యధిక బాతులు (3) ',' 7 వ అత్యుత్తమ బౌలింగ్ ఇన్నింగ్స్ (3/4) ',' నూట ఇ"&amp;"న్నింగ్స్ ',' 1000 పరుగులు, 50 వికెట్లు నాలుగు వికెట్లు, 50 క్యాచ్లు ',' 5000 పరుగులు విశ్లేషణలలో మరియు 50 ఫీల్డింగ్ వికెట్లు ',' కెరీర్ (11) 8 వ అత్యంత తొంభైల ']")</f>
        <v>[ 'ఇన్నింగ్స్ లో 2 వ ఎక్కువ సిక్స్ (11)', '1000 పరుగులు, 50 వికెట్లు, 50 క్యాచ్లు', 'ఎనిమిదవ వికెట్ (253) 4 వ అత్యధిక భాగస్వామ్యం', 'కెరీర్ లో 2 వ పెద్ద తొంభైల (9)', '6 వ ఒక సిరీస్లో అత్యధిక బాతులు (3) ',' 7 వ అత్యుత్తమ బౌలింగ్ ఇన్నింగ్స్ (3/4) ',' నూట ఇన్నింగ్స్ ',' 1000 పరుగులు, 50 వికెట్లు నాలుగు వికెట్లు, 50 క్యాచ్లు ',' 5000 పరుగులు విశ్లేషణలలో మరియు 50 ఫీల్డింగ్ వికెట్లు ',' కెరీర్ (11) 8 వ అత్యంత తొంభైల ']</v>
      </c>
      <c r="C3787" s="2" t="s">
        <v>2640</v>
      </c>
      <c r="D3787" s="2" t="str">
        <f>IFERROR(__xludf.DUMMYFUNCTION("IF(C3787&lt;&gt;"""", GOOGLETRANSLATE(C3787, ""en"", ""te""),"""")"),"[ '16 వ ఇన్నింగ్స్ లో అత్యధిక పరుగులు (బ్యాటింగ్ స్థానంలో ప్రకారం) (222)', '19 వ పరాజయం వైపు ఒక మ్యాచ్లో అత్యధిక పరుగులు (232)' 'ఒక రోజు లో 18 వ అత్యధిక పరుగులు (222)', '2 వ ఎక్కువ సిక్స్ ఒక ఇన్నింగ్స్ లో (11) ',' ఇన్నింగ్స్ లో ఫోర్లు, సిక్సర్లు నుండి 16"&amp;" వ అత్యధిక పరుగులు (178) ',' 39 వ చెత్త కెరీర్లో సమ్మె రేటు (111.5) ',' ఐదవ వికెట్కు 45 వ అత్యధిక భాగస్వామ్యం (222) ',' 4 వ ఎనిమిదవ వికెట్కు అత్యధిక భాగస్వామ్యం (253) ',' పదవ వికెట్ను (118) కోసం 14 అత్యధిక భాగస్వామ్యం ']")</f>
        <v>[ '16 వ ఇన్నింగ్స్ లో అత్యధిక పరుగులు (బ్యాటింగ్ స్థానంలో ప్రకారం) (222)', '19 వ పరాజయం వైపు ఒక మ్యాచ్లో అత్యధిక పరుగులు (232)' 'ఒక రోజు లో 18 వ అత్యధిక పరుగులు (222)', '2 వ ఎక్కువ సిక్స్ ఒక ఇన్నింగ్స్ లో (11) ',' ఇన్నింగ్స్ లో ఫోర్లు, సిక్సర్లు నుండి 16 వ అత్యధిక పరుగులు (178) ',' 39 వ చెత్త కెరీర్లో సమ్మె రేటు (111.5) ',' ఐదవ వికెట్కు 45 వ అత్యధిక భాగస్వామ్యం (222) ',' 4 వ ఎనిమిదవ వికెట్కు అత్యధిక భాగస్వామ్యం (253) ',' పదవ వికెట్ను (118) కోసం 14 అత్యధిక భాగస్వామ్యం ']</v>
      </c>
      <c r="E3787" s="2" t="s">
        <v>2641</v>
      </c>
      <c r="F3787" s="2" t="str">
        <f>IFERROR(__xludf.DUMMYFUNCTION("IF(E3787&lt;&gt;"""", GOOGLETRANSLATE(E3787, ""en"", ""te""),"""")"),"[ '19 ఒక జట్టు వ్యతిరేకంగా అత్యధిక వందలు (5)', 'కెరీర్ లో 2 వ పెద్ద తొంభైల (9)', '36 వ అత్యంత' ఒక కెరీర్ (16) 23 వ అత్యధిక వందలు '' 42 వ అత్యధిక కెరీర్ లో పరుగులు (7090) ', వరుస కెరీర్లో అర్ధ (57) ',' 18 వ కెరీర్ బాతులు (19) ',' 6 వ అత్యంత బాతులు (3) ','"&amp;" 33 వ కెరీర్ ఫోర్లు (720) ',' 14 వ ఇన్నింగ్స్ లో వచ్చిన ఎక్కువ ఫోర్లు ( 21) ',' ఒక ఇన్నింగ్స్లో పరుగుల 38 వ అత్యధిక శాతం (55.45) ',' ఫాస్టెస్ట్ 4000 పరుగులు (120) ',' 37 వ వేగవంతమైన 5000 పరుగులు (147) ',' 6000 పరుగులు 32 వ వేగంగా చేయడానికి 47 వ (182) ','"&amp;" 7000 పరుగులు (212) కు 26 వేగవంతమైన ',' 7 వ అత్యుత్తమ బౌలింగ్ ఇన్నింగ్స్ (3/4) ',' 47 వ కెరీర్ లో అత్యధిక క్యాచ్లు (83) ',' 16 వ అత్యంత ప్లేయర్ ఆఫ్ ది మ్యాచ్ అవార్డులు విశ్లేషణలలో (25) ']")</f>
        <v>[ '19 ఒక జట్టు వ్యతిరేకంగా అత్యధిక వందలు (5)', 'కెరీర్ లో 2 వ పెద్ద తొంభైల (9)', '36 వ అత్యంత' ఒక కెరీర్ (16) 23 వ అత్యధిక వందలు '' 42 వ అత్యధిక కెరీర్ లో పరుగులు (7090) ', వరుస కెరీర్లో అర్ధ (57) ',' 18 వ కెరీర్ బాతులు (19) ',' 6 వ అత్యంత బాతులు (3) ',' 33 వ కెరీర్ ఫోర్లు (720) ',' 14 వ ఇన్నింగ్స్ లో వచ్చిన ఎక్కువ ఫోర్లు ( 21) ',' ఒక ఇన్నింగ్స్లో పరుగుల 38 వ అత్యధిక శాతం (55.45) ',' ఫాస్టెస్ట్ 4000 పరుగులు (120) ',' 37 వ వేగవంతమైన 5000 పరుగులు (147) ',' 6000 పరుగులు 32 వ వేగంగా చేయడానికి 47 వ (182) ',' 7000 పరుగులు (212) కు 26 వేగవంతమైన ',' 7 వ అత్యుత్తమ బౌలింగ్ ఇన్నింగ్స్ (3/4) ',' 47 వ కెరీర్ లో అత్యధిక క్యాచ్లు (83) ',' 16 వ అత్యంత ప్లేయర్ ఆఫ్ ది మ్యాచ్ అవార్డులు విశ్లేషణలలో (25) ']</v>
      </c>
      <c r="G3787" s="2" t="s">
        <v>2642</v>
      </c>
      <c r="H3787" s="2" t="str">
        <f>IFERROR(__xludf.DUMMYFUNCTION("IF(G3787&lt;&gt;"""", GOOGLETRANSLATE(G3787, ""en"", ""te""),"""")"),"[ '26 పురాతన దేశం ఆటగాళ్ళు (49y 181d)']")</f>
        <v>[ '26 పురాతన దేశం ఆటగాళ్ళు (49y 181d)']</v>
      </c>
      <c r="I3787" s="3"/>
    </row>
    <row r="3788" customHeight="1" spans="1:9">
      <c r="A3788" s="2"/>
      <c r="B3788" s="2" t="str">
        <f>IFERROR(__xludf.DUMMYFUNCTION("IF(A3788&lt;&gt;"""", GOOGLETRANSLATE(A3788, ""en"", ""te""),"""")"),"")</f>
        <v/>
      </c>
      <c r="C3788" s="2"/>
      <c r="D3788" s="2" t="str">
        <f>IFERROR(__xludf.DUMMYFUNCTION("IF(C3788&lt;&gt;"""", GOOGLETRANSLATE(C3788, ""en"", ""te""),"""")"),"")</f>
        <v/>
      </c>
      <c r="E3788" s="2"/>
      <c r="F3788" s="2" t="str">
        <f>IFERROR(__xludf.DUMMYFUNCTION("IF(E3788&lt;&gt;"""", GOOGLETRANSLATE(E3788, ""en"", ""te""),"""")"),"")</f>
        <v/>
      </c>
      <c r="G3788" s="2"/>
      <c r="H3788" s="2" t="str">
        <f>IFERROR(__xludf.DUMMYFUNCTION("IF(G3788&lt;&gt;"""", GOOGLETRANSLATE(G3788, ""en"", ""te""),"""")"),"")</f>
        <v/>
      </c>
      <c r="I3788" s="3"/>
    </row>
    <row r="3789" customHeight="1" spans="1:9">
      <c r="A3789" s="2"/>
      <c r="B3789" s="2" t="str">
        <f>IFERROR(__xludf.DUMMYFUNCTION("IF(A3789&lt;&gt;"""", GOOGLETRANSLATE(A3789, ""en"", ""te""),"""")"),"")</f>
        <v/>
      </c>
      <c r="C3789" s="2"/>
      <c r="D3789" s="2" t="str">
        <f>IFERROR(__xludf.DUMMYFUNCTION("IF(C3789&lt;&gt;"""", GOOGLETRANSLATE(C3789, ""en"", ""te""),"""")"),"")</f>
        <v/>
      </c>
      <c r="E3789" s="2"/>
      <c r="F3789" s="2" t="str">
        <f>IFERROR(__xludf.DUMMYFUNCTION("IF(E3789&lt;&gt;"""", GOOGLETRANSLATE(E3789, ""en"", ""te""),"""")"),"")</f>
        <v/>
      </c>
      <c r="G3789" s="2"/>
      <c r="H3789" s="2" t="str">
        <f>IFERROR(__xludf.DUMMYFUNCTION("IF(G3789&lt;&gt;"""", GOOGLETRANSLATE(G3789, ""en"", ""te""),"""")"),"")</f>
        <v/>
      </c>
      <c r="I3789" s="3"/>
    </row>
    <row r="3790" customHeight="1" spans="1:9">
      <c r="A3790" s="2"/>
      <c r="B3790" s="2" t="str">
        <f>IFERROR(__xludf.DUMMYFUNCTION("IF(A3790&lt;&gt;"""", GOOGLETRANSLATE(A3790, ""en"", ""te""),"""")"),"")</f>
        <v/>
      </c>
      <c r="C3790" s="2"/>
      <c r="D3790" s="2" t="str">
        <f>IFERROR(__xludf.DUMMYFUNCTION("IF(C3790&lt;&gt;"""", GOOGLETRANSLATE(C3790, ""en"", ""te""),"""")"),"")</f>
        <v/>
      </c>
      <c r="E3790" s="2"/>
      <c r="F3790" s="2" t="str">
        <f>IFERROR(__xludf.DUMMYFUNCTION("IF(E3790&lt;&gt;"""", GOOGLETRANSLATE(E3790, ""en"", ""te""),"""")"),"")</f>
        <v/>
      </c>
      <c r="G3790" s="2"/>
      <c r="H3790" s="2" t="str">
        <f>IFERROR(__xludf.DUMMYFUNCTION("IF(G3790&lt;&gt;"""", GOOGLETRANSLATE(G3790, ""en"", ""te""),"""")"),"")</f>
        <v/>
      </c>
      <c r="I3790" s="3"/>
    </row>
    <row r="3791" customHeight="1" spans="1:9">
      <c r="A3791" s="2"/>
      <c r="B3791" s="2" t="str">
        <f>IFERROR(__xludf.DUMMYFUNCTION("IF(A3791&lt;&gt;"""", GOOGLETRANSLATE(A3791, ""en"", ""te""),"""")"),"")</f>
        <v/>
      </c>
      <c r="C3791" s="2"/>
      <c r="D3791" s="2" t="str">
        <f>IFERROR(__xludf.DUMMYFUNCTION("IF(C3791&lt;&gt;"""", GOOGLETRANSLATE(C3791, ""en"", ""te""),"""")"),"")</f>
        <v/>
      </c>
      <c r="E3791" s="2"/>
      <c r="F3791" s="2" t="str">
        <f>IFERROR(__xludf.DUMMYFUNCTION("IF(E3791&lt;&gt;"""", GOOGLETRANSLATE(E3791, ""en"", ""te""),"""")"),"")</f>
        <v/>
      </c>
      <c r="G3791" s="2"/>
      <c r="H3791" s="2" t="str">
        <f>IFERROR(__xludf.DUMMYFUNCTION("IF(G3791&lt;&gt;"""", GOOGLETRANSLATE(G3791, ""en"", ""te""),"""")"),"")</f>
        <v/>
      </c>
      <c r="I3791" s="3"/>
    </row>
    <row r="3792" customHeight="1" spans="1:9">
      <c r="A3792" s="2"/>
      <c r="B3792" s="2" t="str">
        <f>IFERROR(__xludf.DUMMYFUNCTION("IF(A3792&lt;&gt;"""", GOOGLETRANSLATE(A3792, ""en"", ""te""),"""")"),"")</f>
        <v/>
      </c>
      <c r="C3792" s="2" t="s">
        <v>2643</v>
      </c>
      <c r="D3792" s="2" t="str">
        <f>IFERROR(__xludf.DUMMYFUNCTION("IF(C3792&lt;&gt;"""", GOOGLETRANSLATE(C3792, ""en"", ""te""),"""")"),"[ 'తొలి 18 తొంభై (92)']")</f>
        <v>[ 'తొలి 18 తొంభై (92)']</v>
      </c>
      <c r="E3792" s="2"/>
      <c r="F3792" s="2" t="str">
        <f>IFERROR(__xludf.DUMMYFUNCTION("IF(E3792&lt;&gt;"""", GOOGLETRANSLATE(E3792, ""en"", ""te""),"""")"),"")</f>
        <v/>
      </c>
      <c r="G3792" s="2"/>
      <c r="H3792" s="2" t="str">
        <f>IFERROR(__xludf.DUMMYFUNCTION("IF(G3792&lt;&gt;"""", GOOGLETRANSLATE(G3792, ""en"", ""te""),"""")"),"")</f>
        <v/>
      </c>
      <c r="I3792" s="3"/>
    </row>
    <row r="3793" customHeight="1" spans="1:9">
      <c r="A3793" s="2"/>
      <c r="B3793" s="2" t="str">
        <f>IFERROR(__xludf.DUMMYFUNCTION("IF(A3793&lt;&gt;"""", GOOGLETRANSLATE(A3793, ""en"", ""te""),"""")"),"")</f>
        <v/>
      </c>
      <c r="C3793" s="2"/>
      <c r="D3793" s="2" t="str">
        <f>IFERROR(__xludf.DUMMYFUNCTION("IF(C3793&lt;&gt;"""", GOOGLETRANSLATE(C3793, ""en"", ""te""),"""")"),"")</f>
        <v/>
      </c>
      <c r="E3793" s="2"/>
      <c r="F3793" s="2" t="str">
        <f>IFERROR(__xludf.DUMMYFUNCTION("IF(E3793&lt;&gt;"""", GOOGLETRANSLATE(E3793, ""en"", ""te""),"""")"),"")</f>
        <v/>
      </c>
      <c r="G3793" s="2"/>
      <c r="H3793" s="2" t="str">
        <f>IFERROR(__xludf.DUMMYFUNCTION("IF(G3793&lt;&gt;"""", GOOGLETRANSLATE(G3793, ""en"", ""te""),"""")"),"")</f>
        <v/>
      </c>
      <c r="I3793" s="3"/>
    </row>
    <row r="3794" customHeight="1" spans="1:9">
      <c r="A3794" s="2"/>
      <c r="B3794" s="2" t="str">
        <f>IFERROR(__xludf.DUMMYFUNCTION("IF(A3794&lt;&gt;"""", GOOGLETRANSLATE(A3794, ""en"", ""te""),"""")"),"")</f>
        <v/>
      </c>
      <c r="C3794" s="2" t="s">
        <v>2644</v>
      </c>
      <c r="D3794" s="2" t="str">
        <f>IFERROR(__xludf.DUMMYFUNCTION("IF(C3794&lt;&gt;"""", GOOGLETRANSLATE(C3794, ""en"", ""te""),"""")"),"[ '14 వ పురాతన దేశం ఆటగాళ్ళు (90y 325d)']")</f>
        <v>[ '14 వ పురాతన దేశం ఆటగాళ్ళు (90y 325d)']</v>
      </c>
      <c r="E3794" s="2"/>
      <c r="F3794" s="2" t="str">
        <f>IFERROR(__xludf.DUMMYFUNCTION("IF(E3794&lt;&gt;"""", GOOGLETRANSLATE(E3794, ""en"", ""te""),"""")"),"")</f>
        <v/>
      </c>
      <c r="G3794" s="2"/>
      <c r="H3794" s="2" t="str">
        <f>IFERROR(__xludf.DUMMYFUNCTION("IF(G3794&lt;&gt;"""", GOOGLETRANSLATE(G3794, ""en"", ""te""),"""")"),"")</f>
        <v/>
      </c>
      <c r="I3794" s="3"/>
    </row>
    <row r="3795" customHeight="1" spans="1:9">
      <c r="A3795" s="2"/>
      <c r="B3795" s="2" t="str">
        <f>IFERROR(__xludf.DUMMYFUNCTION("IF(A3795&lt;&gt;"""", GOOGLETRANSLATE(A3795, ""en"", ""te""),"""")"),"")</f>
        <v/>
      </c>
      <c r="C3795" s="2"/>
      <c r="D3795" s="2" t="str">
        <f>IFERROR(__xludf.DUMMYFUNCTION("IF(C3795&lt;&gt;"""", GOOGLETRANSLATE(C3795, ""en"", ""te""),"""")"),"")</f>
        <v/>
      </c>
      <c r="E3795" s="2" t="s">
        <v>2645</v>
      </c>
      <c r="F3795" s="2" t="str">
        <f>IFERROR(__xludf.DUMMYFUNCTION("IF(E3795&lt;&gt;"""", GOOGLETRANSLATE(E3795, ""en"", ""te""),"""")"),"[ '47 వ చెత్త ఇన్నింగ్స్ లో ఆర్థిక రేటు (10.80)']")</f>
        <v>[ '47 వ చెత్త ఇన్నింగ్స్ లో ఆర్థిక రేటు (10.80)']</v>
      </c>
      <c r="G3795" s="2"/>
      <c r="H3795" s="2" t="str">
        <f>IFERROR(__xludf.DUMMYFUNCTION("IF(G3795&lt;&gt;"""", GOOGLETRANSLATE(G3795, ""en"", ""te""),"""")"),"")</f>
        <v/>
      </c>
      <c r="I3795" s="3"/>
    </row>
    <row r="3796" customHeight="1" spans="1:9">
      <c r="A3796" s="2"/>
      <c r="B3796" s="2" t="str">
        <f>IFERROR(__xludf.DUMMYFUNCTION("IF(A3796&lt;&gt;"""", GOOGLETRANSLATE(A3796, ""en"", ""te""),"""")"),"")</f>
        <v/>
      </c>
      <c r="C3796" s="2"/>
      <c r="D3796" s="2" t="str">
        <f>IFERROR(__xludf.DUMMYFUNCTION("IF(C3796&lt;&gt;"""", GOOGLETRANSLATE(C3796, ""en"", ""te""),"""")"),"")</f>
        <v/>
      </c>
      <c r="E3796" s="2"/>
      <c r="F3796" s="2" t="str">
        <f>IFERROR(__xludf.DUMMYFUNCTION("IF(E3796&lt;&gt;"""", GOOGLETRANSLATE(E3796, ""en"", ""te""),"""")"),"")</f>
        <v/>
      </c>
      <c r="G3796" s="2"/>
      <c r="H3796" s="2" t="str">
        <f>IFERROR(__xludf.DUMMYFUNCTION("IF(G3796&lt;&gt;"""", GOOGLETRANSLATE(G3796, ""en"", ""te""),"""")"),"")</f>
        <v/>
      </c>
      <c r="I3796" s="3"/>
    </row>
    <row r="3797" customHeight="1" spans="1:9">
      <c r="A3797" s="2" t="s">
        <v>2646</v>
      </c>
      <c r="B3797" s="2" t="str">
        <f>IFERROR(__xludf.DUMMYFUNCTION("IF(A3797&lt;&gt;"""", GOOGLETRANSLATE(A3797, ""en"", ""te""),"""")"),"[ 'ఇన్నింగ్స్ లో 6 వ ఎక్కువ సిక్స్ (14)', '2 వ ఉత్తమ కెరీర్ సమ్మె రేటు (24.7)', '4 వ ఇన్నింగ్స్ లో అత్యధిక పరుగులు (బ్యాటింగ్ స్థానంలో ప్రకారం) (94 *)', '7 వ ఇన్నింగ్స్ లో వచ్చిన ఎక్కువ సిక్స్ ( ఒక ఇన్నింగ్స్ లో 10) ',' 1 వ అత్యధిక క్యాచ్లు (4) ']")</f>
        <v>[ 'ఇన్నింగ్స్ లో 6 వ ఎక్కువ సిక్స్ (14)', '2 వ ఉత్తమ కెరీర్ సమ్మె రేటు (24.7)', '4 వ ఇన్నింగ్స్ లో అత్యధిక పరుగులు (బ్యాటింగ్ స్థానంలో ప్రకారం) (94 *)', '7 వ ఇన్నింగ్స్ లో వచ్చిన ఎక్కువ సిక్స్ ( ఒక ఇన్నింగ్స్ లో 10) ',' 1 వ అత్యధిక క్యాచ్లు (4) ']</v>
      </c>
      <c r="C3797" s="2"/>
      <c r="D3797" s="2" t="str">
        <f>IFERROR(__xludf.DUMMYFUNCTION("IF(C3797&lt;&gt;"""", GOOGLETRANSLATE(C3797, ""en"", ""te""),"""")"),"")</f>
        <v/>
      </c>
      <c r="E3797" s="2" t="s">
        <v>2647</v>
      </c>
      <c r="F3797" s="2" t="str">
        <f>IFERROR(__xludf.DUMMYFUNCTION("IF(E3797&lt;&gt;"""", GOOGLETRANSLATE(E3797, ""en"", ""te""),"""")"),"[ '12 వ ఇన్నింగ్స్ లో అత్యధిక పరుగులు (బ్యాటింగ్ స్థానంలో ప్రకారం) (131 *)', '14 వ అత్యధిక కెరీర్ సమ్మె రేటు (108.72)', 'ఇన్నింగ్స్ లో 30 వ అత్యధిక స్ట్రైక్ రేట్ (278.72)', '50 వ అత్యధిక తొలి వంద (131 *) ',' 6 వ ఇన్నింగ్స్ లో వచ్చిన ఎక్కువ సిక్స్ (14) ',"&amp;"' ఇన్నింగ్స్ లో ఫోర్లు, సిక్సర్లు నుండి 33 వ అత్యధిక పరుగులు (108) ',' 2 వ ఉత్తమ కెరీర్ సమ్మె రేటు (24.7) ',' 7 వ చెత్త కెరీర్లో ఆర్థిక రేటు ( 6.06) ',' ఇన్నింగ్స్ లో 10 వ చెత్త ఆర్థిక రేటు (12.00) ',' 19 వ అత్యధిక పరుగులు ఇన్నింగ్స్ లో సాధించిన (96) ']")</f>
        <v>[ '12 వ ఇన్నింగ్స్ లో అత్యధిక పరుగులు (బ్యాటింగ్ స్థానంలో ప్రకారం) (131 *)', '14 వ అత్యధిక కెరీర్ సమ్మె రేటు (108.72)', 'ఇన్నింగ్స్ లో 30 వ అత్యధిక స్ట్రైక్ రేట్ (278.72)', '50 వ అత్యధిక తొలి వంద (131 *) ',' 6 వ ఇన్నింగ్స్ లో వచ్చిన ఎక్కువ సిక్స్ (14) ',' ఇన్నింగ్స్ లో ఫోర్లు, సిక్సర్లు నుండి 33 వ అత్యధిక పరుగులు (108) ',' 2 వ ఉత్తమ కెరీర్ సమ్మె రేటు (24.7) ',' 7 వ చెత్త కెరీర్లో ఆర్థిక రేటు ( 6.06) ',' ఇన్నింగ్స్ లో 10 వ చెత్త ఆర్థిక రేటు (12.00) ',' 19 వ అత్యధిక పరుగులు ఇన్నింగ్స్ లో సాధించిన (96) ']</v>
      </c>
      <c r="G3797" s="2" t="s">
        <v>2648</v>
      </c>
      <c r="H3797" s="2" t="str">
        <f>IFERROR(__xludf.DUMMYFUNCTION("IF(G3797&lt;&gt;"""", GOOGLETRANSLATE(G3797, ""en"", ""te""),"""")"),"[ 'ఇన్నింగ్స్ లో 4 వ అత్యధిక పరుగులు (బ్యాటింగ్ స్థానంలో ప్రకారం) (94 *)', '48 వ అత్యధిక కెరీర్ సమ్మె రేటు (138.17)', '7 వ ఇన్నింగ్స్ లో వచ్చిన ఎక్కువ సిక్స్ (10)', '1 వ ఇన్నింగ్స్ లో అత్యధిక క్యాచ్లు ( 4) ']")</f>
        <v>[ 'ఇన్నింగ్స్ లో 4 వ అత్యధిక పరుగులు (బ్యాటింగ్ స్థానంలో ప్రకారం) (94 *)', '48 వ అత్యధిక కెరీర్ సమ్మె రేటు (138.17)', '7 వ ఇన్నింగ్స్ లో వచ్చిన ఎక్కువ సిక్స్ (10)', '1 వ ఇన్నింగ్స్ లో అత్యధిక క్యాచ్లు ( 4) ']</v>
      </c>
      <c r="I3797" s="3"/>
    </row>
    <row r="3798" customHeight="1" spans="1:9">
      <c r="A3798" s="2"/>
      <c r="B3798" s="2" t="str">
        <f>IFERROR(__xludf.DUMMYFUNCTION("IF(A3798&lt;&gt;"""", GOOGLETRANSLATE(A3798, ""en"", ""te""),"""")"),"")</f>
        <v/>
      </c>
      <c r="C3798" s="2"/>
      <c r="D3798" s="2" t="str">
        <f>IFERROR(__xludf.DUMMYFUNCTION("IF(C3798&lt;&gt;"""", GOOGLETRANSLATE(C3798, ""en"", ""te""),"""")"),"")</f>
        <v/>
      </c>
      <c r="E3798" s="2"/>
      <c r="F3798" s="2" t="str">
        <f>IFERROR(__xludf.DUMMYFUNCTION("IF(E3798&lt;&gt;"""", GOOGLETRANSLATE(E3798, ""en"", ""te""),"""")"),"")</f>
        <v/>
      </c>
      <c r="G3798" s="2"/>
      <c r="H3798" s="2" t="str">
        <f>IFERROR(__xludf.DUMMYFUNCTION("IF(G3798&lt;&gt;"""", GOOGLETRANSLATE(G3798, ""en"", ""te""),"""")"),"")</f>
        <v/>
      </c>
      <c r="I3798" s="3"/>
    </row>
    <row r="3799" customHeight="1" spans="1:9">
      <c r="A3799" s="2"/>
      <c r="B3799" s="2" t="str">
        <f>IFERROR(__xludf.DUMMYFUNCTION("IF(A3799&lt;&gt;"""", GOOGLETRANSLATE(A3799, ""en"", ""te""),"""")"),"")</f>
        <v/>
      </c>
      <c r="C3799" s="2"/>
      <c r="D3799" s="2" t="str">
        <f>IFERROR(__xludf.DUMMYFUNCTION("IF(C3799&lt;&gt;"""", GOOGLETRANSLATE(C3799, ""en"", ""te""),"""")"),"")</f>
        <v/>
      </c>
      <c r="E3799" s="2"/>
      <c r="F3799" s="2" t="str">
        <f>IFERROR(__xludf.DUMMYFUNCTION("IF(E3799&lt;&gt;"""", GOOGLETRANSLATE(E3799, ""en"", ""te""),"""")"),"")</f>
        <v/>
      </c>
      <c r="G3799" s="2"/>
      <c r="H3799" s="2" t="str">
        <f>IFERROR(__xludf.DUMMYFUNCTION("IF(G3799&lt;&gt;"""", GOOGLETRANSLATE(G3799, ""en"", ""te""),"""")"),"")</f>
        <v/>
      </c>
      <c r="I3799" s="3"/>
    </row>
    <row r="3800" customHeight="1" spans="1:9">
      <c r="A3800" s="2"/>
      <c r="B3800" s="2" t="str">
        <f>IFERROR(__xludf.DUMMYFUNCTION("IF(A3800&lt;&gt;"""", GOOGLETRANSLATE(A3800, ""en"", ""te""),"""")"),"")</f>
        <v/>
      </c>
      <c r="C3800" s="2"/>
      <c r="D3800" s="2" t="str">
        <f>IFERROR(__xludf.DUMMYFUNCTION("IF(C3800&lt;&gt;"""", GOOGLETRANSLATE(C3800, ""en"", ""te""),"""")"),"")</f>
        <v/>
      </c>
      <c r="E3800" s="2"/>
      <c r="F3800" s="2" t="str">
        <f>IFERROR(__xludf.DUMMYFUNCTION("IF(E3800&lt;&gt;"""", GOOGLETRANSLATE(E3800, ""en"", ""te""),"""")"),"")</f>
        <v/>
      </c>
      <c r="G3800" s="2"/>
      <c r="H3800" s="2" t="str">
        <f>IFERROR(__xludf.DUMMYFUNCTION("IF(G3800&lt;&gt;"""", GOOGLETRANSLATE(G3800, ""en"", ""te""),"""")"),"")</f>
        <v/>
      </c>
      <c r="I3800" s="3"/>
    </row>
    <row r="3801" customHeight="1" spans="1:9">
      <c r="A3801" s="2"/>
      <c r="B3801" s="2" t="str">
        <f>IFERROR(__xludf.DUMMYFUNCTION("IF(A3801&lt;&gt;"""", GOOGLETRANSLATE(A3801, ""en"", ""te""),"""")"),"")</f>
        <v/>
      </c>
      <c r="C3801" s="2"/>
      <c r="D3801" s="2" t="str">
        <f>IFERROR(__xludf.DUMMYFUNCTION("IF(C3801&lt;&gt;"""", GOOGLETRANSLATE(C3801, ""en"", ""te""),"""")"),"")</f>
        <v/>
      </c>
      <c r="E3801" s="2"/>
      <c r="F3801" s="2" t="str">
        <f>IFERROR(__xludf.DUMMYFUNCTION("IF(E3801&lt;&gt;"""", GOOGLETRANSLATE(E3801, ""en"", ""te""),"""")"),"")</f>
        <v/>
      </c>
      <c r="G3801" s="2"/>
      <c r="H3801" s="2" t="str">
        <f>IFERROR(__xludf.DUMMYFUNCTION("IF(G3801&lt;&gt;"""", GOOGLETRANSLATE(G3801, ""en"", ""te""),"""")"),"")</f>
        <v/>
      </c>
      <c r="I3801" s="3"/>
    </row>
    <row r="3802" customHeight="1" spans="1:9">
      <c r="A3802" s="2" t="s">
        <v>2649</v>
      </c>
      <c r="B3802" s="2" t="str">
        <f>IFERROR(__xludf.DUMMYFUNCTION("IF(A3802&lt;&gt;"""", GOOGLETRANSLATE(A3802, ""en"", ""te""),"""")"),"[ 'ఏడవ వికెట్ (123) 9 వ అత్యధిక భాగస్వామ్యం']")</f>
        <v>[ 'ఏడవ వికెట్ (123) 9 వ అత్యధిక భాగస్వామ్యం']</v>
      </c>
      <c r="C3802" s="2"/>
      <c r="D3802" s="2" t="str">
        <f>IFERROR(__xludf.DUMMYFUNCTION("IF(C3802&lt;&gt;"""", GOOGLETRANSLATE(C3802, ""en"", ""te""),"""")"),"")</f>
        <v/>
      </c>
      <c r="E3802" s="2" t="s">
        <v>2650</v>
      </c>
      <c r="F3802" s="2" t="str">
        <f>IFERROR(__xludf.DUMMYFUNCTION("IF(E3802&lt;&gt;"""", GOOGLETRANSLATE(E3802, ""en"", ""te""),"""")"),"[ 'ఏడవ వికెట్కు 9 వ అత్యధిక భాగస్వామ్యం (123)', 'ప్రదర్శనల మధ్య 34 వ లాంగెస్ట్ వ్యవధిలో (6y 292d)', '40 వ వరుస మ్యాచ్లు జట్టు తప్పిన' 29 అత్యంత వృద్ధ ఆటగాడు తొలి వంద (33y 39d) స్కోర్ ' ప్రదర్శనల మధ్య (129) ']")</f>
        <v>[ 'ఏడవ వికెట్కు 9 వ అత్యధిక భాగస్వామ్యం (123)', 'ప్రదర్శనల మధ్య 34 వ లాంగెస్ట్ వ్యవధిలో (6y 292d)', '40 వ వరుస మ్యాచ్లు జట్టు తప్పిన' 29 అత్యంత వృద్ధ ఆటగాడు తొలి వంద (33y 39d) స్కోర్ ' ప్రదర్శనల మధ్య (129) ']</v>
      </c>
      <c r="G3802" s="2" t="s">
        <v>1622</v>
      </c>
      <c r="H3802" s="2" t="str">
        <f>IFERROR(__xludf.DUMMYFUNCTION("IF(G3802&lt;&gt;"""", GOOGLETRANSLATE(G3802, ""en"", ""te""),"""")"),"[ '42 వ వరుస మ్యాచ్లు ప్రదర్శనల మధ్య బృందం (38) తప్పిన']")</f>
        <v>[ '42 వ వరుస మ్యాచ్లు ప్రదర్శనల మధ్య బృందం (38) తప్పిన']</v>
      </c>
      <c r="I3802" s="3"/>
    </row>
    <row r="3803" customHeight="1" spans="1:9">
      <c r="A3803" s="2"/>
      <c r="B3803" s="2" t="str">
        <f>IFERROR(__xludf.DUMMYFUNCTION("IF(A3803&lt;&gt;"""", GOOGLETRANSLATE(A3803, ""en"", ""te""),"""")"),"")</f>
        <v/>
      </c>
      <c r="C3803" s="2"/>
      <c r="D3803" s="2" t="str">
        <f>IFERROR(__xludf.DUMMYFUNCTION("IF(C3803&lt;&gt;"""", GOOGLETRANSLATE(C3803, ""en"", ""te""),"""")"),"")</f>
        <v/>
      </c>
      <c r="E3803" s="2"/>
      <c r="F3803" s="2" t="str">
        <f>IFERROR(__xludf.DUMMYFUNCTION("IF(E3803&lt;&gt;"""", GOOGLETRANSLATE(E3803, ""en"", ""te""),"""")"),"")</f>
        <v/>
      </c>
      <c r="G3803" s="2"/>
      <c r="H3803" s="2" t="str">
        <f>IFERROR(__xludf.DUMMYFUNCTION("IF(G3803&lt;&gt;"""", GOOGLETRANSLATE(G3803, ""en"", ""te""),"""")"),"")</f>
        <v/>
      </c>
      <c r="I3803" s="3"/>
    </row>
    <row r="3804" customHeight="1" spans="1:9">
      <c r="A3804" s="2"/>
      <c r="B3804" s="2" t="str">
        <f>IFERROR(__xludf.DUMMYFUNCTION("IF(A3804&lt;&gt;"""", GOOGLETRANSLATE(A3804, ""en"", ""te""),"""")"),"")</f>
        <v/>
      </c>
      <c r="C3804" s="2"/>
      <c r="D3804" s="2" t="str">
        <f>IFERROR(__xludf.DUMMYFUNCTION("IF(C3804&lt;&gt;"""", GOOGLETRANSLATE(C3804, ""en"", ""te""),"""")"),"")</f>
        <v/>
      </c>
      <c r="E3804" s="2"/>
      <c r="F3804" s="2" t="str">
        <f>IFERROR(__xludf.DUMMYFUNCTION("IF(E3804&lt;&gt;"""", GOOGLETRANSLATE(E3804, ""en"", ""te""),"""")"),"")</f>
        <v/>
      </c>
      <c r="G3804" s="2"/>
      <c r="H3804" s="2" t="str">
        <f>IFERROR(__xludf.DUMMYFUNCTION("IF(G3804&lt;&gt;"""", GOOGLETRANSLATE(G3804, ""en"", ""te""),"""")"),"")</f>
        <v/>
      </c>
      <c r="I3804" s="3"/>
    </row>
    <row r="3805" customHeight="1" spans="1:9">
      <c r="A3805" s="2"/>
      <c r="B3805" s="2" t="str">
        <f>IFERROR(__xludf.DUMMYFUNCTION("IF(A3805&lt;&gt;"""", GOOGLETRANSLATE(A3805, ""en"", ""te""),"""")"),"")</f>
        <v/>
      </c>
      <c r="C3805" s="2"/>
      <c r="D3805" s="2" t="str">
        <f>IFERROR(__xludf.DUMMYFUNCTION("IF(C3805&lt;&gt;"""", GOOGLETRANSLATE(C3805, ""en"", ""te""),"""")"),"")</f>
        <v/>
      </c>
      <c r="E3805" s="2"/>
      <c r="F3805" s="2" t="str">
        <f>IFERROR(__xludf.DUMMYFUNCTION("IF(E3805&lt;&gt;"""", GOOGLETRANSLATE(E3805, ""en"", ""te""),"""")"),"")</f>
        <v/>
      </c>
      <c r="G3805" s="2"/>
      <c r="H3805" s="2" t="str">
        <f>IFERROR(__xludf.DUMMYFUNCTION("IF(G3805&lt;&gt;"""", GOOGLETRANSLATE(G3805, ""en"", ""te""),"""")"),"")</f>
        <v/>
      </c>
      <c r="I3805" s="3"/>
    </row>
    <row r="3806" customHeight="1" spans="1:9">
      <c r="A3806" s="2" t="s">
        <v>2651</v>
      </c>
      <c r="B3806" s="2" t="str">
        <f>IFERROR(__xludf.DUMMYFUNCTION("IF(A3806&lt;&gt;"""", GOOGLETRANSLATE(A3806, ""en"", ""te""),"""")"),"[ 'ఇన్నింగ్స్ లో 1 వ అత్యధిక వికెట్లు (5)', 'చాలా 5 వ ఇన్నింగ్స్ లో క్యాచ్లు (3)']")</f>
        <v>[ 'ఇన్నింగ్స్ లో 1 వ అత్యధిక వికెట్లు (5)', 'చాలా 5 వ ఇన్నింగ్స్ లో క్యాచ్లు (3)']</v>
      </c>
      <c r="C3806" s="2"/>
      <c r="D3806" s="2" t="str">
        <f>IFERROR(__xludf.DUMMYFUNCTION("IF(C3806&lt;&gt;"""", GOOGLETRANSLATE(C3806, ""en"", ""te""),"""")"),"")</f>
        <v/>
      </c>
      <c r="E3806" s="2"/>
      <c r="F3806" s="2" t="str">
        <f>IFERROR(__xludf.DUMMYFUNCTION("IF(E3806&lt;&gt;"""", GOOGLETRANSLATE(E3806, ""en"", ""te""),"""")"),"")</f>
        <v/>
      </c>
      <c r="G3806" s="2" t="s">
        <v>2651</v>
      </c>
      <c r="H3806" s="2" t="str">
        <f>IFERROR(__xludf.DUMMYFUNCTION("IF(G3806&lt;&gt;"""", GOOGLETRANSLATE(G3806, ""en"", ""te""),"""")"),"[ 'ఇన్నింగ్స్ లో 1 వ అత్యధిక వికెట్లు (5)', 'చాలా 5 వ ఇన్నింగ్స్ లో క్యాచ్లు (3)']")</f>
        <v>[ 'ఇన్నింగ్స్ లో 1 వ అత్యధిక వికెట్లు (5)', 'చాలా 5 వ ఇన్నింగ్స్ లో క్యాచ్లు (3)']</v>
      </c>
      <c r="I3806" s="3"/>
    </row>
    <row r="3807" customHeight="1" spans="1:9">
      <c r="A3807" s="2"/>
      <c r="B3807" s="2" t="str">
        <f>IFERROR(__xludf.DUMMYFUNCTION("IF(A3807&lt;&gt;"""", GOOGLETRANSLATE(A3807, ""en"", ""te""),"""")"),"")</f>
        <v/>
      </c>
      <c r="C3807" s="2"/>
      <c r="D3807" s="2" t="str">
        <f>IFERROR(__xludf.DUMMYFUNCTION("IF(C3807&lt;&gt;"""", GOOGLETRANSLATE(C3807, ""en"", ""te""),"""")"),"")</f>
        <v/>
      </c>
      <c r="E3807" s="2" t="s">
        <v>2652</v>
      </c>
      <c r="F3807" s="2" t="str">
        <f>IFERROR(__xludf.DUMMYFUNCTION("IF(E3807&lt;&gt;"""", GOOGLETRANSLATE(E3807, ""en"", ""te""),"""")"),"[ '20 వ చెత్త ఇన్నింగ్స్ లో ఆర్థిక రేటు (9.00)']")</f>
        <v>[ '20 వ చెత్త ఇన్నింగ్స్ లో ఆర్థిక రేటు (9.00)']</v>
      </c>
      <c r="G3807" s="2"/>
      <c r="H3807" s="2" t="str">
        <f>IFERROR(__xludf.DUMMYFUNCTION("IF(G3807&lt;&gt;"""", GOOGLETRANSLATE(G3807, ""en"", ""te""),"""")"),"")</f>
        <v/>
      </c>
      <c r="I3807" s="3"/>
    </row>
    <row r="3808" customHeight="1" spans="1:9">
      <c r="A3808" s="2" t="s">
        <v>2653</v>
      </c>
      <c r="B3808" s="2" t="str">
        <f>IFERROR(__xludf.DUMMYFUNCTION("IF(A3808&lt;&gt;"""", GOOGLETRANSLATE(A3808, ""en"", ""te""),"""")"),"[ '6 వ చెత్త కెరీర్లో సమ్మె రేటు (145.1)', '4 వ అత్యధిక క్యాచ్లు ఒక ఇన్నింగ్స్ లో (3)']")</f>
        <v>[ '6 వ చెత్త కెరీర్లో సమ్మె రేటు (145.1)', '4 వ అత్యధిక క్యాచ్లు ఒక ఇన్నింగ్స్ లో (3)']</v>
      </c>
      <c r="C3808" s="2" t="s">
        <v>2654</v>
      </c>
      <c r="D3808" s="2" t="str">
        <f>IFERROR(__xludf.DUMMYFUNCTION("IF(C3808&lt;&gt;"""", GOOGLETRANSLATE(C3808, ""en"", ""te""),"""")"),"[ '7th చెత్త కెరీర్ బౌలింగ్ సరాసరి (48.00)', '6 వ చెత్త కెరీర్లో సమ్మె రేటు (145.1)', 'ఇన్నింగ్స్ లో 18 చెత్త సమ్మె రేటు (216.0)']")</f>
        <v>[ '7th చెత్త కెరీర్ బౌలింగ్ సరాసరి (48.00)', '6 వ చెత్త కెరీర్లో సమ్మె రేటు (145.1)', 'ఇన్నింగ్స్ లో 18 చెత్త సమ్మె రేటు (216.0)']</v>
      </c>
      <c r="E3808" s="2" t="s">
        <v>2655</v>
      </c>
      <c r="F3808" s="2" t="str">
        <f>IFERROR(__xludf.DUMMYFUNCTION("IF(E3808&lt;&gt;"""", GOOGLETRANSLATE(E3808, ""en"", ""te""),"""")"),"[ '8 వ ఉత్తమ కెరీర్ బౌలింగ్ సరాసరి (16.21)', '1 వ ఉత్తమ కెరీర్ ఆర్థిక రేటు (1.81)', 'ఇన్నింగ్స్ లో 36 వ ఉత్తమ ఆర్థిక రేటు (0.42)', '36 వ చెత్త కెరీర్లో సమ్మె రేటు (53.6)', '4 వ అత్యంత ఒక ఇన్నింగ్స్ లో క్యాచ్లు (3) ']")</f>
        <v>[ '8 వ ఉత్తమ కెరీర్ బౌలింగ్ సరాసరి (16.21)', '1 వ ఉత్తమ కెరీర్ ఆర్థిక రేటు (1.81)', 'ఇన్నింగ్స్ లో 36 వ ఉత్తమ ఆర్థిక రేటు (0.42)', '36 వ చెత్త కెరీర్లో సమ్మె రేటు (53.6)', '4 వ అత్యంత ఒక ఇన్నింగ్స్ లో క్యాచ్లు (3) ']</v>
      </c>
      <c r="G3808" s="2"/>
      <c r="H3808" s="2" t="str">
        <f>IFERROR(__xludf.DUMMYFUNCTION("IF(G3808&lt;&gt;"""", GOOGLETRANSLATE(G3808, ""en"", ""te""),"""")"),"")</f>
        <v/>
      </c>
      <c r="I3808" s="3"/>
    </row>
    <row r="3809" customHeight="1" spans="1:9">
      <c r="A3809" s="2"/>
      <c r="B3809" s="2" t="str">
        <f>IFERROR(__xludf.DUMMYFUNCTION("IF(A3809&lt;&gt;"""", GOOGLETRANSLATE(A3809, ""en"", ""te""),"""")"),"")</f>
        <v/>
      </c>
      <c r="C3809" s="2"/>
      <c r="D3809" s="2" t="str">
        <f>IFERROR(__xludf.DUMMYFUNCTION("IF(C3809&lt;&gt;"""", GOOGLETRANSLATE(C3809, ""en"", ""te""),"""")"),"")</f>
        <v/>
      </c>
      <c r="E3809" s="2"/>
      <c r="F3809" s="2" t="str">
        <f>IFERROR(__xludf.DUMMYFUNCTION("IF(E3809&lt;&gt;"""", GOOGLETRANSLATE(E3809, ""en"", ""te""),"""")"),"")</f>
        <v/>
      </c>
      <c r="G3809" s="2"/>
      <c r="H3809" s="2" t="str">
        <f>IFERROR(__xludf.DUMMYFUNCTION("IF(G3809&lt;&gt;"""", GOOGLETRANSLATE(G3809, ""en"", ""te""),"""")"),"")</f>
        <v/>
      </c>
      <c r="I3809" s="3"/>
    </row>
    <row r="3810" customHeight="1" spans="1:9">
      <c r="A3810" s="2"/>
      <c r="B3810" s="2" t="str">
        <f>IFERROR(__xludf.DUMMYFUNCTION("IF(A3810&lt;&gt;"""", GOOGLETRANSLATE(A3810, ""en"", ""te""),"""")"),"")</f>
        <v/>
      </c>
      <c r="C3810" s="2"/>
      <c r="D3810" s="2" t="str">
        <f>IFERROR(__xludf.DUMMYFUNCTION("IF(C3810&lt;&gt;"""", GOOGLETRANSLATE(C3810, ""en"", ""te""),"""")"),"")</f>
        <v/>
      </c>
      <c r="E3810" s="2"/>
      <c r="F3810" s="2" t="str">
        <f>IFERROR(__xludf.DUMMYFUNCTION("IF(E3810&lt;&gt;"""", GOOGLETRANSLATE(E3810, ""en"", ""te""),"""")"),"")</f>
        <v/>
      </c>
      <c r="G3810" s="2"/>
      <c r="H3810" s="2" t="str">
        <f>IFERROR(__xludf.DUMMYFUNCTION("IF(G3810&lt;&gt;"""", GOOGLETRANSLATE(G3810, ""en"", ""te""),"""")"),"")</f>
        <v/>
      </c>
      <c r="I3810" s="3"/>
    </row>
    <row r="3811" customHeight="1" spans="1:9">
      <c r="A3811" s="2" t="s">
        <v>2656</v>
      </c>
      <c r="B3811" s="2" t="str">
        <f>IFERROR(__xludf.DUMMYFUNCTION("IF(A3811&lt;&gt;"""", GOOGLETRANSLATE(A3811, ""en"", ""te""),"""")"),"[ 'జట్టు 7 వ వరుస మ్యాచ్లు (66)', 'ఒక జట్టు కెప్టెన్గా 4 వ వరుస మ్యాచ్లు (55)', ఒక జట్టు వ్యతిరేకంగా, '2 వ అత్యధిక వందలు' 1st (843) ఒకే మైదానంలో అత్యధిక పరుగులు '( 3) ',' 6 వ కెరీర్ అర్ధ (37) ',' 1 వ అత్యుత్తమ బౌలింగ్ ఇన్నింగ్స్ లో విశ్లేషించడం (1/0) ','"&amp;" 3 వ చెత్త కెరీర్లో ఆర్థిక రేటు (4.94) ',' 1st ఒక సిరీస్లో అత్యధిక క్యాచ్లు (20 ) ',' ఒకే మ్యాచ్ లో బ్యాటింగ్ మరియు బౌలింగ్ తెరవడం ',' 1000 పరుగులు, 50 వికెట్లు, 50 క్యాచ్లు ',' మొదటి వికెట్కు 10 వ అత్యధిక భాగస్వామ్యం (196) ',' కెరీర్ లో 2 వ అత్యధిక మ్యాచ"&amp;"్లు (122) ', 'కెప్టెన్ 6 వ అత్యధిక మ్యాచ్లు (64)', 'ఒక క్యాలెండర్ సంవత్సరంలో 1st అత్యధిక పరుగులు (670)', '7 వ అత్యధిక కెరీర్ బ్యాటింగ్ సగటు (30.00)', 'తొలి మ్యాచ్లో 7 వ అత్యధిక పరుగులు (62)', '1st చాలా కెరీర్లో అర్ధ (22) ',' కెరీర్ లో 3 వ అత్యంత బాతులు (1"&amp;"0) ',' 2nd 3000 వేగవంతమైన పరుగులు (105) ',' 5 వ ఒక ఇన్నింగ్స్ లోని బెస్ట్ ఫిగర్స్ ఉన్నప్పుడు పరాజయం వైపు (4) ',' 6 వ చెత్త వృత్తి ఆర్థిక రేటు (6.73) ',' 1st కెరీర్లో అత్యధిక క్యాచ్లు (64) ',' తొలి వికెట్కు (182) 5 వ అత్యధిక భాగస్వామ్యం ']")</f>
        <v>[ 'జట్టు 7 వ వరుస మ్యాచ్లు (66)', 'ఒక జట్టు కెప్టెన్గా 4 వ వరుస మ్యాచ్లు (55)', ఒక జట్టు వ్యతిరేకంగా, '2 వ అత్యధిక వందలు' 1st (843) ఒకే మైదానంలో అత్యధిక పరుగులు '( 3) ',' 6 వ కెరీర్ అర్ధ (37) ',' 1 వ అత్యుత్తమ బౌలింగ్ ఇన్నింగ్స్ లో విశ్లేషించడం (1/0) ',' 3 వ చెత్త కెరీర్లో ఆర్థిక రేటు (4.94) ',' 1st ఒక సిరీస్లో అత్యధిక క్యాచ్లు (20 ) ',' ఒకే మ్యాచ్ లో బ్యాటింగ్ మరియు బౌలింగ్ తెరవడం ',' 1000 పరుగులు, 50 వికెట్లు, 50 క్యాచ్లు ',' మొదటి వికెట్కు 10 వ అత్యధిక భాగస్వామ్యం (196) ',' కెరీర్ లో 2 వ అత్యధిక మ్యాచ్లు (122) ', 'కెప్టెన్ 6 వ అత్యధిక మ్యాచ్లు (64)', 'ఒక క్యాలెండర్ సంవత్సరంలో 1st అత్యధిక పరుగులు (670)', '7 వ అత్యధిక కెరీర్ బ్యాటింగ్ సగటు (30.00)', 'తొలి మ్యాచ్లో 7 వ అత్యధిక పరుగులు (62)', '1st చాలా కెరీర్లో అర్ధ (22) ',' కెరీర్ లో 3 వ అత్యంత బాతులు (10) ',' 2nd 3000 వేగవంతమైన పరుగులు (105) ',' 5 వ ఒక ఇన్నింగ్స్ లోని బెస్ట్ ఫిగర్స్ ఉన్నప్పుడు పరాజయం వైపు (4) ',' 6 వ చెత్త వృత్తి ఆర్థిక రేటు (6.73) ',' 1st కెరీర్లో అత్యధిక క్యాచ్లు (64) ',' తొలి వికెట్కు (182) 5 వ అత్యధిక భాగస్వామ్యం ']</v>
      </c>
      <c r="C3811" s="2"/>
      <c r="D3811" s="2" t="str">
        <f>IFERROR(__xludf.DUMMYFUNCTION("IF(C3811&lt;&gt;"""", GOOGLETRANSLATE(C3811, ""en"", ""te""),"""")"),"")</f>
        <v/>
      </c>
      <c r="E3811" s="2" t="s">
        <v>2657</v>
      </c>
      <c r="F3811" s="2" t="str">
        <f>IFERROR(__xludf.DUMMYFUNCTION("IF(E3811&lt;&gt;"""", GOOGLETRANSLATE(E3811, ""en"", ""te""),"""")"),"[ 'కెరీర్లో 6 వ అత్యధిక పరుగులు (4548)', '9 వ ఇన్నింగ్స్ (168) అత్యధిక పరుగులు' 'ఒక సిరీస్లో 4 అత్యధిక పరుగులు (978)', '23 ఒక క్యాలెండర్ సంవత్సరంలో అత్యధిక పరుగులు (632)', ' 2 వ అత్యంత ఇన్నింగ్స్ లో నడుస్తుంది (బ్యాటింగ్ స్థానం) (168) ',' 7 వ పరాజయం వైపు"&amp;" ఒక మ్యాచ్లో అత్యధిక పరుగులు (110) ',' 1st ఒకే మైదానంలో అత్యధిక పరుగులు (843) ',' 2 వ అత్యంత పరుగులు ఒక కెప్టెన్ ద్వారా ఒక సిరీస్ (978) ',' 3 వ అత్యంత ఒక ఇన్నింగ్స్ లో ఒక నాయకుడు పరుగులు (151) ',' 15 వ అత్యధిక కెరీర్ బ్యాటింగ్ సగటు (42.50) ',' ఒక వృత్తిల"&amp;"ో 2 వ అత్యధిక వందలు (10) ',' 6 వ వరుస (2) ',' ఒక జట్టుతో (2) ',' 2 వ అత్యధిక వందలు ఒక క్యాలెండర్ సంవత్సరంలో 5 వ అత్యధిక వందలు (3) ', '21 వ అత్యధిక తొలి వంద (122)', '9 వ పిన్న ఆటగాడు లో అత్యధిక వందలు (37) ',' వరుస ఇన్నింగ్స్లో 12 వ యాభైల్లో (4) ',' 14 వ వ"&amp;"రుస ఇన్నింగ్స్ కెరీర్లో వంద (30y 265d) ',' 6 వ అత్యంత అర్థ శతకాలు సాధించాడు స్కోర్ వంద (19y 166d) ',' 30 వ అత్యంత వృద్ధ ఆటగాడు ఒక డక్ లేకుండా (44) ', '21 వ కెరీర్ బాతులు (9)', '36 వ అత్యధిక వికెట్లు కెరీర్లో (75)', '1 వ అత్యుత్తమ బౌలింగ్ ఇన్నింగ్స్ విశ్లే"&amp;"షణలలో (1/0) ',' 14 వ ఒకే మైదానంలో అత్యధిక వికెట్లు (15) ',' ఇన్నింగ్స్ లో 21 వ ఉత్తమ సమ్మె రేటు (7.5) ',' 33 వ చెత్త కెరీర్ సగటు (33.17) ',' 3 వ చెత్త కెరీర్లో ఎకానమీ రేట్ బౌలింగ్ (4.94) ',' 41 వ కెరీర్ లో బౌల్డ్ చాలా బంతుల్లో (3017) ',' 20 వ అత్యధిక పరు"&amp;"గులు కెరీర్లో సాధించిన (2488) ',' 44 వ బౌలర్ / ఫీల్డర్ కలయికలు (10) ',' 27 వ అత్యధిక వికెట్లు తీసుకున్న ఆకర్షించింది (48) ' '31 అత్యధిక వికెట్లు ఆకర్షించింది తీసుకున్న మరియు బౌల్డ్ (5)', '28th అత్యధిక వికెట్లు చిక్కుకున్న ఫీల్డర్ తీసుకున్న (39)', '36 వ అత"&amp;"్యధిక వికెట్లు తీసుకున్న ఎల్బిడబ్ల్యు (12)', '1st కెరీర్లో అత్యధిక క్యాచ్లు (67)', 'ఇన్నింగ్స్ లో 4 వ అత్యధిక క్యాచ్లు (3)', '1st ఒక సిరీస్లో అత్యధిక క్యాచ్లు (20)', 'ఏ వికెట్కు 26 అత్యధిక భాగస్వామ్యాల (196)', 'మొదటి వికెట్కు 10 వ అత్యధిక భాగస్వామ్యం (196"&amp;")', ' రెండో వికెట్కు (174 *) కోసం 16 అత్యధిక భాగస్వామ్యం ',' మూడో వికెట్కు 36 వ అత్యధిక భాగస్వామ్యం (128) ',' ఐదవ వికెట్కు 15 అత్యధిక భాగస్వామ్యం (103) ',' ఆరవ వికెట్కు 37 వ అత్యధిక భాగస్వామ్యం (69) ',' 15 వ అత్యధిక మ్యాచ్లు కెరీర్లో (125) ',' 7 వ అత్యధిక"&amp;" వరుస ఒక టీ మ్యాచ్లు m (66) ',' 27th లాంగెస్ట్ కెరీర్లు (14y 213d) ',' కెప్టెన్ 4 వ అత్యధిక మ్యాచ్లు (76) ',' 4 వ అత్యంత జట్టు కెప్టెన్గా వరుస మ్యాచ్లు (55) ',' 35 వ పిన్న కాప్టెన్ (23y 292d) ']")</f>
        <v>[ 'కెరీర్లో 6 వ అత్యధిక పరుగులు (4548)', '9 వ ఇన్నింగ్స్ (168) అత్యధిక పరుగులు' 'ఒక సిరీస్లో 4 అత్యధిక పరుగులు (978)', '23 ఒక క్యాలెండర్ సంవత్సరంలో అత్యధిక పరుగులు (632)', ' 2 వ అత్యంత ఇన్నింగ్స్ లో నడుస్తుంది (బ్యాటింగ్ స్థానం) (168) ',' 7 వ పరాజయం వైపు ఒక మ్యాచ్లో అత్యధిక పరుగులు (110) ',' 1st ఒకే మైదానంలో అత్యధిక పరుగులు (843) ',' 2 వ అత్యంత పరుగులు ఒక కెప్టెన్ ద్వారా ఒక సిరీస్ (978) ',' 3 వ అత్యంత ఒక ఇన్నింగ్స్ లో ఒక నాయకుడు పరుగులు (151) ',' 15 వ అత్యధిక కెరీర్ బ్యాటింగ్ సగటు (42.50) ',' ఒక వృత్తిలో 2 వ అత్యధిక వందలు (10) ',' 6 వ వరుస (2) ',' ఒక జట్టుతో (2) ',' 2 వ అత్యధిక వందలు ఒక క్యాలెండర్ సంవత్సరంలో 5 వ అత్యధిక వందలు (3) ', '21 వ అత్యధిక తొలి వంద (122)', '9 వ పిన్న ఆటగాడు లో అత్యధిక వందలు (37) ',' వరుస ఇన్నింగ్స్లో 12 వ యాభైల్లో (4) ',' 14 వ వరుస ఇన్నింగ్స్ కెరీర్లో వంద (30y 265d) ',' 6 వ అత్యంత అర్థ శతకాలు సాధించాడు స్కోర్ వంద (19y 166d) ',' 30 వ అత్యంత వృద్ధ ఆటగాడు ఒక డక్ లేకుండా (44) ', '21 వ కెరీర్ బాతులు (9)', '36 వ అత్యధిక వికెట్లు కెరీర్లో (75)', '1 వ అత్యుత్తమ బౌలింగ్ ఇన్నింగ్స్ విశ్లేషణలలో (1/0) ',' 14 వ ఒకే మైదానంలో అత్యధిక వికెట్లు (15) ',' ఇన్నింగ్స్ లో 21 వ ఉత్తమ సమ్మె రేటు (7.5) ',' 33 వ చెత్త కెరీర్ సగటు (33.17) ',' 3 వ చెత్త కెరీర్లో ఎకానమీ రేట్ బౌలింగ్ (4.94) ',' 41 వ కెరీర్ లో బౌల్డ్ చాలా బంతుల్లో (3017) ',' 20 వ అత్యధిక పరుగులు కెరీర్లో సాధించిన (2488) ',' 44 వ బౌలర్ / ఫీల్డర్ కలయికలు (10) ',' 27 వ అత్యధిక వికెట్లు తీసుకున్న ఆకర్షించింది (48) ' '31 అత్యధిక వికెట్లు ఆకర్షించింది తీసుకున్న మరియు బౌల్డ్ (5)', '28th అత్యధిక వికెట్లు చిక్కుకున్న ఫీల్డర్ తీసుకున్న (39)', '36 వ అత్యధిక వికెట్లు తీసుకున్న ఎల్బిడబ్ల్యు (12)', '1st కెరీర్లో అత్యధిక క్యాచ్లు (67)', 'ఇన్నింగ్స్ లో 4 వ అత్యధిక క్యాచ్లు (3)', '1st ఒక సిరీస్లో అత్యధిక క్యాచ్లు (20)', 'ఏ వికెట్కు 26 అత్యధిక భాగస్వామ్యాల (196)', 'మొదటి వికెట్కు 10 వ అత్యధిక భాగస్వామ్యం (196)', ' రెండో వికెట్కు (174 *) కోసం 16 అత్యధిక భాగస్వామ్యం ',' మూడో వికెట్కు 36 వ అత్యధిక భాగస్వామ్యం (128) ',' ఐదవ వికెట్కు 15 అత్యధిక భాగస్వామ్యం (103) ',' ఆరవ వికెట్కు 37 వ అత్యధిక భాగస్వామ్యం (69) ',' 15 వ అత్యధిక మ్యాచ్లు కెరీర్లో (125) ',' 7 వ అత్యధిక వరుస ఒక టీ మ్యాచ్లు m (66) ',' 27th లాంగెస్ట్ కెరీర్లు (14y 213d) ',' కెప్టెన్ 4 వ అత్యధిక మ్యాచ్లు (76) ',' 4 వ అత్యంత జట్టు కెప్టెన్గా వరుస మ్యాచ్లు (55) ',' 35 వ పిన్న కాప్టెన్ (23y 292d) ']</v>
      </c>
      <c r="G3811" s="2" t="s">
        <v>2658</v>
      </c>
      <c r="H3811" s="2" t="str">
        <f>IFERROR(__xludf.DUMMYFUNCTION("IF(G3811&lt;&gt;"""", GOOGLETRANSLATE(G3811, ""en"", ""te""),"""")"),"[ '1st కెరీర్లో అత్యధిక పరుగులు (3301)', 'ఇన్నింగ్స్ లో 5 వ అత్యధిక పరుగులు (124 *)', '3 వ అత్యంత ఇన్నింగ్స్ లో నడుస్తుంది' 1st ఒక క్యాలెండర్ ఏడాది (670) అత్యధిక పరుగులు '(బ్యాటింగ్ స్థానం) (124 *) ',' 8 వ అత్యధిక పరుగులు ఒక మ్యాచ్లో పరాజయం వైపు (77) ','"&amp;" 2 వ అత్యధిక పరుగులు ఒకే నేలపై (366) ',' 3 వ అత్యంత ఇన్నింగ్స్ లో ఒక కెప్టెన్ (124 *) ద్వారా నడుస్తుంది ' '7 వ అత్యధిక కెరీర్ బ్యాటింగ్ సగటు (30.00)', 'తొలి మ్యాచ్లో 7 వ అత్యధిక పరుగులు (62)', '1 వ కెరీర్ అర్ధ (22)', 'వరుస ఇన్నింగ్స్లో 3 వ యాభైల్లో (3)'"&amp;", '37 వ అత్యంత ఇన్నింగ్స్ మొదటి డక్ (13) ',' 3 వ అత్యంత బాతులు కెరీర్ లో (10) ',' ఒక ఇన్నింగ్స్లో పరుగుల 17 అత్యధిక శాతం (60.52) ',' 10th ముందు 1000 వేగవంతమైన పరుగులు (49) ',' 6 వ 2000 వరకు వేగంగా పరుగులు (78) ',' 2 వ కెరీర్ లో 3000 పరుగులు (105) ',' 38 "&amp;"వ అత్యధిక వికెట్లు (50) ',' 19 ఒకే మైదానంలో అత్యధిక వికెట్లు (10) ', '21 వ ఒక ఇన్నింగ్స్ లోని బెస్ట్ ఫిగర్స్ ఒక ద్వారా వేగవంతమైన కెప్టెన్ (3) ',' 5 వ ఒక ఇన్నింగ్స్ లోని బెస్ట్ ఫిగర్స్ ఉన్నప్పుడు పరాజయం వైపు (4) ',' 17 వ చెత్త కెరీర్ సగటు (25.52) ',' 6 "&amp;"వ చెత్త కెరీర్లో ఆర్థిక రేటు (6.73) బౌలింగ్ న ' '29th కెరీర్లో బౌల్డ్ చాలా బంతుల్లో (1137)', '18 వ కెరీర్ లో సాధించిన అత్యధిక పరుగులు (1276)', '18 వ బౌలర్ / బ్యాట్స్ కలయికలు (4)', '38 వ అత్యంత' 38 వ అత్యధిక వికెట్లు బౌల్డ్ (11) తీసుకున్న ' వికెట్లు ఆకర్షి"&amp;"ంచింది తీసుకోకూడదు (27) ',' 20 వ అత్యధిక వికెట్లు తీసుకున్న క్యాచ్ మరియు బౌల్డ్ (3) ',' 32 వ అత్యధిక వికెట్లు ఒక ఫీల్డర్ చేత క్యాచ్ తీసుకున్న (26) ',' 36 వ అత్యధిక వికెట్లు తీసుకున్న ఎల్బిడబ్ల్యు (6) ',' 32 వ అత్యధిక వికెట్లు తీసుకున్న స్టంప్ (6) ',' 1st "&amp;"కెరీర్లో అత్యధిక క్యాచ్లు ఏ వికెట్కు (64) ',' 7 వ అత్యధిక భాగస్వామ్యాల (182) ',' మొదటి వికెట్కు 5 వ అత్యధిక భాగస్వామ్యం (182) ',' 12 వ అత్యధిక రెండవ కొరకు చేసిన భాగస్వామ్యం వికెట్ (118 *) నాలుగో వికెట్కు ',' 35 వ అత్యధిక భాగస్వామ్యం (66) ',' కెరీర్ లో 2 వ"&amp;" అత్యధిక మ్యాచ్లు (122) ',' ఒక జట్టు 4 వ వరుస మ్యాచ్లు (66) ',' 6 వ అత్యంత కెప్టెన్గా మ్యాచ్లు (64) ']")</f>
        <v>[ '1st కెరీర్లో అత్యధిక పరుగులు (3301)', 'ఇన్నింగ్స్ లో 5 వ అత్యధిక పరుగులు (124 *)', '3 వ అత్యంత ఇన్నింగ్స్ లో నడుస్తుంది' 1st ఒక క్యాలెండర్ ఏడాది (670) అత్యధిక పరుగులు '(బ్యాటింగ్ స్థానం) (124 *) ',' 8 వ అత్యధిక పరుగులు ఒక మ్యాచ్లో పరాజయం వైపు (77) ',' 2 వ అత్యధిక పరుగులు ఒకే నేలపై (366) ',' 3 వ అత్యంత ఇన్నింగ్స్ లో ఒక కెప్టెన్ (124 *) ద్వారా నడుస్తుంది ' '7 వ అత్యధిక కెరీర్ బ్యాటింగ్ సగటు (30.00)', 'తొలి మ్యాచ్లో 7 వ అత్యధిక పరుగులు (62)', '1 వ కెరీర్ అర్ధ (22)', 'వరుస ఇన్నింగ్స్లో 3 వ యాభైల్లో (3)', '37 వ అత్యంత ఇన్నింగ్స్ మొదటి డక్ (13) ',' 3 వ అత్యంత బాతులు కెరీర్ లో (10) ',' ఒక ఇన్నింగ్స్లో పరుగుల 17 అత్యధిక శాతం (60.52) ',' 10th ముందు 1000 వేగవంతమైన పరుగులు (49) ',' 6 వ 2000 వరకు వేగంగా పరుగులు (78) ',' 2 వ కెరీర్ లో 3000 పరుగులు (105) ',' 38 వ అత్యధిక వికెట్లు (50) ',' 19 ఒకే మైదానంలో అత్యధిక వికెట్లు (10) ', '21 వ ఒక ఇన్నింగ్స్ లోని బెస్ట్ ఫిగర్స్ ఒక ద్వారా వేగవంతమైన కెప్టెన్ (3) ',' 5 వ ఒక ఇన్నింగ్స్ లోని బెస్ట్ ఫిగర్స్ ఉన్నప్పుడు పరాజయం వైపు (4) ',' 17 వ చెత్త కెరీర్ సగటు (25.52) ',' 6 వ చెత్త కెరీర్లో ఆర్థిక రేటు (6.73) బౌలింగ్ న ' '29th కెరీర్లో బౌల్డ్ చాలా బంతుల్లో (1137)', '18 వ కెరీర్ లో సాధించిన అత్యధిక పరుగులు (1276)', '18 వ బౌలర్ / బ్యాట్స్ కలయికలు (4)', '38 వ అత్యంత' 38 వ అత్యధిక వికెట్లు బౌల్డ్ (11) తీసుకున్న ' వికెట్లు ఆకర్షించింది తీసుకోకూడదు (27) ',' 20 వ అత్యధిక వికెట్లు తీసుకున్న క్యాచ్ మరియు బౌల్డ్ (3) ',' 32 వ అత్యధిక వికెట్లు ఒక ఫీల్డర్ చేత క్యాచ్ తీసుకున్న (26) ',' 36 వ అత్యధిక వికెట్లు తీసుకున్న ఎల్బిడబ్ల్యు (6) ',' 32 వ అత్యధిక వికెట్లు తీసుకున్న స్టంప్ (6) ',' 1st కెరీర్లో అత్యధిక క్యాచ్లు ఏ వికెట్కు (64) ',' 7 వ అత్యధిక భాగస్వామ్యాల (182) ',' మొదటి వికెట్కు 5 వ అత్యధిక భాగస్వామ్యం (182) ',' 12 వ అత్యధిక రెండవ కొరకు చేసిన భాగస్వామ్యం వికెట్ (118 *) నాలుగో వికెట్కు ',' 35 వ అత్యధిక భాగస్వామ్యం (66) ',' కెరీర్ లో 2 వ అత్యధిక మ్యాచ్లు (122) ',' ఒక జట్టు 4 వ వరుస మ్యాచ్లు (66) ',' 6 వ అత్యంత కెప్టెన్గా మ్యాచ్లు (64) ']</v>
      </c>
      <c r="I3811" s="3"/>
    </row>
    <row r="3812" customHeight="1" spans="1:9">
      <c r="A3812" s="2" t="s">
        <v>2659</v>
      </c>
      <c r="B3812" s="2" t="str">
        <f>IFERROR(__xludf.DUMMYFUNCTION("IF(A3812&lt;&gt;"""", GOOGLETRANSLATE(A3812, ""en"", ""te""),"""")"),"[ '2 వ వరుస (4) లో అన్ని టాస్ గెలిచి']")</f>
        <v>[ '2 వ వరుస (4) లో అన్ని టాస్ గెలిచి']</v>
      </c>
      <c r="C3812" s="2" t="s">
        <v>2660</v>
      </c>
      <c r="D3812" s="2" t="str">
        <f>IFERROR(__xludf.DUMMYFUNCTION("IF(C3812&lt;&gt;"""", GOOGLETRANSLATE(C3812, ""en"", ""te""),"""")"),"[ 'వరుస మ్యాచ్లలో 21 వందల (3)', 'ఒక ఇన్నింగ్స్లో పరుగుల 21 అత్యధిక శాతం (59.50)']")</f>
        <v>[ 'వరుస మ్యాచ్లలో 21 వందల (3)', 'ఒక ఇన్నింగ్స్లో పరుగుల 21 అత్యధిక శాతం (59.50)']</v>
      </c>
      <c r="E3812" s="2" t="s">
        <v>2661</v>
      </c>
      <c r="F3812" s="2" t="str">
        <f>IFERROR(__xludf.DUMMYFUNCTION("IF(E3812&lt;&gt;"""", GOOGLETRANSLATE(E3812, ""en"", ""te""),"""")"),"[ '50 వ పురాతన దేశం ఆటగాళ్ళు (76y 319d)', '2 వ వరుస అన్ని టాస్ గెలిచిన (4)', '49 వ ఓల్డెస్ట్ కాప్టెన్ (36y 145d)', 'కెప్టెన్సీ తొలి 46 వ ఓల్డెస్ట్ కాప్టెన్ (33y 363d)']")</f>
        <v>[ '50 వ పురాతన దేశం ఆటగాళ్ళు (76y 319d)', '2 వ వరుస అన్ని టాస్ గెలిచిన (4)', '49 వ ఓల్డెస్ట్ కాప్టెన్ (36y 145d)', 'కెప్టెన్సీ తొలి 46 వ ఓల్డెస్ట్ కాప్టెన్ (33y 363d)']</v>
      </c>
      <c r="G3812" s="2"/>
      <c r="H3812" s="2" t="str">
        <f>IFERROR(__xludf.DUMMYFUNCTION("IF(G3812&lt;&gt;"""", GOOGLETRANSLATE(G3812, ""en"", ""te""),"""")"),"")</f>
        <v/>
      </c>
      <c r="I3812" s="3"/>
    </row>
    <row r="3813" customHeight="1" spans="1:9">
      <c r="A3813" s="2"/>
      <c r="B3813" s="2" t="str">
        <f>IFERROR(__xludf.DUMMYFUNCTION("IF(A3813&lt;&gt;"""", GOOGLETRANSLATE(A3813, ""en"", ""te""),"""")"),"")</f>
        <v/>
      </c>
      <c r="C3813" s="2"/>
      <c r="D3813" s="2" t="str">
        <f>IFERROR(__xludf.DUMMYFUNCTION("IF(C3813&lt;&gt;"""", GOOGLETRANSLATE(C3813, ""en"", ""te""),"""")"),"")</f>
        <v/>
      </c>
      <c r="E3813" s="2"/>
      <c r="F3813" s="2" t="str">
        <f>IFERROR(__xludf.DUMMYFUNCTION("IF(E3813&lt;&gt;"""", GOOGLETRANSLATE(E3813, ""en"", ""te""),"""")"),"")</f>
        <v/>
      </c>
      <c r="G3813" s="2"/>
      <c r="H3813" s="2" t="str">
        <f>IFERROR(__xludf.DUMMYFUNCTION("IF(G3813&lt;&gt;"""", GOOGLETRANSLATE(G3813, ""en"", ""te""),"""")"),"")</f>
        <v/>
      </c>
      <c r="I3813" s="3"/>
    </row>
    <row r="3814" customHeight="1" spans="1:9">
      <c r="A3814" s="2"/>
      <c r="B3814" s="2" t="str">
        <f>IFERROR(__xludf.DUMMYFUNCTION("IF(A3814&lt;&gt;"""", GOOGLETRANSLATE(A3814, ""en"", ""te""),"""")"),"")</f>
        <v/>
      </c>
      <c r="C3814" s="2"/>
      <c r="D3814" s="2" t="str">
        <f>IFERROR(__xludf.DUMMYFUNCTION("IF(C3814&lt;&gt;"""", GOOGLETRANSLATE(C3814, ""en"", ""te""),"""")"),"")</f>
        <v/>
      </c>
      <c r="E3814" s="2"/>
      <c r="F3814" s="2" t="str">
        <f>IFERROR(__xludf.DUMMYFUNCTION("IF(E3814&lt;&gt;"""", GOOGLETRANSLATE(E3814, ""en"", ""te""),"""")"),"")</f>
        <v/>
      </c>
      <c r="G3814" s="2"/>
      <c r="H3814" s="2" t="str">
        <f>IFERROR(__xludf.DUMMYFUNCTION("IF(G3814&lt;&gt;"""", GOOGLETRANSLATE(G3814, ""en"", ""te""),"""")"),"")</f>
        <v/>
      </c>
      <c r="I3814" s="3"/>
    </row>
    <row r="3815" customHeight="1" spans="1:9">
      <c r="A3815" s="2" t="s">
        <v>2662</v>
      </c>
      <c r="B3815" s="2" t="str">
        <f>IFERROR(__xludf.DUMMYFUNCTION("IF(A3815&lt;&gt;"""", GOOGLETRANSLATE(A3815, ""en"", ""te""),"""")"),"[ 'ఇన్నింగ్స్ లో 8 వ అత్యధిక పరుగులు (50 *) (బ్యాటింగ్ స్థానం)', 'తొమ్మిదవ వికెట్కు 8 వ అత్యధిక భాగస్వామ్యం (60 *)']")</f>
        <v>[ 'ఇన్నింగ్స్ లో 8 వ అత్యధిక పరుగులు (50 *) (బ్యాటింగ్ స్థానం)', 'తొమ్మిదవ వికెట్కు 8 వ అత్యధిక భాగస్వామ్యం (60 *)']</v>
      </c>
      <c r="C3815" s="2" t="s">
        <v>2662</v>
      </c>
      <c r="D3815" s="2" t="str">
        <f>IFERROR(__xludf.DUMMYFUNCTION("IF(C3815&lt;&gt;"""", GOOGLETRANSLATE(C3815, ""en"", ""te""),"""")"),"[ 'ఇన్నింగ్స్ లో 8 వ అత్యధిక పరుగులు (50 *) (బ్యాటింగ్ స్థానం)', 'తొమ్మిదవ వికెట్కు 8 వ అత్యధిక భాగస్వామ్యం (60 *)']")</f>
        <v>[ 'ఇన్నింగ్స్ లో 8 వ అత్యధిక పరుగులు (50 *) (బ్యాటింగ్ స్థానం)', 'తొమ్మిదవ వికెట్కు 8 వ అత్యధిక భాగస్వామ్యం (60 *)']</v>
      </c>
      <c r="E3815" s="2"/>
      <c r="F3815" s="2" t="str">
        <f>IFERROR(__xludf.DUMMYFUNCTION("IF(E3815&lt;&gt;"""", GOOGLETRANSLATE(E3815, ""en"", ""te""),"""")"),"")</f>
        <v/>
      </c>
      <c r="G3815" s="2"/>
      <c r="H3815" s="2" t="str">
        <f>IFERROR(__xludf.DUMMYFUNCTION("IF(G3815&lt;&gt;"""", GOOGLETRANSLATE(G3815, ""en"", ""te""),"""")"),"")</f>
        <v/>
      </c>
      <c r="I3815" s="3"/>
    </row>
    <row r="3816" customHeight="1" spans="1:9">
      <c r="A3816" s="2"/>
      <c r="B3816" s="2" t="str">
        <f>IFERROR(__xludf.DUMMYFUNCTION("IF(A3816&lt;&gt;"""", GOOGLETRANSLATE(A3816, ""en"", ""te""),"""")"),"")</f>
        <v/>
      </c>
      <c r="C3816" s="2"/>
      <c r="D3816" s="2" t="str">
        <f>IFERROR(__xludf.DUMMYFUNCTION("IF(C3816&lt;&gt;"""", GOOGLETRANSLATE(C3816, ""en"", ""te""),"""")"),"")</f>
        <v/>
      </c>
      <c r="E3816" s="2"/>
      <c r="F3816" s="2" t="str">
        <f>IFERROR(__xludf.DUMMYFUNCTION("IF(E3816&lt;&gt;"""", GOOGLETRANSLATE(E3816, ""en"", ""te""),"""")"),"")</f>
        <v/>
      </c>
      <c r="G3816" s="2"/>
      <c r="H3816" s="2" t="str">
        <f>IFERROR(__xludf.DUMMYFUNCTION("IF(G3816&lt;&gt;"""", GOOGLETRANSLATE(G3816, ""en"", ""te""),"""")"),"")</f>
        <v/>
      </c>
      <c r="I3816" s="3"/>
    </row>
    <row r="3817" customHeight="1" spans="1:9">
      <c r="A3817" s="2"/>
      <c r="B3817" s="2" t="str">
        <f>IFERROR(__xludf.DUMMYFUNCTION("IF(A3817&lt;&gt;"""", GOOGLETRANSLATE(A3817, ""en"", ""te""),"""")"),"")</f>
        <v/>
      </c>
      <c r="C3817" s="2"/>
      <c r="D3817" s="2" t="str">
        <f>IFERROR(__xludf.DUMMYFUNCTION("IF(C3817&lt;&gt;"""", GOOGLETRANSLATE(C3817, ""en"", ""te""),"""")"),"")</f>
        <v/>
      </c>
      <c r="E3817" s="2"/>
      <c r="F3817" s="2" t="str">
        <f>IFERROR(__xludf.DUMMYFUNCTION("IF(E3817&lt;&gt;"""", GOOGLETRANSLATE(E3817, ""en"", ""te""),"""")"),"")</f>
        <v/>
      </c>
      <c r="G3817" s="2"/>
      <c r="H3817" s="2" t="str">
        <f>IFERROR(__xludf.DUMMYFUNCTION("IF(G3817&lt;&gt;"""", GOOGLETRANSLATE(G3817, ""en"", ""te""),"""")"),"")</f>
        <v/>
      </c>
      <c r="I3817" s="3"/>
    </row>
    <row r="3818" customHeight="1" spans="1:9">
      <c r="A3818" s="2"/>
      <c r="B3818" s="2" t="str">
        <f>IFERROR(__xludf.DUMMYFUNCTION("IF(A3818&lt;&gt;"""", GOOGLETRANSLATE(A3818, ""en"", ""te""),"""")"),"")</f>
        <v/>
      </c>
      <c r="C3818" s="2"/>
      <c r="D3818" s="2" t="str">
        <f>IFERROR(__xludf.DUMMYFUNCTION("IF(C3818&lt;&gt;"""", GOOGLETRANSLATE(C3818, ""en"", ""te""),"""")"),"")</f>
        <v/>
      </c>
      <c r="E3818" s="2"/>
      <c r="F3818" s="2" t="str">
        <f>IFERROR(__xludf.DUMMYFUNCTION("IF(E3818&lt;&gt;"""", GOOGLETRANSLATE(E3818, ""en"", ""te""),"""")"),"")</f>
        <v/>
      </c>
      <c r="G3818" s="2" t="s">
        <v>2663</v>
      </c>
      <c r="H3818" s="2" t="str">
        <f>IFERROR(__xludf.DUMMYFUNCTION("IF(G3818&lt;&gt;"""", GOOGLETRANSLATE(G3818, ""en"", ""te""),"""")"),"[ '19 ఇన్నింగ్స్ లో అత్యధిక పరుగులు (బ్యాటింగ్ స్థానంలో ప్రకారం) (20)']")</f>
        <v>[ '19 ఇన్నింగ్స్ లో అత్యధిక పరుగులు (బ్యాటింగ్ స్థానంలో ప్రకారం) (20)']</v>
      </c>
      <c r="I3818" s="3"/>
    </row>
    <row r="3819" customHeight="1" spans="1:9">
      <c r="A3819" s="2" t="s">
        <v>399</v>
      </c>
      <c r="B3819" s="2" t="str">
        <f>IFERROR(__xludf.DUMMYFUNCTION("IF(A3819&lt;&gt;"""", GOOGLETRANSLATE(A3819, ""en"", ""te""),"""")"),"[ 'తొలి పెయిర్']")</f>
        <v>[ 'తొలి పెయిర్']</v>
      </c>
      <c r="C3819" s="2"/>
      <c r="D3819" s="2" t="str">
        <f>IFERROR(__xludf.DUMMYFUNCTION("IF(C3819&lt;&gt;"""", GOOGLETRANSLATE(C3819, ""en"", ""te""),"""")"),"")</f>
        <v/>
      </c>
      <c r="E3819" s="2"/>
      <c r="F3819" s="2" t="str">
        <f>IFERROR(__xludf.DUMMYFUNCTION("IF(E3819&lt;&gt;"""", GOOGLETRANSLATE(E3819, ""en"", ""te""),"""")"),"")</f>
        <v/>
      </c>
      <c r="G3819" s="2"/>
      <c r="H3819" s="2" t="str">
        <f>IFERROR(__xludf.DUMMYFUNCTION("IF(G3819&lt;&gt;"""", GOOGLETRANSLATE(G3819, ""en"", ""te""),"""")"),"")</f>
        <v/>
      </c>
      <c r="I3819" s="3"/>
    </row>
    <row r="3820" customHeight="1" spans="1:9">
      <c r="A3820" s="2"/>
      <c r="B3820" s="2" t="str">
        <f>IFERROR(__xludf.DUMMYFUNCTION("IF(A3820&lt;&gt;"""", GOOGLETRANSLATE(A3820, ""en"", ""te""),"""")"),"")</f>
        <v/>
      </c>
      <c r="C3820" s="2"/>
      <c r="D3820" s="2" t="str">
        <f>IFERROR(__xludf.DUMMYFUNCTION("IF(C3820&lt;&gt;"""", GOOGLETRANSLATE(C3820, ""en"", ""te""),"""")"),"")</f>
        <v/>
      </c>
      <c r="E3820" s="2"/>
      <c r="F3820" s="2" t="str">
        <f>IFERROR(__xludf.DUMMYFUNCTION("IF(E3820&lt;&gt;"""", GOOGLETRANSLATE(E3820, ""en"", ""te""),"""")"),"")</f>
        <v/>
      </c>
      <c r="G3820" s="2"/>
      <c r="H3820" s="2" t="str">
        <f>IFERROR(__xludf.DUMMYFUNCTION("IF(G3820&lt;&gt;"""", GOOGLETRANSLATE(G3820, ""en"", ""te""),"""")"),"")</f>
        <v/>
      </c>
      <c r="I3820" s="3"/>
    </row>
    <row r="3821" customHeight="1" spans="1:9">
      <c r="A3821" s="2"/>
      <c r="B3821" s="2" t="str">
        <f>IFERROR(__xludf.DUMMYFUNCTION("IF(A3821&lt;&gt;"""", GOOGLETRANSLATE(A3821, ""en"", ""te""),"""")"),"")</f>
        <v/>
      </c>
      <c r="C3821" s="2"/>
      <c r="D3821" s="2" t="str">
        <f>IFERROR(__xludf.DUMMYFUNCTION("IF(C3821&lt;&gt;"""", GOOGLETRANSLATE(C3821, ""en"", ""te""),"""")"),"")</f>
        <v/>
      </c>
      <c r="E3821" s="2"/>
      <c r="F3821" s="2" t="str">
        <f>IFERROR(__xludf.DUMMYFUNCTION("IF(E3821&lt;&gt;"""", GOOGLETRANSLATE(E3821, ""en"", ""te""),"""")"),"")</f>
        <v/>
      </c>
      <c r="G3821" s="2"/>
      <c r="H3821" s="2" t="str">
        <f>IFERROR(__xludf.DUMMYFUNCTION("IF(G3821&lt;&gt;"""", GOOGLETRANSLATE(G3821, ""en"", ""te""),"""")"),"")</f>
        <v/>
      </c>
      <c r="I3821" s="3"/>
    </row>
    <row r="3822" customHeight="1" spans="1:9">
      <c r="A3822" s="2" t="s">
        <v>2664</v>
      </c>
      <c r="B3822" s="2" t="str">
        <f>IFERROR(__xludf.DUMMYFUNCTION("IF(A3822&lt;&gt;"""", GOOGLETRANSLATE(A3822, ""en"", ""te""),"""")"),"[ 'ఒక మ్యాచ్లో బౌల్డ్ 3 వ అత్యంత బంతుల్లో (573)', '1 వ ఇన్నింగ్స్ లో అత్యధిక క్యాచ్లు (3)', '9 వ ఉత్తమ కెరీర్ ఆర్థిక రేటు (2.17)', '4 వ ఇన్నింగ్స్ లో అత్యధిక క్యాచ్లు (3)']")</f>
        <v>[ 'ఒక మ్యాచ్లో బౌల్డ్ 3 వ అత్యంత బంతుల్లో (573)', '1 వ ఇన్నింగ్స్ లో అత్యధిక క్యాచ్లు (3)', '9 వ ఉత్తమ కెరీర్ ఆర్థిక రేటు (2.17)', '4 వ ఇన్నింగ్స్ లో అత్యధిక క్యాచ్లు (3)']</v>
      </c>
      <c r="C3822" s="2" t="s">
        <v>2665</v>
      </c>
      <c r="D3822" s="2" t="str">
        <f>IFERROR(__xludf.DUMMYFUNCTION("IF(C3822&lt;&gt;"""", GOOGLETRANSLATE(C3822, ""en"", ""te""),"""")"),"[18 వ చెత్త ఇన్నింగ్స్ లో సమ్మె రేటు (216.0) ',' 3 వ మ్యాచ్లో బౌల్డ్ చాలా బంతుల్లో (573) ',' 18 వ అత్యధిక పరుగులు ఒక మ్యాచ్లో సాధించిన ఇన్నింగ్స్ (360) లో బౌల్డ్ 4 వ అత్యంత బంతుల్లో '(137 ) ',' వరుస ఇన్నింగ్స్ (3) ',' 6 వ అత్యధిక క్యాచ్లు లో 1 వ అత్యధిక క"&amp;"్యాచ్లు (7) ']")</f>
        <v>[18 వ చెత్త ఇన్నింగ్స్ లో సమ్మె రేటు (216.0) ',' 3 వ మ్యాచ్లో బౌల్డ్ చాలా బంతుల్లో (573) ',' 18 వ అత్యధిక పరుగులు ఒక మ్యాచ్లో సాధించిన ఇన్నింగ్స్ (360) లో బౌల్డ్ 4 వ అత్యంత బంతుల్లో '(137 ) ',' వరుస ఇన్నింగ్స్ (3) ',' 6 వ అత్యధిక క్యాచ్లు లో 1 వ అత్యధిక క్యాచ్లు (7) ']</v>
      </c>
      <c r="E3822" s="2" t="s">
        <v>2666</v>
      </c>
      <c r="F3822" s="2" t="str">
        <f>IFERROR(__xludf.DUMMYFUNCTION("IF(E3822&lt;&gt;"""", GOOGLETRANSLATE(E3822, ""en"", ""te""),"""")"),"[ '9 వ ఉత్తమ కెరీర్ ఆర్థిక రేటు (2.17)', 'ఇన్నింగ్స్ లో 45 వ ఉత్తమ ఆర్థిక రేటు (0.50)', '17 వ చెత్త కెరీర్లో సమ్మె రేటు (61.2)', '4 వ అత్యధిక క్యాచ్లు ఒక ఇన్నింగ్స్ లో (3)']")</f>
        <v>[ '9 వ ఉత్తమ కెరీర్ ఆర్థిక రేటు (2.17)', 'ఇన్నింగ్స్ లో 45 వ ఉత్తమ ఆర్థిక రేటు (0.50)', '17 వ చెత్త కెరీర్లో సమ్మె రేటు (61.2)', '4 వ అత్యధిక క్యాచ్లు ఒక ఇన్నింగ్స్ లో (3)']</v>
      </c>
      <c r="G3822" s="2"/>
      <c r="H3822" s="2" t="str">
        <f>IFERROR(__xludf.DUMMYFUNCTION("IF(G3822&lt;&gt;"""", GOOGLETRANSLATE(G3822, ""en"", ""te""),"""")"),"")</f>
        <v/>
      </c>
      <c r="I3822" s="3"/>
    </row>
    <row r="3823" customHeight="1" spans="1:9">
      <c r="A3823" s="2"/>
      <c r="B3823" s="2" t="str">
        <f>IFERROR(__xludf.DUMMYFUNCTION("IF(A3823&lt;&gt;"""", GOOGLETRANSLATE(A3823, ""en"", ""te""),"""")"),"")</f>
        <v/>
      </c>
      <c r="C3823" s="2"/>
      <c r="D3823" s="2" t="str">
        <f>IFERROR(__xludf.DUMMYFUNCTION("IF(C3823&lt;&gt;"""", GOOGLETRANSLATE(C3823, ""en"", ""te""),"""")"),"")</f>
        <v/>
      </c>
      <c r="E3823" s="2"/>
      <c r="F3823" s="2" t="str">
        <f>IFERROR(__xludf.DUMMYFUNCTION("IF(E3823&lt;&gt;"""", GOOGLETRANSLATE(E3823, ""en"", ""te""),"""")"),"")</f>
        <v/>
      </c>
      <c r="G3823" s="2"/>
      <c r="H3823" s="2" t="str">
        <f>IFERROR(__xludf.DUMMYFUNCTION("IF(G3823&lt;&gt;"""", GOOGLETRANSLATE(G3823, ""en"", ""te""),"""")"),"")</f>
        <v/>
      </c>
      <c r="I3823" s="3"/>
    </row>
    <row r="3824" customHeight="1" spans="1:9">
      <c r="A3824" s="2"/>
      <c r="B3824" s="2" t="str">
        <f>IFERROR(__xludf.DUMMYFUNCTION("IF(A3824&lt;&gt;"""", GOOGLETRANSLATE(A3824, ""en"", ""te""),"""")"),"")</f>
        <v/>
      </c>
      <c r="C3824" s="2"/>
      <c r="D3824" s="2" t="str">
        <f>IFERROR(__xludf.DUMMYFUNCTION("IF(C3824&lt;&gt;"""", GOOGLETRANSLATE(C3824, ""en"", ""te""),"""")"),"")</f>
        <v/>
      </c>
      <c r="E3824" s="2"/>
      <c r="F3824" s="2" t="str">
        <f>IFERROR(__xludf.DUMMYFUNCTION("IF(E3824&lt;&gt;"""", GOOGLETRANSLATE(E3824, ""en"", ""te""),"""")"),"")</f>
        <v/>
      </c>
      <c r="G3824" s="2"/>
      <c r="H3824" s="2" t="str">
        <f>IFERROR(__xludf.DUMMYFUNCTION("IF(G3824&lt;&gt;"""", GOOGLETRANSLATE(G3824, ""en"", ""te""),"""")"),"")</f>
        <v/>
      </c>
      <c r="I3824" s="3"/>
    </row>
    <row r="3825" customHeight="1" spans="1:9">
      <c r="A3825" s="2"/>
      <c r="B3825" s="2" t="str">
        <f>IFERROR(__xludf.DUMMYFUNCTION("IF(A3825&lt;&gt;"""", GOOGLETRANSLATE(A3825, ""en"", ""te""),"""")"),"")</f>
        <v/>
      </c>
      <c r="C3825" s="2"/>
      <c r="D3825" s="2" t="str">
        <f>IFERROR(__xludf.DUMMYFUNCTION("IF(C3825&lt;&gt;"""", GOOGLETRANSLATE(C3825, ""en"", ""te""),"""")"),"")</f>
        <v/>
      </c>
      <c r="E3825" s="2"/>
      <c r="F3825" s="2" t="str">
        <f>IFERROR(__xludf.DUMMYFUNCTION("IF(E3825&lt;&gt;"""", GOOGLETRANSLATE(E3825, ""en"", ""te""),"""")"),"")</f>
        <v/>
      </c>
      <c r="G3825" s="2"/>
      <c r="H3825" s="2" t="str">
        <f>IFERROR(__xludf.DUMMYFUNCTION("IF(G3825&lt;&gt;"""", GOOGLETRANSLATE(G3825, ""en"", ""te""),"""")"),"")</f>
        <v/>
      </c>
      <c r="I3825" s="3"/>
    </row>
    <row r="3826" customHeight="1" spans="1:9">
      <c r="A3826" s="2"/>
      <c r="B3826" s="2" t="str">
        <f>IFERROR(__xludf.DUMMYFUNCTION("IF(A3826&lt;&gt;"""", GOOGLETRANSLATE(A3826, ""en"", ""te""),"""")"),"")</f>
        <v/>
      </c>
      <c r="C3826" s="2"/>
      <c r="D3826" s="2" t="str">
        <f>IFERROR(__xludf.DUMMYFUNCTION("IF(C3826&lt;&gt;"""", GOOGLETRANSLATE(C3826, ""en"", ""te""),"""")"),"")</f>
        <v/>
      </c>
      <c r="E3826" s="2"/>
      <c r="F3826" s="2" t="str">
        <f>IFERROR(__xludf.DUMMYFUNCTION("IF(E3826&lt;&gt;"""", GOOGLETRANSLATE(E3826, ""en"", ""te""),"""")"),"")</f>
        <v/>
      </c>
      <c r="G3826" s="2"/>
      <c r="H3826" s="2" t="str">
        <f>IFERROR(__xludf.DUMMYFUNCTION("IF(G3826&lt;&gt;"""", GOOGLETRANSLATE(G3826, ""en"", ""te""),"""")"),"")</f>
        <v/>
      </c>
      <c r="I3826" s="3"/>
    </row>
    <row r="3827" customHeight="1" spans="1:9">
      <c r="A3827" s="2"/>
      <c r="B3827" s="2" t="str">
        <f>IFERROR(__xludf.DUMMYFUNCTION("IF(A3827&lt;&gt;"""", GOOGLETRANSLATE(A3827, ""en"", ""te""),"""")"),"")</f>
        <v/>
      </c>
      <c r="C3827" s="2"/>
      <c r="D3827" s="2" t="str">
        <f>IFERROR(__xludf.DUMMYFUNCTION("IF(C3827&lt;&gt;"""", GOOGLETRANSLATE(C3827, ""en"", ""te""),"""")"),"")</f>
        <v/>
      </c>
      <c r="E3827" s="2"/>
      <c r="F3827" s="2" t="str">
        <f>IFERROR(__xludf.DUMMYFUNCTION("IF(E3827&lt;&gt;"""", GOOGLETRANSLATE(E3827, ""en"", ""te""),"""")"),"")</f>
        <v/>
      </c>
      <c r="G3827" s="2"/>
      <c r="H3827" s="2" t="str">
        <f>IFERROR(__xludf.DUMMYFUNCTION("IF(G3827&lt;&gt;"""", GOOGLETRANSLATE(G3827, ""en"", ""te""),"""")"),"")</f>
        <v/>
      </c>
      <c r="I3827" s="3"/>
    </row>
    <row r="3828" customHeight="1" spans="1:9">
      <c r="A3828" s="2"/>
      <c r="B3828" s="2" t="str">
        <f>IFERROR(__xludf.DUMMYFUNCTION("IF(A3828&lt;&gt;"""", GOOGLETRANSLATE(A3828, ""en"", ""te""),"""")"),"")</f>
        <v/>
      </c>
      <c r="C3828" s="2"/>
      <c r="D3828" s="2" t="str">
        <f>IFERROR(__xludf.DUMMYFUNCTION("IF(C3828&lt;&gt;"""", GOOGLETRANSLATE(C3828, ""en"", ""te""),"""")"),"")</f>
        <v/>
      </c>
      <c r="E3828" s="2" t="s">
        <v>2667</v>
      </c>
      <c r="F3828" s="2" t="str">
        <f>IFERROR(__xludf.DUMMYFUNCTION("IF(E3828&lt;&gt;"""", GOOGLETRANSLATE(E3828, ""en"", ""te""),"""")"),"[ '11 వ చెత్త కెరీర్ బౌలింగ్ సరాసరి (40.76)', '16 వ చెత్త కెరీర్లో సమ్మె రేటు (61.4)', 'పదవ వికెట్కు 32 వ అత్యధిక భాగస్వామ్యం (28 *)']")</f>
        <v>[ '11 వ చెత్త కెరీర్ బౌలింగ్ సరాసరి (40.76)', '16 వ చెత్త కెరీర్లో సమ్మె రేటు (61.4)', 'పదవ వికెట్కు 32 వ అత్యధిక భాగస్వామ్యం (28 *)']</v>
      </c>
      <c r="G3828" s="2"/>
      <c r="H3828" s="2" t="str">
        <f>IFERROR(__xludf.DUMMYFUNCTION("IF(G3828&lt;&gt;"""", GOOGLETRANSLATE(G3828, ""en"", ""te""),"""")"),"")</f>
        <v/>
      </c>
      <c r="I3828" s="3"/>
    </row>
    <row r="3829" customHeight="1" spans="1:9">
      <c r="A3829" s="2"/>
      <c r="B3829" s="2" t="str">
        <f>IFERROR(__xludf.DUMMYFUNCTION("IF(A3829&lt;&gt;"""", GOOGLETRANSLATE(A3829, ""en"", ""te""),"""")"),"")</f>
        <v/>
      </c>
      <c r="C3829" s="2"/>
      <c r="D3829" s="2" t="str">
        <f>IFERROR(__xludf.DUMMYFUNCTION("IF(C3829&lt;&gt;"""", GOOGLETRANSLATE(C3829, ""en"", ""te""),"""")"),"")</f>
        <v/>
      </c>
      <c r="E3829" s="2"/>
      <c r="F3829" s="2" t="str">
        <f>IFERROR(__xludf.DUMMYFUNCTION("IF(E3829&lt;&gt;"""", GOOGLETRANSLATE(E3829, ""en"", ""te""),"""")"),"")</f>
        <v/>
      </c>
      <c r="G3829" s="2" t="s">
        <v>2668</v>
      </c>
      <c r="H3829" s="2" t="str">
        <f>IFERROR(__xludf.DUMMYFUNCTION("IF(G3829&lt;&gt;"""", GOOGLETRANSLATE(G3829, ""en"", ""te""),"""")"),"[ 'మొదటి డక్ (15) ముందు 49 వ అత్యంత ఇన్నింగ్స్' '15 వ ఇన్నింగ్స్ లో అత్యధిక క్యాచ్లు (3)']")</f>
        <v>[ 'మొదటి డక్ (15) ముందు 49 వ అత్యంత ఇన్నింగ్స్' '15 వ ఇన్నింగ్స్ లో అత్యధిక క్యాచ్లు (3)']</v>
      </c>
      <c r="I3829" s="3"/>
    </row>
    <row r="3830" customHeight="1" spans="1:9">
      <c r="A3830" s="2"/>
      <c r="B3830" s="2" t="str">
        <f>IFERROR(__xludf.DUMMYFUNCTION("IF(A3830&lt;&gt;"""", GOOGLETRANSLATE(A3830, ""en"", ""te""),"""")"),"")</f>
        <v/>
      </c>
      <c r="C3830" s="2"/>
      <c r="D3830" s="2" t="str">
        <f>IFERROR(__xludf.DUMMYFUNCTION("IF(C3830&lt;&gt;"""", GOOGLETRANSLATE(C3830, ""en"", ""te""),"""")"),"")</f>
        <v/>
      </c>
      <c r="E3830" s="2"/>
      <c r="F3830" s="2" t="str">
        <f>IFERROR(__xludf.DUMMYFUNCTION("IF(E3830&lt;&gt;"""", GOOGLETRANSLATE(E3830, ""en"", ""te""),"""")"),"")</f>
        <v/>
      </c>
      <c r="G3830" s="2"/>
      <c r="H3830" s="2" t="str">
        <f>IFERROR(__xludf.DUMMYFUNCTION("IF(G3830&lt;&gt;"""", GOOGLETRANSLATE(G3830, ""en"", ""te""),"""")"),"")</f>
        <v/>
      </c>
      <c r="I3830" s="3"/>
    </row>
    <row r="3831" customHeight="1" spans="1:9">
      <c r="A3831" s="2" t="s">
        <v>349</v>
      </c>
      <c r="B3831" s="2" t="str">
        <f>IFERROR(__xludf.DUMMYFUNCTION("IF(A3831&lt;&gt;"""", GOOGLETRANSLATE(A3831, ""en"", ""te""),"""")"),"[ '99 పరుగుల 1st (మరియు 199, 299 etc) (99)']")</f>
        <v>[ '99 పరుగుల 1st (మరియు 199, 299 etc) (99)']</v>
      </c>
      <c r="C3831" s="2" t="s">
        <v>349</v>
      </c>
      <c r="D3831" s="2" t="str">
        <f>IFERROR(__xludf.DUMMYFUNCTION("IF(C3831&lt;&gt;"""", GOOGLETRANSLATE(C3831, ""en"", ""te""),"""")"),"[ '99 పరుగుల 1st (మరియు 199, 299 etc) (99)']")</f>
        <v>[ '99 పరుగుల 1st (మరియు 199, 299 etc) (99)']</v>
      </c>
      <c r="E3831" s="2"/>
      <c r="F3831" s="2" t="str">
        <f>IFERROR(__xludf.DUMMYFUNCTION("IF(E3831&lt;&gt;"""", GOOGLETRANSLATE(E3831, ""en"", ""te""),"""")"),"")</f>
        <v/>
      </c>
      <c r="G3831" s="2"/>
      <c r="H3831" s="2" t="str">
        <f>IFERROR(__xludf.DUMMYFUNCTION("IF(G3831&lt;&gt;"""", GOOGLETRANSLATE(G3831, ""en"", ""te""),"""")"),"")</f>
        <v/>
      </c>
      <c r="I3831" s="3"/>
    </row>
    <row r="3832" customHeight="1" spans="1:9">
      <c r="A3832" s="2"/>
      <c r="B3832" s="2" t="str">
        <f>IFERROR(__xludf.DUMMYFUNCTION("IF(A3832&lt;&gt;"""", GOOGLETRANSLATE(A3832, ""en"", ""te""),"""")"),"")</f>
        <v/>
      </c>
      <c r="C3832" s="2"/>
      <c r="D3832" s="2" t="str">
        <f>IFERROR(__xludf.DUMMYFUNCTION("IF(C3832&lt;&gt;"""", GOOGLETRANSLATE(C3832, ""en"", ""te""),"""")"),"")</f>
        <v/>
      </c>
      <c r="E3832" s="2"/>
      <c r="F3832" s="2" t="str">
        <f>IFERROR(__xludf.DUMMYFUNCTION("IF(E3832&lt;&gt;"""", GOOGLETRANSLATE(E3832, ""en"", ""te""),"""")"),"")</f>
        <v/>
      </c>
      <c r="G3832" s="2"/>
      <c r="H3832" s="2" t="str">
        <f>IFERROR(__xludf.DUMMYFUNCTION("IF(G3832&lt;&gt;"""", GOOGLETRANSLATE(G3832, ""en"", ""te""),"""")"),"")</f>
        <v/>
      </c>
      <c r="I3832" s="3"/>
    </row>
    <row r="3833" customHeight="1" spans="1:9">
      <c r="A3833" s="2"/>
      <c r="B3833" s="2" t="str">
        <f>IFERROR(__xludf.DUMMYFUNCTION("IF(A3833&lt;&gt;"""", GOOGLETRANSLATE(A3833, ""en"", ""te""),"""")"),"")</f>
        <v/>
      </c>
      <c r="C3833" s="2"/>
      <c r="D3833" s="2" t="str">
        <f>IFERROR(__xludf.DUMMYFUNCTION("IF(C3833&lt;&gt;"""", GOOGLETRANSLATE(C3833, ""en"", ""te""),"""")"),"")</f>
        <v/>
      </c>
      <c r="E3833" s="2"/>
      <c r="F3833" s="2" t="str">
        <f>IFERROR(__xludf.DUMMYFUNCTION("IF(E3833&lt;&gt;"""", GOOGLETRANSLATE(E3833, ""en"", ""te""),"""")"),"")</f>
        <v/>
      </c>
      <c r="G3833" s="2"/>
      <c r="H3833" s="2" t="str">
        <f>IFERROR(__xludf.DUMMYFUNCTION("IF(G3833&lt;&gt;"""", GOOGLETRANSLATE(G3833, ""en"", ""te""),"""")"),"")</f>
        <v/>
      </c>
      <c r="I3833" s="3"/>
    </row>
    <row r="3834" customHeight="1" spans="1:9">
      <c r="A3834" s="2" t="s">
        <v>749</v>
      </c>
      <c r="B3834" s="2" t="str">
        <f>IFERROR(__xludf.DUMMYFUNCTION("IF(A3834&lt;&gt;"""", GOOGLETRANSLATE(A3834, ""en"", ""te""),"""")"),"[ '6 వ అత్యధిక వరుస బాతులు (3)']")</f>
        <v>[ '6 వ అత్యధిక వరుస బాతులు (3)']</v>
      </c>
      <c r="C3834" s="2"/>
      <c r="D3834" s="2" t="str">
        <f>IFERROR(__xludf.DUMMYFUNCTION("IF(C3834&lt;&gt;"""", GOOGLETRANSLATE(C3834, ""en"", ""te""),"""")"),"")</f>
        <v/>
      </c>
      <c r="E3834" s="2" t="s">
        <v>749</v>
      </c>
      <c r="F3834" s="2" t="str">
        <f>IFERROR(__xludf.DUMMYFUNCTION("IF(E3834&lt;&gt;"""", GOOGLETRANSLATE(E3834, ""en"", ""te""),"""")"),"[ '6 వ అత్యధిక వరుస బాతులు (3)']")</f>
        <v>[ '6 వ అత్యధిక వరుస బాతులు (3)']</v>
      </c>
      <c r="G3834" s="2"/>
      <c r="H3834" s="2" t="str">
        <f>IFERROR(__xludf.DUMMYFUNCTION("IF(G3834&lt;&gt;"""", GOOGLETRANSLATE(G3834, ""en"", ""te""),"""")"),"")</f>
        <v/>
      </c>
      <c r="I3834" s="3"/>
    </row>
    <row r="3835" customHeight="1" spans="1:9">
      <c r="A3835" s="2" t="s">
        <v>2669</v>
      </c>
      <c r="B3835" s="2" t="str">
        <f>IFERROR(__xludf.DUMMYFUNCTION("IF(A3835&lt;&gt;"""", GOOGLETRANSLATE(A3835, ""en"", ""te""),"""")"),"[ 'ఇన్నింగ్స్ లో 3 వ అత్యధిక పరుగులు (బ్యాటింగ్ స్థానంలో ప్రకారం) (54 *)', '9 వ అత్యధిక వికెట్లు తీసుకున్న ఎల్బిడబ్ల్యు (22)', 'ఏడవ వికెట్కు 4 వ అత్యధిక భాగస్వామ్యం (90)', 'కెరీర్ లో 6 వ అతి తక్కువ బాతులు ( 46) ',' 5 వ అత్యధిక వికెట్లు ఒక వికెట్ కీపర్ చే "&amp;"కాట్ తీసుకోకూడదు (11) ',' ఇన్నింగ్స్ లో 3 వ అత్యధిక క్యాచ్లు (3) ']")</f>
        <v>[ 'ఇన్నింగ్స్ లో 3 వ అత్యధిక పరుగులు (బ్యాటింగ్ స్థానంలో ప్రకారం) (54 *)', '9 వ అత్యధిక వికెట్లు తీసుకున్న ఎల్బిడబ్ల్యు (22)', 'ఏడవ వికెట్కు 4 వ అత్యధిక భాగస్వామ్యం (90)', 'కెరీర్ లో 6 వ అతి తక్కువ బాతులు ( 46) ',' 5 వ అత్యధిక వికెట్లు ఒక వికెట్ కీపర్ చే కాట్ తీసుకోకూడదు (11) ',' ఇన్నింగ్స్ లో 3 వ అత్యధిక క్యాచ్లు (3) ']</v>
      </c>
      <c r="C3835" s="2" t="s">
        <v>2670</v>
      </c>
      <c r="D3835" s="2" t="str">
        <f>IFERROR(__xludf.DUMMYFUNCTION("IF(C3835&lt;&gt;"""", GOOGLETRANSLATE(C3835, ""en"", ""te""),"""")"),"[ '15 వ చెత్త కెరీర్ (83.00) (అర్హత లేకుండా) సగటు బౌలింగ్', 'ఇన్నింగ్స్ లో 35 వ చెత్త ఆర్థిక రేటు (4.00)']")</f>
        <v>[ '15 వ చెత్త కెరీర్ (83.00) (అర్హత లేకుండా) సగటు బౌలింగ్', 'ఇన్నింగ్స్ లో 35 వ చెత్త ఆర్థిక రేటు (4.00)']</v>
      </c>
      <c r="E3835" s="2" t="s">
        <v>2671</v>
      </c>
      <c r="F3835" s="2" t="str">
        <f>IFERROR(__xludf.DUMMYFUNCTION("IF(E3835&lt;&gt;"""", GOOGLETRANSLATE(E3835, ""en"", ""te""),"""")"),"[ '42 వ కెరీర్ లో అత్యధిక పరుగులు (2002)', 'ఇన్నింగ్స్ లో 3 వ అత్యధిక పరుగులు (బ్యాటింగ్ స్థానంలో ప్రకారం) (54 *)', 'ఒకే మైదానంలో 15 వ అత్యధిక పరుగులు (481)', 'చాలా 5 వ ఒక వృత్తిలో పరుగులు కెరీర్లో వంద (2002) ',' 49 వ అత్యంత అర్ధ లేకుండా (10) ',' ఒక డక్ "&amp;"లేకుండా 30 వ వరుస ఇన్నింగ్స్ (35) ', '21 వ కెరీర్ బాతులు (9)', '27 వ కెరీర్ లో వికెట్లు ( 88) ',' 45 వ ఒకే మైదానంలో అత్యధిక వికెట్లు (11) ',' 29th చెత్త కెరీర్ బౌలింగ్ సరాసరి (34.14) ',' 50th చెత్త కెరీర్లో సమ్మె రేటు (51.9) ',' 16 వ కెరీర్ (4571 లో బౌల్"&amp;"డ్ చాలా బంతుల్లో) ' '14 వ కెరీర్ లో సాధించిన అత్యధిక పరుగులు (3005)', '12 వ బౌలర్ / బ్యాట్స్ కలయికలు (6)', '34 వ అత్యధిక వికెట్లు బౌల్డ్ తీసుకున్న (19)', '34 వ అత్యధిక వికెట్లు తీసుకున్న ఆకర్షించింది (46)', '43 వ అత్యధిక వికెట్లు ఒక ఫీల్డర్ తీసుకున్న ఆకర్"&amp;"షించింది (32) ',' 13 వ అత్యధిక వికెట్లు ఒక వికెట్ కీపర్ చే కాట్ తీసుకున్న (14) ',' 9 వ అత్యధిక వికెట్లు తీసుకున్న ఎల్బిడబ్ల్యు (22) ',' 32 వ అత్యధిక క్యాచ్లు కెరీర్లో (33) ',' 31 అత్యధిక భాగస్వామ్యం ఆరవ వికెట్ (71) ',' ఏడవ వికెట్కు 4 వ అత్యధిక భాగస్వామ్యం"&amp;" (90) ',' 10 వ అత్యధిక భాగస్వామ్యం కోసం ఎనిమిదవ వికెట్కు (63) ',' తొమ్మిదవ వికెట్ (44 *) 13 వ అత్యధిక భాగస్వామ్యం ',' 15 వ కెరీర్ (125) లో అత్యధిక మ్యాచ్లు ']")</f>
        <v>[ '42 వ కెరీర్ లో అత్యధిక పరుగులు (2002)', 'ఇన్నింగ్స్ లో 3 వ అత్యధిక పరుగులు (బ్యాటింగ్ స్థానంలో ప్రకారం) (54 *)', 'ఒకే మైదానంలో 15 వ అత్యధిక పరుగులు (481)', 'చాలా 5 వ ఒక వృత్తిలో పరుగులు కెరీర్లో వంద (2002) ',' 49 వ అత్యంత అర్ధ లేకుండా (10) ',' ఒక డక్ లేకుండా 30 వ వరుస ఇన్నింగ్స్ (35) ', '21 వ కెరీర్ బాతులు (9)', '27 వ కెరీర్ లో వికెట్లు ( 88) ',' 45 వ ఒకే మైదానంలో అత్యధిక వికెట్లు (11) ',' 29th చెత్త కెరీర్ బౌలింగ్ సరాసరి (34.14) ',' 50th చెత్త కెరీర్లో సమ్మె రేటు (51.9) ',' 16 వ కెరీర్ (4571 లో బౌల్డ్ చాలా బంతుల్లో) ' '14 వ కెరీర్ లో సాధించిన అత్యధిక పరుగులు (3005)', '12 వ బౌలర్ / బ్యాట్స్ కలయికలు (6)', '34 వ అత్యధిక వికెట్లు బౌల్డ్ తీసుకున్న (19)', '34 వ అత్యధిక వికెట్లు తీసుకున్న ఆకర్షించింది (46)', '43 వ అత్యధిక వికెట్లు ఒక ఫీల్డర్ తీసుకున్న ఆకర్షించింది (32) ',' 13 వ అత్యధిక వికెట్లు ఒక వికెట్ కీపర్ చే కాట్ తీసుకున్న (14) ',' 9 వ అత్యధిక వికెట్లు తీసుకున్న ఎల్బిడబ్ల్యు (22) ',' 32 వ అత్యధిక క్యాచ్లు కెరీర్లో (33) ',' 31 అత్యధిక భాగస్వామ్యం ఆరవ వికెట్ (71) ',' ఏడవ వికెట్కు 4 వ అత్యధిక భాగస్వామ్యం (90) ',' 10 వ అత్యధిక భాగస్వామ్యం కోసం ఎనిమిదవ వికెట్కు (63) ',' తొమ్మిదవ వికెట్ (44 *) 13 వ అత్యధిక భాగస్వామ్యం ',' 15 వ కెరీర్ (125) లో అత్యధిక మ్యాచ్లు ']</v>
      </c>
      <c r="G3835" s="2" t="s">
        <v>2672</v>
      </c>
      <c r="H3835" s="2" t="str">
        <f>IFERROR(__xludf.DUMMYFUNCTION("IF(G3835&lt;&gt;"""", GOOGLETRANSLATE(G3835, ""en"", ""te""),"""")"),"[ '19 ఇన్నింగ్స్ లో అత్యధిక పరుగులు (బ్యాటింగ్ స్థానంలో ప్రకారం) (32)', '13 వ అత్యంత ఇన్నింగ్స్ తొలి డక్ ముందు (23)', 'కెరీర్ లో 6 వ అతి తక్కువ బాతులు (46)', '45 వ కెరీర్ లో అత్యధిక వికెట్లు (47) ',' 46 వ ఒక క్యాలెండర్ సంవత్సరంలో అత్యధిక వికెట్లు (18) ','"&amp;" 22 వ సగటు (17.31) ',' 35 వ ఉత్తమ కెరీర్ ఎకానమీ రేట్ బౌలింగ్ ఉత్తమ కెరీర్ (5.57) ',' 24 వ ఉత్తమ కెరీర్ సమ్మె రేటు (18.6) ',' 50 వ కెరీర్లో బౌల్డ్ అత్యంత బంతుల్లో (876) ',' 18 వ బౌలర్ / బ్యాట్స్ కలయికలు (4) ',' 34 వ బౌలర్ / ఫీల్డర్ కలయికలు (8) ',' 23 వ అత్"&amp;"యధిక వికెట్లు తీసుకున్న ఆకర్షించింది (35) ',' 35 వ అత్యధిక వికెట్లు పట్టుకుంటే తీసుకున్న ఒక ఫీల్డర్ (24) ',' 5 వ అత్యధిక వికెట్లు సాధించిన వికెట్కీపర్గా (11) ',' 30 వ అత్యధిక క్యాచ్లు కెరీర్లో (24) ',' ఇన్నింగ్స్ లో 3 వ అత్యధిక క్యాచ్లు (3) ',' 30 వ అత్యధ"&amp;"ిక కొరకు చేసిన భాగస్వామ్యం పట్టుకుంటే తీసుకున్న తొమ్మిదవ వికెట్ (18) ']")</f>
        <v>[ '19 ఇన్నింగ్స్ లో అత్యధిక పరుగులు (బ్యాటింగ్ స్థానంలో ప్రకారం) (32)', '13 వ అత్యంత ఇన్నింగ్స్ తొలి డక్ ముందు (23)', 'కెరీర్ లో 6 వ అతి తక్కువ బాతులు (46)', '45 వ కెరీర్ లో అత్యధిక వికెట్లు (47) ',' 46 వ ఒక క్యాలెండర్ సంవత్సరంలో అత్యధిక వికెట్లు (18) ',' 22 వ సగటు (17.31) ',' 35 వ ఉత్తమ కెరీర్ ఎకానమీ రేట్ బౌలింగ్ ఉత్తమ కెరీర్ (5.57) ',' 24 వ ఉత్తమ కెరీర్ సమ్మె రేటు (18.6) ',' 50 వ కెరీర్లో బౌల్డ్ అత్యంత బంతుల్లో (876) ',' 18 వ బౌలర్ / బ్యాట్స్ కలయికలు (4) ',' 34 వ బౌలర్ / ఫీల్డర్ కలయికలు (8) ',' 23 వ అత్యధిక వికెట్లు తీసుకున్న ఆకర్షించింది (35) ',' 35 వ అత్యధిక వికెట్లు పట్టుకుంటే తీసుకున్న ఒక ఫీల్డర్ (24) ',' 5 వ అత్యధిక వికెట్లు సాధించిన వికెట్కీపర్గా (11) ',' 30 వ అత్యధిక క్యాచ్లు కెరీర్లో (24) ',' ఇన్నింగ్స్ లో 3 వ అత్యధిక క్యాచ్లు (3) ',' 30 వ అత్యధిక కొరకు చేసిన భాగస్వామ్యం పట్టుకుంటే తీసుకున్న తొమ్మిదవ వికెట్ (18) ']</v>
      </c>
      <c r="I3835" s="3"/>
    </row>
    <row r="3836" customHeight="1" spans="1:9">
      <c r="A3836" s="2"/>
      <c r="B3836" s="2" t="str">
        <f>IFERROR(__xludf.DUMMYFUNCTION("IF(A3836&lt;&gt;"""", GOOGLETRANSLATE(A3836, ""en"", ""te""),"""")"),"")</f>
        <v/>
      </c>
      <c r="C3836" s="2"/>
      <c r="D3836" s="2" t="str">
        <f>IFERROR(__xludf.DUMMYFUNCTION("IF(C3836&lt;&gt;"""", GOOGLETRANSLATE(C3836, ""en"", ""te""),"""")"),"")</f>
        <v/>
      </c>
      <c r="E3836" s="2"/>
      <c r="F3836" s="2" t="str">
        <f>IFERROR(__xludf.DUMMYFUNCTION("IF(E3836&lt;&gt;"""", GOOGLETRANSLATE(E3836, ""en"", ""te""),"""")"),"")</f>
        <v/>
      </c>
      <c r="G3836" s="2"/>
      <c r="H3836" s="2" t="str">
        <f>IFERROR(__xludf.DUMMYFUNCTION("IF(G3836&lt;&gt;"""", GOOGLETRANSLATE(G3836, ""en"", ""te""),"""")"),"")</f>
        <v/>
      </c>
      <c r="I3836" s="3"/>
    </row>
    <row r="3837" customHeight="1" spans="1:9">
      <c r="A3837" s="2"/>
      <c r="B3837" s="2" t="str">
        <f>IFERROR(__xludf.DUMMYFUNCTION("IF(A3837&lt;&gt;"""", GOOGLETRANSLATE(A3837, ""en"", ""te""),"""")"),"")</f>
        <v/>
      </c>
      <c r="C3837" s="2"/>
      <c r="D3837" s="2" t="str">
        <f>IFERROR(__xludf.DUMMYFUNCTION("IF(C3837&lt;&gt;"""", GOOGLETRANSLATE(C3837, ""en"", ""te""),"""")"),"")</f>
        <v/>
      </c>
      <c r="E3837" s="2"/>
      <c r="F3837" s="2" t="str">
        <f>IFERROR(__xludf.DUMMYFUNCTION("IF(E3837&lt;&gt;"""", GOOGLETRANSLATE(E3837, ""en"", ""te""),"""")"),"")</f>
        <v/>
      </c>
      <c r="G3837" s="2"/>
      <c r="H3837" s="2" t="str">
        <f>IFERROR(__xludf.DUMMYFUNCTION("IF(G3837&lt;&gt;"""", GOOGLETRANSLATE(G3837, ""en"", ""te""),"""")"),"")</f>
        <v/>
      </c>
      <c r="I3837" s="3"/>
    </row>
    <row r="3838" customHeight="1" spans="1:9">
      <c r="A3838" s="2"/>
      <c r="B3838" s="2" t="str">
        <f>IFERROR(__xludf.DUMMYFUNCTION("IF(A3838&lt;&gt;"""", GOOGLETRANSLATE(A3838, ""en"", ""te""),"""")"),"")</f>
        <v/>
      </c>
      <c r="C3838" s="2"/>
      <c r="D3838" s="2" t="str">
        <f>IFERROR(__xludf.DUMMYFUNCTION("IF(C3838&lt;&gt;"""", GOOGLETRANSLATE(C3838, ""en"", ""te""),"""")"),"")</f>
        <v/>
      </c>
      <c r="E3838" s="2"/>
      <c r="F3838" s="2" t="str">
        <f>IFERROR(__xludf.DUMMYFUNCTION("IF(E3838&lt;&gt;"""", GOOGLETRANSLATE(E3838, ""en"", ""te""),"""")"),"")</f>
        <v/>
      </c>
      <c r="G3838" s="2"/>
      <c r="H3838" s="2" t="str">
        <f>IFERROR(__xludf.DUMMYFUNCTION("IF(G3838&lt;&gt;"""", GOOGLETRANSLATE(G3838, ""en"", ""te""),"""")"),"")</f>
        <v/>
      </c>
      <c r="I3838" s="3"/>
    </row>
    <row r="3839" customHeight="1" spans="1:9">
      <c r="A3839" s="2"/>
      <c r="B3839" s="2" t="str">
        <f>IFERROR(__xludf.DUMMYFUNCTION("IF(A3839&lt;&gt;"""", GOOGLETRANSLATE(A3839, ""en"", ""te""),"""")"),"")</f>
        <v/>
      </c>
      <c r="C3839" s="2"/>
      <c r="D3839" s="2" t="str">
        <f>IFERROR(__xludf.DUMMYFUNCTION("IF(C3839&lt;&gt;"""", GOOGLETRANSLATE(C3839, ""en"", ""te""),"""")"),"")</f>
        <v/>
      </c>
      <c r="E3839" s="2"/>
      <c r="F3839" s="2" t="str">
        <f>IFERROR(__xludf.DUMMYFUNCTION("IF(E3839&lt;&gt;"""", GOOGLETRANSLATE(E3839, ""en"", ""te""),"""")"),"")</f>
        <v/>
      </c>
      <c r="G3839" s="2"/>
      <c r="H3839" s="2" t="str">
        <f>IFERROR(__xludf.DUMMYFUNCTION("IF(G3839&lt;&gt;"""", GOOGLETRANSLATE(G3839, ""en"", ""te""),"""")"),"")</f>
        <v/>
      </c>
      <c r="I3839" s="3"/>
    </row>
    <row r="3840" customHeight="1" spans="1:9">
      <c r="A3840" s="2" t="s">
        <v>2673</v>
      </c>
      <c r="B3840" s="2" t="str">
        <f>IFERROR(__xludf.DUMMYFUNCTION("IF(A3840&lt;&gt;"""", GOOGLETRANSLATE(A3840, ""en"", ""te""),"""")"),"[ 'తొలి మ్యాచ్లో 7 వ అత్యధిక పరుగులు (140)', '2 వ అత్యంత వృద్ధ ఆటగాడు తొలి వంద (34y 44d) స్కోర్', 'తొలి 4 వ తొంభై (96)', 'బ్యాటింగ్ తెరవడం మరియు అదే మ్యాచ్ లో బౌలింగ్', '1 వ అత్యంత వృద్ధ ఆటగాడు తొలి వంద (39y 48d) స్కోర్', 'బ్యాటింగ్ తెరవడం మరియు అదే మ్యా"&amp;"చ్ లో బౌలింగ్']")</f>
        <v>[ 'తొలి మ్యాచ్లో 7 వ అత్యధిక పరుగులు (140)', '2 వ అత్యంత వృద్ధ ఆటగాడు తొలి వంద (34y 44d) స్కోర్', 'తొలి 4 వ తొంభై (96)', 'బ్యాటింగ్ తెరవడం మరియు అదే మ్యాచ్ లో బౌలింగ్', '1 వ అత్యంత వృద్ధ ఆటగాడు తొలి వంద (39y 48d) స్కోర్', 'బ్యాటింగ్ తెరవడం మరియు అదే మ్యాచ్ లో బౌలింగ్']</v>
      </c>
      <c r="C3840" s="2" t="s">
        <v>2674</v>
      </c>
      <c r="D3840" s="2" t="str">
        <f>IFERROR(__xludf.DUMMYFUNCTION("IF(C3840&lt;&gt;"""", GOOGLETRANSLATE(C3840, ""en"", ""te""),"""")"),"[ '15 వ అత్యధిక కెరీర్ బ్యాటింగ్ సగటు (44.44)', 'తొలి మ్యాచ్లో 7 వ అత్యధిక పరుగులు (140)', కన్య వందల (34y స్కోర్ 2 వ అత్యంత వృద్ధ ఆటగాడు '9 వ అత్యంత వృద్ధ ఆటగాడు వంద (34y 44d) స్కోర్', '44d ) ',' తొలి 4 వ తొంభై (96) ']")</f>
        <v>[ '15 వ అత్యధిక కెరీర్ బ్యాటింగ్ సగటు (44.44)', 'తొలి మ్యాచ్లో 7 వ అత్యధిక పరుగులు (140)', కన్య వందల (34y స్కోర్ 2 వ అత్యంత వృద్ధ ఆటగాడు '9 వ అత్యంత వృద్ధ ఆటగాడు వంద (34y 44d) స్కోర్', '44d ) ',' తొలి 4 వ తొంభై (96) ']</v>
      </c>
      <c r="E3840" s="2" t="s">
        <v>2675</v>
      </c>
      <c r="F3840" s="2" t="str">
        <f>IFERROR(__xludf.DUMMYFUNCTION("IF(E3840&lt;&gt;"""", GOOGLETRANSLATE(E3840, ""en"", ""te""),"""")"),"[ '1st అత్యంత వృద్ధ ఆటగాడు వంద (39y 48d) స్కోర్', 'తొలి సెంచరీ చేయడానికి 1st అత్యంత వృద్ధ ఆటగాడు (39y 48d)', 'వరుస ఇన్నింగ్స్లో 28 యాభైల్లో (3)', '25 వ కెరీర్ లో బాతులు (16) ',' 26th ఓల్డెస్ట్ క్రీడాకారులు (39y 73d) ']")</f>
        <v>[ '1st అత్యంత వృద్ధ ఆటగాడు వంద (39y 48d) స్కోర్', 'తొలి సెంచరీ చేయడానికి 1st అత్యంత వృద్ధ ఆటగాడు (39y 48d)', 'వరుస ఇన్నింగ్స్లో 28 యాభైల్లో (3)', '25 వ కెరీర్ లో బాతులు (16) ',' 26th ఓల్డెస్ట్ క్రీడాకారులు (39y 73d) ']</v>
      </c>
      <c r="G3840" s="2"/>
      <c r="H3840" s="2" t="str">
        <f>IFERROR(__xludf.DUMMYFUNCTION("IF(G3840&lt;&gt;"""", GOOGLETRANSLATE(G3840, ""en"", ""te""),"""")"),"")</f>
        <v/>
      </c>
      <c r="I3840" s="3"/>
    </row>
    <row r="3841" customHeight="1" spans="1:9">
      <c r="A3841" s="2" t="s">
        <v>2676</v>
      </c>
      <c r="B3841" s="2" t="str">
        <f>IFERROR(__xludf.DUMMYFUNCTION("IF(A3841&lt;&gt;"""", GOOGLETRANSLATE(A3841, ""en"", ""te""),"""")"),"[ 'ఇన్నింగ్స్ లో 8 వ బెస్ట్ ఫిగర్స్ (7/41)']")</f>
        <v>[ 'ఇన్నింగ్స్ లో 8 వ బెస్ట్ ఫిగర్స్ (7/41)']</v>
      </c>
      <c r="C3841" s="2" t="s">
        <v>2677</v>
      </c>
      <c r="D3841" s="2" t="str">
        <f>IFERROR(__xludf.DUMMYFUNCTION("IF(C3841&lt;&gt;"""", GOOGLETRANSLATE(C3841, ""en"", ""te""),"""")"),"[ '44 వ కెరీర్ లో అత్యధిక వికెట్లు (21)', '8 వ ఉత్తమ ఇన్నింగ్స్ లో సంఖ్యలు (7/41)', 'ఒక మ్యాచ్లో 11 వ బెస్ట్ ఫిగర్స్ (9)', '15 వ ఉత్తమ ఇన్నింగ్స్ లో సంఖ్యలు కోల్పోకుండా వైపు ఉన్నప్పుడు (4) ',' ఇన్నింగ్స్ (216.0) ',' 17 వ అత్యధిక పరుగులు ఒక మ్యాచ్లో సాధిం"&amp;"చిన 18 వ చెత్త సమ్మె రేటు (138) ',' 12 వ బౌలర్ / బ్యాట్స్ కలయికలు (4) ', '21 వ అత్యధిక వికెట్లు ఆకర్షించింది (15 తీసుకున్న ) ']")</f>
        <v>[ '44 వ కెరీర్ లో అత్యధిక వికెట్లు (21)', '8 వ ఉత్తమ ఇన్నింగ్స్ లో సంఖ్యలు (7/41)', 'ఒక మ్యాచ్లో 11 వ బెస్ట్ ఫిగర్స్ (9)', '15 వ ఉత్తమ ఇన్నింగ్స్ లో సంఖ్యలు కోల్పోకుండా వైపు ఉన్నప్పుడు (4) ',' ఇన్నింగ్స్ (216.0) ',' 17 వ అత్యధిక పరుగులు ఒక మ్యాచ్లో సాధించిన 18 వ చెత్త సమ్మె రేటు (138) ',' 12 వ బౌలర్ / బ్యాట్స్ కలయికలు (4) ', '21 వ అత్యధిక వికెట్లు ఆకర్షించింది (15 తీసుకున్న ) ']</v>
      </c>
      <c r="E3841" s="2"/>
      <c r="F3841" s="2" t="str">
        <f>IFERROR(__xludf.DUMMYFUNCTION("IF(E3841&lt;&gt;"""", GOOGLETRANSLATE(E3841, ""en"", ""te""),"""")"),"")</f>
        <v/>
      </c>
      <c r="G3841" s="2"/>
      <c r="H3841" s="2" t="str">
        <f>IFERROR(__xludf.DUMMYFUNCTION("IF(G3841&lt;&gt;"""", GOOGLETRANSLATE(G3841, ""en"", ""te""),"""")"),"")</f>
        <v/>
      </c>
      <c r="I3841" s="3"/>
    </row>
    <row r="3842" customHeight="1" spans="1:9">
      <c r="A3842" s="2" t="s">
        <v>2678</v>
      </c>
      <c r="B3842" s="2" t="str">
        <f>IFERROR(__xludf.DUMMYFUNCTION("IF(A3842&lt;&gt;"""", GOOGLETRANSLATE(A3842, ""en"", ""te""),"""")"),"[ '3 వ ఉత్తమ కెరీర్ సమ్మె రేటు (38.7)', '1st ఒక ఇన్నింగ్స్ లోని బెస్ట్ ఫిగర్స్ ఉన్నప్పుడు పరాజయం వైపు (6) న', '10 వ ఉత్తమ కెరీర్ సగటు (20.88) బౌలింగ్' 'వేగవంతమైన 100 వికెట్లు (54) 4', ]")</f>
        <v>[ '3 వ ఉత్తమ కెరీర్ సమ్మె రేటు (38.7)', '1st ఒక ఇన్నింగ్స్ లోని బెస్ట్ ఫిగర్స్ ఉన్నప్పుడు పరాజయం వైపు (6) న', '10 వ ఉత్తమ కెరీర్ సగటు (20.88) బౌలింగ్' 'వేగవంతమైన 100 వికెట్లు (54) 4', ]</v>
      </c>
      <c r="C3842" s="2" t="s">
        <v>2679</v>
      </c>
      <c r="D3842" s="2" t="str">
        <f>IFERROR(__xludf.DUMMYFUNCTION("IF(C3842&lt;&gt;"""", GOOGLETRANSLATE(C3842, ""en"", ""te""),"""")"),"[ '34 వ ఉత్తమ కెరీర్ బౌలింగ్ సరాసరి (22.09)', '3 వ ఉత్తమ కెరీర్ సమ్మె రేటు (38.7)']")</f>
        <v>[ '34 వ ఉత్తమ కెరీర్ బౌలింగ్ సరాసరి (22.09)', '3 వ ఉత్తమ కెరీర్ సమ్మె రేటు (38.7)']</v>
      </c>
      <c r="E3842" s="2" t="s">
        <v>2680</v>
      </c>
      <c r="F3842" s="2" t="str">
        <f>IFERROR(__xludf.DUMMYFUNCTION("IF(E3842&lt;&gt;"""", GOOGLETRANSLATE(E3842, ""en"", ""te""),"""")"),"[ '13 వ ఇన్నింగ్స్ లో అత్యధిక పరుగులు (బ్యాటింగ్ స్థానంలో ప్రకారం) (31 *)', '24 వ ఇన్నింగ్స్ లో బెస్ట్ ఫిగర్స్ (6/19)', '16 వ అత్యధిక వికెట్లు వరుస (21)', '12 వ అత్యుత్తమ బౌలింగ్ విశ్లేషణలు ఒక ఇన్నింగ్స్ లో (6/19) ',' 1st ఒక ఇన్నింగ్స్ లోని బెస్ట్ ఫిగర్స్"&amp;" ఉన్నప్పుడు పరాజయం వైపు (6) ',' 10 వ ఉత్తమ కెరీర్ సగటు (20.88) ',' 17 వ ఉత్తమ కెరీర్ సమ్మె రేటు (29.2) బౌలింగ్ న ',' 15 వ అత్యంత ఐదు-వికెట్ల లో-ఒక-ఇన్నింగ్స్ కెరీర్లో (4) ',' 22 వ అత్యంత నాలుగు వికెట్లు-ఇన్-ఒక-ఇన్నింగ్స్ కెరీర్లో (11) ',' 13 వ వరుస నాలుగ"&amp;"ు వికెట్లు-ఇన్-ఒక -innings (2) ',' ఫాస్టెస్ట్ 50 వికెట్లు 17 (27) ',' 100 వికెట్లు వేగవంతమైన 4 వ (54) ']")</f>
        <v>[ '13 వ ఇన్నింగ్స్ లో అత్యధిక పరుగులు (బ్యాటింగ్ స్థానంలో ప్రకారం) (31 *)', '24 వ ఇన్నింగ్స్ లో బెస్ట్ ఫిగర్స్ (6/19)', '16 వ అత్యధిక వికెట్లు వరుస (21)', '12 వ అత్యుత్తమ బౌలింగ్ విశ్లేషణలు ఒక ఇన్నింగ్స్ లో (6/19) ',' 1st ఒక ఇన్నింగ్స్ లోని బెస్ట్ ఫిగర్స్ ఉన్నప్పుడు పరాజయం వైపు (6) ',' 10 వ ఉత్తమ కెరీర్ సగటు (20.88) ',' 17 వ ఉత్తమ కెరీర్ సమ్మె రేటు (29.2) బౌలింగ్ న ',' 15 వ అత్యంత ఐదు-వికెట్ల లో-ఒక-ఇన్నింగ్స్ కెరీర్లో (4) ',' 22 వ అత్యంత నాలుగు వికెట్లు-ఇన్-ఒక-ఇన్నింగ్స్ కెరీర్లో (11) ',' 13 వ వరుస నాలుగు వికెట్లు-ఇన్-ఒక -innings (2) ',' ఫాస్టెస్ట్ 50 వికెట్లు 17 (27) ',' 100 వికెట్లు వేగవంతమైన 4 వ (54) ']</v>
      </c>
      <c r="G3842" s="2"/>
      <c r="H3842" s="2" t="str">
        <f>IFERROR(__xludf.DUMMYFUNCTION("IF(G3842&lt;&gt;"""", GOOGLETRANSLATE(G3842, ""en"", ""te""),"""")"),"")</f>
        <v/>
      </c>
      <c r="I3842" s="3"/>
    </row>
    <row r="3843" customHeight="1" spans="1:9">
      <c r="A3843" s="2" t="s">
        <v>2681</v>
      </c>
      <c r="B3843" s="2" t="str">
        <f>IFERROR(__xludf.DUMMYFUNCTION("IF(A3843&lt;&gt;"""", GOOGLETRANSLATE(A3843, ""en"", ""te""),"""")"),"[ 'హండ్రెడ్ తొలి (107 *)']")</f>
        <v>[ 'హండ్రెడ్ తొలి (107 *)']</v>
      </c>
      <c r="C3843" s="2"/>
      <c r="D3843" s="2" t="str">
        <f>IFERROR(__xludf.DUMMYFUNCTION("IF(C3843&lt;&gt;"""", GOOGLETRANSLATE(C3843, ""en"", ""te""),"""")"),"")</f>
        <v/>
      </c>
      <c r="E3843" s="2"/>
      <c r="F3843" s="2" t="str">
        <f>IFERROR(__xludf.DUMMYFUNCTION("IF(E3843&lt;&gt;"""", GOOGLETRANSLATE(E3843, ""en"", ""te""),"""")"),"")</f>
        <v/>
      </c>
      <c r="G3843" s="2"/>
      <c r="H3843" s="2" t="str">
        <f>IFERROR(__xludf.DUMMYFUNCTION("IF(G3843&lt;&gt;"""", GOOGLETRANSLATE(G3843, ""en"", ""te""),"""")"),"")</f>
        <v/>
      </c>
      <c r="I3843" s="3"/>
    </row>
    <row r="3844" customHeight="1" spans="1:9">
      <c r="A3844" s="2"/>
      <c r="B3844" s="2" t="str">
        <f>IFERROR(__xludf.DUMMYFUNCTION("IF(A3844&lt;&gt;"""", GOOGLETRANSLATE(A3844, ""en"", ""te""),"""")"),"")</f>
        <v/>
      </c>
      <c r="C3844" s="2"/>
      <c r="D3844" s="2" t="str">
        <f>IFERROR(__xludf.DUMMYFUNCTION("IF(C3844&lt;&gt;"""", GOOGLETRANSLATE(C3844, ""en"", ""te""),"""")"),"")</f>
        <v/>
      </c>
      <c r="E3844" s="2"/>
      <c r="F3844" s="2" t="str">
        <f>IFERROR(__xludf.DUMMYFUNCTION("IF(E3844&lt;&gt;"""", GOOGLETRANSLATE(E3844, ""en"", ""te""),"""")"),"")</f>
        <v/>
      </c>
      <c r="G3844" s="2"/>
      <c r="H3844" s="2" t="str">
        <f>IFERROR(__xludf.DUMMYFUNCTION("IF(G3844&lt;&gt;"""", GOOGLETRANSLATE(G3844, ""en"", ""te""),"""")"),"")</f>
        <v/>
      </c>
      <c r="I3844" s="3"/>
    </row>
    <row r="3845" customHeight="1" spans="1:9">
      <c r="A3845" s="2"/>
      <c r="B3845" s="2" t="str">
        <f>IFERROR(__xludf.DUMMYFUNCTION("IF(A3845&lt;&gt;"""", GOOGLETRANSLATE(A3845, ""en"", ""te""),"""")"),"")</f>
        <v/>
      </c>
      <c r="C3845" s="2"/>
      <c r="D3845" s="2" t="str">
        <f>IFERROR(__xludf.DUMMYFUNCTION("IF(C3845&lt;&gt;"""", GOOGLETRANSLATE(C3845, ""en"", ""te""),"""")"),"")</f>
        <v/>
      </c>
      <c r="E3845" s="2"/>
      <c r="F3845" s="2" t="str">
        <f>IFERROR(__xludf.DUMMYFUNCTION("IF(E3845&lt;&gt;"""", GOOGLETRANSLATE(E3845, ""en"", ""te""),"""")"),"")</f>
        <v/>
      </c>
      <c r="G3845" s="2"/>
      <c r="H3845" s="2" t="str">
        <f>IFERROR(__xludf.DUMMYFUNCTION("IF(G3845&lt;&gt;"""", GOOGLETRANSLATE(G3845, ""en"", ""te""),"""")"),"")</f>
        <v/>
      </c>
      <c r="I3845" s="3"/>
    </row>
    <row r="3846" customHeight="1" spans="1:9">
      <c r="A3846" s="2" t="s">
        <v>9</v>
      </c>
      <c r="B3846" s="2" t="str">
        <f>IFERROR(__xludf.DUMMYFUNCTION("IF(A3846&lt;&gt;"""", GOOGLETRANSLATE(A3846, ""en"", ""te""),"""")"),"[ 'హండ్రెడ్ మరియు ఒక మ్యాచ్లో ఒక డక్']")</f>
        <v>[ 'హండ్రెడ్ మరియు ఒక మ్యాచ్లో ఒక డక్']</v>
      </c>
      <c r="C3846" s="2"/>
      <c r="D3846" s="2" t="str">
        <f>IFERROR(__xludf.DUMMYFUNCTION("IF(C3846&lt;&gt;"""", GOOGLETRANSLATE(C3846, ""en"", ""te""),"""")"),"")</f>
        <v/>
      </c>
      <c r="E3846" s="2"/>
      <c r="F3846" s="2" t="str">
        <f>IFERROR(__xludf.DUMMYFUNCTION("IF(E3846&lt;&gt;"""", GOOGLETRANSLATE(E3846, ""en"", ""te""),"""")"),"")</f>
        <v/>
      </c>
      <c r="G3846" s="2"/>
      <c r="H3846" s="2" t="str">
        <f>IFERROR(__xludf.DUMMYFUNCTION("IF(G3846&lt;&gt;"""", GOOGLETRANSLATE(G3846, ""en"", ""te""),"""")"),"")</f>
        <v/>
      </c>
      <c r="I3846" s="3"/>
    </row>
    <row r="3847" customHeight="1" spans="1:9">
      <c r="A3847" s="2"/>
      <c r="B3847" s="2" t="str">
        <f>IFERROR(__xludf.DUMMYFUNCTION("IF(A3847&lt;&gt;"""", GOOGLETRANSLATE(A3847, ""en"", ""te""),"""")"),"")</f>
        <v/>
      </c>
      <c r="C3847" s="2" t="s">
        <v>2682</v>
      </c>
      <c r="D3847" s="2" t="str">
        <f>IFERROR(__xludf.DUMMYFUNCTION("IF(C3847&lt;&gt;"""", GOOGLETRANSLATE(C3847, ""en"", ""te""),"""")"),"[ '19 చెత్త కెరీర్ బౌలింగ్ సరాసరి (అర్హత లేకుండా) (176.00)']")</f>
        <v>[ '19 చెత్త కెరీర్ బౌలింగ్ సరాసరి (అర్హత లేకుండా) (176.00)']</v>
      </c>
      <c r="E3847" s="2"/>
      <c r="F3847" s="2" t="str">
        <f>IFERROR(__xludf.DUMMYFUNCTION("IF(E3847&lt;&gt;"""", GOOGLETRANSLATE(E3847, ""en"", ""te""),"""")"),"")</f>
        <v/>
      </c>
      <c r="G3847" s="2"/>
      <c r="H3847" s="2" t="str">
        <f>IFERROR(__xludf.DUMMYFUNCTION("IF(G3847&lt;&gt;"""", GOOGLETRANSLATE(G3847, ""en"", ""te""),"""")"),"")</f>
        <v/>
      </c>
      <c r="I3847" s="3"/>
    </row>
    <row r="3848" customHeight="1" spans="1:9">
      <c r="A3848" s="2" t="s">
        <v>2683</v>
      </c>
      <c r="B3848" s="2" t="str">
        <f>IFERROR(__xludf.DUMMYFUNCTION("IF(A3848&lt;&gt;"""", GOOGLETRANSLATE(A3848, ""en"", ""te""),"""")"),"[ 'ఇన్నింగ్స్ లో 2 వ అత్యధిక పరుగులు (బ్యాటింగ్ స్థానంలో ప్రకారం) (204)', '1st అధిక రెండొందల పరుగులు ఒక వృత్తిలో (1)', కెరీర్లో '1st చాలా తొంభైల కెరీర్లో (2)', '10 వ అతి తక్కువ బాతులు (33 ) ']")</f>
        <v>[ 'ఇన్నింగ్స్ లో 2 వ అత్యధిక పరుగులు (బ్యాటింగ్ స్థానంలో ప్రకారం) (204)', '1st అధిక రెండొందల పరుగులు ఒక వృత్తిలో (1)', కెరీర్లో '1st చాలా తొంభైల కెరీర్లో (2)', '10 వ అతి తక్కువ బాతులు (33 ) ']</v>
      </c>
      <c r="C3848" s="2" t="s">
        <v>2684</v>
      </c>
      <c r="D3848" s="2" t="str">
        <f>IFERROR(__xludf.DUMMYFUNCTION("IF(C3848&lt;&gt;"""", GOOGLETRANSLATE(C3848, ""en"", ""te""),"""")"),"[ 'ఒక మ్యాచ్లో 9 వ అత్యధిక పరుగులు (204)' వరుస 'ఇన్నింగ్స్ లో 6 వ అత్యధిక పరుగులు (ప్రగతిశీల రికార్డు హోల్డర్) (204)', 'ఇన్నింగ్స్ (204) లో 5 వ అత్యధిక పరుగులు', '12 వ అత్యధిక పరుగులు ( 340) ',' 14 వ ఒక క్యాలెండర్ సంవత్సరంలో అత్యధిక పరుగులు (340) ',' 2 వ "&amp;"ఇన్నింగ్స్ లో అత్యధిక పరుగులు (బ్యాటింగ్ స్థానంలో ప్రకారం) (204) ',' ఒక వృత్తిలో 1st అత్యధిక డబుల్ సెంచరీలు (1) ',' 4 వ అత్యధిక కెరీర్లో తొలి వంద (204) ',' 1 వ అత్యంత తొంభైల (2) ',' 5 వ తొంభై తొలి (94) ']")</f>
        <v>[ 'ఒక మ్యాచ్లో 9 వ అత్యధిక పరుగులు (204)' వరుస 'ఇన్నింగ్స్ లో 6 వ అత్యధిక పరుగులు (ప్రగతిశీల రికార్డు హోల్డర్) (204)', 'ఇన్నింగ్స్ (204) లో 5 వ అత్యధిక పరుగులు', '12 వ అత్యధిక పరుగులు ( 340) ',' 14 వ ఒక క్యాలెండర్ సంవత్సరంలో అత్యధిక పరుగులు (340) ',' 2 వ ఇన్నింగ్స్ లో అత్యధిక పరుగులు (బ్యాటింగ్ స్థానంలో ప్రకారం) (204) ',' ఒక వృత్తిలో 1st అత్యధిక డబుల్ సెంచరీలు (1) ',' 4 వ అత్యధిక కెరీర్లో తొలి వంద (204) ',' 1 వ అత్యంత తొంభైల (2) ',' 5 వ తొంభై తొలి (94) ']</v>
      </c>
      <c r="E3848" s="2" t="s">
        <v>2685</v>
      </c>
      <c r="F3848" s="2" t="str">
        <f>IFERROR(__xludf.DUMMYFUNCTION("IF(E3848&lt;&gt;"""", GOOGLETRANSLATE(E3848, ""en"", ""te""),"""")"),"[ 'ఒక డక్ లేకుండా 47 వ వరుస ఇన్నింగ్స్ (31 *)', 'కెరీర్లో 10 వ అతి తక్కువ బాతులు (33)', 'ఆరవ వికెట్ (66) కోసం 41 వ అత్యధిక భాగస్వామ్యం']")</f>
        <v>[ 'ఒక డక్ లేకుండా 47 వ వరుస ఇన్నింగ్స్ (31 *)', 'కెరీర్లో 10 వ అతి తక్కువ బాతులు (33)', 'ఆరవ వికెట్ (66) కోసం 41 వ అత్యధిక భాగస్వామ్యం']</v>
      </c>
      <c r="G3848" s="2"/>
      <c r="H3848" s="2" t="str">
        <f>IFERROR(__xludf.DUMMYFUNCTION("IF(G3848&lt;&gt;"""", GOOGLETRANSLATE(G3848, ""en"", ""te""),"""")"),"")</f>
        <v/>
      </c>
      <c r="I3848" s="3"/>
    </row>
    <row r="3849" customHeight="1" spans="1:9">
      <c r="A3849" s="2" t="s">
        <v>2686</v>
      </c>
      <c r="B3849" s="2" t="str">
        <f>IFERROR(__xludf.DUMMYFUNCTION("IF(A3849&lt;&gt;"""", GOOGLETRANSLATE(A3849, ""en"", ""te""),"""")"),"[ '150 వికెట్లు వేగంగా 3 వ (81)' '7th అత్యుత్తమ బౌలింగ్ ఇన్నింగ్స్ లో విశ్లేషించడం (7/34)', '10 వ అత్యంత నాలుగు వికెట్లు-ఇన్-ఒక-ఇన్నింగ్స్ కెరీర్లో (13)',]")</f>
        <v>[ '150 వికెట్లు వేగంగా 3 వ (81)' '7th అత్యుత్తమ బౌలింగ్ ఇన్నింగ్స్ లో విశ్లేషించడం (7/34)', '10 వ అత్యంత నాలుగు వికెట్లు-ఇన్-ఒక-ఇన్నింగ్స్ కెరీర్లో (13)',]</v>
      </c>
      <c r="C3849" s="2" t="s">
        <v>2687</v>
      </c>
      <c r="D3849" s="2" t="str">
        <f>IFERROR(__xludf.DUMMYFUNCTION("IF(C3849&lt;&gt;"""", GOOGLETRANSLATE(C3849, ""en"", ""te""),"""")"),"[ '14 వ ఇన్నింగ్స్ లో అత్యధిక పరుగులు (బ్యాటింగ్ స్థానంలో ప్రకారం) (52 *)', '39 వ కెరీర్ లో అత్యధిక వికెట్లు (281)', '46 వ కెరీర్ లో బౌల్డ్ చాలా బంతుల్లో (15819)', '39 వ కెరీర్ లో సాధించిన అత్యధిక పరుగులు ( 7875) ',' 17 వ బౌలర్ / ఫీల్డర్ కలయికలు (55) ',' "&amp;"37 వ అత్యధిక వికెట్లు తీసుకున్న బౌల్డ్ (61) ',' 39 వ అత్యధిక వికెట్లు తీసుకున్న క్యాచ్ (172) ',' 49 వ అత్యధిక వికెట్లు తీసుకున్న ఫీల్డర్ (105 పట్టుకుంటే) ' 'వేగంగా 200 వికెట్లు (52) కు 47 వ', '29th వేగవంతమైన 250 వికెట్లు (63)' '27 వ అత్యధిక వికెట్లు ఆకర్"&amp;"షించింది అత్యధిక వికెట్లు తీసిన (67)',]")</f>
        <v>[ '14 వ ఇన్నింగ్స్ లో అత్యధిక పరుగులు (బ్యాటింగ్ స్థానంలో ప్రకారం) (52 *)', '39 వ కెరీర్ లో అత్యధిక వికెట్లు (281)', '46 వ కెరీర్ లో బౌల్డ్ చాలా బంతుల్లో (15819)', '39 వ కెరీర్ లో సాధించిన అత్యధిక పరుగులు ( 7875) ',' 17 వ బౌలర్ / ఫీల్డర్ కలయికలు (55) ',' 37 వ అత్యధిక వికెట్లు తీసుకున్న బౌల్డ్ (61) ',' 39 వ అత్యధిక వికెట్లు తీసుకున్న క్యాచ్ (172) ',' 49 వ అత్యధిక వికెట్లు తీసుకున్న ఫీల్డర్ (105 పట్టుకుంటే) ' 'వేగంగా 200 వికెట్లు (52) కు 47 వ', '29th వేగవంతమైన 250 వికెట్లు (63)' '27 వ అత్యధిక వికెట్లు ఆకర్షించింది అత్యధిక వికెట్లు తీసిన (67)',]</v>
      </c>
      <c r="E3849" s="2" t="s">
        <v>2688</v>
      </c>
      <c r="F3849" s="2" t="str">
        <f>IFERROR(__xludf.DUMMYFUNCTION("IF(E3849&lt;&gt;"""", GOOGLETRANSLATE(E3849, ""en"", ""te""),"""")"),"[ 'ఇన్నింగ్స్ లో 8 వ బెస్ట్ ఫిగర్స్ (7/34)', 'వరుస 10 వ అత్యధిక వికెట్లు (22)', '7 వ అత్యుత్తమ బౌలింగ్ ఇన్నింగ్స్ లో విశ్లేషించడం (7/34)', '25 వ ఉత్తమ కెరీర్ సమ్మె రేటు (30.2 ) ',' 11 వ అత్యంత ఐదు-వికెట్ల లో-ఒక-ఇన్నింగ్స్ కెరీర్లో (5) ',' మోస్ట్ నాలుగు వి"&amp;"కెట్లు-ఇన్-ఒక-ఇన్నింగ్స్ 10 వ ఒక వృత్తిలో (13) ',' 48 వ అత్యధిక వికెట్లు పట్టుకుంటే తీసుకున్న ఒక ఫీల్డర్ (86) ',' 32 వ 50 వికెట్లు వేగంగా (29) ',' 7th 100 వికెట్లు వేగంగా (56) ',' 3 వ 150 వికెట్లు (81) '] వేగంగా")</f>
        <v>[ 'ఇన్నింగ్స్ లో 8 వ బెస్ట్ ఫిగర్స్ (7/34)', 'వరుస 10 వ అత్యధిక వికెట్లు (22)', '7 వ అత్యుత్తమ బౌలింగ్ ఇన్నింగ్స్ లో విశ్లేషించడం (7/34)', '25 వ ఉత్తమ కెరీర్ సమ్మె రేటు (30.2 ) ',' 11 వ అత్యంత ఐదు-వికెట్ల లో-ఒక-ఇన్నింగ్స్ కెరీర్లో (5) ',' మోస్ట్ నాలుగు వికెట్లు-ఇన్-ఒక-ఇన్నింగ్స్ 10 వ ఒక వృత్తిలో (13) ',' 48 వ అత్యధిక వికెట్లు పట్టుకుంటే తీసుకున్న ఒక ఫీల్డర్ (86) ',' 32 వ 50 వికెట్లు వేగంగా (29) ',' 7th 100 వికెట్లు వేగంగా (56) ',' 3 వ 150 వికెట్లు (81) '] వేగంగా</v>
      </c>
      <c r="G3849" s="2" t="s">
        <v>2689</v>
      </c>
      <c r="H3849" s="2" t="str">
        <f>IFERROR(__xludf.DUMMYFUNCTION("IF(G3849&lt;&gt;"""", GOOGLETRANSLATE(G3849, ""en"", ""te""),"""")"),"[ '46 వ కెరీర్ లో అత్యధిక వికెట్లు (46)', '26 ఉత్తమ కెరీర్ సమ్మె రేటు (16.4)', '14 వ చెత్త కెరీర్లో ఆర్థిక రేటు (8.53)', '17 వ బౌలర్' 43 వ కెరీర్ (1074) లో సాధించిన అత్యధిక పరుగులు '/ బ్యాట్స్ కలయికలు (3) ',' 45 వ బౌలర్ / ఫీల్డర్ కలయికలు (6) ',' 26th అత్య"&amp;"ధిక వికెట్లు తీసుకున్న క్యాచ్ (36) ',' 33 వ అత్యధిక వికెట్లు తీసుకున్న ఫీల్డర్ చేత క్యాచ్ (28) ',' 13 వ అత్యధిక వికెట్లు పట్టుకుంటే తీసుకున్న ఒక వికెట్ ఇన్నింగ్స్ లో (8) ',' 15 వ అత్యధిక క్యాచ్లు (3) ']")</f>
        <v>[ '46 వ కెరీర్ లో అత్యధిక వికెట్లు (46)', '26 ఉత్తమ కెరీర్ సమ్మె రేటు (16.4)', '14 వ చెత్త కెరీర్లో ఆర్థిక రేటు (8.53)', '17 వ బౌలర్' 43 వ కెరీర్ (1074) లో సాధించిన అత్యధిక పరుగులు '/ బ్యాట్స్ కలయికలు (3) ',' 45 వ బౌలర్ / ఫీల్డర్ కలయికలు (6) ',' 26th అత్యధిక వికెట్లు తీసుకున్న క్యాచ్ (36) ',' 33 వ అత్యధిక వికెట్లు తీసుకున్న ఫీల్డర్ చేత క్యాచ్ (28) ',' 13 వ అత్యధిక వికెట్లు పట్టుకుంటే తీసుకున్న ఒక వికెట్ ఇన్నింగ్స్ లో (8) ',' 15 వ అత్యధిక క్యాచ్లు (3) ']</v>
      </c>
      <c r="I3849" s="3"/>
    </row>
    <row r="3850" customHeight="1" spans="1:9">
      <c r="A3850" s="2" t="s">
        <v>2690</v>
      </c>
      <c r="B3850" s="2" t="str">
        <f>IFERROR(__xludf.DUMMYFUNCTION("IF(A3850&lt;&gt;"""", GOOGLETRANSLATE(A3850, ""en"", ""te""),"""")"),"[ '10 వ చెత్త ఇన్నింగ్స్ లో సమ్మె రేటు (420.0)', 'ఇన్నింగ్స్ (229) లో సాధించిన 9 వ అత్యధిక పరుగులు']")</f>
        <v>[ '10 వ చెత్త ఇన్నింగ్స్ లో సమ్మె రేటు (420.0)', 'ఇన్నింగ్స్ (229) లో సాధించిన 9 వ అత్యధిక పరుగులు']</v>
      </c>
      <c r="C3850" s="2" t="s">
        <v>2691</v>
      </c>
      <c r="D3850" s="2" t="str">
        <f>IFERROR(__xludf.DUMMYFUNCTION("IF(C3850&lt;&gt;"""", GOOGLETRANSLATE(C3850, ""en"", ""te""),"""")"),"[ '10 వ చెత్త సమ్మె ఇన్నింగ్స్ లో రేటు (420.0)', '24 వ పరాజయం వైపు (7) ఒక ఇన్నింగ్స్ లోని బెస్ట్ ఫిగర్స్' '9 వ అత్యంత ఇన్నింగ్స్ లో సాధించిన పరుగులు (229)']")</f>
        <v>[ '10 వ చెత్త సమ్మె ఇన్నింగ్స్ లో రేటు (420.0)', '24 వ పరాజయం వైపు (7) ఒక ఇన్నింగ్స్ లోని బెస్ట్ ఫిగర్స్' '9 వ అత్యంత ఇన్నింగ్స్ లో సాధించిన పరుగులు (229)']</v>
      </c>
      <c r="E3850" s="2"/>
      <c r="F3850" s="2" t="str">
        <f>IFERROR(__xludf.DUMMYFUNCTION("IF(E3850&lt;&gt;"""", GOOGLETRANSLATE(E3850, ""en"", ""te""),"""")"),"")</f>
        <v/>
      </c>
      <c r="G3850" s="2"/>
      <c r="H3850" s="2" t="str">
        <f>IFERROR(__xludf.DUMMYFUNCTION("IF(G3850&lt;&gt;"""", GOOGLETRANSLATE(G3850, ""en"", ""te""),"""")"),"")</f>
        <v/>
      </c>
      <c r="I3850" s="3"/>
    </row>
    <row r="3851" customHeight="1" spans="1:9">
      <c r="A3851" s="2"/>
      <c r="B3851" s="2" t="str">
        <f>IFERROR(__xludf.DUMMYFUNCTION("IF(A3851&lt;&gt;"""", GOOGLETRANSLATE(A3851, ""en"", ""te""),"""")"),"")</f>
        <v/>
      </c>
      <c r="C3851" s="2"/>
      <c r="D3851" s="2" t="str">
        <f>IFERROR(__xludf.DUMMYFUNCTION("IF(C3851&lt;&gt;"""", GOOGLETRANSLATE(C3851, ""en"", ""te""),"""")"),"")</f>
        <v/>
      </c>
      <c r="E3851" s="2" t="s">
        <v>2692</v>
      </c>
      <c r="F3851" s="2" t="str">
        <f>IFERROR(__xludf.DUMMYFUNCTION("IF(E3851&lt;&gt;"""", GOOGLETRANSLATE(E3851, ""en"", ""te""),"""")"),"[ '38 వ ఒక సిరీస్లో అత్యధిక వికెట్లు (18)', 'ఒకే మైదానంలో 45 వ అత్యధిక వికెట్లు (11)', '47 వ ఉత్తమ కెరీర్ సమ్మె రేటు (36.3)', '47 వ ఒక సిరీస్లో అత్యధిక క్యాచ్లు (6)', ' 41 వ తొమ్మిదవ వికెట్కు అత్యధిక భాగస్వామ్యం (36) ']")</f>
        <v>[ '38 వ ఒక సిరీస్లో అత్యధిక వికెట్లు (18)', 'ఒకే మైదానంలో 45 వ అత్యధిక వికెట్లు (11)', '47 వ ఉత్తమ కెరీర్ సమ్మె రేటు (36.3)', '47 వ ఒక సిరీస్లో అత్యధిక క్యాచ్లు (6)', ' 41 వ తొమ్మిదవ వికెట్కు అత్యధిక భాగస్వామ్యం (36) ']</v>
      </c>
      <c r="G3851" s="2" t="s">
        <v>2693</v>
      </c>
      <c r="H3851" s="2" t="str">
        <f>IFERROR(__xludf.DUMMYFUNCTION("IF(G3851&lt;&gt;"""", GOOGLETRANSLATE(G3851, ""en"", ""te""),"""")"),"[ '20 వ ఉత్తమ కెరీర్ బౌలింగ్ సరాసరి (17.24)', '23 వ ఉత్తమ కెరీర్ ఆర్థిక రేటు (5.41)', '32 వ ఉత్తమ కెరీర్ సమ్మె రేటు (19.0)', '24 వ అత్యధిక వికెట్లు తీసుకున్న ఎల్బిడబ్ల్యు (7)', '32 వ అత్యధిక వికెట్లు తీసుకున్న స్టంప్ (6) ',' తొమ్మిదవ వికెట్కు 45 వ అత్యధిక"&amp;" భాగస్వామ్యం (15) ']")</f>
        <v>[ '20 వ ఉత్తమ కెరీర్ బౌలింగ్ సరాసరి (17.24)', '23 వ ఉత్తమ కెరీర్ ఆర్థిక రేటు (5.41)', '32 వ ఉత్తమ కెరీర్ సమ్మె రేటు (19.0)', '24 వ అత్యధిక వికెట్లు తీసుకున్న ఎల్బిడబ్ల్యు (7)', '32 వ అత్యధిక వికెట్లు తీసుకున్న స్టంప్ (6) ',' తొమ్మిదవ వికెట్కు 45 వ అత్యధిక భాగస్వామ్యం (15) ']</v>
      </c>
      <c r="I3851" s="3"/>
    </row>
    <row r="3852" customHeight="1" spans="1:9">
      <c r="A3852" s="2"/>
      <c r="B3852" s="2" t="str">
        <f>IFERROR(__xludf.DUMMYFUNCTION("IF(A3852&lt;&gt;"""", GOOGLETRANSLATE(A3852, ""en"", ""te""),"""")"),"")</f>
        <v/>
      </c>
      <c r="C3852" s="2"/>
      <c r="D3852" s="2" t="str">
        <f>IFERROR(__xludf.DUMMYFUNCTION("IF(C3852&lt;&gt;"""", GOOGLETRANSLATE(C3852, ""en"", ""te""),"""")"),"")</f>
        <v/>
      </c>
      <c r="E3852" s="2"/>
      <c r="F3852" s="2" t="str">
        <f>IFERROR(__xludf.DUMMYFUNCTION("IF(E3852&lt;&gt;"""", GOOGLETRANSLATE(E3852, ""en"", ""te""),"""")"),"")</f>
        <v/>
      </c>
      <c r="G3852" s="2"/>
      <c r="H3852" s="2" t="str">
        <f>IFERROR(__xludf.DUMMYFUNCTION("IF(G3852&lt;&gt;"""", GOOGLETRANSLATE(G3852, ""en"", ""te""),"""")"),"")</f>
        <v/>
      </c>
      <c r="I3852" s="3"/>
    </row>
    <row r="3853" customHeight="1" spans="1:9">
      <c r="A3853" s="2"/>
      <c r="B3853" s="2" t="str">
        <f>IFERROR(__xludf.DUMMYFUNCTION("IF(A3853&lt;&gt;"""", GOOGLETRANSLATE(A3853, ""en"", ""te""),"""")"),"")</f>
        <v/>
      </c>
      <c r="C3853" s="2"/>
      <c r="D3853" s="2" t="str">
        <f>IFERROR(__xludf.DUMMYFUNCTION("IF(C3853&lt;&gt;"""", GOOGLETRANSLATE(C3853, ""en"", ""te""),"""")"),"")</f>
        <v/>
      </c>
      <c r="E3853" s="2"/>
      <c r="F3853" s="2" t="str">
        <f>IFERROR(__xludf.DUMMYFUNCTION("IF(E3853&lt;&gt;"""", GOOGLETRANSLATE(E3853, ""en"", ""te""),"""")"),"")</f>
        <v/>
      </c>
      <c r="G3853" s="2"/>
      <c r="H3853" s="2" t="str">
        <f>IFERROR(__xludf.DUMMYFUNCTION("IF(G3853&lt;&gt;"""", GOOGLETRANSLATE(G3853, ""en"", ""te""),"""")"),"")</f>
        <v/>
      </c>
      <c r="I3853" s="3"/>
    </row>
    <row r="3854" customHeight="1" spans="1:9">
      <c r="A3854" s="2" t="s">
        <v>2694</v>
      </c>
      <c r="B3854" s="2" t="str">
        <f>IFERROR(__xludf.DUMMYFUNCTION("IF(A3854&lt;&gt;"""", GOOGLETRANSLATE(A3854, ""en"", ""te""),"""")"),"[ 'ఇన్నింగ్స్ లో 7 వ అత్యధిక పరుగులు (బ్యాటింగ్ స్థానంలో ప్రకారం) (83 *)', '1000 పరుగులు మరియు 100 వికెట్లు', '8 వ చెత్త కెరీర్లో సమ్మె రేటు (74.1)', '1 వ ఇన్నింగ్స్ లో ఒక ప్రత్యామ్నాయంగా ద్వారా అత్యధిక క్యాచ్లు (4 ) ',' 4 వ అత్యధిక వరుస బాతులు (4) ']")</f>
        <v>[ 'ఇన్నింగ్స్ లో 7 వ అత్యధిక పరుగులు (బ్యాటింగ్ స్థానంలో ప్రకారం) (83 *)', '1000 పరుగులు మరియు 100 వికెట్లు', '8 వ చెత్త కెరీర్లో సమ్మె రేటు (74.1)', '1 వ ఇన్నింగ్స్ లో ఒక ప్రత్యామ్నాయంగా ద్వారా అత్యధిక క్యాచ్లు (4 ) ',' 4 వ అత్యధిక వరుస బాతులు (4) ']</v>
      </c>
      <c r="C3854" s="2" t="s">
        <v>2695</v>
      </c>
      <c r="D3854" s="2" t="str">
        <f>IFERROR(__xludf.DUMMYFUNCTION("IF(C3854&lt;&gt;"""", GOOGLETRANSLATE(C3854, ""en"", ""te""),"""")"),"[ 'పదవ వికెట్కు 12 వ అత్యధిక భాగస్వామ్యం (124)' '7th చాలా ఇన్నింగ్స్ లో నడుస్తుంది (బ్యాటింగ్ స్థానం) (83 *)',]")</f>
        <v>[ 'పదవ వికెట్కు 12 వ అత్యధిక భాగస్వామ్యం (124)' '7th చాలా ఇన్నింగ్స్ లో నడుస్తుంది (బ్యాటింగ్ స్థానం) (83 *)',]</v>
      </c>
      <c r="E3854" s="2" t="s">
        <v>2696</v>
      </c>
      <c r="F3854" s="2" t="str">
        <f>IFERROR(__xludf.DUMMYFUNCTION("IF(E3854&lt;&gt;"""", GOOGLETRANSLATE(E3854, ""en"", ""te""),"""")"),"[ '8 వ చెత్త కెరీర్ బౌలింగ్ సరాసరి (57.09)' '12 వ అత్యుత్తమ ఇన్నింగ్స్ లో విశ్లేషణలు బౌలింగ్ (2/3)', '8 వ చెత్త కెరీర్లో సమ్మె రేటు (74.1)', '1 వ ఇన్నింగ్స్ లో ఒక ప్రత్యామ్నాయంగా ద్వారా అత్యధిక క్యాచ్లు (4 ) ']")</f>
        <v>[ '8 వ చెత్త కెరీర్ బౌలింగ్ సరాసరి (57.09)' '12 వ అత్యుత్తమ ఇన్నింగ్స్ లో విశ్లేషణలు బౌలింగ్ (2/3)', '8 వ చెత్త కెరీర్లో సమ్మె రేటు (74.1)', '1 వ ఇన్నింగ్స్ లో ఒక ప్రత్యామ్నాయంగా ద్వారా అత్యధిక క్యాచ్లు (4 ) ']</v>
      </c>
      <c r="G3854" s="2"/>
      <c r="H3854" s="2" t="str">
        <f>IFERROR(__xludf.DUMMYFUNCTION("IF(G3854&lt;&gt;"""", GOOGLETRANSLATE(G3854, ""en"", ""te""),"""")"),"")</f>
        <v/>
      </c>
      <c r="I3854" s="3"/>
    </row>
    <row r="3855" customHeight="1" spans="1:9">
      <c r="A3855" s="2"/>
      <c r="B3855" s="2" t="str">
        <f>IFERROR(__xludf.DUMMYFUNCTION("IF(A3855&lt;&gt;"""", GOOGLETRANSLATE(A3855, ""en"", ""te""),"""")"),"")</f>
        <v/>
      </c>
      <c r="C3855" s="2"/>
      <c r="D3855" s="2" t="str">
        <f>IFERROR(__xludf.DUMMYFUNCTION("IF(C3855&lt;&gt;"""", GOOGLETRANSLATE(C3855, ""en"", ""te""),"""")"),"")</f>
        <v/>
      </c>
      <c r="E3855" s="2"/>
      <c r="F3855" s="2" t="str">
        <f>IFERROR(__xludf.DUMMYFUNCTION("IF(E3855&lt;&gt;"""", GOOGLETRANSLATE(E3855, ""en"", ""te""),"""")"),"")</f>
        <v/>
      </c>
      <c r="G3855" s="2"/>
      <c r="H3855" s="2" t="str">
        <f>IFERROR(__xludf.DUMMYFUNCTION("IF(G3855&lt;&gt;"""", GOOGLETRANSLATE(G3855, ""en"", ""te""),"""")"),"")</f>
        <v/>
      </c>
      <c r="I3855" s="3"/>
    </row>
    <row r="3856" customHeight="1" spans="1:9">
      <c r="A3856" s="2"/>
      <c r="B3856" s="2" t="str">
        <f>IFERROR(__xludf.DUMMYFUNCTION("IF(A3856&lt;&gt;"""", GOOGLETRANSLATE(A3856, ""en"", ""te""),"""")"),"")</f>
        <v/>
      </c>
      <c r="C3856" s="2" t="s">
        <v>2697</v>
      </c>
      <c r="D3856" s="2" t="str">
        <f>IFERROR(__xludf.DUMMYFUNCTION("IF(C3856&lt;&gt;"""", GOOGLETRANSLATE(C3856, ""en"", ""te""),"""")"),"[ '19 వరుస మ్యాచ్లు ప్రదర్శనల మధ్య (71) జట్టు తప్పిన']")</f>
        <v>[ '19 వరుస మ్యాచ్లు ప్రదర్శనల మధ్య (71) జట్టు తప్పిన']</v>
      </c>
      <c r="E3856" s="2" t="s">
        <v>2698</v>
      </c>
      <c r="F3856" s="2" t="str">
        <f>IFERROR(__xludf.DUMMYFUNCTION("IF(E3856&lt;&gt;"""", GOOGLETRANSLATE(E3856, ""en"", ""te""),"""")"),"[ '15 వ లాంగెస్ట్ ప్రదర్శనల మధ్య వ్యవధిలో (8y 120d)', '11 వ వరుస మ్యాచ్లు ఆడి మధ్య జట్టు (184) కోసం తప్పిన']")</f>
        <v>[ '15 వ లాంగెస్ట్ ప్రదర్శనల మధ్య వ్యవధిలో (8y 120d)', '11 వ వరుస మ్యాచ్లు ఆడి మధ్య జట్టు (184) కోసం తప్పిన']</v>
      </c>
      <c r="G3856" s="2"/>
      <c r="H3856" s="2" t="str">
        <f>IFERROR(__xludf.DUMMYFUNCTION("IF(G3856&lt;&gt;"""", GOOGLETRANSLATE(G3856, ""en"", ""te""),"""")"),"")</f>
        <v/>
      </c>
      <c r="I3856" s="3"/>
    </row>
    <row r="3857" customHeight="1" spans="1:9">
      <c r="A3857" s="2"/>
      <c r="B3857" s="2" t="str">
        <f>IFERROR(__xludf.DUMMYFUNCTION("IF(A3857&lt;&gt;"""", GOOGLETRANSLATE(A3857, ""en"", ""te""),"""")"),"")</f>
        <v/>
      </c>
      <c r="C3857" s="2"/>
      <c r="D3857" s="2" t="str">
        <f>IFERROR(__xludf.DUMMYFUNCTION("IF(C3857&lt;&gt;"""", GOOGLETRANSLATE(C3857, ""en"", ""te""),"""")"),"")</f>
        <v/>
      </c>
      <c r="E3857" s="2"/>
      <c r="F3857" s="2" t="str">
        <f>IFERROR(__xludf.DUMMYFUNCTION("IF(E3857&lt;&gt;"""", GOOGLETRANSLATE(E3857, ""en"", ""te""),"""")"),"")</f>
        <v/>
      </c>
      <c r="G3857" s="2"/>
      <c r="H3857" s="2" t="str">
        <f>IFERROR(__xludf.DUMMYFUNCTION("IF(G3857&lt;&gt;"""", GOOGLETRANSLATE(G3857, ""en"", ""te""),"""")"),"")</f>
        <v/>
      </c>
      <c r="I3857" s="3"/>
    </row>
    <row r="3858" customHeight="1" spans="1:9">
      <c r="A3858" s="2"/>
      <c r="B3858" s="2" t="str">
        <f>IFERROR(__xludf.DUMMYFUNCTION("IF(A3858&lt;&gt;"""", GOOGLETRANSLATE(A3858, ""en"", ""te""),"""")"),"")</f>
        <v/>
      </c>
      <c r="C3858" s="2" t="s">
        <v>2699</v>
      </c>
      <c r="D3858" s="2" t="str">
        <f>IFERROR(__xludf.DUMMYFUNCTION("IF(C3858&lt;&gt;"""", GOOGLETRANSLATE(C3858, ""en"", ""te""),"""")"),"[ '45 వ అత్యంత వృద్ధ ఆటగాడు ఐదు వికెట్ల లో-ఒక-ఇన్నింగ్స్ తీసుకోవాలని (37y 17d)']")</f>
        <v>[ '45 వ అత్యంత వృద్ధ ఆటగాడు ఐదు వికెట్ల లో-ఒక-ఇన్నింగ్స్ తీసుకోవాలని (37y 17d)']</v>
      </c>
      <c r="E3858" s="2"/>
      <c r="F3858" s="2" t="str">
        <f>IFERROR(__xludf.DUMMYFUNCTION("IF(E3858&lt;&gt;"""", GOOGLETRANSLATE(E3858, ""en"", ""te""),"""")"),"")</f>
        <v/>
      </c>
      <c r="G3858" s="2"/>
      <c r="H3858" s="2" t="str">
        <f>IFERROR(__xludf.DUMMYFUNCTION("IF(G3858&lt;&gt;"""", GOOGLETRANSLATE(G3858, ""en"", ""te""),"""")"),"")</f>
        <v/>
      </c>
      <c r="I3858" s="3"/>
    </row>
    <row r="3859" customHeight="1" spans="1:9">
      <c r="A3859" s="2"/>
      <c r="B3859" s="2" t="str">
        <f>IFERROR(__xludf.DUMMYFUNCTION("IF(A3859&lt;&gt;"""", GOOGLETRANSLATE(A3859, ""en"", ""te""),"""")"),"")</f>
        <v/>
      </c>
      <c r="C3859" s="2"/>
      <c r="D3859" s="2" t="str">
        <f>IFERROR(__xludf.DUMMYFUNCTION("IF(C3859&lt;&gt;"""", GOOGLETRANSLATE(C3859, ""en"", ""te""),"""")"),"")</f>
        <v/>
      </c>
      <c r="E3859" s="2"/>
      <c r="F3859" s="2" t="str">
        <f>IFERROR(__xludf.DUMMYFUNCTION("IF(E3859&lt;&gt;"""", GOOGLETRANSLATE(E3859, ""en"", ""te""),"""")"),"")</f>
        <v/>
      </c>
      <c r="G3859" s="2"/>
      <c r="H3859" s="2" t="str">
        <f>IFERROR(__xludf.DUMMYFUNCTION("IF(G3859&lt;&gt;"""", GOOGLETRANSLATE(G3859, ""en"", ""te""),"""")"),"")</f>
        <v/>
      </c>
      <c r="I3859" s="3"/>
    </row>
    <row r="3860" customHeight="1" spans="1:9">
      <c r="A3860" s="2"/>
      <c r="B3860" s="2" t="str">
        <f>IFERROR(__xludf.DUMMYFUNCTION("IF(A3860&lt;&gt;"""", GOOGLETRANSLATE(A3860, ""en"", ""te""),"""")"),"")</f>
        <v/>
      </c>
      <c r="C3860" s="2"/>
      <c r="D3860" s="2" t="str">
        <f>IFERROR(__xludf.DUMMYFUNCTION("IF(C3860&lt;&gt;"""", GOOGLETRANSLATE(C3860, ""en"", ""te""),"""")"),"")</f>
        <v/>
      </c>
      <c r="E3860" s="2" t="s">
        <v>2700</v>
      </c>
      <c r="F3860" s="2" t="str">
        <f>IFERROR(__xludf.DUMMYFUNCTION("IF(E3860&lt;&gt;"""", GOOGLETRANSLATE(E3860, ""en"", ""te""),"""")"),"[ '13 వ వరుస నాలుగు వికెట్లు-ఇన్-ఒక-ఇన్నింగ్స్ (2)']")</f>
        <v>[ '13 వ వరుస నాలుగు వికెట్లు-ఇన్-ఒక-ఇన్నింగ్స్ (2)']</v>
      </c>
      <c r="G3860" s="2"/>
      <c r="H3860" s="2" t="str">
        <f>IFERROR(__xludf.DUMMYFUNCTION("IF(G3860&lt;&gt;"""", GOOGLETRANSLATE(G3860, ""en"", ""te""),"""")"),"")</f>
        <v/>
      </c>
      <c r="I3860" s="3"/>
    </row>
    <row r="3861" customHeight="1" spans="1:9">
      <c r="A3861" s="2" t="s">
        <v>2701</v>
      </c>
      <c r="B3861" s="2" t="str">
        <f>IFERROR(__xludf.DUMMYFUNCTION("IF(A3861&lt;&gt;"""", GOOGLETRANSLATE(A3861, ""en"", ""te""),"""")"),"[ 'ఇన్నింగ్స్ లో 2 వ అత్యధిక వికెట్లు (6)', 'కెరీర్ లో 5 వ అత్యధిక క్యాచ్లు (16)', '6 వ అత్యధిక ఇన్నింగ్స్ బై గూడా ఇవ్వకుండా సంపూర్ణమైనది' 1st ఇన్నింగ్స్ (4) అత్యంత స్టంపింగ్లు '(296 / 7D) ',' 3 వ అత్యంత ఇన్నింగ్స్ లో నడుస్తుంది (బ్యాటింగ్ స్థానం) (84 *"&amp;") ',' 8 వ కెప్టెన్ల వికెట్ (5) ఉంచింది చేసిన ']")</f>
        <v>[ 'ఇన్నింగ్స్ లో 2 వ అత్యధిక వికెట్లు (6)', 'కెరీర్ లో 5 వ అత్యధిక క్యాచ్లు (16)', '6 వ అత్యధిక ఇన్నింగ్స్ బై గూడా ఇవ్వకుండా సంపూర్ణమైనది' 1st ఇన్నింగ్స్ (4) అత్యంత స్టంపింగ్లు '(296 / 7D) ',' 3 వ అత్యంత ఇన్నింగ్స్ లో నడుస్తుంది (బ్యాటింగ్ స్థానం) (84 *) ',' 8 వ కెప్టెన్ల వికెట్ (5) ఉంచింది చేసిన ']</v>
      </c>
      <c r="C3861" s="2" t="s">
        <v>2702</v>
      </c>
      <c r="D3861" s="2" t="str">
        <f>IFERROR(__xludf.DUMMYFUNCTION("IF(C3861&lt;&gt;"""", GOOGLETRANSLATE(C3861, ""en"", ""te""),"""")"),"[ 'ఇన్నింగ్స్ లో 3 వ అత్యధిక పరుగులు (బ్యాటింగ్ స్థానంలో ప్రకారం) (84 *)', '11 వ ఇన్నింగ్స్ లో అత్యధిక పరుగులు అత్యధిక వికెట్లు (84 *)', '4 వ కెరీర్ లో అత్యధిక వికెట్లు (28)', '2 వ అత్యధిక వికెట్లు ఇన్నింగ్స్ మ్యాచ్ లో (6) ',' 3 వ అత్యధిక వికెట్లు (7) ','"&amp;" వరుస 3 వ అత్యధిక వికెట్లు (13) ',' 5 వ అత్యధిక క్యాచ్లు కెరీర్లో (16) ',' 8 వ అత్యంత ఇన్నింగ్స్ లో క్యాచ్లు (3) ',' వరుస 9 వ అత్యధిక క్యాచ్లు కెరీర్లో (7) ',' 2 వ అత్యంత స్టంపింగ్లు (12) ',' 1 వ ఇన్నింగ్స్ లో వచ్చిన ఎక్కువ స్టంపింగ్లు (4) ',' ఒక మ్యాచ్లో"&amp;" 3 వ అత్యంత స్టంపింగ్లు (4) ',' వరుస (6) ',' 6 వ అత్యధిక ఇన్నింగ్స్ బై (296 / 7D) గూడా ఇవ్వకుండా మొత్తంగా 3 వ అత్యంత స్టంపింగ్లు ']")</f>
        <v>[ 'ఇన్నింగ్స్ లో 3 వ అత్యధిక పరుగులు (బ్యాటింగ్ స్థానంలో ప్రకారం) (84 *)', '11 వ ఇన్నింగ్స్ లో అత్యధిక పరుగులు అత్యధిక వికెట్లు (84 *)', '4 వ కెరీర్ లో అత్యధిక వికెట్లు (28)', '2 వ అత్యధిక వికెట్లు ఇన్నింగ్స్ మ్యాచ్ లో (6) ',' 3 వ అత్యధిక వికెట్లు (7) ',' వరుస 3 వ అత్యధిక వికెట్లు (13) ',' 5 వ అత్యధిక క్యాచ్లు కెరీర్లో (16) ',' 8 వ అత్యంత ఇన్నింగ్స్ లో క్యాచ్లు (3) ',' వరుస 9 వ అత్యధిక క్యాచ్లు కెరీర్లో (7) ',' 2 వ అత్యంత స్టంపింగ్లు (12) ',' 1 వ ఇన్నింగ్స్ లో వచ్చిన ఎక్కువ స్టంపింగ్లు (4) ',' ఒక మ్యాచ్లో 3 వ అత్యంత స్టంపింగ్లు (4) ',' వరుస (6) ',' 6 వ అత్యధిక ఇన్నింగ్స్ బై (296 / 7D) గూడా ఇవ్వకుండా మొత్తంగా 3 వ అత్యంత స్టంపింగ్లు ']</v>
      </c>
      <c r="E3861" s="2" t="s">
        <v>2703</v>
      </c>
      <c r="F3861" s="2" t="str">
        <f>IFERROR(__xludf.DUMMYFUNCTION("IF(E3861&lt;&gt;"""", GOOGLETRANSLATE(E3861, ""en"", ""te""),"""")"),"[ 'వికెట్ (5) ఉంచింది చేసిన 8 వ కెప్టెన్ల']")</f>
        <v>[ 'వికెట్ (5) ఉంచింది చేసిన 8 వ కెప్టెన్ల']</v>
      </c>
      <c r="G3861" s="2"/>
      <c r="H3861" s="2" t="str">
        <f>IFERROR(__xludf.DUMMYFUNCTION("IF(G3861&lt;&gt;"""", GOOGLETRANSLATE(G3861, ""en"", ""te""),"""")"),"")</f>
        <v/>
      </c>
      <c r="I3861" s="3"/>
    </row>
    <row r="3862" customHeight="1" spans="1:9">
      <c r="A3862" s="2" t="s">
        <v>2704</v>
      </c>
      <c r="B3862" s="2" t="str">
        <f>IFERROR(__xludf.DUMMYFUNCTION("IF(A3862&lt;&gt;"""", GOOGLETRANSLATE(A3862, ""en"", ""te""),"""")"),"[ 'కెరీర్లో 7 వ అత్యంత జతల (3)']")</f>
        <v>[ 'కెరీర్లో 7 వ అత్యంత జతల (3)']</v>
      </c>
      <c r="C3862" s="2" t="s">
        <v>2705</v>
      </c>
      <c r="D3862" s="2" t="str">
        <f>IFERROR(__xludf.DUMMYFUNCTION("IF(C3862&lt;&gt;"""", GOOGLETRANSLATE(C3862, ""en"", ""te""),"""")"),"[ 'కెరీర్లో 7 వ అత్యంత జతల (3)', '24th పురాతన దేశం ఆటగాళ్ళు (88y 343d)']")</f>
        <v>[ 'కెరీర్లో 7 వ అత్యంత జతల (3)', '24th పురాతన దేశం ఆటగాళ్ళు (88y 343d)']</v>
      </c>
      <c r="E3862" s="2"/>
      <c r="F3862" s="2" t="str">
        <f>IFERROR(__xludf.DUMMYFUNCTION("IF(E3862&lt;&gt;"""", GOOGLETRANSLATE(E3862, ""en"", ""te""),"""")"),"")</f>
        <v/>
      </c>
      <c r="G3862" s="2"/>
      <c r="H3862" s="2" t="str">
        <f>IFERROR(__xludf.DUMMYFUNCTION("IF(G3862&lt;&gt;"""", GOOGLETRANSLATE(G3862, ""en"", ""te""),"""")"),"")</f>
        <v/>
      </c>
      <c r="I3862" s="3"/>
    </row>
    <row r="3863" customHeight="1" spans="1:9">
      <c r="A3863" s="2" t="s">
        <v>399</v>
      </c>
      <c r="B3863" s="2" t="str">
        <f>IFERROR(__xludf.DUMMYFUNCTION("IF(A3863&lt;&gt;"""", GOOGLETRANSLATE(A3863, ""en"", ""te""),"""")"),"[ 'తొలి పెయిర్']")</f>
        <v>[ 'తొలి పెయిర్']</v>
      </c>
      <c r="C3863" s="2" t="s">
        <v>986</v>
      </c>
      <c r="D3863" s="2" t="str">
        <f>IFERROR(__xludf.DUMMYFUNCTION("IF(C3863&lt;&gt;"""", GOOGLETRANSLATE(C3863, ""en"", ""te""),"""")"),"[ '11 వ ఒక సిరీస్లో అత్యధిక బాతులు (4)']")</f>
        <v>[ '11 వ ఒక సిరీస్లో అత్యధిక బాతులు (4)']</v>
      </c>
      <c r="E3863" s="2"/>
      <c r="F3863" s="2" t="str">
        <f>IFERROR(__xludf.DUMMYFUNCTION("IF(E3863&lt;&gt;"""", GOOGLETRANSLATE(E3863, ""en"", ""te""),"""")"),"")</f>
        <v/>
      </c>
      <c r="G3863" s="2"/>
      <c r="H3863" s="2" t="str">
        <f>IFERROR(__xludf.DUMMYFUNCTION("IF(G3863&lt;&gt;"""", GOOGLETRANSLATE(G3863, ""en"", ""te""),"""")"),"")</f>
        <v/>
      </c>
      <c r="I3863" s="3"/>
    </row>
    <row r="3864" customHeight="1" spans="1:9">
      <c r="A3864" s="2"/>
      <c r="B3864" s="2" t="str">
        <f>IFERROR(__xludf.DUMMYFUNCTION("IF(A3864&lt;&gt;"""", GOOGLETRANSLATE(A3864, ""en"", ""te""),"""")"),"")</f>
        <v/>
      </c>
      <c r="C3864" s="2"/>
      <c r="D3864" s="2" t="str">
        <f>IFERROR(__xludf.DUMMYFUNCTION("IF(C3864&lt;&gt;"""", GOOGLETRANSLATE(C3864, ""en"", ""te""),"""")"),"")</f>
        <v/>
      </c>
      <c r="E3864" s="2"/>
      <c r="F3864" s="2" t="str">
        <f>IFERROR(__xludf.DUMMYFUNCTION("IF(E3864&lt;&gt;"""", GOOGLETRANSLATE(E3864, ""en"", ""te""),"""")"),"")</f>
        <v/>
      </c>
      <c r="G3864" s="2"/>
      <c r="H3864" s="2" t="str">
        <f>IFERROR(__xludf.DUMMYFUNCTION("IF(G3864&lt;&gt;"""", GOOGLETRANSLATE(G3864, ""en"", ""te""),"""")"),"")</f>
        <v/>
      </c>
      <c r="I3864" s="3"/>
    </row>
    <row r="3865" customHeight="1" spans="1:9">
      <c r="A3865" s="2"/>
      <c r="B3865" s="2" t="str">
        <f>IFERROR(__xludf.DUMMYFUNCTION("IF(A3865&lt;&gt;"""", GOOGLETRANSLATE(A3865, ""en"", ""te""),"""")"),"")</f>
        <v/>
      </c>
      <c r="C3865" s="2"/>
      <c r="D3865" s="2" t="str">
        <f>IFERROR(__xludf.DUMMYFUNCTION("IF(C3865&lt;&gt;"""", GOOGLETRANSLATE(C3865, ""en"", ""te""),"""")"),"")</f>
        <v/>
      </c>
      <c r="E3865" s="2"/>
      <c r="F3865" s="2" t="str">
        <f>IFERROR(__xludf.DUMMYFUNCTION("IF(E3865&lt;&gt;"""", GOOGLETRANSLATE(E3865, ""en"", ""te""),"""")"),"")</f>
        <v/>
      </c>
      <c r="G3865" s="2"/>
      <c r="H3865" s="2" t="str">
        <f>IFERROR(__xludf.DUMMYFUNCTION("IF(G3865&lt;&gt;"""", GOOGLETRANSLATE(G3865, ""en"", ""te""),"""")"),"")</f>
        <v/>
      </c>
      <c r="I3865" s="3"/>
    </row>
    <row r="3866" customHeight="1" spans="1:9">
      <c r="A3866" s="2"/>
      <c r="B3866" s="2" t="str">
        <f>IFERROR(__xludf.DUMMYFUNCTION("IF(A3866&lt;&gt;"""", GOOGLETRANSLATE(A3866, ""en"", ""te""),"""")"),"")</f>
        <v/>
      </c>
      <c r="C3866" s="2"/>
      <c r="D3866" s="2" t="str">
        <f>IFERROR(__xludf.DUMMYFUNCTION("IF(C3866&lt;&gt;"""", GOOGLETRANSLATE(C3866, ""en"", ""te""),"""")"),"")</f>
        <v/>
      </c>
      <c r="E3866" s="2"/>
      <c r="F3866" s="2" t="str">
        <f>IFERROR(__xludf.DUMMYFUNCTION("IF(E3866&lt;&gt;"""", GOOGLETRANSLATE(E3866, ""en"", ""te""),"""")"),"")</f>
        <v/>
      </c>
      <c r="G3866" s="2"/>
      <c r="H3866" s="2" t="str">
        <f>IFERROR(__xludf.DUMMYFUNCTION("IF(G3866&lt;&gt;"""", GOOGLETRANSLATE(G3866, ""en"", ""te""),"""")"),"")</f>
        <v/>
      </c>
      <c r="I3866" s="3"/>
    </row>
    <row r="3867" customHeight="1" spans="1:9">
      <c r="A3867" s="2"/>
      <c r="B3867" s="2" t="str">
        <f>IFERROR(__xludf.DUMMYFUNCTION("IF(A3867&lt;&gt;"""", GOOGLETRANSLATE(A3867, ""en"", ""te""),"""")"),"")</f>
        <v/>
      </c>
      <c r="C3867" s="2"/>
      <c r="D3867" s="2" t="str">
        <f>IFERROR(__xludf.DUMMYFUNCTION("IF(C3867&lt;&gt;"""", GOOGLETRANSLATE(C3867, ""en"", ""te""),"""")"),"")</f>
        <v/>
      </c>
      <c r="E3867" s="2"/>
      <c r="F3867" s="2" t="str">
        <f>IFERROR(__xludf.DUMMYFUNCTION("IF(E3867&lt;&gt;"""", GOOGLETRANSLATE(E3867, ""en"", ""te""),"""")"),"")</f>
        <v/>
      </c>
      <c r="G3867" s="2"/>
      <c r="H3867" s="2" t="str">
        <f>IFERROR(__xludf.DUMMYFUNCTION("IF(G3867&lt;&gt;"""", GOOGLETRANSLATE(G3867, ""en"", ""te""),"""")"),"")</f>
        <v/>
      </c>
      <c r="I3867" s="3"/>
    </row>
    <row r="3868" customHeight="1" spans="1:9">
      <c r="A3868" s="2"/>
      <c r="B3868" s="2" t="str">
        <f>IFERROR(__xludf.DUMMYFUNCTION("IF(A3868&lt;&gt;"""", GOOGLETRANSLATE(A3868, ""en"", ""te""),"""")"),"")</f>
        <v/>
      </c>
      <c r="C3868" s="2"/>
      <c r="D3868" s="2" t="str">
        <f>IFERROR(__xludf.DUMMYFUNCTION("IF(C3868&lt;&gt;"""", GOOGLETRANSLATE(C3868, ""en"", ""te""),"""")"),"")</f>
        <v/>
      </c>
      <c r="E3868" s="2"/>
      <c r="F3868" s="2" t="str">
        <f>IFERROR(__xludf.DUMMYFUNCTION("IF(E3868&lt;&gt;"""", GOOGLETRANSLATE(E3868, ""en"", ""te""),"""")"),"")</f>
        <v/>
      </c>
      <c r="G3868" s="2"/>
      <c r="H3868" s="2" t="str">
        <f>IFERROR(__xludf.DUMMYFUNCTION("IF(G3868&lt;&gt;"""", GOOGLETRANSLATE(G3868, ""en"", ""te""),"""")"),"")</f>
        <v/>
      </c>
      <c r="I3868" s="3"/>
    </row>
    <row r="3869" customHeight="1" spans="1:9">
      <c r="A3869" s="2" t="s">
        <v>399</v>
      </c>
      <c r="B3869" s="2" t="str">
        <f>IFERROR(__xludf.DUMMYFUNCTION("IF(A3869&lt;&gt;"""", GOOGLETRANSLATE(A3869, ""en"", ""te""),"""")"),"[ 'తొలి పెయిర్']")</f>
        <v>[ 'తొలి పెయిర్']</v>
      </c>
      <c r="C3869" s="2"/>
      <c r="D3869" s="2" t="str">
        <f>IFERROR(__xludf.DUMMYFUNCTION("IF(C3869&lt;&gt;"""", GOOGLETRANSLATE(C3869, ""en"", ""te""),"""")"),"")</f>
        <v/>
      </c>
      <c r="E3869" s="2"/>
      <c r="F3869" s="2" t="str">
        <f>IFERROR(__xludf.DUMMYFUNCTION("IF(E3869&lt;&gt;"""", GOOGLETRANSLATE(E3869, ""en"", ""te""),"""")"),"")</f>
        <v/>
      </c>
      <c r="G3869" s="2"/>
      <c r="H3869" s="2" t="str">
        <f>IFERROR(__xludf.DUMMYFUNCTION("IF(G3869&lt;&gt;"""", GOOGLETRANSLATE(G3869, ""en"", ""te""),"""")"),"")</f>
        <v/>
      </c>
      <c r="I3869" s="3"/>
    </row>
    <row r="3870" customHeight="1" spans="1:9">
      <c r="A3870" s="2"/>
      <c r="B3870" s="2" t="str">
        <f>IFERROR(__xludf.DUMMYFUNCTION("IF(A3870&lt;&gt;"""", GOOGLETRANSLATE(A3870, ""en"", ""te""),"""")"),"")</f>
        <v/>
      </c>
      <c r="C3870" s="2"/>
      <c r="D3870" s="2" t="str">
        <f>IFERROR(__xludf.DUMMYFUNCTION("IF(C3870&lt;&gt;"""", GOOGLETRANSLATE(C3870, ""en"", ""te""),"""")"),"")</f>
        <v/>
      </c>
      <c r="E3870" s="2"/>
      <c r="F3870" s="2" t="str">
        <f>IFERROR(__xludf.DUMMYFUNCTION("IF(E3870&lt;&gt;"""", GOOGLETRANSLATE(E3870, ""en"", ""te""),"""")"),"")</f>
        <v/>
      </c>
      <c r="G3870" s="2"/>
      <c r="H3870" s="2" t="str">
        <f>IFERROR(__xludf.DUMMYFUNCTION("IF(G3870&lt;&gt;"""", GOOGLETRANSLATE(G3870, ""en"", ""te""),"""")"),"")</f>
        <v/>
      </c>
      <c r="I3870" s="3"/>
    </row>
    <row r="3871" customHeight="1" spans="1:9">
      <c r="A3871" s="2"/>
      <c r="B3871" s="2" t="str">
        <f>IFERROR(__xludf.DUMMYFUNCTION("IF(A3871&lt;&gt;"""", GOOGLETRANSLATE(A3871, ""en"", ""te""),"""")"),"")</f>
        <v/>
      </c>
      <c r="C3871" s="2"/>
      <c r="D3871" s="2" t="str">
        <f>IFERROR(__xludf.DUMMYFUNCTION("IF(C3871&lt;&gt;"""", GOOGLETRANSLATE(C3871, ""en"", ""te""),"""")"),"")</f>
        <v/>
      </c>
      <c r="E3871" s="2"/>
      <c r="F3871" s="2" t="str">
        <f>IFERROR(__xludf.DUMMYFUNCTION("IF(E3871&lt;&gt;"""", GOOGLETRANSLATE(E3871, ""en"", ""te""),"""")"),"")</f>
        <v/>
      </c>
      <c r="G3871" s="2"/>
      <c r="H3871" s="2" t="str">
        <f>IFERROR(__xludf.DUMMYFUNCTION("IF(G3871&lt;&gt;"""", GOOGLETRANSLATE(G3871, ""en"", ""te""),"""")"),"")</f>
        <v/>
      </c>
      <c r="I3871" s="3"/>
    </row>
    <row r="3872" customHeight="1" spans="1:9">
      <c r="A3872" s="2" t="s">
        <v>2706</v>
      </c>
      <c r="B3872" s="2" t="str">
        <f>IFERROR(__xludf.DUMMYFUNCTION("IF(A3872&lt;&gt;"""", GOOGLETRANSLATE(A3872, ""en"", ""te""),"""")"),"[ '5 వ అత్యుత్తమ ఇన్నింగ్స్ (6/29) విశ్లేషణలలో బౌలింగ్']")</f>
        <v>[ '5 వ అత్యుత్తమ ఇన్నింగ్స్ (6/29) విశ్లేషణలలో బౌలింగ్']</v>
      </c>
      <c r="C3872" s="2" t="s">
        <v>2707</v>
      </c>
      <c r="D3872" s="2" t="str">
        <f>IFERROR(__xludf.DUMMYFUNCTION("IF(C3872&lt;&gt;"""", GOOGLETRANSLATE(C3872, ""en"", ""te""),"""")"),"[ '44 వ కెరీర్ లో అత్యధిక వికెట్లు (21)', '5 వ అత్యుత్తమ బౌలింగ్ ఇన్నింగ్స్ విశ్లేషణలలో ఒక మ్యాచ్ (9) 11 వ బెస్ట్ ఫిగర్స్' '16 వ ఉత్తమ ఇన్నింగ్స్ లో సంఖ్యలు (6/29)', (6/29 ) ',' 40 వ సగటు (23.28) ',' 12 వ అత్యంత వృద్ధ ఆటగాడు బౌలింగ్ ఒక మ్యాచ్ (413 ఆడపిల్ల"&amp;"కు ఐదు వికెట్ల లో-ఒక-ఇన్నింగ్స్ (30y 131d) ',' 19 వ అత్యంత బంతులను బౌలింగ్ చేశాడు తీసుకోవాలని ఉత్తమ కెరీర్లో) ']")</f>
        <v>[ '44 వ కెరీర్ లో అత్యధిక వికెట్లు (21)', '5 వ అత్యుత్తమ బౌలింగ్ ఇన్నింగ్స్ విశ్లేషణలలో ఒక మ్యాచ్ (9) 11 వ బెస్ట్ ఫిగర్స్' '16 వ ఉత్తమ ఇన్నింగ్స్ లో సంఖ్యలు (6/29)', (6/29 ) ',' 40 వ సగటు (23.28) ',' 12 వ అత్యంత వృద్ధ ఆటగాడు బౌలింగ్ ఒక మ్యాచ్ (413 ఆడపిల్లకు ఐదు వికెట్ల లో-ఒక-ఇన్నింగ్స్ (30y 131d) ',' 19 వ అత్యంత బంతులను బౌలింగ్ చేశాడు తీసుకోవాలని ఉత్తమ కెరీర్లో) ']</v>
      </c>
      <c r="E3872" s="2" t="s">
        <v>2708</v>
      </c>
      <c r="F3872" s="2" t="str">
        <f>IFERROR(__xludf.DUMMYFUNCTION("IF(E3872&lt;&gt;"""", GOOGLETRANSLATE(E3872, ""en"", ""te""),"""")"),"[ 'తొలి ఇన్నింగ్స్ 15 వ బెస్ట్ ఫిగర్స్ (3)', 'ప్రవేశం (36y 96d) పై 14 ఓల్డెస్ట్ క్రీడాకారుల]")</f>
        <v>[ 'తొలి ఇన్నింగ్స్ 15 వ బెస్ట్ ఫిగర్స్ (3)', 'ప్రవేశం (36y 96d) పై 14 ఓల్డెస్ట్ క్రీడాకారుల]</v>
      </c>
      <c r="G3872" s="2"/>
      <c r="H3872" s="2" t="str">
        <f>IFERROR(__xludf.DUMMYFUNCTION("IF(G3872&lt;&gt;"""", GOOGLETRANSLATE(G3872, ""en"", ""te""),"""")"),"")</f>
        <v/>
      </c>
      <c r="I3872" s="3"/>
    </row>
    <row r="3873" customHeight="1" spans="1:9">
      <c r="A3873" s="2"/>
      <c r="B3873" s="2" t="str">
        <f>IFERROR(__xludf.DUMMYFUNCTION("IF(A3873&lt;&gt;"""", GOOGLETRANSLATE(A3873, ""en"", ""te""),"""")"),"")</f>
        <v/>
      </c>
      <c r="C3873" s="2"/>
      <c r="D3873" s="2" t="str">
        <f>IFERROR(__xludf.DUMMYFUNCTION("IF(C3873&lt;&gt;"""", GOOGLETRANSLATE(C3873, ""en"", ""te""),"""")"),"")</f>
        <v/>
      </c>
      <c r="E3873" s="2"/>
      <c r="F3873" s="2" t="str">
        <f>IFERROR(__xludf.DUMMYFUNCTION("IF(E3873&lt;&gt;"""", GOOGLETRANSLATE(E3873, ""en"", ""te""),"""")"),"")</f>
        <v/>
      </c>
      <c r="G3873" s="2"/>
      <c r="H3873" s="2" t="str">
        <f>IFERROR(__xludf.DUMMYFUNCTION("IF(G3873&lt;&gt;"""", GOOGLETRANSLATE(G3873, ""en"", ""te""),"""")"),"")</f>
        <v/>
      </c>
      <c r="I3873" s="3"/>
    </row>
    <row r="3874" customHeight="1" spans="1:9">
      <c r="A3874" s="2"/>
      <c r="B3874" s="2" t="str">
        <f>IFERROR(__xludf.DUMMYFUNCTION("IF(A3874&lt;&gt;"""", GOOGLETRANSLATE(A3874, ""en"", ""te""),"""")"),"")</f>
        <v/>
      </c>
      <c r="C3874" s="2"/>
      <c r="D3874" s="2" t="str">
        <f>IFERROR(__xludf.DUMMYFUNCTION("IF(C3874&lt;&gt;"""", GOOGLETRANSLATE(C3874, ""en"", ""te""),"""")"),"")</f>
        <v/>
      </c>
      <c r="E3874" s="2"/>
      <c r="F3874" s="2" t="str">
        <f>IFERROR(__xludf.DUMMYFUNCTION("IF(E3874&lt;&gt;"""", GOOGLETRANSLATE(E3874, ""en"", ""te""),"""")"),"")</f>
        <v/>
      </c>
      <c r="G3874" s="2"/>
      <c r="H3874" s="2" t="str">
        <f>IFERROR(__xludf.DUMMYFUNCTION("IF(G3874&lt;&gt;"""", GOOGLETRANSLATE(G3874, ""en"", ""te""),"""")"),"")</f>
        <v/>
      </c>
      <c r="I3874" s="3"/>
    </row>
    <row r="3875" customHeight="1" spans="1:9">
      <c r="A3875" s="2"/>
      <c r="B3875" s="2" t="str">
        <f>IFERROR(__xludf.DUMMYFUNCTION("IF(A3875&lt;&gt;"""", GOOGLETRANSLATE(A3875, ""en"", ""te""),"""")"),"")</f>
        <v/>
      </c>
      <c r="C3875" s="2" t="s">
        <v>2709</v>
      </c>
      <c r="D3875" s="2" t="str">
        <f>IFERROR(__xludf.DUMMYFUNCTION("IF(C3875&lt;&gt;"""", GOOGLETRANSLATE(C3875, ""en"", ""te""),"""")"),"[40 వ మ్యాచ్ లో బెస్ట్ ఫిగర్స్ పరాజయం వైపు ఉన్నప్పుడు (10) ',' 26th సగటు (21.53) బౌలింగ్ ఉత్తమ జీవితం '' 12 వ ఉత్తమ కెరీర్ సమ్మె రేటు (45.0) ',' 18 వ వరుస ఐదు వికెట్ల తేడాతో in- ఒక-ఇన్నింగ్స్ (3) ',' ఐదు వికెట్ల లో-ఒక-ఇన్నింగ్స్ తీసుకోవాలని 41 వ అత్యంత వ"&amp;"ృద్ధ ఆటగాడు (37y 73d) ',' ప్రదర్శనల మధ్య 46 వ లాంగెస్ట్ వ్యవధిలో (8y 224d) ']")</f>
        <v>[40 వ మ్యాచ్ లో బెస్ట్ ఫిగర్స్ పరాజయం వైపు ఉన్నప్పుడు (10) ',' 26th సగటు (21.53) బౌలింగ్ ఉత్తమ జీవితం '' 12 వ ఉత్తమ కెరీర్ సమ్మె రేటు (45.0) ',' 18 వ వరుస ఐదు వికెట్ల తేడాతో in- ఒక-ఇన్నింగ్స్ (3) ',' ఐదు వికెట్ల లో-ఒక-ఇన్నింగ్స్ తీసుకోవాలని 41 వ అత్యంత వృద్ధ ఆటగాడు (37y 73d) ',' ప్రదర్శనల మధ్య 46 వ లాంగెస్ట్ వ్యవధిలో (8y 224d) ']</v>
      </c>
      <c r="E3875" s="2"/>
      <c r="F3875" s="2" t="str">
        <f>IFERROR(__xludf.DUMMYFUNCTION("IF(E3875&lt;&gt;"""", GOOGLETRANSLATE(E3875, ""en"", ""te""),"""")"),"")</f>
        <v/>
      </c>
      <c r="G3875" s="2"/>
      <c r="H3875" s="2" t="str">
        <f>IFERROR(__xludf.DUMMYFUNCTION("IF(G3875&lt;&gt;"""", GOOGLETRANSLATE(G3875, ""en"", ""te""),"""")"),"")</f>
        <v/>
      </c>
      <c r="I3875" s="3"/>
    </row>
    <row r="3876" customHeight="1" spans="1:9">
      <c r="A3876" s="2" t="s">
        <v>2710</v>
      </c>
      <c r="B3876" s="2" t="str">
        <f>IFERROR(__xludf.DUMMYFUNCTION("IF(A3876&lt;&gt;"""", GOOGLETRANSLATE(A3876, ""en"", ""te""),"""")"),"[ 'హండ్రెడ్ తొలి (124 *)' 'రెండు దేశాలకు ప్రాతినిధ్యం', 'రెండు దేశాలకు ప్రాతినిధ్యం']")</f>
        <v>[ 'హండ్రెడ్ తొలి (124 *)' 'రెండు దేశాలకు ప్రాతినిధ్యం', 'రెండు దేశాలకు ప్రాతినిధ్యం']</v>
      </c>
      <c r="C3876" s="2"/>
      <c r="D3876" s="2" t="str">
        <f>IFERROR(__xludf.DUMMYFUNCTION("IF(C3876&lt;&gt;"""", GOOGLETRANSLATE(C3876, ""en"", ""te""),"""")"),"")</f>
        <v/>
      </c>
      <c r="E3876" s="2" t="s">
        <v>2711</v>
      </c>
      <c r="F3876" s="2" t="str">
        <f>IFERROR(__xludf.DUMMYFUNCTION("IF(E3876&lt;&gt;"""", GOOGLETRANSLATE(E3876, ""en"", ""te""),"""")"),"[ 'తొలి మ్యాచ్లో 4 వ అత్యధిక పరుగులు (124 *)', '41 వ పిన్న ఆటగాడు వంద (21y 142d) స్కోర్']")</f>
        <v>[ 'తొలి మ్యాచ్లో 4 వ అత్యధిక పరుగులు (124 *)', '41 వ పిన్న ఆటగాడు వంద (21y 142d) స్కోర్']</v>
      </c>
      <c r="G3876" s="2" t="s">
        <v>90</v>
      </c>
      <c r="H3876" s="2" t="str">
        <f>IFERROR(__xludf.DUMMYFUNCTION("IF(G3876&lt;&gt;"""", GOOGLETRANSLATE(G3876, ""en"", ""te""),"""")"),"[ 'కెరీర్లో 12 వ లేవు బాతులు (28)']")</f>
        <v>[ 'కెరీర్లో 12 వ లేవు బాతులు (28)']</v>
      </c>
      <c r="I3876" s="3"/>
    </row>
    <row r="3877" customHeight="1" spans="1:9">
      <c r="A3877" s="2" t="s">
        <v>2712</v>
      </c>
      <c r="B3877" s="2" t="str">
        <f>IFERROR(__xludf.DUMMYFUNCTION("IF(A3877&lt;&gt;"""", GOOGLETRANSLATE(A3877, ""en"", ""te""),"""")"),"[ '3 వ భాగం ఒక మ్యాచ్ రిఫరీ (103) వంటి ఆటలకు]")</f>
        <v>[ '3 వ భాగం ఒక మ్యాచ్ రిఫరీ (103) వంటి ఆటలకు]</v>
      </c>
      <c r="C3877" s="2" t="s">
        <v>2713</v>
      </c>
      <c r="D3877" s="2" t="str">
        <f>IFERROR(__xludf.DUMMYFUNCTION("IF(C3877&lt;&gt;"""", GOOGLETRANSLATE(C3877, ""en"", ""te""),"""")"),"[ 'ఆరవ వికెట్కు 23 అత్యధిక భాగస్వామ్యం (246 *)', '3 వ భాగం ఒక మ్యాచ్ రిఫరీ (103) వంటి ఆటలకు]")</f>
        <v>[ 'ఆరవ వికెట్కు 23 అత్యధిక భాగస్వామ్యం (246 *)', '3 వ భాగం ఒక మ్యాచ్ రిఫరీ (103) వంటి ఆటలకు]</v>
      </c>
      <c r="E3877" s="2" t="s">
        <v>2714</v>
      </c>
      <c r="F3877" s="2" t="str">
        <f>IFERROR(__xludf.DUMMYFUNCTION("IF(E3877&lt;&gt;"""", GOOGLETRANSLATE(E3877, ""en"", ""te""),"""")"),"[ '41 వ అత్యంత వంద (1518) లేకుండా ఒక వృత్తిలో పరుగులు' '3 వ భాగం ఒక మ్యాచ్ రిఫరీ గా పోటీలు (301)']")</f>
        <v>[ '41 వ అత్యంత వంద (1518) లేకుండా ఒక వృత్తిలో పరుగులు' '3 వ భాగం ఒక మ్యాచ్ రిఫరీ గా పోటీలు (301)']</v>
      </c>
      <c r="G3877" s="2" t="s">
        <v>2715</v>
      </c>
      <c r="H3877" s="2" t="str">
        <f>IFERROR(__xludf.DUMMYFUNCTION("IF(G3877&lt;&gt;"""", GOOGLETRANSLATE(G3877, ""en"", ""te""),"""")"),"[ '1st చాలా ఒక మ్యాచ్ రిఫరీ (138) వంటి ఆటలకు]")</f>
        <v>[ '1st చాలా ఒక మ్యాచ్ రిఫరీ (138) వంటి ఆటలకు]</v>
      </c>
      <c r="I3877" s="3"/>
    </row>
    <row r="3878" customHeight="1" spans="1:9">
      <c r="A3878" s="2"/>
      <c r="B3878" s="2" t="str">
        <f>IFERROR(__xludf.DUMMYFUNCTION("IF(A3878&lt;&gt;"""", GOOGLETRANSLATE(A3878, ""en"", ""te""),"""")"),"")</f>
        <v/>
      </c>
      <c r="C3878" s="2"/>
      <c r="D3878" s="2" t="str">
        <f>IFERROR(__xludf.DUMMYFUNCTION("IF(C3878&lt;&gt;"""", GOOGLETRANSLATE(C3878, ""en"", ""te""),"""")"),"")</f>
        <v/>
      </c>
      <c r="E3878" s="2"/>
      <c r="F3878" s="2" t="str">
        <f>IFERROR(__xludf.DUMMYFUNCTION("IF(E3878&lt;&gt;"""", GOOGLETRANSLATE(E3878, ""en"", ""te""),"""")"),"")</f>
        <v/>
      </c>
      <c r="G3878" s="2"/>
      <c r="H3878" s="2" t="str">
        <f>IFERROR(__xludf.DUMMYFUNCTION("IF(G3878&lt;&gt;"""", GOOGLETRANSLATE(G3878, ""en"", ""te""),"""")"),"")</f>
        <v/>
      </c>
      <c r="I3878" s="3"/>
    </row>
    <row r="3879" customHeight="1" spans="1:9">
      <c r="A3879" s="2"/>
      <c r="B3879" s="2" t="str">
        <f>IFERROR(__xludf.DUMMYFUNCTION("IF(A3879&lt;&gt;"""", GOOGLETRANSLATE(A3879, ""en"", ""te""),"""")"),"")</f>
        <v/>
      </c>
      <c r="C3879" s="2"/>
      <c r="D3879" s="2" t="str">
        <f>IFERROR(__xludf.DUMMYFUNCTION("IF(C3879&lt;&gt;"""", GOOGLETRANSLATE(C3879, ""en"", ""te""),"""")"),"")</f>
        <v/>
      </c>
      <c r="E3879" s="2"/>
      <c r="F3879" s="2" t="str">
        <f>IFERROR(__xludf.DUMMYFUNCTION("IF(E3879&lt;&gt;"""", GOOGLETRANSLATE(E3879, ""en"", ""te""),"""")"),"")</f>
        <v/>
      </c>
      <c r="G3879" s="2"/>
      <c r="H3879" s="2" t="str">
        <f>IFERROR(__xludf.DUMMYFUNCTION("IF(G3879&lt;&gt;"""", GOOGLETRANSLATE(G3879, ""en"", ""te""),"""")"),"")</f>
        <v/>
      </c>
      <c r="I3879" s="3"/>
    </row>
    <row r="3880" customHeight="1" spans="1:9">
      <c r="A3880" s="2" t="s">
        <v>2716</v>
      </c>
      <c r="B3880" s="2" t="str">
        <f>IFERROR(__xludf.DUMMYFUNCTION("IF(A3880&lt;&gt;"""", GOOGLETRANSLATE(A3880, ""en"", ""te""),"""")"),"[ 'కెరీర్లో 7 వ ఎక్కువ సిక్స్ (87)', '1000 పరుగులు మరియు 100 వికెట్లు', 'ఏడవ వికెట్ (225) కోసం 10 వ అత్యధిక భాగస్వామ్యం', '2 వ హండ్రెడ్ వందవ మ్యాచ్లో (115)' మొదటి ముందు, 'చాలా 5 వ ఇన్నింగ్స్ డక్ (67) ',' బ్యాటింగ్ తెరవడం మరియు అదే మ్యాచ్ లో బౌలింగ్ ',' 10"&amp;"00 పరుగులు, 50 వికెట్లు, 50 క్యాచ్లు ']")</f>
        <v>[ 'కెరీర్లో 7 వ ఎక్కువ సిక్స్ (87)', '1000 పరుగులు మరియు 100 వికెట్లు', 'ఏడవ వికెట్ (225) కోసం 10 వ అత్యధిక భాగస్వామ్యం', '2 వ హండ్రెడ్ వందవ మ్యాచ్లో (115)' మొదటి ముందు, 'చాలా 5 వ ఇన్నింగ్స్ డక్ (67) ',' బ్యాటింగ్ తెరవడం మరియు అదే మ్యాచ్ లో బౌలింగ్ ',' 1000 పరుగులు, 50 వికెట్లు, 50 క్యాచ్లు ']</v>
      </c>
      <c r="C3880" s="2" t="s">
        <v>2717</v>
      </c>
      <c r="D3880" s="2" t="str">
        <f>IFERROR(__xludf.DUMMYFUNCTION("IF(C3880&lt;&gt;"""", GOOGLETRANSLATE(C3880, ""en"", ""te""),"""")"),"[ '47 వ అత్యధిక ఇన్నింగ్స్ లో సమ్మె రేటు (174.46)', 'కెరీర్ లో 7 వ ఎక్కువ సిక్స్ (87)', '8 వ ఇన్నింగ్స్ లో వచ్చిన ఎక్కువ సిక్స్ (9)', '46 వ అత్యంత ఐదు-వికెట్ల లో-ఒక-ఇన్నింగ్స్ లో ఒక కెరీర్ (13) ',' ఏడవ వికెట్కు 10 వ అత్యధిక భాగస్వామ్యం (225) ',' ఎనిమిదవ వ"&amp;"ికెట్ (144) కోసం 29 అత్యధిక భాగస్వామ్యం ']")</f>
        <v>[ '47 వ అత్యధిక ఇన్నింగ్స్ లో సమ్మె రేటు (174.46)', 'కెరీర్ లో 7 వ ఎక్కువ సిక్స్ (87)', '8 వ ఇన్నింగ్స్ లో వచ్చిన ఎక్కువ సిక్స్ (9)', '46 వ అత్యంత ఐదు-వికెట్ల లో-ఒక-ఇన్నింగ్స్ లో ఒక కెరీర్ (13) ',' ఏడవ వికెట్కు 10 వ అత్యధిక భాగస్వామ్యం (225) ',' ఎనిమిదవ వికెట్ (144) కోసం 29 అత్యధిక భాగస్వామ్యం ']</v>
      </c>
      <c r="E3880" s="2" t="s">
        <v>2718</v>
      </c>
      <c r="F3880" s="2" t="str">
        <f>IFERROR(__xludf.DUMMYFUNCTION("IF(E3880&lt;&gt;"""", GOOGLETRANSLATE(E3880, ""en"", ""te""),"""")"),"[ 'మొదటి డక్ ముందు చాలా 5 వ ఇన్నింగ్స్ (67)' 'వందవ మ్యాచ్లో 2nd హండ్రెడ్ (115)', 'ఒక డక్ లేకుండా 37 వ వరుస ఇన్నింగ్స్ (67)', '14 వ ఎక్కువ సిక్స్ కెరీర్లో (153)', '37 వ కెరీర్లో అత్యధిక వికెట్లు (201) ',' 40 వ ఒకే క్రీడా (33) ',' 38 వ కెరీర్ లో బౌల్డ్ అత్య"&amp;"ంత బంతుల్లో (8168) ',' 32 వ కెరీర్ లో సాధించిన అత్యధిక పరుగులు (6594) ',' 37 వ అత్యధిక వికెట్లు పై అత్యధిక వికెట్లు తీసుకోకూడదు బౌల్డ్ (51) ',' 41 వ అత్యధిక వికెట్లు తీసుకున్న ఆకర్షించింది (131) ',' 42 వ అత్యధిక వికెట్లు ఒక ఫీల్డర్ చేత క్యాచ్ తీసుకున్న ("&amp;"90) ',' 30 వ అత్యధిక వికెట్లు ఒక వికెట్ కీపర్ చే కాట్ తీసుకోకూడదు (41) ']")</f>
        <v>[ 'మొదటి డక్ ముందు చాలా 5 వ ఇన్నింగ్స్ (67)' 'వందవ మ్యాచ్లో 2nd హండ్రెడ్ (115)', 'ఒక డక్ లేకుండా 37 వ వరుస ఇన్నింగ్స్ (67)', '14 వ ఎక్కువ సిక్స్ కెరీర్లో (153)', '37 వ కెరీర్లో అత్యధిక వికెట్లు (201) ',' 40 వ ఒకే క్రీడా (33) ',' 38 వ కెరీర్ లో బౌల్డ్ అత్యంత బంతుల్లో (8168) ',' 32 వ కెరీర్ లో సాధించిన అత్యధిక పరుగులు (6594) ',' 37 వ అత్యధిక వికెట్లు పై అత్యధిక వికెట్లు తీసుకోకూడదు బౌల్డ్ (51) ',' 41 వ అత్యధిక వికెట్లు తీసుకున్న ఆకర్షించింది (131) ',' 42 వ అత్యధిక వికెట్లు ఒక ఫీల్డర్ చేత క్యాచ్ తీసుకున్న (90) ',' 30 వ అత్యధిక వికెట్లు ఒక వికెట్ కీపర్ చే కాట్ తీసుకోకూడదు (41) ']</v>
      </c>
      <c r="G3880" s="2" t="s">
        <v>2719</v>
      </c>
      <c r="H3880" s="2" t="str">
        <f>IFERROR(__xludf.DUMMYFUNCTION("IF(G3880&lt;&gt;"""", GOOGLETRANSLATE(G3880, ""en"", ""te""),"""")"),"[ '15 వ పురాతన దేశం ఆటగాళ్ళు (50y 275d)']")</f>
        <v>[ '15 వ పురాతన దేశం ఆటగాళ్ళు (50y 275d)']</v>
      </c>
      <c r="I3880" s="3"/>
    </row>
    <row r="3881" customHeight="1" spans="1:9">
      <c r="A3881" s="2"/>
      <c r="B3881" s="2" t="str">
        <f>IFERROR(__xludf.DUMMYFUNCTION("IF(A3881&lt;&gt;"""", GOOGLETRANSLATE(A3881, ""en"", ""te""),"""")"),"")</f>
        <v/>
      </c>
      <c r="C3881" s="2" t="s">
        <v>2720</v>
      </c>
      <c r="D3881" s="2" t="str">
        <f>IFERROR(__xludf.DUMMYFUNCTION("IF(C3881&lt;&gt;"""", GOOGLETRANSLATE(C3881, ""en"", ""te""),"""")"),"[ '22 వ పురాతన దేశం ఆటగాళ్ళు (89y 0 రో)']")</f>
        <v>[ '22 వ పురాతన దేశం ఆటగాళ్ళు (89y 0 రో)']</v>
      </c>
      <c r="E3881" s="2"/>
      <c r="F3881" s="2" t="str">
        <f>IFERROR(__xludf.DUMMYFUNCTION("IF(E3881&lt;&gt;"""", GOOGLETRANSLATE(E3881, ""en"", ""te""),"""")"),"")</f>
        <v/>
      </c>
      <c r="G3881" s="2"/>
      <c r="H3881" s="2" t="str">
        <f>IFERROR(__xludf.DUMMYFUNCTION("IF(G3881&lt;&gt;"""", GOOGLETRANSLATE(G3881, ""en"", ""te""),"""")"),"")</f>
        <v/>
      </c>
      <c r="I3881" s="3"/>
    </row>
    <row r="3882" customHeight="1" spans="1:9">
      <c r="A3882" s="2"/>
      <c r="B3882" s="2" t="str">
        <f>IFERROR(__xludf.DUMMYFUNCTION("IF(A3882&lt;&gt;"""", GOOGLETRANSLATE(A3882, ""en"", ""te""),"""")"),"")</f>
        <v/>
      </c>
      <c r="C3882" s="2"/>
      <c r="D3882" s="2" t="str">
        <f>IFERROR(__xludf.DUMMYFUNCTION("IF(C3882&lt;&gt;"""", GOOGLETRANSLATE(C3882, ""en"", ""te""),"""")"),"")</f>
        <v/>
      </c>
      <c r="E3882" s="2" t="s">
        <v>2721</v>
      </c>
      <c r="F3882" s="2" t="str">
        <f>IFERROR(__xludf.DUMMYFUNCTION("IF(E3882&lt;&gt;"""", GOOGLETRANSLATE(E3882, ""en"", ""te""),"""")"),"[ 'తొమ్మిదవ వికెట్కు 14 అత్యధిక భాగస్వామ్యం (43 *)']")</f>
        <v>[ 'తొమ్మిదవ వికెట్కు 14 అత్యధిక భాగస్వామ్యం (43 *)']</v>
      </c>
      <c r="G3882" s="2"/>
      <c r="H3882" s="2" t="str">
        <f>IFERROR(__xludf.DUMMYFUNCTION("IF(G3882&lt;&gt;"""", GOOGLETRANSLATE(G3882, ""en"", ""te""),"""")"),"")</f>
        <v/>
      </c>
      <c r="I3882" s="3"/>
    </row>
    <row r="3883" customHeight="1" spans="1:9">
      <c r="A3883" s="2" t="s">
        <v>2722</v>
      </c>
      <c r="B3883" s="2" t="str">
        <f>IFERROR(__xludf.DUMMYFUNCTION("IF(A3883&lt;&gt;"""", GOOGLETRANSLATE(A3883, ""en"", ""te""),"""")"),"[ '5 వ ఎక్కువ (20 *) ఒక ఇన్నింగ్స్ లో నడుస్తుంది (బ్యాటింగ్ స్థానం)']")</f>
        <v>[ '5 వ ఎక్కువ (20 *) ఒక ఇన్నింగ్స్ లో నడుస్తుంది (బ్యాటింగ్ స్థానం)']</v>
      </c>
      <c r="C3883" s="2"/>
      <c r="D3883" s="2" t="str">
        <f>IFERROR(__xludf.DUMMYFUNCTION("IF(C3883&lt;&gt;"""", GOOGLETRANSLATE(C3883, ""en"", ""te""),"""")"),"")</f>
        <v/>
      </c>
      <c r="E3883" s="2" t="s">
        <v>2723</v>
      </c>
      <c r="F3883" s="2" t="str">
        <f>IFERROR(__xludf.DUMMYFUNCTION("IF(E3883&lt;&gt;"""", GOOGLETRANSLATE(E3883, ""en"", ""te""),"""")"),"[ '19 చెత్త కెరీర్ (102.00) (అర్హత లేకుండా) సగటు బౌలింగ్' 'చాలా 5 వ ఇన్నింగ్స్ లో నడుస్తుంది (బ్యాటింగ్ స్థానం) (20 *)',]")</f>
        <v>[ '19 చెత్త కెరీర్ (102.00) (అర్హత లేకుండా) సగటు బౌలింగ్' 'చాలా 5 వ ఇన్నింగ్స్ లో నడుస్తుంది (బ్యాటింగ్ స్థానం) (20 *)',]</v>
      </c>
      <c r="G3883" s="2"/>
      <c r="H3883" s="2" t="str">
        <f>IFERROR(__xludf.DUMMYFUNCTION("IF(G3883&lt;&gt;"""", GOOGLETRANSLATE(G3883, ""en"", ""te""),"""")"),"")</f>
        <v/>
      </c>
      <c r="I3883" s="3"/>
    </row>
    <row r="3884" customHeight="1" spans="1:9">
      <c r="A3884" s="2"/>
      <c r="B3884" s="2" t="str">
        <f>IFERROR(__xludf.DUMMYFUNCTION("IF(A3884&lt;&gt;"""", GOOGLETRANSLATE(A3884, ""en"", ""te""),"""")"),"")</f>
        <v/>
      </c>
      <c r="C3884" s="2"/>
      <c r="D3884" s="2" t="str">
        <f>IFERROR(__xludf.DUMMYFUNCTION("IF(C3884&lt;&gt;"""", GOOGLETRANSLATE(C3884, ""en"", ""te""),"""")"),"")</f>
        <v/>
      </c>
      <c r="E3884" s="2"/>
      <c r="F3884" s="2" t="str">
        <f>IFERROR(__xludf.DUMMYFUNCTION("IF(E3884&lt;&gt;"""", GOOGLETRANSLATE(E3884, ""en"", ""te""),"""")"),"")</f>
        <v/>
      </c>
      <c r="G3884" s="2"/>
      <c r="H3884" s="2" t="str">
        <f>IFERROR(__xludf.DUMMYFUNCTION("IF(G3884&lt;&gt;"""", GOOGLETRANSLATE(G3884, ""en"", ""te""),"""")"),"")</f>
        <v/>
      </c>
      <c r="I3884" s="3"/>
    </row>
    <row r="3885" customHeight="1" spans="1:9">
      <c r="A3885" s="2"/>
      <c r="B3885" s="2" t="str">
        <f>IFERROR(__xludf.DUMMYFUNCTION("IF(A3885&lt;&gt;"""", GOOGLETRANSLATE(A3885, ""en"", ""te""),"""")"),"")</f>
        <v/>
      </c>
      <c r="C3885" s="2"/>
      <c r="D3885" s="2" t="str">
        <f>IFERROR(__xludf.DUMMYFUNCTION("IF(C3885&lt;&gt;"""", GOOGLETRANSLATE(C3885, ""en"", ""te""),"""")"),"")</f>
        <v/>
      </c>
      <c r="E3885" s="2"/>
      <c r="F3885" s="2" t="str">
        <f>IFERROR(__xludf.DUMMYFUNCTION("IF(E3885&lt;&gt;"""", GOOGLETRANSLATE(E3885, ""en"", ""te""),"""")"),"")</f>
        <v/>
      </c>
      <c r="G3885" s="2"/>
      <c r="H3885" s="2" t="str">
        <f>IFERROR(__xludf.DUMMYFUNCTION("IF(G3885&lt;&gt;"""", GOOGLETRANSLATE(G3885, ""en"", ""te""),"""")"),"")</f>
        <v/>
      </c>
      <c r="I3885" s="3"/>
    </row>
    <row r="3886" customHeight="1" spans="1:9">
      <c r="A3886" s="2"/>
      <c r="B3886" s="2" t="str">
        <f>IFERROR(__xludf.DUMMYFUNCTION("IF(A3886&lt;&gt;"""", GOOGLETRANSLATE(A3886, ""en"", ""te""),"""")"),"")</f>
        <v/>
      </c>
      <c r="C3886" s="2"/>
      <c r="D3886" s="2" t="str">
        <f>IFERROR(__xludf.DUMMYFUNCTION("IF(C3886&lt;&gt;"""", GOOGLETRANSLATE(C3886, ""en"", ""te""),"""")"),"")</f>
        <v/>
      </c>
      <c r="E3886" s="2"/>
      <c r="F3886" s="2" t="str">
        <f>IFERROR(__xludf.DUMMYFUNCTION("IF(E3886&lt;&gt;"""", GOOGLETRANSLATE(E3886, ""en"", ""te""),"""")"),"")</f>
        <v/>
      </c>
      <c r="G3886" s="2"/>
      <c r="H3886" s="2" t="str">
        <f>IFERROR(__xludf.DUMMYFUNCTION("IF(G3886&lt;&gt;"""", GOOGLETRANSLATE(G3886, ""en"", ""te""),"""")"),"")</f>
        <v/>
      </c>
      <c r="I3886" s="3"/>
    </row>
    <row r="3887" customHeight="1" spans="1:9">
      <c r="A3887" s="2" t="s">
        <v>2724</v>
      </c>
      <c r="B3887" s="2" t="str">
        <f>IFERROR(__xludf.DUMMYFUNCTION("IF(A3887&lt;&gt;"""", GOOGLETRANSLATE(A3887, ""en"", ""te""),"""")"),"[ '5 వ ఎక్కువ (68 *) ఒక ఇన్నింగ్స్ లో నడుస్తుంది (బ్యాటింగ్ స్థానం)']")</f>
        <v>[ '5 వ ఎక్కువ (68 *) ఒక ఇన్నింగ్స్ లో నడుస్తుంది (బ్యాటింగ్ స్థానం)']</v>
      </c>
      <c r="C3887" s="2" t="s">
        <v>2724</v>
      </c>
      <c r="D3887" s="2" t="str">
        <f>IFERROR(__xludf.DUMMYFUNCTION("IF(C3887&lt;&gt;"""", GOOGLETRANSLATE(C3887, ""en"", ""te""),"""")"),"[ '5 వ ఎక్కువ (68 *) ఒక ఇన్నింగ్స్ లో నడుస్తుంది (బ్యాటింగ్ స్థానం)']")</f>
        <v>[ '5 వ ఎక్కువ (68 *) ఒక ఇన్నింగ్స్ లో నడుస్తుంది (బ్యాటింగ్ స్థానం)']</v>
      </c>
      <c r="E3887" s="2"/>
      <c r="F3887" s="2" t="str">
        <f>IFERROR(__xludf.DUMMYFUNCTION("IF(E3887&lt;&gt;"""", GOOGLETRANSLATE(E3887, ""en"", ""te""),"""")"),"")</f>
        <v/>
      </c>
      <c r="G3887" s="2"/>
      <c r="H3887" s="2" t="str">
        <f>IFERROR(__xludf.DUMMYFUNCTION("IF(G3887&lt;&gt;"""", GOOGLETRANSLATE(G3887, ""en"", ""te""),"""")"),"")</f>
        <v/>
      </c>
      <c r="I3887" s="3"/>
    </row>
    <row r="3888" customHeight="1" spans="1:9">
      <c r="A3888" s="2"/>
      <c r="B3888" s="2" t="str">
        <f>IFERROR(__xludf.DUMMYFUNCTION("IF(A3888&lt;&gt;"""", GOOGLETRANSLATE(A3888, ""en"", ""te""),"""")"),"")</f>
        <v/>
      </c>
      <c r="C3888" s="2"/>
      <c r="D3888" s="2" t="str">
        <f>IFERROR(__xludf.DUMMYFUNCTION("IF(C3888&lt;&gt;"""", GOOGLETRANSLATE(C3888, ""en"", ""te""),"""")"),"")</f>
        <v/>
      </c>
      <c r="E3888" s="2"/>
      <c r="F3888" s="2" t="str">
        <f>IFERROR(__xludf.DUMMYFUNCTION("IF(E3888&lt;&gt;"""", GOOGLETRANSLATE(E3888, ""en"", ""te""),"""")"),"")</f>
        <v/>
      </c>
      <c r="G3888" s="2"/>
      <c r="H3888" s="2" t="str">
        <f>IFERROR(__xludf.DUMMYFUNCTION("IF(G3888&lt;&gt;"""", GOOGLETRANSLATE(G3888, ""en"", ""te""),"""")"),"")</f>
        <v/>
      </c>
      <c r="I3888" s="3"/>
    </row>
    <row r="3889" customHeight="1" spans="1:9">
      <c r="A3889" s="2"/>
      <c r="B3889" s="2" t="str">
        <f>IFERROR(__xludf.DUMMYFUNCTION("IF(A3889&lt;&gt;"""", GOOGLETRANSLATE(A3889, ""en"", ""te""),"""")"),"")</f>
        <v/>
      </c>
      <c r="C3889" s="2"/>
      <c r="D3889" s="2" t="str">
        <f>IFERROR(__xludf.DUMMYFUNCTION("IF(C3889&lt;&gt;"""", GOOGLETRANSLATE(C3889, ""en"", ""te""),"""")"),"")</f>
        <v/>
      </c>
      <c r="E3889" s="2" t="s">
        <v>2725</v>
      </c>
      <c r="F3889" s="2" t="str">
        <f>IFERROR(__xludf.DUMMYFUNCTION("IF(E3889&lt;&gt;"""", GOOGLETRANSLATE(E3889, ""en"", ""te""),"""")"),"[ '45 వ చెత్త కెరీర్ బౌలింగ్ సరాసరి (అర్హత లేకుండా) (69.50)']")</f>
        <v>[ '45 వ చెత్త కెరీర్ బౌలింగ్ సరాసరి (అర్హత లేకుండా) (69.50)']</v>
      </c>
      <c r="G3889" s="2"/>
      <c r="H3889" s="2" t="str">
        <f>IFERROR(__xludf.DUMMYFUNCTION("IF(G3889&lt;&gt;"""", GOOGLETRANSLATE(G3889, ""en"", ""te""),"""")"),"")</f>
        <v/>
      </c>
      <c r="I3889" s="3"/>
    </row>
    <row r="3890" customHeight="1" spans="1:9">
      <c r="A3890" s="2"/>
      <c r="B3890" s="2" t="str">
        <f>IFERROR(__xludf.DUMMYFUNCTION("IF(A3890&lt;&gt;"""", GOOGLETRANSLATE(A3890, ""en"", ""te""),"""")"),"")</f>
        <v/>
      </c>
      <c r="C3890" s="2"/>
      <c r="D3890" s="2" t="str">
        <f>IFERROR(__xludf.DUMMYFUNCTION("IF(C3890&lt;&gt;"""", GOOGLETRANSLATE(C3890, ""en"", ""te""),"""")"),"")</f>
        <v/>
      </c>
      <c r="E3890" s="2"/>
      <c r="F3890" s="2" t="str">
        <f>IFERROR(__xludf.DUMMYFUNCTION("IF(E3890&lt;&gt;"""", GOOGLETRANSLATE(E3890, ""en"", ""te""),"""")"),"")</f>
        <v/>
      </c>
      <c r="G3890" s="2"/>
      <c r="H3890" s="2" t="str">
        <f>IFERROR(__xludf.DUMMYFUNCTION("IF(G3890&lt;&gt;"""", GOOGLETRANSLATE(G3890, ""en"", ""te""),"""")"),"")</f>
        <v/>
      </c>
      <c r="I3890" s="3"/>
    </row>
    <row r="3891" customHeight="1" spans="1:9">
      <c r="A3891" s="2"/>
      <c r="B3891" s="2" t="str">
        <f>IFERROR(__xludf.DUMMYFUNCTION("IF(A3891&lt;&gt;"""", GOOGLETRANSLATE(A3891, ""en"", ""te""),"""")"),"")</f>
        <v/>
      </c>
      <c r="C3891" s="2"/>
      <c r="D3891" s="2" t="str">
        <f>IFERROR(__xludf.DUMMYFUNCTION("IF(C3891&lt;&gt;"""", GOOGLETRANSLATE(C3891, ""en"", ""te""),"""")"),"")</f>
        <v/>
      </c>
      <c r="E3891" s="2"/>
      <c r="F3891" s="2" t="str">
        <f>IFERROR(__xludf.DUMMYFUNCTION("IF(E3891&lt;&gt;"""", GOOGLETRANSLATE(E3891, ""en"", ""te""),"""")"),"")</f>
        <v/>
      </c>
      <c r="G3891" s="2"/>
      <c r="H3891" s="2" t="str">
        <f>IFERROR(__xludf.DUMMYFUNCTION("IF(G3891&lt;&gt;"""", GOOGLETRANSLATE(G3891, ""en"", ""te""),"""")"),"")</f>
        <v/>
      </c>
      <c r="I3891" s="3"/>
    </row>
    <row r="3892" customHeight="1" spans="1:9">
      <c r="A3892" s="2" t="s">
        <v>2726</v>
      </c>
      <c r="B3892" s="2" t="str">
        <f>IFERROR(__xludf.DUMMYFUNCTION("IF(A3892&lt;&gt;"""", GOOGLETRANSLATE(A3892, ""en"", ""te""),"""")"),"[ '6 వ బౌలర్ / బ్యాట్స్ కలయికలు (10)']")</f>
        <v>[ '6 వ బౌలర్ / బ్యాట్స్ కలయికలు (10)']</v>
      </c>
      <c r="C3892" s="2" t="s">
        <v>2727</v>
      </c>
      <c r="D3892" s="2" t="str">
        <f>IFERROR(__xludf.DUMMYFUNCTION("IF(C3892&lt;&gt;"""", GOOGLETRANSLATE(C3892, ""en"", ""te""),"""")"),"[ '16 వ చెత్త ఇన్నింగ్స్ లో సమ్మె రేటు (390.0)', '26th అత్యంత వృద్ధ ఆటగాడు పది వికెట్లు లో ఒక మ్యాచ్ తీసుకోవాలని (34y 269d)']")</f>
        <v>[ '16 వ చెత్త ఇన్నింగ్స్ లో సమ్మె రేటు (390.0)', '26th అత్యంత వృద్ధ ఆటగాడు పది వికెట్లు లో ఒక మ్యాచ్ తీసుకోవాలని (34y 269d)']</v>
      </c>
      <c r="E3892" s="2" t="s">
        <v>2728</v>
      </c>
      <c r="F3892" s="2" t="str">
        <f>IFERROR(__xludf.DUMMYFUNCTION("IF(E3892&lt;&gt;"""", GOOGLETRANSLATE(E3892, ""en"", ""te""),"""")"),"[ '17 వ ఉత్తమ కెరీర్ ఆర్థిక రేటు (3.57)', 'ఇన్నింగ్స్ లో 16 వ ఉత్తమ ఆర్థిక రేటు (0.80)', '6 వ' 49 వ అత్యంత వృద్ధ ఆటగాడు ఐదు వికెట్ల లో-ఒక-ఇన్నింగ్స్ (30y 143d) కన్య తీసుకోవాలని ' బౌలర్ / బ్యాట్స్ కలయికలు (10) ']")</f>
        <v>[ '17 వ ఉత్తమ కెరీర్ ఆర్థిక రేటు (3.57)', 'ఇన్నింగ్స్ లో 16 వ ఉత్తమ ఆర్థిక రేటు (0.80)', '6 వ' 49 వ అత్యంత వృద్ధ ఆటగాడు ఐదు వికెట్ల లో-ఒక-ఇన్నింగ్స్ (30y 143d) కన్య తీసుకోవాలని ' బౌలర్ / బ్యాట్స్ కలయికలు (10) ']</v>
      </c>
      <c r="G3892" s="2"/>
      <c r="H3892" s="2" t="str">
        <f>IFERROR(__xludf.DUMMYFUNCTION("IF(G3892&lt;&gt;"""", GOOGLETRANSLATE(G3892, ""en"", ""te""),"""")"),"")</f>
        <v/>
      </c>
      <c r="I3892" s="3"/>
    </row>
    <row r="3893" customHeight="1" spans="1:9">
      <c r="A3893" s="2"/>
      <c r="B3893" s="2" t="str">
        <f>IFERROR(__xludf.DUMMYFUNCTION("IF(A3893&lt;&gt;"""", GOOGLETRANSLATE(A3893, ""en"", ""te""),"""")"),"")</f>
        <v/>
      </c>
      <c r="C3893" s="2" t="s">
        <v>761</v>
      </c>
      <c r="D3893" s="2" t="str">
        <f>IFERROR(__xludf.DUMMYFUNCTION("IF(C3893&lt;&gt;"""", GOOGLETRANSLATE(C3893, ""en"", ""te""),"""")"),"[ 'తొలి ఇన్నింగ్స్లో 22 బెస్ట్ ఫిగర్స్ (6)']")</f>
        <v>[ 'తొలి ఇన్నింగ్స్లో 22 బెస్ట్ ఫిగర్స్ (6)']</v>
      </c>
      <c r="E3893" s="2"/>
      <c r="F3893" s="2" t="str">
        <f>IFERROR(__xludf.DUMMYFUNCTION("IF(E3893&lt;&gt;"""", GOOGLETRANSLATE(E3893, ""en"", ""te""),"""")"),"")</f>
        <v/>
      </c>
      <c r="G3893" s="2"/>
      <c r="H3893" s="2" t="str">
        <f>IFERROR(__xludf.DUMMYFUNCTION("IF(G3893&lt;&gt;"""", GOOGLETRANSLATE(G3893, ""en"", ""te""),"""")"),"")</f>
        <v/>
      </c>
      <c r="I3893" s="3"/>
    </row>
    <row r="3894" customHeight="1" spans="1:9">
      <c r="A3894" s="2" t="s">
        <v>2729</v>
      </c>
      <c r="B3894" s="2" t="str">
        <f>IFERROR(__xludf.DUMMYFUNCTION("IF(A3894&lt;&gt;"""", GOOGLETRANSLATE(A3894, ""en"", ""te""),"""")"),"[ 'కన్య వందల (37y 26d) స్కోర్ 6 వ అత్యంత వృద్ధ ఆటగాడు' 'బ్యాటింగ్ తెరవడం మరియు అదే మ్యాచ్ లో బౌలింగ్', '5 వ లాంగెస్ట్ క్రీడాకారులు (79y 364d) నివసించారు',]")</f>
        <v>[ 'కన్య వందల (37y 26d) స్కోర్ 6 వ అత్యంత వృద్ధ ఆటగాడు' 'బ్యాటింగ్ తెరవడం మరియు అదే మ్యాచ్ లో బౌలింగ్', '5 వ లాంగెస్ట్ క్రీడాకారులు (79y 364d) నివసించారు',]</v>
      </c>
      <c r="C3894" s="2" t="s">
        <v>2730</v>
      </c>
      <c r="D3894" s="2" t="str">
        <f>IFERROR(__xludf.DUMMYFUNCTION("IF(C3894&lt;&gt;"""", GOOGLETRANSLATE(C3894, ""en"", ""te""),"""")"),"[ '32 వ ఉత్తమ ఇన్నింగ్స్ లో ఆర్థిక రేటు (0.58)', 'ఐదు వికెట్ల లో-ఒక-ఇన్నింగ్స్ తీసుకోవాలని 29 అత్యంత వృద్ధ ఆటగాడు (37y 347d)', '12 వ అత్యంత వృద్ధ ఆటగాడు తొలి తీసుకుని ఐదు-వికెట్ల లో-ఒక -innings (37y 347d) ',' ఎనిమిదవ వికెట్కు 35 వ అత్యధిక భాగస్వామ్యం (136"&amp;") ']")</f>
        <v>[ '32 వ ఉత్తమ ఇన్నింగ్స్ లో ఆర్థిక రేటు (0.58)', 'ఐదు వికెట్ల లో-ఒక-ఇన్నింగ్స్ తీసుకోవాలని 29 అత్యంత వృద్ధ ఆటగాడు (37y 347d)', '12 వ అత్యంత వృద్ధ ఆటగాడు తొలి తీసుకుని ఐదు-వికెట్ల లో-ఒక -innings (37y 347d) ',' ఎనిమిదవ వికెట్కు 35 వ అత్యధిక భాగస్వామ్యం (136) ']</v>
      </c>
      <c r="E3894" s="2" t="s">
        <v>2731</v>
      </c>
      <c r="F3894" s="2" t="str">
        <f>IFERROR(__xludf.DUMMYFUNCTION("IF(E3894&lt;&gt;"""", GOOGLETRANSLATE(E3894, ""en"", ""te""),"""")"),"[ '6 వ అత్యంత వృద్ధ ఆటగాడు తొలి వంద (37y 26d) స్కోర్', '38 వ ఓల్డెస్ట్ క్రీడాకారులు (40y 156d)', '17 వ అత్యంత వృద్ధ ఆటగాడు వంద (37y 26d) స్కోర్', '5 వ లాంగెస్ట్ క్రీడాకారులు (79y 364d) నివసించారు' '41 వ ఓల్డెస్ట్ కాప్టెన్ (37y 26d)', '27 వ ఓల్డెస్ట్ కెప్ట"&amp;"ెన్లు కెప్టెన్సీ తొలి (35y 0 రో)']")</f>
        <v>[ '6 వ అత్యంత వృద్ధ ఆటగాడు తొలి వంద (37y 26d) స్కోర్', '38 వ ఓల్డెస్ట్ క్రీడాకారులు (40y 156d)', '17 వ అత్యంత వృద్ధ ఆటగాడు వంద (37y 26d) స్కోర్', '5 వ లాంగెస్ట్ క్రీడాకారులు (79y 364d) నివసించారు' '41 వ ఓల్డెస్ట్ కాప్టెన్ (37y 26d)', '27 వ ఓల్డెస్ట్ కెప్టెన్లు కెప్టెన్సీ తొలి (35y 0 రో)']</v>
      </c>
      <c r="G3894" s="2"/>
      <c r="H3894" s="2" t="str">
        <f>IFERROR(__xludf.DUMMYFUNCTION("IF(G3894&lt;&gt;"""", GOOGLETRANSLATE(G3894, ""en"", ""te""),"""")"),"")</f>
        <v/>
      </c>
      <c r="I3894" s="3"/>
    </row>
    <row r="3895" customHeight="1" spans="1:9">
      <c r="A3895" s="2"/>
      <c r="B3895" s="2" t="str">
        <f>IFERROR(__xludf.DUMMYFUNCTION("IF(A3895&lt;&gt;"""", GOOGLETRANSLATE(A3895, ""en"", ""te""),"""")"),"")</f>
        <v/>
      </c>
      <c r="C3895" s="2"/>
      <c r="D3895" s="2" t="str">
        <f>IFERROR(__xludf.DUMMYFUNCTION("IF(C3895&lt;&gt;"""", GOOGLETRANSLATE(C3895, ""en"", ""te""),"""")"),"")</f>
        <v/>
      </c>
      <c r="E3895" s="2"/>
      <c r="F3895" s="2" t="str">
        <f>IFERROR(__xludf.DUMMYFUNCTION("IF(E3895&lt;&gt;"""", GOOGLETRANSLATE(E3895, ""en"", ""te""),"""")"),"")</f>
        <v/>
      </c>
      <c r="G3895" s="2"/>
      <c r="H3895" s="2" t="str">
        <f>IFERROR(__xludf.DUMMYFUNCTION("IF(G3895&lt;&gt;"""", GOOGLETRANSLATE(G3895, ""en"", ""te""),"""")"),"")</f>
        <v/>
      </c>
      <c r="I3895" s="3"/>
    </row>
    <row r="3896" customHeight="1" spans="1:9">
      <c r="A3896" s="2"/>
      <c r="B3896" s="2" t="str">
        <f>IFERROR(__xludf.DUMMYFUNCTION("IF(A3896&lt;&gt;"""", GOOGLETRANSLATE(A3896, ""en"", ""te""),"""")"),"")</f>
        <v/>
      </c>
      <c r="C3896" s="2"/>
      <c r="D3896" s="2" t="str">
        <f>IFERROR(__xludf.DUMMYFUNCTION("IF(C3896&lt;&gt;"""", GOOGLETRANSLATE(C3896, ""en"", ""te""),"""")"),"")</f>
        <v/>
      </c>
      <c r="E3896" s="2"/>
      <c r="F3896" s="2" t="str">
        <f>IFERROR(__xludf.DUMMYFUNCTION("IF(E3896&lt;&gt;"""", GOOGLETRANSLATE(E3896, ""en"", ""te""),"""")"),"")</f>
        <v/>
      </c>
      <c r="G3896" s="2"/>
      <c r="H3896" s="2" t="str">
        <f>IFERROR(__xludf.DUMMYFUNCTION("IF(G3896&lt;&gt;"""", GOOGLETRANSLATE(G3896, ""en"", ""te""),"""")"),"")</f>
        <v/>
      </c>
      <c r="I3896" s="3"/>
    </row>
    <row r="3897" customHeight="1" spans="1:9">
      <c r="A3897" s="2"/>
      <c r="B3897" s="2" t="str">
        <f>IFERROR(__xludf.DUMMYFUNCTION("IF(A3897&lt;&gt;"""", GOOGLETRANSLATE(A3897, ""en"", ""te""),"""")"),"")</f>
        <v/>
      </c>
      <c r="C3897" s="2" t="s">
        <v>2732</v>
      </c>
      <c r="D3897" s="2" t="str">
        <f>IFERROR(__xludf.DUMMYFUNCTION("IF(C3897&lt;&gt;"""", GOOGLETRANSLATE(C3897, ""en"", ""te""),"""")"),"[ '15 ఇన్నింగ్స్లో ఉత్తమ సంఖ్యలు ఉన్నప్పుడు పరాజయం వైపు (4)', '13 వ ఉత్తమ కెరీర్ సగటు (17.94) బౌలింగ్', '35 వ ఉత్తమ కెరీర్ ఆర్థిక రేటు (1.74)', '19 వ ఉత్తమ కెరీర్ సమ్మె రేటు (61.6)' 'ఇన్నింగ్స్ లో 19 ఉత్తమ ఆర్థిక రేటు (0.50)', 'వికెట్కీపర్గా (5) 14 వ అత్"&amp;"యంత ఆకర్షించింది తీసుకోబడిన వికెట్ల' '18 వ అత్యధిక వికెట్లు తీసుకున్న బౌల్డ్ (10)',]")</f>
        <v>[ '15 ఇన్నింగ్స్లో ఉత్తమ సంఖ్యలు ఉన్నప్పుడు పరాజయం వైపు (4)', '13 వ ఉత్తమ కెరీర్ సగటు (17.94) బౌలింగ్', '35 వ ఉత్తమ కెరీర్ ఆర్థిక రేటు (1.74)', '19 వ ఉత్తమ కెరీర్ సమ్మె రేటు (61.6)' 'ఇన్నింగ్స్ లో 19 ఉత్తమ ఆర్థిక రేటు (0.50)', 'వికెట్కీపర్గా (5) 14 వ అత్యంత ఆకర్షించింది తీసుకోబడిన వికెట్ల' '18 వ అత్యధిక వికెట్లు తీసుకున్న బౌల్డ్ (10)',]</v>
      </c>
      <c r="E3897" s="2"/>
      <c r="F3897" s="2" t="str">
        <f>IFERROR(__xludf.DUMMYFUNCTION("IF(E3897&lt;&gt;"""", GOOGLETRANSLATE(E3897, ""en"", ""te""),"""")"),"")</f>
        <v/>
      </c>
      <c r="G3897" s="2"/>
      <c r="H3897" s="2" t="str">
        <f>IFERROR(__xludf.DUMMYFUNCTION("IF(G3897&lt;&gt;"""", GOOGLETRANSLATE(G3897, ""en"", ""te""),"""")"),"")</f>
        <v/>
      </c>
      <c r="I3897" s="3"/>
    </row>
    <row r="3898" customHeight="1" spans="1:9">
      <c r="A3898" s="2"/>
      <c r="B3898" s="2" t="str">
        <f>IFERROR(__xludf.DUMMYFUNCTION("IF(A3898&lt;&gt;"""", GOOGLETRANSLATE(A3898, ""en"", ""te""),"""")"),"")</f>
        <v/>
      </c>
      <c r="C3898" s="2"/>
      <c r="D3898" s="2" t="str">
        <f>IFERROR(__xludf.DUMMYFUNCTION("IF(C3898&lt;&gt;"""", GOOGLETRANSLATE(C3898, ""en"", ""te""),"""")"),"")</f>
        <v/>
      </c>
      <c r="E3898" s="2" t="s">
        <v>2733</v>
      </c>
      <c r="F3898" s="2" t="str">
        <f>IFERROR(__xludf.DUMMYFUNCTION("IF(E3898&lt;&gt;"""", GOOGLETRANSLATE(E3898, ""en"", ""te""),"""")"),"[ '49 వ ఇన్నింగ్స్ లో బెస్ట్ ఫిగర్స్ (5/19)', '31 వరుస మ్యాచ్లు ప్రదర్శనల మధ్య బృందం (35) కోసం తప్పిన']")</f>
        <v>[ '49 వ ఇన్నింగ్స్ లో బెస్ట్ ఫిగర్స్ (5/19)', '31 వరుస మ్యాచ్లు ప్రదర్శనల మధ్య బృందం (35) కోసం తప్పిన']</v>
      </c>
      <c r="G3898" s="2"/>
      <c r="H3898" s="2" t="str">
        <f>IFERROR(__xludf.DUMMYFUNCTION("IF(G3898&lt;&gt;"""", GOOGLETRANSLATE(G3898, ""en"", ""te""),"""")"),"")</f>
        <v/>
      </c>
      <c r="I3898" s="3"/>
    </row>
    <row r="3899" customHeight="1" spans="1:9">
      <c r="A3899" s="2" t="s">
        <v>1807</v>
      </c>
      <c r="B3899" s="2" t="str">
        <f>IFERROR(__xludf.DUMMYFUNCTION("IF(A3899&lt;&gt;"""", GOOGLETRANSLATE(A3899, ""en"", ""te""),"""")"),"[ 'ఒక కెప్టెన్తో పెయిర్']")</f>
        <v>[ 'ఒక కెప్టెన్తో పెయిర్']</v>
      </c>
      <c r="C3899" s="2" t="s">
        <v>2734</v>
      </c>
      <c r="D3899" s="2" t="str">
        <f>IFERROR(__xludf.DUMMYFUNCTION("IF(C3899&lt;&gt;"""", GOOGLETRANSLATE(C3899, ""en"", ""te""),"""")"),"[ '28 చెత్త కెరీర్లో సమ్మె రేటు (119.8)', '11 వ వరుస అన్ని టాస్ గెలిచిన (3)']")</f>
        <v>[ '28 చెత్త కెరీర్లో సమ్మె రేటు (119.8)', '11 వ వరుస అన్ని టాస్ గెలిచిన (3)']</v>
      </c>
      <c r="E3899" s="2"/>
      <c r="F3899" s="2" t="str">
        <f>IFERROR(__xludf.DUMMYFUNCTION("IF(E3899&lt;&gt;"""", GOOGLETRANSLATE(E3899, ""en"", ""te""),"""")"),"")</f>
        <v/>
      </c>
      <c r="G3899" s="2"/>
      <c r="H3899" s="2" t="str">
        <f>IFERROR(__xludf.DUMMYFUNCTION("IF(G3899&lt;&gt;"""", GOOGLETRANSLATE(G3899, ""en"", ""te""),"""")"),"")</f>
        <v/>
      </c>
      <c r="I3899" s="3"/>
    </row>
    <row r="3900" customHeight="1" spans="1:9">
      <c r="A3900" s="2"/>
      <c r="B3900" s="2" t="str">
        <f>IFERROR(__xludf.DUMMYFUNCTION("IF(A3900&lt;&gt;"""", GOOGLETRANSLATE(A3900, ""en"", ""te""),"""")"),"")</f>
        <v/>
      </c>
      <c r="C3900" s="2" t="s">
        <v>2735</v>
      </c>
      <c r="D3900" s="2" t="str">
        <f>IFERROR(__xludf.DUMMYFUNCTION("IF(C3900&lt;&gt;"""", GOOGLETRANSLATE(C3900, ""en"", ""te""),"""")"),"[ 'కెప్టెన్సీ తొలి 47 వ ఓల్డెస్ట్ కాప్టెన్ (35y 215d)']")</f>
        <v>[ 'కెప్టెన్సీ తొలి 47 వ ఓల్డెస్ట్ కాప్టెన్ (35y 215d)']</v>
      </c>
      <c r="E3900" s="2"/>
      <c r="F3900" s="2" t="str">
        <f>IFERROR(__xludf.DUMMYFUNCTION("IF(E3900&lt;&gt;"""", GOOGLETRANSLATE(E3900, ""en"", ""te""),"""")"),"")</f>
        <v/>
      </c>
      <c r="G3900" s="2"/>
      <c r="H3900" s="2" t="str">
        <f>IFERROR(__xludf.DUMMYFUNCTION("IF(G3900&lt;&gt;"""", GOOGLETRANSLATE(G3900, ""en"", ""te""),"""")"),"")</f>
        <v/>
      </c>
      <c r="I3900" s="3"/>
    </row>
    <row r="3901" customHeight="1" spans="1:9">
      <c r="A3901" s="2" t="s">
        <v>2736</v>
      </c>
      <c r="B3901" s="2" t="str">
        <f>IFERROR(__xludf.DUMMYFUNCTION("IF(A3901&lt;&gt;"""", GOOGLETRANSLATE(A3901, ""en"", ""te""),"""")"),"[ '7th చెత్త కెరీర్లో ఆర్థిక రేటు (3.80)']")</f>
        <v>[ '7th చెత్త కెరీర్లో ఆర్థిక రేటు (3.80)']</v>
      </c>
      <c r="C3901" s="2" t="s">
        <v>2737</v>
      </c>
      <c r="D3901" s="2" t="str">
        <f>IFERROR(__xludf.DUMMYFUNCTION("IF(C3901&lt;&gt;"""", GOOGLETRANSLATE(C3901, ""en"", ""te""),"""")"),"[ '7th చెత్త కెరీర్లో ఆర్థిక రేటు (3.80)', 'ఇన్నింగ్స్ లో 39 వ చెత్త ఆర్థిక రేటు (6.46)', '33 వ ప్రవేశం (8) ఒక మ్యాచ్లో బెస్ట్ ఫిగర్స్']")</f>
        <v>[ '7th చెత్త కెరీర్లో ఆర్థిక రేటు (3.80)', 'ఇన్నింగ్స్ లో 39 వ చెత్త ఆర్థిక రేటు (6.46)', '33 వ ప్రవేశం (8) ఒక మ్యాచ్లో బెస్ట్ ఫిగర్స్']</v>
      </c>
      <c r="E3901" s="2"/>
      <c r="F3901" s="2" t="str">
        <f>IFERROR(__xludf.DUMMYFUNCTION("IF(E3901&lt;&gt;"""", GOOGLETRANSLATE(E3901, ""en"", ""te""),"""")"),"")</f>
        <v/>
      </c>
      <c r="G3901" s="2"/>
      <c r="H3901" s="2" t="str">
        <f>IFERROR(__xludf.DUMMYFUNCTION("IF(G3901&lt;&gt;"""", GOOGLETRANSLATE(G3901, ""en"", ""te""),"""")"),"")</f>
        <v/>
      </c>
      <c r="I3901" s="3"/>
    </row>
    <row r="3902" customHeight="1" spans="1:9">
      <c r="A3902" s="2"/>
      <c r="B3902" s="2" t="str">
        <f>IFERROR(__xludf.DUMMYFUNCTION("IF(A3902&lt;&gt;"""", GOOGLETRANSLATE(A3902, ""en"", ""te""),"""")"),"")</f>
        <v/>
      </c>
      <c r="C3902" s="2"/>
      <c r="D3902" s="2" t="str">
        <f>IFERROR(__xludf.DUMMYFUNCTION("IF(C3902&lt;&gt;"""", GOOGLETRANSLATE(C3902, ""en"", ""te""),"""")"),"")</f>
        <v/>
      </c>
      <c r="E3902" s="2"/>
      <c r="F3902" s="2" t="str">
        <f>IFERROR(__xludf.DUMMYFUNCTION("IF(E3902&lt;&gt;"""", GOOGLETRANSLATE(E3902, ""en"", ""te""),"""")"),"")</f>
        <v/>
      </c>
      <c r="G3902" s="2"/>
      <c r="H3902" s="2" t="str">
        <f>IFERROR(__xludf.DUMMYFUNCTION("IF(G3902&lt;&gt;"""", GOOGLETRANSLATE(G3902, ""en"", ""te""),"""")"),"")</f>
        <v/>
      </c>
      <c r="I3902" s="3"/>
    </row>
    <row r="3903" customHeight="1" spans="1:9">
      <c r="A3903" s="2"/>
      <c r="B3903" s="2" t="str">
        <f>IFERROR(__xludf.DUMMYFUNCTION("IF(A3903&lt;&gt;"""", GOOGLETRANSLATE(A3903, ""en"", ""te""),"""")"),"")</f>
        <v/>
      </c>
      <c r="C3903" s="2"/>
      <c r="D3903" s="2" t="str">
        <f>IFERROR(__xludf.DUMMYFUNCTION("IF(C3903&lt;&gt;"""", GOOGLETRANSLATE(C3903, ""en"", ""te""),"""")"),"")</f>
        <v/>
      </c>
      <c r="E3903" s="2" t="s">
        <v>2738</v>
      </c>
      <c r="F3903" s="2" t="str">
        <f>IFERROR(__xludf.DUMMYFUNCTION("IF(E3903&lt;&gt;"""", GOOGLETRANSLATE(E3903, ""en"", ""te""),"""")"),"[ 'తొలి 28 ఓల్డెస్ట్ క్రీడాకారులు (34y 58d)']")</f>
        <v>[ 'తొలి 28 ఓల్డెస్ట్ క్రీడాకారులు (34y 58d)']</v>
      </c>
      <c r="G3903" s="2"/>
      <c r="H3903" s="2" t="str">
        <f>IFERROR(__xludf.DUMMYFUNCTION("IF(G3903&lt;&gt;"""", GOOGLETRANSLATE(G3903, ""en"", ""te""),"""")"),"")</f>
        <v/>
      </c>
      <c r="I3903" s="3"/>
    </row>
    <row r="3904" customHeight="1" spans="1:9">
      <c r="A3904" s="2"/>
      <c r="B3904" s="2" t="str">
        <f>IFERROR(__xludf.DUMMYFUNCTION("IF(A3904&lt;&gt;"""", GOOGLETRANSLATE(A3904, ""en"", ""te""),"""")"),"")</f>
        <v/>
      </c>
      <c r="C3904" s="2"/>
      <c r="D3904" s="2" t="str">
        <f>IFERROR(__xludf.DUMMYFUNCTION("IF(C3904&lt;&gt;"""", GOOGLETRANSLATE(C3904, ""en"", ""te""),"""")"),"")</f>
        <v/>
      </c>
      <c r="E3904" s="2"/>
      <c r="F3904" s="2" t="str">
        <f>IFERROR(__xludf.DUMMYFUNCTION("IF(E3904&lt;&gt;"""", GOOGLETRANSLATE(E3904, ""en"", ""te""),"""")"),"")</f>
        <v/>
      </c>
      <c r="G3904" s="2"/>
      <c r="H3904" s="2" t="str">
        <f>IFERROR(__xludf.DUMMYFUNCTION("IF(G3904&lt;&gt;"""", GOOGLETRANSLATE(G3904, ""en"", ""te""),"""")"),"")</f>
        <v/>
      </c>
      <c r="I3904" s="3"/>
    </row>
    <row r="3905" customHeight="1" spans="1:9">
      <c r="A3905" s="2"/>
      <c r="B3905" s="2" t="str">
        <f>IFERROR(__xludf.DUMMYFUNCTION("IF(A3905&lt;&gt;"""", GOOGLETRANSLATE(A3905, ""en"", ""te""),"""")"),"")</f>
        <v/>
      </c>
      <c r="C3905" s="2"/>
      <c r="D3905" s="2" t="str">
        <f>IFERROR(__xludf.DUMMYFUNCTION("IF(C3905&lt;&gt;"""", GOOGLETRANSLATE(C3905, ""en"", ""te""),"""")"),"")</f>
        <v/>
      </c>
      <c r="E3905" s="2"/>
      <c r="F3905" s="2" t="str">
        <f>IFERROR(__xludf.DUMMYFUNCTION("IF(E3905&lt;&gt;"""", GOOGLETRANSLATE(E3905, ""en"", ""te""),"""")"),"")</f>
        <v/>
      </c>
      <c r="G3905" s="2"/>
      <c r="H3905" s="2" t="str">
        <f>IFERROR(__xludf.DUMMYFUNCTION("IF(G3905&lt;&gt;"""", GOOGLETRANSLATE(G3905, ""en"", ""te""),"""")"),"")</f>
        <v/>
      </c>
      <c r="I3905" s="3"/>
    </row>
    <row r="3906" customHeight="1" spans="1:9">
      <c r="A3906" s="2"/>
      <c r="B3906" s="2" t="str">
        <f>IFERROR(__xludf.DUMMYFUNCTION("IF(A3906&lt;&gt;"""", GOOGLETRANSLATE(A3906, ""en"", ""te""),"""")"),"")</f>
        <v/>
      </c>
      <c r="C3906" s="2"/>
      <c r="D3906" s="2" t="str">
        <f>IFERROR(__xludf.DUMMYFUNCTION("IF(C3906&lt;&gt;"""", GOOGLETRANSLATE(C3906, ""en"", ""te""),"""")"),"")</f>
        <v/>
      </c>
      <c r="E3906" s="2" t="s">
        <v>2739</v>
      </c>
      <c r="F3906" s="2" t="str">
        <f>IFERROR(__xludf.DUMMYFUNCTION("IF(E3906&lt;&gt;"""", GOOGLETRANSLATE(E3906, ""en"", ""te""),"""")"),"[ '38 వ పురాతన దేశం ఆటగాళ్ళు (78y 49d)']")</f>
        <v>[ '38 వ పురాతన దేశం ఆటగాళ్ళు (78y 49d)']</v>
      </c>
      <c r="G3906" s="2"/>
      <c r="H3906" s="2" t="str">
        <f>IFERROR(__xludf.DUMMYFUNCTION("IF(G3906&lt;&gt;"""", GOOGLETRANSLATE(G3906, ""en"", ""te""),"""")"),"")</f>
        <v/>
      </c>
      <c r="I3906" s="3"/>
    </row>
    <row r="3907" customHeight="1" spans="1:9">
      <c r="A3907" s="2"/>
      <c r="B3907" s="2" t="str">
        <f>IFERROR(__xludf.DUMMYFUNCTION("IF(A3907&lt;&gt;"""", GOOGLETRANSLATE(A3907, ""en"", ""te""),"""")"),"")</f>
        <v/>
      </c>
      <c r="C3907" s="2"/>
      <c r="D3907" s="2" t="str">
        <f>IFERROR(__xludf.DUMMYFUNCTION("IF(C3907&lt;&gt;"""", GOOGLETRANSLATE(C3907, ""en"", ""te""),"""")"),"")</f>
        <v/>
      </c>
      <c r="E3907" s="2"/>
      <c r="F3907" s="2" t="str">
        <f>IFERROR(__xludf.DUMMYFUNCTION("IF(E3907&lt;&gt;"""", GOOGLETRANSLATE(E3907, ""en"", ""te""),"""")"),"")</f>
        <v/>
      </c>
      <c r="G3907" s="2"/>
      <c r="H3907" s="2" t="str">
        <f>IFERROR(__xludf.DUMMYFUNCTION("IF(G3907&lt;&gt;"""", GOOGLETRANSLATE(G3907, ""en"", ""te""),"""")"),"")</f>
        <v/>
      </c>
      <c r="I3907" s="3"/>
    </row>
    <row r="3908" customHeight="1" spans="1:9">
      <c r="A3908" s="2" t="s">
        <v>2740</v>
      </c>
      <c r="B3908" s="2" t="str">
        <f>IFERROR(__xludf.DUMMYFUNCTION("IF(A3908&lt;&gt;"""", GOOGLETRANSLATE(A3908, ""en"", ""te""),"""")"),"[ 'ప్రదర్శనల మధ్య 5 వ లాంగెస్ట్ వ్యవధిలో (14y 28 రో)']")</f>
        <v>[ 'ప్రదర్శనల మధ్య 5 వ లాంగెస్ట్ వ్యవధిలో (14y 28 రో)']</v>
      </c>
      <c r="C3908" s="2" t="s">
        <v>2741</v>
      </c>
      <c r="D3908" s="2" t="str">
        <f>IFERROR(__xludf.DUMMYFUNCTION("IF(C3908&lt;&gt;"""", GOOGLETRANSLATE(C3908, ""en"", ""te""),"""")"),"[ 'ప్రదర్శనలు (14y 28 రో) మధ్య 5 వ లాంగెస్ట్ వ్యవధిలో', '18 వ లాంగెస్ట్ నివసించారు క్రీడాకారులు (94y 55d)']")</f>
        <v>[ 'ప్రదర్శనలు (14y 28 రో) మధ్య 5 వ లాంగెస్ట్ వ్యవధిలో', '18 వ లాంగెస్ట్ నివసించారు క్రీడాకారులు (94y 55d)']</v>
      </c>
      <c r="E3908" s="2"/>
      <c r="F3908" s="2" t="str">
        <f>IFERROR(__xludf.DUMMYFUNCTION("IF(E3908&lt;&gt;"""", GOOGLETRANSLATE(E3908, ""en"", ""te""),"""")"),"")</f>
        <v/>
      </c>
      <c r="G3908" s="2"/>
      <c r="H3908" s="2" t="str">
        <f>IFERROR(__xludf.DUMMYFUNCTION("IF(G3908&lt;&gt;"""", GOOGLETRANSLATE(G3908, ""en"", ""te""),"""")"),"")</f>
        <v/>
      </c>
      <c r="I3908" s="3"/>
    </row>
    <row r="3909" customHeight="1" spans="1:9">
      <c r="A3909" s="2"/>
      <c r="B3909" s="2" t="str">
        <f>IFERROR(__xludf.DUMMYFUNCTION("IF(A3909&lt;&gt;"""", GOOGLETRANSLATE(A3909, ""en"", ""te""),"""")"),"")</f>
        <v/>
      </c>
      <c r="C3909" s="2"/>
      <c r="D3909" s="2" t="str">
        <f>IFERROR(__xludf.DUMMYFUNCTION("IF(C3909&lt;&gt;"""", GOOGLETRANSLATE(C3909, ""en"", ""te""),"""")"),"")</f>
        <v/>
      </c>
      <c r="E3909" s="2"/>
      <c r="F3909" s="2" t="str">
        <f>IFERROR(__xludf.DUMMYFUNCTION("IF(E3909&lt;&gt;"""", GOOGLETRANSLATE(E3909, ""en"", ""te""),"""")"),"")</f>
        <v/>
      </c>
      <c r="G3909" s="2"/>
      <c r="H3909" s="2" t="str">
        <f>IFERROR(__xludf.DUMMYFUNCTION("IF(G3909&lt;&gt;"""", GOOGLETRANSLATE(G3909, ""en"", ""te""),"""")"),"")</f>
        <v/>
      </c>
      <c r="I3909" s="3"/>
    </row>
    <row r="3910" customHeight="1" spans="1:9">
      <c r="A3910" s="2" t="s">
        <v>2742</v>
      </c>
      <c r="B3910" s="2" t="str">
        <f>IFERROR(__xludf.DUMMYFUNCTION("IF(A3910&lt;&gt;"""", GOOGLETRANSLATE(A3910, ""en"", ""te""),"""")"),"[ 'మూడో వికెట్కు 1st అత్యధిక భాగస్వామ్యం (184)' '6 వ అత్యంత వికెట్కీపర్గా (92 *) ద్వారా ఇన్నింగ్స్ లో నడుస్తుంది',]")</f>
        <v>[ 'మూడో వికెట్కు 1st అత్యధిక భాగస్వామ్యం (184)' '6 వ అత్యంత వికెట్కీపర్గా (92 *) ద్వారా ఇన్నింగ్స్ లో నడుస్తుంది',]</v>
      </c>
      <c r="C3910" s="2"/>
      <c r="D3910" s="2" t="str">
        <f>IFERROR(__xludf.DUMMYFUNCTION("IF(C3910&lt;&gt;"""", GOOGLETRANSLATE(C3910, ""en"", ""te""),"""")"),"")</f>
        <v/>
      </c>
      <c r="E3910" s="2" t="s">
        <v>2743</v>
      </c>
      <c r="F3910" s="2" t="str">
        <f>IFERROR(__xludf.DUMMYFUNCTION("IF(E3910&lt;&gt;"""", GOOGLETRANSLATE(E3910, ""en"", ""te""),"""")"),"[ '17 వ హండ్రెడ్ గత మ్యాచ్లో (126)', 'ఐదో వికెట్కు (159) 25 వ అత్యధిక భాగస్వామ్యం']")</f>
        <v>[ '17 వ హండ్రెడ్ గత మ్యాచ్లో (126)', 'ఐదో వికెట్కు (159) 25 వ అత్యధిక భాగస్వామ్యం']</v>
      </c>
      <c r="G3910" s="2" t="s">
        <v>2744</v>
      </c>
      <c r="H3910" s="2" t="str">
        <f>IFERROR(__xludf.DUMMYFUNCTION("IF(G3910&lt;&gt;"""", GOOGLETRANSLATE(G3910, ""en"", ""te""),"""")"),"[ 'ఇన్నింగ్స్ లో 7 వ అత్యధిక పరుగులు (99 *) (బ్యాటింగ్ స్థానం)' 'అత్యధిక వికెట్లు ఇన్నింగ్స్ లో 6 వ అత్యధిక పరుగులు (92 *)', '12 వ అత్యధిక కెరీర్ సమ్మె రేటు (151.11)', '31 మోస్ట్ ఫోర్లు ఇన్నింగ్స్ ఏ వికెట్కు (184) ',' మూడో వికెట్కు 1st అత్యధిక భాగస్వామ్యం"&amp;" వికెట్ తేడాతో 3 వ అత్యధిక భాగస్వామ్యాల (3 వ) ',' (184) ',' 26th అత్యధిక భాగస్వామ్యం కోసం (11) ',' 5 వ అత్యధిక భాగస్వామ్య ఐదవ వికెట్ (77) ']")</f>
        <v>[ 'ఇన్నింగ్స్ లో 7 వ అత్యధిక పరుగులు (99 *) (బ్యాటింగ్ స్థానం)' 'అత్యధిక వికెట్లు ఇన్నింగ్స్ లో 6 వ అత్యధిక పరుగులు (92 *)', '12 వ అత్యధిక కెరీర్ సమ్మె రేటు (151.11)', '31 మోస్ట్ ఫోర్లు ఇన్నింగ్స్ ఏ వికెట్కు (184) ',' మూడో వికెట్కు 1st అత్యధిక భాగస్వామ్యం వికెట్ తేడాతో 3 వ అత్యధిక భాగస్వామ్యాల (3 వ) ',' (184) ',' 26th అత్యధిక భాగస్వామ్యం కోసం (11) ',' 5 వ అత్యధిక భాగస్వామ్య ఐదవ వికెట్ (77) ']</v>
      </c>
      <c r="I3910" s="3"/>
    </row>
    <row r="3911" customHeight="1" spans="1:9">
      <c r="A3911" s="2"/>
      <c r="B3911" s="2" t="str">
        <f>IFERROR(__xludf.DUMMYFUNCTION("IF(A3911&lt;&gt;"""", GOOGLETRANSLATE(A3911, ""en"", ""te""),"""")"),"")</f>
        <v/>
      </c>
      <c r="C3911" s="2"/>
      <c r="D3911" s="2" t="str">
        <f>IFERROR(__xludf.DUMMYFUNCTION("IF(C3911&lt;&gt;"""", GOOGLETRANSLATE(C3911, ""en"", ""te""),"""")"),"")</f>
        <v/>
      </c>
      <c r="E3911" s="2"/>
      <c r="F3911" s="2" t="str">
        <f>IFERROR(__xludf.DUMMYFUNCTION("IF(E3911&lt;&gt;"""", GOOGLETRANSLATE(E3911, ""en"", ""te""),"""")"),"")</f>
        <v/>
      </c>
      <c r="G3911" s="2"/>
      <c r="H3911" s="2" t="str">
        <f>IFERROR(__xludf.DUMMYFUNCTION("IF(G3911&lt;&gt;"""", GOOGLETRANSLATE(G3911, ""en"", ""te""),"""")"),"")</f>
        <v/>
      </c>
      <c r="I3911" s="3"/>
    </row>
    <row r="3912" customHeight="1" spans="1:9">
      <c r="A3912" s="2"/>
      <c r="B3912" s="2" t="str">
        <f>IFERROR(__xludf.DUMMYFUNCTION("IF(A3912&lt;&gt;"""", GOOGLETRANSLATE(A3912, ""en"", ""te""),"""")"),"")</f>
        <v/>
      </c>
      <c r="C3912" s="2" t="s">
        <v>2745</v>
      </c>
      <c r="D3912" s="2" t="str">
        <f>IFERROR(__xludf.DUMMYFUNCTION("IF(C3912&lt;&gt;"""", GOOGLETRANSLATE(C3912, ""en"", ""te""),"""")"),"[40 వ అత్యంత వృద్ధ ఆటగాడు పది వికెట్లు లో ఒక మ్యాచ్ తీసుకోవాలని (33y 291d) ']")</f>
        <v>[40 వ అత్యంత వృద్ధ ఆటగాడు పది వికెట్లు లో ఒక మ్యాచ్ తీసుకోవాలని (33y 291d) ']</v>
      </c>
      <c r="E3912" s="2" t="s">
        <v>2746</v>
      </c>
      <c r="F3912" s="2" t="str">
        <f>IFERROR(__xludf.DUMMYFUNCTION("IF(E3912&lt;&gt;"""", GOOGLETRANSLATE(E3912, ""en"", ""te""),"""")"),"[ '19 అత్యధిక కెరీర్ సమ్మె రేటు (104.88)', '14 వ ఒక ఇన్నింగ్స్ లోని బెస్ట్ ఫిగర్స్ ఉన్నప్పుడు పరాజయం వైపు (5)', 'ఇన్నింగ్స్ లో 48 వ బెస్ట్ ఆర్థిక రేటు (1.00)']")</f>
        <v>[ '19 అత్యధిక కెరీర్ సమ్మె రేటు (104.88)', '14 వ ఒక ఇన్నింగ్స్ లోని బెస్ట్ ఫిగర్స్ ఉన్నప్పుడు పరాజయం వైపు (5)', 'ఇన్నింగ్స్ లో 48 వ బెస్ట్ ఆర్థిక రేటు (1.00)']</v>
      </c>
      <c r="G3912" s="2"/>
      <c r="H3912" s="2" t="str">
        <f>IFERROR(__xludf.DUMMYFUNCTION("IF(G3912&lt;&gt;"""", GOOGLETRANSLATE(G3912, ""en"", ""te""),"""")"),"")</f>
        <v/>
      </c>
      <c r="I3912" s="3"/>
    </row>
    <row r="3913" customHeight="1" spans="1:9">
      <c r="A3913" s="2" t="s">
        <v>2747</v>
      </c>
      <c r="B3913" s="2" t="str">
        <f>IFERROR(__xludf.DUMMYFUNCTION("IF(A3913&lt;&gt;"""", GOOGLETRANSLATE(A3913, ""en"", ""te""),"""")"),"[ 'వంద (482) లేకుండా ఒక వృత్తిలో 9 వ అత్యధిక పరుగులు', 'కెరీర్ (18) 9 వ లేవు బాతులు']")</f>
        <v>[ 'వంద (482) లేకుండా ఒక వృత్తిలో 9 వ అత్యధిక పరుగులు', 'కెరీర్ (18) 9 వ లేవు బాతులు']</v>
      </c>
      <c r="C3913" s="2" t="s">
        <v>2747</v>
      </c>
      <c r="D3913" s="2" t="str">
        <f>IFERROR(__xludf.DUMMYFUNCTION("IF(C3913&lt;&gt;"""", GOOGLETRANSLATE(C3913, ""en"", ""te""),"""")"),"[ 'వంద (482) లేకుండా ఒక వృత్తిలో 9 వ అత్యధిక పరుగులు', 'కెరీర్ (18) 9 వ లేవు బాతులు']")</f>
        <v>[ 'వంద (482) లేకుండా ఒక వృత్తిలో 9 వ అత్యధిక పరుగులు', 'కెరీర్ (18) 9 వ లేవు బాతులు']</v>
      </c>
      <c r="E3913" s="2" t="s">
        <v>2748</v>
      </c>
      <c r="F3913" s="2" t="str">
        <f>IFERROR(__xludf.DUMMYFUNCTION("IF(E3913&lt;&gt;"""", GOOGLETRANSLATE(E3913, ""en"", ""te""),"""")"),"[ '48 వ వంద (875) లేకుండా ఒక జీవితంలో అత్యధిక పరుగులు']")</f>
        <v>[ '48 వ వంద (875) లేకుండా ఒక జీవితంలో అత్యధిక పరుగులు']</v>
      </c>
      <c r="G3913" s="2"/>
      <c r="H3913" s="2" t="str">
        <f>IFERROR(__xludf.DUMMYFUNCTION("IF(G3913&lt;&gt;"""", GOOGLETRANSLATE(G3913, ""en"", ""te""),"""")"),"")</f>
        <v/>
      </c>
      <c r="I3913" s="3"/>
    </row>
    <row r="3914" customHeight="1" spans="1:9">
      <c r="A3914" s="2" t="s">
        <v>2749</v>
      </c>
      <c r="B3914" s="2" t="str">
        <f>IFERROR(__xludf.DUMMYFUNCTION("IF(A3914&lt;&gt;"""", GOOGLETRANSLATE(A3914, ""en"", ""te""),"""")"),"[ 'ఇన్నింగ్స్ లో 4 వ అత్యధిక పరుగులు (బ్యాటింగ్ స్థానంలో ప్రకారం) (299)', 'హండ్రెడ్ మరియు ఒక మ్యాచ్లో ఒక డక్', '5000 పరుగులు మరియు 50 ఫీల్డింగ్ వికెట్లు', 'కెరీర్లో 8 వ అత్యంత తొంభైల (6)', '2nd ఒక డక్ లేకుండా అత్యధిక వరుస ఇన్నింగ్స్ (119) ']")</f>
        <v>[ 'ఇన్నింగ్స్ లో 4 వ అత్యధిక పరుగులు (బ్యాటింగ్ స్థానంలో ప్రకారం) (299)', 'హండ్రెడ్ మరియు ఒక మ్యాచ్లో ఒక డక్', '5000 పరుగులు మరియు 50 ఫీల్డింగ్ వికెట్లు', 'కెరీర్లో 8 వ అత్యంత తొంభైల (6)', '2nd ఒక డక్ లేకుండా అత్యధిక వరుస ఇన్నింగ్స్ (119) ']</v>
      </c>
      <c r="C3914" s="2" t="s">
        <v>2750</v>
      </c>
      <c r="D3914" s="2" t="str">
        <f>IFERROR(__xludf.DUMMYFUNCTION("IF(C3914&lt;&gt;"""", GOOGLETRANSLATE(C3914, ""en"", ""te""),"""")"),"[ '27 ఒక మ్యాచ్లో అత్యధిక పరుగులు (329)', '4 వ ఇన్నింగ్స్ లో అత్యధిక పరుగులు (బ్యాటింగ్ స్థానంలో ప్రకారం) (299)', 'ఇన్నింగ్స్ లో 9 వ అత్యధిక పరుగులు ద్వారా' 33 వ ఇన్నింగ్స్ (299) అత్యధిక పరుగులు ' ఒక కెప్టెన్ (299) ',' 45 వ 99 పరుగుల (199, 299 etc) (299) "&amp;"',' 34 వ లాంగెస్ట్ వ్యక్తిగత ఇన్నింగ్స్ (బంతులతో) (523) ',' 48 వ 4000 పరుగులు వేగంగా (93) ',' 43 వ వేగవంతమైన 5000 పరుగులు (117) ']")</f>
        <v>[ '27 ఒక మ్యాచ్లో అత్యధిక పరుగులు (329)', '4 వ ఇన్నింగ్స్ లో అత్యధిక పరుగులు (బ్యాటింగ్ స్థానంలో ప్రకారం) (299)', 'ఇన్నింగ్స్ లో 9 వ అత్యధిక పరుగులు ద్వారా' 33 వ ఇన్నింగ్స్ (299) అత్యధిక పరుగులు ' ఒక కెప్టెన్ (299) ',' 45 వ 99 పరుగుల (199, 299 etc) (299) ',' 34 వ లాంగెస్ట్ వ్యక్తిగత ఇన్నింగ్స్ (బంతులతో) (523) ',' 48 వ 4000 పరుగులు వేగంగా (93) ',' 43 వ వేగవంతమైన 5000 పరుగులు (117) ']</v>
      </c>
      <c r="E3914" s="2" t="s">
        <v>2751</v>
      </c>
      <c r="F3914" s="2" t="str">
        <f>IFERROR(__xludf.DUMMYFUNCTION("IF(E3914&lt;&gt;"""", GOOGLETRANSLATE(E3914, ""en"", ""te""),"""")"),"[ '12 వ అత్యంత కెప్టెన్ ద్వారా ఒక సిరీస్లో పరుగులు (456)', 'వంద (21y 156d) స్కోర్ 42 వ పిన్న ఆటగాడు' డకౌట్ లేకుండా, '2 వ వరుస ఇన్నింగ్స్ (6) కెరీర్లో 8 వ అత్యంత తొంభైల' ( వరుస కెరీర్లో 119) ',' 15 వ అతి తక్కువ బాతులు (46.66) ',' 12 వ అత్యధిక క్యాచ్లు (9)"&amp;" ',' 36 వ అత్యంత ప్లేయర్ ఆఫ్ ది మ్యాచ్ అవార్డులు (19) ',' 41 వ వరుస కెప్టెన్గా మ్యాచ్లు ఒక జట్టు (34) ',' 14 వ వరుస (3) లో అన్ని టాస్ గెలిచి ']")</f>
        <v>[ '12 వ అత్యంత కెప్టెన్ ద్వారా ఒక సిరీస్లో పరుగులు (456)', 'వంద (21y 156d) స్కోర్ 42 వ పిన్న ఆటగాడు' డకౌట్ లేకుండా, '2 వ వరుస ఇన్నింగ్స్ (6) కెరీర్లో 8 వ అత్యంత తొంభైల' ( వరుస కెరీర్లో 119) ',' 15 వ అతి తక్కువ బాతులు (46.66) ',' 12 వ అత్యధిక క్యాచ్లు (9) ',' 36 వ అత్యంత ప్లేయర్ ఆఫ్ ది మ్యాచ్ అవార్డులు (19) ',' 41 వ వరుస కెప్టెన్గా మ్యాచ్లు ఒక జట్టు (34) ',' 14 వ వరుస (3) లో అన్ని టాస్ గెలిచి ']</v>
      </c>
      <c r="G3914" s="2" t="s">
        <v>2752</v>
      </c>
      <c r="H3914" s="2" t="str">
        <f>IFERROR(__xludf.DUMMYFUNCTION("IF(G3914&lt;&gt;"""", GOOGLETRANSLATE(G3914, ""en"", ""te""),"""")"),"[40 వ అత్యంత బృందం (34) కెప్టెన్ గా వరుస మ్యాచ్లు ']")</f>
        <v>[40 వ అత్యంత బృందం (34) కెప్టెన్ గా వరుస మ్యాచ్లు ']</v>
      </c>
      <c r="I3914" s="3"/>
    </row>
    <row r="3915" customHeight="1" spans="1:9">
      <c r="A3915" s="2" t="s">
        <v>2753</v>
      </c>
      <c r="B3915" s="2" t="str">
        <f>IFERROR(__xludf.DUMMYFUNCTION("IF(A3915&lt;&gt;"""", GOOGLETRANSLATE(A3915, ""en"", ""te""),"""")"),"[ 'కెరీర్లో 4 వ అతి తక్కువ బాతులు (80)', '4 వ ఒక సిరీస్లో అత్యధిక క్యాచ్లు (11)', 'ఒక డక్ లేకుండా 5 వ అత్యధిక వరుస ఇన్నింగ్స్ (117 *)']")</f>
        <v>[ 'కెరీర్లో 4 వ అతి తక్కువ బాతులు (80)', '4 వ ఒక సిరీస్లో అత్యధిక క్యాచ్లు (11)', 'ఒక డక్ లేకుండా 5 వ అత్యధిక వరుస ఇన్నింగ్స్ (117 *)']</v>
      </c>
      <c r="C3915" s="2" t="s">
        <v>2754</v>
      </c>
      <c r="D3915" s="2" t="str">
        <f>IFERROR(__xludf.DUMMYFUNCTION("IF(C3915&lt;&gt;"""", GOOGLETRANSLATE(C3915, ""en"", ""te""),"""")"),"[ 'ఒక డక్ లేకుండా 46 వ వరుస ఇన్నింగ్స్ (54 *)', 'కెరీర్ లో 28 వ అతి తక్కువ బాతులు (28.33)', 'తొమ్మిదవ వికెట్ (118) 28 అత్యధిక భాగస్వామ్యం']")</f>
        <v>[ 'ఒక డక్ లేకుండా 46 వ వరుస ఇన్నింగ్స్ (54 *)', 'కెరీర్ లో 28 వ అతి తక్కువ బాతులు (28.33)', 'తొమ్మిదవ వికెట్ (118) 28 అత్యధిక భాగస్వామ్యం']</v>
      </c>
      <c r="E3915" s="2" t="s">
        <v>2755</v>
      </c>
      <c r="F3915" s="2" t="str">
        <f>IFERROR(__xludf.DUMMYFUNCTION("IF(E3915&lt;&gt;"""", GOOGLETRANSLATE(E3915, ""en"", ""te""),"""")"),"[ 'ఒక డక్ లేకుండా 33 వ వరుస ఇన్నింగ్స్ (69 *)', 'కెరీర్లో 4 వ అతి తక్కువ బాతులు (80)', 'ఒక సిరీస్లో 4 అత్యధిక క్యాచ్లు (11' 23 వ వంద (1874) లేకుండా ఒక వృత్తిలో పరుగులు ' ) ']")</f>
        <v>[ 'ఒక డక్ లేకుండా 33 వ వరుస ఇన్నింగ్స్ (69 *)', 'కెరీర్లో 4 వ అతి తక్కువ బాతులు (80)', 'ఒక సిరీస్లో 4 అత్యధిక క్యాచ్లు (11' 23 వ వంద (1874) లేకుండా ఒక వృత్తిలో పరుగులు ' ) ']</v>
      </c>
      <c r="G3915" s="2"/>
      <c r="H3915" s="2" t="str">
        <f>IFERROR(__xludf.DUMMYFUNCTION("IF(G3915&lt;&gt;"""", GOOGLETRANSLATE(G3915, ""en"", ""te""),"""")"),"")</f>
        <v/>
      </c>
      <c r="I3915" s="3"/>
    </row>
    <row r="3916" customHeight="1" spans="1:9">
      <c r="A3916" s="2" t="s">
        <v>2756</v>
      </c>
      <c r="B3916" s="2" t="str">
        <f>IFERROR(__xludf.DUMMYFUNCTION("IF(A3916&lt;&gt;"""", GOOGLETRANSLATE(A3916, ""en"", ""te""),"""")"),"[ 'జట్టు 4 వ వరుస మ్యాచ్లు (72)', '1 వ బౌలర్ / బ్యాట్స్ కలయికలు (9)']")</f>
        <v>[ 'జట్టు 4 వ వరుస మ్యాచ్లు (72)', '1 వ బౌలర్ / బ్యాట్స్ కలయికలు (9)']</v>
      </c>
      <c r="C3916" s="2" t="s">
        <v>2757</v>
      </c>
      <c r="D3916" s="2" t="str">
        <f>IFERROR(__xludf.DUMMYFUNCTION("IF(C3916&lt;&gt;"""", GOOGLETRANSLATE(C3916, ""en"", ""te""),"""")"),"[ '14 వ చెత్త కెరీర్ బౌలింగ్ సరాసరి (40.00)', '15 వ చెత్త కెరీర్లో సమ్మె రేటు (112.9)', '30 వ కెరీర్ లో బౌల్డ్ చాలా బంతుల్లో (2033)', '36 వ అత్యంత బంతుల్లో ఒక మ్యాచ్లో బౌల్డ్ (378)', '23 కెరీర్లో సాధించిన అత్యధిక పరుగులు (720) ',' 11 వ ఇన్నింగ్స్ లో సాధిం"&amp;"చిన అత్యధిక పరుగులు (106) ',' 13 వ అత్యంత ఒక మ్యాచ్లో సాధించిన పరుగులు (146) ']")</f>
        <v>[ '14 వ చెత్త కెరీర్ బౌలింగ్ సరాసరి (40.00)', '15 వ చెత్త కెరీర్లో సమ్మె రేటు (112.9)', '30 వ కెరీర్ లో బౌల్డ్ చాలా బంతుల్లో (2033)', '36 వ అత్యంత బంతుల్లో ఒక మ్యాచ్లో బౌల్డ్ (378)', '23 కెరీర్లో సాధించిన అత్యధిక పరుగులు (720) ',' 11 వ ఇన్నింగ్స్ లో సాధించిన అత్యధిక పరుగులు (106) ',' 13 వ అత్యంత ఒక మ్యాచ్లో సాధించిన పరుగులు (146) ']</v>
      </c>
      <c r="E3916" s="2" t="s">
        <v>2758</v>
      </c>
      <c r="F3916" s="2" t="str">
        <f>IFERROR(__xludf.DUMMYFUNCTION("IF(E3916&lt;&gt;"""", GOOGLETRANSLATE(E3916, ""en"", ""te""),"""")"),"[ '34 వ కెరీర్ లో అత్యధిక వికెట్లు (78)', '25 వ ఉత్తమ కెరీర్ ఆర్థిక రేటు (2.67)', 'ఇన్నింగ్స్ లో 16 వ ఉత్తమ ఆర్థిక రేటు (0.30)', '25 వ చెత్త కెరీర్లో సమ్మె రేటు (57.9)', '15 వ ఉత్తమ అరంగేట్రంలోనే ఇన్నింగ్స్లో గణాంకాలు (3) ',' 18 వ కెరీర్ లో బౌల్డ్ చాలా బం"&amp;"తుల్లో (4518) ',' 37 వ కెరీర్ లో సాధించిన అత్యధిక పరుగులు (2018) ',' 1 వ బౌలర్ / బ్యాట్స్ కలయికలు (9) ',' 49 వ అత్యధిక వికెట్లు తీసుకున్న ఆకర్షించింది (39) ',' 16 వ అత్యధిక వికెట్లు ఆకర్షించింది తీసుకున్న మరియు బౌల్డ్ (7) ',' 40 వ అత్యధిక వికెట్లు ఒక ఫీల్"&amp;"డర్ చేత క్యాచ్ తీసుకున్న (33) ',' 25 వ అత్యధిక వికెట్లు తీసుకున్న ఎల్బిడబ్ల్యు (15) ',' 16 వ అత్యధిక వికెట్లు తీసుకున్న స్టంప్డ్ (11) ',' 4 వ అత్యధిక వరుస జట్టు మ్యాచ్లు (72) ',' 14 వ ఓల్డెస్ట్ కాప్టెన్ (37y 136d) ',' కెప్టెన్సీ తొలి 11 వ ఓల్డెస్ట్ కాప్టె"&amp;"న్ (37y 134d) ']")</f>
        <v>[ '34 వ కెరీర్ లో అత్యధిక వికెట్లు (78)', '25 వ ఉత్తమ కెరీర్ ఆర్థిక రేటు (2.67)', 'ఇన్నింగ్స్ లో 16 వ ఉత్తమ ఆర్థిక రేటు (0.30)', '25 వ చెత్త కెరీర్లో సమ్మె రేటు (57.9)', '15 వ ఉత్తమ అరంగేట్రంలోనే ఇన్నింగ్స్లో గణాంకాలు (3) ',' 18 వ కెరీర్ లో బౌల్డ్ చాలా బంతుల్లో (4518) ',' 37 వ కెరీర్ లో సాధించిన అత్యధిక పరుగులు (2018) ',' 1 వ బౌలర్ / బ్యాట్స్ కలయికలు (9) ',' 49 వ అత్యధిక వికెట్లు తీసుకున్న ఆకర్షించింది (39) ',' 16 వ అత్యధిక వికెట్లు ఆకర్షించింది తీసుకున్న మరియు బౌల్డ్ (7) ',' 40 వ అత్యధిక వికెట్లు ఒక ఫీల్డర్ చేత క్యాచ్ తీసుకున్న (33) ',' 25 వ అత్యధిక వికెట్లు తీసుకున్న ఎల్బిడబ్ల్యు (15) ',' 16 వ అత్యధిక వికెట్లు తీసుకున్న స్టంప్డ్ (11) ',' 4 వ అత్యధిక వరుస జట్టు మ్యాచ్లు (72) ',' 14 వ ఓల్డెస్ట్ కాప్టెన్ (37y 136d) ',' కెప్టెన్సీ తొలి 11 వ ఓల్డెస్ట్ కాప్టెన్ (37y 134d) ']</v>
      </c>
      <c r="G3916" s="2"/>
      <c r="H3916" s="2" t="str">
        <f>IFERROR(__xludf.DUMMYFUNCTION("IF(G3916&lt;&gt;"""", GOOGLETRANSLATE(G3916, ""en"", ""te""),"""")"),"")</f>
        <v/>
      </c>
      <c r="I3916" s="3"/>
    </row>
    <row r="3917" customHeight="1" spans="1:9">
      <c r="A3917" s="2"/>
      <c r="B3917" s="2" t="str">
        <f>IFERROR(__xludf.DUMMYFUNCTION("IF(A3917&lt;&gt;"""", GOOGLETRANSLATE(A3917, ""en"", ""te""),"""")"),"")</f>
        <v/>
      </c>
      <c r="C3917" s="2"/>
      <c r="D3917" s="2" t="str">
        <f>IFERROR(__xludf.DUMMYFUNCTION("IF(C3917&lt;&gt;"""", GOOGLETRANSLATE(C3917, ""en"", ""te""),"""")"),"")</f>
        <v/>
      </c>
      <c r="E3917" s="2"/>
      <c r="F3917" s="2" t="str">
        <f>IFERROR(__xludf.DUMMYFUNCTION("IF(E3917&lt;&gt;"""", GOOGLETRANSLATE(E3917, ""en"", ""te""),"""")"),"")</f>
        <v/>
      </c>
      <c r="G3917" s="2"/>
      <c r="H3917" s="2" t="str">
        <f>IFERROR(__xludf.DUMMYFUNCTION("IF(G3917&lt;&gt;"""", GOOGLETRANSLATE(G3917, ""en"", ""te""),"""")"),"")</f>
        <v/>
      </c>
      <c r="I3917" s="3"/>
    </row>
    <row r="3918" customHeight="1" spans="1:9">
      <c r="A3918" s="2"/>
      <c r="B3918" s="2" t="str">
        <f>IFERROR(__xludf.DUMMYFUNCTION("IF(A3918&lt;&gt;"""", GOOGLETRANSLATE(A3918, ""en"", ""te""),"""")"),"")</f>
        <v/>
      </c>
      <c r="C3918" s="2"/>
      <c r="D3918" s="2" t="str">
        <f>IFERROR(__xludf.DUMMYFUNCTION("IF(C3918&lt;&gt;"""", GOOGLETRANSLATE(C3918, ""en"", ""te""),"""")"),"")</f>
        <v/>
      </c>
      <c r="E3918" s="2"/>
      <c r="F3918" s="2" t="str">
        <f>IFERROR(__xludf.DUMMYFUNCTION("IF(E3918&lt;&gt;"""", GOOGLETRANSLATE(E3918, ""en"", ""te""),"""")"),"")</f>
        <v/>
      </c>
      <c r="G3918" s="2"/>
      <c r="H3918" s="2" t="str">
        <f>IFERROR(__xludf.DUMMYFUNCTION("IF(G3918&lt;&gt;"""", GOOGLETRANSLATE(G3918, ""en"", ""te""),"""")"),"")</f>
        <v/>
      </c>
      <c r="I3918" s="3"/>
    </row>
    <row r="3919" customHeight="1" spans="1:9">
      <c r="A3919" s="2"/>
      <c r="B3919" s="2" t="str">
        <f>IFERROR(__xludf.DUMMYFUNCTION("IF(A3919&lt;&gt;"""", GOOGLETRANSLATE(A3919, ""en"", ""te""),"""")"),"")</f>
        <v/>
      </c>
      <c r="C3919" s="2"/>
      <c r="D3919" s="2" t="str">
        <f>IFERROR(__xludf.DUMMYFUNCTION("IF(C3919&lt;&gt;"""", GOOGLETRANSLATE(C3919, ""en"", ""te""),"""")"),"")</f>
        <v/>
      </c>
      <c r="E3919" s="2"/>
      <c r="F3919" s="2" t="str">
        <f>IFERROR(__xludf.DUMMYFUNCTION("IF(E3919&lt;&gt;"""", GOOGLETRANSLATE(E3919, ""en"", ""te""),"""")"),"")</f>
        <v/>
      </c>
      <c r="G3919" s="2"/>
      <c r="H3919" s="2" t="str">
        <f>IFERROR(__xludf.DUMMYFUNCTION("IF(G3919&lt;&gt;"""", GOOGLETRANSLATE(G3919, ""en"", ""te""),"""")"),"")</f>
        <v/>
      </c>
      <c r="I3919" s="3"/>
    </row>
    <row r="3920" customHeight="1" spans="1:9">
      <c r="A3920" s="2"/>
      <c r="B3920" s="2" t="str">
        <f>IFERROR(__xludf.DUMMYFUNCTION("IF(A3920&lt;&gt;"""", GOOGLETRANSLATE(A3920, ""en"", ""te""),"""")"),"")</f>
        <v/>
      </c>
      <c r="C3920" s="2"/>
      <c r="D3920" s="2" t="str">
        <f>IFERROR(__xludf.DUMMYFUNCTION("IF(C3920&lt;&gt;"""", GOOGLETRANSLATE(C3920, ""en"", ""te""),"""")"),"")</f>
        <v/>
      </c>
      <c r="E3920" s="2"/>
      <c r="F3920" s="2" t="str">
        <f>IFERROR(__xludf.DUMMYFUNCTION("IF(E3920&lt;&gt;"""", GOOGLETRANSLATE(E3920, ""en"", ""te""),"""")"),"")</f>
        <v/>
      </c>
      <c r="G3920" s="2"/>
      <c r="H3920" s="2" t="str">
        <f>IFERROR(__xludf.DUMMYFUNCTION("IF(G3920&lt;&gt;"""", GOOGLETRANSLATE(G3920, ""en"", ""te""),"""")"),"")</f>
        <v/>
      </c>
      <c r="I3920" s="3"/>
    </row>
    <row r="3921" customHeight="1" spans="1:9">
      <c r="A3921" s="2"/>
      <c r="B3921" s="2" t="str">
        <f>IFERROR(__xludf.DUMMYFUNCTION("IF(A3921&lt;&gt;"""", GOOGLETRANSLATE(A3921, ""en"", ""te""),"""")"),"")</f>
        <v/>
      </c>
      <c r="C3921" s="2"/>
      <c r="D3921" s="2" t="str">
        <f>IFERROR(__xludf.DUMMYFUNCTION("IF(C3921&lt;&gt;"""", GOOGLETRANSLATE(C3921, ""en"", ""te""),"""")"),"")</f>
        <v/>
      </c>
      <c r="E3921" s="2"/>
      <c r="F3921" s="2" t="str">
        <f>IFERROR(__xludf.DUMMYFUNCTION("IF(E3921&lt;&gt;"""", GOOGLETRANSLATE(E3921, ""en"", ""te""),"""")"),"")</f>
        <v/>
      </c>
      <c r="G3921" s="2"/>
      <c r="H3921" s="2" t="str">
        <f>IFERROR(__xludf.DUMMYFUNCTION("IF(G3921&lt;&gt;"""", GOOGLETRANSLATE(G3921, ""en"", ""te""),"""")"),"")</f>
        <v/>
      </c>
      <c r="I3921" s="3"/>
    </row>
    <row r="3922" customHeight="1" spans="1:9">
      <c r="A3922" s="2" t="s">
        <v>2759</v>
      </c>
      <c r="B3922" s="2" t="str">
        <f>IFERROR(__xludf.DUMMYFUNCTION("IF(A3922&lt;&gt;"""", GOOGLETRANSLATE(A3922, ""en"", ""te""),"""")"),"[ '1st ఇన్నింగ్స్ లో అత్యధిక పరుగులు (బ్యాటింగ్ స్థానంలో ప్రకారం) (161 *)', '7 వ హండ్రెడ్ గత మ్యాచ్లో (112 *)', '6 వ పిన్న ఆటగాడు వంద (20y 166d) స్కోర్', 'రెండు అజేయంగా అర్ధ ఒక మ్యాచ్ ఎనిమిదో వికెట్కు ',' 8 వ అత్యధిక భాగస్వామ్యం (81) ',' ఒకే మైదానంలో 2 వ"&amp;" అత్యధిక పరుగులు (815) ',' ఒక క్యాలెండర్ సంవత్సరంలో 5 వ అత్యధిక వందలు (2) ',' 10 వ కెరీర్ లో అత్యంత తొంభైల ( 2) ',' 1 వ అత్యధిక వికెట్లు తీసిన హిట్ వికెట్ (1) ',' ఆరవ వికెట్కు 5 వ అత్యధిక భాగస్వామ్యం (107) ']")</f>
        <v>[ '1st ఇన్నింగ్స్ లో అత్యధిక పరుగులు (బ్యాటింగ్ స్థానంలో ప్రకారం) (161 *)', '7 వ హండ్రెడ్ గత మ్యాచ్లో (112 *)', '6 వ పిన్న ఆటగాడు వంద (20y 166d) స్కోర్', 'రెండు అజేయంగా అర్ధ ఒక మ్యాచ్ ఎనిమిదో వికెట్కు ',' 8 వ అత్యధిక భాగస్వామ్యం (81) ',' ఒకే మైదానంలో 2 వ అత్యధిక పరుగులు (815) ',' ఒక క్యాలెండర్ సంవత్సరంలో 5 వ అత్యధిక వందలు (2) ',' 10 వ కెరీర్ లో అత్యంత తొంభైల ( 2) ',' 1 వ అత్యధిక వికెట్లు తీసిన హిట్ వికెట్ (1) ',' ఆరవ వికెట్కు 5 వ అత్యధిక భాగస్వామ్యం (107) ']</v>
      </c>
      <c r="C3922" s="2" t="s">
        <v>2760</v>
      </c>
      <c r="D3922" s="2" t="str">
        <f>IFERROR(__xludf.DUMMYFUNCTION("IF(C3922&lt;&gt;"""", GOOGLETRANSLATE(C3922, ""en"", ""te""),"""")"),"[ '16 వ ఇన్నింగ్స్ లో అత్యధిక పరుగులు (161 *)', 'ఒక మ్యాచ్లో 2nd అత్యధిక పరుగులు (223)', '1 వ ఇన్నింగ్స్ లో అత్యధిక పరుగులు (బ్యాటింగ్ స్థానంలో ప్రకారం) (161 *)', '7 వ హండ్రెడ్ గత మ్యాచ్లో (112 *) ',' ఒక వృత్తిలో 10 వ అత్యధిక వందలు (2) ',' 11 వ అత్యధిక తొ"&amp;"లి వంద (161 *) ',' వంద (20y 166d) (స్కోర్ 6 వ పిన్న ఆటగాడు ',' వరుస ఇన్నింగ్స్లో 3 వ యాభైల్లో 4) ',' 11 వ చెత్త కెరీర్ సగటు 87.50 (అర్హత లేకుండా) () 12 వ అత్యధిక భాగస్వామ్యం ఐదవ వికెట్కు బౌలింగ్ ',' (94 *) ',' ఆరవ వికెట్ (78 *) 19 వ అత్యధిక భాగస్వామ్యం '"&amp;",' 8 వ అత్యధిక ఎనిమిదవ వికెట్ కొరకు చేసిన భాగస్వామ్యం (81) ',' పదవ వికెట్ను (42 *) కోసం 12 వ అత్యధిక భాగస్వామ్యం ',' 17 వ పిన్న క్రీడాకారులు (17y 150d) ']")</f>
        <v>[ '16 వ ఇన్నింగ్స్ లో అత్యధిక పరుగులు (161 *)', 'ఒక మ్యాచ్లో 2nd అత్యధిక పరుగులు (223)', '1 వ ఇన్నింగ్స్ లో అత్యధిక పరుగులు (బ్యాటింగ్ స్థానంలో ప్రకారం) (161 *)', '7 వ హండ్రెడ్ గత మ్యాచ్లో (112 *) ',' ఒక వృత్తిలో 10 వ అత్యధిక వందలు (2) ',' 11 వ అత్యధిక తొలి వంద (161 *) ',' వంద (20y 166d) (స్కోర్ 6 వ పిన్న ఆటగాడు ',' వరుస ఇన్నింగ్స్లో 3 వ యాభైల్లో 4) ',' 11 వ చెత్త కెరీర్ సగటు 87.50 (అర్హత లేకుండా) () 12 వ అత్యధిక భాగస్వామ్యం ఐదవ వికెట్కు బౌలింగ్ ',' (94 *) ',' ఆరవ వికెట్ (78 *) 19 వ అత్యధిక భాగస్వామ్యం ',' 8 వ అత్యధిక ఎనిమిదవ వికెట్ కొరకు చేసిన భాగస్వామ్యం (81) ',' పదవ వికెట్ను (42 *) కోసం 12 వ అత్యధిక భాగస్వామ్యం ',' 17 వ పిన్న క్రీడాకారులు (17y 150d) ']</v>
      </c>
      <c r="E3922" s="2" t="s">
        <v>2761</v>
      </c>
      <c r="F3922" s="2" t="str">
        <f>IFERROR(__xludf.DUMMYFUNCTION("IF(E3922&lt;&gt;"""", GOOGLETRANSLATE(E3922, ""en"", ""te""),"""")"),"[ '19 కెరీర్లో అత్యధిక పరుగులు (2844)', '10th ఒక క్యాలెండర్ సంవత్సరంలో అత్యధిక పరుగులు (722)', '29th పరాజయం వైపు (94 *) ఒక మ్యాచ్లో అత్యధిక పరుగులు', 'ఒకే మైదానంలో 2 వ అత్యధిక పరుగులు (815) ',' 25 వ కెప్టెన్ ద్వారా ఒక సిరీస్లో అత్యధిక పరుగులు (339) ',' "&amp;"ఒక కెప్టెన్తో ఇన్నింగ్స్ లో 18 వ అత్యధిక పరుగులు (116) ',' 37 వ అత్యధిక కెరీర్ బ్యాటింగ్ సగటు (35.11) ',' 25 వ అత్యధిక వందలు ఒక వృత్తిలో (2) ',' ఒక క్యాలెండర్ సంవత్సరంలో 5 వ అత్యధిక వందలు (2) ',' 30 వ అత్యధిక తొలి వంద (116) ',' 10 వ కెరీర్ లో అత్యంత తొంభె"&amp;"ౖల (2) ',' 18 వ కెరీర్ అర్ధ (21 ) ',' వరుస ఇన్నింగ్స్లో 28 యాభైల్లో (3) ',' ఒక డక్ లేకుండా 35 వ వరుస ఇన్నింగ్స్ (34) ',' ఒక ఇన్నింగ్స్లో పరుగుల 49 వ అత్యధిక శాతం (51.08) ',' 1 వ అత్యధిక వికెట్లు తీసిన హిట్ వికెట్ ( 1) ',' 46 వ మూడో వికెట్కు అత్యధిక భాగస్"&amp;"వామ్యం (122) ',' ఐదవ వికెట్కు 24 అత్యధిక భాగస్వామ్యం (97) ',' ఆరవ వికెట్కు 5 వ అత్యధిక భాగస్వామ్యం (107) ',' 26th అత్యధిక ఏడవ కోసం భాగస్వామ్యంతో వికెట్ (64 *) పదవ వికెట్కు ',' 20 వ అత్యధిక భాగస్వామ్యం (33) ',' 44th మోస్ t కెరీర్లో పోటీలు (101) ',' 34 వ లా"&amp;"ంగెస్ట్ కెరీర్లు (14y 53d) ',' 18 వ అత్యధిక మ్యాచ్లు కెప్టెన్గా (41) ',' ఒక జట్టు కెప్టెన్గా 16 వ వరుస మ్యాచ్లు (29) ',' 50th పిన్న కాప్టెన్ ( 25y 144d) ']")</f>
        <v>[ '19 కెరీర్లో అత్యధిక పరుగులు (2844)', '10th ఒక క్యాలెండర్ సంవత్సరంలో అత్యధిక పరుగులు (722)', '29th పరాజయం వైపు (94 *) ఒక మ్యాచ్లో అత్యధిక పరుగులు', 'ఒకే మైదానంలో 2 వ అత్యధిక పరుగులు (815) ',' 25 వ కెప్టెన్ ద్వారా ఒక సిరీస్లో అత్యధిక పరుగులు (339) ',' ఒక కెప్టెన్తో ఇన్నింగ్స్ లో 18 వ అత్యధిక పరుగులు (116) ',' 37 వ అత్యధిక కెరీర్ బ్యాటింగ్ సగటు (35.11) ',' 25 వ అత్యధిక వందలు ఒక వృత్తిలో (2) ',' ఒక క్యాలెండర్ సంవత్సరంలో 5 వ అత్యధిక వందలు (2) ',' 30 వ అత్యధిక తొలి వంద (116) ',' 10 వ కెరీర్ లో అత్యంత తొంభైల (2) ',' 18 వ కెరీర్ అర్ధ (21 ) ',' వరుస ఇన్నింగ్స్లో 28 యాభైల్లో (3) ',' ఒక డక్ లేకుండా 35 వ వరుస ఇన్నింగ్స్ (34) ',' ఒక ఇన్నింగ్స్లో పరుగుల 49 వ అత్యధిక శాతం (51.08) ',' 1 వ అత్యధిక వికెట్లు తీసిన హిట్ వికెట్ ( 1) ',' 46 వ మూడో వికెట్కు అత్యధిక భాగస్వామ్యం (122) ',' ఐదవ వికెట్కు 24 అత్యధిక భాగస్వామ్యం (97) ',' ఆరవ వికెట్కు 5 వ అత్యధిక భాగస్వామ్యం (107) ',' 26th అత్యధిక ఏడవ కోసం భాగస్వామ్యంతో వికెట్ (64 *) పదవ వికెట్కు ',' 20 వ అత్యధిక భాగస్వామ్యం (33) ',' 44th మోస్ t కెరీర్లో పోటీలు (101) ',' 34 వ లాంగెస్ట్ కెరీర్లు (14y 53d) ',' 18 వ అత్యధిక మ్యాచ్లు కెప్టెన్గా (41) ',' ఒక జట్టు కెప్టెన్గా 16 వ వరుస మ్యాచ్లు (29) ',' 50th పిన్న కాప్టెన్ ( 25y 144d) ']</v>
      </c>
      <c r="G3922" s="2"/>
      <c r="H3922" s="2" t="str">
        <f>IFERROR(__xludf.DUMMYFUNCTION("IF(G3922&lt;&gt;"""", GOOGLETRANSLATE(G3922, ""en"", ""te""),"""")"),"")</f>
        <v/>
      </c>
      <c r="I3922" s="3"/>
    </row>
    <row r="3923" customHeight="1" spans="1:9">
      <c r="A3923" s="2" t="s">
        <v>9</v>
      </c>
      <c r="B3923" s="2" t="str">
        <f>IFERROR(__xludf.DUMMYFUNCTION("IF(A3923&lt;&gt;"""", GOOGLETRANSLATE(A3923, ""en"", ""te""),"""")"),"[ 'హండ్రెడ్ మరియు ఒక మ్యాచ్లో ఒక డక్']")</f>
        <v>[ 'హండ్రెడ్ మరియు ఒక మ్యాచ్లో ఒక డక్']</v>
      </c>
      <c r="C3923" s="2" t="s">
        <v>2762</v>
      </c>
      <c r="D3923" s="2" t="str">
        <f>IFERROR(__xludf.DUMMYFUNCTION("IF(C3923&lt;&gt;"""", GOOGLETRANSLATE(C3923, ""en"", ""te""),"""")"),"[ '27 వ ఒక కెప్టెన్తో ఇన్నింగ్స్ లో పరుగులు (239)', '37 వ లాంగెస్ట్ వ్యక్తిగత ఇన్నింగ్స్ (బంతులతో) (519)', '24th ఒక మ్యాచ్ రిఫరీ (9) వంటి అత్యధిక మ్యాచ్లు']")</f>
        <v>[ '27 వ ఒక కెప్టెన్తో ఇన్నింగ్స్ లో పరుగులు (239)', '37 వ లాంగెస్ట్ వ్యక్తిగత ఇన్నింగ్స్ (బంతులతో) (519)', '24th ఒక మ్యాచ్ రిఫరీ (9) వంటి అత్యధిక మ్యాచ్లు']</v>
      </c>
      <c r="E3923" s="2" t="s">
        <v>2763</v>
      </c>
      <c r="F3923" s="2" t="str">
        <f>IFERROR(__xludf.DUMMYFUNCTION("IF(E3923&lt;&gt;"""", GOOGLETRANSLATE(E3923, ""en"", ""te""),"""")"),"[ '32 వ ఒక మ్యాచ్ రిఫరీ గా అత్యధిక మ్యాచ్లు (16)']")</f>
        <v>[ '32 వ ఒక మ్యాచ్ రిఫరీ గా అత్యధిక మ్యాచ్లు (16)']</v>
      </c>
      <c r="G3923" s="2"/>
      <c r="H3923" s="2" t="str">
        <f>IFERROR(__xludf.DUMMYFUNCTION("IF(G3923&lt;&gt;"""", GOOGLETRANSLATE(G3923, ""en"", ""te""),"""")"),"")</f>
        <v/>
      </c>
      <c r="I3923" s="3"/>
    </row>
    <row r="3924" customHeight="1" spans="1:9">
      <c r="A3924" s="2"/>
      <c r="B3924" s="2" t="str">
        <f>IFERROR(__xludf.DUMMYFUNCTION("IF(A3924&lt;&gt;"""", GOOGLETRANSLATE(A3924, ""en"", ""te""),"""")"),"")</f>
        <v/>
      </c>
      <c r="C3924" s="2"/>
      <c r="D3924" s="2" t="str">
        <f>IFERROR(__xludf.DUMMYFUNCTION("IF(C3924&lt;&gt;"""", GOOGLETRANSLATE(C3924, ""en"", ""te""),"""")"),"")</f>
        <v/>
      </c>
      <c r="E3924" s="2"/>
      <c r="F3924" s="2" t="str">
        <f>IFERROR(__xludf.DUMMYFUNCTION("IF(E3924&lt;&gt;"""", GOOGLETRANSLATE(E3924, ""en"", ""te""),"""")"),"")</f>
        <v/>
      </c>
      <c r="G3924" s="2"/>
      <c r="H3924" s="2" t="str">
        <f>IFERROR(__xludf.DUMMYFUNCTION("IF(G3924&lt;&gt;"""", GOOGLETRANSLATE(G3924, ""en"", ""te""),"""")"),"")</f>
        <v/>
      </c>
      <c r="I3924" s="3"/>
    </row>
    <row r="3925" customHeight="1" spans="1:9">
      <c r="A3925" s="2"/>
      <c r="B3925" s="2" t="str">
        <f>IFERROR(__xludf.DUMMYFUNCTION("IF(A3925&lt;&gt;"""", GOOGLETRANSLATE(A3925, ""en"", ""te""),"""")"),"")</f>
        <v/>
      </c>
      <c r="C3925" s="2"/>
      <c r="D3925" s="2" t="str">
        <f>IFERROR(__xludf.DUMMYFUNCTION("IF(C3925&lt;&gt;"""", GOOGLETRANSLATE(C3925, ""en"", ""te""),"""")"),"")</f>
        <v/>
      </c>
      <c r="E3925" s="2"/>
      <c r="F3925" s="2" t="str">
        <f>IFERROR(__xludf.DUMMYFUNCTION("IF(E3925&lt;&gt;"""", GOOGLETRANSLATE(E3925, ""en"", ""te""),"""")"),"")</f>
        <v/>
      </c>
      <c r="G3925" s="2" t="s">
        <v>2764</v>
      </c>
      <c r="H3925" s="2" t="str">
        <f>IFERROR(__xludf.DUMMYFUNCTION("IF(G3925&lt;&gt;"""", GOOGLETRANSLATE(G3925, ""en"", ""te""),"""")"),"[ '28 తొలి మ్యాచ్లో అత్యధిక పరుగులు (59)']")</f>
        <v>[ '28 తొలి మ్యాచ్లో అత్యధిక పరుగులు (59)']</v>
      </c>
      <c r="I3925" s="3"/>
    </row>
    <row r="3926" customHeight="1" spans="1:9">
      <c r="A3926" s="2"/>
      <c r="B3926" s="2" t="str">
        <f>IFERROR(__xludf.DUMMYFUNCTION("IF(A3926&lt;&gt;"""", GOOGLETRANSLATE(A3926, ""en"", ""te""),"""")"),"")</f>
        <v/>
      </c>
      <c r="C3926" s="2"/>
      <c r="D3926" s="2" t="str">
        <f>IFERROR(__xludf.DUMMYFUNCTION("IF(C3926&lt;&gt;"""", GOOGLETRANSLATE(C3926, ""en"", ""te""),"""")"),"")</f>
        <v/>
      </c>
      <c r="E3926" s="2" t="s">
        <v>2645</v>
      </c>
      <c r="F3926" s="2" t="str">
        <f>IFERROR(__xludf.DUMMYFUNCTION("IF(E3926&lt;&gt;"""", GOOGLETRANSLATE(E3926, ""en"", ""te""),"""")"),"[ '47 వ చెత్త ఇన్నింగ్స్ లో ఆర్థిక రేటు (10.80)']")</f>
        <v>[ '47 వ చెత్త ఇన్నింగ్స్ లో ఆర్థిక రేటు (10.80)']</v>
      </c>
      <c r="G3926" s="2"/>
      <c r="H3926" s="2" t="str">
        <f>IFERROR(__xludf.DUMMYFUNCTION("IF(G3926&lt;&gt;"""", GOOGLETRANSLATE(G3926, ""en"", ""te""),"""")"),"")</f>
        <v/>
      </c>
      <c r="I3926" s="3"/>
    </row>
    <row r="3927" customHeight="1" spans="1:9">
      <c r="A3927" s="2"/>
      <c r="B3927" s="2" t="str">
        <f>IFERROR(__xludf.DUMMYFUNCTION("IF(A3927&lt;&gt;"""", GOOGLETRANSLATE(A3927, ""en"", ""te""),"""")"),"")</f>
        <v/>
      </c>
      <c r="C3927" s="2"/>
      <c r="D3927" s="2" t="str">
        <f>IFERROR(__xludf.DUMMYFUNCTION("IF(C3927&lt;&gt;"""", GOOGLETRANSLATE(C3927, ""en"", ""te""),"""")"),"")</f>
        <v/>
      </c>
      <c r="E3927" s="2"/>
      <c r="F3927" s="2" t="str">
        <f>IFERROR(__xludf.DUMMYFUNCTION("IF(E3927&lt;&gt;"""", GOOGLETRANSLATE(E3927, ""en"", ""te""),"""")"),"")</f>
        <v/>
      </c>
      <c r="G3927" s="2"/>
      <c r="H3927" s="2" t="str">
        <f>IFERROR(__xludf.DUMMYFUNCTION("IF(G3927&lt;&gt;"""", GOOGLETRANSLATE(G3927, ""en"", ""te""),"""")"),"")</f>
        <v/>
      </c>
      <c r="I3927" s="3"/>
    </row>
    <row r="3928" customHeight="1" spans="1:9">
      <c r="A3928" s="2"/>
      <c r="B3928" s="2" t="str">
        <f>IFERROR(__xludf.DUMMYFUNCTION("IF(A3928&lt;&gt;"""", GOOGLETRANSLATE(A3928, ""en"", ""te""),"""")"),"")</f>
        <v/>
      </c>
      <c r="C3928" s="2"/>
      <c r="D3928" s="2" t="str">
        <f>IFERROR(__xludf.DUMMYFUNCTION("IF(C3928&lt;&gt;"""", GOOGLETRANSLATE(C3928, ""en"", ""te""),"""")"),"")</f>
        <v/>
      </c>
      <c r="E3928" s="2"/>
      <c r="F3928" s="2" t="str">
        <f>IFERROR(__xludf.DUMMYFUNCTION("IF(E3928&lt;&gt;"""", GOOGLETRANSLATE(E3928, ""en"", ""te""),"""")"),"")</f>
        <v/>
      </c>
      <c r="G3928" s="2"/>
      <c r="H3928" s="2" t="str">
        <f>IFERROR(__xludf.DUMMYFUNCTION("IF(G3928&lt;&gt;"""", GOOGLETRANSLATE(G3928, ""en"", ""te""),"""")"),"")</f>
        <v/>
      </c>
      <c r="I3928" s="3"/>
    </row>
    <row r="3929" customHeight="1" spans="1:9">
      <c r="A3929" s="2" t="s">
        <v>2765</v>
      </c>
      <c r="B3929" s="2" t="str">
        <f>IFERROR(__xludf.DUMMYFUNCTION("IF(A3929&lt;&gt;"""", GOOGLETRANSLATE(A3929, ""en"", ""te""),"""")"),"[ 'పరాజయం వైపు (118) ఒక మ్యాచ్లో 6 వ అత్యధిక పరుగులు']")</f>
        <v>[ 'పరాజయం వైపు (118) ఒక మ్యాచ్లో 6 వ అత్యధిక పరుగులు']</v>
      </c>
      <c r="C3929" s="2" t="s">
        <v>2766</v>
      </c>
      <c r="D3929" s="2" t="str">
        <f>IFERROR(__xludf.DUMMYFUNCTION("IF(C3929&lt;&gt;"""", GOOGLETRANSLATE(C3929, ""en"", ""te""),"""")"),"[ '16 వ కెరీర్ లో అత్యధిక పరుగులు (779)', '6 వ పరాజయం వైపు ఒక మ్యాచ్లో అత్యధిక పరుగులు (118)', '17 వ అత్యధిక కెరీర్ బ్యాటింగ్ సగటు (43.27)', '19 వ తొలి మ్యాచ్లో అత్యధిక పరుగులు (107)' '14 వ కెరీర్ అర్ధ (6)', '11 వ అతి తక్కువ బాతులు కెరీర్ లో (22)', 'తొలి"&amp;" వికెట్కు (104) కోసం 26 అత్యధిక భాగస్వామ్యం']")</f>
        <v>[ '16 వ కెరీర్ లో అత్యధిక పరుగులు (779)', '6 వ పరాజయం వైపు ఒక మ్యాచ్లో అత్యధిక పరుగులు (118)', '17 వ అత్యధిక కెరీర్ బ్యాటింగ్ సగటు (43.27)', '19 వ తొలి మ్యాచ్లో అత్యధిక పరుగులు (107)' '14 వ కెరీర్ అర్ధ (6)', '11 వ అతి తక్కువ బాతులు కెరీర్ లో (22)', 'తొలి వికెట్కు (104) కోసం 26 అత్యధిక భాగస్వామ్యం']</v>
      </c>
      <c r="E3929" s="2"/>
      <c r="F3929" s="2" t="str">
        <f>IFERROR(__xludf.DUMMYFUNCTION("IF(E3929&lt;&gt;"""", GOOGLETRANSLATE(E3929, ""en"", ""te""),"""")"),"")</f>
        <v/>
      </c>
      <c r="G3929" s="2"/>
      <c r="H3929" s="2" t="str">
        <f>IFERROR(__xludf.DUMMYFUNCTION("IF(G3929&lt;&gt;"""", GOOGLETRANSLATE(G3929, ""en"", ""te""),"""")"),"")</f>
        <v/>
      </c>
      <c r="I3929" s="3"/>
    </row>
    <row r="3930" customHeight="1" spans="1:9">
      <c r="A3930" s="2"/>
      <c r="B3930" s="2" t="str">
        <f>IFERROR(__xludf.DUMMYFUNCTION("IF(A3930&lt;&gt;"""", GOOGLETRANSLATE(A3930, ""en"", ""te""),"""")"),"")</f>
        <v/>
      </c>
      <c r="C3930" s="2"/>
      <c r="D3930" s="2" t="str">
        <f>IFERROR(__xludf.DUMMYFUNCTION("IF(C3930&lt;&gt;"""", GOOGLETRANSLATE(C3930, ""en"", ""te""),"""")"),"")</f>
        <v/>
      </c>
      <c r="E3930" s="2"/>
      <c r="F3930" s="2" t="str">
        <f>IFERROR(__xludf.DUMMYFUNCTION("IF(E3930&lt;&gt;"""", GOOGLETRANSLATE(E3930, ""en"", ""te""),"""")"),"")</f>
        <v/>
      </c>
      <c r="G3930" s="2"/>
      <c r="H3930" s="2" t="str">
        <f>IFERROR(__xludf.DUMMYFUNCTION("IF(G3930&lt;&gt;"""", GOOGLETRANSLATE(G3930, ""en"", ""te""),"""")"),"")</f>
        <v/>
      </c>
      <c r="I3930" s="3"/>
    </row>
    <row r="3931" customHeight="1" spans="1:9">
      <c r="A3931" s="2" t="s">
        <v>2767</v>
      </c>
      <c r="B3931" s="2" t="str">
        <f>IFERROR(__xludf.DUMMYFUNCTION("IF(A3931&lt;&gt;"""", GOOGLETRANSLATE(A3931, ""en"", ""te""),"""")"),"[ '3 వ భాగం (బ్యాటింగ్ స్థానంలో ద్వారా) ఒక ఇన్నింగ్స్ లో నడుస్తుంది (48)', '10 వ చెత్త కెరీర్లో ఆర్థిక రేటు (4.67)', '4 వ ఇన్నింగ్స్ లో అత్యధిక క్యాచ్లు (3)']")</f>
        <v>[ '3 వ భాగం (బ్యాటింగ్ స్థానంలో ద్వారా) ఒక ఇన్నింగ్స్ లో నడుస్తుంది (48)', '10 వ చెత్త కెరీర్లో ఆర్థిక రేటు (4.67)', '4 వ ఇన్నింగ్స్ లో అత్యధిక క్యాచ్లు (3)']</v>
      </c>
      <c r="C3931" s="2"/>
      <c r="D3931" s="2" t="str">
        <f>IFERROR(__xludf.DUMMYFUNCTION("IF(C3931&lt;&gt;"""", GOOGLETRANSLATE(C3931, ""en"", ""te""),"""")"),"")</f>
        <v/>
      </c>
      <c r="E3931" s="2" t="s">
        <v>2768</v>
      </c>
      <c r="F3931" s="2" t="str">
        <f>IFERROR(__xludf.DUMMYFUNCTION("IF(E3931&lt;&gt;"""", GOOGLETRANSLATE(E3931, ""en"", ""te""),"""")"),"[ '3 వ అత్యంత ఇన్నింగ్స్ లో నడుస్తుంది (బ్యాటింగ్ స్థానం) (48)', '23 వ ఇన్నింగ్స్ తొలి డక్ ముందు (18)', '42 వ చెత్త కెరీర్ బౌలింగ్ సరాసరి (31.34)', '10 వ చెత్త కెరీర్లో ఆర్థిక రేటు (4.67) ',' ఇన్నింగ్స్ లో 4 వ అత్యధిక క్యాచ్లు (3) ']")</f>
        <v>[ '3 వ అత్యంత ఇన్నింగ్స్ లో నడుస్తుంది (బ్యాటింగ్ స్థానం) (48)', '23 వ ఇన్నింగ్స్ తొలి డక్ ముందు (18)', '42 వ చెత్త కెరీర్ బౌలింగ్ సరాసరి (31.34)', '10 వ చెత్త కెరీర్లో ఆర్థిక రేటు (4.67) ',' ఇన్నింగ్స్ లో 4 వ అత్యధిక క్యాచ్లు (3) ']</v>
      </c>
      <c r="G3931" s="2" t="s">
        <v>2769</v>
      </c>
      <c r="H3931" s="2" t="str">
        <f>IFERROR(__xludf.DUMMYFUNCTION("IF(G3931&lt;&gt;"""", GOOGLETRANSLATE(G3931, ""en"", ""te""),"""")"),"[ '50 వ ఉత్తమ కెరీర్ సమ్మె రేటు (21.4)', '33 వ చెత్త కెరీర్లో ఆర్థిక రేటు (6.02)', '43 వ అత్యధిక వికెట్లు తీసుకున్న స్టంప్ (5)', 'తొలి వికెట్కు (101) కోసం 41 వ అత్యధిక భాగస్వామ్యం']")</f>
        <v>[ '50 వ ఉత్తమ కెరీర్ సమ్మె రేటు (21.4)', '33 వ చెత్త కెరీర్లో ఆర్థిక రేటు (6.02)', '43 వ అత్యధిక వికెట్లు తీసుకున్న స్టంప్ (5)', 'తొలి వికెట్కు (101) కోసం 41 వ అత్యధిక భాగస్వామ్యం']</v>
      </c>
      <c r="I3931" s="3"/>
    </row>
    <row r="3932" customHeight="1" spans="1:9">
      <c r="A3932" s="2"/>
      <c r="B3932" s="2" t="str">
        <f>IFERROR(__xludf.DUMMYFUNCTION("IF(A3932&lt;&gt;"""", GOOGLETRANSLATE(A3932, ""en"", ""te""),"""")"),"")</f>
        <v/>
      </c>
      <c r="C3932" s="2"/>
      <c r="D3932" s="2" t="str">
        <f>IFERROR(__xludf.DUMMYFUNCTION("IF(C3932&lt;&gt;"""", GOOGLETRANSLATE(C3932, ""en"", ""te""),"""")"),"")</f>
        <v/>
      </c>
      <c r="E3932" s="2"/>
      <c r="F3932" s="2" t="str">
        <f>IFERROR(__xludf.DUMMYFUNCTION("IF(E3932&lt;&gt;"""", GOOGLETRANSLATE(E3932, ""en"", ""te""),"""")"),"")</f>
        <v/>
      </c>
      <c r="G3932" s="2"/>
      <c r="H3932" s="2" t="str">
        <f>IFERROR(__xludf.DUMMYFUNCTION("IF(G3932&lt;&gt;"""", GOOGLETRANSLATE(G3932, ""en"", ""te""),"""")"),"")</f>
        <v/>
      </c>
      <c r="I3932" s="3"/>
    </row>
    <row r="3933" customHeight="1" spans="1:9">
      <c r="A3933" s="2"/>
      <c r="B3933" s="2" t="str">
        <f>IFERROR(__xludf.DUMMYFUNCTION("IF(A3933&lt;&gt;"""", GOOGLETRANSLATE(A3933, ""en"", ""te""),"""")"),"")</f>
        <v/>
      </c>
      <c r="C3933" s="2"/>
      <c r="D3933" s="2" t="str">
        <f>IFERROR(__xludf.DUMMYFUNCTION("IF(C3933&lt;&gt;"""", GOOGLETRANSLATE(C3933, ""en"", ""te""),"""")"),"")</f>
        <v/>
      </c>
      <c r="E3933" s="2"/>
      <c r="F3933" s="2" t="str">
        <f>IFERROR(__xludf.DUMMYFUNCTION("IF(E3933&lt;&gt;"""", GOOGLETRANSLATE(E3933, ""en"", ""te""),"""")"),"")</f>
        <v/>
      </c>
      <c r="G3933" s="2"/>
      <c r="H3933" s="2" t="str">
        <f>IFERROR(__xludf.DUMMYFUNCTION("IF(G3933&lt;&gt;"""", GOOGLETRANSLATE(G3933, ""en"", ""te""),"""")"),"")</f>
        <v/>
      </c>
      <c r="I3933" s="3"/>
    </row>
    <row r="3934" customHeight="1" spans="1:9">
      <c r="A3934" s="2" t="s">
        <v>1574</v>
      </c>
      <c r="B3934" s="2" t="str">
        <f>IFERROR(__xludf.DUMMYFUNCTION("IF(A3934&lt;&gt;"""", GOOGLETRANSLATE(A3934, ""en"", ""te""),"""")"),"[ 'తొలి ఇన్నింగ్స్లో 4 వ ఉత్తమ బొమ్మలు (4)']")</f>
        <v>[ 'తొలి ఇన్నింగ్స్లో 4 వ ఉత్తమ బొమ్మలు (4)']</v>
      </c>
      <c r="C3934" s="2"/>
      <c r="D3934" s="2" t="str">
        <f>IFERROR(__xludf.DUMMYFUNCTION("IF(C3934&lt;&gt;"""", GOOGLETRANSLATE(C3934, ""en"", ""te""),"""")"),"")</f>
        <v/>
      </c>
      <c r="E3934" s="2"/>
      <c r="F3934" s="2" t="str">
        <f>IFERROR(__xludf.DUMMYFUNCTION("IF(E3934&lt;&gt;"""", GOOGLETRANSLATE(E3934, ""en"", ""te""),"""")"),"")</f>
        <v/>
      </c>
      <c r="G3934" s="2" t="s">
        <v>2770</v>
      </c>
      <c r="H3934" s="2" t="str">
        <f>IFERROR(__xludf.DUMMYFUNCTION("IF(G3934&lt;&gt;"""", GOOGLETRANSLATE(G3934, ""en"", ""te""),"""")"),"[ 'ప్రవేశం (4) ఒక ఇన్నింగ్స్ లో 4 వ బెస్ట్ ఫిగర్స్' '39 వ ఉత్తమ కెరీర్ (8.25) (అర్హత లేకుండా) సగటు బౌలింగ్',]")</f>
        <v>[ 'ప్రవేశం (4) ఒక ఇన్నింగ్స్ లో 4 వ బెస్ట్ ఫిగర్స్' '39 వ ఉత్తమ కెరీర్ (8.25) (అర్హత లేకుండా) సగటు బౌలింగ్',]</v>
      </c>
      <c r="I3934" s="3"/>
    </row>
    <row r="3935" customHeight="1" spans="1:9">
      <c r="A3935" s="2"/>
      <c r="B3935" s="2" t="str">
        <f>IFERROR(__xludf.DUMMYFUNCTION("IF(A3935&lt;&gt;"""", GOOGLETRANSLATE(A3935, ""en"", ""te""),"""")"),"")</f>
        <v/>
      </c>
      <c r="C3935" s="2"/>
      <c r="D3935" s="2" t="str">
        <f>IFERROR(__xludf.DUMMYFUNCTION("IF(C3935&lt;&gt;"""", GOOGLETRANSLATE(C3935, ""en"", ""te""),"""")"),"")</f>
        <v/>
      </c>
      <c r="E3935" s="2"/>
      <c r="F3935" s="2" t="str">
        <f>IFERROR(__xludf.DUMMYFUNCTION("IF(E3935&lt;&gt;"""", GOOGLETRANSLATE(E3935, ""en"", ""te""),"""")"),"")</f>
        <v/>
      </c>
      <c r="G3935" s="2"/>
      <c r="H3935" s="2" t="str">
        <f>IFERROR(__xludf.DUMMYFUNCTION("IF(G3935&lt;&gt;"""", GOOGLETRANSLATE(G3935, ""en"", ""te""),"""")"),"")</f>
        <v/>
      </c>
      <c r="I3935" s="3"/>
    </row>
    <row r="3936" customHeight="1" spans="1:9">
      <c r="A3936" s="2"/>
      <c r="B3936" s="2" t="str">
        <f>IFERROR(__xludf.DUMMYFUNCTION("IF(A3936&lt;&gt;"""", GOOGLETRANSLATE(A3936, ""en"", ""te""),"""")"),"")</f>
        <v/>
      </c>
      <c r="C3936" s="2"/>
      <c r="D3936" s="2" t="str">
        <f>IFERROR(__xludf.DUMMYFUNCTION("IF(C3936&lt;&gt;"""", GOOGLETRANSLATE(C3936, ""en"", ""te""),"""")"),"")</f>
        <v/>
      </c>
      <c r="E3936" s="2"/>
      <c r="F3936" s="2" t="str">
        <f>IFERROR(__xludf.DUMMYFUNCTION("IF(E3936&lt;&gt;"""", GOOGLETRANSLATE(E3936, ""en"", ""te""),"""")"),"")</f>
        <v/>
      </c>
      <c r="G3936" s="2"/>
      <c r="H3936" s="2" t="str">
        <f>IFERROR(__xludf.DUMMYFUNCTION("IF(G3936&lt;&gt;"""", GOOGLETRANSLATE(G3936, ""en"", ""te""),"""")"),"")</f>
        <v/>
      </c>
      <c r="I3936" s="3"/>
    </row>
    <row r="3937" customHeight="1" spans="1:9">
      <c r="A3937" s="2" t="s">
        <v>2771</v>
      </c>
      <c r="B3937" s="2" t="str">
        <f>IFERROR(__xludf.DUMMYFUNCTION("IF(A3937&lt;&gt;"""", GOOGLETRANSLATE(A3937, ""en"", ""te""),"""")"),"[ 'కెరీర్లో 10 వ లేవు బాతులు (20)']")</f>
        <v>[ 'కెరీర్లో 10 వ లేవు బాతులు (20)']</v>
      </c>
      <c r="C3937" s="2"/>
      <c r="D3937" s="2" t="str">
        <f>IFERROR(__xludf.DUMMYFUNCTION("IF(C3937&lt;&gt;"""", GOOGLETRANSLATE(C3937, ""en"", ""te""),"""")"),"")</f>
        <v/>
      </c>
      <c r="E3937" s="2" t="s">
        <v>2771</v>
      </c>
      <c r="F3937" s="2" t="str">
        <f>IFERROR(__xludf.DUMMYFUNCTION("IF(E3937&lt;&gt;"""", GOOGLETRANSLATE(E3937, ""en"", ""te""),"""")"),"[ 'కెరీర్లో 10 వ లేవు బాతులు (20)']")</f>
        <v>[ 'కెరీర్లో 10 వ లేవు బాతులు (20)']</v>
      </c>
      <c r="G3937" s="2"/>
      <c r="H3937" s="2" t="str">
        <f>IFERROR(__xludf.DUMMYFUNCTION("IF(G3937&lt;&gt;"""", GOOGLETRANSLATE(G3937, ""en"", ""te""),"""")"),"")</f>
        <v/>
      </c>
      <c r="I3937" s="3"/>
    </row>
    <row r="3938" customHeight="1" spans="1:9">
      <c r="A3938" s="2"/>
      <c r="B3938" s="2" t="str">
        <f>IFERROR(__xludf.DUMMYFUNCTION("IF(A3938&lt;&gt;"""", GOOGLETRANSLATE(A3938, ""en"", ""te""),"""")"),"")</f>
        <v/>
      </c>
      <c r="C3938" s="2"/>
      <c r="D3938" s="2" t="str">
        <f>IFERROR(__xludf.DUMMYFUNCTION("IF(C3938&lt;&gt;"""", GOOGLETRANSLATE(C3938, ""en"", ""te""),"""")"),"")</f>
        <v/>
      </c>
      <c r="E3938" s="2"/>
      <c r="F3938" s="2" t="str">
        <f>IFERROR(__xludf.DUMMYFUNCTION("IF(E3938&lt;&gt;"""", GOOGLETRANSLATE(E3938, ""en"", ""te""),"""")"),"")</f>
        <v/>
      </c>
      <c r="G3938" s="2"/>
      <c r="H3938" s="2" t="str">
        <f>IFERROR(__xludf.DUMMYFUNCTION("IF(G3938&lt;&gt;"""", GOOGLETRANSLATE(G3938, ""en"", ""te""),"""")"),"")</f>
        <v/>
      </c>
      <c r="I3938" s="3"/>
    </row>
    <row r="3939" customHeight="1" spans="1:9">
      <c r="A3939" s="2" t="s">
        <v>2772</v>
      </c>
      <c r="B3939" s="2" t="str">
        <f>IFERROR(__xludf.DUMMYFUNCTION("IF(A3939&lt;&gt;"""", GOOGLETRANSLATE(A3939, ""en"", ""te""),"""")"),"[ 'ఇన్నింగ్స్ లో 2 వ అత్యధిక పరుగులు (బ్యాటింగ్ స్థానంలో ప్రకారం) (145)', '1st ఒక క్యాలెండర్ సంవత్సరంలో అత్యధిక వందలు (3)', 'ఒక డక్ లేకుండా 3 వరుస ఇన్నింగ్స్ (70)', '7th చాలా న వికెట్లు ఒకే భూమి (18) ',' బ్యాటింగ్ తెరవడం మరియు అదే మ్యాచ్ లో బౌలింగ్ ',' తొ"&amp;"మ్మిదవ వికెట్కు 7 వ అత్యధిక భాగస్వామ్యం (52) ',' కెరీర్ లో 6 వ అత్యధిక పరుగులు (2474) ',' 8 వ అత్యధిక కెరీర్ బ్యాటింగ్ సగటు ( 29.80) ',' వరుస ఇన్నింగ్స్లో 1st యాభైల్లో (6) ',' 7th 2000 వరకు వేగంగా పరుగులు (81) ',' 5 వ ఒక ఇన్నింగ్స్ లోని బెస్ట్ ఫిగర్స్ కూ"&amp;"డా ఓడిపోయింది వైపు (4) ',' 10 వ ఉత్తమ కెరీర్ సమ్మె రేటు ( కెరీర్ (1631) లో సాధించిన 16.4) ',' 8 వ అత్యధిక పరుగులు ',' 3 వ అత్యంత ఫీల్డర్ చేత క్యాచ్ తీసుకోబడిన వికెట్ల (53) ',' 10 వ కెరీర్ లో అత్యధిక క్యాచ్లు (34) ',' రెండవ వికెట్కు 6 వ అత్యధిక భాగస్వామ్య"&amp;"ం ( 142) ']")</f>
        <v>[ 'ఇన్నింగ్స్ లో 2 వ అత్యధిక పరుగులు (బ్యాటింగ్ స్థానంలో ప్రకారం) (145)', '1st ఒక క్యాలెండర్ సంవత్సరంలో అత్యధిక వందలు (3)', 'ఒక డక్ లేకుండా 3 వరుస ఇన్నింగ్స్ (70)', '7th చాలా న వికెట్లు ఒకే భూమి (18) ',' బ్యాటింగ్ తెరవడం మరియు అదే మ్యాచ్ లో బౌలింగ్ ',' తొమ్మిదవ వికెట్కు 7 వ అత్యధిక భాగస్వామ్యం (52) ',' కెరీర్ లో 6 వ అత్యధిక పరుగులు (2474) ',' 8 వ అత్యధిక కెరీర్ బ్యాటింగ్ సగటు ( 29.80) ',' వరుస ఇన్నింగ్స్లో 1st యాభైల్లో (6) ',' 7th 2000 వరకు వేగంగా పరుగులు (81) ',' 5 వ ఒక ఇన్నింగ్స్ లోని బెస్ట్ ఫిగర్స్ కూడా ఓడిపోయింది వైపు (4) ',' 10 వ ఉత్తమ కెరీర్ సమ్మె రేటు ( కెరీర్ (1631) లో సాధించిన 16.4) ',' 8 వ అత్యధిక పరుగులు ',' 3 వ అత్యంత ఫీల్డర్ చేత క్యాచ్ తీసుకోబడిన వికెట్ల (53) ',' 10 వ కెరీర్ లో అత్యధిక క్యాచ్లు (34) ',' రెండవ వికెట్కు 6 వ అత్యధిక భాగస్వామ్యం ( 142) ']</v>
      </c>
      <c r="C3939" s="2"/>
      <c r="D3939" s="2" t="str">
        <f>IFERROR(__xludf.DUMMYFUNCTION("IF(C3939&lt;&gt;"""", GOOGLETRANSLATE(C3939, ""en"", ""te""),"""")"),"")</f>
        <v/>
      </c>
      <c r="E3939" s="2" t="s">
        <v>2773</v>
      </c>
      <c r="F3939" s="2" t="str">
        <f>IFERROR(__xludf.DUMMYFUNCTION("IF(E3939&lt;&gt;"""", GOOGLETRANSLATE(E3939, ""en"", ""te""),"""")"),"[ '23 వ కెరీర్ లో పరుగులు (2697)', '23 వ ఇన్నింగ్స్ లో అత్యధిక పరుగులు (145)', 'వరుస 10 వ అత్యధిక పరుగులు (812)', '45 వ ఒక క్యాలెండర్ సంవత్సరంలో అత్యధిక పరుగులు (533)', ' 2 వ అత్యంత ఇన్నింగ్స్ లో నడుస్తుంది (బ్యాటింగ్ స్థానం) (145) ',' 45 వ పరాజయం వైపు ఒ"&amp;"క మ్యాచ్లో అత్యధిక పరుగులు (89) ',' ఒకే మైదానంలో 9 వ అత్యధిక పరుగులు (530) ',' 48 వ అత్యధిక కెరీర్ బ్యాటింగ్ సగటు (31.00) ',' 10th ఒక వృత్తిలో అత్యధిక వందలు (5) ',' 2 వ అత్యధిక వందలు వరుస (3) ',' 1st ఒక క్యాలెండర్ సంవత్సరంలో అత్యధిక వందలు (3) ',' 4 వ అత్"&amp;"యధిక తొలి వంద (145 ) ',' వంద (23y స్కోర్ 24 పిన్న ఆటగాడు 153d) ',' 25 వ కెరీర్ అర్ధ (18) ',' వరుస ఇన్నింగ్స్లో 12 వ యాభైల్లో (4) ',' ఒక డక్ లేకుండా 3 వరుస ఇన్నింగ్స్ (70) ',' కెరీర్లో 29 వ అతి తక్కువ బాతులు (24.5) ',' 36 వ కెరీర్ లో అత్యధిక వికెట్లు (75)"&amp;" ',' 7th ఒకే మైదానంలో అత్యధిక వికెట్లు (18) ',' 17 వ చెత్త కెరీర్ బౌలింగ్ సరాసరి (37.37) ',' 23 చెత్త కెరీర్లో ఆర్థిక రేటు (4.36) ',' 22 వ కెరీర్ లో బౌల్డ్ చాలా బంతుల్లో (3857) ',' 17 వ కెరీర్ లో సాధించిన అత్యధిక పరుగులు (2803) ',' 34 వ అత్యంత విక్ ETS బ"&amp;"ౌల్డ్ తీసుకోకూడదు (19) ',' 27 వ అత్యధిక వికెట్లు తీసుకున్న ఆకర్షించింది (48) ',' 28th అత్యధిక వికెట్లు ఒక ఫీల్డర్ చేత క్యాచ్ తీసుకున్న (39) ',' 37 వ అత్యధిక క్యాచ్లు కెరీర్లో (32) ',' 16 వ అత్యంత ఒక లో క్యాచ్లు సిరీస్ (9) ',' 49 వ ఏ వికెట్కు (175) తొలి వి"&amp;"కెట్కు ',' 17 వ అత్యధిక భాగస్వామ్యం (175) ',' ఐదవ వికెట్కు 16 అత్యధిక భాగస్వామ్యం (102) ',' 25 వ అత్యధిక భాగస్వామ్యం కోసం అత్యధిక భాగస్వామ్యాలు ఆరవ వికెట్ (75) ఏడవ వికెట్ (69 *) కోసం ',' 17 వ అత్యధిక భాగస్వామ్యం ',' తొమ్మిదవ వికెట్కు 7 వ అత్యధిక భాగస్వామ్"&amp;"యం (52) ',' 31 కెరీర్ (111) ',' 30 వ లాంగెస్ట్ వృత్తిలో అత్యధిక మ్యాచ్లు ( 14y 129d) ',' కెప్టెన్సీ తొలి 29 ఓల్డెస్ట్ కాప్టెన్ (30y 146d) ']")</f>
        <v>[ '23 వ కెరీర్ లో పరుగులు (2697)', '23 వ ఇన్నింగ్స్ లో అత్యధిక పరుగులు (145)', 'వరుస 10 వ అత్యధిక పరుగులు (812)', '45 వ ఒక క్యాలెండర్ సంవత్సరంలో అత్యధిక పరుగులు (533)', ' 2 వ అత్యంత ఇన్నింగ్స్ లో నడుస్తుంది (బ్యాటింగ్ స్థానం) (145) ',' 45 వ పరాజయం వైపు ఒక మ్యాచ్లో అత్యధిక పరుగులు (89) ',' ఒకే మైదానంలో 9 వ అత్యధిక పరుగులు (530) ',' 48 వ అత్యధిక కెరీర్ బ్యాటింగ్ సగటు (31.00) ',' 10th ఒక వృత్తిలో అత్యధిక వందలు (5) ',' 2 వ అత్యధిక వందలు వరుస (3) ',' 1st ఒక క్యాలెండర్ సంవత్సరంలో అత్యధిక వందలు (3) ',' 4 వ అత్యధిక తొలి వంద (145 ) ',' వంద (23y స్కోర్ 24 పిన్న ఆటగాడు 153d) ',' 25 వ కెరీర్ అర్ధ (18) ',' వరుస ఇన్నింగ్స్లో 12 వ యాభైల్లో (4) ',' ఒక డక్ లేకుండా 3 వరుస ఇన్నింగ్స్ (70) ',' కెరీర్లో 29 వ అతి తక్కువ బాతులు (24.5) ',' 36 వ కెరీర్ లో అత్యధిక వికెట్లు (75) ',' 7th ఒకే మైదానంలో అత్యధిక వికెట్లు (18) ',' 17 వ చెత్త కెరీర్ బౌలింగ్ సరాసరి (37.37) ',' 23 చెత్త కెరీర్లో ఆర్థిక రేటు (4.36) ',' 22 వ కెరీర్ లో బౌల్డ్ చాలా బంతుల్లో (3857) ',' 17 వ కెరీర్ లో సాధించిన అత్యధిక పరుగులు (2803) ',' 34 వ అత్యంత విక్ ETS బౌల్డ్ తీసుకోకూడదు (19) ',' 27 వ అత్యధిక వికెట్లు తీసుకున్న ఆకర్షించింది (48) ',' 28th అత్యధిక వికెట్లు ఒక ఫీల్డర్ చేత క్యాచ్ తీసుకున్న (39) ',' 37 వ అత్యధిక క్యాచ్లు కెరీర్లో (32) ',' 16 వ అత్యంత ఒక లో క్యాచ్లు సిరీస్ (9) ',' 49 వ ఏ వికెట్కు (175) తొలి వికెట్కు ',' 17 వ అత్యధిక భాగస్వామ్యం (175) ',' ఐదవ వికెట్కు 16 అత్యధిక భాగస్వామ్యం (102) ',' 25 వ అత్యధిక భాగస్వామ్యం కోసం అత్యధిక భాగస్వామ్యాలు ఆరవ వికెట్ (75) ఏడవ వికెట్ (69 *) కోసం ',' 17 వ అత్యధిక భాగస్వామ్యం ',' తొమ్మిదవ వికెట్కు 7 వ అత్యధిక భాగస్వామ్యం (52) ',' 31 కెరీర్ (111) ',' 30 వ లాంగెస్ట్ వృత్తిలో అత్యధిక మ్యాచ్లు ( 14y 129d) ',' కెప్టెన్సీ తొలి 29 ఓల్డెస్ట్ కాప్టెన్ (30y 146d) ']</v>
      </c>
      <c r="G3939" s="2" t="s">
        <v>2774</v>
      </c>
      <c r="H3939" s="2" t="str">
        <f>IFERROR(__xludf.DUMMYFUNCTION("IF(G3939&lt;&gt;"""", GOOGLETRANSLATE(G3939, ""en"", ""te""),"""")"),"[ '23 వ అత్యధిక పరుగులు ఇన్నింగ్స్ (105) లో', '6 వ అత్యధిక కెరీర్ (2474) లో నడుస్తుంది', 'ఒక క్యాలెండర్ సంవత్సరంలో 13 వ అత్యధిక పరుగులు (492)', ఒక ఇన్నింగ్స్ లో '16 వ అత్యధిక పరుగులు (బ్యాటింగ్ స్థానంలో ప్రకారం) ( 105) ',' 8 వ పరాజయం వైపు ఒక మ్యాచ్లో అత్"&amp;"యధిక పరుగులు (77) ',' ఒకే మైదానంలో 38 వ అత్యధిక పరుగులు (186) ',' ఒక కెప్టెన్తో ఇన్నింగ్స్ లో 7 వ అత్యధిక పరుగులు (105) ',' 8 వ అత్యధిక కెరీర్ బ్యాటింగ్ సగటు (29.80) ',' కెరీర్ లో చాలా 5 వ అర్ధ (15) ',' వరుస ఇన్నింగ్స్లో 1st యాభైల్లో (6) ',' 23 వ వరుస ఇ"&amp;"న్నింగ్స్లో డకౌట్ లేకుండా (36) ',' 29th అతి తక్కువ కెరీర్ లో బాతులు (19) ',' 34 వ కెరీర్ బాతులు (5) ',' ఒక ఇన్నింగ్స్లో పరుగుల 13 వ అత్యధిక శాతం (61.40) ',' 9 వ 1000 వేగవంతమైన పరుగులు (48) ',' 7th 2000 పరుగులు వేగంగా (81 ) ',' 8 వ అత్యధిక వికెట్లు కెరీర్"&amp;"లో (94) ',' ఒక కెప్టెన్తో ఒక ఇన్నింగ్స్ లో 21 వ బెస్ట్ ఫిగర్స్ ఒక ఇన్నింగ్స్ లో (3) ',' 5 వ బెస్ట్ ఫిగర్స్ కూడా ఓడిపోయింది వైపు (4) ',' 23 వ ఉత్తమ కెరీర్ సగటు (17.35) ',' 10 వ ఉత్తమ కెరీర్ సమ్మె రేటు (16.4) ',' 17 వ చెత్త కెరీర్లో ఎకానమీ రేట్ బౌలింగ్ (6."&amp;"32) ',' 12 వ అత్యంత బంతుల్లో సంరక్షణలో బౌల్డ్ కెరీర్ (1631) లో సాధించిన er (1548) ',' 8 వ అత్యధిక పరుగులు ',' 6 వ బౌలర్ / బ్యాట్స్ కలయికలు (5) ',' 10 వ బౌలర్ / ఫీల్డర్ కలయికలు (11) ',' 17 వ అత్యధిక వికెట్లు తీసుకున్న బౌల్డ్ (18) ' '4 వ అత్యధిక వికెట్లు తీ"&amp;"సుకున్న ఆకర్షించింది (63)', '20 వ అత్యధిక వికెట్లు తీసుకున్న క్యాచ్ మరియు బౌల్డ్ (3)', '3 వ అత్యంత ఫీల్డర్ చేత క్యాచ్ తీసుకున్న (53) వికెట్స్', '6 వ అత్యధిక వికెట్లు వికెట్లు (ఆకర్షించింది తీసుకున్న 10 ) ',' 5 వ అత్యధిక వికెట్లు తీసుకున్న ఎల్బిడబ్ల్యు (13"&amp;") ',' ఏ వికెట్కు కెరీర్లో 10 వ అత్యధిక క్యాచ్లు (34) ',' 22 వ అత్యధిక భాగస్వామ్యాల (142) ',' (మొదటి వికెట్కు 26 అత్యధిక భాగస్వామ్యం 116) ', 'రెండవ వికెట్కు 6 వ అత్యధిక భాగస్వామ్యం (142)', 'మూడో వికెట్కు 20 వ అత్యధిక భాగస్వామ్యం (94)', 'ఆరవ వికెట్కు 39 వ అ"&amp;"త్యధిక భాగస్వామ్యం (41)', 'తొమ్మిదవ వికెట్కు 20 వ అత్యధిక భాగస్వామ్యం (22) ',' కెరీర్లో 18 వ అత్యధిక మ్యాచ్లు (98) ',' 24 వ అత్యధిక మ్యాచ్లు కెప్టెన్గా (19) ',' 27 వ పనికత్తెలయొద్ద కెరీర్లో (6) ']")</f>
        <v>[ '23 వ అత్యధిక పరుగులు ఇన్నింగ్స్ (105) లో', '6 వ అత్యధిక కెరీర్ (2474) లో నడుస్తుంది', 'ఒక క్యాలెండర్ సంవత్సరంలో 13 వ అత్యధిక పరుగులు (492)', ఒక ఇన్నింగ్స్ లో '16 వ అత్యధిక పరుగులు (బ్యాటింగ్ స్థానంలో ప్రకారం) ( 105) ',' 8 వ పరాజయం వైపు ఒక మ్యాచ్లో అత్యధిక పరుగులు (77) ',' ఒకే మైదానంలో 38 వ అత్యధిక పరుగులు (186) ',' ఒక కెప్టెన్తో ఇన్నింగ్స్ లో 7 వ అత్యధిక పరుగులు (105) ',' 8 వ అత్యధిక కెరీర్ బ్యాటింగ్ సగటు (29.80) ',' కెరీర్ లో చాలా 5 వ అర్ధ (15) ',' వరుస ఇన్నింగ్స్లో 1st యాభైల్లో (6) ',' 23 వ వరుస ఇన్నింగ్స్లో డకౌట్ లేకుండా (36) ',' 29th అతి తక్కువ కెరీర్ లో బాతులు (19) ',' 34 వ కెరీర్ బాతులు (5) ',' ఒక ఇన్నింగ్స్లో పరుగుల 13 వ అత్యధిక శాతం (61.40) ',' 9 వ 1000 వేగవంతమైన పరుగులు (48) ',' 7th 2000 పరుగులు వేగంగా (81 ) ',' 8 వ అత్యధిక వికెట్లు కెరీర్లో (94) ',' ఒక కెప్టెన్తో ఒక ఇన్నింగ్స్ లో 21 వ బెస్ట్ ఫిగర్స్ ఒక ఇన్నింగ్స్ లో (3) ',' 5 వ బెస్ట్ ఫిగర్స్ కూడా ఓడిపోయింది వైపు (4) ',' 23 వ ఉత్తమ కెరీర్ సగటు (17.35) ',' 10 వ ఉత్తమ కెరీర్ సమ్మె రేటు (16.4) ',' 17 వ చెత్త కెరీర్లో ఎకానమీ రేట్ బౌలింగ్ (6.32) ',' 12 వ అత్యంత బంతుల్లో సంరక్షణలో బౌల్డ్ కెరీర్ (1631) లో సాధించిన er (1548) ',' 8 వ అత్యధిక పరుగులు ',' 6 వ బౌలర్ / బ్యాట్స్ కలయికలు (5) ',' 10 వ బౌలర్ / ఫీల్డర్ కలయికలు (11) ',' 17 వ అత్యధిక వికెట్లు తీసుకున్న బౌల్డ్ (18) ' '4 వ అత్యధిక వికెట్లు తీసుకున్న ఆకర్షించింది (63)', '20 వ అత్యధిక వికెట్లు తీసుకున్న క్యాచ్ మరియు బౌల్డ్ (3)', '3 వ అత్యంత ఫీల్డర్ చేత క్యాచ్ తీసుకున్న (53) వికెట్స్', '6 వ అత్యధిక వికెట్లు వికెట్లు (ఆకర్షించింది తీసుకున్న 10 ) ',' 5 వ అత్యధిక వికెట్లు తీసుకున్న ఎల్బిడబ్ల్యు (13) ',' ఏ వికెట్కు కెరీర్లో 10 వ అత్యధిక క్యాచ్లు (34) ',' 22 వ అత్యధిక భాగస్వామ్యాల (142) ',' (మొదటి వికెట్కు 26 అత్యధిక భాగస్వామ్యం 116) ', 'రెండవ వికెట్కు 6 వ అత్యధిక భాగస్వామ్యం (142)', 'మూడో వికెట్కు 20 వ అత్యధిక భాగస్వామ్యం (94)', 'ఆరవ వికెట్కు 39 వ అత్యధిక భాగస్వామ్యం (41)', 'తొమ్మిదవ వికెట్కు 20 వ అత్యధిక భాగస్వామ్యం (22) ',' కెరీర్లో 18 వ అత్యధిక మ్యాచ్లు (98) ',' 24 వ అత్యధిక మ్యాచ్లు కెప్టెన్గా (19) ',' 27 వ పనికత్తెలయొద్ద కెరీర్లో (6) ']</v>
      </c>
      <c r="I3939" s="3"/>
    </row>
    <row r="3940" customHeight="1" spans="1:9">
      <c r="A3940" s="2" t="s">
        <v>2775</v>
      </c>
      <c r="B3940" s="2" t="str">
        <f>IFERROR(__xludf.DUMMYFUNCTION("IF(A3940&lt;&gt;"""", GOOGLETRANSLATE(A3940, ""en"", ""te""),"""")"),"[ 'ఇన్నింగ్స్ లో 1 వ అత్యధిక క్యాచ్లు (4)', 'నాలుగవ వికెట్కు (109) కోసం 10 వ అత్యధిక భాగస్వామ్యం']")</f>
        <v>[ 'ఇన్నింగ్స్ లో 1 వ అత్యధిక క్యాచ్లు (4)', 'నాలుగవ వికెట్కు (109) కోసం 10 వ అత్యధిక భాగస్వామ్యం']</v>
      </c>
      <c r="C3940" s="2" t="s">
        <v>2776</v>
      </c>
      <c r="D3940" s="2" t="str">
        <f>IFERROR(__xludf.DUMMYFUNCTION("IF(C3940&lt;&gt;"""", GOOGLETRANSLATE(C3940, ""en"", ""te""),"""")"),"[ '14 వ అత్యధిక ఇన్నింగ్స్ లో సమ్మె రేటు (220.00)', 'ప్రవేశం (6) ఒక ఇన్నింగ్స్ లో 22 వ బెస్ట్ ఫిగర్స్']")</f>
        <v>[ '14 వ అత్యధిక ఇన్నింగ్స్ లో సమ్మె రేటు (220.00)', 'ప్రవేశం (6) ఒక ఇన్నింగ్స్ లో 22 వ బెస్ట్ ఫిగర్స్']</v>
      </c>
      <c r="E3940" s="2" t="s">
        <v>2777</v>
      </c>
      <c r="F3940" s="2" t="str">
        <f>IFERROR(__xludf.DUMMYFUNCTION("IF(E3940&lt;&gt;"""", GOOGLETRANSLATE(E3940, ""en"", ""te""),"""")"),"[ '12 వ అత్యధిక కెరీర్ సమ్మె రేటు (110.39)']")</f>
        <v>[ '12 వ అత్యధిక కెరీర్ సమ్మె రేటు (110.39)']</v>
      </c>
      <c r="G3940" s="2" t="s">
        <v>2778</v>
      </c>
      <c r="H3940" s="2" t="str">
        <f>IFERROR(__xludf.DUMMYFUNCTION("IF(G3940&lt;&gt;"""", GOOGLETRANSLATE(G3940, ""en"", ""te""),"""")"),"[ '45 వ ఇన్నింగ్స్ లో అత్యధిక పరుగులు (బ్యాటింగ్ స్థానంలో ప్రకారం) (50)', '26th అత్యధిక కెరీర్ సమ్మె రేటు (143.23)', ఒక ఇన్నింగ్స్ లో, '1st అత్యధిక క్యాచ్లు' 43 వ ఇన్నింగ్స్ (56) లో సాధించిన అత్యధిక పరుగులు '( 4) ',' నాలుగవ వికెట్కు 10 వ అత్యధిక భాగస్వామ్"&amp;"యం (109) ',' 26 వరుస మ్యాచ్లు (ప్రదర్శనల మధ్య ఒక జట్టు 44 దూరమయ్యాడు) ']")</f>
        <v>[ '45 వ ఇన్నింగ్స్ లో అత్యధిక పరుగులు (బ్యాటింగ్ స్థానంలో ప్రకారం) (50)', '26th అత్యధిక కెరీర్ సమ్మె రేటు (143.23)', ఒక ఇన్నింగ్స్ లో, '1st అత్యధిక క్యాచ్లు' 43 వ ఇన్నింగ్స్ (56) లో సాధించిన అత్యధిక పరుగులు '( 4) ',' నాలుగవ వికెట్కు 10 వ అత్యధిక భాగస్వామ్యం (109) ',' 26 వరుస మ్యాచ్లు (ప్రదర్శనల మధ్య ఒక జట్టు 44 దూరమయ్యాడు) ']</v>
      </c>
      <c r="I3940" s="3"/>
    </row>
    <row r="3941" customHeight="1" spans="1:9">
      <c r="A3941" s="2" t="s">
        <v>749</v>
      </c>
      <c r="B3941" s="2" t="str">
        <f>IFERROR(__xludf.DUMMYFUNCTION("IF(A3941&lt;&gt;"""", GOOGLETRANSLATE(A3941, ""en"", ""te""),"""")"),"[ '6 వ అత్యధిక వరుస బాతులు (3)']")</f>
        <v>[ '6 వ అత్యధిక వరుస బాతులు (3)']</v>
      </c>
      <c r="C3941" s="2"/>
      <c r="D3941" s="2" t="str">
        <f>IFERROR(__xludf.DUMMYFUNCTION("IF(C3941&lt;&gt;"""", GOOGLETRANSLATE(C3941, ""en"", ""te""),"""")"),"")</f>
        <v/>
      </c>
      <c r="E3941" s="2" t="s">
        <v>1335</v>
      </c>
      <c r="F3941" s="2" t="str">
        <f>IFERROR(__xludf.DUMMYFUNCTION("IF(E3941&lt;&gt;"""", GOOGLETRANSLATE(E3941, ""en"", ""te""),"""")"),"[ 'ఒక సిరీస్లో 6 వ అత్యంత బాతులు (3)', '6 వ అత్యధిక వరుస బాతులు (3)']")</f>
        <v>[ 'ఒక సిరీస్లో 6 వ అత్యంత బాతులు (3)', '6 వ అత్యధిక వరుస బాతులు (3)']</v>
      </c>
      <c r="G3941" s="2"/>
      <c r="H3941" s="2" t="str">
        <f>IFERROR(__xludf.DUMMYFUNCTION("IF(G3941&lt;&gt;"""", GOOGLETRANSLATE(G3941, ""en"", ""te""),"""")"),"")</f>
        <v/>
      </c>
      <c r="I3941" s="3"/>
    </row>
    <row r="3942" customHeight="1" spans="1:9">
      <c r="A3942" s="2"/>
      <c r="B3942" s="2" t="str">
        <f>IFERROR(__xludf.DUMMYFUNCTION("IF(A3942&lt;&gt;"""", GOOGLETRANSLATE(A3942, ""en"", ""te""),"""")"),"")</f>
        <v/>
      </c>
      <c r="C3942" s="2"/>
      <c r="D3942" s="2" t="str">
        <f>IFERROR(__xludf.DUMMYFUNCTION("IF(C3942&lt;&gt;"""", GOOGLETRANSLATE(C3942, ""en"", ""te""),"""")"),"")</f>
        <v/>
      </c>
      <c r="E3942" s="2" t="s">
        <v>2779</v>
      </c>
      <c r="F3942" s="2" t="str">
        <f>IFERROR(__xludf.DUMMYFUNCTION("IF(E3942&lt;&gt;"""", GOOGLETRANSLATE(E3942, ""en"", ""te""),"""")"),"[40 వ పరాజయం వైపు (90) ఒక మ్యాచ్లో అత్యధిక పరుగులు ']")</f>
        <v>[40 వ పరాజయం వైపు (90) ఒక మ్యాచ్లో అత్యధిక పరుగులు ']</v>
      </c>
      <c r="G3942" s="2"/>
      <c r="H3942" s="2" t="str">
        <f>IFERROR(__xludf.DUMMYFUNCTION("IF(G3942&lt;&gt;"""", GOOGLETRANSLATE(G3942, ""en"", ""te""),"""")"),"")</f>
        <v/>
      </c>
      <c r="I3942" s="3"/>
    </row>
    <row r="3943" customHeight="1" spans="1:9">
      <c r="A3943" s="2"/>
      <c r="B3943" s="2" t="str">
        <f>IFERROR(__xludf.DUMMYFUNCTION("IF(A3943&lt;&gt;"""", GOOGLETRANSLATE(A3943, ""en"", ""te""),"""")"),"")</f>
        <v/>
      </c>
      <c r="C3943" s="2"/>
      <c r="D3943" s="2" t="str">
        <f>IFERROR(__xludf.DUMMYFUNCTION("IF(C3943&lt;&gt;"""", GOOGLETRANSLATE(C3943, ""en"", ""te""),"""")"),"")</f>
        <v/>
      </c>
      <c r="E3943" s="2"/>
      <c r="F3943" s="2" t="str">
        <f>IFERROR(__xludf.DUMMYFUNCTION("IF(E3943&lt;&gt;"""", GOOGLETRANSLATE(E3943, ""en"", ""te""),"""")"),"")</f>
        <v/>
      </c>
      <c r="G3943" s="2"/>
      <c r="H3943" s="2" t="str">
        <f>IFERROR(__xludf.DUMMYFUNCTION("IF(G3943&lt;&gt;"""", GOOGLETRANSLATE(G3943, ""en"", ""te""),"""")"),"")</f>
        <v/>
      </c>
      <c r="I3943" s="3"/>
    </row>
    <row r="3944" customHeight="1" spans="1:9">
      <c r="A3944" s="2"/>
      <c r="B3944" s="2" t="str">
        <f>IFERROR(__xludf.DUMMYFUNCTION("IF(A3944&lt;&gt;"""", GOOGLETRANSLATE(A3944, ""en"", ""te""),"""")"),"")</f>
        <v/>
      </c>
      <c r="C3944" s="2" t="s">
        <v>2780</v>
      </c>
      <c r="D3944" s="2" t="str">
        <f>IFERROR(__xludf.DUMMYFUNCTION("IF(C3944&lt;&gt;"""", GOOGLETRANSLATE(C3944, ""en"", ""te""),"""")"),"[ '30 వ అత్యధిక తొలి వంద (206)', 'ప్రదర్శనల మధ్య 15 వ లాంగెస్ట్ వ్యవధిలో (11y 298d)']")</f>
        <v>[ '30 వ అత్యధిక తొలి వంద (206)', 'ప్రదర్శనల మధ్య 15 వ లాంగెస్ట్ వ్యవధిలో (11y 298d)']</v>
      </c>
      <c r="E3944" s="2"/>
      <c r="F3944" s="2" t="str">
        <f>IFERROR(__xludf.DUMMYFUNCTION("IF(E3944&lt;&gt;"""", GOOGLETRANSLATE(E3944, ""en"", ""te""),"""")"),"")</f>
        <v/>
      </c>
      <c r="G3944" s="2"/>
      <c r="H3944" s="2" t="str">
        <f>IFERROR(__xludf.DUMMYFUNCTION("IF(G3944&lt;&gt;"""", GOOGLETRANSLATE(G3944, ""en"", ""te""),"""")"),"")</f>
        <v/>
      </c>
      <c r="I3944" s="3"/>
    </row>
    <row r="3945" customHeight="1" spans="1:9">
      <c r="A3945" s="2"/>
      <c r="B3945" s="2" t="str">
        <f>IFERROR(__xludf.DUMMYFUNCTION("IF(A3945&lt;&gt;"""", GOOGLETRANSLATE(A3945, ""en"", ""te""),"""")"),"")</f>
        <v/>
      </c>
      <c r="C3945" s="2"/>
      <c r="D3945" s="2" t="str">
        <f>IFERROR(__xludf.DUMMYFUNCTION("IF(C3945&lt;&gt;"""", GOOGLETRANSLATE(C3945, ""en"", ""te""),"""")"),"")</f>
        <v/>
      </c>
      <c r="E3945" s="2"/>
      <c r="F3945" s="2" t="str">
        <f>IFERROR(__xludf.DUMMYFUNCTION("IF(E3945&lt;&gt;"""", GOOGLETRANSLATE(E3945, ""en"", ""te""),"""")"),"")</f>
        <v/>
      </c>
      <c r="G3945" s="2"/>
      <c r="H3945" s="2" t="str">
        <f>IFERROR(__xludf.DUMMYFUNCTION("IF(G3945&lt;&gt;"""", GOOGLETRANSLATE(G3945, ""en"", ""te""),"""")"),"")</f>
        <v/>
      </c>
      <c r="I3945" s="3"/>
    </row>
    <row r="3946" customHeight="1" spans="1:9">
      <c r="A3946" s="2"/>
      <c r="B3946" s="2" t="str">
        <f>IFERROR(__xludf.DUMMYFUNCTION("IF(A3946&lt;&gt;"""", GOOGLETRANSLATE(A3946, ""en"", ""te""),"""")"),"")</f>
        <v/>
      </c>
      <c r="C3946" s="2" t="s">
        <v>2781</v>
      </c>
      <c r="D3946" s="2" t="str">
        <f>IFERROR(__xludf.DUMMYFUNCTION("IF(C3946&lt;&gt;"""", GOOGLETRANSLATE(C3946, ""en"", ""te""),"""")"),"[ '19 వ ఒక సిరీస్లో అత్యధిక వికెట్లు (23)', '35 వ ఒక సిరీస్లో అత్యధిక క్యాచ్లు (21)']")</f>
        <v>[ '19 వ ఒక సిరీస్లో అత్యధిక వికెట్లు (23)', '35 వ ఒక సిరీస్లో అత్యధిక క్యాచ్లు (21)']</v>
      </c>
      <c r="E3946" s="2"/>
      <c r="F3946" s="2" t="str">
        <f>IFERROR(__xludf.DUMMYFUNCTION("IF(E3946&lt;&gt;"""", GOOGLETRANSLATE(E3946, ""en"", ""te""),"""")"),"")</f>
        <v/>
      </c>
      <c r="G3946" s="2"/>
      <c r="H3946" s="2" t="str">
        <f>IFERROR(__xludf.DUMMYFUNCTION("IF(G3946&lt;&gt;"""", GOOGLETRANSLATE(G3946, ""en"", ""te""),"""")"),"")</f>
        <v/>
      </c>
      <c r="I3946" s="3"/>
    </row>
    <row r="3947" customHeight="1" spans="1:9">
      <c r="A3947" s="2"/>
      <c r="B3947" s="2" t="str">
        <f>IFERROR(__xludf.DUMMYFUNCTION("IF(A3947&lt;&gt;"""", GOOGLETRANSLATE(A3947, ""en"", ""te""),"""")"),"")</f>
        <v/>
      </c>
      <c r="C3947" s="2"/>
      <c r="D3947" s="2" t="str">
        <f>IFERROR(__xludf.DUMMYFUNCTION("IF(C3947&lt;&gt;"""", GOOGLETRANSLATE(C3947, ""en"", ""te""),"""")"),"")</f>
        <v/>
      </c>
      <c r="E3947" s="2"/>
      <c r="F3947" s="2" t="str">
        <f>IFERROR(__xludf.DUMMYFUNCTION("IF(E3947&lt;&gt;"""", GOOGLETRANSLATE(E3947, ""en"", ""te""),"""")"),"")</f>
        <v/>
      </c>
      <c r="G3947" s="2"/>
      <c r="H3947" s="2" t="str">
        <f>IFERROR(__xludf.DUMMYFUNCTION("IF(G3947&lt;&gt;"""", GOOGLETRANSLATE(G3947, ""en"", ""te""),"""")"),"")</f>
        <v/>
      </c>
      <c r="I3947" s="3"/>
    </row>
    <row r="3948" customHeight="1" spans="1:9">
      <c r="A3948" s="2"/>
      <c r="B3948" s="2" t="str">
        <f>IFERROR(__xludf.DUMMYFUNCTION("IF(A3948&lt;&gt;"""", GOOGLETRANSLATE(A3948, ""en"", ""te""),"""")"),"")</f>
        <v/>
      </c>
      <c r="C3948" s="2" t="s">
        <v>475</v>
      </c>
      <c r="D3948" s="2" t="str">
        <f>IFERROR(__xludf.DUMMYFUNCTION("IF(C3948&lt;&gt;"""", GOOGLETRANSLATE(C3948, ""en"", ""te""),"""")"),"[ 'తొలి వికెట్కు (276) 24 అత్యధిక భాగస్వామ్యం']")</f>
        <v>[ 'తొలి వికెట్కు (276) 24 అత్యధిక భాగస్వామ్యం']</v>
      </c>
      <c r="E3948" s="2"/>
      <c r="F3948" s="2" t="str">
        <f>IFERROR(__xludf.DUMMYFUNCTION("IF(E3948&lt;&gt;"""", GOOGLETRANSLATE(E3948, ""en"", ""te""),"""")"),"")</f>
        <v/>
      </c>
      <c r="G3948" s="2"/>
      <c r="H3948" s="2" t="str">
        <f>IFERROR(__xludf.DUMMYFUNCTION("IF(G3948&lt;&gt;"""", GOOGLETRANSLATE(G3948, ""en"", ""te""),"""")"),"")</f>
        <v/>
      </c>
      <c r="I3948" s="3"/>
    </row>
    <row r="3949" customHeight="1" spans="1:9">
      <c r="A3949" s="2"/>
      <c r="B3949" s="2" t="str">
        <f>IFERROR(__xludf.DUMMYFUNCTION("IF(A3949&lt;&gt;"""", GOOGLETRANSLATE(A3949, ""en"", ""te""),"""")"),"")</f>
        <v/>
      </c>
      <c r="C3949" s="2"/>
      <c r="D3949" s="2" t="str">
        <f>IFERROR(__xludf.DUMMYFUNCTION("IF(C3949&lt;&gt;"""", GOOGLETRANSLATE(C3949, ""en"", ""te""),"""")"),"")</f>
        <v/>
      </c>
      <c r="E3949" s="2"/>
      <c r="F3949" s="2" t="str">
        <f>IFERROR(__xludf.DUMMYFUNCTION("IF(E3949&lt;&gt;"""", GOOGLETRANSLATE(E3949, ""en"", ""te""),"""")"),"")</f>
        <v/>
      </c>
      <c r="G3949" s="2"/>
      <c r="H3949" s="2" t="str">
        <f>IFERROR(__xludf.DUMMYFUNCTION("IF(G3949&lt;&gt;"""", GOOGLETRANSLATE(G3949, ""en"", ""te""),"""")"),"")</f>
        <v/>
      </c>
      <c r="I3949" s="3"/>
    </row>
    <row r="3950" customHeight="1" spans="1:9">
      <c r="A3950" s="2"/>
      <c r="B3950" s="2" t="str">
        <f>IFERROR(__xludf.DUMMYFUNCTION("IF(A3950&lt;&gt;"""", GOOGLETRANSLATE(A3950, ""en"", ""te""),"""")"),"")</f>
        <v/>
      </c>
      <c r="C3950" s="2"/>
      <c r="D3950" s="2" t="str">
        <f>IFERROR(__xludf.DUMMYFUNCTION("IF(C3950&lt;&gt;"""", GOOGLETRANSLATE(C3950, ""en"", ""te""),"""")"),"")</f>
        <v/>
      </c>
      <c r="E3950" s="2" t="s">
        <v>2782</v>
      </c>
      <c r="F3950" s="2" t="str">
        <f>IFERROR(__xludf.DUMMYFUNCTION("IF(E3950&lt;&gt;"""", GOOGLETRANSLATE(E3950, ""en"", ""te""),"""")"),"[ '30 వ వరుస మ్యాచ్లు ప్రదర్శనల మధ్య (37) జట్టు తప్పిన']")</f>
        <v>[ '30 వ వరుస మ్యాచ్లు ప్రదర్శనల మధ్య (37) జట్టు తప్పిన']</v>
      </c>
      <c r="G3950" s="2"/>
      <c r="H3950" s="2" t="str">
        <f>IFERROR(__xludf.DUMMYFUNCTION("IF(G3950&lt;&gt;"""", GOOGLETRANSLATE(G3950, ""en"", ""te""),"""")"),"")</f>
        <v/>
      </c>
      <c r="I3950" s="3"/>
    </row>
    <row r="3951" customHeight="1" spans="1:9">
      <c r="A3951" s="2"/>
      <c r="B3951" s="2" t="str">
        <f>IFERROR(__xludf.DUMMYFUNCTION("IF(A3951&lt;&gt;"""", GOOGLETRANSLATE(A3951, ""en"", ""te""),"""")"),"")</f>
        <v/>
      </c>
      <c r="C3951" s="2" t="s">
        <v>2783</v>
      </c>
      <c r="D3951" s="2" t="str">
        <f>IFERROR(__xludf.DUMMYFUNCTION("IF(C3951&lt;&gt;"""", GOOGLETRANSLATE(C3951, ""en"", ""te""),"""")"),"[40 వ అత్యధిక కెరీర్ బ్యాటింగ్ సగటు (32.00) ']")</f>
        <v>[40 వ అత్యధిక కెరీర్ బ్యాటింగ్ సగటు (32.00) ']</v>
      </c>
      <c r="E3951" s="2"/>
      <c r="F3951" s="2" t="str">
        <f>IFERROR(__xludf.DUMMYFUNCTION("IF(E3951&lt;&gt;"""", GOOGLETRANSLATE(E3951, ""en"", ""te""),"""")"),"")</f>
        <v/>
      </c>
      <c r="G3951" s="2"/>
      <c r="H3951" s="2" t="str">
        <f>IFERROR(__xludf.DUMMYFUNCTION("IF(G3951&lt;&gt;"""", GOOGLETRANSLATE(G3951, ""en"", ""te""),"""")"),"")</f>
        <v/>
      </c>
      <c r="I3951" s="3"/>
    </row>
    <row r="3952" customHeight="1" spans="1:9">
      <c r="A3952" s="2" t="s">
        <v>2784</v>
      </c>
      <c r="B3952" s="2" t="str">
        <f>IFERROR(__xludf.DUMMYFUNCTION("IF(A3952&lt;&gt;"""", GOOGLETRANSLATE(A3952, ""en"", ""te""),"""")"),"[ 'ఆరవ వికెట్కు 1st అత్యధిక భాగస్వామ్యం (267 *)']")</f>
        <v>[ 'ఆరవ వికెట్కు 1st అత్యధిక భాగస్వామ్యం (267 *)']</v>
      </c>
      <c r="C3952" s="2"/>
      <c r="D3952" s="2" t="str">
        <f>IFERROR(__xludf.DUMMYFUNCTION("IF(C3952&lt;&gt;"""", GOOGLETRANSLATE(C3952, ""en"", ""te""),"""")"),"")</f>
        <v/>
      </c>
      <c r="E3952" s="2" t="s">
        <v>2785</v>
      </c>
      <c r="F3952" s="2" t="str">
        <f>IFERROR(__xludf.DUMMYFUNCTION("IF(E3952&lt;&gt;"""", GOOGLETRANSLATE(E3952, ""en"", ""te""),"""")"),"[వికెట్ తేడాతో 'ఏ వికెట్కు (267 *) 13 వ అత్యధిక భాగస్వామ్యాలు', 'ఇన్నింగ్స్ లో 23 చెత్త ఆర్థిక రేటు (11.40)', '29th అత్యంత వృద్ధ ఆటగాడు వంద (308d 35y) స్కోర్', '6 వ అత్యధిక భాగస్వామ్యాల (6) ',' ఆరవ వికెట్కు 1st అత్యధిక భాగస్వామ్యం (267 *) ']")</f>
        <v>[వికెట్ తేడాతో 'ఏ వికెట్కు (267 *) 13 వ అత్యధిక భాగస్వామ్యాలు', 'ఇన్నింగ్స్ లో 23 చెత్త ఆర్థిక రేటు (11.40)', '29th అత్యంత వృద్ధ ఆటగాడు వంద (308d 35y) స్కోర్', '6 వ అత్యధిక భాగస్వామ్యాల (6) ',' ఆరవ వికెట్కు 1st అత్యధిక భాగస్వామ్యం (267 *) ']</v>
      </c>
      <c r="G3952" s="2" t="s">
        <v>2786</v>
      </c>
      <c r="H3952" s="2" t="str">
        <f>IFERROR(__xludf.DUMMYFUNCTION("IF(G3952&lt;&gt;"""", GOOGLETRANSLATE(G3952, ""en"", ""te""),"""")"),"[40 వ కెరీర్ లో బాతులు (15) ',' ఇన్నింగ్స్ లో 17 వ అత్యుత్తమ బౌలింగ్ విశ్లేషణలు (3/7) ',' 26 వరుస మ్యాచ్లు ప్రదర్శనల మధ్య బృందం (44) కోసం తప్పిన ']")</f>
        <v>[40 వ కెరీర్ లో బాతులు (15) ',' ఇన్నింగ్స్ లో 17 వ అత్యుత్తమ బౌలింగ్ విశ్లేషణలు (3/7) ',' 26 వరుస మ్యాచ్లు ప్రదర్శనల మధ్య బృందం (44) కోసం తప్పిన ']</v>
      </c>
      <c r="I3952" s="3"/>
    </row>
    <row r="3953" customHeight="1" spans="1:9">
      <c r="A3953" s="2"/>
      <c r="B3953" s="2" t="str">
        <f>IFERROR(__xludf.DUMMYFUNCTION("IF(A3953&lt;&gt;"""", GOOGLETRANSLATE(A3953, ""en"", ""te""),"""")"),"")</f>
        <v/>
      </c>
      <c r="C3953" s="2"/>
      <c r="D3953" s="2" t="str">
        <f>IFERROR(__xludf.DUMMYFUNCTION("IF(C3953&lt;&gt;"""", GOOGLETRANSLATE(C3953, ""en"", ""te""),"""")"),"")</f>
        <v/>
      </c>
      <c r="E3953" s="2"/>
      <c r="F3953" s="2" t="str">
        <f>IFERROR(__xludf.DUMMYFUNCTION("IF(E3953&lt;&gt;"""", GOOGLETRANSLATE(E3953, ""en"", ""te""),"""")"),"")</f>
        <v/>
      </c>
      <c r="G3953" s="2"/>
      <c r="H3953" s="2" t="str">
        <f>IFERROR(__xludf.DUMMYFUNCTION("IF(G3953&lt;&gt;"""", GOOGLETRANSLATE(G3953, ""en"", ""te""),"""")"),"")</f>
        <v/>
      </c>
      <c r="I3953" s="3"/>
    </row>
    <row r="3954" customHeight="1" spans="1:9">
      <c r="A3954" s="2"/>
      <c r="B3954" s="2" t="str">
        <f>IFERROR(__xludf.DUMMYFUNCTION("IF(A3954&lt;&gt;"""", GOOGLETRANSLATE(A3954, ""en"", ""te""),"""")"),"")</f>
        <v/>
      </c>
      <c r="C3954" s="2"/>
      <c r="D3954" s="2" t="str">
        <f>IFERROR(__xludf.DUMMYFUNCTION("IF(C3954&lt;&gt;"""", GOOGLETRANSLATE(C3954, ""en"", ""te""),"""")"),"")</f>
        <v/>
      </c>
      <c r="E3954" s="2"/>
      <c r="F3954" s="2" t="str">
        <f>IFERROR(__xludf.DUMMYFUNCTION("IF(E3954&lt;&gt;"""", GOOGLETRANSLATE(E3954, ""en"", ""te""),"""")"),"")</f>
        <v/>
      </c>
      <c r="G3954" s="2"/>
      <c r="H3954" s="2" t="str">
        <f>IFERROR(__xludf.DUMMYFUNCTION("IF(G3954&lt;&gt;"""", GOOGLETRANSLATE(G3954, ""en"", ""te""),"""")"),"")</f>
        <v/>
      </c>
      <c r="I3954" s="3"/>
    </row>
    <row r="3955" customHeight="1" spans="1:9">
      <c r="A3955" s="2" t="s">
        <v>2787</v>
      </c>
      <c r="B3955" s="2" t="str">
        <f>IFERROR(__xludf.DUMMYFUNCTION("IF(A3955&lt;&gt;"""", GOOGLETRANSLATE(A3955, ""en"", ""te""),"""")"),"[ '9 వ ఎక్కువ (27 *) ఒక ఇన్నింగ్స్ లో నడుస్తుంది (బ్యాటింగ్ స్థానం)']")</f>
        <v>[ '9 వ ఎక్కువ (27 *) ఒక ఇన్నింగ్స్ లో నడుస్తుంది (బ్యాటింగ్ స్థానం)']</v>
      </c>
      <c r="C3955" s="2"/>
      <c r="D3955" s="2" t="str">
        <f>IFERROR(__xludf.DUMMYFUNCTION("IF(C3955&lt;&gt;"""", GOOGLETRANSLATE(C3955, ""en"", ""te""),"""")"),"")</f>
        <v/>
      </c>
      <c r="E3955" s="2" t="s">
        <v>2788</v>
      </c>
      <c r="F3955" s="2" t="str">
        <f>IFERROR(__xludf.DUMMYFUNCTION("IF(E3955&lt;&gt;"""", GOOGLETRANSLATE(E3955, ""en"", ""te""),"""")"),"[18 వ చెత్త కెరీర్ బౌలింగ్ సరాసరి (36.75) ',' 34 వ చెత్త కెరీర్లో సమ్మె రేటు (54.9) ',' 42 వ వరుస మ్యాచ్లు ప్రదర్శనల మధ్య బృందం (32) కోసం తప్పిన ']")</f>
        <v>[18 వ చెత్త కెరీర్ బౌలింగ్ సరాసరి (36.75) ',' 34 వ చెత్త కెరీర్లో సమ్మె రేటు (54.9) ',' 42 వ వరుస మ్యాచ్లు ప్రదర్శనల మధ్య బృందం (32) కోసం తప్పిన ']</v>
      </c>
      <c r="G3955" s="2" t="s">
        <v>2789</v>
      </c>
      <c r="H3955" s="2" t="str">
        <f>IFERROR(__xludf.DUMMYFUNCTION("IF(G3955&lt;&gt;"""", GOOGLETRANSLATE(G3955, ""en"", ""te""),"""")"),"[ '9 వ అత్యంత ఇన్నింగ్స్ లో నడుస్తుంది (బ్యాటింగ్ స్థానం) (27 *)', '34 వ కెరీర్ బాతులు (5)', '13 వ చెత్త కెరీర్ బౌలింగ్ సరాసరి (27.04)', '25 వ చెత్త కెరీర్లో ఆర్థిక రేటు (6.15) ',' 16 వ చెత్త కెరీర్లో సమ్మె రేటు (26.3) ',' పదవ వికెట్ను (12 *) 24 అత్యధిక భ"&amp;"ాగస్వామ్యం ',' 12 వ ఇన్నింగ్స్ లో వచ్చిన ఎక్కువ పనికత్తెలయొద్ద (2) ']")</f>
        <v>[ '9 వ అత్యంత ఇన్నింగ్స్ లో నడుస్తుంది (బ్యాటింగ్ స్థానం) (27 *)', '34 వ కెరీర్ బాతులు (5)', '13 వ చెత్త కెరీర్ బౌలింగ్ సరాసరి (27.04)', '25 వ చెత్త కెరీర్లో ఆర్థిక రేటు (6.15) ',' 16 వ చెత్త కెరీర్లో సమ్మె రేటు (26.3) ',' పదవ వికెట్ను (12 *) 24 అత్యధిక భాగస్వామ్యం ',' 12 వ ఇన్నింగ్స్ లో వచ్చిన ఎక్కువ పనికత్తెలయొద్ద (2) ']</v>
      </c>
      <c r="I3955" s="3"/>
    </row>
    <row r="3956" customHeight="1" spans="1:9">
      <c r="A3956" s="2"/>
      <c r="B3956" s="2" t="str">
        <f>IFERROR(__xludf.DUMMYFUNCTION("IF(A3956&lt;&gt;"""", GOOGLETRANSLATE(A3956, ""en"", ""te""),"""")"),"")</f>
        <v/>
      </c>
      <c r="C3956" s="2"/>
      <c r="D3956" s="2" t="str">
        <f>IFERROR(__xludf.DUMMYFUNCTION("IF(C3956&lt;&gt;"""", GOOGLETRANSLATE(C3956, ""en"", ""te""),"""")"),"")</f>
        <v/>
      </c>
      <c r="E3956" s="2"/>
      <c r="F3956" s="2" t="str">
        <f>IFERROR(__xludf.DUMMYFUNCTION("IF(E3956&lt;&gt;"""", GOOGLETRANSLATE(E3956, ""en"", ""te""),"""")"),"")</f>
        <v/>
      </c>
      <c r="G3956" s="2"/>
      <c r="H3956" s="2" t="str">
        <f>IFERROR(__xludf.DUMMYFUNCTION("IF(G3956&lt;&gt;"""", GOOGLETRANSLATE(G3956, ""en"", ""te""),"""")"),"")</f>
        <v/>
      </c>
      <c r="I3956" s="3"/>
    </row>
    <row r="3957" customHeight="1" spans="1:9">
      <c r="A3957" s="2"/>
      <c r="B3957" s="2" t="str">
        <f>IFERROR(__xludf.DUMMYFUNCTION("IF(A3957&lt;&gt;"""", GOOGLETRANSLATE(A3957, ""en"", ""te""),"""")"),"")</f>
        <v/>
      </c>
      <c r="C3957" s="2"/>
      <c r="D3957" s="2" t="str">
        <f>IFERROR(__xludf.DUMMYFUNCTION("IF(C3957&lt;&gt;"""", GOOGLETRANSLATE(C3957, ""en"", ""te""),"""")"),"")</f>
        <v/>
      </c>
      <c r="E3957" s="2"/>
      <c r="F3957" s="2" t="str">
        <f>IFERROR(__xludf.DUMMYFUNCTION("IF(E3957&lt;&gt;"""", GOOGLETRANSLATE(E3957, ""en"", ""te""),"""")"),"")</f>
        <v/>
      </c>
      <c r="G3957" s="2"/>
      <c r="H3957" s="2" t="str">
        <f>IFERROR(__xludf.DUMMYFUNCTION("IF(G3957&lt;&gt;"""", GOOGLETRANSLATE(G3957, ""en"", ""te""),"""")"),"")</f>
        <v/>
      </c>
      <c r="I3957" s="3"/>
    </row>
    <row r="3958" customHeight="1" spans="1:9">
      <c r="A3958" s="2" t="s">
        <v>1448</v>
      </c>
      <c r="B3958" s="2" t="str">
        <f>IFERROR(__xludf.DUMMYFUNCTION("IF(A3958&lt;&gt;"""", GOOGLETRANSLATE(A3958, ""en"", ""te""),"""")"),"[ 'లో 99 కాదు (మరియు 199, 299 etc) (99 *)']")</f>
        <v>[ 'లో 99 కాదు (మరియు 199, 299 etc) (99 *)']</v>
      </c>
      <c r="C3958" s="2"/>
      <c r="D3958" s="2" t="str">
        <f>IFERROR(__xludf.DUMMYFUNCTION("IF(C3958&lt;&gt;"""", GOOGLETRANSLATE(C3958, ""en"", ""te""),"""")"),"")</f>
        <v/>
      </c>
      <c r="E3958" s="2" t="s">
        <v>2790</v>
      </c>
      <c r="F3958" s="2" t="str">
        <f>IFERROR(__xludf.DUMMYFUNCTION("IF(E3958&lt;&gt;"""", GOOGLETRANSLATE(E3958, ""en"", ""te""),"""")"),"[ '1000 పరుగులు 45 వ వేగవంతమైన (29)' '13 వ లాంగెస్ట్ వ్యక్తిగత ఇన్నింగ్స్ (బంతులతో) (167)',]")</f>
        <v>[ '1000 పరుగులు 45 వ వేగవంతమైన (29)' '13 వ లాంగెస్ట్ వ్యక్తిగత ఇన్నింగ్స్ (బంతులతో) (167)',]</v>
      </c>
      <c r="G3958" s="2"/>
      <c r="H3958" s="2" t="str">
        <f>IFERROR(__xludf.DUMMYFUNCTION("IF(G3958&lt;&gt;"""", GOOGLETRANSLATE(G3958, ""en"", ""te""),"""")"),"")</f>
        <v/>
      </c>
      <c r="I3958" s="3"/>
    </row>
    <row r="3959" customHeight="1" spans="1:9">
      <c r="A3959" s="2"/>
      <c r="B3959" s="2" t="str">
        <f>IFERROR(__xludf.DUMMYFUNCTION("IF(A3959&lt;&gt;"""", GOOGLETRANSLATE(A3959, ""en"", ""te""),"""")"),"")</f>
        <v/>
      </c>
      <c r="C3959" s="2"/>
      <c r="D3959" s="2" t="str">
        <f>IFERROR(__xludf.DUMMYFUNCTION("IF(C3959&lt;&gt;"""", GOOGLETRANSLATE(C3959, ""en"", ""te""),"""")"),"")</f>
        <v/>
      </c>
      <c r="E3959" s="2"/>
      <c r="F3959" s="2" t="str">
        <f>IFERROR(__xludf.DUMMYFUNCTION("IF(E3959&lt;&gt;"""", GOOGLETRANSLATE(E3959, ""en"", ""te""),"""")"),"")</f>
        <v/>
      </c>
      <c r="G3959" s="2"/>
      <c r="H3959" s="2" t="str">
        <f>IFERROR(__xludf.DUMMYFUNCTION("IF(G3959&lt;&gt;"""", GOOGLETRANSLATE(G3959, ""en"", ""te""),"""")"),"")</f>
        <v/>
      </c>
      <c r="I3959" s="3"/>
    </row>
    <row r="3960" customHeight="1" spans="1:9">
      <c r="A3960" s="2" t="s">
        <v>2791</v>
      </c>
      <c r="B3960" s="2" t="str">
        <f>IFERROR(__xludf.DUMMYFUNCTION("IF(A3960&lt;&gt;"""", GOOGLETRANSLATE(A3960, ""en"", ""te""),"""")"),"[ '5 వ ఉత్తమ కెరీర్ బౌలింగ్ సరాసరి (అర్హత లేకుండా) (5.00)']")</f>
        <v>[ '5 వ ఉత్తమ కెరీర్ బౌలింగ్ సరాసరి (అర్హత లేకుండా) (5.00)']</v>
      </c>
      <c r="C3960" s="2"/>
      <c r="D3960" s="2" t="str">
        <f>IFERROR(__xludf.DUMMYFUNCTION("IF(C3960&lt;&gt;"""", GOOGLETRANSLATE(C3960, ""en"", ""te""),"""")"),"")</f>
        <v/>
      </c>
      <c r="E3960" s="2" t="s">
        <v>2792</v>
      </c>
      <c r="F3960" s="2" t="str">
        <f>IFERROR(__xludf.DUMMYFUNCTION("IF(E3960&lt;&gt;"""", GOOGLETRANSLATE(E3960, ""en"", ""te""),"""")"),"[ '5 వ ఉత్తమ కెరీర్ (5.00) (అర్హత లేకుండా) సగటు బౌలింగ్', '30 వ లాంగెస్ట్ క్రీడాకారులు (64y 315d) నివసించారు']")</f>
        <v>[ '5 వ ఉత్తమ కెరీర్ (5.00) (అర్హత లేకుండా) సగటు బౌలింగ్', '30 వ లాంగెస్ట్ క్రీడాకారులు (64y 315d) నివసించారు']</v>
      </c>
      <c r="G3960" s="2"/>
      <c r="H3960" s="2" t="str">
        <f>IFERROR(__xludf.DUMMYFUNCTION("IF(G3960&lt;&gt;"""", GOOGLETRANSLATE(G3960, ""en"", ""te""),"""")"),"")</f>
        <v/>
      </c>
      <c r="I3960" s="3"/>
    </row>
    <row r="3961" customHeight="1" spans="1:9">
      <c r="A3961" s="2"/>
      <c r="B3961" s="2" t="str">
        <f>IFERROR(__xludf.DUMMYFUNCTION("IF(A3961&lt;&gt;"""", GOOGLETRANSLATE(A3961, ""en"", ""te""),"""")"),"")</f>
        <v/>
      </c>
      <c r="C3961" s="2"/>
      <c r="D3961" s="2" t="str">
        <f>IFERROR(__xludf.DUMMYFUNCTION("IF(C3961&lt;&gt;"""", GOOGLETRANSLATE(C3961, ""en"", ""te""),"""")"),"")</f>
        <v/>
      </c>
      <c r="E3961" s="2"/>
      <c r="F3961" s="2" t="str">
        <f>IFERROR(__xludf.DUMMYFUNCTION("IF(E3961&lt;&gt;"""", GOOGLETRANSLATE(E3961, ""en"", ""te""),"""")"),"")</f>
        <v/>
      </c>
      <c r="G3961" s="2"/>
      <c r="H3961" s="2" t="str">
        <f>IFERROR(__xludf.DUMMYFUNCTION("IF(G3961&lt;&gt;"""", GOOGLETRANSLATE(G3961, ""en"", ""te""),"""")"),"")</f>
        <v/>
      </c>
      <c r="I3961" s="3"/>
    </row>
    <row r="3962" customHeight="1" spans="1:9">
      <c r="A3962" s="2"/>
      <c r="B3962" s="2" t="str">
        <f>IFERROR(__xludf.DUMMYFUNCTION("IF(A3962&lt;&gt;"""", GOOGLETRANSLATE(A3962, ""en"", ""te""),"""")"),"")</f>
        <v/>
      </c>
      <c r="C3962" s="2"/>
      <c r="D3962" s="2" t="str">
        <f>IFERROR(__xludf.DUMMYFUNCTION("IF(C3962&lt;&gt;"""", GOOGLETRANSLATE(C3962, ""en"", ""te""),"""")"),"")</f>
        <v/>
      </c>
      <c r="E3962" s="2"/>
      <c r="F3962" s="2" t="str">
        <f>IFERROR(__xludf.DUMMYFUNCTION("IF(E3962&lt;&gt;"""", GOOGLETRANSLATE(E3962, ""en"", ""te""),"""")"),"")</f>
        <v/>
      </c>
      <c r="G3962" s="2"/>
      <c r="H3962" s="2" t="str">
        <f>IFERROR(__xludf.DUMMYFUNCTION("IF(G3962&lt;&gt;"""", GOOGLETRANSLATE(G3962, ""en"", ""te""),"""")"),"")</f>
        <v/>
      </c>
      <c r="I3962" s="3"/>
    </row>
    <row r="3963" customHeight="1" spans="1:9">
      <c r="A3963" s="2"/>
      <c r="B3963" s="2" t="str">
        <f>IFERROR(__xludf.DUMMYFUNCTION("IF(A3963&lt;&gt;"""", GOOGLETRANSLATE(A3963, ""en"", ""te""),"""")"),"")</f>
        <v/>
      </c>
      <c r="C3963" s="2" t="s">
        <v>2793</v>
      </c>
      <c r="D3963" s="2" t="str">
        <f>IFERROR(__xludf.DUMMYFUNCTION("IF(C3963&lt;&gt;"""", GOOGLETRANSLATE(C3963, ""en"", ""te""),"""")"),"['21 వ చెత్త కెరీర్ బౌలింగ్ సరాసరి (అర్హత లేకుండా) (169.00) ']")</f>
        <v>['21 వ చెత్త కెరీర్ బౌలింగ్ సరాసరి (అర్హత లేకుండా) (169.00) ']</v>
      </c>
      <c r="E3963" s="2"/>
      <c r="F3963" s="2" t="str">
        <f>IFERROR(__xludf.DUMMYFUNCTION("IF(E3963&lt;&gt;"""", GOOGLETRANSLATE(E3963, ""en"", ""te""),"""")"),"")</f>
        <v/>
      </c>
      <c r="G3963" s="2"/>
      <c r="H3963" s="2" t="str">
        <f>IFERROR(__xludf.DUMMYFUNCTION("IF(G3963&lt;&gt;"""", GOOGLETRANSLATE(G3963, ""en"", ""te""),"""")"),"")</f>
        <v/>
      </c>
      <c r="I3963" s="3"/>
    </row>
    <row r="3964" customHeight="1" spans="1:9">
      <c r="A3964" s="2"/>
      <c r="B3964" s="2" t="str">
        <f>IFERROR(__xludf.DUMMYFUNCTION("IF(A3964&lt;&gt;"""", GOOGLETRANSLATE(A3964, ""en"", ""te""),"""")"),"")</f>
        <v/>
      </c>
      <c r="C3964" s="2"/>
      <c r="D3964" s="2" t="str">
        <f>IFERROR(__xludf.DUMMYFUNCTION("IF(C3964&lt;&gt;"""", GOOGLETRANSLATE(C3964, ""en"", ""te""),"""")"),"")</f>
        <v/>
      </c>
      <c r="E3964" s="2"/>
      <c r="F3964" s="2" t="str">
        <f>IFERROR(__xludf.DUMMYFUNCTION("IF(E3964&lt;&gt;"""", GOOGLETRANSLATE(E3964, ""en"", ""te""),"""")"),"")</f>
        <v/>
      </c>
      <c r="G3964" s="2"/>
      <c r="H3964" s="2" t="str">
        <f>IFERROR(__xludf.DUMMYFUNCTION("IF(G3964&lt;&gt;"""", GOOGLETRANSLATE(G3964, ""en"", ""te""),"""")"),"")</f>
        <v/>
      </c>
      <c r="I3964" s="3"/>
    </row>
    <row r="3965" customHeight="1" spans="1:9">
      <c r="A3965" s="2" t="s">
        <v>2794</v>
      </c>
      <c r="B3965" s="2" t="str">
        <f>IFERROR(__xludf.DUMMYFUNCTION("IF(A3965&lt;&gt;"""", GOOGLETRANSLATE(A3965, ""en"", ""te""),"""")"),"[ 'పెయిర్ తొలి' 'ఇన్నింగ్స్ లో 6 వ అత్యధిక పరుగులు (బ్యాటింగ్ స్థానంలో ప్రకారం) (122 *)', 'ఇన్నింగ్స్ లో 1 వ అత్యధిక స్ట్రైక్ రేట్ (387.50)']")</f>
        <v>[ 'పెయిర్ తొలి' 'ఇన్నింగ్స్ లో 6 వ అత్యధిక పరుగులు (బ్యాటింగ్ స్థానంలో ప్రకారం) (122 *)', 'ఇన్నింగ్స్ లో 1 వ అత్యధిక స్ట్రైక్ రేట్ (387.50)']</v>
      </c>
      <c r="C3965" s="2" t="s">
        <v>2795</v>
      </c>
      <c r="D3965" s="2" t="str">
        <f>IFERROR(__xludf.DUMMYFUNCTION("IF(C3965&lt;&gt;"""", GOOGLETRANSLATE(C3965, ""en"", ""te""),"""")"),"[ '6 వ భాగం (బ్యాటింగ్ స్థానంలో ద్వారా) ఒక ఇన్నింగ్స్ లో నడుస్తుంది (122 *)', '37 వ చెత్త కెరీర్లో ఆర్థిక రేటు (3.50)', 'ఇన్నింగ్స్ లో 25 చెత్త ఆర్థిక రేటు (6.69)']")</f>
        <v>[ '6 వ భాగం (బ్యాటింగ్ స్థానంలో ద్వారా) ఒక ఇన్నింగ్స్ లో నడుస్తుంది (122 *)', '37 వ చెత్త కెరీర్లో ఆర్థిక రేటు (3.50)', 'ఇన్నింగ్స్ లో 25 చెత్త ఆర్థిక రేటు (6.69)']</v>
      </c>
      <c r="E3965" s="2" t="s">
        <v>2796</v>
      </c>
      <c r="F3965" s="2" t="str">
        <f>IFERROR(__xludf.DUMMYFUNCTION("IF(E3965&lt;&gt;"""", GOOGLETRANSLATE(E3965, ""en"", ""te""),"""")"),"[ '1st అత్యధిక సమ్మె ఇన్నింగ్స్ లో రేటు (387.50)', 'ఎనిమిదవ వికెట్కు 14 అత్యధిక భాగస్వామ్యం (94)', 'పదవ వికెట్కు 21 అత్యధిక భాగస్వామ్యం (59)']")</f>
        <v>[ '1st అత్యధిక సమ్మె ఇన్నింగ్స్ లో రేటు (387.50)', 'ఎనిమిదవ వికెట్కు 14 అత్యధిక భాగస్వామ్యం (94)', 'పదవ వికెట్కు 21 అత్యధిక భాగస్వామ్యం (59)']</v>
      </c>
      <c r="G3965" s="2" t="s">
        <v>2797</v>
      </c>
      <c r="H3965" s="2" t="str">
        <f>IFERROR(__xludf.DUMMYFUNCTION("IF(G3965&lt;&gt;"""", GOOGLETRANSLATE(G3965, ""en"", ""te""),"""")"),"[ '45 వ ఇన్నింగ్స్ లో అత్యధిక పరుగులు (బ్యాటింగ్ స్థానంలో ప్రకారం) (50)', 'ఇన్నింగ్స్ (280.00) లో 42 వ అత్యధిక స్ట్రైక్ రేట్' 'మొదటి డక్ (25) ముందు 16 వ ఇన్నింగ్స్]")</f>
        <v>[ '45 వ ఇన్నింగ్స్ లో అత్యధిక పరుగులు (బ్యాటింగ్ స్థానంలో ప్రకారం) (50)', 'ఇన్నింగ్స్ (280.00) లో 42 వ అత్యధిక స్ట్రైక్ రేట్' 'మొదటి డక్ (25) ముందు 16 వ ఇన్నింగ్స్]</v>
      </c>
      <c r="I3965" s="3"/>
    </row>
    <row r="3966" customHeight="1" spans="1:9">
      <c r="A3966" s="2"/>
      <c r="B3966" s="2" t="str">
        <f>IFERROR(__xludf.DUMMYFUNCTION("IF(A3966&lt;&gt;"""", GOOGLETRANSLATE(A3966, ""en"", ""te""),"""")"),"")</f>
        <v/>
      </c>
      <c r="C3966" s="2"/>
      <c r="D3966" s="2" t="str">
        <f>IFERROR(__xludf.DUMMYFUNCTION("IF(C3966&lt;&gt;"""", GOOGLETRANSLATE(C3966, ""en"", ""te""),"""")"),"")</f>
        <v/>
      </c>
      <c r="E3966" s="2"/>
      <c r="F3966" s="2" t="str">
        <f>IFERROR(__xludf.DUMMYFUNCTION("IF(E3966&lt;&gt;"""", GOOGLETRANSLATE(E3966, ""en"", ""te""),"""")"),"")</f>
        <v/>
      </c>
      <c r="G3966" s="2"/>
      <c r="H3966" s="2" t="str">
        <f>IFERROR(__xludf.DUMMYFUNCTION("IF(G3966&lt;&gt;"""", GOOGLETRANSLATE(G3966, ""en"", ""te""),"""")"),"")</f>
        <v/>
      </c>
      <c r="I3966" s="3"/>
    </row>
    <row r="3967" customHeight="1" spans="1:9">
      <c r="A3967" s="2"/>
      <c r="B3967" s="2" t="str">
        <f>IFERROR(__xludf.DUMMYFUNCTION("IF(A3967&lt;&gt;"""", GOOGLETRANSLATE(A3967, ""en"", ""te""),"""")"),"")</f>
        <v/>
      </c>
      <c r="C3967" s="2" t="s">
        <v>2798</v>
      </c>
      <c r="D3967" s="2" t="str">
        <f>IFERROR(__xludf.DUMMYFUNCTION("IF(C3967&lt;&gt;"""", GOOGLETRANSLATE(C3967, ""en"", ""te""),"""")"),"[ 'లేకుండా కెరీర్లో 45 వ అత్యధిక పరుగులు వంద (1038)']")</f>
        <v>[ 'లేకుండా కెరీర్లో 45 వ అత్యధిక పరుగులు వంద (1038)']</v>
      </c>
      <c r="E3967" s="2"/>
      <c r="F3967" s="2" t="str">
        <f>IFERROR(__xludf.DUMMYFUNCTION("IF(E3967&lt;&gt;"""", GOOGLETRANSLATE(E3967, ""en"", ""te""),"""")"),"")</f>
        <v/>
      </c>
      <c r="G3967" s="2"/>
      <c r="H3967" s="2" t="str">
        <f>IFERROR(__xludf.DUMMYFUNCTION("IF(G3967&lt;&gt;"""", GOOGLETRANSLATE(G3967, ""en"", ""te""),"""")"),"")</f>
        <v/>
      </c>
      <c r="I3967" s="3"/>
    </row>
    <row r="3968" customHeight="1" spans="1:9">
      <c r="A3968" s="2"/>
      <c r="B3968" s="2" t="str">
        <f>IFERROR(__xludf.DUMMYFUNCTION("IF(A3968&lt;&gt;"""", GOOGLETRANSLATE(A3968, ""en"", ""te""),"""")"),"")</f>
        <v/>
      </c>
      <c r="C3968" s="2"/>
      <c r="D3968" s="2" t="str">
        <f>IFERROR(__xludf.DUMMYFUNCTION("IF(C3968&lt;&gt;"""", GOOGLETRANSLATE(C3968, ""en"", ""te""),"""")"),"")</f>
        <v/>
      </c>
      <c r="E3968" s="2"/>
      <c r="F3968" s="2" t="str">
        <f>IFERROR(__xludf.DUMMYFUNCTION("IF(E3968&lt;&gt;"""", GOOGLETRANSLATE(E3968, ""en"", ""te""),"""")"),"")</f>
        <v/>
      </c>
      <c r="G3968" s="2"/>
      <c r="H3968" s="2" t="str">
        <f>IFERROR(__xludf.DUMMYFUNCTION("IF(G3968&lt;&gt;"""", GOOGLETRANSLATE(G3968, ""en"", ""te""),"""")"),"")</f>
        <v/>
      </c>
      <c r="I3968" s="3"/>
    </row>
    <row r="3969" customHeight="1" spans="1:9">
      <c r="A3969" s="2"/>
      <c r="B3969" s="2" t="str">
        <f>IFERROR(__xludf.DUMMYFUNCTION("IF(A3969&lt;&gt;"""", GOOGLETRANSLATE(A3969, ""en"", ""te""),"""")"),"")</f>
        <v/>
      </c>
      <c r="C3969" s="2"/>
      <c r="D3969" s="2" t="str">
        <f>IFERROR(__xludf.DUMMYFUNCTION("IF(C3969&lt;&gt;"""", GOOGLETRANSLATE(C3969, ""en"", ""te""),"""")"),"")</f>
        <v/>
      </c>
      <c r="E3969" s="2"/>
      <c r="F3969" s="2" t="str">
        <f>IFERROR(__xludf.DUMMYFUNCTION("IF(E3969&lt;&gt;"""", GOOGLETRANSLATE(E3969, ""en"", ""te""),"""")"),"")</f>
        <v/>
      </c>
      <c r="G3969" s="2"/>
      <c r="H3969" s="2" t="str">
        <f>IFERROR(__xludf.DUMMYFUNCTION("IF(G3969&lt;&gt;"""", GOOGLETRANSLATE(G3969, ""en"", ""te""),"""")"),"")</f>
        <v/>
      </c>
      <c r="I3969" s="3"/>
    </row>
    <row r="3970" customHeight="1" spans="1:9">
      <c r="A3970" s="2" t="s">
        <v>296</v>
      </c>
      <c r="B3970" s="2" t="str">
        <f>IFERROR(__xludf.DUMMYFUNCTION("IF(A3970&lt;&gt;"""", GOOGLETRANSLATE(A3970, ""en"", ""te""),"""")"),"[ 'ఒక మ్యాచ్లో ప్రతి ఇన్నింగ్స్లో హండ్రెడ్']")</f>
        <v>[ 'ఒక మ్యాచ్లో ప్రతి ఇన్నింగ్స్లో హండ్రెడ్']</v>
      </c>
      <c r="C3970" s="2"/>
      <c r="D3970" s="2" t="str">
        <f>IFERROR(__xludf.DUMMYFUNCTION("IF(C3970&lt;&gt;"""", GOOGLETRANSLATE(C3970, ""en"", ""te""),"""")"),"")</f>
        <v/>
      </c>
      <c r="E3970" s="2"/>
      <c r="F3970" s="2" t="str">
        <f>IFERROR(__xludf.DUMMYFUNCTION("IF(E3970&lt;&gt;"""", GOOGLETRANSLATE(E3970, ""en"", ""te""),"""")"),"")</f>
        <v/>
      </c>
      <c r="G3970" s="2" t="s">
        <v>2799</v>
      </c>
      <c r="H3970" s="2" t="str">
        <f>IFERROR(__xludf.DUMMYFUNCTION("IF(G3970&lt;&gt;"""", GOOGLETRANSLATE(G3970, ""en"", ""te""),"""")"),"[ '36 వ వరుస మ్యాచ్లు ప్రదర్శనల మధ్య (40) జట్టు తప్పిన']")</f>
        <v>[ '36 వ వరుస మ్యాచ్లు ప్రదర్శనల మధ్య (40) జట్టు తప్పిన']</v>
      </c>
      <c r="I3970" s="3"/>
    </row>
    <row r="3971" customHeight="1" spans="1:9">
      <c r="A3971" s="2" t="s">
        <v>2800</v>
      </c>
      <c r="B3971" s="2" t="str">
        <f>IFERROR(__xludf.DUMMYFUNCTION("IF(A3971&lt;&gt;"""", GOOGLETRANSLATE(A3971, ""en"", ""te""),"""")"),"[ '10 వ ఇన్నింగ్స్ లో అత్యధిక పరుగులు (బ్యాటింగ్ స్థానంలో ప్రకారం) (73 *)']")</f>
        <v>[ '10 వ ఇన్నింగ్స్ లో అత్యధిక పరుగులు (బ్యాటింగ్ స్థానంలో ప్రకారం) (73 *)']</v>
      </c>
      <c r="C3971" s="2"/>
      <c r="D3971" s="2" t="str">
        <f>IFERROR(__xludf.DUMMYFUNCTION("IF(C3971&lt;&gt;"""", GOOGLETRANSLATE(C3971, ""en"", ""te""),"""")"),"")</f>
        <v/>
      </c>
      <c r="E3971" s="2" t="s">
        <v>2801</v>
      </c>
      <c r="F3971" s="2" t="str">
        <f>IFERROR(__xludf.DUMMYFUNCTION("IF(E3971&lt;&gt;"""", GOOGLETRANSLATE(E3971, ""en"", ""te""),"""")"),"[ '10 వ ఇన్నింగ్స్ లో అత్యధిక పరుగులు (బ్యాటింగ్ స్థానంలో ప్రకారం) (73 *)', '34 వ పరాజయం వైపు ఒక మ్యాచ్లో అత్యధిక పరుగులు (91)', 'లేకుండా 11 ఒక జీవితంలో అత్యధిక పరుగులు వంద (1403)', '38 వ కెరీర్ అర్ధ (14)', 'వరుస ఇన్నింగ్స్లో 28 యాభైల్లో (3)', 'నాలుగవ వ"&amp;"ికెట్కు (104) కోసం 38 వ అత్యధిక భాగస్వామ్యం']")</f>
        <v>[ '10 వ ఇన్నింగ్స్ లో అత్యధిక పరుగులు (బ్యాటింగ్ స్థానంలో ప్రకారం) (73 *)', '34 వ పరాజయం వైపు ఒక మ్యాచ్లో అత్యధిక పరుగులు (91)', 'లేకుండా 11 ఒక జీవితంలో అత్యధిక పరుగులు వంద (1403)', '38 వ కెరీర్ అర్ధ (14)', 'వరుస ఇన్నింగ్స్లో 28 యాభైల్లో (3)', 'నాలుగవ వికెట్కు (104) కోసం 38 వ అత్యధిక భాగస్వామ్యం']</v>
      </c>
      <c r="G3971" s="2" t="s">
        <v>2802</v>
      </c>
      <c r="H3971" s="2" t="str">
        <f>IFERROR(__xludf.DUMMYFUNCTION("IF(G3971&lt;&gt;"""", GOOGLETRANSLATE(G3971, ""en"", ""te""),"""")"),"[ '19 తొలి మ్యాచ్లో అత్యధిక పరుగులు (43)']")</f>
        <v>[ '19 తొలి మ్యాచ్లో అత్యధిక పరుగులు (43)']</v>
      </c>
      <c r="I3971" s="3"/>
    </row>
    <row r="3972" customHeight="1" spans="1:9">
      <c r="A3972" s="2"/>
      <c r="B3972" s="2" t="str">
        <f>IFERROR(__xludf.DUMMYFUNCTION("IF(A3972&lt;&gt;"""", GOOGLETRANSLATE(A3972, ""en"", ""te""),"""")"),"")</f>
        <v/>
      </c>
      <c r="C3972" s="2"/>
      <c r="D3972" s="2" t="str">
        <f>IFERROR(__xludf.DUMMYFUNCTION("IF(C3972&lt;&gt;"""", GOOGLETRANSLATE(C3972, ""en"", ""te""),"""")"),"")</f>
        <v/>
      </c>
      <c r="E3972" s="2" t="s">
        <v>477</v>
      </c>
      <c r="F3972" s="2" t="str">
        <f>IFERROR(__xludf.DUMMYFUNCTION("IF(E3972&lt;&gt;"""", GOOGLETRANSLATE(E3972, ""en"", ""te""),"""")"),"[ '49 వ వరుస మ్యాచ్లు ప్రదర్శనల మధ్య (29) జట్టు తప్పిన']")</f>
        <v>[ '49 వ వరుస మ్యాచ్లు ప్రదర్శనల మధ్య (29) జట్టు తప్పిన']</v>
      </c>
      <c r="G3972" s="2"/>
      <c r="H3972" s="2" t="str">
        <f>IFERROR(__xludf.DUMMYFUNCTION("IF(G3972&lt;&gt;"""", GOOGLETRANSLATE(G3972, ""en"", ""te""),"""")"),"")</f>
        <v/>
      </c>
      <c r="I3972" s="3"/>
    </row>
    <row r="3973" customHeight="1" spans="1:9">
      <c r="A3973" s="2"/>
      <c r="B3973" s="2" t="str">
        <f>IFERROR(__xludf.DUMMYFUNCTION("IF(A3973&lt;&gt;"""", GOOGLETRANSLATE(A3973, ""en"", ""te""),"""")"),"")</f>
        <v/>
      </c>
      <c r="C3973" s="2"/>
      <c r="D3973" s="2" t="str">
        <f>IFERROR(__xludf.DUMMYFUNCTION("IF(C3973&lt;&gt;"""", GOOGLETRANSLATE(C3973, ""en"", ""te""),"""")"),"")</f>
        <v/>
      </c>
      <c r="E3973" s="2" t="s">
        <v>2803</v>
      </c>
      <c r="F3973" s="2" t="str">
        <f>IFERROR(__xludf.DUMMYFUNCTION("IF(E3973&lt;&gt;"""", GOOGLETRANSLATE(E3973, ""en"", ""te""),"""")"),"[ '16 వ ఒక సిరీస్లో అత్యధిక వికెట్లు (21)', '12 వ ఉత్తమ కెరీర్ సమ్మె రేటు (28.3)', 'ఫాస్టెస్ట్ 50 వికెట్లు 32 వ (29)']")</f>
        <v>[ '16 వ ఒక సిరీస్లో అత్యధిక వికెట్లు (21)', '12 వ ఉత్తమ కెరీర్ సమ్మె రేటు (28.3)', 'ఫాస్టెస్ట్ 50 వికెట్లు 32 వ (29)']</v>
      </c>
      <c r="G3973" s="2" t="s">
        <v>2804</v>
      </c>
      <c r="H3973" s="2" t="str">
        <f>IFERROR(__xludf.DUMMYFUNCTION("IF(G3973&lt;&gt;"""", GOOGLETRANSLATE(G3973, ""en"", ""te""),"""")"),"[ '34 వ ఇన్నింగ్స్ లో బెస్ట్ ఫిగర్స్ (5/21)']")</f>
        <v>[ '34 వ ఇన్నింగ్స్ లో బెస్ట్ ఫిగర్స్ (5/21)']</v>
      </c>
      <c r="I3973" s="3"/>
    </row>
    <row r="3974" customHeight="1" spans="1:9">
      <c r="A3974" s="2"/>
      <c r="B3974" s="2" t="str">
        <f>IFERROR(__xludf.DUMMYFUNCTION("IF(A3974&lt;&gt;"""", GOOGLETRANSLATE(A3974, ""en"", ""te""),"""")"),"")</f>
        <v/>
      </c>
      <c r="C3974" s="2"/>
      <c r="D3974" s="2" t="str">
        <f>IFERROR(__xludf.DUMMYFUNCTION("IF(C3974&lt;&gt;"""", GOOGLETRANSLATE(C3974, ""en"", ""te""),"""")"),"")</f>
        <v/>
      </c>
      <c r="E3974" s="2"/>
      <c r="F3974" s="2" t="str">
        <f>IFERROR(__xludf.DUMMYFUNCTION("IF(E3974&lt;&gt;"""", GOOGLETRANSLATE(E3974, ""en"", ""te""),"""")"),"")</f>
        <v/>
      </c>
      <c r="G3974" s="2"/>
      <c r="H3974" s="2" t="str">
        <f>IFERROR(__xludf.DUMMYFUNCTION("IF(G3974&lt;&gt;"""", GOOGLETRANSLATE(G3974, ""en"", ""te""),"""")"),"")</f>
        <v/>
      </c>
      <c r="I3974" s="3"/>
    </row>
    <row r="3975" customHeight="1" spans="1:9">
      <c r="A3975" s="2"/>
      <c r="B3975" s="2" t="str">
        <f>IFERROR(__xludf.DUMMYFUNCTION("IF(A3975&lt;&gt;"""", GOOGLETRANSLATE(A3975, ""en"", ""te""),"""")"),"")</f>
        <v/>
      </c>
      <c r="C3975" s="2"/>
      <c r="D3975" s="2" t="str">
        <f>IFERROR(__xludf.DUMMYFUNCTION("IF(C3975&lt;&gt;"""", GOOGLETRANSLATE(C3975, ""en"", ""te""),"""")"),"")</f>
        <v/>
      </c>
      <c r="E3975" s="2"/>
      <c r="F3975" s="2" t="str">
        <f>IFERROR(__xludf.DUMMYFUNCTION("IF(E3975&lt;&gt;"""", GOOGLETRANSLATE(E3975, ""en"", ""te""),"""")"),"")</f>
        <v/>
      </c>
      <c r="G3975" s="2"/>
      <c r="H3975" s="2" t="str">
        <f>IFERROR(__xludf.DUMMYFUNCTION("IF(G3975&lt;&gt;"""", GOOGLETRANSLATE(G3975, ""en"", ""te""),"""")"),"")</f>
        <v/>
      </c>
      <c r="I3975" s="3"/>
    </row>
    <row r="3976" customHeight="1" spans="1:9">
      <c r="A3976" s="2"/>
      <c r="B3976" s="2" t="str">
        <f>IFERROR(__xludf.DUMMYFUNCTION("IF(A3976&lt;&gt;"""", GOOGLETRANSLATE(A3976, ""en"", ""te""),"""")"),"")</f>
        <v/>
      </c>
      <c r="C3976" s="2"/>
      <c r="D3976" s="2" t="str">
        <f>IFERROR(__xludf.DUMMYFUNCTION("IF(C3976&lt;&gt;"""", GOOGLETRANSLATE(C3976, ""en"", ""te""),"""")"),"")</f>
        <v/>
      </c>
      <c r="E3976" s="2"/>
      <c r="F3976" s="2" t="str">
        <f>IFERROR(__xludf.DUMMYFUNCTION("IF(E3976&lt;&gt;"""", GOOGLETRANSLATE(E3976, ""en"", ""te""),"""")"),"")</f>
        <v/>
      </c>
      <c r="G3976" s="2"/>
      <c r="H3976" s="2" t="str">
        <f>IFERROR(__xludf.DUMMYFUNCTION("IF(G3976&lt;&gt;"""", GOOGLETRANSLATE(G3976, ""en"", ""te""),"""")"),"")</f>
        <v/>
      </c>
      <c r="I3976" s="3"/>
    </row>
    <row r="3977" customHeight="1" spans="1:9">
      <c r="A3977" s="2"/>
      <c r="B3977" s="2" t="str">
        <f>IFERROR(__xludf.DUMMYFUNCTION("IF(A3977&lt;&gt;"""", GOOGLETRANSLATE(A3977, ""en"", ""te""),"""")"),"")</f>
        <v/>
      </c>
      <c r="C3977" s="2"/>
      <c r="D3977" s="2" t="str">
        <f>IFERROR(__xludf.DUMMYFUNCTION("IF(C3977&lt;&gt;"""", GOOGLETRANSLATE(C3977, ""en"", ""te""),"""")"),"")</f>
        <v/>
      </c>
      <c r="E3977" s="2"/>
      <c r="F3977" s="2" t="str">
        <f>IFERROR(__xludf.DUMMYFUNCTION("IF(E3977&lt;&gt;"""", GOOGLETRANSLATE(E3977, ""en"", ""te""),"""")"),"")</f>
        <v/>
      </c>
      <c r="G3977" s="2"/>
      <c r="H3977" s="2" t="str">
        <f>IFERROR(__xludf.DUMMYFUNCTION("IF(G3977&lt;&gt;"""", GOOGLETRANSLATE(G3977, ""en"", ""te""),"""")"),"")</f>
        <v/>
      </c>
      <c r="I3977" s="3"/>
    </row>
    <row r="3978" customHeight="1" spans="1:9">
      <c r="A3978" s="2" t="s">
        <v>2805</v>
      </c>
      <c r="B3978" s="2" t="str">
        <f>IFERROR(__xludf.DUMMYFUNCTION("IF(A3978&lt;&gt;"""", GOOGLETRANSLATE(A3978, ""en"", ""te""),"""")"),"[ 'ఒక జట్టు కెప్టెన్గా 3 వ వరుస మ్యాచ్లు (65)', 'ఇన్నింగ్స్ లో 2 వ అత్యధిక స్ట్రైక్ రేట్ (281.81)', '10 వ కెరీర్ లో అత్యంత తొంభైల (6)', 'ఒక మ్యాచ్ లో రెండు అజేయంగా అర్ధ', ' నూట ఒక మ్యాచ్ ',' 1st డకౌట్ ఇన్నింగ్స్ లో అత్యధిక క్యాచ్లు (5) ',' 5000 పరుగులు "&amp;"మరియు 50 ఫీల్డింగ్ వికెట్లు ',' ఎనిమిదవ వికెట్ (256) 3 వ అత్యధిక భాగస్వామ్యం ',' కెప్టెన్ 2 వ అత్యధిక మ్యాచ్లు ( 218) ',' ఇన్నింగ్స్ లో తొలి 1st తొంభై (90) ',' 2 వ అత్యధిక క్యాచ్లు (4) ',' 5000 పరుగులు మరియు 50 ఫీల్డింగ్ వికెట్లు ',' ఒక జట్టు కెప్టెన్గా "&amp;"(56 10 వ వరుస మ్యాచ్లు) ', '6 వ అత్యధిక కెరీర్ (306) లో పట్టుకొని']")</f>
        <v>[ 'ఒక జట్టు కెప్టెన్గా 3 వ వరుస మ్యాచ్లు (65)', 'ఇన్నింగ్స్ లో 2 వ అత్యధిక స్ట్రైక్ రేట్ (281.81)', '10 వ కెరీర్ లో అత్యంత తొంభైల (6)', 'ఒక మ్యాచ్ లో రెండు అజేయంగా అర్ధ', ' నూట ఒక మ్యాచ్ ',' 1st డకౌట్ ఇన్నింగ్స్ లో అత్యధిక క్యాచ్లు (5) ',' 5000 పరుగులు మరియు 50 ఫీల్డింగ్ వికెట్లు ',' ఎనిమిదవ వికెట్ (256) 3 వ అత్యధిక భాగస్వామ్యం ',' కెప్టెన్ 2 వ అత్యధిక మ్యాచ్లు ( 218) ',' ఇన్నింగ్స్ లో తొలి 1st తొంభై (90) ',' 2 వ అత్యధిక క్యాచ్లు (4) ',' 5000 పరుగులు మరియు 50 ఫీల్డింగ్ వికెట్లు ',' ఒక జట్టు కెప్టెన్గా (56 10 వ వరుస మ్యాచ్లు) ', '6 వ అత్యధిక కెరీర్ (306) లో పట్టుకొని']</v>
      </c>
      <c r="C3978" s="2" t="s">
        <v>2806</v>
      </c>
      <c r="D3978" s="2" t="str">
        <f>IFERROR(__xludf.DUMMYFUNCTION("IF(C3978&lt;&gt;"""", GOOGLETRANSLATE(C3978, ""en"", ""te""),"""")"),"[ '50 వ అత్యధిక కెరీర్ లో పరుగులు (7172)', 'ఒక మ్యాచ్లో 18 వ అత్యధిక పరుగులు (343)', 'ఒక కెప్టెన్తో ఇన్నింగ్స్ 12 వ అత్యధిక పరుగులు (274 *)', '2 వ అత్యధిక స్ట్రైక్ రేట్ ఇన్నింగ్స్ లో (281.81 ) ',' ఒక కెరీర్లో 27 వ అత్యధిక డబుల్ సెంచరీలు (3) ',' 10 వ అత్య"&amp;"ంత తొంభైల కెరీర్లో (6) ',' 22 వ తొంభై తొలి (92) ',' 39 వ అత్యంత అర్ధ కెరీర్లో (55) ',' 31 జీవితంలో అత్యధిక ఫోర్లు (917) ',' కెరీర్ లో 7 వ అత్యధిక క్యాచ్లు (171) ',' 1 వ ఇన్నింగ్స్ లో అత్యధిక క్యాచ్లు (5) ',' 2 వ అత్యధిక క్యాచ్లు ఒక మ్యాచ్లో (7) ',' 42 వ"&amp;" అత్యంత ఒక లో క్యాచ్లు సిరీస్ (10) ',' ఎనిమిదవ వికెట్కు 3 వ అత్యధిక భాగస్వామ్యం (256) ',' 43 వ కెరీర్ లో అత్యధిక మ్యాచ్లు (111) ',' ఒక జట్టు కోసం 19 వరుస మ్యాచ్లు (72) ',' 3 వ అత్యంత కెప్టెన్గా పోటీలు ( ఒక జట్టు కెప్టెన్గా 80) ',' 3 వ వరుస మ్యాచ్లు (65) '"&amp;",' 47 వ వరుస అన్ని టాస్ గెలిచిన (3) ',' 15 వ పిన్న కాప్టెన్ (23y 319d) ']")</f>
        <v>[ '50 వ అత్యధిక కెరీర్ లో పరుగులు (7172)', 'ఒక మ్యాచ్లో 18 వ అత్యధిక పరుగులు (343)', 'ఒక కెప్టెన్తో ఇన్నింగ్స్ 12 వ అత్యధిక పరుగులు (274 *)', '2 వ అత్యధిక స్ట్రైక్ రేట్ ఇన్నింగ్స్ లో (281.81 ) ',' ఒక కెరీర్లో 27 వ అత్యధిక డబుల్ సెంచరీలు (3) ',' 10 వ అత్యంత తొంభైల కెరీర్లో (6) ',' 22 వ తొంభై తొలి (92) ',' 39 వ అత్యంత అర్ధ కెరీర్లో (55) ',' 31 జీవితంలో అత్యధిక ఫోర్లు (917) ',' కెరీర్ లో 7 వ అత్యధిక క్యాచ్లు (171) ',' 1 వ ఇన్నింగ్స్ లో అత్యధిక క్యాచ్లు (5) ',' 2 వ అత్యధిక క్యాచ్లు ఒక మ్యాచ్లో (7) ',' 42 వ అత్యంత ఒక లో క్యాచ్లు సిరీస్ (10) ',' ఎనిమిదవ వికెట్కు 3 వ అత్యధిక భాగస్వామ్యం (256) ',' 43 వ కెరీర్ లో అత్యధిక మ్యాచ్లు (111) ',' ఒక జట్టు కోసం 19 వరుస మ్యాచ్లు (72) ',' 3 వ అత్యంత కెప్టెన్గా పోటీలు ( ఒక జట్టు కెప్టెన్గా 80) ',' 3 వ వరుస మ్యాచ్లు (65) ',' 47 వ వరుస అన్ని టాస్ గెలిచిన (3) ',' 15 వ పిన్న కాప్టెన్ (23y 319d) ']</v>
      </c>
      <c r="E3978" s="2" t="s">
        <v>2807</v>
      </c>
      <c r="F3978" s="2" t="str">
        <f>IFERROR(__xludf.DUMMYFUNCTION("IF(E3978&lt;&gt;"""", GOOGLETRANSLATE(E3978, ""en"", ""te""),"""")"),"[ '32 వ కెరీర్ లో అత్యధిక పరుగులు (8037)', 'ఒక కెప్టెన్ ద్వారా ఒక సిరీస్లో 36 వ అత్యధిక పరుగులు (353)', 'ఒక కెప్టెన్తో ఇన్నింగ్స్ లో 43 అత్యధిక పరుగులు (134 *)', '21 వ అత్యంత తొలి మ్యాచ్లో పరుగులు (90) ',' 34 వ కెరీర్ తొంభైల (4) ',' 1st కెరీర్లో 99 (199,"&amp;" 299 etc) (99) ',' 1st తొంభై తొలి (90) ',' 36 వ అత్యంత అర్ధ కోసం తీసివేసిన ( 57) ',' ఒక డక్ లేకుండా 20 వరుస ఇన్నింగ్స్ (78) ',' 30 వ కెరీర్ బాతులు (17) ',' 22 వ కెరీర్ ఫోర్లు (823) ',' 14 వ అత్యంత ఇన్నింగ్స్ లో ఫోర్లు (21) ' '36th 7000 పరుగులు (237) వేగం"&amp;"గా', '30 వ వేగవంతమైన 8000 పరుగులు (267)', '6 వ కెరీర్లో అత్యధిక క్యాచ్లు (133)', '8 వ అత్యధిక క్యాచ్లు' ఇన్నింగ్స్ (4) 2 వ అత్యధిక క్యాచ్లు ' వరుస (10) ',' 29th కెరీర్లో అత్యధిక మ్యాచ్లు (280) ',' 46 వ అత్యంత ప్లేయర్ ఆఫ్ ది మ్యాచ్ అవార్డులు (17) ',' 2 వ "&amp;"అత్యధిక మ్యాచ్లు కెప్టెన్గా (218) ',' 10 వ వరుస ఒక జట్టు కెప్టెన్గా మ్యాచ్లు (56) ',' 38 వ వరుస అన్ని టాస్ గెలిచిన (3) ',' 24th పిన్న కాప్టెన్ (23y 358d) ']")</f>
        <v>[ '32 వ కెరీర్ లో అత్యధిక పరుగులు (8037)', 'ఒక కెప్టెన్ ద్వారా ఒక సిరీస్లో 36 వ అత్యధిక పరుగులు (353)', 'ఒక కెప్టెన్తో ఇన్నింగ్స్ లో 43 అత్యధిక పరుగులు (134 *)', '21 వ అత్యంత తొలి మ్యాచ్లో పరుగులు (90) ',' 34 వ కెరీర్ తొంభైల (4) ',' 1st కెరీర్లో 99 (199, 299 etc) (99) ',' 1st తొంభై తొలి (90) ',' 36 వ అత్యంత అర్ధ కోసం తీసివేసిన ( 57) ',' ఒక డక్ లేకుండా 20 వరుస ఇన్నింగ్స్ (78) ',' 30 వ కెరీర్ బాతులు (17) ',' 22 వ కెరీర్ ఫోర్లు (823) ',' 14 వ అత్యంత ఇన్నింగ్స్ లో ఫోర్లు (21) ' '36th 7000 పరుగులు (237) వేగంగా', '30 వ వేగవంతమైన 8000 పరుగులు (267)', '6 వ కెరీర్లో అత్యధిక క్యాచ్లు (133)', '8 వ అత్యధిక క్యాచ్లు' ఇన్నింగ్స్ (4) 2 వ అత్యధిక క్యాచ్లు ' వరుస (10) ',' 29th కెరీర్లో అత్యధిక మ్యాచ్లు (280) ',' 46 వ అత్యంత ప్లేయర్ ఆఫ్ ది మ్యాచ్ అవార్డులు (17) ',' 2 వ అత్యధిక మ్యాచ్లు కెప్టెన్గా (218) ',' 10 వ వరుస ఒక జట్టు కెప్టెన్గా మ్యాచ్లు (56) ',' 38 వ వరుస అన్ని టాస్ గెలిచిన (3) ',' 24th పిన్న కాప్టెన్ (23y 358d) ']</v>
      </c>
      <c r="G3978" s="2" t="s">
        <v>2808</v>
      </c>
      <c r="H3978" s="2" t="str">
        <f>IFERROR(__xludf.DUMMYFUNCTION("IF(G3978&lt;&gt;"""", GOOGLETRANSLATE(G3978, ""en"", ""te""),"""")"),"[ '46 వ పురాతన దేశం ఆటగాళ్ళు (47y 348d)', '10 వ వరుస మ్యాచ్లు ఒక జట్టు కెప్టెన్గా (56)']")</f>
        <v>[ '46 వ పురాతన దేశం ఆటగాళ్ళు (47y 348d)', '10 వ వరుస మ్యాచ్లు ఒక జట్టు కెప్టెన్గా (56)']</v>
      </c>
      <c r="I3978" s="3"/>
    </row>
    <row r="3979" customHeight="1" spans="1:9">
      <c r="A3979" s="2"/>
      <c r="B3979" s="2" t="str">
        <f>IFERROR(__xludf.DUMMYFUNCTION("IF(A3979&lt;&gt;"""", GOOGLETRANSLATE(A3979, ""en"", ""te""),"""")"),"")</f>
        <v/>
      </c>
      <c r="C3979" s="2"/>
      <c r="D3979" s="2" t="str">
        <f>IFERROR(__xludf.DUMMYFUNCTION("IF(C3979&lt;&gt;"""", GOOGLETRANSLATE(C3979, ""en"", ""te""),"""")"),"")</f>
        <v/>
      </c>
      <c r="E3979" s="2"/>
      <c r="F3979" s="2" t="str">
        <f>IFERROR(__xludf.DUMMYFUNCTION("IF(E3979&lt;&gt;"""", GOOGLETRANSLATE(E3979, ""en"", ""te""),"""")"),"")</f>
        <v/>
      </c>
      <c r="G3979" s="2"/>
      <c r="H3979" s="2" t="str">
        <f>IFERROR(__xludf.DUMMYFUNCTION("IF(G3979&lt;&gt;"""", GOOGLETRANSLATE(G3979, ""en"", ""te""),"""")"),"")</f>
        <v/>
      </c>
      <c r="I3979" s="3"/>
    </row>
    <row r="3980" customHeight="1" spans="1:9">
      <c r="A3980" s="2"/>
      <c r="B3980" s="2" t="str">
        <f>IFERROR(__xludf.DUMMYFUNCTION("IF(A3980&lt;&gt;"""", GOOGLETRANSLATE(A3980, ""en"", ""te""),"""")"),"")</f>
        <v/>
      </c>
      <c r="C3980" s="2" t="s">
        <v>2809</v>
      </c>
      <c r="D3980" s="2" t="str">
        <f>IFERROR(__xludf.DUMMYFUNCTION("IF(C3980&lt;&gt;"""", GOOGLETRANSLATE(C3980, ""en"", ""te""),"""")"),"[ '30 వ అంపాయర్ (37) గా అత్యధిక మ్యాచ్లు']")</f>
        <v>[ '30 వ అంపాయర్ (37) గా అత్యధిక మ్యాచ్లు']</v>
      </c>
      <c r="E3980" s="2" t="s">
        <v>2810</v>
      </c>
      <c r="F3980" s="2" t="str">
        <f>IFERROR(__xludf.DUMMYFUNCTION("IF(E3980&lt;&gt;"""", GOOGLETRANSLATE(E3980, ""en"", ""te""),"""")"),"[ '30 వ అంపాయర్ (71) గా అత్యధిక మ్యాచ్లు']")</f>
        <v>[ '30 వ అంపాయర్ (71) గా అత్యధిక మ్యాచ్లు']</v>
      </c>
      <c r="G3980" s="2" t="s">
        <v>2811</v>
      </c>
      <c r="H3980" s="2" t="str">
        <f>IFERROR(__xludf.DUMMYFUNCTION("IF(G3980&lt;&gt;"""", GOOGLETRANSLATE(G3980, ""en"", ""te""),"""")"),"[18 వ అంపాయర్ (28) గా అత్యధిక మ్యాచ్లు ']")</f>
        <v>[18 వ అంపాయర్ (28) గా అత్యధిక మ్యాచ్లు ']</v>
      </c>
      <c r="I3980" s="3"/>
    </row>
    <row r="3981" customHeight="1" spans="1:9">
      <c r="A3981" s="2"/>
      <c r="B3981" s="2" t="str">
        <f>IFERROR(__xludf.DUMMYFUNCTION("IF(A3981&lt;&gt;"""", GOOGLETRANSLATE(A3981, ""en"", ""te""),"""")"),"")</f>
        <v/>
      </c>
      <c r="C3981" s="2"/>
      <c r="D3981" s="2" t="str">
        <f>IFERROR(__xludf.DUMMYFUNCTION("IF(C3981&lt;&gt;"""", GOOGLETRANSLATE(C3981, ""en"", ""te""),"""")"),"")</f>
        <v/>
      </c>
      <c r="E3981" s="2"/>
      <c r="F3981" s="2" t="str">
        <f>IFERROR(__xludf.DUMMYFUNCTION("IF(E3981&lt;&gt;"""", GOOGLETRANSLATE(E3981, ""en"", ""te""),"""")"),"")</f>
        <v/>
      </c>
      <c r="G3981" s="2"/>
      <c r="H3981" s="2" t="str">
        <f>IFERROR(__xludf.DUMMYFUNCTION("IF(G3981&lt;&gt;"""", GOOGLETRANSLATE(G3981, ""en"", ""te""),"""")"),"")</f>
        <v/>
      </c>
      <c r="I3981" s="3"/>
    </row>
    <row r="3982" customHeight="1" spans="1:9">
      <c r="A3982" s="2"/>
      <c r="B3982" s="2" t="str">
        <f>IFERROR(__xludf.DUMMYFUNCTION("IF(A3982&lt;&gt;"""", GOOGLETRANSLATE(A3982, ""en"", ""te""),"""")"),"")</f>
        <v/>
      </c>
      <c r="C3982" s="2"/>
      <c r="D3982" s="2" t="str">
        <f>IFERROR(__xludf.DUMMYFUNCTION("IF(C3982&lt;&gt;"""", GOOGLETRANSLATE(C3982, ""en"", ""te""),"""")"),"")</f>
        <v/>
      </c>
      <c r="E3982" s="2"/>
      <c r="F3982" s="2" t="str">
        <f>IFERROR(__xludf.DUMMYFUNCTION("IF(E3982&lt;&gt;"""", GOOGLETRANSLATE(E3982, ""en"", ""te""),"""")"),"")</f>
        <v/>
      </c>
      <c r="G3982" s="2"/>
      <c r="H3982" s="2" t="str">
        <f>IFERROR(__xludf.DUMMYFUNCTION("IF(G3982&lt;&gt;"""", GOOGLETRANSLATE(G3982, ""en"", ""te""),"""")"),"")</f>
        <v/>
      </c>
      <c r="I3982" s="3"/>
    </row>
    <row r="3983" customHeight="1" spans="1:9">
      <c r="A3983" s="2"/>
      <c r="B3983" s="2" t="str">
        <f>IFERROR(__xludf.DUMMYFUNCTION("IF(A3983&lt;&gt;"""", GOOGLETRANSLATE(A3983, ""en"", ""te""),"""")"),"")</f>
        <v/>
      </c>
      <c r="C3983" s="2"/>
      <c r="D3983" s="2" t="str">
        <f>IFERROR(__xludf.DUMMYFUNCTION("IF(C3983&lt;&gt;"""", GOOGLETRANSLATE(C3983, ""en"", ""te""),"""")"),"")</f>
        <v/>
      </c>
      <c r="E3983" s="2"/>
      <c r="F3983" s="2" t="str">
        <f>IFERROR(__xludf.DUMMYFUNCTION("IF(E3983&lt;&gt;"""", GOOGLETRANSLATE(E3983, ""en"", ""te""),"""")"),"")</f>
        <v/>
      </c>
      <c r="G3983" s="2"/>
      <c r="H3983" s="2" t="str">
        <f>IFERROR(__xludf.DUMMYFUNCTION("IF(G3983&lt;&gt;"""", GOOGLETRANSLATE(G3983, ""en"", ""te""),"""")"),"")</f>
        <v/>
      </c>
      <c r="I3983" s="3"/>
    </row>
    <row r="3984" customHeight="1" spans="1:9">
      <c r="A3984" s="2"/>
      <c r="B3984" s="2" t="str">
        <f>IFERROR(__xludf.DUMMYFUNCTION("IF(A3984&lt;&gt;"""", GOOGLETRANSLATE(A3984, ""en"", ""te""),"""")"),"")</f>
        <v/>
      </c>
      <c r="C3984" s="2"/>
      <c r="D3984" s="2" t="str">
        <f>IFERROR(__xludf.DUMMYFUNCTION("IF(C3984&lt;&gt;"""", GOOGLETRANSLATE(C3984, ""en"", ""te""),"""")"),"")</f>
        <v/>
      </c>
      <c r="E3984" s="2"/>
      <c r="F3984" s="2" t="str">
        <f>IFERROR(__xludf.DUMMYFUNCTION("IF(E3984&lt;&gt;"""", GOOGLETRANSLATE(E3984, ""en"", ""te""),"""")"),"")</f>
        <v/>
      </c>
      <c r="G3984" s="2"/>
      <c r="H3984" s="2" t="str">
        <f>IFERROR(__xludf.DUMMYFUNCTION("IF(G3984&lt;&gt;"""", GOOGLETRANSLATE(G3984, ""en"", ""te""),"""")"),"")</f>
        <v/>
      </c>
      <c r="I3984" s="3"/>
    </row>
    <row r="3985" customHeight="1" spans="1:9">
      <c r="A3985" s="2" t="s">
        <v>2812</v>
      </c>
      <c r="B3985" s="2" t="str">
        <f>IFERROR(__xludf.DUMMYFUNCTION("IF(A3985&lt;&gt;"""", GOOGLETRANSLATE(A3985, ""en"", ""te""),"""")"),"[ 'పెయిర్ తొలి', '5 వ అత్యుత్తమ బౌలింగ్ ఇన్నింగ్స్ లో విశ్లేషించడం (4/7)', '1 వ అత్యధిక వికెట్లు తీసిన హిట్ వికెట్ (1)']")</f>
        <v>[ 'పెయిర్ తొలి', '5 వ అత్యుత్తమ బౌలింగ్ ఇన్నింగ్స్ లో విశ్లేషించడం (4/7)', '1 వ అత్యధిక వికెట్లు తీసిన హిట్ వికెట్ (1)']</v>
      </c>
      <c r="C3985" s="2"/>
      <c r="D3985" s="2" t="str">
        <f>IFERROR(__xludf.DUMMYFUNCTION("IF(C3985&lt;&gt;"""", GOOGLETRANSLATE(C3985, ""en"", ""te""),"""")"),"")</f>
        <v/>
      </c>
      <c r="E3985" s="2" t="s">
        <v>2813</v>
      </c>
      <c r="F3985" s="2" t="str">
        <f>IFERROR(__xludf.DUMMYFUNCTION("IF(E3985&lt;&gt;"""", GOOGLETRANSLATE(E3985, ""en"", ""te""),"""")"),"[ '33 వ చెత్త ఇన్నింగ్స్ లో ఆర్థిక రేటు (11.16)']")</f>
        <v>[ '33 వ చెత్త ఇన్నింగ్స్ లో ఆర్థిక రేటు (11.16)']</v>
      </c>
      <c r="G3985" s="2" t="s">
        <v>2814</v>
      </c>
      <c r="H3985" s="2" t="str">
        <f>IFERROR(__xludf.DUMMYFUNCTION("IF(G3985&lt;&gt;"""", GOOGLETRANSLATE(G3985, ""en"", ""te""),"""")"),"[ 'ఇన్నింగ్స్ లో 24 వ ఉత్తమ సమ్మె రేటు (4.2)', '5 వ అత్యుత్తమ బౌలింగ్ (4/7) ఇన్నింగ్స్ విశ్లేషణలలో' '1 వ అత్యధిక వికెట్లు తీసిన హిట్ వికెట్ (1)', '19 వ అత్యంత పనికత్తెలయొద్ద కెరీర్లో (3) ']")</f>
        <v>[ 'ఇన్నింగ్స్ లో 24 వ ఉత్తమ సమ్మె రేటు (4.2)', '5 వ అత్యుత్తమ బౌలింగ్ (4/7) ఇన్నింగ్స్ విశ్లేషణలలో' '1 వ అత్యధిక వికెట్లు తీసిన హిట్ వికెట్ (1)', '19 వ అత్యంత పనికత్తెలయొద్ద కెరీర్లో (3) ']</v>
      </c>
      <c r="I3985" s="3"/>
    </row>
    <row r="3986" customHeight="1" spans="1:9">
      <c r="A3986" s="2" t="s">
        <v>2815</v>
      </c>
      <c r="B3986" s="2" t="str">
        <f>IFERROR(__xludf.DUMMYFUNCTION("IF(A3986&lt;&gt;"""", GOOGLETRANSLATE(A3986, ""en"", ""te""),"""")"),"[ 'హండ్రెడ్ తొలి (107 *)', '6 వ అత్యధిక క్యాచ్లు ఒక ప్రత్యామ్నాయంగా ఒక మ్యాచ్లో (3)']")</f>
        <v>[ 'హండ్రెడ్ తొలి (107 *)', '6 వ అత్యధిక క్యాచ్లు ఒక ప్రత్యామ్నాయంగా ఒక మ్యాచ్లో (3)']</v>
      </c>
      <c r="C3986" s="2" t="s">
        <v>253</v>
      </c>
      <c r="D3986" s="2" t="str">
        <f>IFERROR(__xludf.DUMMYFUNCTION("IF(C3986&lt;&gt;"""", GOOGLETRANSLATE(C3986, ""en"", ""te""),"""")"),"[ 'ఒక ఆటలో బదులు 6 వ అత్యధిక క్యాచ్లు (3)']")</f>
        <v>[ 'ఒక ఆటలో బదులు 6 వ అత్యధిక క్యాచ్లు (3)']</v>
      </c>
      <c r="E3986" s="2"/>
      <c r="F3986" s="2" t="str">
        <f>IFERROR(__xludf.DUMMYFUNCTION("IF(E3986&lt;&gt;"""", GOOGLETRANSLATE(E3986, ""en"", ""te""),"""")"),"")</f>
        <v/>
      </c>
      <c r="G3986" s="2"/>
      <c r="H3986" s="2" t="str">
        <f>IFERROR(__xludf.DUMMYFUNCTION("IF(G3986&lt;&gt;"""", GOOGLETRANSLATE(G3986, ""en"", ""te""),"""")"),"")</f>
        <v/>
      </c>
      <c r="I3986" s="3"/>
    </row>
    <row r="3987" customHeight="1" spans="1:9">
      <c r="A3987" s="2"/>
      <c r="B3987" s="2" t="str">
        <f>IFERROR(__xludf.DUMMYFUNCTION("IF(A3987&lt;&gt;"""", GOOGLETRANSLATE(A3987, ""en"", ""te""),"""")"),"")</f>
        <v/>
      </c>
      <c r="C3987" s="2" t="s">
        <v>2816</v>
      </c>
      <c r="D3987" s="2" t="str">
        <f>IFERROR(__xludf.DUMMYFUNCTION("IF(C3987&lt;&gt;"""", GOOGLETRANSLATE(C3987, ""en"", ""te""),"""")"),"[ '34 వ చెత్త కెరీర్ బౌలింగ్ సరాసరి (52.11)', '24th చెత్త కెరీర్లో సమ్మె రేటు (122.1)']")</f>
        <v>[ '34 వ చెత్త కెరీర్ బౌలింగ్ సరాసరి (52.11)', '24th చెత్త కెరీర్లో సమ్మె రేటు (122.1)']</v>
      </c>
      <c r="E3987" s="2"/>
      <c r="F3987" s="2" t="str">
        <f>IFERROR(__xludf.DUMMYFUNCTION("IF(E3987&lt;&gt;"""", GOOGLETRANSLATE(E3987, ""en"", ""te""),"""")"),"")</f>
        <v/>
      </c>
      <c r="G3987" s="2"/>
      <c r="H3987" s="2" t="str">
        <f>IFERROR(__xludf.DUMMYFUNCTION("IF(G3987&lt;&gt;"""", GOOGLETRANSLATE(G3987, ""en"", ""te""),"""")"),"")</f>
        <v/>
      </c>
      <c r="I3987" s="3"/>
    </row>
    <row r="3988" customHeight="1" spans="1:9">
      <c r="A3988" s="2" t="s">
        <v>2817</v>
      </c>
      <c r="B3988" s="2" t="str">
        <f>IFERROR(__xludf.DUMMYFUNCTION("IF(A3988&lt;&gt;"""", GOOGLETRANSLATE(A3988, ""en"", ""te""),"""")"),"[ 'వికెట్ (12) ఉంచింది చేసిన 10 వ కెప్టెన్ల']")</f>
        <v>[ 'వికెట్ (12) ఉంచింది చేసిన 10 వ కెప్టెన్ల']</v>
      </c>
      <c r="C3988" s="2" t="s">
        <v>2818</v>
      </c>
      <c r="D3988" s="2" t="str">
        <f>IFERROR(__xludf.DUMMYFUNCTION("IF(C3988&lt;&gt;"""", GOOGLETRANSLATE(C3988, ""en"", ""te""),"""")"),"[ 'వికెట్ను కాపాడుకున్నాడు చేసిన 10 వ కెప్టెన్ల (12)', '50 వ అత్యధిక ఇన్నింగ్స్ బై (548 / 7D) గూడా ఇవ్వకుండా మొత్తం']")</f>
        <v>[ 'వికెట్ను కాపాడుకున్నాడు చేసిన 10 వ కెప్టెన్ల (12)', '50 వ అత్యధిక ఇన్నింగ్స్ బై (548 / 7D) గూడా ఇవ్వకుండా మొత్తం']</v>
      </c>
      <c r="E3988" s="2" t="s">
        <v>2819</v>
      </c>
      <c r="F3988" s="2" t="str">
        <f>IFERROR(__xludf.DUMMYFUNCTION("IF(E3988&lt;&gt;"""", GOOGLETRANSLATE(E3988, ""en"", ""te""),"""")"),"[ 'నాలుగవ వికెట్కు 40 వ అత్యధిక భాగస్వామ్యం (168)', 'ఒక జట్టు కెప్టెన్గా 32 వ వరుస మ్యాచ్లు (36)', 'వికెట్ (36) ఉంచింది చేసిన 6 వ కెప్టెన్ల']")</f>
        <v>[ 'నాలుగవ వికెట్కు 40 వ అత్యధిక భాగస్వామ్యం (168)', 'ఒక జట్టు కెప్టెన్గా 32 వ వరుస మ్యాచ్లు (36)', 'వికెట్ (36) ఉంచింది చేసిన 6 వ కెప్టెన్ల']</v>
      </c>
      <c r="G3988" s="2" t="s">
        <v>1093</v>
      </c>
      <c r="H3988" s="2" t="str">
        <f>IFERROR(__xludf.DUMMYFUNCTION("IF(G3988&lt;&gt;"""", GOOGLETRANSLATE(G3988, ""en"", ""te""),"""")"),"[ '31 మోస్ట్ బృందం (36) కెప్టెన్ గా వరుస మ్యాచ్లు']")</f>
        <v>[ '31 మోస్ట్ బృందం (36) కెప్టెన్ గా వరుస మ్యాచ్లు']</v>
      </c>
      <c r="I3988" s="3"/>
    </row>
    <row r="3989" customHeight="1" spans="1:9">
      <c r="A3989" s="2" t="s">
        <v>2820</v>
      </c>
      <c r="B3989" s="2" t="str">
        <f>IFERROR(__xludf.DUMMYFUNCTION("IF(A3989&lt;&gt;"""", GOOGLETRANSLATE(A3989, ""en"", ""te""),"""")"),"[ 'హండ్రెడ్ మరియు ఒక మ్యాచ్లో ఒక డక్', 'ఆరవ వికెట్కు 6 వ అత్యధిక భాగస్వామ్యం (339)', 'ఇన్నింగ్స్ లో 2 వ అత్యధిక పరుగులు (బ్యాటింగ్ స్థానంలో ప్రకారం) (237 *)', '10 వ అత్యధిక ఇన్నింగ్స్ లో సమ్మె రేటు 6000 పరుగులు ఇన్నింగ్స్ లో ఫోర్లు, సిక్సర్లు నుండి (3) ',"&amp;"' 2 వ అత్యధిక పరుగులు (310.00) ',' హండ్రెడ్ వరుస ప్రవేశం (122 *) ',' 6 వ అత్యంత బాతులు న (162) ',' 9 వ వేగవంతమైన ( ఒక ఇన్నింగ్స్ లో 157) ',' 2 వ అత్యధిక క్యాచ్లు (4) ',' 5000 పరుగులు మరియు 50 ఫీల్డింగ్ వికెట్లు ',' కెరీర్లో 4 వ అత్యధిక మ్యాచ్లు (102) ','"&amp;" 1st ఒకే మైదానంలో అత్యధిక పరుగులు (626) ',' 3 వ యాభైల్లో వరుస ఇన్నింగ్స్లో (3) ',' ఒక డక్ లేకుండా 3 వరుస ఇన్నింగ్స్ (69) ',' 1st కెరీర్లో ఎక్కువ సిక్స్ (147) ',' 5 వ లాంగెస్ట్ వ్యక్తిగత ఇన్నింగ్స్ (బంతులతో) (69) ',' 5 వ వేగవంతమైన 2000 పరుగులు కెరీర్లో "&amp;"(68) ',' 2 వ అత్యధిక క్యాచ్లు (58) ',' మూడో వికెట్కు 4 వ అత్యధిక భాగస్వామ్యం (137) ',' వరుస ఇన్నింగ్స్లో 10 వ యాభైల్లో (6) ',' 7 వ అత్యధిక కెరీర్ లో సిక్సర్లు (351) ']")</f>
        <v>[ 'హండ్రెడ్ మరియు ఒక మ్యాచ్లో ఒక డక్', 'ఆరవ వికెట్కు 6 వ అత్యధిక భాగస్వామ్యం (339)', 'ఇన్నింగ్స్ లో 2 వ అత్యధిక పరుగులు (బ్యాటింగ్ స్థానంలో ప్రకారం) (237 *)', '10 వ అత్యధిక ఇన్నింగ్స్ లో సమ్మె రేటు 6000 పరుగులు ఇన్నింగ్స్ లో ఫోర్లు, సిక్సర్లు నుండి (3) ',' 2 వ అత్యధిక పరుగులు (310.00) ',' హండ్రెడ్ వరుస ప్రవేశం (122 *) ',' 6 వ అత్యంత బాతులు న (162) ',' 9 వ వేగవంతమైన ( ఒక ఇన్నింగ్స్ లో 157) ',' 2 వ అత్యధిక క్యాచ్లు (4) ',' 5000 పరుగులు మరియు 50 ఫీల్డింగ్ వికెట్లు ',' కెరీర్లో 4 వ అత్యధిక మ్యాచ్లు (102) ',' 1st ఒకే మైదానంలో అత్యధిక పరుగులు (626) ',' 3 వ యాభైల్లో వరుస ఇన్నింగ్స్లో (3) ',' ఒక డక్ లేకుండా 3 వరుస ఇన్నింగ్స్ (69) ',' 1st కెరీర్లో ఎక్కువ సిక్స్ (147) ',' 5 వ లాంగెస్ట్ వ్యక్తిగత ఇన్నింగ్స్ (బంతులతో) (69) ',' 5 వ వేగవంతమైన 2000 పరుగులు కెరీర్లో (68) ',' 2 వ అత్యధిక క్యాచ్లు (58) ',' మూడో వికెట్కు 4 వ అత్యధిక భాగస్వామ్యం (137) ',' వరుస ఇన్నింగ్స్లో 10 వ యాభైల్లో (6) ',' 7 వ అత్యధిక కెరీర్ లో సిక్సర్లు (351) ']</v>
      </c>
      <c r="C3989" s="2" t="s">
        <v>2821</v>
      </c>
      <c r="D3989" s="2" t="str">
        <f>IFERROR(__xludf.DUMMYFUNCTION("IF(C3989&lt;&gt;"""", GOOGLETRANSLATE(C3989, ""en"", ""te""),"""")"),"[ 'ఆరవ వికెట్ (339) 6 వ అత్యధిక భాగస్వామ్యం']")</f>
        <v>[ 'ఆరవ వికెట్ (339) 6 వ అత్యధిక భాగస్వామ్యం']</v>
      </c>
      <c r="E3989" s="2" t="s">
        <v>2822</v>
      </c>
      <c r="F3989" s="2" t="str">
        <f>IFERROR(__xludf.DUMMYFUNCTION("IF(E3989&lt;&gt;"""", GOOGLETRANSLATE(E3989, ""en"", ""te""),"""")"),"[ 'ఇన్నింగ్స్ (237 *) లో 2 వ అత్యధిక పరుగులు' '45 వ అత్యధిక కెరీర్ లో పరుగులు (6927)', 'వరుస 15 వ అత్యధిక పరుగులు (547)', '9 వ ఒక క్యాలెండర్ సంవత్సరంలో అత్యధిక పరుగులు (1489)', 'ఇన్నింగ్స్ లో 2 వ అత్యధిక పరుగులు (బ్యాటింగ్ స్థానంలో ప్రకారం) (237 *)', '43 "&amp;"వ అత్యధిక కెరీర్ బ్యాటింగ్ సగటు (42.23)', 'ఇన్నింగ్స్ లో 10 వ అత్యధిక స్ట్రైక్ రేట్ (310.00)', '5 వ తొలి మ్యాచ్లో అత్యధిక పరుగులు ( 122 *) ',' 23 ఒక వృత్తిలో అత్యధిక వందలు (16) ',' 29th ఒక క్యాలెండర్ సంవత్సరంలో అత్యధిక వందలు (4) ',' 42 వ కెరీర్ అర్ధ (53)"&amp;" ',' వరుస ఇన్నింగ్స్లో 11 వ యాభైల్లో (5) ',' 40 వ అత్యంత ఇన్నింగ్స్ తొలి డక్ ముందు (30) ',' 45 వ కెరీర్ బాతులు (15) ',' 6 వ ఒక సిరీస్లో అత్యధిక బాతులు (3) ',' 11 వ ఎక్కువ సిక్స్ కెరీర్లో (181) ',' 36 వ ఒక ఇన్నింగ్స్ లో కెరీర్ ఫోర్లు (702) ',' 13 వ ఇన్నిం"&amp;"గ్స్ లో వచ్చిన ఎక్కువ సిక్స్ (11) ',' 4 వ ఇన్నింగ్స్ లో వచ్చిన ఎక్కువ ఫోర్లు (24) ',' ఫోర్లు, సిక్సర్లు నుండి 2 వ అత్యధిక పరుగులు (162) ',' 24 లాంగెస్ట్ వ్యక్తిగత ఇన్నింగ్స్ (బంతులతో) (163) ',' ఒక ఇన్నింగ్స్లో పరుగుల 11 వ అత్యధిక శాతం (60.30) ',' 2000 పరు"&amp;"గులు 41 వ వేగంగా (57) ',' 47 వ 300 ఫాస్టెస్ట్ 0 పరుగులు (90) ',' 28th 4000 పరుగులు వేగంగా (112) ',' 5000 పరుగులు (132) ',' 6000 పరుగులు (157) ',' 37 వ అత్యధిక క్యాచ్లు 9 వేగవంతమైన కెరీర్ (93) లో వేగంగా 17 ' , 'ఇన్నింగ్స్ (4) 2 వ అత్యధిక క్యాచ్లు' 'వరుస 2"&amp;"4 వ అత్యధిక క్యాచ్లు (8)', 'ఏ వికెట్కు 41 వ అత్యధిక భాగస్వామ్యాల (236 *)', మొదటి వికెట్కు '17 వ అత్యధిక భాగస్వామ్యం (236 *) ',' 28 వ అతి ప్లేయర్ ఆఫ్ ది మ్యాచ్ అవార్డులు (21) ',' 45 వ అత్యంత ప్లేయర్ ఆఫ్ ది సిరీస్ అవార్డులు (3) ']")</f>
        <v>[ 'ఇన్నింగ్స్ (237 *) లో 2 వ అత్యధిక పరుగులు' '45 వ అత్యధిక కెరీర్ లో పరుగులు (6927)', 'వరుస 15 వ అత్యధిక పరుగులు (547)', '9 వ ఒక క్యాలెండర్ సంవత్సరంలో అత్యధిక పరుగులు (1489)', 'ఇన్నింగ్స్ లో 2 వ అత్యధిక పరుగులు (బ్యాటింగ్ స్థానంలో ప్రకారం) (237 *)', '43 వ అత్యధిక కెరీర్ బ్యాటింగ్ సగటు (42.23)', 'ఇన్నింగ్స్ లో 10 వ అత్యధిక స్ట్రైక్ రేట్ (310.00)', '5 వ తొలి మ్యాచ్లో అత్యధిక పరుగులు ( 122 *) ',' 23 ఒక వృత్తిలో అత్యధిక వందలు (16) ',' 29th ఒక క్యాలెండర్ సంవత్సరంలో అత్యధిక వందలు (4) ',' 42 వ కెరీర్ అర్ధ (53) ',' వరుస ఇన్నింగ్స్లో 11 వ యాభైల్లో (5) ',' 40 వ అత్యంత ఇన్నింగ్స్ తొలి డక్ ముందు (30) ',' 45 వ కెరీర్ బాతులు (15) ',' 6 వ ఒక సిరీస్లో అత్యధిక బాతులు (3) ',' 11 వ ఎక్కువ సిక్స్ కెరీర్లో (181) ',' 36 వ ఒక ఇన్నింగ్స్ లో కెరీర్ ఫోర్లు (702) ',' 13 వ ఇన్నింగ్స్ లో వచ్చిన ఎక్కువ సిక్స్ (11) ',' 4 వ ఇన్నింగ్స్ లో వచ్చిన ఎక్కువ ఫోర్లు (24) ',' ఫోర్లు, సిక్సర్లు నుండి 2 వ అత్యధిక పరుగులు (162) ',' 24 లాంగెస్ట్ వ్యక్తిగత ఇన్నింగ్స్ (బంతులతో) (163) ',' ఒక ఇన్నింగ్స్లో పరుగుల 11 వ అత్యధిక శాతం (60.30) ',' 2000 పరుగులు 41 వ వేగంగా (57) ',' 47 వ 300 ఫాస్టెస్ట్ 0 పరుగులు (90) ',' 28th 4000 పరుగులు వేగంగా (112) ',' 5000 పరుగులు (132) ',' 6000 పరుగులు (157) ',' 37 వ అత్యధిక క్యాచ్లు 9 వేగవంతమైన కెరీర్ (93) లో వేగంగా 17 ' , 'ఇన్నింగ్స్ (4) 2 వ అత్యధిక క్యాచ్లు' 'వరుస 24 వ అత్యధిక క్యాచ్లు (8)', 'ఏ వికెట్కు 41 వ అత్యధిక భాగస్వామ్యాల (236 *)', మొదటి వికెట్కు '17 వ అత్యధిక భాగస్వామ్యం (236 *) ',' 28 వ అతి ప్లేయర్ ఆఫ్ ది మ్యాచ్ అవార్డులు (21) ',' 45 వ అత్యంత ప్లేయర్ ఆఫ్ ది సిరీస్ అవార్డులు (3) ']</v>
      </c>
      <c r="G3989" s="2" t="s">
        <v>2823</v>
      </c>
      <c r="H3989" s="2" t="str">
        <f>IFERROR(__xludf.DUMMYFUNCTION("IF(G3989&lt;&gt;"""", GOOGLETRANSLATE(G3989, ""en"", ""te""),"""")"),"[ '35 వ అత్యధిక పరుగులు ఇన్నింగ్స్ (105) లో', '2 వ అత్యధిక కెరీర్ (2939) లో నడుస్తుంది', 'ఒక క్యాలెండర్ సంవత్సరంలో 21 వ అత్యధిక పరుగులు (472)', ఒక ఇన్నింగ్స్ లో '26 అత్యధిక పరుగులు (బ్యాటింగ్ స్థానంలో ప్రకారం) ( 105) ',' 7 వ పరాజయం వైపు ఒక మ్యాచ్లో అత్యధ"&amp;"ిక పరుగులు (105) ',' 1st ఒకే మైదానంలో అత్యధిక పరుగులు (626) ',' 27 వ అత్యధిక కెరీర్ బ్యాటింగ్ సగటు (32.29) ',' 3 వ అత్యధిక కెరీర్ లో అర్ధ (19) ',' వరుస ఇన్నింగ్స్లో 3 వ యాభైల్లో (3) ',' 3 వ వరుస ఇన్నింగ్స్లో డకౌట్ లేకుండా (69) ',' 15 వ కెరీర్ లో అతి తక్"&amp;"కువ బాతులు (32.66) ',' 1st ఎక్కువ సిక్స్ కెరీర్లో (147) ' 'కెరీర్ లో 2 వ పెద్ద ఫోర్లు (256)', '17 వ ఇన్నింగ్స్ లో వచ్చిన ఎక్కువ సిక్స్ (9)', 'ఇన్నింగ్స్ లో ఫోర్లు, సిక్సర్లు నుండి 29 వ అత్యధిక పరుగులు (78)', '5 వ లాంగెస్ట్ వ్యక్తిగత ఇన్నింగ్స్ (బంతులతో) ("&amp;" 69) ',' 1000 పరుగులు వేగంగా 13 (36) ',' 2000 పరుగులు వేగంగా 5 వ (68) ',' కెరీర్ లో 2 వ అత్యధిక క్యాచ్లు (58) ',' 15 వ ఇన్నింగ్స్ లో అత్యధిక క్యాచ్లు (3) ',' ఏ వికెట్కు (171 *) కోసం 7 వ అత్యధిక భాగస్వామ్యాలు ',' తొలి వికెట్కు (171 *) 5 వ అత్యధిక భాగస్వామ్"&amp;"యం ',' రెండవ వికెట్కు 14 అత్యధిక భాగస్వామ్యం (131) ', 'మూడో వికెట్కు 4 వ అత్యధిక భాగస్వామ్యం (137)', '4 వ కెరీర్లో అత్యధిక మ్యాచ్లు (102)', '6 వ అత్యంత ప్లేయర్ ఆఫ్ ది మ్యాచ్ అవార్డులు (9)', '33 వ లాంగెస్ట్ కెరీర్లు (12y 45d)']")</f>
        <v>[ '35 వ అత్యధిక పరుగులు ఇన్నింగ్స్ (105) లో', '2 వ అత్యధిక కెరీర్ (2939) లో నడుస్తుంది', 'ఒక క్యాలెండర్ సంవత్సరంలో 21 వ అత్యధిక పరుగులు (472)', ఒక ఇన్నింగ్స్ లో '26 అత్యధిక పరుగులు (బ్యాటింగ్ స్థానంలో ప్రకారం) ( 105) ',' 7 వ పరాజయం వైపు ఒక మ్యాచ్లో అత్యధిక పరుగులు (105) ',' 1st ఒకే మైదానంలో అత్యధిక పరుగులు (626) ',' 27 వ అత్యధిక కెరీర్ బ్యాటింగ్ సగటు (32.29) ',' 3 వ అత్యధిక కెరీర్ లో అర్ధ (19) ',' వరుస ఇన్నింగ్స్లో 3 వ యాభైల్లో (3) ',' 3 వ వరుస ఇన్నింగ్స్లో డకౌట్ లేకుండా (69) ',' 15 వ కెరీర్ లో అతి తక్కువ బాతులు (32.66) ',' 1st ఎక్కువ సిక్స్ కెరీర్లో (147) ' 'కెరీర్ లో 2 వ పెద్ద ఫోర్లు (256)', '17 వ ఇన్నింగ్స్ లో వచ్చిన ఎక్కువ సిక్స్ (9)', 'ఇన్నింగ్స్ లో ఫోర్లు, సిక్సర్లు నుండి 29 వ అత్యధిక పరుగులు (78)', '5 వ లాంగెస్ట్ వ్యక్తిగత ఇన్నింగ్స్ (బంతులతో) ( 69) ',' 1000 పరుగులు వేగంగా 13 (36) ',' 2000 పరుగులు వేగంగా 5 వ (68) ',' కెరీర్ లో 2 వ అత్యధిక క్యాచ్లు (58) ',' 15 వ ఇన్నింగ్స్ లో అత్యధిక క్యాచ్లు (3) ',' ఏ వికెట్కు (171 *) కోసం 7 వ అత్యధిక భాగస్వామ్యాలు ',' తొలి వికెట్కు (171 *) 5 వ అత్యధిక భాగస్వామ్యం ',' రెండవ వికెట్కు 14 అత్యధిక భాగస్వామ్యం (131) ', 'మూడో వికెట్కు 4 వ అత్యధిక భాగస్వామ్యం (137)', '4 వ కెరీర్లో అత్యధిక మ్యాచ్లు (102)', '6 వ అత్యంత ప్లేయర్ ఆఫ్ ది మ్యాచ్ అవార్డులు (9)', '33 వ లాంగెస్ట్ కెరీర్లు (12y 45d)']</v>
      </c>
      <c r="I3989" s="3"/>
    </row>
    <row r="3990" customHeight="1" spans="1:9">
      <c r="A3990" s="2"/>
      <c r="B3990" s="2" t="str">
        <f>IFERROR(__xludf.DUMMYFUNCTION("IF(A3990&lt;&gt;"""", GOOGLETRANSLATE(A3990, ""en"", ""te""),"""")"),"")</f>
        <v/>
      </c>
      <c r="C3990" s="2"/>
      <c r="D3990" s="2" t="str">
        <f>IFERROR(__xludf.DUMMYFUNCTION("IF(C3990&lt;&gt;"""", GOOGLETRANSLATE(C3990, ""en"", ""te""),"""")"),"")</f>
        <v/>
      </c>
      <c r="E3990" s="2"/>
      <c r="F3990" s="2" t="str">
        <f>IFERROR(__xludf.DUMMYFUNCTION("IF(E3990&lt;&gt;"""", GOOGLETRANSLATE(E3990, ""en"", ""te""),"""")"),"")</f>
        <v/>
      </c>
      <c r="G3990" s="2"/>
      <c r="H3990" s="2" t="str">
        <f>IFERROR(__xludf.DUMMYFUNCTION("IF(G3990&lt;&gt;"""", GOOGLETRANSLATE(G3990, ""en"", ""te""),"""")"),"")</f>
        <v/>
      </c>
      <c r="I3990" s="3"/>
    </row>
    <row r="3991" customHeight="1" spans="1:9">
      <c r="A3991" s="2"/>
      <c r="B3991" s="2" t="str">
        <f>IFERROR(__xludf.DUMMYFUNCTION("IF(A3991&lt;&gt;"""", GOOGLETRANSLATE(A3991, ""en"", ""te""),"""")"),"")</f>
        <v/>
      </c>
      <c r="C3991" s="2" t="s">
        <v>2824</v>
      </c>
      <c r="D3991" s="2" t="str">
        <f>IFERROR(__xludf.DUMMYFUNCTION("IF(C3991&lt;&gt;"""", GOOGLETRANSLATE(C3991, ""en"", ""te""),"""")"),"[ '42 వ పురాతన దేశం ఆటగాళ్ళు (86y 276d)']")</f>
        <v>[ '42 వ పురాతన దేశం ఆటగాళ్ళు (86y 276d)']</v>
      </c>
      <c r="E3991" s="2"/>
      <c r="F3991" s="2" t="str">
        <f>IFERROR(__xludf.DUMMYFUNCTION("IF(E3991&lt;&gt;"""", GOOGLETRANSLATE(E3991, ""en"", ""te""),"""")"),"")</f>
        <v/>
      </c>
      <c r="G3991" s="2"/>
      <c r="H3991" s="2" t="str">
        <f>IFERROR(__xludf.DUMMYFUNCTION("IF(G3991&lt;&gt;"""", GOOGLETRANSLATE(G3991, ""en"", ""te""),"""")"),"")</f>
        <v/>
      </c>
      <c r="I3991" s="3"/>
    </row>
    <row r="3992" customHeight="1" spans="1:9">
      <c r="A3992" s="2" t="s">
        <v>150</v>
      </c>
      <c r="B3992" s="2" t="str">
        <f>IFERROR(__xludf.DUMMYFUNCTION("IF(A3992&lt;&gt;"""", GOOGLETRANSLATE(A3992, ""en"", ""te""),"""")"),"[ 'ఒక మ్యాచ్లో 2nd అత్యధిక క్యాచ్లు (4)']")</f>
        <v>[ 'ఒక మ్యాచ్లో 2nd అత్యధిక క్యాచ్లు (4)']</v>
      </c>
      <c r="C3992" s="2" t="s">
        <v>150</v>
      </c>
      <c r="D3992" s="2" t="str">
        <f>IFERROR(__xludf.DUMMYFUNCTION("IF(C3992&lt;&gt;"""", GOOGLETRANSLATE(C3992, ""en"", ""te""),"""")"),"[ 'ఒక మ్యాచ్లో 2nd అత్యధిక క్యాచ్లు (4)']")</f>
        <v>[ 'ఒక మ్యాచ్లో 2nd అత్యధిక క్యాచ్లు (4)']</v>
      </c>
      <c r="E3992" s="2" t="s">
        <v>1828</v>
      </c>
      <c r="F3992" s="2" t="str">
        <f>IFERROR(__xludf.DUMMYFUNCTION("IF(E3992&lt;&gt;"""", GOOGLETRANSLATE(E3992, ""en"", ""te""),"""")"),"[ 'ఇన్నింగ్స్ లో 4 వ అత్యధిక క్యాచ్లు (3)']")</f>
        <v>[ 'ఇన్నింగ్స్ లో 4 వ అత్యధిక క్యాచ్లు (3)']</v>
      </c>
      <c r="G3992" s="2"/>
      <c r="H3992" s="2" t="str">
        <f>IFERROR(__xludf.DUMMYFUNCTION("IF(G3992&lt;&gt;"""", GOOGLETRANSLATE(G3992, ""en"", ""te""),"""")"),"")</f>
        <v/>
      </c>
      <c r="I3992" s="3"/>
    </row>
    <row r="3993" customHeight="1" spans="1:9">
      <c r="A3993" s="2"/>
      <c r="B3993" s="2" t="str">
        <f>IFERROR(__xludf.DUMMYFUNCTION("IF(A3993&lt;&gt;"""", GOOGLETRANSLATE(A3993, ""en"", ""te""),"""")"),"")</f>
        <v/>
      </c>
      <c r="C3993" s="2"/>
      <c r="D3993" s="2" t="str">
        <f>IFERROR(__xludf.DUMMYFUNCTION("IF(C3993&lt;&gt;"""", GOOGLETRANSLATE(C3993, ""en"", ""te""),"""")"),"")</f>
        <v/>
      </c>
      <c r="E3993" s="2"/>
      <c r="F3993" s="2" t="str">
        <f>IFERROR(__xludf.DUMMYFUNCTION("IF(E3993&lt;&gt;"""", GOOGLETRANSLATE(E3993, ""en"", ""te""),"""")"),"")</f>
        <v/>
      </c>
      <c r="G3993" s="2"/>
      <c r="H3993" s="2" t="str">
        <f>IFERROR(__xludf.DUMMYFUNCTION("IF(G3993&lt;&gt;"""", GOOGLETRANSLATE(G3993, ""en"", ""te""),"""")"),"")</f>
        <v/>
      </c>
      <c r="I3993" s="3"/>
    </row>
    <row r="3994" customHeight="1" spans="1:9">
      <c r="A3994" s="2"/>
      <c r="B3994" s="2" t="str">
        <f>IFERROR(__xludf.DUMMYFUNCTION("IF(A3994&lt;&gt;"""", GOOGLETRANSLATE(A3994, ""en"", ""te""),"""")"),"")</f>
        <v/>
      </c>
      <c r="C3994" s="2"/>
      <c r="D3994" s="2" t="str">
        <f>IFERROR(__xludf.DUMMYFUNCTION("IF(C3994&lt;&gt;"""", GOOGLETRANSLATE(C3994, ""en"", ""te""),"""")"),"")</f>
        <v/>
      </c>
      <c r="E3994" s="2"/>
      <c r="F3994" s="2" t="str">
        <f>IFERROR(__xludf.DUMMYFUNCTION("IF(E3994&lt;&gt;"""", GOOGLETRANSLATE(E3994, ""en"", ""te""),"""")"),"")</f>
        <v/>
      </c>
      <c r="G3994" s="2"/>
      <c r="H3994" s="2" t="str">
        <f>IFERROR(__xludf.DUMMYFUNCTION("IF(G3994&lt;&gt;"""", GOOGLETRANSLATE(G3994, ""en"", ""te""),"""")"),"")</f>
        <v/>
      </c>
      <c r="I3994" s="3"/>
    </row>
    <row r="3995" customHeight="1" spans="1:9">
      <c r="A3995" s="2" t="s">
        <v>2825</v>
      </c>
      <c r="B3995" s="2" t="str">
        <f>IFERROR(__xludf.DUMMYFUNCTION("IF(A3995&lt;&gt;"""", GOOGLETRANSLATE(A3995, ""en"", ""te""),"""")"),"[ 'మొదటి డక్ ముందు 2 వ అత్యంత ఇన్నింగ్స్ (41)', 'పదవ వికెట్ను (33) కోసం 2 వ అత్యధిక భాగస్వామ్యం']")</f>
        <v>[ 'మొదటి డక్ ముందు 2 వ అత్యంత ఇన్నింగ్స్ (41)', 'పదవ వికెట్ను (33) కోసం 2 వ అత్యధిక భాగస్వామ్యం']</v>
      </c>
      <c r="C3995" s="2"/>
      <c r="D3995" s="2" t="str">
        <f>IFERROR(__xludf.DUMMYFUNCTION("IF(C3995&lt;&gt;"""", GOOGLETRANSLATE(C3995, ""en"", ""te""),"""")"),"")</f>
        <v/>
      </c>
      <c r="E3995" s="2" t="s">
        <v>2826</v>
      </c>
      <c r="F3995" s="2" t="str">
        <f>IFERROR(__xludf.DUMMYFUNCTION("IF(E3995&lt;&gt;"""", GOOGLETRANSLATE(E3995, ""en"", ""te""),"""")"),"[ '21 వ అత్యధిక తొలి వంద (122)', 'కెరీర్లో 13 వ అతి తక్కువ బాతులు (32)', '14 వ చెత్త కెరీర్ (అర్హత లేకుండా) సగటు బౌలింగ్ (118.00)', 'నాలుగవ వికెట్కు 45 వ అత్యధిక భాగస్వామ్యం (98)']")</f>
        <v>[ '21 వ అత్యధిక తొలి వంద (122)', 'కెరీర్లో 13 వ అతి తక్కువ బాతులు (32)', '14 వ చెత్త కెరీర్ (అర్హత లేకుండా) సగటు బౌలింగ్ (118.00)', 'నాలుగవ వికెట్కు 45 వ అత్యధిక భాగస్వామ్యం (98)']</v>
      </c>
      <c r="G3995" s="2" t="s">
        <v>2827</v>
      </c>
      <c r="H3995" s="2" t="str">
        <f>IFERROR(__xludf.DUMMYFUNCTION("IF(G3995&lt;&gt;"""", GOOGLETRANSLATE(G3995, ""en"", ""te""),"""")"),"[ '2nd అత్యంత ఇన్నింగ్స్ ముందు మొదటి డక్ (41)', 'ఒక డక్ లేకుండా 13 వరుస ఇన్నింగ్స్ (41)', 'కెరీర్లో 8 వ అతి తక్కువ బాతులు (45)', 'బౌలింగ్ 50 వ చెత్త కెరీర్ సగటు (అర్హత లేకుండా) (58.00) ',' 46 వ కెరీర్ లో అత్యధిక క్యాచ్లు (18) ',' ఏడవ వికెట్ (30 *) కోసం 45"&amp;" వ అత్యధిక భాగస్వామ్యం ',' పదవ వికెట్కు 2 వ అత్యధిక భాగస్వామ్యం (33) ']")</f>
        <v>[ '2nd అత్యంత ఇన్నింగ్స్ ముందు మొదటి డక్ (41)', 'ఒక డక్ లేకుండా 13 వరుస ఇన్నింగ్స్ (41)', 'కెరీర్లో 8 వ అతి తక్కువ బాతులు (45)', 'బౌలింగ్ 50 వ చెత్త కెరీర్ సగటు (అర్హత లేకుండా) (58.00) ',' 46 వ కెరీర్ లో అత్యధిక క్యాచ్లు (18) ',' ఏడవ వికెట్ (30 *) కోసం 45 వ అత్యధిక భాగస్వామ్యం ',' పదవ వికెట్కు 2 వ అత్యధిక భాగస్వామ్యం (33) ']</v>
      </c>
      <c r="I3995" s="3"/>
    </row>
    <row r="3996" customHeight="1" spans="1:9">
      <c r="A3996" s="2" t="s">
        <v>2828</v>
      </c>
      <c r="B3996" s="2" t="str">
        <f>IFERROR(__xludf.DUMMYFUNCTION("IF(A3996&lt;&gt;"""", GOOGLETRANSLATE(A3996, ""en"", ""te""),"""")"),"[ '3 వ చెత్త కెరీర్లో సమ్మె రేటు (173.0)', '8 వ మ్యాచ్ లో బౌల్డ్ చాలా బంతుల్లో (464)', '10 వ అత్యధిక వికెట్లు తీసుకున్న క్యాచ్ మరియు బౌల్డ్ (8)', 'తొమ్మిదవ వికెట్ (58) 5 వ అత్యధిక భాగస్వామ్యం' ]")</f>
        <v>[ '3 వ చెత్త కెరీర్లో సమ్మె రేటు (173.0)', '8 వ మ్యాచ్ లో బౌల్డ్ చాలా బంతుల్లో (464)', '10 వ అత్యధిక వికెట్లు తీసుకున్న క్యాచ్ మరియు బౌల్డ్ (8)', 'తొమ్మిదవ వికెట్ (58) 5 వ అత్యధిక భాగస్వామ్యం' ]</v>
      </c>
      <c r="C3996" s="2" t="s">
        <v>2829</v>
      </c>
      <c r="D3996" s="2" t="str">
        <f>IFERROR(__xludf.DUMMYFUNCTION("IF(C3996&lt;&gt;"""", GOOGLETRANSLATE(C3996, ""en"", ""te""),"""")"),"[ '4 వ ఉత్తమ కెరీర్ ఆర్థిక రేటు (1.35)', 'ఇన్నింగ్స్ లో 4 వ ఉత్తమ ఆర్థిక రేటు (0.27)', '16 వ చెత్త కెరీర్ బౌలింగ్ సరాసరి (39.00)', '3 వ చెత్త కెరీర్లో సమ్మె రేటు (173.0)', '4 వ చెత్త ఒక ఇన్నింగ్స్ లో సమ్మె రేటు (302.0) ',' 37 వ కెరీర్ లో బౌల్డ్ చాలా బంతుల"&amp;"్లో (1903) ',' 15 వ ఇన్నింగ్స్ లో బౌల్డ్ చాలా బంతుల్లో (302) ',' 8 వ అత్యంత బంతుల్లో ఒక మ్యాచ్ (464) ',' 19 బౌల్డ్ ఒక సిరీస్లో అత్యధిక క్యాచ్లు (5) ']")</f>
        <v>[ '4 వ ఉత్తమ కెరీర్ ఆర్థిక రేటు (1.35)', 'ఇన్నింగ్స్ లో 4 వ ఉత్తమ ఆర్థిక రేటు (0.27)', '16 వ చెత్త కెరీర్ బౌలింగ్ సరాసరి (39.00)', '3 వ చెత్త కెరీర్లో సమ్మె రేటు (173.0)', '4 వ చెత్త ఒక ఇన్నింగ్స్ లో సమ్మె రేటు (302.0) ',' 37 వ కెరీర్ లో బౌల్డ్ చాలా బంతుల్లో (1903) ',' 15 వ ఇన్నింగ్స్ లో బౌల్డ్ చాలా బంతుల్లో (302) ',' 8 వ అత్యంత బంతుల్లో ఒక మ్యాచ్ (464) ',' 19 బౌల్డ్ ఒక సిరీస్లో అత్యధిక క్యాచ్లు (5) ']</v>
      </c>
      <c r="E3996" s="2" t="s">
        <v>2830</v>
      </c>
      <c r="F3996" s="2" t="str">
        <f>IFERROR(__xludf.DUMMYFUNCTION("IF(E3996&lt;&gt;"""", GOOGLETRANSLATE(E3996, ""en"", ""te""),"""")"),"[ '17 వ ఉత్తమ కెరీర్ ఆర్థిక రేటు (2.42)', '50th చెత్త కెరీర్లో సమ్మె రేటు (51.9)', '49 వ కెరీర్ లో బౌల్డ్ చాలా బంతుల్లో (2753)', '31 బౌలర్ / బ్యాట్స్ కలయికలు (5)', '10 వ అత్యధిక వికెట్లు క్యాచ్ మరియు బౌల్డ్ తీసుకోకూడదు (8) ',' ఆరవ వికెట్కు 50 వ అత్యధిక భా"&amp;"గస్వామ్యం (64) ',' తొమ్మిదవ వికెట్కు 5 వ అత్యధిక భాగస్వామ్యం (58) ']")</f>
        <v>[ '17 వ ఉత్తమ కెరీర్ ఆర్థిక రేటు (2.42)', '50th చెత్త కెరీర్లో సమ్మె రేటు (51.9)', '49 వ కెరీర్ లో బౌల్డ్ చాలా బంతుల్లో (2753)', '31 బౌలర్ / బ్యాట్స్ కలయికలు (5)', '10 వ అత్యధిక వికెట్లు క్యాచ్ మరియు బౌల్డ్ తీసుకోకూడదు (8) ',' ఆరవ వికెట్కు 50 వ అత్యధిక భాగస్వామ్యం (64) ',' తొమ్మిదవ వికెట్కు 5 వ అత్యధిక భాగస్వామ్యం (58) ']</v>
      </c>
      <c r="G3996" s="2"/>
      <c r="H3996" s="2" t="str">
        <f>IFERROR(__xludf.DUMMYFUNCTION("IF(G3996&lt;&gt;"""", GOOGLETRANSLATE(G3996, ""en"", ""te""),"""")"),"")</f>
        <v/>
      </c>
      <c r="I3996" s="3"/>
    </row>
    <row r="3997" customHeight="1" spans="1:9">
      <c r="A3997" s="2" t="s">
        <v>2831</v>
      </c>
      <c r="B3997" s="2" t="str">
        <f>IFERROR(__xludf.DUMMYFUNCTION("IF(A3997&lt;&gt;"""", GOOGLETRANSLATE(A3997, ""en"", ""te""),"""")"),"[ '9 వ ఎక్కువ (17 *) ఒక ఇన్నింగ్స్ లో నడుస్తుంది (బ్యాటింగ్ స్థానం)']")</f>
        <v>[ '9 వ ఎక్కువ (17 *) ఒక ఇన్నింగ్స్ లో నడుస్తుంది (బ్యాటింగ్ స్థానం)']</v>
      </c>
      <c r="C3997" s="2"/>
      <c r="D3997" s="2" t="str">
        <f>IFERROR(__xludf.DUMMYFUNCTION("IF(C3997&lt;&gt;"""", GOOGLETRANSLATE(C3997, ""en"", ""te""),"""")"),"")</f>
        <v/>
      </c>
      <c r="E3997" s="2" t="s">
        <v>2832</v>
      </c>
      <c r="F3997" s="2" t="str">
        <f>IFERROR(__xludf.DUMMYFUNCTION("IF(E3997&lt;&gt;"""", GOOGLETRANSLATE(E3997, ""en"", ""te""),"""")"),"[ 'ఇన్నింగ్స్ లో 9 వ అత్యధిక పరుగులు (బ్యాటింగ్ స్థానంలో ప్రకారం) (17 *)', 'ఇన్నింగ్స్ (5/15) లో 34 వ బెస్ట్ ఫిగర్స్' '17 వ అత్యుత్తమ బౌలింగ్ ఇన్నింగ్స్ లో విశ్లేషించడం (5/15)', '16 వ పిన్న ఆటగాడు ఐదు వికెట్ల లో-ఒక-ఇన్నింగ్స్ తీసుకోవాలని (20y 127d) ']")</f>
        <v>[ 'ఇన్నింగ్స్ లో 9 వ అత్యధిక పరుగులు (బ్యాటింగ్ స్థానంలో ప్రకారం) (17 *)', 'ఇన్నింగ్స్ (5/15) లో 34 వ బెస్ట్ ఫిగర్స్' '17 వ అత్యుత్తమ బౌలింగ్ ఇన్నింగ్స్ లో విశ్లేషించడం (5/15)', '16 వ పిన్న ఆటగాడు ఐదు వికెట్ల లో-ఒక-ఇన్నింగ్స్ తీసుకోవాలని (20y 127d) ']</v>
      </c>
      <c r="G3997" s="2"/>
      <c r="H3997" s="2" t="str">
        <f>IFERROR(__xludf.DUMMYFUNCTION("IF(G3997&lt;&gt;"""", GOOGLETRANSLATE(G3997, ""en"", ""te""),"""")"),"")</f>
        <v/>
      </c>
      <c r="I3997" s="3"/>
    </row>
    <row r="3998" customHeight="1" spans="1:9">
      <c r="A3998" s="2"/>
      <c r="B3998" s="2" t="str">
        <f>IFERROR(__xludf.DUMMYFUNCTION("IF(A3998&lt;&gt;"""", GOOGLETRANSLATE(A3998, ""en"", ""te""),"""")"),"")</f>
        <v/>
      </c>
      <c r="C3998" s="2"/>
      <c r="D3998" s="2" t="str">
        <f>IFERROR(__xludf.DUMMYFUNCTION("IF(C3998&lt;&gt;"""", GOOGLETRANSLATE(C3998, ""en"", ""te""),"""")"),"")</f>
        <v/>
      </c>
      <c r="E3998" s="2"/>
      <c r="F3998" s="2" t="str">
        <f>IFERROR(__xludf.DUMMYFUNCTION("IF(E3998&lt;&gt;"""", GOOGLETRANSLATE(E3998, ""en"", ""te""),"""")"),"")</f>
        <v/>
      </c>
      <c r="G3998" s="2"/>
      <c r="H3998" s="2" t="str">
        <f>IFERROR(__xludf.DUMMYFUNCTION("IF(G3998&lt;&gt;"""", GOOGLETRANSLATE(G3998, ""en"", ""te""),"""")"),"")</f>
        <v/>
      </c>
      <c r="I3998" s="3"/>
    </row>
    <row r="3999" customHeight="1" spans="1:9">
      <c r="A3999" s="2"/>
      <c r="B3999" s="2" t="str">
        <f>IFERROR(__xludf.DUMMYFUNCTION("IF(A3999&lt;&gt;"""", GOOGLETRANSLATE(A3999, ""en"", ""te""),"""")"),"")</f>
        <v/>
      </c>
      <c r="C3999" s="2"/>
      <c r="D3999" s="2" t="str">
        <f>IFERROR(__xludf.DUMMYFUNCTION("IF(C3999&lt;&gt;"""", GOOGLETRANSLATE(C3999, ""en"", ""te""),"""")"),"")</f>
        <v/>
      </c>
      <c r="E3999" s="2"/>
      <c r="F3999" s="2" t="str">
        <f>IFERROR(__xludf.DUMMYFUNCTION("IF(E3999&lt;&gt;"""", GOOGLETRANSLATE(E3999, ""en"", ""te""),"""")"),"")</f>
        <v/>
      </c>
      <c r="G3999" s="2"/>
      <c r="H3999" s="2" t="str">
        <f>IFERROR(__xludf.DUMMYFUNCTION("IF(G3999&lt;&gt;"""", GOOGLETRANSLATE(G3999, ""en"", ""te""),"""")"),"")</f>
        <v/>
      </c>
      <c r="I3999" s="3"/>
    </row>
    <row r="4000" customHeight="1" spans="1:9">
      <c r="A4000" s="2"/>
      <c r="B4000" s="2" t="str">
        <f>IFERROR(__xludf.DUMMYFUNCTION("IF(A4000&lt;&gt;"""", GOOGLETRANSLATE(A4000, ""en"", ""te""),"""")"),"")</f>
        <v/>
      </c>
      <c r="C4000" s="2"/>
      <c r="D4000" s="2" t="str">
        <f>IFERROR(__xludf.DUMMYFUNCTION("IF(C4000&lt;&gt;"""", GOOGLETRANSLATE(C4000, ""en"", ""te""),"""")"),"")</f>
        <v/>
      </c>
      <c r="E4000" s="2"/>
      <c r="F4000" s="2" t="str">
        <f>IFERROR(__xludf.DUMMYFUNCTION("IF(E4000&lt;&gt;"""", GOOGLETRANSLATE(E4000, ""en"", ""te""),"""")"),"")</f>
        <v/>
      </c>
      <c r="G4000" s="2"/>
      <c r="H4000" s="2" t="str">
        <f>IFERROR(__xludf.DUMMYFUNCTION("IF(G4000&lt;&gt;"""", GOOGLETRANSLATE(G4000, ""en"", ""te""),"""")"),"")</f>
        <v/>
      </c>
      <c r="I4000" s="3"/>
    </row>
    <row r="4001" customHeight="1" spans="1:9">
      <c r="A4001" s="2"/>
      <c r="B4001" s="2" t="str">
        <f>IFERROR(__xludf.DUMMYFUNCTION("IF(A4001&lt;&gt;"""", GOOGLETRANSLATE(A4001, ""en"", ""te""),"""")"),"")</f>
        <v/>
      </c>
      <c r="C4001" s="2"/>
      <c r="D4001" s="2" t="str">
        <f>IFERROR(__xludf.DUMMYFUNCTION("IF(C4001&lt;&gt;"""", GOOGLETRANSLATE(C4001, ""en"", ""te""),"""")"),"")</f>
        <v/>
      </c>
      <c r="E4001" s="2"/>
      <c r="F4001" s="2" t="str">
        <f>IFERROR(__xludf.DUMMYFUNCTION("IF(E4001&lt;&gt;"""", GOOGLETRANSLATE(E4001, ""en"", ""te""),"""")"),"")</f>
        <v/>
      </c>
      <c r="G4001" s="2"/>
      <c r="H4001" s="2" t="str">
        <f>IFERROR(__xludf.DUMMYFUNCTION("IF(G4001&lt;&gt;"""", GOOGLETRANSLATE(G4001, ""en"", ""te""),"""")"),"")</f>
        <v/>
      </c>
      <c r="I4001" s="3"/>
    </row>
    <row r="4002" customHeight="1" spans="1:9">
      <c r="A4002" s="2"/>
      <c r="B4002" s="2" t="str">
        <f>IFERROR(__xludf.DUMMYFUNCTION("IF(A4002&lt;&gt;"""", GOOGLETRANSLATE(A4002, ""en"", ""te""),"""")"),"")</f>
        <v/>
      </c>
      <c r="C4002" s="2"/>
      <c r="D4002" s="2" t="str">
        <f>IFERROR(__xludf.DUMMYFUNCTION("IF(C4002&lt;&gt;"""", GOOGLETRANSLATE(C4002, ""en"", ""te""),"""")"),"")</f>
        <v/>
      </c>
      <c r="E4002" s="2"/>
      <c r="F4002" s="2" t="str">
        <f>IFERROR(__xludf.DUMMYFUNCTION("IF(E4002&lt;&gt;"""", GOOGLETRANSLATE(E4002, ""en"", ""te""),"""")"),"")</f>
        <v/>
      </c>
      <c r="G4002" s="2"/>
      <c r="H4002" s="2" t="str">
        <f>IFERROR(__xludf.DUMMYFUNCTION("IF(G4002&lt;&gt;"""", GOOGLETRANSLATE(G4002, ""en"", ""te""),"""")"),"")</f>
        <v/>
      </c>
      <c r="I4002" s="3"/>
    </row>
    <row r="4003" customHeight="1" spans="1:9">
      <c r="A4003" s="2" t="s">
        <v>2833</v>
      </c>
      <c r="B4003" s="2" t="str">
        <f>IFERROR(__xludf.DUMMYFUNCTION("IF(A4003&lt;&gt;"""", GOOGLETRANSLATE(A4003, ""en"", ""te""),"""")"),"[ '3 వ అత్యంత ప్లేయర్ ఆఫ్ ది సిరీస్ అవార్డులు (8)', '1 వ 99 పరుగుల (199, 299 etc) (99)', '4 వ అత్యుత్తమ బౌలింగ్ ఇన్నింగ్స్ లో విశ్లేషించడం (9/52)', ' 3 వ అత్యంత పది వికెట్లు లో ఒక మ్యాచ్ ఒక కెరీర్ (9) ',' 400 వికెట్లు (80) ',' 250 పరుగులు మరియు ఒక సిరీస్ల"&amp;"ో 20 వికెట్లు ',' 5 వ ఉత్తమ కెరీర్ ఆర్థిక రేటు వేగంగా 3rd వ (3.30) ',' ఐదు వికెట్ల లో-ఒక-ఇన్నింగ్స్ (37y 218d) 1000 పరుగులు మరియు 100 వికెట్లు 2nd అత్యంత ఐదు-వికెట్ల లో-ఒక-ఇన్నింగ్స్ కెరీర్లో పడుతుంది 6 వ ఓల్డెస్ట్ ఆటగాడు ',' ',' (41) ' ]")</f>
        <v>[ '3 వ అత్యంత ప్లేయర్ ఆఫ్ ది సిరీస్ అవార్డులు (8)', '1 వ 99 పరుగుల (199, 299 etc) (99)', '4 వ అత్యుత్తమ బౌలింగ్ ఇన్నింగ్స్ లో విశ్లేషించడం (9/52)', ' 3 వ అత్యంత పది వికెట్లు లో ఒక మ్యాచ్ ఒక కెరీర్ (9) ',' 400 వికెట్లు (80) ',' 250 పరుగులు మరియు ఒక సిరీస్లో 20 వికెట్లు ',' 5 వ ఉత్తమ కెరీర్ ఆర్థిక రేటు వేగంగా 3rd వ (3.30) ',' ఐదు వికెట్ల లో-ఒక-ఇన్నింగ్స్ (37y 218d) 1000 పరుగులు మరియు 100 వికెట్లు 2nd అత్యంత ఐదు-వికెట్ల లో-ఒక-ఇన్నింగ్స్ కెరీర్లో పడుతుంది 6 వ ఓల్డెస్ట్ ఆటగాడు ',' ',' (41) ' ]</v>
      </c>
      <c r="C4003" s="2" t="s">
        <v>2834</v>
      </c>
      <c r="D4003" s="2" t="str">
        <f>IFERROR(__xludf.DUMMYFUNCTION("IF(C4003&lt;&gt;"""", GOOGLETRANSLATE(C4003, ""en"", ""te""),"""")"),"[ 'ఇన్నింగ్స్ లో 6 వ ఉత్తమ బొమ్మలు (9/52)' '99 పరుగుల 1st (మరియు 199, 299 etc) (99)', '11 వ కెరీర్ లో అత్యధిక వికెట్లు (431)', '6 వ మ్యాచ్ లో బెస్ట్ ఫిగర్స్ (15) ',' 33 వ ఒక సిరీస్లో అత్యధిక వికెట్లు (33) ',' 27 ఒక క్యాలెండర్ సంవత్సరంలో అత్యధిక వికెట్లు ("&amp;"64) ',' 4 వ అత్యుత్తమ బౌలింగ్ ఇన్నింగ్స్ లో విశ్లేషించడం (9/52) ',' 11 న అత్యధిక వికెట్లు ఒకే క్రీడా (76) ',' 38 వ ఉత్తమ సగటు (22.29) ',' 39 వ ఉత్తమ కెరీర్ సమ్మె రేటు బౌలింగ్ (50.8) ',' 3 వ అత్యంత ఐదు-వికెట్ల లో-ఒక-ఇన్నింగ్స్ కెరీర్లో (36) 'కెరీర్, '3 వ అ"&amp;"త్యంత పది వికెట్లు లో ఒక మ్యాచ్ ఒక వృత్తిలో (9)', '18 వ వరుస ఐదు వికెట్ల లో-ఒక-ఇన్నింగ్స్ (3)', 'ఐదు వికెట్ల తేడాతో in- తీసుకోవాలని 21 వ అత్యంత వృద్ధ ఆటగాడు ఒక-ఇన్నింగ్స్ (39y 2d) ',' (21918) ',' 22 వ కెరీర్ లో సాధించిన అత్యధిక పరుగులు (పది వికెట్లు లో ఒక"&amp;" మ్యాచ్ (37y 144d) తీసుకోవాలని 11 వ అత్యంత వృద్ధ ఆటగాడు ',' 18 వ కెరీర్ లో బౌల్డ్ చాలా బంతుల్లో 9611) ',' 36 వ బౌలర్ / ఫీల్డర్ కలయికలు (43) ',' 11 వ అత్యధిక వికెట్లు బౌల్డ్ తీసుకున్న (92) ',' 14 వ అత్యధిక వికెట్లు ఆకర్షించింది తీసుకున్న (256) ',' 17 వ అత్"&amp;"యధిక వికెట్లు 10) 'ఆకర్షించింది తీసుకున్న మరియు బౌల్డ్ ( '13 వ అత్యధిక వికెట్లు ఒక ఫీల్డర్ చేత క్యాచ్ తీసుకున్న (176) ',' 20 వ అత్యధిక వికెట్లు ఒక వికెట్ కీపర్ చే కాట్ తీసుకున్న (80) ',' 14 వ అత్యధిక వికెట్లు తీసుకున్న ఎల్బిడబ్ల్యు (83) ',' 18 వ 150 వికెట"&amp;"్లు (34) ',' 13 వ వేగంగా వేగంగా 200 వికెట్లు (44) ',' 7 వ వేగవంతమైన 250 వికెట్లు (53) ',' 300 వికెట్లు వేగవంతమైన 4 వ (61) ',' 350 వికెట్లు వేగంగా 3 వ (69) ',' 400 వికెట్లు 3 వ అత్యంత వేగంగా (80) ' '32 వ అత్యంత ప్లేయర్ ఆఫ్ ది మ్యాచ్ అవార్డులు (9)', '3 వ "&amp;"అత్యంత ప్లేయర్ ఆఫ్ ది సిరీస్ అవార్డులు (8)']")</f>
        <v>[ 'ఇన్నింగ్స్ లో 6 వ ఉత్తమ బొమ్మలు (9/52)' '99 పరుగుల 1st (మరియు 199, 299 etc) (99)', '11 వ కెరీర్ లో అత్యధిక వికెట్లు (431)', '6 వ మ్యాచ్ లో బెస్ట్ ఫిగర్స్ (15) ',' 33 వ ఒక సిరీస్లో అత్యధిక వికెట్లు (33) ',' 27 ఒక క్యాలెండర్ సంవత్సరంలో అత్యధిక వికెట్లు (64) ',' 4 వ అత్యుత్తమ బౌలింగ్ ఇన్నింగ్స్ లో విశ్లేషించడం (9/52) ',' 11 న అత్యధిక వికెట్లు ఒకే క్రీడా (76) ',' 38 వ ఉత్తమ సగటు (22.29) ',' 39 వ ఉత్తమ కెరీర్ సమ్మె రేటు బౌలింగ్ (50.8) ',' 3 వ అత్యంత ఐదు-వికెట్ల లో-ఒక-ఇన్నింగ్స్ కెరీర్లో (36) 'కెరీర్, '3 వ అత్యంత పది వికెట్లు లో ఒక మ్యాచ్ ఒక వృత్తిలో (9)', '18 వ వరుస ఐదు వికెట్ల లో-ఒక-ఇన్నింగ్స్ (3)', 'ఐదు వికెట్ల తేడాతో in- తీసుకోవాలని 21 వ అత్యంత వృద్ధ ఆటగాడు ఒక-ఇన్నింగ్స్ (39y 2d) ',' (21918) ',' 22 వ కెరీర్ లో సాధించిన అత్యధిక పరుగులు (పది వికెట్లు లో ఒక మ్యాచ్ (37y 144d) తీసుకోవాలని 11 వ అత్యంత వృద్ధ ఆటగాడు ',' 18 వ కెరీర్ లో బౌల్డ్ చాలా బంతుల్లో 9611) ',' 36 వ బౌలర్ / ఫీల్డర్ కలయికలు (43) ',' 11 వ అత్యధిక వికెట్లు బౌల్డ్ తీసుకున్న (92) ',' 14 వ అత్యధిక వికెట్లు ఆకర్షించింది తీసుకున్న (256) ',' 17 వ అత్యధిక వికెట్లు 10) 'ఆకర్షించింది తీసుకున్న మరియు బౌల్డ్ ( '13 వ అత్యధిక వికెట్లు ఒక ఫీల్డర్ చేత క్యాచ్ తీసుకున్న (176) ',' 20 వ అత్యధిక వికెట్లు ఒక వికెట్ కీపర్ చే కాట్ తీసుకున్న (80) ',' 14 వ అత్యధిక వికెట్లు తీసుకున్న ఎల్బిడబ్ల్యు (83) ',' 18 వ 150 వికెట్లు (34) ',' 13 వ వేగంగా వేగంగా 200 వికెట్లు (44) ',' 7 వ వేగవంతమైన 250 వికెట్లు (53) ',' 300 వికెట్లు వేగవంతమైన 4 వ (61) ',' 350 వికెట్లు వేగంగా 3 వ (69) ',' 400 వికెట్లు 3 వ అత్యంత వేగంగా (80) ' '32 వ అత్యంత ప్లేయర్ ఆఫ్ ది మ్యాచ్ అవార్డులు (9)', '3 వ అత్యంత ప్లేయర్ ఆఫ్ ది సిరీస్ అవార్డులు (8)']</v>
      </c>
      <c r="E4003" s="2" t="s">
        <v>2835</v>
      </c>
      <c r="F4003" s="2" t="str">
        <f>IFERROR(__xludf.DUMMYFUNCTION("IF(E4003&lt;&gt;"""", GOOGLETRANSLATE(E4003, ""en"", ""te""),"""")"),"[ '32 వ అత్యంత వంద (1751) లేకుండా ఒక వృత్తిలో పరుగులు' '14 వ ఒక ఇన్నింగ్స్ లోని బెస్ట్ ఫిగర్స్ ఉన్నప్పుడు పరాజయం వైపు (5) న', '13 వ ఉత్తమ కెరీర్ సగటు (21.56) బౌలింగ్', '5 వ ఉత్తమ కెరీర్ ఎకానమీ రేట్ (3.30) ',' ఇన్నింగ్స్ లో 22 వ ఉత్తమ ఆర్థిక రేటు (0.83) '"&amp;",' 11 వ అత్యంత ఐదు-వికెట్ల లో-ఒక-ఇన్నింగ్స్ కెరీర్లో (5) ',' ఐదు వికెట్ల తేడాతో in- తీసుకోవాలని 6 వ అత్యంత వృద్ధ ఆటగాడు ఒక-ఇన్నింగ్స్ (37y 218d) ',' 48 వ అత్యధిక వికెట్లు తీసుకున్న బౌల్డ్ (44) ',' 31 అత్యధిక వికెట్లు తీసుకున్న ఎల్బిడబ్ల్యు (27) ',' 32 వ 1"&amp;"50 వికెట్లు (110) ',' 24th లాంగెస్ట్ వృత్తిలో వేగవంతమైన (17y 103d) ']")</f>
        <v>[ '32 వ అత్యంత వంద (1751) లేకుండా ఒక వృత్తిలో పరుగులు' '14 వ ఒక ఇన్నింగ్స్ లోని బెస్ట్ ఫిగర్స్ ఉన్నప్పుడు పరాజయం వైపు (5) న', '13 వ ఉత్తమ కెరీర్ సగటు (21.56) బౌలింగ్', '5 వ ఉత్తమ కెరీర్ ఎకానమీ రేట్ (3.30) ',' ఇన్నింగ్స్ లో 22 వ ఉత్తమ ఆర్థిక రేటు (0.83) ',' 11 వ అత్యంత ఐదు-వికెట్ల లో-ఒక-ఇన్నింగ్స్ కెరీర్లో (5) ',' ఐదు వికెట్ల తేడాతో in- తీసుకోవాలని 6 వ అత్యంత వృద్ధ ఆటగాడు ఒక-ఇన్నింగ్స్ (37y 218d) ',' 48 వ అత్యధిక వికెట్లు తీసుకున్న బౌల్డ్ (44) ',' 31 అత్యధిక వికెట్లు తీసుకున్న ఎల్బిడబ్ల్యు (27) ',' 32 వ 150 వికెట్లు (110) ',' 24th లాంగెస్ట్ వృత్తిలో వేగవంతమైన (17y 103d) ']</v>
      </c>
      <c r="G4003" s="2"/>
      <c r="H4003" s="2" t="str">
        <f>IFERROR(__xludf.DUMMYFUNCTION("IF(G4003&lt;&gt;"""", GOOGLETRANSLATE(G4003, ""en"", ""te""),"""")"),"")</f>
        <v/>
      </c>
      <c r="I4003" s="3"/>
    </row>
    <row r="4004" customHeight="1" spans="1:9">
      <c r="A4004" s="2"/>
      <c r="B4004" s="2" t="str">
        <f>IFERROR(__xludf.DUMMYFUNCTION("IF(A4004&lt;&gt;"""", GOOGLETRANSLATE(A4004, ""en"", ""te""),"""")"),"")</f>
        <v/>
      </c>
      <c r="C4004" s="2" t="s">
        <v>2836</v>
      </c>
      <c r="D4004" s="2" t="str">
        <f>IFERROR(__xludf.DUMMYFUNCTION("IF(C4004&lt;&gt;"""", GOOGLETRANSLATE(C4004, ""en"", ""te""),"""")"),"[ '43 వ చెత్త కెరీర్ బౌలింగ్ సరాసరి (49.58)', '50th చెత్త కెరీర్లో సమ్మె రేటు (106.4)']")</f>
        <v>[ '43 వ చెత్త కెరీర్ బౌలింగ్ సరాసరి (49.58)', '50th చెత్త కెరీర్లో సమ్మె రేటు (106.4)']</v>
      </c>
      <c r="E4004" s="2" t="s">
        <v>2837</v>
      </c>
      <c r="F4004" s="2" t="str">
        <f>IFERROR(__xludf.DUMMYFUNCTION("IF(E4004&lt;&gt;"""", GOOGLETRANSLATE(E4004, ""en"", ""te""),"""")"),"[ '41 వ పిన్న ఆటగాడు ఐదు వికెట్ల లో-ఒక-ఇన్నింగ్స్ తీసుకోవాలని (22y 163d)']")</f>
        <v>[ '41 వ పిన్న ఆటగాడు ఐదు వికెట్ల లో-ఒక-ఇన్నింగ్స్ తీసుకోవాలని (22y 163d)']</v>
      </c>
      <c r="G4004" s="2"/>
      <c r="H4004" s="2" t="str">
        <f>IFERROR(__xludf.DUMMYFUNCTION("IF(G4004&lt;&gt;"""", GOOGLETRANSLATE(G4004, ""en"", ""te""),"""")"),"")</f>
        <v/>
      </c>
      <c r="I4004" s="3"/>
    </row>
    <row r="4005" customHeight="1" spans="1:9">
      <c r="A4005" s="2"/>
      <c r="B4005" s="2" t="str">
        <f>IFERROR(__xludf.DUMMYFUNCTION("IF(A4005&lt;&gt;"""", GOOGLETRANSLATE(A4005, ""en"", ""te""),"""")"),"")</f>
        <v/>
      </c>
      <c r="C4005" s="2"/>
      <c r="D4005" s="2" t="str">
        <f>IFERROR(__xludf.DUMMYFUNCTION("IF(C4005&lt;&gt;"""", GOOGLETRANSLATE(C4005, ""en"", ""te""),"""")"),"")</f>
        <v/>
      </c>
      <c r="E4005" s="2"/>
      <c r="F4005" s="2" t="str">
        <f>IFERROR(__xludf.DUMMYFUNCTION("IF(E4005&lt;&gt;"""", GOOGLETRANSLATE(E4005, ""en"", ""te""),"""")"),"")</f>
        <v/>
      </c>
      <c r="G4005" s="2"/>
      <c r="H4005" s="2" t="str">
        <f>IFERROR(__xludf.DUMMYFUNCTION("IF(G4005&lt;&gt;"""", GOOGLETRANSLATE(G4005, ""en"", ""te""),"""")"),"")</f>
        <v/>
      </c>
      <c r="I4005" s="3"/>
    </row>
    <row r="4006" customHeight="1" spans="1:9">
      <c r="A4006" s="2"/>
      <c r="B4006" s="2" t="str">
        <f>IFERROR(__xludf.DUMMYFUNCTION("IF(A4006&lt;&gt;"""", GOOGLETRANSLATE(A4006, ""en"", ""te""),"""")"),"")</f>
        <v/>
      </c>
      <c r="C4006" s="2"/>
      <c r="D4006" s="2" t="str">
        <f>IFERROR(__xludf.DUMMYFUNCTION("IF(C4006&lt;&gt;"""", GOOGLETRANSLATE(C4006, ""en"", ""te""),"""")"),"")</f>
        <v/>
      </c>
      <c r="E4006" s="2"/>
      <c r="F4006" s="2" t="str">
        <f>IFERROR(__xludf.DUMMYFUNCTION("IF(E4006&lt;&gt;"""", GOOGLETRANSLATE(E4006, ""en"", ""te""),"""")"),"")</f>
        <v/>
      </c>
      <c r="G4006" s="2"/>
      <c r="H4006" s="2" t="str">
        <f>IFERROR(__xludf.DUMMYFUNCTION("IF(G4006&lt;&gt;"""", GOOGLETRANSLATE(G4006, ""en"", ""te""),"""")"),"")</f>
        <v/>
      </c>
      <c r="I4006" s="3"/>
    </row>
    <row r="4007" customHeight="1" spans="1:9">
      <c r="A4007" s="2"/>
      <c r="B4007" s="2" t="str">
        <f>IFERROR(__xludf.DUMMYFUNCTION("IF(A4007&lt;&gt;"""", GOOGLETRANSLATE(A4007, ""en"", ""te""),"""")"),"")</f>
        <v/>
      </c>
      <c r="C4007" s="2"/>
      <c r="D4007" s="2" t="str">
        <f>IFERROR(__xludf.DUMMYFUNCTION("IF(C4007&lt;&gt;"""", GOOGLETRANSLATE(C4007, ""en"", ""te""),"""")"),"")</f>
        <v/>
      </c>
      <c r="E4007" s="2" t="s">
        <v>2838</v>
      </c>
      <c r="F4007" s="2" t="str">
        <f>IFERROR(__xludf.DUMMYFUNCTION("IF(E4007&lt;&gt;"""", GOOGLETRANSLATE(E4007, ""en"", ""te""),"""")"),"[18 వ చెత్త కెరీర్ బౌలింగ్ సరాసరి (అర్హత లేకుండా) (143.00) ']")</f>
        <v>[18 వ చెత్త కెరీర్ బౌలింగ్ సరాసరి (అర్హత లేకుండా) (143.00) ']</v>
      </c>
      <c r="G4007" s="2"/>
      <c r="H4007" s="2" t="str">
        <f>IFERROR(__xludf.DUMMYFUNCTION("IF(G4007&lt;&gt;"""", GOOGLETRANSLATE(G4007, ""en"", ""te""),"""")"),"")</f>
        <v/>
      </c>
      <c r="I4007" s="3"/>
    </row>
    <row r="4008" customHeight="1" spans="1:9">
      <c r="A4008" s="2"/>
      <c r="B4008" s="2" t="str">
        <f>IFERROR(__xludf.DUMMYFUNCTION("IF(A4008&lt;&gt;"""", GOOGLETRANSLATE(A4008, ""en"", ""te""),"""")"),"")</f>
        <v/>
      </c>
      <c r="C4008" s="2"/>
      <c r="D4008" s="2" t="str">
        <f>IFERROR(__xludf.DUMMYFUNCTION("IF(C4008&lt;&gt;"""", GOOGLETRANSLATE(C4008, ""en"", ""te""),"""")"),"")</f>
        <v/>
      </c>
      <c r="E4008" s="2"/>
      <c r="F4008" s="2" t="str">
        <f>IFERROR(__xludf.DUMMYFUNCTION("IF(E4008&lt;&gt;"""", GOOGLETRANSLATE(E4008, ""en"", ""te""),"""")"),"")</f>
        <v/>
      </c>
      <c r="G4008" s="2"/>
      <c r="H4008" s="2" t="str">
        <f>IFERROR(__xludf.DUMMYFUNCTION("IF(G4008&lt;&gt;"""", GOOGLETRANSLATE(G4008, ""en"", ""te""),"""")"),"")</f>
        <v/>
      </c>
      <c r="I4008" s="3"/>
    </row>
    <row r="4009" customHeight="1" spans="1:9">
      <c r="A4009" s="2"/>
      <c r="B4009" s="2" t="str">
        <f>IFERROR(__xludf.DUMMYFUNCTION("IF(A4009&lt;&gt;"""", GOOGLETRANSLATE(A4009, ""en"", ""te""),"""")"),"")</f>
        <v/>
      </c>
      <c r="C4009" s="2"/>
      <c r="D4009" s="2" t="str">
        <f>IFERROR(__xludf.DUMMYFUNCTION("IF(C4009&lt;&gt;"""", GOOGLETRANSLATE(C4009, ""en"", ""te""),"""")"),"")</f>
        <v/>
      </c>
      <c r="E4009" s="2"/>
      <c r="F4009" s="2" t="str">
        <f>IFERROR(__xludf.DUMMYFUNCTION("IF(E4009&lt;&gt;"""", GOOGLETRANSLATE(E4009, ""en"", ""te""),"""")"),"")</f>
        <v/>
      </c>
      <c r="G4009" s="2"/>
      <c r="H4009" s="2" t="str">
        <f>IFERROR(__xludf.DUMMYFUNCTION("IF(G4009&lt;&gt;"""", GOOGLETRANSLATE(G4009, ""en"", ""te""),"""")"),"")</f>
        <v/>
      </c>
      <c r="I4009" s="3"/>
    </row>
    <row r="4010" customHeight="1" spans="1:9">
      <c r="A4010" s="2" t="s">
        <v>2839</v>
      </c>
      <c r="B4010" s="2" t="str">
        <f>IFERROR(__xludf.DUMMYFUNCTION("IF(A4010&lt;&gt;"""", GOOGLETRANSLATE(A4010, ""en"", ""te""),"""")"),"[ '9 వ చెత్త కెరీర్ బౌలింగ్ సరాసరి (46.06)', '5 వ ఇన్నింగ్స్ లో సాధించిన అత్యధిక పరుగులు (119)']")</f>
        <v>[ '9 వ చెత్త కెరీర్ బౌలింగ్ సరాసరి (46.06)', '5 వ ఇన్నింగ్స్ లో సాధించిన అత్యధిక పరుగులు (119)']</v>
      </c>
      <c r="C4010" s="2" t="s">
        <v>2840</v>
      </c>
      <c r="D4010" s="2" t="str">
        <f>IFERROR(__xludf.DUMMYFUNCTION("IF(C4010&lt;&gt;"""", GOOGLETRANSLATE(C4010, ""en"", ""te""),"""")"),"[ '9 వ చెత్త కెరీర్ బౌలింగ్ సరాసరి (46.06)', '11 వ చెత్త కెరీర్లో సమ్మె రేటు (119.7)', 'చాలా 5 వ ఇన్నింగ్స్ లో సాధించిన పరుగులు (119)']")</f>
        <v>[ '9 వ చెత్త కెరీర్ బౌలింగ్ సరాసరి (46.06)', '11 వ చెత్త కెరీర్లో సమ్మె రేటు (119.7)', 'చాలా 5 వ ఇన్నింగ్స్ లో సాధించిన పరుగులు (119)']</v>
      </c>
      <c r="E4010" s="2" t="s">
        <v>2841</v>
      </c>
      <c r="F4010" s="2" t="str">
        <f>IFERROR(__xludf.DUMMYFUNCTION("IF(E4010&lt;&gt;"""", GOOGLETRANSLATE(E4010, ""en"", ""te""),"""")"),"[ '26 ఉత్తమ కెరీర్ బౌలింగ్ సరాసరి (18.42)', '29th ఉత్తమ కెరీర్ ఆర్థిక రేటు (2.71)', 'ఇన్నింగ్స్ లో 33 వ ఉత్తమ ఆర్థిక రేటు (0.41)', 'ఇన్నింగ్స్ లో 43 ఉత్తమ సమ్మె రేటు (9.0)', ' 33 వ బౌలర్ / ఫీల్డర్ కలయికలు (11) ',' 23 వ అత్యధిక వికెట్లు తీసుకున్న ఎల్బిడబ్ల"&amp;"్యు (16) ',' పదవ వికెట్ను (24 *) 50 వ అత్యధిక భాగస్వామ్యం ']")</f>
        <v>[ '26 ఉత్తమ కెరీర్ బౌలింగ్ సరాసరి (18.42)', '29th ఉత్తమ కెరీర్ ఆర్థిక రేటు (2.71)', 'ఇన్నింగ్స్ లో 33 వ ఉత్తమ ఆర్థిక రేటు (0.41)', 'ఇన్నింగ్స్ లో 43 ఉత్తమ సమ్మె రేటు (9.0)', ' 33 వ బౌలర్ / ఫీల్డర్ కలయికలు (11) ',' 23 వ అత్యధిక వికెట్లు తీసుకున్న ఎల్బిడబ్ల్యు (16) ',' పదవ వికెట్ను (24 *) 50 వ అత్యధిక భాగస్వామ్యం ']</v>
      </c>
      <c r="G4010" s="2"/>
      <c r="H4010" s="2" t="str">
        <f>IFERROR(__xludf.DUMMYFUNCTION("IF(G4010&lt;&gt;"""", GOOGLETRANSLATE(G4010, ""en"", ""te""),"""")"),"")</f>
        <v/>
      </c>
      <c r="I4010" s="3"/>
    </row>
    <row r="4011" customHeight="1" spans="1:9">
      <c r="A4011" s="2"/>
      <c r="B4011" s="2" t="str">
        <f>IFERROR(__xludf.DUMMYFUNCTION("IF(A4011&lt;&gt;"""", GOOGLETRANSLATE(A4011, ""en"", ""te""),"""")"),"")</f>
        <v/>
      </c>
      <c r="C4011" s="2" t="s">
        <v>2842</v>
      </c>
      <c r="D4011" s="2" t="str">
        <f>IFERROR(__xludf.DUMMYFUNCTION("IF(C4011&lt;&gt;"""", GOOGLETRANSLATE(C4011, ""en"", ""te""),"""")"),"[ '46 వ లాంగెస్ట్ ప్రదర్శనల మధ్య వ్యవధిలో (8y 224d)', '46 వ లాంగెస్ట్ క్రీడాకారులు (91y 117d) నివసించారు']")</f>
        <v>[ '46 వ లాంగెస్ట్ ప్రదర్శనల మధ్య వ్యవధిలో (8y 224d)', '46 వ లాంగెస్ట్ క్రీడాకారులు (91y 117d) నివసించారు']</v>
      </c>
      <c r="E4011" s="2"/>
      <c r="F4011" s="2" t="str">
        <f>IFERROR(__xludf.DUMMYFUNCTION("IF(E4011&lt;&gt;"""", GOOGLETRANSLATE(E4011, ""en"", ""te""),"""")"),"")</f>
        <v/>
      </c>
      <c r="G4011" s="2"/>
      <c r="H4011" s="2" t="str">
        <f>IFERROR(__xludf.DUMMYFUNCTION("IF(G4011&lt;&gt;"""", GOOGLETRANSLATE(G4011, ""en"", ""te""),"""")"),"")</f>
        <v/>
      </c>
      <c r="I4011" s="3"/>
    </row>
    <row r="4012" customHeight="1" spans="1:9">
      <c r="A4012" s="2" t="s">
        <v>2843</v>
      </c>
      <c r="B4012" s="2" t="str">
        <f>IFERROR(__xludf.DUMMYFUNCTION("IF(A4012&lt;&gt;"""", GOOGLETRANSLATE(A4012, ""en"", ""te""),"""")"),"[ '1st చాలా వరుసగా నాలుగు వికెట్లు-ఇన్-ఒక-ఇన్నింగ్స్ (3)', '7 వ వేగవంతమైన 50 వికెట్లు (25)']")</f>
        <v>[ '1st చాలా వరుసగా నాలుగు వికెట్లు-ఇన్-ఒక-ఇన్నింగ్స్ (3)', '7 వ వేగవంతమైన 50 వికెట్లు (25)']</v>
      </c>
      <c r="C4012" s="2" t="s">
        <v>2844</v>
      </c>
      <c r="D4012" s="2" t="str">
        <f>IFERROR(__xludf.DUMMYFUNCTION("IF(C4012&lt;&gt;"""", GOOGLETRANSLATE(C4012, ""en"", ""te""),"""")"),"[ '37 వ చెత్త కెరీర్ బౌలింగ్ సరాసరి (51.54)']")</f>
        <v>[ '37 వ చెత్త కెరీర్ బౌలింగ్ సరాసరి (51.54)']</v>
      </c>
      <c r="E4012" s="2" t="s">
        <v>2845</v>
      </c>
      <c r="F4012" s="2" t="str">
        <f>IFERROR(__xludf.DUMMYFUNCTION("IF(E4012&lt;&gt;"""", GOOGLETRANSLATE(E4012, ""en"", ""te""),"""")"),"[18 వ ఉత్తమ కెరీర్ సమ్మె రేటు (29.3) ',' తొలి ఇన్నింగ్స్ 15 వ బెస్ట్ ఫిగర్స్ (4) ',' 43 వ అత్యంత ఐదు-వికెట్ల లో-ఒక-ఇన్నింగ్స్ కెరీర్లో (2) ',' 25 వ అత్యంత నాలుగు -wickets-ఇన్-ఒక-ఇన్నింగ్స్ కెరీర్లో (10) ',' 1 వ వరుస నాలుగు వికెట్లు-ఇన్-ఒక-ఇన్నింగ్స్ ఇన్ని"&amp;"ంగ్స్ లో (3) ',' 48 వ అత్యంత సాధించిన పరుగులు (91) ',' 7 వ వేగవంతమైన 50 వికెట్లు (25) ',' తొమ్మిదవ వికెట్కు 29 అత్యధిక భాగస్వామ్యం (73 *) ']")</f>
        <v>[18 వ ఉత్తమ కెరీర్ సమ్మె రేటు (29.3) ',' తొలి ఇన్నింగ్స్ 15 వ బెస్ట్ ఫిగర్స్ (4) ',' 43 వ అత్యంత ఐదు-వికెట్ల లో-ఒక-ఇన్నింగ్స్ కెరీర్లో (2) ',' 25 వ అత్యంత నాలుగు -wickets-ఇన్-ఒక-ఇన్నింగ్స్ కెరీర్లో (10) ',' 1 వ వరుస నాలుగు వికెట్లు-ఇన్-ఒక-ఇన్నింగ్స్ ఇన్నింగ్స్ లో (3) ',' 48 వ అత్యంత సాధించిన పరుగులు (91) ',' 7 వ వేగవంతమైన 50 వికెట్లు (25) ',' తొమ్మిదవ వికెట్కు 29 అత్యధిక భాగస్వామ్యం (73 *) ']</v>
      </c>
      <c r="G4012" s="2"/>
      <c r="H4012" s="2" t="str">
        <f>IFERROR(__xludf.DUMMYFUNCTION("IF(G4012&lt;&gt;"""", GOOGLETRANSLATE(G4012, ""en"", ""te""),"""")"),"")</f>
        <v/>
      </c>
      <c r="I4012" s="3"/>
    </row>
    <row r="4013" customHeight="1" spans="1:9">
      <c r="A4013" s="2"/>
      <c r="B4013" s="2" t="str">
        <f>IFERROR(__xludf.DUMMYFUNCTION("IF(A4013&lt;&gt;"""", GOOGLETRANSLATE(A4013, ""en"", ""te""),"""")"),"")</f>
        <v/>
      </c>
      <c r="C4013" s="2"/>
      <c r="D4013" s="2" t="str">
        <f>IFERROR(__xludf.DUMMYFUNCTION("IF(C4013&lt;&gt;"""", GOOGLETRANSLATE(C4013, ""en"", ""te""),"""")"),"")</f>
        <v/>
      </c>
      <c r="E4013" s="2"/>
      <c r="F4013" s="2" t="str">
        <f>IFERROR(__xludf.DUMMYFUNCTION("IF(E4013&lt;&gt;"""", GOOGLETRANSLATE(E4013, ""en"", ""te""),"""")"),"")</f>
        <v/>
      </c>
      <c r="G4013" s="2"/>
      <c r="H4013" s="2" t="str">
        <f>IFERROR(__xludf.DUMMYFUNCTION("IF(G4013&lt;&gt;"""", GOOGLETRANSLATE(G4013, ""en"", ""te""),"""")"),"")</f>
        <v/>
      </c>
      <c r="I4013" s="3"/>
    </row>
    <row r="4014" customHeight="1" spans="1:9">
      <c r="A4014" s="2"/>
      <c r="B4014" s="2" t="str">
        <f>IFERROR(__xludf.DUMMYFUNCTION("IF(A4014&lt;&gt;"""", GOOGLETRANSLATE(A4014, ""en"", ""te""),"""")"),"")</f>
        <v/>
      </c>
      <c r="C4014" s="2"/>
      <c r="D4014" s="2" t="str">
        <f>IFERROR(__xludf.DUMMYFUNCTION("IF(C4014&lt;&gt;"""", GOOGLETRANSLATE(C4014, ""en"", ""te""),"""")"),"")</f>
        <v/>
      </c>
      <c r="E4014" s="2"/>
      <c r="F4014" s="2" t="str">
        <f>IFERROR(__xludf.DUMMYFUNCTION("IF(E4014&lt;&gt;"""", GOOGLETRANSLATE(E4014, ""en"", ""te""),"""")"),"")</f>
        <v/>
      </c>
      <c r="G4014" s="2"/>
      <c r="H4014" s="2" t="str">
        <f>IFERROR(__xludf.DUMMYFUNCTION("IF(G4014&lt;&gt;"""", GOOGLETRANSLATE(G4014, ""en"", ""te""),"""")"),"")</f>
        <v/>
      </c>
      <c r="I4014" s="3"/>
    </row>
    <row r="4015" customHeight="1" spans="1:9">
      <c r="A4015" s="2"/>
      <c r="B4015" s="2" t="str">
        <f>IFERROR(__xludf.DUMMYFUNCTION("IF(A4015&lt;&gt;"""", GOOGLETRANSLATE(A4015, ""en"", ""te""),"""")"),"")</f>
        <v/>
      </c>
      <c r="C4015" s="2"/>
      <c r="D4015" s="2" t="str">
        <f>IFERROR(__xludf.DUMMYFUNCTION("IF(C4015&lt;&gt;"""", GOOGLETRANSLATE(C4015, ""en"", ""te""),"""")"),"")</f>
        <v/>
      </c>
      <c r="E4015" s="2"/>
      <c r="F4015" s="2" t="str">
        <f>IFERROR(__xludf.DUMMYFUNCTION("IF(E4015&lt;&gt;"""", GOOGLETRANSLATE(E4015, ""en"", ""te""),"""")"),"")</f>
        <v/>
      </c>
      <c r="G4015" s="2"/>
      <c r="H4015" s="2" t="str">
        <f>IFERROR(__xludf.DUMMYFUNCTION("IF(G4015&lt;&gt;"""", GOOGLETRANSLATE(G4015, ""en"", ""te""),"""")"),"")</f>
        <v/>
      </c>
      <c r="I4015" s="3"/>
    </row>
    <row r="4016" customHeight="1" spans="1:9">
      <c r="A4016" s="2"/>
      <c r="B4016" s="2" t="str">
        <f>IFERROR(__xludf.DUMMYFUNCTION("IF(A4016&lt;&gt;"""", GOOGLETRANSLATE(A4016, ""en"", ""te""),"""")"),"")</f>
        <v/>
      </c>
      <c r="C4016" s="2"/>
      <c r="D4016" s="2" t="str">
        <f>IFERROR(__xludf.DUMMYFUNCTION("IF(C4016&lt;&gt;"""", GOOGLETRANSLATE(C4016, ""en"", ""te""),"""")"),"")</f>
        <v/>
      </c>
      <c r="E4016" s="2"/>
      <c r="F4016" s="2" t="str">
        <f>IFERROR(__xludf.DUMMYFUNCTION("IF(E4016&lt;&gt;"""", GOOGLETRANSLATE(E4016, ""en"", ""te""),"""")"),"")</f>
        <v/>
      </c>
      <c r="G4016" s="2"/>
      <c r="H4016" s="2" t="str">
        <f>IFERROR(__xludf.DUMMYFUNCTION("IF(G4016&lt;&gt;"""", GOOGLETRANSLATE(G4016, ""en"", ""te""),"""")"),"")</f>
        <v/>
      </c>
      <c r="I4016" s="3"/>
    </row>
    <row r="4017" customHeight="1" spans="1:9">
      <c r="A4017" s="2" t="s">
        <v>2846</v>
      </c>
      <c r="B4017" s="2" t="str">
        <f>IFERROR(__xludf.DUMMYFUNCTION("IF(A4017&lt;&gt;"""", GOOGLETRANSLATE(A4017, ""en"", ""te""),"""")"),"[ 'హండ్రెడ్ మరియు ఒక మ్యాచ్లో ఒక డక్', 'పదవ వికెట్ను (151) 3 వ అత్యధిక భాగస్వామ్యం']")</f>
        <v>[ 'హండ్రెడ్ మరియు ఒక మ్యాచ్లో ఒక డక్', 'పదవ వికెట్ను (151) 3 వ అత్యధిక భాగస్వామ్యం']</v>
      </c>
      <c r="C4017" s="2" t="s">
        <v>2847</v>
      </c>
      <c r="D4017" s="2" t="str">
        <f>IFERROR(__xludf.DUMMYFUNCTION("IF(C4017&lt;&gt;"""", GOOGLETRANSLATE(C4017, ""en"", ""te""),"""")"),"[ 'పదవ వికెట్కు 3 వ అత్యధిక భాగస్వామ్యం (151)', '22 వ ఒక మ్యాచ్ రిఫరీ గా అత్యధిక మ్యాచ్లు (10)']")</f>
        <v>[ 'పదవ వికెట్కు 3 వ అత్యధిక భాగస్వామ్యం (151)', '22 వ ఒక మ్యాచ్ రిఫరీ గా అత్యధిక మ్యాచ్లు (10)']</v>
      </c>
      <c r="E4017" s="2" t="s">
        <v>2848</v>
      </c>
      <c r="F4017" s="2" t="str">
        <f>IFERROR(__xludf.DUMMYFUNCTION("IF(E4017&lt;&gt;"""", GOOGLETRANSLATE(E4017, ""en"", ""te""),"""")"),"[ '14 వ పురాతన దేశం ఆటగాళ్ళు (81y 70d)', '30 వ అత్యధిక మ్యాచ్లు ఒక మ్యాచ్ రిఫరీ గా (18)']")</f>
        <v>[ '14 వ పురాతన దేశం ఆటగాళ్ళు (81y 70d)', '30 వ అత్యధిక మ్యాచ్లు ఒక మ్యాచ్ రిఫరీ గా (18)']</v>
      </c>
      <c r="G4017" s="2"/>
      <c r="H4017" s="2" t="str">
        <f>IFERROR(__xludf.DUMMYFUNCTION("IF(G4017&lt;&gt;"""", GOOGLETRANSLATE(G4017, ""en"", ""te""),"""")"),"")</f>
        <v/>
      </c>
      <c r="I4017" s="3"/>
    </row>
    <row r="4018" customHeight="1" spans="1:9">
      <c r="A4018" s="2"/>
      <c r="B4018" s="2" t="str">
        <f>IFERROR(__xludf.DUMMYFUNCTION("IF(A4018&lt;&gt;"""", GOOGLETRANSLATE(A4018, ""en"", ""te""),"""")"),"")</f>
        <v/>
      </c>
      <c r="C4018" s="2"/>
      <c r="D4018" s="2" t="str">
        <f>IFERROR(__xludf.DUMMYFUNCTION("IF(C4018&lt;&gt;"""", GOOGLETRANSLATE(C4018, ""en"", ""te""),"""")"),"")</f>
        <v/>
      </c>
      <c r="E4018" s="2"/>
      <c r="F4018" s="2" t="str">
        <f>IFERROR(__xludf.DUMMYFUNCTION("IF(E4018&lt;&gt;"""", GOOGLETRANSLATE(E4018, ""en"", ""te""),"""")"),"")</f>
        <v/>
      </c>
      <c r="G4018" s="2" t="s">
        <v>2849</v>
      </c>
      <c r="H4018" s="2" t="str">
        <f>IFERROR(__xludf.DUMMYFUNCTION("IF(G4018&lt;&gt;"""", GOOGLETRANSLATE(G4018, ""en"", ""te""),"""")"),"[ 'పదవ వికెట్కు 32 వ అత్యధిక భాగస్వామ్యం (18 *)']")</f>
        <v>[ 'పదవ వికెట్కు 32 వ అత్యధిక భాగస్వామ్యం (18 *)']</v>
      </c>
      <c r="I4018" s="3"/>
    </row>
    <row r="4019" customHeight="1" spans="1:9">
      <c r="A4019" s="2"/>
      <c r="B4019" s="2" t="str">
        <f>IFERROR(__xludf.DUMMYFUNCTION("IF(A4019&lt;&gt;"""", GOOGLETRANSLATE(A4019, ""en"", ""te""),"""")"),"")</f>
        <v/>
      </c>
      <c r="C4019" s="2"/>
      <c r="D4019" s="2" t="str">
        <f>IFERROR(__xludf.DUMMYFUNCTION("IF(C4019&lt;&gt;"""", GOOGLETRANSLATE(C4019, ""en"", ""te""),"""")"),"")</f>
        <v/>
      </c>
      <c r="E4019" s="2"/>
      <c r="F4019" s="2" t="str">
        <f>IFERROR(__xludf.DUMMYFUNCTION("IF(E4019&lt;&gt;"""", GOOGLETRANSLATE(E4019, ""en"", ""te""),"""")"),"")</f>
        <v/>
      </c>
      <c r="G4019" s="2" t="s">
        <v>2850</v>
      </c>
      <c r="H4019" s="2" t="str">
        <f>IFERROR(__xludf.DUMMYFUNCTION("IF(G4019&lt;&gt;"""", GOOGLETRANSLATE(G4019, ""en"", ""te""),"""")"),"[ '25 అంపాయర్ (25) గా అత్యధిక మ్యాచ్లు']")</f>
        <v>[ '25 అంపాయర్ (25) గా అత్యధిక మ్యాచ్లు']</v>
      </c>
      <c r="I4019" s="3"/>
    </row>
    <row r="4020" customHeight="1" spans="1:9">
      <c r="A4020" s="2"/>
      <c r="B4020" s="2" t="str">
        <f>IFERROR(__xludf.DUMMYFUNCTION("IF(A4020&lt;&gt;"""", GOOGLETRANSLATE(A4020, ""en"", ""te""),"""")"),"")</f>
        <v/>
      </c>
      <c r="C4020" s="2"/>
      <c r="D4020" s="2" t="str">
        <f>IFERROR(__xludf.DUMMYFUNCTION("IF(C4020&lt;&gt;"""", GOOGLETRANSLATE(C4020, ""en"", ""te""),"""")"),"")</f>
        <v/>
      </c>
      <c r="E4020" s="2"/>
      <c r="F4020" s="2" t="str">
        <f>IFERROR(__xludf.DUMMYFUNCTION("IF(E4020&lt;&gt;"""", GOOGLETRANSLATE(E4020, ""en"", ""te""),"""")"),"")</f>
        <v/>
      </c>
      <c r="G4020" s="2"/>
      <c r="H4020" s="2" t="str">
        <f>IFERROR(__xludf.DUMMYFUNCTION("IF(G4020&lt;&gt;"""", GOOGLETRANSLATE(G4020, ""en"", ""te""),"""")"),"")</f>
        <v/>
      </c>
      <c r="I4020" s="3"/>
    </row>
    <row r="4021" customHeight="1" spans="1:9">
      <c r="A4021" s="2"/>
      <c r="B4021" s="2" t="str">
        <f>IFERROR(__xludf.DUMMYFUNCTION("IF(A4021&lt;&gt;"""", GOOGLETRANSLATE(A4021, ""en"", ""te""),"""")"),"")</f>
        <v/>
      </c>
      <c r="C4021" s="2"/>
      <c r="D4021" s="2" t="str">
        <f>IFERROR(__xludf.DUMMYFUNCTION("IF(C4021&lt;&gt;"""", GOOGLETRANSLATE(C4021, ""en"", ""te""),"""")"),"")</f>
        <v/>
      </c>
      <c r="E4021" s="2"/>
      <c r="F4021" s="2" t="str">
        <f>IFERROR(__xludf.DUMMYFUNCTION("IF(E4021&lt;&gt;"""", GOOGLETRANSLATE(E4021, ""en"", ""te""),"""")"),"")</f>
        <v/>
      </c>
      <c r="G4021" s="2"/>
      <c r="H4021" s="2" t="str">
        <f>IFERROR(__xludf.DUMMYFUNCTION("IF(G4021&lt;&gt;"""", GOOGLETRANSLATE(G4021, ""en"", ""te""),"""")"),"")</f>
        <v/>
      </c>
      <c r="I4021" s="3"/>
    </row>
    <row r="4022" customHeight="1" spans="1:9">
      <c r="A4022" s="2"/>
      <c r="B4022" s="2" t="str">
        <f>IFERROR(__xludf.DUMMYFUNCTION("IF(A4022&lt;&gt;"""", GOOGLETRANSLATE(A4022, ""en"", ""te""),"""")"),"")</f>
        <v/>
      </c>
      <c r="C4022" s="2"/>
      <c r="D4022" s="2" t="str">
        <f>IFERROR(__xludf.DUMMYFUNCTION("IF(C4022&lt;&gt;"""", GOOGLETRANSLATE(C4022, ""en"", ""te""),"""")"),"")</f>
        <v/>
      </c>
      <c r="E4022" s="2"/>
      <c r="F4022" s="2" t="str">
        <f>IFERROR(__xludf.DUMMYFUNCTION("IF(E4022&lt;&gt;"""", GOOGLETRANSLATE(E4022, ""en"", ""te""),"""")"),"")</f>
        <v/>
      </c>
      <c r="G4022" s="2"/>
      <c r="H4022" s="2" t="str">
        <f>IFERROR(__xludf.DUMMYFUNCTION("IF(G4022&lt;&gt;"""", GOOGLETRANSLATE(G4022, ""en"", ""te""),"""")"),"")</f>
        <v/>
      </c>
      <c r="I4022" s="3"/>
    </row>
    <row r="4023" customHeight="1" spans="1:9">
      <c r="A4023" s="2" t="s">
        <v>2851</v>
      </c>
      <c r="B4023" s="2" t="str">
        <f>IFERROR(__xludf.DUMMYFUNCTION("IF(A4023&lt;&gt;"""", GOOGLETRANSLATE(A4023, ""en"", ""te""),"""")"),"[ '5 వ అత్యంత ఐదు-వికెట్ల లో-ఒక-ఇన్నింగ్స్ కెరీర్లో (3)', 'ఇన్నింగ్స్ లో 3 వ అత్యధిక పరుగులు (బ్యాటింగ్ స్థానంలో ప్రకారం) (10)']")</f>
        <v>[ '5 వ అత్యంత ఐదు-వికెట్ల లో-ఒక-ఇన్నింగ్స్ కెరీర్లో (3)', 'ఇన్నింగ్స్ లో 3 వ అత్యధిక పరుగులు (బ్యాటింగ్ స్థానంలో ప్రకారం) (10)']</v>
      </c>
      <c r="C4023" s="2"/>
      <c r="D4023" s="2" t="str">
        <f>IFERROR(__xludf.DUMMYFUNCTION("IF(C4023&lt;&gt;"""", GOOGLETRANSLATE(C4023, ""en"", ""te""),"""")"),"")</f>
        <v/>
      </c>
      <c r="E4023" s="2" t="s">
        <v>2852</v>
      </c>
      <c r="F4023" s="2" t="str">
        <f>IFERROR(__xludf.DUMMYFUNCTION("IF(E4023&lt;&gt;"""", GOOGLETRANSLATE(E4023, ""en"", ""te""),"""")"),"[ '12 వ ఇన్నింగ్స్ లో అత్యధిక పరుగులు (బ్యాటింగ్ స్థానంలో ప్రకారం) (16 *)', '21 వ ఉత్తమ కెరీర్ సమ్మె రేటు (33.1) ',' 20 వ చెత్త కెరీర్లో ఆర్థిక రేటు (4.39) ',' 5 వ అత్యంత ఐదు-వికెట్ల in- ఒక కెరీర్ లో ఒక ఇన్నింగ్స్ (3) ',' 25 వ అత్యంత నాలుగు వికెట్లు-ఇన్-ఒ"&amp;"క-ఇన్నింగ్స్ కెరీర్లో (4) ',' 32 వ అత్యధిక వికెట్లు ఒక వికెట్ కీపర్ చే కాట్ తీసుకోకూడదు (10) ']")</f>
        <v>[ '12 వ ఇన్నింగ్స్ లో అత్యధిక పరుగులు (బ్యాటింగ్ స్థానంలో ప్రకారం) (16 *)', '21 వ ఉత్తమ కెరీర్ సమ్మె రేటు (33.1) ',' 20 వ చెత్త కెరీర్లో ఆర్థిక రేటు (4.39) ',' 5 వ అత్యంత ఐదు-వికెట్ల in- ఒక కెరీర్ లో ఒక ఇన్నింగ్స్ (3) ',' 25 వ అత్యంత నాలుగు వికెట్లు-ఇన్-ఒక-ఇన్నింగ్స్ కెరీర్లో (4) ',' 32 వ అత్యధిక వికెట్లు ఒక వికెట్ కీపర్ చే కాట్ తీసుకోకూడదు (10) ']</v>
      </c>
      <c r="G4023" s="2" t="s">
        <v>2853</v>
      </c>
      <c r="H4023" s="2" t="str">
        <f>IFERROR(__xludf.DUMMYFUNCTION("IF(G4023&lt;&gt;"""", GOOGLETRANSLATE(G4023, ""en"", ""te""),"""")"),"[ 'ఇన్నింగ్స్ లో 12 వ అత్యంత పనికత్తెలయొద్ద (2)' '3 వ అత్యంత ఇన్నింగ్స్ లో నడుస్తుంది (బ్యాటింగ్ స్థానం) (10)',]")</f>
        <v>[ 'ఇన్నింగ్స్ లో 12 వ అత్యంత పనికత్తెలయొద్ద (2)' '3 వ అత్యంత ఇన్నింగ్స్ లో నడుస్తుంది (బ్యాటింగ్ స్థానం) (10)',]</v>
      </c>
      <c r="I4023" s="3"/>
    </row>
    <row r="4024" customHeight="1" spans="1:9">
      <c r="A4024" s="2"/>
      <c r="B4024" s="2" t="str">
        <f>IFERROR(__xludf.DUMMYFUNCTION("IF(A4024&lt;&gt;"""", GOOGLETRANSLATE(A4024, ""en"", ""te""),"""")"),"")</f>
        <v/>
      </c>
      <c r="C4024" s="2"/>
      <c r="D4024" s="2" t="str">
        <f>IFERROR(__xludf.DUMMYFUNCTION("IF(C4024&lt;&gt;"""", GOOGLETRANSLATE(C4024, ""en"", ""te""),"""")"),"")</f>
        <v/>
      </c>
      <c r="E4024" s="2"/>
      <c r="F4024" s="2" t="str">
        <f>IFERROR(__xludf.DUMMYFUNCTION("IF(E4024&lt;&gt;"""", GOOGLETRANSLATE(E4024, ""en"", ""te""),"""")"),"")</f>
        <v/>
      </c>
      <c r="G4024" s="2"/>
      <c r="H4024" s="2" t="str">
        <f>IFERROR(__xludf.DUMMYFUNCTION("IF(G4024&lt;&gt;"""", GOOGLETRANSLATE(G4024, ""en"", ""te""),"""")"),"")</f>
        <v/>
      </c>
      <c r="I4024" s="3"/>
    </row>
    <row r="4025" customHeight="1" spans="1:9">
      <c r="A4025" s="2"/>
      <c r="B4025" s="2" t="str">
        <f>IFERROR(__xludf.DUMMYFUNCTION("IF(A4025&lt;&gt;"""", GOOGLETRANSLATE(A4025, ""en"", ""te""),"""")"),"")</f>
        <v/>
      </c>
      <c r="C4025" s="2"/>
      <c r="D4025" s="2" t="str">
        <f>IFERROR(__xludf.DUMMYFUNCTION("IF(C4025&lt;&gt;"""", GOOGLETRANSLATE(C4025, ""en"", ""te""),"""")"),"")</f>
        <v/>
      </c>
      <c r="E4025" s="2"/>
      <c r="F4025" s="2" t="str">
        <f>IFERROR(__xludf.DUMMYFUNCTION("IF(E4025&lt;&gt;"""", GOOGLETRANSLATE(E4025, ""en"", ""te""),"""")"),"")</f>
        <v/>
      </c>
      <c r="G4025" s="2"/>
      <c r="H4025" s="2" t="str">
        <f>IFERROR(__xludf.DUMMYFUNCTION("IF(G4025&lt;&gt;"""", GOOGLETRANSLATE(G4025, ""en"", ""te""),"""")"),"")</f>
        <v/>
      </c>
      <c r="I4025" s="3"/>
    </row>
    <row r="4026" customHeight="1" spans="1:9">
      <c r="A4026" s="2" t="s">
        <v>2854</v>
      </c>
      <c r="B4026" s="2" t="str">
        <f>IFERROR(__xludf.DUMMYFUNCTION("IF(A4026&lt;&gt;"""", GOOGLETRANSLATE(A4026, ""en"", ""te""),"""")"),"[ 'ఒక మ్యాచ్లో ప్రతి ఇన్నింగ్స్లో హండ్రెడ్' 'కెరీర్లో 8 వ అతి తక్కువ బాతులు (65)']")</f>
        <v>[ 'ఒక మ్యాచ్లో ప్రతి ఇన్నింగ్స్లో హండ్రెడ్' 'కెరీర్లో 8 వ అతి తక్కువ బాతులు (65)']</v>
      </c>
      <c r="C4026" s="2" t="s">
        <v>2855</v>
      </c>
      <c r="D4026" s="2" t="str">
        <f>IFERROR(__xludf.DUMMYFUNCTION("IF(C4026&lt;&gt;"""", GOOGLETRANSLATE(C4026, ""en"", ""te""),"""")"),"[ '49 వ కెప్టెన్గా అత్యధిక మ్యాచ్లు (30)', '33 వ వరుస అన్ని టాస్ గెలిచిన (3)']")</f>
        <v>[ '49 వ కెప్టెన్గా అత్యధిక మ్యాచ్లు (30)', '33 వ వరుస అన్ని టాస్ గెలిచిన (3)']</v>
      </c>
      <c r="E4026" s="2" t="s">
        <v>2856</v>
      </c>
      <c r="F4026" s="2" t="str">
        <f>IFERROR(__xludf.DUMMYFUNCTION("IF(E4026&lt;&gt;"""", GOOGLETRANSLATE(E4026, ""en"", ""te""),"""")"),"[ '45 వ అత్యంత వంద (1384) లేకుండా ఒక వృత్తిలో పరుగులు' 'కెరీర్లో 8 వ అతి తక్కువ బాతులు (65)', ఒక జట్టు కెప్టెన్గా, '48 వ వరుస మ్యాచ్లు' 49 వ కెప్టెన్గా (60) అత్యధిక మ్యాచ్లు '(32 ) ']")</f>
        <v>[ '45 వ అత్యంత వంద (1384) లేకుండా ఒక వృత్తిలో పరుగులు' 'కెరీర్లో 8 వ అతి తక్కువ బాతులు (65)', ఒక జట్టు కెప్టెన్గా, '48 వ వరుస మ్యాచ్లు' 49 వ కెప్టెన్గా (60) అత్యధిక మ్యాచ్లు '(32 ) ']</v>
      </c>
      <c r="G4026" s="2" t="s">
        <v>2082</v>
      </c>
      <c r="H4026" s="2" t="str">
        <f>IFERROR(__xludf.DUMMYFUNCTION("IF(G4026&lt;&gt;"""", GOOGLETRANSLATE(G4026, ""en"", ""te""),"""")"),"[ '48 వ అత్యంత బృందం (32) కెప్టెన్ గా వరుస మ్యాచ్లు']")</f>
        <v>[ '48 వ అత్యంత బృందం (32) కెప్టెన్ గా వరుస మ్యాచ్లు']</v>
      </c>
      <c r="I4026" s="3"/>
    </row>
    <row r="4027" customHeight="1" spans="1:9">
      <c r="A4027" s="2"/>
      <c r="B4027" s="2" t="str">
        <f>IFERROR(__xludf.DUMMYFUNCTION("IF(A4027&lt;&gt;"""", GOOGLETRANSLATE(A4027, ""en"", ""te""),"""")"),"")</f>
        <v/>
      </c>
      <c r="C4027" s="2"/>
      <c r="D4027" s="2" t="str">
        <f>IFERROR(__xludf.DUMMYFUNCTION("IF(C4027&lt;&gt;"""", GOOGLETRANSLATE(C4027, ""en"", ""te""),"""")"),"")</f>
        <v/>
      </c>
      <c r="E4027" s="2"/>
      <c r="F4027" s="2" t="str">
        <f>IFERROR(__xludf.DUMMYFUNCTION("IF(E4027&lt;&gt;"""", GOOGLETRANSLATE(E4027, ""en"", ""te""),"""")"),"")</f>
        <v/>
      </c>
      <c r="G4027" s="2"/>
      <c r="H4027" s="2" t="str">
        <f>IFERROR(__xludf.DUMMYFUNCTION("IF(G4027&lt;&gt;"""", GOOGLETRANSLATE(G4027, ""en"", ""te""),"""")"),"")</f>
        <v/>
      </c>
      <c r="I4027" s="3"/>
    </row>
    <row r="4028" customHeight="1" spans="1:9">
      <c r="A4028" s="2"/>
      <c r="B4028" s="2" t="str">
        <f>IFERROR(__xludf.DUMMYFUNCTION("IF(A4028&lt;&gt;"""", GOOGLETRANSLATE(A4028, ""en"", ""te""),"""")"),"")</f>
        <v/>
      </c>
      <c r="C4028" s="2"/>
      <c r="D4028" s="2" t="str">
        <f>IFERROR(__xludf.DUMMYFUNCTION("IF(C4028&lt;&gt;"""", GOOGLETRANSLATE(C4028, ""en"", ""te""),"""")"),"")</f>
        <v/>
      </c>
      <c r="E4028" s="2"/>
      <c r="F4028" s="2" t="str">
        <f>IFERROR(__xludf.DUMMYFUNCTION("IF(E4028&lt;&gt;"""", GOOGLETRANSLATE(E4028, ""en"", ""te""),"""")"),"")</f>
        <v/>
      </c>
      <c r="G4028" s="2"/>
      <c r="H4028" s="2" t="str">
        <f>IFERROR(__xludf.DUMMYFUNCTION("IF(G4028&lt;&gt;"""", GOOGLETRANSLATE(G4028, ""en"", ""te""),"""")"),"")</f>
        <v/>
      </c>
      <c r="I4028" s="3"/>
    </row>
    <row r="4029" customHeight="1" spans="1:9">
      <c r="A4029" s="2" t="s">
        <v>789</v>
      </c>
      <c r="B4029" s="2" t="str">
        <f>IFERROR(__xludf.DUMMYFUNCTION("IF(A4029&lt;&gt;"""", GOOGLETRANSLATE(A4029, ""en"", ""te""),"""")"),"[ 'ఇన్నింగ్స్ లో 2 వ అత్యధిక క్యాచ్లు (4)']")</f>
        <v>[ 'ఇన్నింగ్స్ లో 2 వ అత్యధిక క్యాచ్లు (4)']</v>
      </c>
      <c r="C4029" s="2"/>
      <c r="D4029" s="2" t="str">
        <f>IFERROR(__xludf.DUMMYFUNCTION("IF(C4029&lt;&gt;"""", GOOGLETRANSLATE(C4029, ""en"", ""te""),"""")"),"")</f>
        <v/>
      </c>
      <c r="E4029" s="2" t="s">
        <v>2857</v>
      </c>
      <c r="F4029" s="2" t="str">
        <f>IFERROR(__xludf.DUMMYFUNCTION("IF(E4029&lt;&gt;"""", GOOGLETRANSLATE(E4029, ""en"", ""te""),"""")"),"[40 వ అత్యధిక తొలి వంద (139) ',' 2 వ అత్యధిక క్యాచ్లు ఒక ఇన్నింగ్స్ లో (4) ']")</f>
        <v>[40 వ అత్యధిక తొలి వంద (139) ',' 2 వ అత్యధిక క్యాచ్లు ఒక ఇన్నింగ్స్ లో (4) ']</v>
      </c>
      <c r="G4029" s="2"/>
      <c r="H4029" s="2" t="str">
        <f>IFERROR(__xludf.DUMMYFUNCTION("IF(G4029&lt;&gt;"""", GOOGLETRANSLATE(G4029, ""en"", ""te""),"""")"),"")</f>
        <v/>
      </c>
      <c r="I4029" s="3"/>
    </row>
    <row r="4030" customHeight="1" spans="1:9">
      <c r="A4030" s="2" t="s">
        <v>2858</v>
      </c>
      <c r="B4030" s="2" t="str">
        <f>IFERROR(__xludf.DUMMYFUNCTION("IF(A4030&lt;&gt;"""", GOOGLETRANSLATE(A4030, ""en"", ""te""),"""")"),"[ '5 వ చెత్త కెరీర్లో సమ్మె రేటు (160.0)', '6 వ అత్యుత్తమ బౌలింగ్ ఇన్నింగ్స్ లో విశ్లేషించడం (4/7)', '2 వ అత్యంత క్యాచ్ మరియు బౌల్డ్ తీసుకోబడిన వికెట్ల' ఇన్నింగ్స్ (4.7) లో 7 వ ఉత్తమ సమ్మె రేటు '(29 ) ',' 2 వ ఇన్నింగ్స్ లో అత్యధిక క్యాచ్లు (4) ',' 1000 పర"&amp;"ుగులు మరియు 100 వికెట్లు ',' 1000 పరుగులు, 50 వికెట్లు, 50 క్యాచ్లు ',' 6 వ అత్యధిక వికెట్లు క్యాచ్ మరియు బౌల్డ్ (31 తీసుకున్నది) ']")</f>
        <v>[ '5 వ చెత్త కెరీర్లో సమ్మె రేటు (160.0)', '6 వ అత్యుత్తమ బౌలింగ్ ఇన్నింగ్స్ లో విశ్లేషించడం (4/7)', '2 వ అత్యంత క్యాచ్ మరియు బౌల్డ్ తీసుకోబడిన వికెట్ల' ఇన్నింగ్స్ (4.7) లో 7 వ ఉత్తమ సమ్మె రేటు '(29 ) ',' 2 వ ఇన్నింగ్స్ లో అత్యధిక క్యాచ్లు (4) ',' 1000 పరుగులు మరియు 100 వికెట్లు ',' 1000 పరుగులు, 50 వికెట్లు, 50 క్యాచ్లు ',' 6 వ అత్యధిక వికెట్లు క్యాచ్ మరియు బౌల్డ్ (31 తీసుకున్నది) ']</v>
      </c>
      <c r="C4030" s="2" t="s">
        <v>2859</v>
      </c>
      <c r="D4030" s="2" t="str">
        <f>IFERROR(__xludf.DUMMYFUNCTION("IF(C4030&lt;&gt;"""", GOOGLETRANSLATE(C4030, ""en"", ""te""),"""")"),"[ '5 వ చెత్త కెరీర్ బౌలింగ్ సరాసరి (73.12)', '5 వ చెత్త కెరీర్లో సమ్మె రేటు (160.0)']")</f>
        <v>[ '5 వ చెత్త కెరీర్ బౌలింగ్ సరాసరి (73.12)', '5 వ చెత్త కెరీర్లో సమ్మె రేటు (160.0)']</v>
      </c>
      <c r="E4030" s="2" t="s">
        <v>2860</v>
      </c>
      <c r="F4030" s="2" t="str">
        <f>IFERROR(__xludf.DUMMYFUNCTION("IF(E4030&lt;&gt;"""", GOOGLETRANSLATE(E4030, ""en"", ""te""),"""")"),"[ '14 వ ఇన్నింగ్స్ లో అత్యధిక పరుగులు (బ్యాటింగ్ స్థానంలో ప్రకారం) (130)', '35 వ కెరీర్ లో అత్యధిక వికెట్లు (203)', '6 వ అత్యుత్తమ బౌలింగ్ ఇన్నింగ్స్ లో విశ్లేషించడం (4/7)', '14 వ ఒక ఉత్తమ బొమ్మలు ఇన్నింగ్స్ ఉన్నప్పుడు పరాజయం వైపు (5) ',' ఇన్నింగ్స్ లో 7"&amp;" వ ఉత్తమ సమ్మె రేటు (4.7) ', '21 వ కెరీర్ లో బౌల్డ్ చాలా బంతుల్లో (10667)', '22 వ కెరీర్ లో సాధించిన అత్యధిక పరుగులు (7613)', '30 వ బౌలర్ / ఫీల్డర్ కలయికలు (29) ',' 33 వ అత్యధిక వికెట్లు తీసుకున్న ఆకర్షించింది (142) ',' 2 వ అత్యంత క్యాచ్ మరియు బౌల్డ్ తీసు"&amp;"కోబడిన వికెట్ల (29) ',' 18 వ అత్యధిక వికెట్లు ఒక ఫీల్డర్ చేత క్యాచ్ తీసుకున్న (130) ',' 34 వ అత్యంత వరుస కెరీర్లో క్యాచ్లు (96) ',' ఇన్నింగ్స్ (4) ',' 24 వ అత్యధిక క్యాచ్లు 2 వ అత్యధిక క్యాచ్లు (8) ',' 41 వ అత్యధిక మ్యాచ్లు కెరీర్లో (250) ',' 20 వ వరుస ఒక"&amp;" మ్యాచ్ జట్టు (94) ']")</f>
        <v>[ '14 వ ఇన్నింగ్స్ లో అత్యధిక పరుగులు (బ్యాటింగ్ స్థానంలో ప్రకారం) (130)', '35 వ కెరీర్ లో అత్యధిక వికెట్లు (203)', '6 వ అత్యుత్తమ బౌలింగ్ ఇన్నింగ్స్ లో విశ్లేషించడం (4/7)', '14 వ ఒక ఉత్తమ బొమ్మలు ఇన్నింగ్స్ ఉన్నప్పుడు పరాజయం వైపు (5) ',' ఇన్నింగ్స్ లో 7 వ ఉత్తమ సమ్మె రేటు (4.7) ', '21 వ కెరీర్ లో బౌల్డ్ చాలా బంతుల్లో (10667)', '22 వ కెరీర్ లో సాధించిన అత్యధిక పరుగులు (7613)', '30 వ బౌలర్ / ఫీల్డర్ కలయికలు (29) ',' 33 వ అత్యధిక వికెట్లు తీసుకున్న ఆకర్షించింది (142) ',' 2 వ అత్యంత క్యాచ్ మరియు బౌల్డ్ తీసుకోబడిన వికెట్ల (29) ',' 18 వ అత్యధిక వికెట్లు ఒక ఫీల్డర్ చేత క్యాచ్ తీసుకున్న (130) ',' 34 వ అత్యంత వరుస కెరీర్లో క్యాచ్లు (96) ',' ఇన్నింగ్స్ (4) ',' 24 వ అత్యధిక క్యాచ్లు 2 వ అత్యధిక క్యాచ్లు (8) ',' 41 వ అత్యధిక మ్యాచ్లు కెరీర్లో (250) ',' 20 వ వరుస ఒక మ్యాచ్ జట్టు (94) ']</v>
      </c>
      <c r="G4030" s="2"/>
      <c r="H4030" s="2" t="str">
        <f>IFERROR(__xludf.DUMMYFUNCTION("IF(G4030&lt;&gt;"""", GOOGLETRANSLATE(G4030, ""en"", ""te""),"""")"),"")</f>
        <v/>
      </c>
      <c r="I4030" s="3"/>
    </row>
    <row r="4031" customHeight="1" spans="1:9">
      <c r="A4031" s="2"/>
      <c r="B4031" s="2" t="str">
        <f>IFERROR(__xludf.DUMMYFUNCTION("IF(A4031&lt;&gt;"""", GOOGLETRANSLATE(A4031, ""en"", ""te""),"""")"),"")</f>
        <v/>
      </c>
      <c r="C4031" s="2"/>
      <c r="D4031" s="2" t="str">
        <f>IFERROR(__xludf.DUMMYFUNCTION("IF(C4031&lt;&gt;"""", GOOGLETRANSLATE(C4031, ""en"", ""te""),"""")"),"")</f>
        <v/>
      </c>
      <c r="E4031" s="2"/>
      <c r="F4031" s="2" t="str">
        <f>IFERROR(__xludf.DUMMYFUNCTION("IF(E4031&lt;&gt;"""", GOOGLETRANSLATE(E4031, ""en"", ""te""),"""")"),"")</f>
        <v/>
      </c>
      <c r="G4031" s="2"/>
      <c r="H4031" s="2" t="str">
        <f>IFERROR(__xludf.DUMMYFUNCTION("IF(G4031&lt;&gt;"""", GOOGLETRANSLATE(G4031, ""en"", ""te""),"""")"),"")</f>
        <v/>
      </c>
      <c r="I4031" s="3"/>
    </row>
    <row r="4032" customHeight="1" spans="1:9">
      <c r="A4032" s="2"/>
      <c r="B4032" s="2" t="str">
        <f>IFERROR(__xludf.DUMMYFUNCTION("IF(A4032&lt;&gt;"""", GOOGLETRANSLATE(A4032, ""en"", ""te""),"""")"),"")</f>
        <v/>
      </c>
      <c r="C4032" s="2"/>
      <c r="D4032" s="2" t="str">
        <f>IFERROR(__xludf.DUMMYFUNCTION("IF(C4032&lt;&gt;"""", GOOGLETRANSLATE(C4032, ""en"", ""te""),"""")"),"")</f>
        <v/>
      </c>
      <c r="E4032" s="2"/>
      <c r="F4032" s="2" t="str">
        <f>IFERROR(__xludf.DUMMYFUNCTION("IF(E4032&lt;&gt;"""", GOOGLETRANSLATE(E4032, ""en"", ""te""),"""")"),"")</f>
        <v/>
      </c>
      <c r="G4032" s="2"/>
      <c r="H4032" s="2" t="str">
        <f>IFERROR(__xludf.DUMMYFUNCTION("IF(G4032&lt;&gt;"""", GOOGLETRANSLATE(G4032, ""en"", ""te""),"""")"),"")</f>
        <v/>
      </c>
      <c r="I4032" s="3"/>
    </row>
    <row r="4033" customHeight="1" spans="1:9">
      <c r="A4033" s="2"/>
      <c r="B4033" s="2" t="str">
        <f>IFERROR(__xludf.DUMMYFUNCTION("IF(A4033&lt;&gt;"""", GOOGLETRANSLATE(A4033, ""en"", ""te""),"""")"),"")</f>
        <v/>
      </c>
      <c r="C4033" s="2"/>
      <c r="D4033" s="2" t="str">
        <f>IFERROR(__xludf.DUMMYFUNCTION("IF(C4033&lt;&gt;"""", GOOGLETRANSLATE(C4033, ""en"", ""te""),"""")"),"")</f>
        <v/>
      </c>
      <c r="E4033" s="2"/>
      <c r="F4033" s="2" t="str">
        <f>IFERROR(__xludf.DUMMYFUNCTION("IF(E4033&lt;&gt;"""", GOOGLETRANSLATE(E4033, ""en"", ""te""),"""")"),"")</f>
        <v/>
      </c>
      <c r="G4033" s="2"/>
      <c r="H4033" s="2" t="str">
        <f>IFERROR(__xludf.DUMMYFUNCTION("IF(G4033&lt;&gt;"""", GOOGLETRANSLATE(G4033, ""en"", ""te""),"""")"),"")</f>
        <v/>
      </c>
      <c r="I4033" s="3"/>
    </row>
    <row r="4034" customHeight="1" spans="1:9">
      <c r="A4034" s="2" t="s">
        <v>323</v>
      </c>
      <c r="B4034" s="2" t="str">
        <f>IFERROR(__xludf.DUMMYFUNCTION("IF(A4034&lt;&gt;"""", GOOGLETRANSLATE(A4034, ""en"", ""te""),"""")"),"[ '4 వ అత్యధిక వరుస బాతులు (4)']")</f>
        <v>[ '4 వ అత్యధిక వరుస బాతులు (4)']</v>
      </c>
      <c r="C4034" s="2"/>
      <c r="D4034" s="2" t="str">
        <f>IFERROR(__xludf.DUMMYFUNCTION("IF(C4034&lt;&gt;"""", GOOGLETRANSLATE(C4034, ""en"", ""te""),"""")"),"")</f>
        <v/>
      </c>
      <c r="E4034" s="2" t="s">
        <v>549</v>
      </c>
      <c r="F4034" s="2" t="str">
        <f>IFERROR(__xludf.DUMMYFUNCTION("IF(E4034&lt;&gt;"""", GOOGLETRANSLATE(E4034, ""en"", ""te""),"""")"),"[ 'తొలి ఇన్నింగ్స్ 15 వ బెస్ట్ ఫిగర్స్ (4)']")</f>
        <v>[ 'తొలి ఇన్నింగ్స్ 15 వ బెస్ట్ ఫిగర్స్ (4)']</v>
      </c>
      <c r="G4034" s="2"/>
      <c r="H4034" s="2" t="str">
        <f>IFERROR(__xludf.DUMMYFUNCTION("IF(G4034&lt;&gt;"""", GOOGLETRANSLATE(G4034, ""en"", ""te""),"""")"),"")</f>
        <v/>
      </c>
      <c r="I4034" s="3"/>
    </row>
    <row r="4035" customHeight="1" spans="1:9">
      <c r="A4035" s="2"/>
      <c r="B4035" s="2" t="str">
        <f>IFERROR(__xludf.DUMMYFUNCTION("IF(A4035&lt;&gt;"""", GOOGLETRANSLATE(A4035, ""en"", ""te""),"""")"),"")</f>
        <v/>
      </c>
      <c r="C4035" s="2"/>
      <c r="D4035" s="2" t="str">
        <f>IFERROR(__xludf.DUMMYFUNCTION("IF(C4035&lt;&gt;"""", GOOGLETRANSLATE(C4035, ""en"", ""te""),"""")"),"")</f>
        <v/>
      </c>
      <c r="E4035" s="2"/>
      <c r="F4035" s="2" t="str">
        <f>IFERROR(__xludf.DUMMYFUNCTION("IF(E4035&lt;&gt;"""", GOOGLETRANSLATE(E4035, ""en"", ""te""),"""")"),"")</f>
        <v/>
      </c>
      <c r="G4035" s="2"/>
      <c r="H4035" s="2" t="str">
        <f>IFERROR(__xludf.DUMMYFUNCTION("IF(G4035&lt;&gt;"""", GOOGLETRANSLATE(G4035, ""en"", ""te""),"""")"),"")</f>
        <v/>
      </c>
      <c r="I4035" s="3"/>
    </row>
    <row r="4036" customHeight="1" spans="1:9">
      <c r="A4036" s="2" t="s">
        <v>352</v>
      </c>
      <c r="B4036" s="2" t="str">
        <f>IFERROR(__xludf.DUMMYFUNCTION("IF(A4036&lt;&gt;"""", GOOGLETRANSLATE(A4036, ""en"", ""te""),"""")"),"[ 'బ్యాటింగ్ ప్రారంభించుటకు మరియు అదే మ్యాచ్ లో బౌలింగ్']")</f>
        <v>[ 'బ్యాటింగ్ ప్రారంభించుటకు మరియు అదే మ్యాచ్ లో బౌలింగ్']</v>
      </c>
      <c r="C4036" s="2"/>
      <c r="D4036" s="2" t="str">
        <f>IFERROR(__xludf.DUMMYFUNCTION("IF(C4036&lt;&gt;"""", GOOGLETRANSLATE(C4036, ""en"", ""te""),"""")"),"")</f>
        <v/>
      </c>
      <c r="E4036" s="2"/>
      <c r="F4036" s="2" t="str">
        <f>IFERROR(__xludf.DUMMYFUNCTION("IF(E4036&lt;&gt;"""", GOOGLETRANSLATE(E4036, ""en"", ""te""),"""")"),"")</f>
        <v/>
      </c>
      <c r="G4036" s="2"/>
      <c r="H4036" s="2" t="str">
        <f>IFERROR(__xludf.DUMMYFUNCTION("IF(G4036&lt;&gt;"""", GOOGLETRANSLATE(G4036, ""en"", ""te""),"""")"),"")</f>
        <v/>
      </c>
      <c r="I4036" s="3"/>
    </row>
    <row r="4037" customHeight="1" spans="1:9">
      <c r="A4037" s="2"/>
      <c r="B4037" s="2" t="str">
        <f>IFERROR(__xludf.DUMMYFUNCTION("IF(A4037&lt;&gt;"""", GOOGLETRANSLATE(A4037, ""en"", ""te""),"""")"),"")</f>
        <v/>
      </c>
      <c r="C4037" s="2"/>
      <c r="D4037" s="2" t="str">
        <f>IFERROR(__xludf.DUMMYFUNCTION("IF(C4037&lt;&gt;"""", GOOGLETRANSLATE(C4037, ""en"", ""te""),"""")"),"")</f>
        <v/>
      </c>
      <c r="E4037" s="2" t="s">
        <v>2861</v>
      </c>
      <c r="F4037" s="2" t="str">
        <f>IFERROR(__xludf.DUMMYFUNCTION("IF(E4037&lt;&gt;"""", GOOGLETRANSLATE(E4037, ""en"", ""te""),"""")"),"[ '30 వ పురాతన దేశం ఆటగాళ్ళు (79y 169d)']")</f>
        <v>[ '30 వ పురాతన దేశం ఆటగాళ్ళు (79y 169d)']</v>
      </c>
      <c r="G4037" s="2"/>
      <c r="H4037" s="2" t="str">
        <f>IFERROR(__xludf.DUMMYFUNCTION("IF(G4037&lt;&gt;"""", GOOGLETRANSLATE(G4037, ""en"", ""te""),"""")"),"")</f>
        <v/>
      </c>
      <c r="I4037" s="3"/>
    </row>
    <row r="4038" customHeight="1" spans="1:9">
      <c r="A4038" s="2"/>
      <c r="B4038" s="2" t="str">
        <f>IFERROR(__xludf.DUMMYFUNCTION("IF(A4038&lt;&gt;"""", GOOGLETRANSLATE(A4038, ""en"", ""te""),"""")"),"")</f>
        <v/>
      </c>
      <c r="C4038" s="2"/>
      <c r="D4038" s="2" t="str">
        <f>IFERROR(__xludf.DUMMYFUNCTION("IF(C4038&lt;&gt;"""", GOOGLETRANSLATE(C4038, ""en"", ""te""),"""")"),"")</f>
        <v/>
      </c>
      <c r="E4038" s="2"/>
      <c r="F4038" s="2" t="str">
        <f>IFERROR(__xludf.DUMMYFUNCTION("IF(E4038&lt;&gt;"""", GOOGLETRANSLATE(E4038, ""en"", ""te""),"""")"),"")</f>
        <v/>
      </c>
      <c r="G4038" s="2"/>
      <c r="H4038" s="2" t="str">
        <f>IFERROR(__xludf.DUMMYFUNCTION("IF(G4038&lt;&gt;"""", GOOGLETRANSLATE(G4038, ""en"", ""te""),"""")"),"")</f>
        <v/>
      </c>
      <c r="I4038" s="3"/>
    </row>
    <row r="4039" customHeight="1" spans="1:9">
      <c r="A4039" s="2"/>
      <c r="B4039" s="2" t="str">
        <f>IFERROR(__xludf.DUMMYFUNCTION("IF(A4039&lt;&gt;"""", GOOGLETRANSLATE(A4039, ""en"", ""te""),"""")"),"")</f>
        <v/>
      </c>
      <c r="C4039" s="2"/>
      <c r="D4039" s="2" t="str">
        <f>IFERROR(__xludf.DUMMYFUNCTION("IF(C4039&lt;&gt;"""", GOOGLETRANSLATE(C4039, ""en"", ""te""),"""")"),"")</f>
        <v/>
      </c>
      <c r="E4039" s="2"/>
      <c r="F4039" s="2" t="str">
        <f>IFERROR(__xludf.DUMMYFUNCTION("IF(E4039&lt;&gt;"""", GOOGLETRANSLATE(E4039, ""en"", ""te""),"""")"),"")</f>
        <v/>
      </c>
      <c r="G4039" s="2"/>
      <c r="H4039" s="2" t="str">
        <f>IFERROR(__xludf.DUMMYFUNCTION("IF(G4039&lt;&gt;"""", GOOGLETRANSLATE(G4039, ""en"", ""te""),"""")"),"")</f>
        <v/>
      </c>
      <c r="I4039" s="3"/>
    </row>
    <row r="4040" customHeight="1" spans="1:9">
      <c r="A4040" s="2"/>
      <c r="B4040" s="2" t="str">
        <f>IFERROR(__xludf.DUMMYFUNCTION("IF(A4040&lt;&gt;"""", GOOGLETRANSLATE(A4040, ""en"", ""te""),"""")"),"")</f>
        <v/>
      </c>
      <c r="C4040" s="2"/>
      <c r="D4040" s="2" t="str">
        <f>IFERROR(__xludf.DUMMYFUNCTION("IF(C4040&lt;&gt;"""", GOOGLETRANSLATE(C4040, ""en"", ""te""),"""")"),"")</f>
        <v/>
      </c>
      <c r="E4040" s="2"/>
      <c r="F4040" s="2" t="str">
        <f>IFERROR(__xludf.DUMMYFUNCTION("IF(E4040&lt;&gt;"""", GOOGLETRANSLATE(E4040, ""en"", ""te""),"""")"),"")</f>
        <v/>
      </c>
      <c r="G4040" s="2"/>
      <c r="H4040" s="2" t="str">
        <f>IFERROR(__xludf.DUMMYFUNCTION("IF(G4040&lt;&gt;"""", GOOGLETRANSLATE(G4040, ""en"", ""te""),"""")"),"")</f>
        <v/>
      </c>
      <c r="I4040" s="3"/>
    </row>
    <row r="4041" customHeight="1" spans="1:9">
      <c r="A4041" s="2"/>
      <c r="B4041" s="2" t="str">
        <f>IFERROR(__xludf.DUMMYFUNCTION("IF(A4041&lt;&gt;"""", GOOGLETRANSLATE(A4041, ""en"", ""te""),"""")"),"")</f>
        <v/>
      </c>
      <c r="C4041" s="2"/>
      <c r="D4041" s="2" t="str">
        <f>IFERROR(__xludf.DUMMYFUNCTION("IF(C4041&lt;&gt;"""", GOOGLETRANSLATE(C4041, ""en"", ""te""),"""")"),"")</f>
        <v/>
      </c>
      <c r="E4041" s="2"/>
      <c r="F4041" s="2" t="str">
        <f>IFERROR(__xludf.DUMMYFUNCTION("IF(E4041&lt;&gt;"""", GOOGLETRANSLATE(E4041, ""en"", ""te""),"""")"),"")</f>
        <v/>
      </c>
      <c r="G4041" s="2"/>
      <c r="H4041" s="2" t="str">
        <f>IFERROR(__xludf.DUMMYFUNCTION("IF(G4041&lt;&gt;"""", GOOGLETRANSLATE(G4041, ""en"", ""te""),"""")"),"")</f>
        <v/>
      </c>
      <c r="I4041" s="3"/>
    </row>
    <row r="4042" customHeight="1" spans="1:9">
      <c r="A4042" s="2"/>
      <c r="B4042" s="2" t="str">
        <f>IFERROR(__xludf.DUMMYFUNCTION("IF(A4042&lt;&gt;"""", GOOGLETRANSLATE(A4042, ""en"", ""te""),"""")"),"")</f>
        <v/>
      </c>
      <c r="C4042" s="2" t="s">
        <v>2862</v>
      </c>
      <c r="D4042" s="2" t="str">
        <f>IFERROR(__xludf.DUMMYFUNCTION("IF(C4042&lt;&gt;"""", GOOGLETRANSLATE(C4042, ""en"", ""te""),"""")"),"[ '29 పురాతన దేశం ఆటగాళ్ళు (87y 309d)']")</f>
        <v>[ '29 పురాతన దేశం ఆటగాళ్ళు (87y 309d)']</v>
      </c>
      <c r="E4042" s="2"/>
      <c r="F4042" s="2" t="str">
        <f>IFERROR(__xludf.DUMMYFUNCTION("IF(E4042&lt;&gt;"""", GOOGLETRANSLATE(E4042, ""en"", ""te""),"""")"),"")</f>
        <v/>
      </c>
      <c r="G4042" s="2"/>
      <c r="H4042" s="2" t="str">
        <f>IFERROR(__xludf.DUMMYFUNCTION("IF(G4042&lt;&gt;"""", GOOGLETRANSLATE(G4042, ""en"", ""te""),"""")"),"")</f>
        <v/>
      </c>
      <c r="I4042" s="3"/>
    </row>
    <row r="4043" customHeight="1" spans="1:9">
      <c r="A4043" s="2" t="s">
        <v>2863</v>
      </c>
      <c r="B4043" s="2" t="str">
        <f>IFERROR(__xludf.DUMMYFUNCTION("IF(A4043&lt;&gt;"""", GOOGLETRANSLATE(A4043, ""en"", ""te""),"""")"),"[ '4 వ అత్యంత బృందం వరుసగా మ్యాచ్లు (19)', '2 వ పిన్న కాప్టెన్ (21y 242d)', 'కెరీర్లో 4 వ అత్యధిక పరుగులు (1301)', '8 వ అత్యధిక కెరీర్ బ్యాటింగ్ సగటు (52.04)', '2 వ అత్యధిక వందలు ఒక వృత్తిలో కెరీర్లో (4) ',' 4 వ అత్యంత అర్ధ (11) ',' 3 వ అత్యంత ఇన్నింగ్స్ "&amp;"తొలి డక్ ముందు (17) ',' ఒక ఇన్నింగ్స్లో పరుగుల 8 వ అత్యధిక శాతం (55.02) ',' 1 వ అత్యధిక క్యాచ్లు ఒక ఇన్నింగ్స్ లో (3) ',' 5 వ లాంగెస్ట్ కెరీర్లు (18y 348d) ',' ఒక క్యాలెండర్ సంవత్సరంలో 2 వ అత్యధిక పరుగులు (880) ',' వరుస ఇన్నింగ్స్లో 2 వ వందల (2) ',' 10 వ "&amp;"కెరీర్ లో అత్యంత తొంభైల (2 ) ',' 5 వ కెరీర్ అర్ధ (38) ',' ఒక ఇన్నింగ్స్లో పరుగుల 4 వ అత్యధిక శాతం (59.88) ',' 1 వ అత్యుత్తమ బౌలింగ్ ఇన్నింగ్స్ లో విశ్లేషించడం (1/0) ',' 1 వ ఉత్తమ ఆర్ధిక వ్యవస్థలో రేటు ఒక ఇన్నింగ్స్ లో ఒక ఇన్నింగ్స్ లోని (0.00) ',' 4 వ అత"&amp;"్యధిక క్యాచ్లు (3) ',' బ్యాటింగ్ తెరవడం మరియు అదే మ్యాచ్ లో బౌలింగ్ ']")</f>
        <v>[ '4 వ అత్యంత బృందం వరుసగా మ్యాచ్లు (19)', '2 వ పిన్న కాప్టెన్ (21y 242d)', 'కెరీర్లో 4 వ అత్యధిక పరుగులు (1301)', '8 వ అత్యధిక కెరీర్ బ్యాటింగ్ సగటు (52.04)', '2 వ అత్యధిక వందలు ఒక వృత్తిలో కెరీర్లో (4) ',' 4 వ అత్యంత అర్ధ (11) ',' 3 వ అత్యంత ఇన్నింగ్స్ తొలి డక్ ముందు (17) ',' ఒక ఇన్నింగ్స్లో పరుగుల 8 వ అత్యధిక శాతం (55.02) ',' 1 వ అత్యధిక క్యాచ్లు ఒక ఇన్నింగ్స్ లో (3) ',' 5 వ లాంగెస్ట్ కెరీర్లు (18y 348d) ',' ఒక క్యాలెండర్ సంవత్సరంలో 2 వ అత్యధిక పరుగులు (880) ',' వరుస ఇన్నింగ్స్లో 2 వ వందల (2) ',' 10 వ కెరీర్ లో అత్యంత తొంభైల (2 ) ',' 5 వ కెరీర్ అర్ధ (38) ',' ఒక ఇన్నింగ్స్లో పరుగుల 4 వ అత్యధిక శాతం (59.88) ',' 1 వ అత్యుత్తమ బౌలింగ్ ఇన్నింగ్స్ లో విశ్లేషించడం (1/0) ',' 1 వ ఉత్తమ ఆర్ధిక వ్యవస్థలో రేటు ఒక ఇన్నింగ్స్ లో ఒక ఇన్నింగ్స్ లోని (0.00) ',' 4 వ అత్యధిక క్యాచ్లు (3) ',' బ్యాటింగ్ తెరవడం మరియు అదే మ్యాచ్ లో బౌలింగ్ ']</v>
      </c>
      <c r="C4043" s="2" t="s">
        <v>2864</v>
      </c>
      <c r="D4043" s="2" t="str">
        <f>IFERROR(__xludf.DUMMYFUNCTION("IF(C4043&lt;&gt;"""", GOOGLETRANSLATE(C4043, ""en"", ""te""),"""")"),"[ 'ఒక మ్యాచ్లో 26 అత్యధిక పరుగులు (169)' 'వరుస 30 వ అత్యధిక పరుగులు (284)' 'కెరీర్లో 4 వ అత్యధిక పరుగులు (1301)', '37 వ ఇన్నింగ్స్ (126 *) లో అత్యధిక పరుగులు', ' 11 వ అత్యంత ఇన్నింగ్స్ లో నడుస్తుంది (బ్యాటింగ్ స్థానం) పరాజయం వైపు (101) ',' ఒక కెప్టెన్ ద్"&amp;"వారా ఒక సిరీస్ 8 వ అత్యధిక పరుగులు (278) ',' 16 న ఒక మ్యాచ్ లో (126 *) ',' 12 వ అత్యధిక పరుగులు ఒక కెప్టెన్తో ఇన్నింగ్స్ లో అత్యధిక పరుగులు (107 *) ',' 8 వ అత్యధిక కెరీర్ బ్యాటింగ్ సగటు (52.04) ',' 2 వ అత్యధిక వందలు ఒక వృత్తిలో (4) ',' ఒక జట్టుతో 3 వ అత్య"&amp;"ధిక వందలు (2) ',' 48 వ అత్యధిక తొలి వంద (107 *) ',' 10 వ పిన్న ఆటగాడు కెరీర్లో వంద (33y 240d) ',' 4 వ అత్యంత అర్థ శతకాలు సాధించాడు వంద (21y 263d) ',' 11 వ అత్యంత వృద్ధ ఆటగాడు స్కోర్ (11) ',' వరుస ఇన్నింగ్స్లో 5 వ యాభైల్లో (3) ',' 3 వ అత్యంత ఇన్నింగ్స్ తొ"&amp;"లి డక్ ముందు (17) ',' కెరీర్లో 4 వ అతి తక్కువ బాతులు (29) ',' ఒక ఇన్నింగ్స్లో పరుగుల 8 వ అత్యధిక శాతం (55.02) ',' 1st ఒక ఇన్నింగ్స్ లో అత్యధిక క్యాచ్లు (3) తొలి వికెట్కు ',' 17 వ అత్యధిక భాగస్వామ్యం (118) ',' రెండవ వికెట్కు 13 వ అత్యధిక భాగస్వామ్యం (119) "&amp;"',' కెరీర్లో 8 వ అత్యధిక మ్యాచ్లు (19) ',' ఒక జట్టు 4 వ వరుస మ్యాచ్లు (19) ',' 5 వ పిన్న క్రీడాకారులు (16y 80D) ',' 7 వ లాంగెస్ట్ కెరీర్లు (17y 171d) ',' 2 వ పిన్న కాప్టెన్ (21y 242d ) ']")</f>
        <v>[ 'ఒక మ్యాచ్లో 26 అత్యధిక పరుగులు (169)' 'వరుస 30 వ అత్యధిక పరుగులు (284)' 'కెరీర్లో 4 వ అత్యధిక పరుగులు (1301)', '37 వ ఇన్నింగ్స్ (126 *) లో అత్యధిక పరుగులు', ' 11 వ అత్యంత ఇన్నింగ్స్ లో నడుస్తుంది (బ్యాటింగ్ స్థానం) పరాజయం వైపు (101) ',' ఒక కెప్టెన్ ద్వారా ఒక సిరీస్ 8 వ అత్యధిక పరుగులు (278) ',' 16 న ఒక మ్యాచ్ లో (126 *) ',' 12 వ అత్యధిక పరుగులు ఒక కెప్టెన్తో ఇన్నింగ్స్ లో అత్యధిక పరుగులు (107 *) ',' 8 వ అత్యధిక కెరీర్ బ్యాటింగ్ సగటు (52.04) ',' 2 వ అత్యధిక వందలు ఒక వృత్తిలో (4) ',' ఒక జట్టుతో 3 వ అత్యధిక వందలు (2) ',' 48 వ అత్యధిక తొలి వంద (107 *) ',' 10 వ పిన్న ఆటగాడు కెరీర్లో వంద (33y 240d) ',' 4 వ అత్యంత అర్థ శతకాలు సాధించాడు వంద (21y 263d) ',' 11 వ అత్యంత వృద్ధ ఆటగాడు స్కోర్ (11) ',' వరుస ఇన్నింగ్స్లో 5 వ యాభైల్లో (3) ',' 3 వ అత్యంత ఇన్నింగ్స్ తొలి డక్ ముందు (17) ',' కెరీర్లో 4 వ అతి తక్కువ బాతులు (29) ',' ఒక ఇన్నింగ్స్లో పరుగుల 8 వ అత్యధిక శాతం (55.02) ',' 1st ఒక ఇన్నింగ్స్ లో అత్యధిక క్యాచ్లు (3) తొలి వికెట్కు ',' 17 వ అత్యధిక భాగస్వామ్యం (118) ',' రెండవ వికెట్కు 13 వ అత్యధిక భాగస్వామ్యం (119) ',' కెరీర్లో 8 వ అత్యధిక మ్యాచ్లు (19) ',' ఒక జట్టు 4 వ వరుస మ్యాచ్లు (19) ',' 5 వ పిన్న క్రీడాకారులు (16y 80D) ',' 7 వ లాంగెస్ట్ కెరీర్లు (17y 171d) ',' 2 వ పిన్న కాప్టెన్ (21y 242d ) ']</v>
      </c>
      <c r="E4043" s="2" t="s">
        <v>2865</v>
      </c>
      <c r="F4043" s="2" t="str">
        <f>IFERROR(__xludf.DUMMYFUNCTION("IF(E4043&lt;&gt;"""", GOOGLETRANSLATE(E4043, ""en"", ""te""),"""")"),"[ 'కెరీర్లో 9 వ అత్యధిక పరుగులు (4064)', '45 వ ఒక సిరీస్లో అత్యధిక పరుగులు (456)', 'ఒక క్యాలెండర్ సంవత్సరంలో 2 వ అత్యధిక పరుగులు (880)', '21 వ పరాజయం వైపు ఒక మ్యాచ్లో అత్యధిక పరుగులు (100 ) ',' 17 వ అత్యధిక కెరీర్ బ్యాటింగ్ సగటు (41.89) ',' 15 కెరీర్లో అ"&amp;"త్యధిక వందలు (4) ',' 6 వ ఒక సిరీస్లో అత్యధిక సెంచరీలు (2) ',' 5 వ ఒక క్యాలెండర్ సంవత్సరంలో అత్యధిక వందలు (2) ' 'వరుస ఇన్నింగ్స్లో 2 వ వందల (2)', '27 వ అత్యధిక తొలి వంద (117)', '4 వ అత్యంత వృద్ధ ఆటగాడు వంద (37y 91d) స్కోర్', 'తొలి వంద (33y 224d) స్కోర్ 9 వ"&amp;" అత్యంత వృద్ధ ఆటగాడు' 'కెరీర్లో 10 వ అత్యంత తొంభైల (2)', 'చాలా 5 వ అర్ధ కెరీర్లో (38)', 'వరుస ఇన్నింగ్స్లో 12 వ యాభైల్లో (4)', 'ఒక డక్ లేకుండా 30 వ వరుస ఇన్నింగ్స్ (35)', '44 వ అతి తక్కువ కెరీర్లో బాతులు (19.16) ',' ఒక ఇన్నింగ్స్లో పరుగుల 4 వ అత్యధిక శా"&amp;"తం (59.88) ',' 1 వ అత్యుత్తమ బౌలింగ్ ఇన్నింగ్స్ లో విశ్లేషించడం (1/0) ',' ఇన్నింగ్స్ లో 1 వ ఉత్తమ ఆర్థిక రేటు (0.00) ' '10th చెత్త కెరీర్ సగటు (42.65) బౌలింగ్', '3 వ చెత్త కెరీర్లో సమ్మె రేటు (76.1)', '15 వ అత్యధిక క్యాచ్లు లో కెరీర్ (41) ',' నాలుగవ కోసం "&amp;"ఒక సిరీస్ (6) మూడో వికెట్కు ',' 25 వ అత్యధిక భాగస్వామ్యం (138) ',' 23 వ ఎత్తైన భాగస్వామ్యంతో ఒక ఇన్నింగ్స్ లో 4 వ అత్యధిక క్యాచ్లు (3) ',' 47 వ అత్యధిక క్యాచ్లు వికెట్ (116) ', '21 వ కెరీర్లో అత్యధిక మ్యాచ్లు (118)', '36 వ వరుస మ్యాచ్లు జట్టు (42)', '39 "&amp;"వ ఓల్డెస్ట్ క్రీడాకారులు (38y 46d)', '5 వ లాంగెస్ట్ కెరీర్లు (18y 348d)', '27 కెప్టెన్గా అత్యధిక మ్యాచ్లు (27)', '12 వ పిన్న కాప్టెన్ (21y 230d)', '17 వ ఓల్డెస్ట్ కాప్టెన్ (36y 110d)']")</f>
        <v>[ 'కెరీర్లో 9 వ అత్యధిక పరుగులు (4064)', '45 వ ఒక సిరీస్లో అత్యధిక పరుగులు (456)', 'ఒక క్యాలెండర్ సంవత్సరంలో 2 వ అత్యధిక పరుగులు (880)', '21 వ పరాజయం వైపు ఒక మ్యాచ్లో అత్యధిక పరుగులు (100 ) ',' 17 వ అత్యధిక కెరీర్ బ్యాటింగ్ సగటు (41.89) ',' 15 కెరీర్లో అత్యధిక వందలు (4) ',' 6 వ ఒక సిరీస్లో అత్యధిక సెంచరీలు (2) ',' 5 వ ఒక క్యాలెండర్ సంవత్సరంలో అత్యధిక వందలు (2) ' 'వరుస ఇన్నింగ్స్లో 2 వ వందల (2)', '27 వ అత్యధిక తొలి వంద (117)', '4 వ అత్యంత వృద్ధ ఆటగాడు వంద (37y 91d) స్కోర్', 'తొలి వంద (33y 224d) స్కోర్ 9 వ అత్యంత వృద్ధ ఆటగాడు' 'కెరీర్లో 10 వ అత్యంత తొంభైల (2)', 'చాలా 5 వ అర్ధ కెరీర్లో (38)', 'వరుస ఇన్నింగ్స్లో 12 వ యాభైల్లో (4)', 'ఒక డక్ లేకుండా 30 వ వరుస ఇన్నింగ్స్ (35)', '44 వ అతి తక్కువ కెరీర్లో బాతులు (19.16) ',' ఒక ఇన్నింగ్స్లో పరుగుల 4 వ అత్యధిక శాతం (59.88) ',' 1 వ అత్యుత్తమ బౌలింగ్ ఇన్నింగ్స్ లో విశ్లేషించడం (1/0) ',' ఇన్నింగ్స్ లో 1 వ ఉత్తమ ఆర్థిక రేటు (0.00) ' '10th చెత్త కెరీర్ సగటు (42.65) బౌలింగ్', '3 వ చెత్త కెరీర్లో సమ్మె రేటు (76.1)', '15 వ అత్యధిక క్యాచ్లు లో కెరీర్ (41) ',' నాలుగవ కోసం ఒక సిరీస్ (6) మూడో వికెట్కు ',' 25 వ అత్యధిక భాగస్వామ్యం (138) ',' 23 వ ఎత్తైన భాగస్వామ్యంతో ఒక ఇన్నింగ్స్ లో 4 వ అత్యధిక క్యాచ్లు (3) ',' 47 వ అత్యధిక క్యాచ్లు వికెట్ (116) ', '21 వ కెరీర్లో అత్యధిక మ్యాచ్లు (118)', '36 వ వరుస మ్యాచ్లు జట్టు (42)', '39 వ ఓల్డెస్ట్ క్రీడాకారులు (38y 46d)', '5 వ లాంగెస్ట్ కెరీర్లు (18y 348d)', '27 కెప్టెన్గా అత్యధిక మ్యాచ్లు (27)', '12 వ పిన్న కాప్టెన్ (21y 230d)', '17 వ ఓల్డెస్ట్ కాప్టెన్ (36y 110d)']</v>
      </c>
      <c r="G4043" s="2"/>
      <c r="H4043" s="2" t="str">
        <f>IFERROR(__xludf.DUMMYFUNCTION("IF(G4043&lt;&gt;"""", GOOGLETRANSLATE(G4043, ""en"", ""te""),"""")"),"")</f>
        <v/>
      </c>
      <c r="I4043" s="3"/>
    </row>
    <row r="4044" customHeight="1" spans="1:9">
      <c r="A4044" s="2"/>
      <c r="B4044" s="2" t="str">
        <f>IFERROR(__xludf.DUMMYFUNCTION("IF(A4044&lt;&gt;"""", GOOGLETRANSLATE(A4044, ""en"", ""te""),"""")"),"")</f>
        <v/>
      </c>
      <c r="C4044" s="2"/>
      <c r="D4044" s="2" t="str">
        <f>IFERROR(__xludf.DUMMYFUNCTION("IF(C4044&lt;&gt;"""", GOOGLETRANSLATE(C4044, ""en"", ""te""),"""")"),"")</f>
        <v/>
      </c>
      <c r="E4044" s="2"/>
      <c r="F4044" s="2" t="str">
        <f>IFERROR(__xludf.DUMMYFUNCTION("IF(E4044&lt;&gt;"""", GOOGLETRANSLATE(E4044, ""en"", ""te""),"""")"),"")</f>
        <v/>
      </c>
      <c r="G4044" s="2"/>
      <c r="H4044" s="2" t="str">
        <f>IFERROR(__xludf.DUMMYFUNCTION("IF(G4044&lt;&gt;"""", GOOGLETRANSLATE(G4044, ""en"", ""te""),"""")"),"")</f>
        <v/>
      </c>
      <c r="I4044" s="3"/>
    </row>
    <row r="4045" customHeight="1" spans="1:9">
      <c r="A4045" s="2"/>
      <c r="B4045" s="2" t="str">
        <f>IFERROR(__xludf.DUMMYFUNCTION("IF(A4045&lt;&gt;"""", GOOGLETRANSLATE(A4045, ""en"", ""te""),"""")"),"")</f>
        <v/>
      </c>
      <c r="C4045" s="2"/>
      <c r="D4045" s="2" t="str">
        <f>IFERROR(__xludf.DUMMYFUNCTION("IF(C4045&lt;&gt;"""", GOOGLETRANSLATE(C4045, ""en"", ""te""),"""")"),"")</f>
        <v/>
      </c>
      <c r="E4045" s="2" t="s">
        <v>2236</v>
      </c>
      <c r="F4045" s="2" t="str">
        <f>IFERROR(__xludf.DUMMYFUNCTION("IF(E4045&lt;&gt;"""", GOOGLETRANSLATE(E4045, ""en"", ""te""),"""")"),"[ '16 వ ఇన్నింగ్స్ లో అత్యధిక వికెట్లు (5)', '11 వ అత్యంత ఇన్నింగ్స్ లో క్యాచ్లు (5)']")</f>
        <v>[ '16 వ ఇన్నింగ్స్ లో అత్యధిక వికెట్లు (5)', '11 వ అత్యంత ఇన్నింగ్స్ లో క్యాచ్లు (5)']</v>
      </c>
      <c r="G4045" s="2" t="s">
        <v>2866</v>
      </c>
      <c r="H4045" s="2" t="str">
        <f>IFERROR(__xludf.DUMMYFUNCTION("IF(G4045&lt;&gt;"""", GOOGLETRANSLATE(G4045, ""en"", ""te""),"""")"),"[ '20 వ అత్యంత ఇన్నింగ్స్ లో సాధించిన బైస్ (6)']")</f>
        <v>[ '20 వ అత్యంత ఇన్నింగ్స్ లో సాధించిన బైస్ (6)']</v>
      </c>
      <c r="I4045" s="3"/>
    </row>
    <row r="4046" customHeight="1" spans="1:9">
      <c r="A4046" s="2"/>
      <c r="B4046" s="2" t="str">
        <f>IFERROR(__xludf.DUMMYFUNCTION("IF(A4046&lt;&gt;"""", GOOGLETRANSLATE(A4046, ""en"", ""te""),"""")"),"")</f>
        <v/>
      </c>
      <c r="C4046" s="2"/>
      <c r="D4046" s="2" t="str">
        <f>IFERROR(__xludf.DUMMYFUNCTION("IF(C4046&lt;&gt;"""", GOOGLETRANSLATE(C4046, ""en"", ""te""),"""")"),"")</f>
        <v/>
      </c>
      <c r="E4046" s="2"/>
      <c r="F4046" s="2" t="str">
        <f>IFERROR(__xludf.DUMMYFUNCTION("IF(E4046&lt;&gt;"""", GOOGLETRANSLATE(E4046, ""en"", ""te""),"""")"),"")</f>
        <v/>
      </c>
      <c r="G4046" s="2"/>
      <c r="H4046" s="2" t="str">
        <f>IFERROR(__xludf.DUMMYFUNCTION("IF(G4046&lt;&gt;"""", GOOGLETRANSLATE(G4046, ""en"", ""te""),"""")"),"")</f>
        <v/>
      </c>
      <c r="I4046" s="3"/>
    </row>
    <row r="4047" customHeight="1" spans="1:9">
      <c r="A4047" s="2"/>
      <c r="B4047" s="2" t="str">
        <f>IFERROR(__xludf.DUMMYFUNCTION("IF(A4047&lt;&gt;"""", GOOGLETRANSLATE(A4047, ""en"", ""te""),"""")"),"")</f>
        <v/>
      </c>
      <c r="C4047" s="2"/>
      <c r="D4047" s="2" t="str">
        <f>IFERROR(__xludf.DUMMYFUNCTION("IF(C4047&lt;&gt;"""", GOOGLETRANSLATE(C4047, ""en"", ""te""),"""")"),"")</f>
        <v/>
      </c>
      <c r="E4047" s="2"/>
      <c r="F4047" s="2" t="str">
        <f>IFERROR(__xludf.DUMMYFUNCTION("IF(E4047&lt;&gt;"""", GOOGLETRANSLATE(E4047, ""en"", ""te""),"""")"),"")</f>
        <v/>
      </c>
      <c r="G4047" s="2"/>
      <c r="H4047" s="2" t="str">
        <f>IFERROR(__xludf.DUMMYFUNCTION("IF(G4047&lt;&gt;"""", GOOGLETRANSLATE(G4047, ""en"", ""te""),"""")"),"")</f>
        <v/>
      </c>
      <c r="I4047" s="3"/>
    </row>
    <row r="4048" customHeight="1" spans="1:9">
      <c r="A4048" s="2"/>
      <c r="B4048" s="2" t="str">
        <f>IFERROR(__xludf.DUMMYFUNCTION("IF(A4048&lt;&gt;"""", GOOGLETRANSLATE(A4048, ""en"", ""te""),"""")"),"")</f>
        <v/>
      </c>
      <c r="C4048" s="2"/>
      <c r="D4048" s="2" t="str">
        <f>IFERROR(__xludf.DUMMYFUNCTION("IF(C4048&lt;&gt;"""", GOOGLETRANSLATE(C4048, ""en"", ""te""),"""")"),"")</f>
        <v/>
      </c>
      <c r="E4048" s="2" t="s">
        <v>2867</v>
      </c>
      <c r="F4048" s="2" t="str">
        <f>IFERROR(__xludf.DUMMYFUNCTION("IF(E4048&lt;&gt;"""", GOOGLETRANSLATE(E4048, ""en"", ""te""),"""")"),"[ '17 వ ఇన్నింగ్స్ లో అత్యధిక పరుగులు (బ్యాటింగ్ స్థానంలో ప్రకారం) (60)', '32 వ తొలి మ్యాచ్ (50) అత్యధిక పరుగులు']")</f>
        <v>[ '17 వ ఇన్నింగ్స్ లో అత్యధిక పరుగులు (బ్యాటింగ్ స్థానంలో ప్రకారం) (60)', '32 వ తొలి మ్యాచ్ (50) అత్యధిక పరుగులు']</v>
      </c>
      <c r="G4048" s="2"/>
      <c r="H4048" s="2" t="str">
        <f>IFERROR(__xludf.DUMMYFUNCTION("IF(G4048&lt;&gt;"""", GOOGLETRANSLATE(G4048, ""en"", ""te""),"""")"),"")</f>
        <v/>
      </c>
      <c r="I4048" s="3"/>
    </row>
    <row r="4049" customHeight="1" spans="1:9">
      <c r="A4049" s="2"/>
      <c r="B4049" s="2" t="str">
        <f>IFERROR(__xludf.DUMMYFUNCTION("IF(A4049&lt;&gt;"""", GOOGLETRANSLATE(A4049, ""en"", ""te""),"""")"),"")</f>
        <v/>
      </c>
      <c r="C4049" s="2" t="s">
        <v>2868</v>
      </c>
      <c r="D4049" s="2" t="str">
        <f>IFERROR(__xludf.DUMMYFUNCTION("IF(C4049&lt;&gt;"""", GOOGLETRANSLATE(C4049, ""en"", ""te""),"""")"),"[ '24 చెత్త ఇన్నింగ్స్ లో సమ్మె రేటు (368.0)', '30 వ ఇన్నింగ్స్ లో బౌల్డ్ చాలా బంతుల్లో (444)', '11 వ అత్యధిక వికెట్లు తీసుకున్న క్యాచ్ మరియు బౌల్డ్ (12)']")</f>
        <v>[ '24 చెత్త ఇన్నింగ్స్ లో సమ్మె రేటు (368.0)', '30 వ ఇన్నింగ్స్ లో బౌల్డ్ చాలా బంతుల్లో (444)', '11 వ అత్యధిక వికెట్లు తీసుకున్న క్యాచ్ మరియు బౌల్డ్ (12)']</v>
      </c>
      <c r="E4049" s="2" t="s">
        <v>2869</v>
      </c>
      <c r="F4049" s="2" t="str">
        <f>IFERROR(__xludf.DUMMYFUNCTION("IF(E4049&lt;&gt;"""", GOOGLETRANSLATE(E4049, ""en"", ""te""),"""")"),"[ '29 లాంగెస్ట్ నివసించారు క్రీడాకారులు (64y 318d)']")</f>
        <v>[ '29 లాంగెస్ట్ నివసించారు క్రీడాకారులు (64y 318d)']</v>
      </c>
      <c r="G4049" s="2"/>
      <c r="H4049" s="2" t="str">
        <f>IFERROR(__xludf.DUMMYFUNCTION("IF(G4049&lt;&gt;"""", GOOGLETRANSLATE(G4049, ""en"", ""te""),"""")"),"")</f>
        <v/>
      </c>
      <c r="I4049" s="3"/>
    </row>
    <row r="4050" customHeight="1" spans="1:9">
      <c r="A4050" s="2"/>
      <c r="B4050" s="2" t="str">
        <f>IFERROR(__xludf.DUMMYFUNCTION("IF(A4050&lt;&gt;"""", GOOGLETRANSLATE(A4050, ""en"", ""te""),"""")"),"")</f>
        <v/>
      </c>
      <c r="C4050" s="2"/>
      <c r="D4050" s="2" t="str">
        <f>IFERROR(__xludf.DUMMYFUNCTION("IF(C4050&lt;&gt;"""", GOOGLETRANSLATE(C4050, ""en"", ""te""),"""")"),"")</f>
        <v/>
      </c>
      <c r="E4050" s="2"/>
      <c r="F4050" s="2" t="str">
        <f>IFERROR(__xludf.DUMMYFUNCTION("IF(E4050&lt;&gt;"""", GOOGLETRANSLATE(E4050, ""en"", ""te""),"""")"),"")</f>
        <v/>
      </c>
      <c r="G4050" s="2"/>
      <c r="H4050" s="2" t="str">
        <f>IFERROR(__xludf.DUMMYFUNCTION("IF(G4050&lt;&gt;"""", GOOGLETRANSLATE(G4050, ""en"", ""te""),"""")"),"")</f>
        <v/>
      </c>
      <c r="I4050" s="3"/>
    </row>
    <row r="4051" customHeight="1" spans="1:9">
      <c r="A4051" s="2"/>
      <c r="B4051" s="2" t="str">
        <f>IFERROR(__xludf.DUMMYFUNCTION("IF(A4051&lt;&gt;"""", GOOGLETRANSLATE(A4051, ""en"", ""te""),"""")"),"")</f>
        <v/>
      </c>
      <c r="C4051" s="2"/>
      <c r="D4051" s="2" t="str">
        <f>IFERROR(__xludf.DUMMYFUNCTION("IF(C4051&lt;&gt;"""", GOOGLETRANSLATE(C4051, ""en"", ""te""),"""")"),"")</f>
        <v/>
      </c>
      <c r="E4051" s="2"/>
      <c r="F4051" s="2" t="str">
        <f>IFERROR(__xludf.DUMMYFUNCTION("IF(E4051&lt;&gt;"""", GOOGLETRANSLATE(E4051, ""en"", ""te""),"""")"),"")</f>
        <v/>
      </c>
      <c r="G4051" s="2"/>
      <c r="H4051" s="2" t="str">
        <f>IFERROR(__xludf.DUMMYFUNCTION("IF(G4051&lt;&gt;"""", GOOGLETRANSLATE(G4051, ""en"", ""te""),"""")"),"")</f>
        <v/>
      </c>
      <c r="I4051" s="3"/>
    </row>
    <row r="4052" customHeight="1" spans="1:9">
      <c r="A4052" s="2" t="s">
        <v>2870</v>
      </c>
      <c r="B4052" s="2" t="str">
        <f>IFERROR(__xludf.DUMMYFUNCTION("IF(A4052&lt;&gt;"""", GOOGLETRANSLATE(A4052, ""en"", ""te""),"""")"),"[ '(6) వికెట్ను కాపాడుకున్నాడు చేసిన 1st కెప్టెన్ల' 'ఇన్నింగ్స్ లో 5 వ అత్యంత స్టంపింగ్లు (3)', '2 వ అత్యధిక ఇన్నింగ్స్ బై (414) గూడా ఇవ్వకుండా మొత్తం' '1 వ ఎక్కువ సార్లు అవుట్ ఇన్నింగ్స్ లో (6)' 'వికెట్ను కాపాడుకున్నాడు చేసిన 2 వ కెప్టెన్ల (29)', 'ఇన్ని"&amp;"ంగ్స్ (4) 3 వ అత్యధిక క్యాచ్లు' 'వరుస 10 వ అత్యంత స్టంపింగ్లు (7)', '9 వ అత్యంత ఇన్నింగ్స్ లో సాధించిన బైస్ (10)']")</f>
        <v>[ '(6) వికెట్ను కాపాడుకున్నాడు చేసిన 1st కెప్టెన్ల' 'ఇన్నింగ్స్ లో 5 వ అత్యంత స్టంపింగ్లు (3)', '2 వ అత్యధిక ఇన్నింగ్స్ బై (414) గూడా ఇవ్వకుండా మొత్తం' '1 వ ఎక్కువ సార్లు అవుట్ ఇన్నింగ్స్ లో (6)' 'వికెట్ను కాపాడుకున్నాడు చేసిన 2 వ కెప్టెన్ల (29)', 'ఇన్నింగ్స్ (4) 3 వ అత్యధిక క్యాచ్లు' 'వరుస 10 వ అత్యంత స్టంపింగ్లు (7)', '9 వ అత్యంత ఇన్నింగ్స్ లో సాధించిన బైస్ (10)']</v>
      </c>
      <c r="C4052" s="2" t="s">
        <v>2871</v>
      </c>
      <c r="D4052" s="2" t="str">
        <f>IFERROR(__xludf.DUMMYFUNCTION("IF(C4052&lt;&gt;"""", GOOGLETRANSLATE(C4052, ""en"", ""te""),"""")"),"[ 'వికెట్ను కాపాడుకున్నాడు చేసిన 1st కెప్టెన్ల (6)', 'కెప్టెన్సీ తొలి 19 ఓల్డెస్ట్ కాప్టెన్ (31y 151d)', 'ఒక మ్యాచ్లో 13 వ అత్యధిక వికెట్లు (5)', '13 వ కెరీర్ స్టంపింగ్లు (5)', ' ఒక మ్యాచ్లో ఇన్నింగ్స్ లో 5 వ అత్యంత స్టంపింగ్లు (3) ',' 10 వ అత్యంత స్టంపిం"&amp;"గ్లు (3) ',' 12 వ వరుస (4) ',' 2 వ అత్యధిక ఇన్నింగ్స్ బై (414) గూడా ఇవ్వకుండా మొత్తంగా చాలా స్టంపింగ్లు ']")</f>
        <v>[ 'వికెట్ను కాపాడుకున్నాడు చేసిన 1st కెప్టెన్ల (6)', 'కెప్టెన్సీ తొలి 19 ఓల్డెస్ట్ కాప్టెన్ (31y 151d)', 'ఒక మ్యాచ్లో 13 వ అత్యధిక వికెట్లు (5)', '13 వ కెరీర్ స్టంపింగ్లు (5)', ' ఒక మ్యాచ్లో ఇన్నింగ్స్ లో 5 వ అత్యంత స్టంపింగ్లు (3) ',' 10 వ అత్యంత స్టంపింగ్లు (3) ',' 12 వ వరుస (4) ',' 2 వ అత్యధిక ఇన్నింగ్స్ బై (414) గూడా ఇవ్వకుండా మొత్తంగా చాలా స్టంపింగ్లు ']</v>
      </c>
      <c r="E4052" s="2" t="s">
        <v>2872</v>
      </c>
      <c r="F4052" s="2" t="str">
        <f>IFERROR(__xludf.DUMMYFUNCTION("IF(E4052&lt;&gt;"""", GOOGLETRANSLATE(E4052, ""en"", ""te""),"""")"),"[ '22 వ కెప్టెన్గా అత్యధిక మ్యాచ్లు (29)', '16 వ వరుస మ్యాచ్లు ఒక జట్టు కెప్టెన్గా (29)', 'వికెట్ను కాపాడుకున్నాడు చేసిన 2 వ కెప్టెన్ల (29)', '19 వ కెరీర్ లో అత్యధిక వికెట్లు (47)', 'ఇన్నింగ్స్ (6) లో 1 వ ఎక్కువ సార్లు అవుట్' 'వరుస 8 వ అత్యధిక వికెట్లు (1"&amp;"7)', '20 వ కెరీర్ లో అత్యధిక క్యాచ్లు (26)', '3 వ ఇన్నింగ్స్ లో అత్యధిక క్యాచ్లు (4)', '11 వ అత్యంత ఒక సిరీస్లో వరుస క్యాచ్లు (10) ',' 13 వ అత్యంత స్టంపింగ్లు కెరీర్లో (21) ',' 10 వ అత్యంత స్టంపింగ్లు (7) ',' 9 వ అత్యంత ఇన్నింగ్స్ లో సాధించిన బైస్ (10) '"&amp;"]")</f>
        <v>[ '22 వ కెప్టెన్గా అత్యధిక మ్యాచ్లు (29)', '16 వ వరుస మ్యాచ్లు ఒక జట్టు కెప్టెన్గా (29)', 'వికెట్ను కాపాడుకున్నాడు చేసిన 2 వ కెప్టెన్ల (29)', '19 వ కెరీర్ లో అత్యధిక వికెట్లు (47)', 'ఇన్నింగ్స్ (6) లో 1 వ ఎక్కువ సార్లు అవుట్' 'వరుస 8 వ అత్యధిక వికెట్లు (17)', '20 వ కెరీర్ లో అత్యధిక క్యాచ్లు (26)', '3 వ ఇన్నింగ్స్ లో అత్యధిక క్యాచ్లు (4)', '11 వ అత్యంత ఒక సిరీస్లో వరుస క్యాచ్లు (10) ',' 13 వ అత్యంత స్టంపింగ్లు కెరీర్లో (21) ',' 10 వ అత్యంత స్టంపింగ్లు (7) ',' 9 వ అత్యంత ఇన్నింగ్స్ లో సాధించిన బైస్ (10) ']</v>
      </c>
      <c r="G4052" s="2"/>
      <c r="H4052" s="2" t="str">
        <f>IFERROR(__xludf.DUMMYFUNCTION("IF(G4052&lt;&gt;"""", GOOGLETRANSLATE(G4052, ""en"", ""te""),"""")"),"")</f>
        <v/>
      </c>
      <c r="I4052" s="3"/>
    </row>
    <row r="4053" customHeight="1" spans="1:9">
      <c r="A4053" s="2" t="s">
        <v>2873</v>
      </c>
      <c r="B4053" s="2" t="str">
        <f>IFERROR(__xludf.DUMMYFUNCTION("IF(A4053&lt;&gt;"""", GOOGLETRANSLATE(A4053, ""en"", ""te""),"""")"),"[ 'ఒక మ్యాచ్లో ప్రతి ఇన్నింగ్స్లో హండ్రెడ్', 'మూడో వికెట్కు 2 వ అత్యధిక భాగస్వామ్యం (467)' ఒక వృత్తిలో వంద లేకుండా '10 వ చెత్త కెరీర్ సగటు (194.00) (అర్హత లేకుండా) బౌలింగ్', '5 వ అత్యధిక పరుగులు ( 2784) ',' వరుస ఇన్నింగ్స్లో 2 వ యాభైల్లో (6) ',' ఒక ఇన్ని"&amp;"ంగ్స్లో పరుగుల 5 వ అత్యధిక శాతం (63.51) ']")</f>
        <v>[ 'ఒక మ్యాచ్లో ప్రతి ఇన్నింగ్స్లో హండ్రెడ్', 'మూడో వికెట్కు 2 వ అత్యధిక భాగస్వామ్యం (467)' ఒక వృత్తిలో వంద లేకుండా '10 వ చెత్త కెరీర్ సగటు (194.00) (అర్హత లేకుండా) బౌలింగ్', '5 వ అత్యధిక పరుగులు ( 2784) ',' వరుస ఇన్నింగ్స్లో 2 వ యాభైల్లో (6) ',' ఒక ఇన్నింగ్స్లో పరుగుల 5 వ అత్యధిక శాతం (63.51) ']</v>
      </c>
      <c r="C4053" s="2" t="s">
        <v>2874</v>
      </c>
      <c r="D4053" s="2" t="str">
        <f>IFERROR(__xludf.DUMMYFUNCTION("IF(C4053&lt;&gt;"""", GOOGLETRANSLATE(C4053, ""en"", ""te""),"""")"),"[ 'వరుస ఇన్నింగ్స్లో 5 వ వందల (3)', '16 వ అతి తక్కువ బాతులు కెరీర్ లో (37)', 'ఫాస్టెస్ట్ 2000 పరుగులు 35 వ (44)' 'ఒక డక్ (53) లేకుండా 50 వ వరుస ఇన్నింగ్స్', '10 వ చెత్త 'ఏ వికెట్కు (467) కోసం సగటు (అర్హత లేకుండా) (194.00)', '3 వ అత్యధిక భాగస్వామ్యాలు బౌలి"&amp;"ంగ్ జీవితం', 'మూడో వికెట్కు 2 వ అత్యధిక భాగస్వామ్యం (467)]")</f>
        <v>[ 'వరుస ఇన్నింగ్స్లో 5 వ వందల (3)', '16 వ అతి తక్కువ బాతులు కెరీర్ లో (37)', 'ఫాస్టెస్ట్ 2000 పరుగులు 35 వ (44)' 'ఒక డక్ (53) లేకుండా 50 వ వరుస ఇన్నింగ్స్', '10 వ చెత్త 'ఏ వికెట్కు (467) కోసం సగటు (అర్హత లేకుండా) (194.00)', '3 వ అత్యధిక భాగస్వామ్యాలు బౌలింగ్ జీవితం', 'మూడో వికెట్కు 2 వ అత్యధిక భాగస్వామ్యం (467)]</v>
      </c>
      <c r="E4053" s="2" t="s">
        <v>2875</v>
      </c>
      <c r="F4053" s="2" t="str">
        <f>IFERROR(__xludf.DUMMYFUNCTION("IF(E4053&lt;&gt;"""", GOOGLETRANSLATE(E4053, ""en"", ""te""),"""")"),"[ '5 వ అత్యంత వంద (2784) లేకుండా ఒక వృత్తిలో పరుగులు', 'ఒక ఇన్నింగ్స్లో పరుగుల 5 వ అత్యధిక శాతం (63.51)', '16 వ 1000 పరుగులు వేగంగా' వరుస ఇన్నింగ్స్ (6) లో 2 వ యాభైల్లో '(25 ) ',' 2000 పరుగులు వేగంగా 15 న (52) ']")</f>
        <v>[ '5 వ అత్యంత వంద (2784) లేకుండా ఒక వృత్తిలో పరుగులు', 'ఒక ఇన్నింగ్స్లో పరుగుల 5 వ అత్యధిక శాతం (63.51)', '16 వ 1000 పరుగులు వేగంగా' వరుస ఇన్నింగ్స్ (6) లో 2 వ యాభైల్లో '(25 ) ',' 2000 పరుగులు వేగంగా 15 న (52) ']</v>
      </c>
      <c r="G4053" s="2"/>
      <c r="H4053" s="2" t="str">
        <f>IFERROR(__xludf.DUMMYFUNCTION("IF(G4053&lt;&gt;"""", GOOGLETRANSLATE(G4053, ""en"", ""te""),"""")"),"")</f>
        <v/>
      </c>
      <c r="I4053" s="3"/>
    </row>
    <row r="4054" customHeight="1" spans="1:9">
      <c r="A4054" s="2"/>
      <c r="B4054" s="2" t="str">
        <f>IFERROR(__xludf.DUMMYFUNCTION("IF(A4054&lt;&gt;"""", GOOGLETRANSLATE(A4054, ""en"", ""te""),"""")"),"")</f>
        <v/>
      </c>
      <c r="C4054" s="2"/>
      <c r="D4054" s="2" t="str">
        <f>IFERROR(__xludf.DUMMYFUNCTION("IF(C4054&lt;&gt;"""", GOOGLETRANSLATE(C4054, ""en"", ""te""),"""")"),"")</f>
        <v/>
      </c>
      <c r="E4054" s="2"/>
      <c r="F4054" s="2" t="str">
        <f>IFERROR(__xludf.DUMMYFUNCTION("IF(E4054&lt;&gt;"""", GOOGLETRANSLATE(E4054, ""en"", ""te""),"""")"),"")</f>
        <v/>
      </c>
      <c r="G4054" s="2"/>
      <c r="H4054" s="2" t="str">
        <f>IFERROR(__xludf.DUMMYFUNCTION("IF(G4054&lt;&gt;"""", GOOGLETRANSLATE(G4054, ""en"", ""te""),"""")"),"")</f>
        <v/>
      </c>
      <c r="I4054" s="3"/>
    </row>
    <row r="4055" customHeight="1" spans="1:9">
      <c r="A4055" s="2" t="s">
        <v>2876</v>
      </c>
      <c r="B4055" s="2" t="str">
        <f>IFERROR(__xludf.DUMMYFUNCTION("IF(A4055&lt;&gt;"""", GOOGLETRANSLATE(A4055, ""en"", ""te""),"""")"),"[ 'ఇన్నింగ్స్ లో 8 వ అత్యధిక క్యాచ్లు (3)', '3 వ అత్యంత వరుస వికెట్లు పరుగులు (214)', 'ఇన్నింగ్స్ లో 9 వ ఉత్తమ సమ్మె రేటు (13.5)']")</f>
        <v>[ 'ఇన్నింగ్స్ లో 8 వ అత్యధిక క్యాచ్లు (3)', '3 వ అత్యంత వరుస వికెట్లు పరుగులు (214)', 'ఇన్నింగ్స్ లో 9 వ ఉత్తమ సమ్మె రేటు (13.5)']</v>
      </c>
      <c r="C4055" s="2" t="s">
        <v>2877</v>
      </c>
      <c r="D4055" s="2" t="str">
        <f>IFERROR(__xludf.DUMMYFUNCTION("IF(C4055&lt;&gt;"""", GOOGLETRANSLATE(C4055, ""en"", ""te""),"""")"),"[ 'ఒక వికెట్ కీపర్ సిరీస్లో 3 వ అత్యధిక పరుగులు (214)', '33 వ అత్యధిక కెరీర్ బ్యాటింగ్ సగటు (33.87)', '20 వ ఉత్తమ కెరీర్ సగటు (అర్హత లేకుండా) (9.50) బౌలింగ్', '9 వ ఉత్తమ సమ్మె ఇన్నింగ్స్ లో రేటు (13.5) ',' 15 వ కెరీర్ లో అత్యధిక క్యాచ్లు (10) ',' 8 వ ఇన్న"&amp;"ింగ్స్ (3) ',' 12 వ అత్యధిక ఇన్నింగ్స్ బై (256/5 రో) గూడా ఇవ్వకుండా మొత్తంగా అత్యధిక క్యాచ్లు ']")</f>
        <v>[ 'ఒక వికెట్ కీపర్ సిరీస్లో 3 వ అత్యధిక పరుగులు (214)', '33 వ అత్యధిక కెరీర్ బ్యాటింగ్ సగటు (33.87)', '20 వ ఉత్తమ కెరీర్ సగటు (అర్హత లేకుండా) (9.50) బౌలింగ్', '9 వ ఉత్తమ సమ్మె ఇన్నింగ్స్ లో రేటు (13.5) ',' 15 వ కెరీర్ లో అత్యధిక క్యాచ్లు (10) ',' 8 వ ఇన్నింగ్స్ (3) ',' 12 వ అత్యధిక ఇన్నింగ్స్ బై (256/5 రో) గూడా ఇవ్వకుండా మొత్తంగా అత్యధిక క్యాచ్లు ']</v>
      </c>
      <c r="E4055" s="2" t="s">
        <v>2878</v>
      </c>
      <c r="F4055" s="2" t="str">
        <f>IFERROR(__xludf.DUMMYFUNCTION("IF(E4055&lt;&gt;"""", GOOGLETRANSLATE(E4055, ""en"", ""te""),"""")"),"[ '24 వ కెరీర్ లో అత్యధిక వికెట్లు (33)', 'వికెట్ (1) ఉంచింది చేసిన 17 వ కెప్టెన్ల', '28th ఉత్తమ కెరీర్ (12.00) (అర్హత లేకుండా) సగటు బౌలింగ్' 'ఇన్నింగ్స్ లో 17 వ అత్యధిక వికెట్లు (4)' '39 వ ఒక సిరీస్లో అత్యధిక వికెట్లు (10)', '22 వ అత్యధిక క్యాచ్లు కెరీర్"&amp;"లో (24)', '21 వ ఇన్నింగ్స్ లో అత్యధిక క్యాచ్లు (3) ',' 29th కెరీర్ (9) అత్యంత స్టంపింగ్లు ']")</f>
        <v>[ '24 వ కెరీర్ లో అత్యధిక వికెట్లు (33)', 'వికెట్ (1) ఉంచింది చేసిన 17 వ కెప్టెన్ల', '28th ఉత్తమ కెరీర్ (12.00) (అర్హత లేకుండా) సగటు బౌలింగ్' 'ఇన్నింగ్స్ లో 17 వ అత్యధిక వికెట్లు (4)' '39 వ ఒక సిరీస్లో అత్యధిక వికెట్లు (10)', '22 వ అత్యధిక క్యాచ్లు కెరీర్లో (24)', '21 వ ఇన్నింగ్స్ లో అత్యధిక క్యాచ్లు (3) ',' 29th కెరీర్ (9) అత్యంత స్టంపింగ్లు ']</v>
      </c>
      <c r="G4055" s="2"/>
      <c r="H4055" s="2" t="str">
        <f>IFERROR(__xludf.DUMMYFUNCTION("IF(G4055&lt;&gt;"""", GOOGLETRANSLATE(G4055, ""en"", ""te""),"""")"),"")</f>
        <v/>
      </c>
      <c r="I4055" s="3"/>
    </row>
    <row r="4056" customHeight="1" spans="1:9">
      <c r="A4056" s="2"/>
      <c r="B4056" s="2" t="str">
        <f>IFERROR(__xludf.DUMMYFUNCTION("IF(A4056&lt;&gt;"""", GOOGLETRANSLATE(A4056, ""en"", ""te""),"""")"),"")</f>
        <v/>
      </c>
      <c r="C4056" s="2" t="s">
        <v>2879</v>
      </c>
      <c r="D4056" s="2" t="str">
        <f>IFERROR(__xludf.DUMMYFUNCTION("IF(C4056&lt;&gt;"""", GOOGLETRANSLATE(C4056, ""en"", ""te""),"""")"),"[ '50 వ ఉత్తమ కెరీర్ బౌలింగ్ సరాసరి (అర్హత లేకుండా) (13.27)']")</f>
        <v>[ '50 వ ఉత్తమ కెరీర్ బౌలింగ్ సరాసరి (అర్హత లేకుండా) (13.27)']</v>
      </c>
      <c r="E4056" s="2"/>
      <c r="F4056" s="2" t="str">
        <f>IFERROR(__xludf.DUMMYFUNCTION("IF(E4056&lt;&gt;"""", GOOGLETRANSLATE(E4056, ""en"", ""te""),"""")"),"")</f>
        <v/>
      </c>
      <c r="G4056" s="2" t="s">
        <v>2880</v>
      </c>
      <c r="H4056" s="2" t="str">
        <f>IFERROR(__xludf.DUMMYFUNCTION("IF(G4056&lt;&gt;"""", GOOGLETRANSLATE(G4056, ""en"", ""te""),"""")"),"[ '12 వ ఇన్నింగ్స్ లో అత్యధిక పరుగులు (బ్యాటింగ్ స్థానంలో ప్రకారం) (30)', '40 వ చెత్త కెరీర్ (70.25) (అర్హత లేకుండా) సగటు బౌలింగ్', '43 వ ఇన్నింగ్స్ లో సాధించిన అత్యధిక పరుగులు (56)', '13 వ అత్యధిక భాగస్వామ్యం పదవ వికెట్కు (24) ']")</f>
        <v>[ '12 వ ఇన్నింగ్స్ లో అత్యధిక పరుగులు (బ్యాటింగ్ స్థానంలో ప్రకారం) (30)', '40 వ చెత్త కెరీర్ (70.25) (అర్హత లేకుండా) సగటు బౌలింగ్', '43 వ ఇన్నింగ్స్ లో సాధించిన అత్యధిక పరుగులు (56)', '13 వ అత్యధిక భాగస్వామ్యం పదవ వికెట్కు (24) ']</v>
      </c>
      <c r="I4056" s="3"/>
    </row>
    <row r="4057" customHeight="1" spans="1:9">
      <c r="A4057" s="2" t="s">
        <v>2881</v>
      </c>
      <c r="B4057" s="2" t="str">
        <f>IFERROR(__xludf.DUMMYFUNCTION("IF(A4057&lt;&gt;"""", GOOGLETRANSLATE(A4057, ""en"", ""te""),"""")"),"[ '5 వ చెత్త కెరీర్లో ఆర్థిక రేటు (6.77)']")</f>
        <v>[ '5 వ చెత్త కెరీర్లో ఆర్థిక రేటు (6.77)']</v>
      </c>
      <c r="C4057" s="2"/>
      <c r="D4057" s="2" t="str">
        <f>IFERROR(__xludf.DUMMYFUNCTION("IF(C4057&lt;&gt;"""", GOOGLETRANSLATE(C4057, ""en"", ""te""),"""")"),"")</f>
        <v/>
      </c>
      <c r="E4057" s="2" t="s">
        <v>2882</v>
      </c>
      <c r="F4057" s="2" t="str">
        <f>IFERROR(__xludf.DUMMYFUNCTION("IF(E4057&lt;&gt;"""", GOOGLETRANSLATE(E4057, ""en"", ""te""),"""")"),"[ '13 వ వరుస మ్యాచ్లు ప్రదర్శనల మధ్య (52) జట్టు తప్పిన']")</f>
        <v>[ '13 వ వరుస మ్యాచ్లు ప్రదర్శనల మధ్య (52) జట్టు తప్పిన']</v>
      </c>
      <c r="G4057" s="2" t="s">
        <v>2883</v>
      </c>
      <c r="H4057" s="2" t="str">
        <f>IFERROR(__xludf.DUMMYFUNCTION("IF(G4057&lt;&gt;"""", GOOGLETRANSLATE(G4057, ""en"", ""te""),"""")"),"[ 'మొదటి డక్ ముందు 47 వ అత్యంత ఇన్నింగ్స్ (12)', '19 చెత్త కెరీర్ బౌలింగ్ సరాసరి (25.20)', '5 వ చెత్త కెరీర్లో ఆర్థిక రేటు (6.77)', 'ఇన్నింగ్స్ లో 43 చెత్త ఆర్థిక రేటు (14.00)', '25 వ పదవ వికెట్కు అత్యధిక భాగస్వామ్యం (12) ']")</f>
        <v>[ 'మొదటి డక్ ముందు 47 వ అత్యంత ఇన్నింగ్స్ (12)', '19 చెత్త కెరీర్ బౌలింగ్ సరాసరి (25.20)', '5 వ చెత్త కెరీర్లో ఆర్థిక రేటు (6.77)', 'ఇన్నింగ్స్ లో 43 చెత్త ఆర్థిక రేటు (14.00)', '25 వ పదవ వికెట్కు అత్యధిక భాగస్వామ్యం (12) ']</v>
      </c>
      <c r="I4057" s="3"/>
    </row>
    <row r="4058" customHeight="1" spans="1:9">
      <c r="A4058" s="2" t="s">
        <v>399</v>
      </c>
      <c r="B4058" s="2" t="str">
        <f>IFERROR(__xludf.DUMMYFUNCTION("IF(A4058&lt;&gt;"""", GOOGLETRANSLATE(A4058, ""en"", ""te""),"""")"),"[ 'తొలి పెయిర్']")</f>
        <v>[ 'తొలి పెయిర్']</v>
      </c>
      <c r="C4058" s="2"/>
      <c r="D4058" s="2" t="str">
        <f>IFERROR(__xludf.DUMMYFUNCTION("IF(C4058&lt;&gt;"""", GOOGLETRANSLATE(C4058, ""en"", ""te""),"""")"),"")</f>
        <v/>
      </c>
      <c r="E4058" s="2"/>
      <c r="F4058" s="2" t="str">
        <f>IFERROR(__xludf.DUMMYFUNCTION("IF(E4058&lt;&gt;"""", GOOGLETRANSLATE(E4058, ""en"", ""te""),"""")"),"")</f>
        <v/>
      </c>
      <c r="G4058" s="2"/>
      <c r="H4058" s="2" t="str">
        <f>IFERROR(__xludf.DUMMYFUNCTION("IF(G4058&lt;&gt;"""", GOOGLETRANSLATE(G4058, ""en"", ""te""),"""")"),"")</f>
        <v/>
      </c>
      <c r="I4058" s="3"/>
    </row>
    <row r="4059" customHeight="1" spans="1:9">
      <c r="A4059" s="2"/>
      <c r="B4059" s="2" t="str">
        <f>IFERROR(__xludf.DUMMYFUNCTION("IF(A4059&lt;&gt;"""", GOOGLETRANSLATE(A4059, ""en"", ""te""),"""")"),"")</f>
        <v/>
      </c>
      <c r="C4059" s="2" t="s">
        <v>2884</v>
      </c>
      <c r="D4059" s="2" t="str">
        <f>IFERROR(__xludf.DUMMYFUNCTION("IF(C4059&lt;&gt;"""", GOOGLETRANSLATE(C4059, ""en"", ""te""),"""")"),"['21 వ లాంగెస్ట్ వ్యక్తిగత ఇన్నింగ్స్ (బంతులతో) (555) ']")</f>
        <v>['21 వ లాంగెస్ట్ వ్యక్తిగత ఇన్నింగ్స్ (బంతులతో) (555) ']</v>
      </c>
      <c r="E4059" s="2"/>
      <c r="F4059" s="2" t="str">
        <f>IFERROR(__xludf.DUMMYFUNCTION("IF(E4059&lt;&gt;"""", GOOGLETRANSLATE(E4059, ""en"", ""te""),"""")"),"")</f>
        <v/>
      </c>
      <c r="G4059" s="2"/>
      <c r="H4059" s="2" t="str">
        <f>IFERROR(__xludf.DUMMYFUNCTION("IF(G4059&lt;&gt;"""", GOOGLETRANSLATE(G4059, ""en"", ""te""),"""")"),"")</f>
        <v/>
      </c>
      <c r="I4059" s="3"/>
    </row>
    <row r="4060" customHeight="1" spans="1:9">
      <c r="A4060" s="2"/>
      <c r="B4060" s="2" t="str">
        <f>IFERROR(__xludf.DUMMYFUNCTION("IF(A4060&lt;&gt;"""", GOOGLETRANSLATE(A4060, ""en"", ""te""),"""")"),"")</f>
        <v/>
      </c>
      <c r="C4060" s="2"/>
      <c r="D4060" s="2" t="str">
        <f>IFERROR(__xludf.DUMMYFUNCTION("IF(C4060&lt;&gt;"""", GOOGLETRANSLATE(C4060, ""en"", ""te""),"""")"),"")</f>
        <v/>
      </c>
      <c r="E4060" s="2"/>
      <c r="F4060" s="2" t="str">
        <f>IFERROR(__xludf.DUMMYFUNCTION("IF(E4060&lt;&gt;"""", GOOGLETRANSLATE(E4060, ""en"", ""te""),"""")"),"")</f>
        <v/>
      </c>
      <c r="G4060" s="2"/>
      <c r="H4060" s="2" t="str">
        <f>IFERROR(__xludf.DUMMYFUNCTION("IF(G4060&lt;&gt;"""", GOOGLETRANSLATE(G4060, ""en"", ""te""),"""")"),"")</f>
        <v/>
      </c>
      <c r="I4060" s="3"/>
    </row>
    <row r="4061" customHeight="1" spans="1:9">
      <c r="A4061" s="2"/>
      <c r="B4061" s="2" t="str">
        <f>IFERROR(__xludf.DUMMYFUNCTION("IF(A4061&lt;&gt;"""", GOOGLETRANSLATE(A4061, ""en"", ""te""),"""")"),"")</f>
        <v/>
      </c>
      <c r="C4061" s="2"/>
      <c r="D4061" s="2" t="str">
        <f>IFERROR(__xludf.DUMMYFUNCTION("IF(C4061&lt;&gt;"""", GOOGLETRANSLATE(C4061, ""en"", ""te""),"""")"),"")</f>
        <v/>
      </c>
      <c r="E4061" s="2"/>
      <c r="F4061" s="2" t="str">
        <f>IFERROR(__xludf.DUMMYFUNCTION("IF(E4061&lt;&gt;"""", GOOGLETRANSLATE(E4061, ""en"", ""te""),"""")"),"")</f>
        <v/>
      </c>
      <c r="G4061" s="2"/>
      <c r="H4061" s="2" t="str">
        <f>IFERROR(__xludf.DUMMYFUNCTION("IF(G4061&lt;&gt;"""", GOOGLETRANSLATE(G4061, ""en"", ""te""),"""")"),"")</f>
        <v/>
      </c>
      <c r="I4061" s="3"/>
    </row>
    <row r="4062" customHeight="1" spans="1:9">
      <c r="A4062" s="2"/>
      <c r="B4062" s="2" t="str">
        <f>IFERROR(__xludf.DUMMYFUNCTION("IF(A4062&lt;&gt;"""", GOOGLETRANSLATE(A4062, ""en"", ""te""),"""")"),"")</f>
        <v/>
      </c>
      <c r="C4062" s="2"/>
      <c r="D4062" s="2" t="str">
        <f>IFERROR(__xludf.DUMMYFUNCTION("IF(C4062&lt;&gt;"""", GOOGLETRANSLATE(C4062, ""en"", ""te""),"""")"),"")</f>
        <v/>
      </c>
      <c r="E4062" s="2"/>
      <c r="F4062" s="2" t="str">
        <f>IFERROR(__xludf.DUMMYFUNCTION("IF(E4062&lt;&gt;"""", GOOGLETRANSLATE(E4062, ""en"", ""te""),"""")"),"")</f>
        <v/>
      </c>
      <c r="G4062" s="2"/>
      <c r="H4062" s="2" t="str">
        <f>IFERROR(__xludf.DUMMYFUNCTION("IF(G4062&lt;&gt;"""", GOOGLETRANSLATE(G4062, ""en"", ""te""),"""")"),"")</f>
        <v/>
      </c>
      <c r="I4062" s="3"/>
    </row>
    <row r="4063" customHeight="1" spans="1:9">
      <c r="A4063" s="2"/>
      <c r="B4063" s="2" t="str">
        <f>IFERROR(__xludf.DUMMYFUNCTION("IF(A4063&lt;&gt;"""", GOOGLETRANSLATE(A4063, ""en"", ""te""),"""")"),"")</f>
        <v/>
      </c>
      <c r="C4063" s="2"/>
      <c r="D4063" s="2" t="str">
        <f>IFERROR(__xludf.DUMMYFUNCTION("IF(C4063&lt;&gt;"""", GOOGLETRANSLATE(C4063, ""en"", ""te""),"""")"),"")</f>
        <v/>
      </c>
      <c r="E4063" s="2"/>
      <c r="F4063" s="2" t="str">
        <f>IFERROR(__xludf.DUMMYFUNCTION("IF(E4063&lt;&gt;"""", GOOGLETRANSLATE(E4063, ""en"", ""te""),"""")"),"")</f>
        <v/>
      </c>
      <c r="G4063" s="2"/>
      <c r="H4063" s="2" t="str">
        <f>IFERROR(__xludf.DUMMYFUNCTION("IF(G4063&lt;&gt;"""", GOOGLETRANSLATE(G4063, ""en"", ""te""),"""")"),"")</f>
        <v/>
      </c>
      <c r="I4063" s="3"/>
    </row>
    <row r="4064" customHeight="1" spans="1:9">
      <c r="A4064" s="2" t="s">
        <v>2885</v>
      </c>
      <c r="B4064" s="2" t="str">
        <f>IFERROR(__xludf.DUMMYFUNCTION("IF(A4064&lt;&gt;"""", GOOGLETRANSLATE(A4064, ""en"", ""te""),"""")"),"[ '8 వ అత్యంత ఇన్నింగ్స్ లో నడుస్తుంది (బ్యాటింగ్ స్థానం) (28)']")</f>
        <v>[ '8 వ అత్యంత ఇన్నింగ్స్ లో నడుస్తుంది (బ్యాటింగ్ స్థానం) (28)']</v>
      </c>
      <c r="C4064" s="2"/>
      <c r="D4064" s="2" t="str">
        <f>IFERROR(__xludf.DUMMYFUNCTION("IF(C4064&lt;&gt;"""", GOOGLETRANSLATE(C4064, ""en"", ""te""),"""")"),"")</f>
        <v/>
      </c>
      <c r="E4064" s="2" t="s">
        <v>2885</v>
      </c>
      <c r="F4064" s="2" t="str">
        <f>IFERROR(__xludf.DUMMYFUNCTION("IF(E4064&lt;&gt;"""", GOOGLETRANSLATE(E4064, ""en"", ""te""),"""")"),"[ '8 వ అత్యంత ఇన్నింగ్స్ లో నడుస్తుంది (బ్యాటింగ్ స్థానం) (28)']")</f>
        <v>[ '8 వ అత్యంత ఇన్నింగ్స్ లో నడుస్తుంది (బ్యాటింగ్ స్థానం) (28)']</v>
      </c>
      <c r="G4064" s="2"/>
      <c r="H4064" s="2" t="str">
        <f>IFERROR(__xludf.DUMMYFUNCTION("IF(G4064&lt;&gt;"""", GOOGLETRANSLATE(G4064, ""en"", ""te""),"""")"),"")</f>
        <v/>
      </c>
      <c r="I4064" s="3"/>
    </row>
    <row r="4065" customHeight="1" spans="1:9">
      <c r="A4065" s="2"/>
      <c r="B4065" s="2" t="str">
        <f>IFERROR(__xludf.DUMMYFUNCTION("IF(A4065&lt;&gt;"""", GOOGLETRANSLATE(A4065, ""en"", ""te""),"""")"),"")</f>
        <v/>
      </c>
      <c r="C4065" s="2"/>
      <c r="D4065" s="2" t="str">
        <f>IFERROR(__xludf.DUMMYFUNCTION("IF(C4065&lt;&gt;"""", GOOGLETRANSLATE(C4065, ""en"", ""te""),"""")"),"")</f>
        <v/>
      </c>
      <c r="E4065" s="2"/>
      <c r="F4065" s="2" t="str">
        <f>IFERROR(__xludf.DUMMYFUNCTION("IF(E4065&lt;&gt;"""", GOOGLETRANSLATE(E4065, ""en"", ""te""),"""")"),"")</f>
        <v/>
      </c>
      <c r="G4065" s="2"/>
      <c r="H4065" s="2" t="str">
        <f>IFERROR(__xludf.DUMMYFUNCTION("IF(G4065&lt;&gt;"""", GOOGLETRANSLATE(G4065, ""en"", ""te""),"""")"),"")</f>
        <v/>
      </c>
      <c r="I4065" s="3"/>
    </row>
    <row r="4066" customHeight="1" spans="1:9">
      <c r="A4066" s="2"/>
      <c r="B4066" s="2" t="str">
        <f>IFERROR(__xludf.DUMMYFUNCTION("IF(A4066&lt;&gt;"""", GOOGLETRANSLATE(A4066, ""en"", ""te""),"""")"),"")</f>
        <v/>
      </c>
      <c r="C4066" s="2"/>
      <c r="D4066" s="2" t="str">
        <f>IFERROR(__xludf.DUMMYFUNCTION("IF(C4066&lt;&gt;"""", GOOGLETRANSLATE(C4066, ""en"", ""te""),"""")"),"")</f>
        <v/>
      </c>
      <c r="E4066" s="2"/>
      <c r="F4066" s="2" t="str">
        <f>IFERROR(__xludf.DUMMYFUNCTION("IF(E4066&lt;&gt;"""", GOOGLETRANSLATE(E4066, ""en"", ""te""),"""")"),"")</f>
        <v/>
      </c>
      <c r="G4066" s="2"/>
      <c r="H4066" s="2" t="str">
        <f>IFERROR(__xludf.DUMMYFUNCTION("IF(G4066&lt;&gt;"""", GOOGLETRANSLATE(G4066, ""en"", ""te""),"""")"),"")</f>
        <v/>
      </c>
      <c r="I4066" s="3"/>
    </row>
    <row r="4067" customHeight="1" spans="1:9">
      <c r="A4067" s="2" t="s">
        <v>2886</v>
      </c>
      <c r="B4067" s="2" t="str">
        <f>IFERROR(__xludf.DUMMYFUNCTION("IF(A4067&lt;&gt;"""", GOOGLETRANSLATE(A4067, ""en"", ""te""),"""")"),"[ '1st ఒక ఇన్నింగ్స్ లోని బెస్ట్ ఫిగర్స్ ఉన్నప్పుడు పరాజయం వైపు (6)', '1 వ ఉత్తమ సమ్మె ఇన్నింగ్స్ లో రేటు (3.7)', '7 వ అత్యంత ఐదు-వికెట్ల లో-ఒక-ఇన్నింగ్స్ కెరీర్లో (2)' 'ఒక క్యాలెండర్ సంవత్సరంలో 8 వ అత్యధిక వికెట్లు (27)', '1 వ ఉత్తమ కెరీర్ సమ్మె రేటు (1"&amp;"3.5)', '4 వ అత్యధిక వికెట్లు తీసుకున్న క్యాచ్ మరియు బౌల్డ్ (6)']")</f>
        <v>[ '1st ఒక ఇన్నింగ్స్ లోని బెస్ట్ ఫిగర్స్ ఉన్నప్పుడు పరాజయం వైపు (6)', '1 వ ఉత్తమ సమ్మె ఇన్నింగ్స్ లో రేటు (3.7)', '7 వ అత్యంత ఐదు-వికెట్ల లో-ఒక-ఇన్నింగ్స్ కెరీర్లో (2)' 'ఒక క్యాలెండర్ సంవత్సరంలో 8 వ అత్యధిక వికెట్లు (27)', '1 వ ఉత్తమ కెరీర్ సమ్మె రేటు (13.5)', '4 వ అత్యధిక వికెట్లు తీసుకున్న క్యాచ్ మరియు బౌల్డ్ (6)']</v>
      </c>
      <c r="C4067" s="2"/>
      <c r="D4067" s="2" t="str">
        <f>IFERROR(__xludf.DUMMYFUNCTION("IF(C4067&lt;&gt;"""", GOOGLETRANSLATE(C4067, ""en"", ""te""),"""")"),"")</f>
        <v/>
      </c>
      <c r="E4067" s="2" t="s">
        <v>2887</v>
      </c>
      <c r="F4067" s="2" t="str">
        <f>IFERROR(__xludf.DUMMYFUNCTION("IF(E4067&lt;&gt;"""", GOOGLETRANSLATE(E4067, ""en"", ""te""),"""")"),"[40 వ అత్యధిక తొలి వంద (113) ',' 16 వ ఇన్నింగ్స్ లో బెస్ట్ ఫిగర్స్ (6/46) ',' 17 వ అత్యధిక వికెట్లు వరుస (23) ',' 11 వ అత్యుత్తమ బౌలింగ్ ఇన్నింగ్స్ లో విశ్లేషించడం (6/46) ',' ఒకే మైదానంలో 45 వ అత్యధిక వికెట్లు (11) ',' 1st ఒక ఇన్నింగ్స్ లోని బెస్ట్ ఫిగర్"&amp;"స్ పరాజయం వైపు (6) ',' 32 వ ఉత్తమ కెరీర్ బౌలింగ్ చేస్తున్నప్పుడు సగటు (18,76) ',' 3 వ ఉత్తమ కెరీర్ సమ్మె రేటు ( 28.6) ',' ఇన్నింగ్స్ లో 1 వ ఉత్తమ సమ్మె రేటు (3.7) ',' తొలి ఇన్నింగ్స్ 15 వ బెస్ట్ ఫిగర్స్ (3) ',' 7 వ అత్యంత ఐదు-వికెట్ల లో-ఒక-ఇన్నింగ్స్ కెర"&amp;"ీర్లో (2) ' 'మోస్ట్ నాలుగు వికెట్లు-ఇన్-ఒక-ఇన్నింగ్స్ 15 కెరీర్లో (5)', '44 వ బౌలర్ / ఫీల్డర్ కలయికలు (10)', '38 వ అత్యధిక వికెట్లు ఆకర్షించింది తీసుకున్న (43)', '24 వ అత్యధిక వికెట్లు ఆకర్షించింది తీసుకున్న మరియు బౌల్డ్ (6) ',' 28th అత్యధిక వికెట్లు ఒక ఫ"&amp;"ీల్డర్ చేత క్యాచ్ తీసుకున్న (39) ',' పదవ వికెట్కు 35 వ అత్యధిక భాగస్వామ్యం (27 *) ']")</f>
        <v>[40 వ అత్యధిక తొలి వంద (113) ',' 16 వ ఇన్నింగ్స్ లో బెస్ట్ ఫిగర్స్ (6/46) ',' 17 వ అత్యధిక వికెట్లు వరుస (23) ',' 11 వ అత్యుత్తమ బౌలింగ్ ఇన్నింగ్స్ లో విశ్లేషించడం (6/46) ',' ఒకే మైదానంలో 45 వ అత్యధిక వికెట్లు (11) ',' 1st ఒక ఇన్నింగ్స్ లోని బెస్ట్ ఫిగర్స్ పరాజయం వైపు (6) ',' 32 వ ఉత్తమ కెరీర్ బౌలింగ్ చేస్తున్నప్పుడు సగటు (18,76) ',' 3 వ ఉత్తమ కెరీర్ సమ్మె రేటు ( 28.6) ',' ఇన్నింగ్స్ లో 1 వ ఉత్తమ సమ్మె రేటు (3.7) ',' తొలి ఇన్నింగ్స్ 15 వ బెస్ట్ ఫిగర్స్ (3) ',' 7 వ అత్యంత ఐదు-వికెట్ల లో-ఒక-ఇన్నింగ్స్ కెరీర్లో (2) ' 'మోస్ట్ నాలుగు వికెట్లు-ఇన్-ఒక-ఇన్నింగ్స్ 15 కెరీర్లో (5)', '44 వ బౌలర్ / ఫీల్డర్ కలయికలు (10)', '38 వ అత్యధిక వికెట్లు ఆకర్షించింది తీసుకున్న (43)', '24 వ అత్యధిక వికెట్లు ఆకర్షించింది తీసుకున్న మరియు బౌల్డ్ (6) ',' 28th అత్యధిక వికెట్లు ఒక ఫీల్డర్ చేత క్యాచ్ తీసుకున్న (39) ',' పదవ వికెట్కు 35 వ అత్యధిక భాగస్వామ్యం (27 *) ']</v>
      </c>
      <c r="G4067" s="2" t="s">
        <v>2888</v>
      </c>
      <c r="H4067" s="2" t="str">
        <f>IFERROR(__xludf.DUMMYFUNCTION("IF(G4067&lt;&gt;"""", GOOGLETRANSLATE(G4067, ""en"", ""te""),"""")"),"[ '17 వ కెరీర్ లో అత్యధిక వికెట్లు (69)', '8 వ ఒక క్యాలెండర్ సంవత్సరంలో అత్యధిక వికెట్లు (27)', '18 వ అత్యుత్తమ బౌలింగ్ ఇన్నింగ్స్ లో విశ్లేషించడం (4/7)', '6 వ ఉత్తమ కెరీర్ బౌలింగ్ సరాసరి (13.92)' '1 వ ఉత్తమ కెరీర్ సమ్మె రేటు (13.5)', '26 చెత్త కెరీర్లో ఆ"&amp;"ర్థిక రేటు (6.14)', '42 వ కెరీర్ లో సాధించిన అత్యధిక పరుగులు (961)', '16 వ బౌలర్' 43 వ కెరీర్ లో బౌల్డ్ (938) చాలా బంతుల్లో ' / ఫీల్డర్ కలయికలు (10) ',' 10 వ అత్యధిక వికెట్లు తీసుకున్న ఆకర్షించింది (50) ',' 4 వ అత్యధిక వికెట్లు తీసుకున్న క్యాచ్ మరియు బౌల్"&amp;"డ్ (6) ',' 11 వ అత్యధిక వికెట్లు ఒక ఫీల్డర్ చేత క్యాచ్ తీసుకున్న (40) ',' 6 వ అత్యధిక వికెట్లు ఒక వికెట్ కీపర్ చే కాట్ తీసుకున్న (10) ',' 18 వ అత్యధిక వికెట్లు ఇన్నింగ్స్ లో తీసిన స్టంప్ (9) ',' 12 వ అత్యంత పనికత్తెలయొద్ద (2) ']")</f>
        <v>[ '17 వ కెరీర్ లో అత్యధిక వికెట్లు (69)', '8 వ ఒక క్యాలెండర్ సంవత్సరంలో అత్యధిక వికెట్లు (27)', '18 వ అత్యుత్తమ బౌలింగ్ ఇన్నింగ్స్ లో విశ్లేషించడం (4/7)', '6 వ ఉత్తమ కెరీర్ బౌలింగ్ సరాసరి (13.92)' '1 వ ఉత్తమ కెరీర్ సమ్మె రేటు (13.5)', '26 చెత్త కెరీర్లో ఆర్థిక రేటు (6.14)', '42 వ కెరీర్ లో సాధించిన అత్యధిక పరుగులు (961)', '16 వ బౌలర్' 43 వ కెరీర్ లో బౌల్డ్ (938) చాలా బంతుల్లో ' / ఫీల్డర్ కలయికలు (10) ',' 10 వ అత్యధిక వికెట్లు తీసుకున్న ఆకర్షించింది (50) ',' 4 వ అత్యధిక వికెట్లు తీసుకున్న క్యాచ్ మరియు బౌల్డ్ (6) ',' 11 వ అత్యధిక వికెట్లు ఒక ఫీల్డర్ చేత క్యాచ్ తీసుకున్న (40) ',' 6 వ అత్యధిక వికెట్లు ఒక వికెట్ కీపర్ చే కాట్ తీసుకున్న (10) ',' 18 వ అత్యధిక వికెట్లు ఇన్నింగ్స్ లో తీసిన స్టంప్ (9) ',' 12 వ అత్యంత పనికత్తెలయొద్ద (2) ']</v>
      </c>
      <c r="I4067" s="3"/>
    </row>
    <row r="4068" customHeight="1" spans="1:9">
      <c r="A4068" s="2" t="s">
        <v>2889</v>
      </c>
      <c r="B4068" s="2" t="str">
        <f>IFERROR(__xludf.DUMMYFUNCTION("IF(A4068&lt;&gt;"""", GOOGLETRANSLATE(A4068, ""en"", ""te""),"""")"),"[ '6 వ లాంగెస్ట్ క్రీడాకారులు (96y 150d) నివసించారు']")</f>
        <v>[ '6 వ లాంగెస్ట్ క్రీడాకారులు (96y 150d) నివసించారు']</v>
      </c>
      <c r="C4068" s="2" t="s">
        <v>2889</v>
      </c>
      <c r="D4068" s="2" t="str">
        <f>IFERROR(__xludf.DUMMYFUNCTION("IF(C4068&lt;&gt;"""", GOOGLETRANSLATE(C4068, ""en"", ""te""),"""")"),"[ '6 వ లాంగెస్ట్ క్రీడాకారులు (96y 150d) నివసించారు']")</f>
        <v>[ '6 వ లాంగెస్ట్ క్రీడాకారులు (96y 150d) నివసించారు']</v>
      </c>
      <c r="E4068" s="2"/>
      <c r="F4068" s="2" t="str">
        <f>IFERROR(__xludf.DUMMYFUNCTION("IF(E4068&lt;&gt;"""", GOOGLETRANSLATE(E4068, ""en"", ""te""),"""")"),"")</f>
        <v/>
      </c>
      <c r="G4068" s="2"/>
      <c r="H4068" s="2" t="str">
        <f>IFERROR(__xludf.DUMMYFUNCTION("IF(G4068&lt;&gt;"""", GOOGLETRANSLATE(G4068, ""en"", ""te""),"""")"),"")</f>
        <v/>
      </c>
      <c r="I4068" s="3"/>
    </row>
    <row r="4069" customHeight="1" spans="1:9">
      <c r="A4069" s="2" t="s">
        <v>2890</v>
      </c>
      <c r="B4069" s="2" t="str">
        <f>IFERROR(__xludf.DUMMYFUNCTION("IF(A4069&lt;&gt;"""", GOOGLETRANSLATE(A4069, ""en"", ""te""),"""")"),"[ '9 వ ఎక్కువ (23 *) ఒక ఇన్నింగ్స్ లో నడుస్తుంది (బ్యాటింగ్ స్థానం)']")</f>
        <v>[ '9 వ ఎక్కువ (23 *) ఒక ఇన్నింగ్స్ లో నడుస్తుంది (బ్యాటింగ్ స్థానం)']</v>
      </c>
      <c r="C4069" s="2" t="s">
        <v>2890</v>
      </c>
      <c r="D4069" s="2" t="str">
        <f>IFERROR(__xludf.DUMMYFUNCTION("IF(C4069&lt;&gt;"""", GOOGLETRANSLATE(C4069, ""en"", ""te""),"""")"),"[ '9 వ ఎక్కువ (23 *) ఒక ఇన్నింగ్స్ లో నడుస్తుంది (బ్యాటింగ్ స్థానం)']")</f>
        <v>[ '9 వ ఎక్కువ (23 *) ఒక ఇన్నింగ్స్ లో నడుస్తుంది (బ్యాటింగ్ స్థానం)']</v>
      </c>
      <c r="E4069" s="2"/>
      <c r="F4069" s="2" t="str">
        <f>IFERROR(__xludf.DUMMYFUNCTION("IF(E4069&lt;&gt;"""", GOOGLETRANSLATE(E4069, ""en"", ""te""),"""")"),"")</f>
        <v/>
      </c>
      <c r="G4069" s="2"/>
      <c r="H4069" s="2" t="str">
        <f>IFERROR(__xludf.DUMMYFUNCTION("IF(G4069&lt;&gt;"""", GOOGLETRANSLATE(G4069, ""en"", ""te""),"""")"),"")</f>
        <v/>
      </c>
      <c r="I4069" s="3"/>
    </row>
    <row r="4070" customHeight="1" spans="1:9">
      <c r="A4070" s="2"/>
      <c r="B4070" s="2" t="str">
        <f>IFERROR(__xludf.DUMMYFUNCTION("IF(A4070&lt;&gt;"""", GOOGLETRANSLATE(A4070, ""en"", ""te""),"""")"),"")</f>
        <v/>
      </c>
      <c r="C4070" s="2"/>
      <c r="D4070" s="2" t="str">
        <f>IFERROR(__xludf.DUMMYFUNCTION("IF(C4070&lt;&gt;"""", GOOGLETRANSLATE(C4070, ""en"", ""te""),"""")"),"")</f>
        <v/>
      </c>
      <c r="E4070" s="2"/>
      <c r="F4070" s="2" t="str">
        <f>IFERROR(__xludf.DUMMYFUNCTION("IF(E4070&lt;&gt;"""", GOOGLETRANSLATE(E4070, ""en"", ""te""),"""")"),"")</f>
        <v/>
      </c>
      <c r="G4070" s="2"/>
      <c r="H4070" s="2" t="str">
        <f>IFERROR(__xludf.DUMMYFUNCTION("IF(G4070&lt;&gt;"""", GOOGLETRANSLATE(G4070, ""en"", ""te""),"""")"),"")</f>
        <v/>
      </c>
      <c r="I4070" s="3"/>
    </row>
    <row r="4071" customHeight="1" spans="1:9">
      <c r="A4071" s="2"/>
      <c r="B4071" s="2" t="str">
        <f>IFERROR(__xludf.DUMMYFUNCTION("IF(A4071&lt;&gt;"""", GOOGLETRANSLATE(A4071, ""en"", ""te""),"""")"),"")</f>
        <v/>
      </c>
      <c r="C4071" s="2"/>
      <c r="D4071" s="2" t="str">
        <f>IFERROR(__xludf.DUMMYFUNCTION("IF(C4071&lt;&gt;"""", GOOGLETRANSLATE(C4071, ""en"", ""te""),"""")"),"")</f>
        <v/>
      </c>
      <c r="E4071" s="2"/>
      <c r="F4071" s="2" t="str">
        <f>IFERROR(__xludf.DUMMYFUNCTION("IF(E4071&lt;&gt;"""", GOOGLETRANSLATE(E4071, ""en"", ""te""),"""")"),"")</f>
        <v/>
      </c>
      <c r="G4071" s="2"/>
      <c r="H4071" s="2" t="str">
        <f>IFERROR(__xludf.DUMMYFUNCTION("IF(G4071&lt;&gt;"""", GOOGLETRANSLATE(G4071, ""en"", ""te""),"""")"),"")</f>
        <v/>
      </c>
      <c r="I4071" s="3"/>
    </row>
    <row r="4072" customHeight="1" spans="1:9">
      <c r="A4072" s="2"/>
      <c r="B4072" s="2" t="str">
        <f>IFERROR(__xludf.DUMMYFUNCTION("IF(A4072&lt;&gt;"""", GOOGLETRANSLATE(A4072, ""en"", ""te""),"""")"),"")</f>
        <v/>
      </c>
      <c r="C4072" s="2"/>
      <c r="D4072" s="2" t="str">
        <f>IFERROR(__xludf.DUMMYFUNCTION("IF(C4072&lt;&gt;"""", GOOGLETRANSLATE(C4072, ""en"", ""te""),"""")"),"")</f>
        <v/>
      </c>
      <c r="E4072" s="2" t="s">
        <v>2891</v>
      </c>
      <c r="F4072" s="2" t="str">
        <f>IFERROR(__xludf.DUMMYFUNCTION("IF(E4072&lt;&gt;"""", GOOGLETRANSLATE(E4072, ""en"", ""te""),"""")"),"[ '32 వ ఉత్తమ కెరీర్ (అర్హత లేకుండా) సగటు బౌలింగ్ (11.60)']")</f>
        <v>[ '32 వ ఉత్తమ కెరీర్ (అర్హత లేకుండా) సగటు బౌలింగ్ (11.60)']</v>
      </c>
      <c r="G4072" s="2" t="s">
        <v>2892</v>
      </c>
      <c r="H4072" s="2" t="str">
        <f>IFERROR(__xludf.DUMMYFUNCTION("IF(G4072&lt;&gt;"""", GOOGLETRANSLATE(G4072, ""en"", ""te""),"""")"),"[18 వ ఇన్నింగ్స్ లో అత్యధిక పరుగులు (35 *) (బ్యాటింగ్ స్థానం) ',' ఎనిమిదవ వికెట్కు 37 వ అత్యధిక భాగస్వామ్యం (36 *) ']")</f>
        <v>[18 వ ఇన్నింగ్స్ లో అత్యధిక పరుగులు (35 *) (బ్యాటింగ్ స్థానం) ',' ఎనిమిదవ వికెట్కు 37 వ అత్యధిక భాగస్వామ్యం (36 *) ']</v>
      </c>
      <c r="I4072" s="3"/>
    </row>
    <row r="4073" customHeight="1" spans="1:9">
      <c r="A4073" s="2" t="s">
        <v>2893</v>
      </c>
      <c r="B4073" s="2" t="str">
        <f>IFERROR(__xludf.DUMMYFUNCTION("IF(A4073&lt;&gt;"""", GOOGLETRANSLATE(A4073, ""en"", ""te""),"""")"),"[ 'ఇన్నింగ్స్ లో 1 వ అత్యధిక పరుగులు (బ్యాటింగ్ స్థానంలో ప్రకారం) (232 *)', '1 వ అత్యధిక తొలి వంద (232 *)', '4 వ పిన్న ఆటగాడు ఐదు వికెట్ల లో-ఒక-ఇన్నింగ్స్ తీసుకోవాలని (17y 243d)' '4 వ ఇన్నింగ్స్ లో అత్యధిక క్యాచ్లు (3)', 'ఎ ఏబది ఒక ఇన్నింగ్స్ లో ఐదు వికెట"&amp;"్లు', 'రెండవ వికెట్ (295) 1 వ అత్యధిక భాగస్వామ్యం']")</f>
        <v>[ 'ఇన్నింగ్స్ లో 1 వ అత్యధిక పరుగులు (బ్యాటింగ్ స్థానంలో ప్రకారం) (232 *)', '1 వ అత్యధిక తొలి వంద (232 *)', '4 వ పిన్న ఆటగాడు ఐదు వికెట్ల లో-ఒక-ఇన్నింగ్స్ తీసుకోవాలని (17y 243d)' '4 వ ఇన్నింగ్స్ లో అత్యధిక క్యాచ్లు (3)', 'ఎ ఏబది ఒక ఇన్నింగ్స్ లో ఐదు వికెట్లు', 'రెండవ వికెట్ (295) 1 వ అత్యధిక భాగస్వామ్యం']</v>
      </c>
      <c r="C4073" s="2"/>
      <c r="D4073" s="2" t="str">
        <f>IFERROR(__xludf.DUMMYFUNCTION("IF(C4073&lt;&gt;"""", GOOGLETRANSLATE(C4073, ""en"", ""te""),"""")"),"")</f>
        <v/>
      </c>
      <c r="E4073" s="2" t="s">
        <v>2894</v>
      </c>
      <c r="F4073" s="2" t="str">
        <f>IFERROR(__xludf.DUMMYFUNCTION("IF(E4073&lt;&gt;"""", GOOGLETRANSLATE(E4073, ""en"", ""te""),"""")"),"[ 'ఇన్నింగ్స్ లో 1 వ అత్యధిక పరుగులు (232 *)', 'ఇన్నింగ్స్ లో 1 వ అత్యధిక పరుగులు (232 *) (బ్యాటింగ్ స్థానం)' 'ఇన్నింగ్స్ లో 6 వ అత్యధిక పరుగులు (ప్రగతిశీల రికార్డు హోల్డర్) (232 *)', '1 వ అత్యధిక తొలి వంద (232 *)', '3 వ పిన్న ఆటగాడు వంద (17y 243d) స్కోర్"&amp;"', 'ఒక ఇన్నింగ్స్లో పరుగుల 34 వ అత్యధిక శాతం (52.72)', '41 వ ఇన్నింగ్స్ లో బెస్ట్ ఫిగర్స్ (5 / 17) ',' 30th ఒక సిరీస్లో అత్యధిక వికెట్లు (20) ',' 11 వ ఒక ఇన్నింగ్స్ లోని బెస్ట్ ఫిగర్స్ ఉన్నప్పుడు పరాజయం వైపు (4) ',' 29th ఉత్తమ కెరీర్ సమ్మె రేటు (34.1) ',"&amp;"' 36 వ ఉత్తమ సమ్మెలో రేటు ఇన్నింగ్స్ (8.4) ',' 17 వ చెత్త కెరీర్లో ఆర్థిక రేటు (4.46) ',' 15 వ అత్యంత నాలుగు వికెట్లు-ఇన్-ఒక-ఇన్నింగ్స్ కెరీర్లో (5) ',' తీసుకోవాలని 4 వ పిన్న ఆటగాడు ఐదు వికెట్ల తేడాతో in- ఒక ఇన్నింగ్స్లో (17y 243d) ',' 39 వ అత్యధిక వికెట్"&amp;"లు తీసుకున్న బౌల్డ్ (18) ',' 24 వ అత్యధిక వికెట్లు ఇన్నింగ్స్ లో తీసిన క్యాచ్ మరియు బౌల్డ్ (6) ',' 4 వ అత్యధిక క్యాచ్లు (3) ',' 16 వ అత్యధిక క్యాచ్లు వరుస (9) ',' 2 వ అత్యధిక భాగస్వామ్యాలు ఏ వికెట్కు (295) ',' వికెట్ తేడాతో 2nd అత్యధిక భాగస్వామ్యాల (2 వ) "&amp;"',' వ కోసం 1 వ అత్యధిక భాగస్వామ్యం ఇ రెండవ వికెట్ (295) ',' 29th పిన్న క్రీడాకారులు (16y 27d) ']")</f>
        <v>[ 'ఇన్నింగ్స్ లో 1 వ అత్యధిక పరుగులు (232 *)', 'ఇన్నింగ్స్ లో 1 వ అత్యధిక పరుగులు (232 *) (బ్యాటింగ్ స్థానం)' 'ఇన్నింగ్స్ లో 6 వ అత్యధిక పరుగులు (ప్రగతిశీల రికార్డు హోల్డర్) (232 *)', '1 వ అత్యధిక తొలి వంద (232 *)', '3 వ పిన్న ఆటగాడు వంద (17y 243d) స్కోర్', 'ఒక ఇన్నింగ్స్లో పరుగుల 34 వ అత్యధిక శాతం (52.72)', '41 వ ఇన్నింగ్స్ లో బెస్ట్ ఫిగర్స్ (5 / 17) ',' 30th ఒక సిరీస్లో అత్యధిక వికెట్లు (20) ',' 11 వ ఒక ఇన్నింగ్స్ లోని బెస్ట్ ఫిగర్స్ ఉన్నప్పుడు పరాజయం వైపు (4) ',' 29th ఉత్తమ కెరీర్ సమ్మె రేటు (34.1) ',' 36 వ ఉత్తమ సమ్మెలో రేటు ఇన్నింగ్స్ (8.4) ',' 17 వ చెత్త కెరీర్లో ఆర్థిక రేటు (4.46) ',' 15 వ అత్యంత నాలుగు వికెట్లు-ఇన్-ఒక-ఇన్నింగ్స్ కెరీర్లో (5) ',' తీసుకోవాలని 4 వ పిన్న ఆటగాడు ఐదు వికెట్ల తేడాతో in- ఒక ఇన్నింగ్స్లో (17y 243d) ',' 39 వ అత్యధిక వికెట్లు తీసుకున్న బౌల్డ్ (18) ',' 24 వ అత్యధిక వికెట్లు ఇన్నింగ్స్ లో తీసిన క్యాచ్ మరియు బౌల్డ్ (6) ',' 4 వ అత్యధిక క్యాచ్లు (3) ',' 16 వ అత్యధిక క్యాచ్లు వరుస (9) ',' 2 వ అత్యధిక భాగస్వామ్యాలు ఏ వికెట్కు (295) ',' వికెట్ తేడాతో 2nd అత్యధిక భాగస్వామ్యాల (2 వ) ',' వ కోసం 1 వ అత్యధిక భాగస్వామ్యం ఇ రెండవ వికెట్ (295) ',' 29th పిన్న క్రీడాకారులు (16y 27d) ']</v>
      </c>
      <c r="G4073" s="2" t="s">
        <v>2895</v>
      </c>
      <c r="H4073" s="2" t="str">
        <f>IFERROR(__xludf.DUMMYFUNCTION("IF(G4073&lt;&gt;"""", GOOGLETRANSLATE(G4073, ""en"", ""te""),"""")"),"[ 'తొలి ఇన్నింగ్స్ 12 వ బెస్ట్ ఫిగర్స్ (3)', '49 వ కెరీర్ లో బౌల్డ్ చాలా బంతుల్లో (881)', '50 వ కెరీర్ లో సాధించిన అత్యధిక పరుగులు (871)', '43 వ అత్యధిక వికెట్లు తీసుకున్న స్టంప్ (5)', '36 వ కెరీర్ లో అత్యధిక క్యాచ్లు (22)', 'ఆరవ వికెట్కు 42 వ అత్యధిక భాగ"&amp;"స్వామ్యం (40)', 'తొమ్మిదవ వికెట్కు 30 వ అత్యధిక భాగస్వామ్యం (18)']")</f>
        <v>[ 'తొలి ఇన్నింగ్స్ 12 వ బెస్ట్ ఫిగర్స్ (3)', '49 వ కెరీర్ లో బౌల్డ్ చాలా బంతుల్లో (881)', '50 వ కెరీర్ లో సాధించిన అత్యధిక పరుగులు (871)', '43 వ అత్యధిక వికెట్లు తీసుకున్న స్టంప్ (5)', '36 వ కెరీర్ లో అత్యధిక క్యాచ్లు (22)', 'ఆరవ వికెట్కు 42 వ అత్యధిక భాగస్వామ్యం (40)', 'తొమ్మిదవ వికెట్కు 30 వ అత్యధిక భాగస్వామ్యం (18)']</v>
      </c>
      <c r="I4073" s="3"/>
    </row>
    <row r="4074" customHeight="1" spans="1:9">
      <c r="A4074" s="2"/>
      <c r="B4074" s="2" t="str">
        <f>IFERROR(__xludf.DUMMYFUNCTION("IF(A4074&lt;&gt;"""", GOOGLETRANSLATE(A4074, ""en"", ""te""),"""")"),"")</f>
        <v/>
      </c>
      <c r="C4074" s="2"/>
      <c r="D4074" s="2" t="str">
        <f>IFERROR(__xludf.DUMMYFUNCTION("IF(C4074&lt;&gt;"""", GOOGLETRANSLATE(C4074, ""en"", ""te""),"""")"),"")</f>
        <v/>
      </c>
      <c r="E4074" s="2"/>
      <c r="F4074" s="2" t="str">
        <f>IFERROR(__xludf.DUMMYFUNCTION("IF(E4074&lt;&gt;"""", GOOGLETRANSLATE(E4074, ""en"", ""te""),"""")"),"")</f>
        <v/>
      </c>
      <c r="G4074" s="2"/>
      <c r="H4074" s="2" t="str">
        <f>IFERROR(__xludf.DUMMYFUNCTION("IF(G4074&lt;&gt;"""", GOOGLETRANSLATE(G4074, ""en"", ""te""),"""")"),"")</f>
        <v/>
      </c>
      <c r="I4074" s="3"/>
    </row>
    <row r="4075" customHeight="1" spans="1:9">
      <c r="A4075" s="2" t="s">
        <v>399</v>
      </c>
      <c r="B4075" s="2" t="str">
        <f>IFERROR(__xludf.DUMMYFUNCTION("IF(A4075&lt;&gt;"""", GOOGLETRANSLATE(A4075, ""en"", ""te""),"""")"),"[ 'తొలి పెయిర్']")</f>
        <v>[ 'తొలి పెయిర్']</v>
      </c>
      <c r="C4075" s="2"/>
      <c r="D4075" s="2" t="str">
        <f>IFERROR(__xludf.DUMMYFUNCTION("IF(C4075&lt;&gt;"""", GOOGLETRANSLATE(C4075, ""en"", ""te""),"""")"),"")</f>
        <v/>
      </c>
      <c r="E4075" s="2"/>
      <c r="F4075" s="2" t="str">
        <f>IFERROR(__xludf.DUMMYFUNCTION("IF(E4075&lt;&gt;"""", GOOGLETRANSLATE(E4075, ""en"", ""te""),"""")"),"")</f>
        <v/>
      </c>
      <c r="G4075" s="2"/>
      <c r="H4075" s="2" t="str">
        <f>IFERROR(__xludf.DUMMYFUNCTION("IF(G4075&lt;&gt;"""", GOOGLETRANSLATE(G4075, ""en"", ""te""),"""")"),"")</f>
        <v/>
      </c>
      <c r="I4075" s="3"/>
    </row>
    <row r="4076" customHeight="1" spans="1:9">
      <c r="A4076" s="2" t="s">
        <v>2896</v>
      </c>
      <c r="B4076" s="2" t="str">
        <f>IFERROR(__xludf.DUMMYFUNCTION("IF(A4076&lt;&gt;"""", GOOGLETRANSLATE(A4076, ""en"", ""te""),"""")"),"[ '8 వ అత్యంత బౌల్డ్ వికెట్లు తీసుకున్నారు (35)', 'బ్యాటింగ్ తెరవడం మరియు అదే మ్యాచ్ లో బౌలింగ్']")</f>
        <v>[ '8 వ అత్యంత బౌల్డ్ వికెట్లు తీసుకున్నారు (35)', 'బ్యాటింగ్ తెరవడం మరియు అదే మ్యాచ్ లో బౌలింగ్']</v>
      </c>
      <c r="C4076" s="2" t="s">
        <v>2897</v>
      </c>
      <c r="D4076" s="2" t="str">
        <f>IFERROR(__xludf.DUMMYFUNCTION("IF(C4076&lt;&gt;"""", GOOGLETRANSLATE(C4076, ""en"", ""te""),"""")"),"[ '30 వ ఇన్నింగ్స్ లో బెస్ట్ ఫిగర్స్ (6/73)']")</f>
        <v>[ '30 వ ఇన్నింగ్స్ లో బెస్ట్ ఫిగర్స్ (6/73)']</v>
      </c>
      <c r="E4076" s="2" t="s">
        <v>2898</v>
      </c>
      <c r="F4076" s="2" t="str">
        <f>IFERROR(__xludf.DUMMYFUNCTION("IF(E4076&lt;&gt;"""", GOOGLETRANSLATE(E4076, ""en"", ""te""),"""")"),"[ '47 వ కెరీర్ లో అత్యధిక వికెట్లు (70)', '(23) 27 వ ఒక క్యాలెండర్ సంవత్సరంలో అత్యధిక వికెట్లు', 'ఇన్నింగ్స్ లో 11 వ అత్యుత్తమ బౌలింగ్ విశ్లేషణలు (4/5)', '11 వ ఒక ఇన్నింగ్స్ లోని బెస్ట్ ఫిగర్స్ ఉన్నప్పుడు వైపు (4) 23 వ కోల్పోతున్నారని ',' ఉత్తమ కెరీర్ సగ"&amp;"టు (17.82) ',' 32 వ ఉత్తమ కెరీర్ ఎకానమీ రేట్ బౌలింగ్ (2.77) ',' ఇన్నింగ్స్ (0.50) ',' 38 వ అత్యంత నాలుగు వికెట్ల లో 45 వ ఉత్తమ ఎకానమీ రేట్ ఒక వృత్తిలో -an-ఇన్నింగ్స్ (3) ',' 12 వ బౌలర్ / బ్యాట్స్ కలయికలు (6) ',' 8 వ అత్యధిక వికెట్లు తీసుకున్న బౌల్డ్ (35) "&amp;"',' 19 వ అత్యధిక వికెట్లు ఒక వికెట్ కీపర్ చే కాట్ తీసుకున్న (12) ',' 43 వ ఎక్కువ వికెట్లు తీసుకున్న ఎల్బిడబ్ల్యు (11) ',' బృందం (40) కోసం 40 వ వరుస మ్యాచ్లు ']")</f>
        <v>[ '47 వ కెరీర్ లో అత్యధిక వికెట్లు (70)', '(23) 27 వ ఒక క్యాలెండర్ సంవత్సరంలో అత్యధిక వికెట్లు', 'ఇన్నింగ్స్ లో 11 వ అత్యుత్తమ బౌలింగ్ విశ్లేషణలు (4/5)', '11 వ ఒక ఇన్నింగ్స్ లోని బెస్ట్ ఫిగర్స్ ఉన్నప్పుడు వైపు (4) 23 వ కోల్పోతున్నారని ',' ఉత్తమ కెరీర్ సగటు (17.82) ',' 32 వ ఉత్తమ కెరీర్ ఎకానమీ రేట్ బౌలింగ్ (2.77) ',' ఇన్నింగ్స్ (0.50) ',' 38 వ అత్యంత నాలుగు వికెట్ల లో 45 వ ఉత్తమ ఎకానమీ రేట్ ఒక వృత్తిలో -an-ఇన్నింగ్స్ (3) ',' 12 వ బౌలర్ / బ్యాట్స్ కలయికలు (6) ',' 8 వ అత్యధిక వికెట్లు తీసుకున్న బౌల్డ్ (35) ',' 19 వ అత్యధిక వికెట్లు ఒక వికెట్ కీపర్ చే కాట్ తీసుకున్న (12) ',' 43 వ ఎక్కువ వికెట్లు తీసుకున్న ఎల్బిడబ్ల్యు (11) ',' బృందం (40) కోసం 40 వ వరుస మ్యాచ్లు ']</v>
      </c>
      <c r="G4076" s="2"/>
      <c r="H4076" s="2" t="str">
        <f>IFERROR(__xludf.DUMMYFUNCTION("IF(G4076&lt;&gt;"""", GOOGLETRANSLATE(G4076, ""en"", ""te""),"""")"),"")</f>
        <v/>
      </c>
      <c r="I4076" s="3"/>
    </row>
    <row r="4077" customHeight="1" spans="1:9">
      <c r="A4077" s="2"/>
      <c r="B4077" s="2" t="str">
        <f>IFERROR(__xludf.DUMMYFUNCTION("IF(A4077&lt;&gt;"""", GOOGLETRANSLATE(A4077, ""en"", ""te""),"""")"),"")</f>
        <v/>
      </c>
      <c r="C4077" s="2"/>
      <c r="D4077" s="2" t="str">
        <f>IFERROR(__xludf.DUMMYFUNCTION("IF(C4077&lt;&gt;"""", GOOGLETRANSLATE(C4077, ""en"", ""te""),"""")"),"")</f>
        <v/>
      </c>
      <c r="E4077" s="2"/>
      <c r="F4077" s="2" t="str">
        <f>IFERROR(__xludf.DUMMYFUNCTION("IF(E4077&lt;&gt;"""", GOOGLETRANSLATE(E4077, ""en"", ""te""),"""")"),"")</f>
        <v/>
      </c>
      <c r="G4077" s="2"/>
      <c r="H4077" s="2" t="str">
        <f>IFERROR(__xludf.DUMMYFUNCTION("IF(G4077&lt;&gt;"""", GOOGLETRANSLATE(G4077, ""en"", ""te""),"""")"),"")</f>
        <v/>
      </c>
      <c r="I4077" s="3"/>
    </row>
    <row r="4078" customHeight="1" spans="1:9">
      <c r="A4078" s="2"/>
      <c r="B4078" s="2" t="str">
        <f>IFERROR(__xludf.DUMMYFUNCTION("IF(A4078&lt;&gt;"""", GOOGLETRANSLATE(A4078, ""en"", ""te""),"""")"),"")</f>
        <v/>
      </c>
      <c r="C4078" s="2"/>
      <c r="D4078" s="2" t="str">
        <f>IFERROR(__xludf.DUMMYFUNCTION("IF(C4078&lt;&gt;"""", GOOGLETRANSLATE(C4078, ""en"", ""te""),"""")"),"")</f>
        <v/>
      </c>
      <c r="E4078" s="2"/>
      <c r="F4078" s="2" t="str">
        <f>IFERROR(__xludf.DUMMYFUNCTION("IF(E4078&lt;&gt;"""", GOOGLETRANSLATE(E4078, ""en"", ""te""),"""")"),"")</f>
        <v/>
      </c>
      <c r="G4078" s="2"/>
      <c r="H4078" s="2" t="str">
        <f>IFERROR(__xludf.DUMMYFUNCTION("IF(G4078&lt;&gt;"""", GOOGLETRANSLATE(G4078, ""en"", ""te""),"""")"),"")</f>
        <v/>
      </c>
      <c r="I4078" s="3"/>
    </row>
    <row r="4079" customHeight="1" spans="1:9">
      <c r="A4079" s="2"/>
      <c r="B4079" s="2" t="str">
        <f>IFERROR(__xludf.DUMMYFUNCTION("IF(A4079&lt;&gt;"""", GOOGLETRANSLATE(A4079, ""en"", ""te""),"""")"),"")</f>
        <v/>
      </c>
      <c r="C4079" s="2"/>
      <c r="D4079" s="2" t="str">
        <f>IFERROR(__xludf.DUMMYFUNCTION("IF(C4079&lt;&gt;"""", GOOGLETRANSLATE(C4079, ""en"", ""te""),"""")"),"")</f>
        <v/>
      </c>
      <c r="E4079" s="2" t="s">
        <v>2899</v>
      </c>
      <c r="F4079" s="2" t="str">
        <f>IFERROR(__xludf.DUMMYFUNCTION("IF(E4079&lt;&gt;"""", GOOGLETRANSLATE(E4079, ""en"", ""te""),"""")"),"[ '11 వ ఒక ఇన్నింగ్స్ లోని బెస్ట్ ఫిగర్స్ ఉన్నప్పుడు పరాజయం వైపు (4)', 'ఇన్నింగ్స్ లో 20 వ చెత్త ఆర్థిక రేటు (9.00)']")</f>
        <v>[ '11 వ ఒక ఇన్నింగ్స్ లోని బెస్ట్ ఫిగర్స్ ఉన్నప్పుడు పరాజయం వైపు (4)', 'ఇన్నింగ్స్ లో 20 వ చెత్త ఆర్థిక రేటు (9.00)']</v>
      </c>
      <c r="G4079" s="2"/>
      <c r="H4079" s="2" t="str">
        <f>IFERROR(__xludf.DUMMYFUNCTION("IF(G4079&lt;&gt;"""", GOOGLETRANSLATE(G4079, ""en"", ""te""),"""")"),"")</f>
        <v/>
      </c>
      <c r="I4079" s="3"/>
    </row>
    <row r="4080" customHeight="1" spans="1:9">
      <c r="A4080" s="2" t="s">
        <v>2900</v>
      </c>
      <c r="B4080" s="2" t="str">
        <f>IFERROR(__xludf.DUMMYFUNCTION("IF(A4080&lt;&gt;"""", GOOGLETRANSLATE(A4080, ""en"", ""te""),"""")"),"[ 'ఇన్నింగ్స్ (3) లో 1 వ అత్యధిక క్యాచ్లు' 'ఒక డక్ లేకుండా 5 వ అత్యధిక వరుస ఇన్నింగ్స్ (63)']")</f>
        <v>[ 'ఇన్నింగ్స్ (3) లో 1 వ అత్యధిక క్యాచ్లు' 'ఒక డక్ లేకుండా 5 వ అత్యధిక వరుస ఇన్నింగ్స్ (63)']</v>
      </c>
      <c r="C4080" s="2" t="s">
        <v>2901</v>
      </c>
      <c r="D4080" s="2" t="str">
        <f>IFERROR(__xludf.DUMMYFUNCTION("IF(C4080&lt;&gt;"""", GOOGLETRANSLATE(C4080, ""en"", ""te""),"""")"),"[ 'ఇన్నింగ్స్ (3) లో 1 వ అత్యధిక క్యాచ్లు' 'ఒక మ్యాచ్లో 2nd అత్యధిక క్యాచ్లు (4)', '19 వ ఒక సిరీస్లో అత్యధిక క్యాచ్లు (5)', '35 వ లాంగెస్ట్ కెరీర్లు (12y 226d)', '14 వ ఓల్డెస్ట్ కెప్టెన్సీ తొలి కాప్టెన్ (33y 160d) ']")</f>
        <v>[ 'ఇన్నింగ్స్ (3) లో 1 వ అత్యధిక క్యాచ్లు' 'ఒక మ్యాచ్లో 2nd అత్యధిక క్యాచ్లు (4)', '19 వ ఒక సిరీస్లో అత్యధిక క్యాచ్లు (5)', '35 వ లాంగెస్ట్ కెరీర్లు (12y 226d)', '14 వ ఓల్డెస్ట్ కెప్టెన్సీ తొలి కాప్టెన్ (33y 160d) ']</v>
      </c>
      <c r="E4080" s="2" t="s">
        <v>2902</v>
      </c>
      <c r="F4080" s="2" t="str">
        <f>IFERROR(__xludf.DUMMYFUNCTION("IF(E4080&lt;&gt;"""", GOOGLETRANSLATE(E4080, ""en"", ""te""),"""")"),"[ '36 వ అత్యంత ఒక ఇన్నింగ్స్ లో ఒక నాయకుడు (105) పరుగులు' 'ఒక డక్ లేకుండా 5 వ అత్యధిక వరుస ఇన్నింగ్స్ (63)', '6 వ అతి తక్కువ బాతులు కెరీర్ లో (36.5)', '40 వ అత్యధిక క్యాచ్లు కెరీర్లో (30)' , 'నాలుగవ వికెట్కు 25 అత్యధిక భాగస్వామ్యం (112 *)', 'ఆరవ వికెట్కు "&amp;"50 వ అత్యధిక భాగస్వామ్యం (64)', 'పదవ వికెట్ను (24 *) 50 వ అత్యధిక భాగస్వామ్యం', '21 వ వరుస మ్యాచ్లు ఒక కోసం తప్పిన ',' 12 వ అత్యధిక మ్యాచ్లు కెప్టెన్గా (45) ',' 38 వ వరుస మ్యాచ్లు బృందం (17) కెప్టెన్ గా '] ప్రదర్శనల మధ్య జట్టు (42)")</f>
        <v>[ '36 వ అత్యంత ఒక ఇన్నింగ్స్ లో ఒక నాయకుడు (105) పరుగులు' 'ఒక డక్ లేకుండా 5 వ అత్యధిక వరుస ఇన్నింగ్స్ (63)', '6 వ అతి తక్కువ బాతులు కెరీర్ లో (36.5)', '40 వ అత్యధిక క్యాచ్లు కెరీర్లో (30)' , 'నాలుగవ వికెట్కు 25 అత్యధిక భాగస్వామ్యం (112 *)', 'ఆరవ వికెట్కు 50 వ అత్యధిక భాగస్వామ్యం (64)', 'పదవ వికెట్ను (24 *) 50 వ అత్యధిక భాగస్వామ్యం', '21 వ వరుస మ్యాచ్లు ఒక కోసం తప్పిన ',' 12 వ అత్యధిక మ్యాచ్లు కెప్టెన్గా (45) ',' 38 వ వరుస మ్యాచ్లు బృందం (17) కెప్టెన్ గా '] ప్రదర్శనల మధ్య జట్టు (42)</v>
      </c>
      <c r="G4080" s="2" t="s">
        <v>2903</v>
      </c>
      <c r="H4080" s="2" t="str">
        <f>IFERROR(__xludf.DUMMYFUNCTION("IF(G4080&lt;&gt;"""", GOOGLETRANSLATE(G4080, ""en"", ""te""),"""")"),"[18 వ ఓల్డెస్ట్ కాప్టెన్ (34y 46d) ',' 13 వ ఓల్డెస్ట్ కెప్టెన్లు కెప్టెన్సీ తొలి (34y 46d) ']")</f>
        <v>[18 వ ఓల్డెస్ట్ కాప్టెన్ (34y 46d) ',' 13 వ ఓల్డెస్ట్ కెప్టెన్లు కెప్టెన్సీ తొలి (34y 46d) ']</v>
      </c>
      <c r="I4080" s="3"/>
    </row>
    <row r="4081" customHeight="1" spans="1:9">
      <c r="A4081" s="2" t="s">
        <v>2904</v>
      </c>
      <c r="B4081" s="2" t="str">
        <f>IFERROR(__xludf.DUMMYFUNCTION("IF(A4081&lt;&gt;"""", GOOGLETRANSLATE(A4081, ""en"", ""te""),"""")"),"[ 'బ్యాట్ ఒక ఇన్నింగ్స్లో ద్వారా (264 *) వాహక', 'ఒక సిరీస్లో 4 అత్యధిక వికెట్లు (21)', 'వరుస (21) 3 వ అత్యధిక క్యాచ్లు' 'ఒక ఇన్నింగ్స్లో ద్వారా బ్యాట్ నిదర్శన (79 *)' ]")</f>
        <v>[ 'బ్యాట్ ఒక ఇన్నింగ్స్లో ద్వారా (264 *) వాహక', 'ఒక సిరీస్లో 4 అత్యధిక వికెట్లు (21)', 'వరుస (21) 3 వ అత్యధిక క్యాచ్లు' 'ఒక ఇన్నింగ్స్లో ద్వారా బ్యాట్ నిదర్శన (79 *)' ]</v>
      </c>
      <c r="C4081" s="2" t="s">
        <v>2905</v>
      </c>
      <c r="D4081" s="2" t="str">
        <f>IFERROR(__xludf.DUMMYFUNCTION("IF(C4081&lt;&gt;"""", GOOGLETRANSLATE(C4081, ""en"", ""te""),"""")"),"[ 'వరుస మ్యాచ్లలో 21 వందల (3)', '29th లాంగెస్ట్ వ్యక్తిగత ఇన్నింగ్స్ (నిమిషాలు) (694)', '47 వ వరుస మ్యాచ్లు జట్టు (56 నాటౌట్)']")</f>
        <v>[ 'వరుస మ్యాచ్లలో 21 వందల (3)', '29th లాంగెస్ట్ వ్యక్తిగత ఇన్నింగ్స్ (నిమిషాలు) (694)', '47 వ వరుస మ్యాచ్లు జట్టు (56 నాటౌట్)']</v>
      </c>
      <c r="E4081" s="2" t="s">
        <v>2906</v>
      </c>
      <c r="F4081" s="2" t="str">
        <f>IFERROR(__xludf.DUMMYFUNCTION("IF(E4081&lt;&gt;"""", GOOGLETRANSLATE(E4081, ""en"", ""te""),"""")"),"[ 'వరుస ఇన్నింగ్స్లో 44 వ యాభైల్లో (4)', 'ఐదవ వికెట్కు 27 అత్యధిక భాగస్వామ్యం (158)', 'తొమ్మిదవ వికెట్కు 35 వ అత్యధిక భాగస్వామ్యం (71)', '43 వ పిన్న కాప్టెన్ (25y 42d)', '19 వరుస ఇన్నింగ్స్ (5) ',' 4 వ అత్యధిక వికెట్లు వికెట్ (9) ',' 42 వ కెరీర్ లో అత్యధ"&amp;"ిక వికెట్లు (67) ',' 16 వ అత్యధిక వికెట్లు ఉంచింది (21) ',' 41 వ అత్యంత క్యాచ్లు చేసిన కెప్టెన్ల వరుస ఇన్నింగ్స్ (5) ',' 3 వ అత్యధిక క్యాచ్లు కెరీర్ (59) ',' 11 వ అత్యధిక క్యాచ్లు (21) ']")</f>
        <v>[ 'వరుస ఇన్నింగ్స్లో 44 వ యాభైల్లో (4)', 'ఐదవ వికెట్కు 27 అత్యధిక భాగస్వామ్యం (158)', 'తొమ్మిదవ వికెట్కు 35 వ అత్యధిక భాగస్వామ్యం (71)', '43 వ పిన్న కాప్టెన్ (25y 42d)', '19 వరుస ఇన్నింగ్స్ (5) ',' 4 వ అత్యధిక వికెట్లు వికెట్ (9) ',' 42 వ కెరీర్ లో అత్యధిక వికెట్లు (67) ',' 16 వ అత్యధిక వికెట్లు ఉంచింది (21) ',' 41 వ అత్యంత క్యాచ్లు చేసిన కెప్టెన్ల వరుస ఇన్నింగ్స్ (5) ',' 3 వ అత్యధిక క్యాచ్లు కెరీర్ (59) ',' 11 వ అత్యధిక క్యాచ్లు (21) ']</v>
      </c>
      <c r="G4081" s="2" t="s">
        <v>2907</v>
      </c>
      <c r="H4081" s="2" t="str">
        <f>IFERROR(__xludf.DUMMYFUNCTION("IF(G4081&lt;&gt;"""", GOOGLETRANSLATE(G4081, ""en"", ""te""),"""")"),"[ '13 వ ఇన్నింగ్స్ లో అత్యధిక క్యాచ్లు (3)', '32 వ అత్యంత ఇన్నింగ్స్ లో సాధించిన బైస్ (5)']")</f>
        <v>[ '13 వ ఇన్నింగ్స్ లో అత్యధిక క్యాచ్లు (3)', '32 వ అత్యంత ఇన్నింగ్స్ లో సాధించిన బైస్ (5)']</v>
      </c>
      <c r="I4081" s="3"/>
    </row>
    <row r="4082" customHeight="1" spans="1:9">
      <c r="A4082" s="2"/>
      <c r="B4082" s="2" t="str">
        <f>IFERROR(__xludf.DUMMYFUNCTION("IF(A4082&lt;&gt;"""", GOOGLETRANSLATE(A4082, ""en"", ""te""),"""")"),"")</f>
        <v/>
      </c>
      <c r="C4082" s="2" t="s">
        <v>2908</v>
      </c>
      <c r="D4082" s="2" t="str">
        <f>IFERROR(__xludf.DUMMYFUNCTION("IF(C4082&lt;&gt;"""", GOOGLETRANSLATE(C4082, ""en"", ""te""),"""")"),"[ '37 వ అత్యంత అత్యధిక వికెట్లు ఇన్నింగ్స్ లో పరుగులు (152)', 'ఏడవ వికెట్కు 22 అత్యధిక భాగస్వామ్యం (186)', '35 వ అత్యంత ఒక మ్యాచ్లో వికెట్లు (8)', '26 ఒక మ్యాచ్లో అత్యధిక క్యాచ్లు (8 ) ']")</f>
        <v>[ '37 వ అత్యంత అత్యధిక వికెట్లు ఇన్నింగ్స్ లో పరుగులు (152)', 'ఏడవ వికెట్కు 22 అత్యధిక భాగస్వామ్యం (186)', '35 వ అత్యంత ఒక మ్యాచ్లో వికెట్లు (8)', '26 ఒక మ్యాచ్లో అత్యధిక క్యాచ్లు (8 ) ']</v>
      </c>
      <c r="E4082" s="2" t="s">
        <v>2909</v>
      </c>
      <c r="F4082" s="2" t="str">
        <f>IFERROR(__xludf.DUMMYFUNCTION("IF(E4082&lt;&gt;"""", GOOGLETRANSLATE(E4082, ""en"", ""te""),"""")"),"[ '23 వ ఇన్నింగ్స్ లో సాధించిన బైస్ (10)']")</f>
        <v>[ '23 వ ఇన్నింగ్స్ లో సాధించిన బైస్ (10)']</v>
      </c>
      <c r="G4082" s="2"/>
      <c r="H4082" s="2" t="str">
        <f>IFERROR(__xludf.DUMMYFUNCTION("IF(G4082&lt;&gt;"""", GOOGLETRANSLATE(G4082, ""en"", ""te""),"""")"),"")</f>
        <v/>
      </c>
      <c r="I4082" s="3"/>
    </row>
    <row r="4083" customHeight="1" spans="1:9">
      <c r="A4083" s="2" t="s">
        <v>2910</v>
      </c>
      <c r="B4083" s="2" t="str">
        <f>IFERROR(__xludf.DUMMYFUNCTION("IF(A4083&lt;&gt;"""", GOOGLETRANSLATE(A4083, ""en"", ""te""),"""")"),"[ '8 వ అత్యంత బృందం వరుసగా మ్యాచ్లు (15)' ఒక మ్యాచ్లో 'ఇన్నింగ్స్ లో 5 వ అత్యధిక పరుగులు (బ్యాటింగ్ స్థానంలో ప్రకారం) (27)', '2 వ అత్యంత బాతులు కెరీర్ లో (5)', '5 వ ఉత్తమ బొమ్మలు ( 10) ',' 2 వ అత్యంత పది వికెట్లు లో ఒక మ్యాచ్ ఒక వృత్తిలో (1) ',' 3 వ అత్యం"&amp;"త బంతుల్లో ఇన్నింగ్స్ లో బౌల్డ్ (364) ',' 4 వ అత్యంత ఇన్నింగ్స్ లో (ఇవ్వబడిన పరుగులలో 120) ', 'తీసిన 1st అత్యధిక వికెట్లు స్టంప్ (19)', 'ప్రదర్శనల మధ్య 4 వ లాంగెస్ట్ వ్యవధిలో (8y 180d)', '1 వ అత్యుత్తమ బౌలింగ్ ఇన్నింగ్స్ లో విశ్లేషించడం (6/10)']")</f>
        <v>[ '8 వ అత్యంత బృందం వరుసగా మ్యాచ్లు (15)' ఒక మ్యాచ్లో 'ఇన్నింగ్స్ లో 5 వ అత్యధిక పరుగులు (బ్యాటింగ్ స్థానంలో ప్రకారం) (27)', '2 వ అత్యంత బాతులు కెరీర్ లో (5)', '5 వ ఉత్తమ బొమ్మలు ( 10) ',' 2 వ అత్యంత పది వికెట్లు లో ఒక మ్యాచ్ ఒక వృత్తిలో (1) ',' 3 వ అత్యంత బంతుల్లో ఇన్నింగ్స్ లో బౌల్డ్ (364) ',' 4 వ అత్యంత ఇన్నింగ్స్ లో (ఇవ్వబడిన పరుగులలో 120) ', 'తీసిన 1st అత్యధిక వికెట్లు స్టంప్ (19)', 'ప్రదర్శనల మధ్య 4 వ లాంగెస్ట్ వ్యవధిలో (8y 180d)', '1 వ అత్యుత్తమ బౌలింగ్ ఇన్నింగ్స్ లో విశ్లేషించడం (6/10)']</v>
      </c>
      <c r="C4083" s="2" t="s">
        <v>2911</v>
      </c>
      <c r="D4083" s="2" t="str">
        <f>IFERROR(__xludf.DUMMYFUNCTION("IF(C4083&lt;&gt;"""", GOOGLETRANSLATE(C4083, ""en"", ""te""),"""")"),"[ 'ఇన్నింగ్స్ లో 5 వ అత్యధిక పరుగులు (బ్యాటింగ్ స్థానంలో ప్రకారం) (27)', '8 వ కెరీర్ లో అత్యధిక వికెట్లు (55)', '34 వ ఇన్నింగ్స్ లో బెస్ట్ ఫిగర్స్ (6' 2 వ కెరీర్ (5) అత్యంత బాతులు '/ ఒక మ్యాచ్లో 119) ',' 5 వ ఉత్తమ బొమ్మలు (10) ',' 12 వ ఒక సిరీస్లో అత్యధిక"&amp;" వికెట్లు (18) ',' 14 వ ఒక క్యాలెండర్ సంవత్సరంలో అత్యధిక వికెట్లు (18) ',' 9 వ అత్యుత్తమ బౌలింగ్ ఇన్నింగ్స్ లో విశ్లేషించడం ( 5/24) ',' 14 వ ఒకే మైదానంలో అత్యధిక వికెట్లు (10) ',' 8 వ ఒక ఇన్నింగ్స్ లోని బెస్ట్ ఫిగర్స్ ఉన్నప్పుడు పరాజయం వైపు (5) ',' 17 వ"&amp;" పరాజయం వైపు ఒక మ్యాచ్ను ఉత్తమ బొమ్మలు (5 ) ', '21 వ ఉత్తమ కెరీర్ బౌలింగ్ సరాసరి (19.07)', '11 వ ఉత్తమ కెరీర్ సమ్మె రేటు (56.4)', 'ఇన్నింగ్స్ లో 19 ఉత్తమ ఆర్థిక రేటు (0.50)', 'ఇన్నింగ్స్ లో 33 వ ఉత్తమ సమ్మె రేటు (20.0)' '3 వ అత్యంత ఐదు-వికెట్ల లో-ఒక-ఇన్న"&amp;"ింగ్స్ కెరీర్లో (4)', '2 వ అత్యంత పది వికెట్లు లో ఒక మ్యాచ్ ఒక వృత్తిలో (1)', '10 వ కెరీర్ లో బౌల్డ్ చాలా బంతుల్లో (3104 ) ',' ఇన్నింగ్స్ లో బౌల్డ్ 3 వ అత్యంత బంతుల్లో (364) ',' 10 వ అత్యంత బంతుల్లో ఒక మ్యాచ్లో బౌల్డ్ (444) ',' 4 వ అత్యధిక కెరీర్ (1049) ల"&amp;"ో ఇవ్వబడిన పరుగులలో ',' 4 వ అత్యంత సత్రము లో ఇవ్వబడిన పరుగులలో ఇంగ్స్ (120) ',' 15 వ అత్యధిక పరుగులు ఒక మ్యాచ్లో సాధించిన (141) ',' 12 వ బౌలర్ / బ్యాట్స్ కలయికలు (4) ',' 2 వ బౌలర్ / ఫీల్డర్ కలయికలు (12) ',' 7 వ అత్యధిక వికెట్లు తీసుకున్న ఆకర్షించింది (27)"&amp;" ',' 4 వ అత్యధిక వికెట్లు ఒక ఫీల్డర్ చేత క్యాచ్ తీసుకున్న (23) ',' 1 వ అత్యధిక వికెట్లు కెరీర్లో తీసుకున్న స్టంప్ (19) ',' 17 వ అత్యధిక మ్యాచ్లు (15) ',' ఒక జట్టు 8 వ వరుస మ్యాచ్లు (15) ' '36 వ లాంగెస్ట్ కెరీర్లు (12y 225d)']")</f>
        <v>[ 'ఇన్నింగ్స్ లో 5 వ అత్యధిక పరుగులు (బ్యాటింగ్ స్థానంలో ప్రకారం) (27)', '8 వ కెరీర్ లో అత్యధిక వికెట్లు (55)', '34 వ ఇన్నింగ్స్ లో బెస్ట్ ఫిగర్స్ (6' 2 వ కెరీర్ (5) అత్యంత బాతులు '/ ఒక మ్యాచ్లో 119) ',' 5 వ ఉత్తమ బొమ్మలు (10) ',' 12 వ ఒక సిరీస్లో అత్యధిక వికెట్లు (18) ',' 14 వ ఒక క్యాలెండర్ సంవత్సరంలో అత్యధిక వికెట్లు (18) ',' 9 వ అత్యుత్తమ బౌలింగ్ ఇన్నింగ్స్ లో విశ్లేషించడం ( 5/24) ',' 14 వ ఒకే మైదానంలో అత్యధిక వికెట్లు (10) ',' 8 వ ఒక ఇన్నింగ్స్ లోని బెస్ట్ ఫిగర్స్ ఉన్నప్పుడు పరాజయం వైపు (5) ',' 17 వ పరాజయం వైపు ఒక మ్యాచ్ను ఉత్తమ బొమ్మలు (5 ) ', '21 వ ఉత్తమ కెరీర్ బౌలింగ్ సరాసరి (19.07)', '11 వ ఉత్తమ కెరీర్ సమ్మె రేటు (56.4)', 'ఇన్నింగ్స్ లో 19 ఉత్తమ ఆర్థిక రేటు (0.50)', 'ఇన్నింగ్స్ లో 33 వ ఉత్తమ సమ్మె రేటు (20.0)' '3 వ అత్యంత ఐదు-వికెట్ల లో-ఒక-ఇన్నింగ్స్ కెరీర్లో (4)', '2 వ అత్యంత పది వికెట్లు లో ఒక మ్యాచ్ ఒక వృత్తిలో (1)', '10 వ కెరీర్ లో బౌల్డ్ చాలా బంతుల్లో (3104 ) ',' ఇన్నింగ్స్ లో బౌల్డ్ 3 వ అత్యంత బంతుల్లో (364) ',' 10 వ అత్యంత బంతుల్లో ఒక మ్యాచ్లో బౌల్డ్ (444) ',' 4 వ అత్యధిక కెరీర్ (1049) లో ఇవ్వబడిన పరుగులలో ',' 4 వ అత్యంత సత్రము లో ఇవ్వబడిన పరుగులలో ఇంగ్స్ (120) ',' 15 వ అత్యధిక పరుగులు ఒక మ్యాచ్లో సాధించిన (141) ',' 12 వ బౌలర్ / బ్యాట్స్ కలయికలు (4) ',' 2 వ బౌలర్ / ఫీల్డర్ కలయికలు (12) ',' 7 వ అత్యధిక వికెట్లు తీసుకున్న ఆకర్షించింది (27) ',' 4 వ అత్యధిక వికెట్లు ఒక ఫీల్డర్ చేత క్యాచ్ తీసుకున్న (23) ',' 1 వ అత్యధిక వికెట్లు కెరీర్లో తీసుకున్న స్టంప్ (19) ',' 17 వ అత్యధిక మ్యాచ్లు (15) ',' ఒక జట్టు 8 వ వరుస మ్యాచ్లు (15) ' '36 వ లాంగెస్ట్ కెరీర్లు (12y 225d)']</v>
      </c>
      <c r="E4083" s="2" t="s">
        <v>2912</v>
      </c>
      <c r="F4083" s="2" t="str">
        <f>IFERROR(__xludf.DUMMYFUNCTION("IF(E4083&lt;&gt;"""", GOOGLETRANSLATE(E4083, ""en"", ""te""),"""")"),"[ 'ఇన్నింగ్స్ లో 6 వ ఉత్తమ బొమ్మలు (6/10)', '25 వ ఒక సిరీస్లో అత్యధిక వికెట్లు (22)', '40 వ ఒక క్యాలెండర్ సంవత్సరంలో అత్యధిక వికెట్లు (22)', '1 వ అత్యుత్తమ బౌలింగ్ ఇన్నింగ్స్ లో విశ్లేషించడం (6 / 10) ',' ఇన్నింగ్స్ లో 31 ఉత్తమ సమ్మె రేటు (8.0) ',' 15 వ అర"&amp;"ంగేట్రంలోనే ఇన్నింగ్స్ లోని బెస్ట్ ఫిగర్స్ ప్రదర్శనల మధ్య (3) ',' 4 వ లాంగెస్ట్ వ్యవధిలో (8y 180d) ']")</f>
        <v>[ 'ఇన్నింగ్స్ లో 6 వ ఉత్తమ బొమ్మలు (6/10)', '25 వ ఒక సిరీస్లో అత్యధిక వికెట్లు (22)', '40 వ ఒక క్యాలెండర్ సంవత్సరంలో అత్యధిక వికెట్లు (22)', '1 వ అత్యుత్తమ బౌలింగ్ ఇన్నింగ్స్ లో విశ్లేషించడం (6 / 10) ',' ఇన్నింగ్స్ లో 31 ఉత్తమ సమ్మె రేటు (8.0) ',' 15 వ అరంగేట్రంలోనే ఇన్నింగ్స్ లోని బెస్ట్ ఫిగర్స్ ప్రదర్శనల మధ్య (3) ',' 4 వ లాంగెస్ట్ వ్యవధిలో (8y 180d) ']</v>
      </c>
      <c r="G4083" s="2"/>
      <c r="H4083" s="2" t="str">
        <f>IFERROR(__xludf.DUMMYFUNCTION("IF(G4083&lt;&gt;"""", GOOGLETRANSLATE(G4083, ""en"", ""te""),"""")"),"")</f>
        <v/>
      </c>
      <c r="I4083" s="3"/>
    </row>
    <row r="4084" customHeight="1" spans="1:9">
      <c r="A4084" s="2"/>
      <c r="B4084" s="2" t="str">
        <f>IFERROR(__xludf.DUMMYFUNCTION("IF(A4084&lt;&gt;"""", GOOGLETRANSLATE(A4084, ""en"", ""te""),"""")"),"")</f>
        <v/>
      </c>
      <c r="C4084" s="2"/>
      <c r="D4084" s="2" t="str">
        <f>IFERROR(__xludf.DUMMYFUNCTION("IF(C4084&lt;&gt;"""", GOOGLETRANSLATE(C4084, ""en"", ""te""),"""")"),"")</f>
        <v/>
      </c>
      <c r="E4084" s="2"/>
      <c r="F4084" s="2" t="str">
        <f>IFERROR(__xludf.DUMMYFUNCTION("IF(E4084&lt;&gt;"""", GOOGLETRANSLATE(E4084, ""en"", ""te""),"""")"),"")</f>
        <v/>
      </c>
      <c r="G4084" s="2"/>
      <c r="H4084" s="2" t="str">
        <f>IFERROR(__xludf.DUMMYFUNCTION("IF(G4084&lt;&gt;"""", GOOGLETRANSLATE(G4084, ""en"", ""te""),"""")"),"")</f>
        <v/>
      </c>
      <c r="I4084" s="3"/>
    </row>
    <row r="4085" customHeight="1" spans="1:9">
      <c r="A4085" s="2"/>
      <c r="B4085" s="2" t="str">
        <f>IFERROR(__xludf.DUMMYFUNCTION("IF(A4085&lt;&gt;"""", GOOGLETRANSLATE(A4085, ""en"", ""te""),"""")"),"")</f>
        <v/>
      </c>
      <c r="C4085" s="2" t="s">
        <v>2913</v>
      </c>
      <c r="D4085" s="2" t="str">
        <f>IFERROR(__xludf.DUMMYFUNCTION("IF(C4085&lt;&gt;"""", GOOGLETRANSLATE(C4085, ""en"", ""te""),"""")"),"[ '13 వ పురాతన దేశం ఆటగాళ్ళు (90y 359d)']")</f>
        <v>[ '13 వ పురాతన దేశం ఆటగాళ్ళు (90y 359d)']</v>
      </c>
      <c r="E4085" s="2"/>
      <c r="F4085" s="2" t="str">
        <f>IFERROR(__xludf.DUMMYFUNCTION("IF(E4085&lt;&gt;"""", GOOGLETRANSLATE(E4085, ""en"", ""te""),"""")"),"")</f>
        <v/>
      </c>
      <c r="G4085" s="2"/>
      <c r="H4085" s="2" t="str">
        <f>IFERROR(__xludf.DUMMYFUNCTION("IF(G4085&lt;&gt;"""", GOOGLETRANSLATE(G4085, ""en"", ""te""),"""")"),"")</f>
        <v/>
      </c>
      <c r="I4085" s="3"/>
    </row>
    <row r="4086" customHeight="1" spans="1:9">
      <c r="A4086" s="2"/>
      <c r="B4086" s="2" t="str">
        <f>IFERROR(__xludf.DUMMYFUNCTION("IF(A4086&lt;&gt;"""", GOOGLETRANSLATE(A4086, ""en"", ""te""),"""")"),"")</f>
        <v/>
      </c>
      <c r="C4086" s="2"/>
      <c r="D4086" s="2" t="str">
        <f>IFERROR(__xludf.DUMMYFUNCTION("IF(C4086&lt;&gt;"""", GOOGLETRANSLATE(C4086, ""en"", ""te""),"""")"),"")</f>
        <v/>
      </c>
      <c r="E4086" s="2" t="s">
        <v>2914</v>
      </c>
      <c r="F4086" s="2" t="str">
        <f>IFERROR(__xludf.DUMMYFUNCTION("IF(E4086&lt;&gt;"""", GOOGLETRANSLATE(E4086, ""en"", ""te""),"""")"),"[ 'ఆరవ వికెట్కు 27 అత్యధిక భాగస్వామ్యం (74)']")</f>
        <v>[ 'ఆరవ వికెట్కు 27 అత్యధిక భాగస్వామ్యం (74)']</v>
      </c>
      <c r="G4086" s="2"/>
      <c r="H4086" s="2" t="str">
        <f>IFERROR(__xludf.DUMMYFUNCTION("IF(G4086&lt;&gt;"""", GOOGLETRANSLATE(G4086, ""en"", ""te""),"""")"),"")</f>
        <v/>
      </c>
      <c r="I4086" s="3"/>
    </row>
    <row r="4087" customHeight="1" spans="1:9">
      <c r="A4087" s="2"/>
      <c r="B4087" s="2" t="str">
        <f>IFERROR(__xludf.DUMMYFUNCTION("IF(A4087&lt;&gt;"""", GOOGLETRANSLATE(A4087, ""en"", ""te""),"""")"),"")</f>
        <v/>
      </c>
      <c r="C4087" s="2"/>
      <c r="D4087" s="2" t="str">
        <f>IFERROR(__xludf.DUMMYFUNCTION("IF(C4087&lt;&gt;"""", GOOGLETRANSLATE(C4087, ""en"", ""te""),"""")"),"")</f>
        <v/>
      </c>
      <c r="E4087" s="2" t="s">
        <v>2915</v>
      </c>
      <c r="F4087" s="2" t="str">
        <f>IFERROR(__xludf.DUMMYFUNCTION("IF(E4087&lt;&gt;"""", GOOGLETRANSLATE(E4087, ""en"", ""te""),"""")"),"[ '30 వ ఉత్తమ కెరీర్ ఆర్థిక రేటు (3.76)']")</f>
        <v>[ '30 వ ఉత్తమ కెరీర్ ఆర్థిక రేటు (3.76)']</v>
      </c>
      <c r="G4087" s="2"/>
      <c r="H4087" s="2" t="str">
        <f>IFERROR(__xludf.DUMMYFUNCTION("IF(G4087&lt;&gt;"""", GOOGLETRANSLATE(G4087, ""en"", ""te""),"""")"),"")</f>
        <v/>
      </c>
      <c r="I4087" s="3"/>
    </row>
    <row r="4088" customHeight="1" spans="1:9">
      <c r="A4088" s="2"/>
      <c r="B4088" s="2" t="str">
        <f>IFERROR(__xludf.DUMMYFUNCTION("IF(A4088&lt;&gt;"""", GOOGLETRANSLATE(A4088, ""en"", ""te""),"""")"),"")</f>
        <v/>
      </c>
      <c r="C4088" s="2"/>
      <c r="D4088" s="2" t="str">
        <f>IFERROR(__xludf.DUMMYFUNCTION("IF(C4088&lt;&gt;"""", GOOGLETRANSLATE(C4088, ""en"", ""te""),"""")"),"")</f>
        <v/>
      </c>
      <c r="E4088" s="2"/>
      <c r="F4088" s="2" t="str">
        <f>IFERROR(__xludf.DUMMYFUNCTION("IF(E4088&lt;&gt;"""", GOOGLETRANSLATE(E4088, ""en"", ""te""),"""")"),"")</f>
        <v/>
      </c>
      <c r="G4088" s="2"/>
      <c r="H4088" s="2" t="str">
        <f>IFERROR(__xludf.DUMMYFUNCTION("IF(G4088&lt;&gt;"""", GOOGLETRANSLATE(G4088, ""en"", ""te""),"""")"),"")</f>
        <v/>
      </c>
      <c r="I4088" s="3"/>
    </row>
    <row r="4089" customHeight="1" spans="1:9">
      <c r="A4089" s="2" t="s">
        <v>2916</v>
      </c>
      <c r="B4089" s="2" t="str">
        <f>IFERROR(__xludf.DUMMYFUNCTION("IF(A4089&lt;&gt;"""", GOOGLETRANSLATE(A4089, ""en"", ""te""),"""")"),"[ 'ప్రవేశం (5) ఒక ఇన్నింగ్స్ లో 2 వ బెస్ట్ ఫిగర్స్' '3 వ ఉత్తమ కెరీర్ (3.60) (అర్హత లేకుండా) సగటు బౌలింగ్',]")</f>
        <v>[ 'ప్రవేశం (5) ఒక ఇన్నింగ్స్ లో 2 వ బెస్ట్ ఫిగర్స్' '3 వ ఉత్తమ కెరీర్ (3.60) (అర్హత లేకుండా) సగటు బౌలింగ్',]</v>
      </c>
      <c r="C4089" s="2"/>
      <c r="D4089" s="2" t="str">
        <f>IFERROR(__xludf.DUMMYFUNCTION("IF(C4089&lt;&gt;"""", GOOGLETRANSLATE(C4089, ""en"", ""te""),"""")"),"")</f>
        <v/>
      </c>
      <c r="E4089" s="2" t="s">
        <v>2917</v>
      </c>
      <c r="F4089" s="2" t="str">
        <f>IFERROR(__xludf.DUMMYFUNCTION("IF(E4089&lt;&gt;"""", GOOGLETRANSLATE(E4089, ""en"", ""te""),"""")"),"[ '44 వ ఇన్నింగ్స్ లో బెస్ట్ ఫిగర్స్ (5/18)', '3 వ ఉత్తమ కెరీర్ (అర్హత లేకుండా) (3.60) సగటు బౌలింగ్' తీసుకోవాలని, '11 వ పిన్న ఆటగాడు' తొలి (5) ఒక ఇన్నింగ్స్ లో 2 వ బెస్ట్ ఫిగర్స్ ' ఐదు వికెట్లు-ఇన్-ఒక-ఇన్నింగ్స్ (19y 249d) ']")</f>
        <v>[ '44 వ ఇన్నింగ్స్ లో బెస్ట్ ఫిగర్స్ (5/18)', '3 వ ఉత్తమ కెరీర్ (అర్హత లేకుండా) (3.60) సగటు బౌలింగ్' తీసుకోవాలని, '11 వ పిన్న ఆటగాడు' తొలి (5) ఒక ఇన్నింగ్స్ లో 2 వ బెస్ట్ ఫిగర్స్ ' ఐదు వికెట్లు-ఇన్-ఒక-ఇన్నింగ్స్ (19y 249d) ']</v>
      </c>
      <c r="G4089" s="2"/>
      <c r="H4089" s="2" t="str">
        <f>IFERROR(__xludf.DUMMYFUNCTION("IF(G4089&lt;&gt;"""", GOOGLETRANSLATE(G4089, ""en"", ""te""),"""")"),"")</f>
        <v/>
      </c>
      <c r="I4089" s="3"/>
    </row>
    <row r="4090" customHeight="1" spans="1:9">
      <c r="A4090" s="2"/>
      <c r="B4090" s="2" t="str">
        <f>IFERROR(__xludf.DUMMYFUNCTION("IF(A4090&lt;&gt;"""", GOOGLETRANSLATE(A4090, ""en"", ""te""),"""")"),"")</f>
        <v/>
      </c>
      <c r="C4090" s="2"/>
      <c r="D4090" s="2" t="str">
        <f>IFERROR(__xludf.DUMMYFUNCTION("IF(C4090&lt;&gt;"""", GOOGLETRANSLATE(C4090, ""en"", ""te""),"""")"),"")</f>
        <v/>
      </c>
      <c r="E4090" s="2"/>
      <c r="F4090" s="2" t="str">
        <f>IFERROR(__xludf.DUMMYFUNCTION("IF(E4090&lt;&gt;"""", GOOGLETRANSLATE(E4090, ""en"", ""te""),"""")"),"")</f>
        <v/>
      </c>
      <c r="G4090" s="2"/>
      <c r="H4090" s="2" t="str">
        <f>IFERROR(__xludf.DUMMYFUNCTION("IF(G4090&lt;&gt;"""", GOOGLETRANSLATE(G4090, ""en"", ""te""),"""")"),"")</f>
        <v/>
      </c>
      <c r="I4090" s="3"/>
    </row>
    <row r="4091" customHeight="1" spans="1:9">
      <c r="A4091" s="2"/>
      <c r="B4091" s="2" t="str">
        <f>IFERROR(__xludf.DUMMYFUNCTION("IF(A4091&lt;&gt;"""", GOOGLETRANSLATE(A4091, ""en"", ""te""),"""")"),"")</f>
        <v/>
      </c>
      <c r="C4091" s="2"/>
      <c r="D4091" s="2" t="str">
        <f>IFERROR(__xludf.DUMMYFUNCTION("IF(C4091&lt;&gt;"""", GOOGLETRANSLATE(C4091, ""en"", ""te""),"""")"),"")</f>
        <v/>
      </c>
      <c r="E4091" s="2"/>
      <c r="F4091" s="2" t="str">
        <f>IFERROR(__xludf.DUMMYFUNCTION("IF(E4091&lt;&gt;"""", GOOGLETRANSLATE(E4091, ""en"", ""te""),"""")"),"")</f>
        <v/>
      </c>
      <c r="G4091" s="2"/>
      <c r="H4091" s="2" t="str">
        <f>IFERROR(__xludf.DUMMYFUNCTION("IF(G4091&lt;&gt;"""", GOOGLETRANSLATE(G4091, ""en"", ""te""),"""")"),"")</f>
        <v/>
      </c>
      <c r="I4091" s="3"/>
    </row>
    <row r="4092" customHeight="1" spans="1:9">
      <c r="A4092" s="2"/>
      <c r="B4092" s="2" t="str">
        <f>IFERROR(__xludf.DUMMYFUNCTION("IF(A4092&lt;&gt;"""", GOOGLETRANSLATE(A4092, ""en"", ""te""),"""")"),"")</f>
        <v/>
      </c>
      <c r="C4092" s="2"/>
      <c r="D4092" s="2" t="str">
        <f>IFERROR(__xludf.DUMMYFUNCTION("IF(C4092&lt;&gt;"""", GOOGLETRANSLATE(C4092, ""en"", ""te""),"""")"),"")</f>
        <v/>
      </c>
      <c r="E4092" s="2" t="s">
        <v>2918</v>
      </c>
      <c r="F4092" s="2" t="str">
        <f>IFERROR(__xludf.DUMMYFUNCTION("IF(E4092&lt;&gt;"""", GOOGLETRANSLATE(E4092, ""en"", ""te""),"""")"),"[40 వ ఇన్నింగ్స్ లో అత్యధిక పరుగులు (135 *) ',' 13 వ అత్యధిక తొలి వంద (135 *) ',' వరుస ఇన్నింగ్స్లో 28 యాభైల్లో (3) ',' రెండవ వికెట్ (150) కోసం 35 వ అత్యధిక భాగస్వామ్యం ']")</f>
        <v>[40 వ ఇన్నింగ్స్ లో అత్యధిక పరుగులు (135 *) ',' 13 వ అత్యధిక తొలి వంద (135 *) ',' వరుస ఇన్నింగ్స్లో 28 యాభైల్లో (3) ',' రెండవ వికెట్ (150) కోసం 35 వ అత్యధిక భాగస్వామ్యం ']</v>
      </c>
      <c r="G4092" s="2"/>
      <c r="H4092" s="2" t="str">
        <f>IFERROR(__xludf.DUMMYFUNCTION("IF(G4092&lt;&gt;"""", GOOGLETRANSLATE(G4092, ""en"", ""te""),"""")"),"")</f>
        <v/>
      </c>
      <c r="I4092" s="3"/>
    </row>
    <row r="4093" customHeight="1" spans="1:9">
      <c r="A4093" s="2"/>
      <c r="B4093" s="2" t="str">
        <f>IFERROR(__xludf.DUMMYFUNCTION("IF(A4093&lt;&gt;"""", GOOGLETRANSLATE(A4093, ""en"", ""te""),"""")"),"")</f>
        <v/>
      </c>
      <c r="C4093" s="2"/>
      <c r="D4093" s="2" t="str">
        <f>IFERROR(__xludf.DUMMYFUNCTION("IF(C4093&lt;&gt;"""", GOOGLETRANSLATE(C4093, ""en"", ""te""),"""")"),"")</f>
        <v/>
      </c>
      <c r="E4093" s="2"/>
      <c r="F4093" s="2" t="str">
        <f>IFERROR(__xludf.DUMMYFUNCTION("IF(E4093&lt;&gt;"""", GOOGLETRANSLATE(E4093, ""en"", ""te""),"""")"),"")</f>
        <v/>
      </c>
      <c r="G4093" s="2"/>
      <c r="H4093" s="2" t="str">
        <f>IFERROR(__xludf.DUMMYFUNCTION("IF(G4093&lt;&gt;"""", GOOGLETRANSLATE(G4093, ""en"", ""te""),"""")"),"")</f>
        <v/>
      </c>
      <c r="I4093" s="3"/>
    </row>
    <row r="4094" customHeight="1" spans="1:9">
      <c r="A4094" s="2"/>
      <c r="B4094" s="2" t="str">
        <f>IFERROR(__xludf.DUMMYFUNCTION("IF(A4094&lt;&gt;"""", GOOGLETRANSLATE(A4094, ""en"", ""te""),"""")"),"")</f>
        <v/>
      </c>
      <c r="C4094" s="2"/>
      <c r="D4094" s="2" t="str">
        <f>IFERROR(__xludf.DUMMYFUNCTION("IF(C4094&lt;&gt;"""", GOOGLETRANSLATE(C4094, ""en"", ""te""),"""")"),"")</f>
        <v/>
      </c>
      <c r="E4094" s="2" t="s">
        <v>2919</v>
      </c>
      <c r="F4094" s="2" t="str">
        <f>IFERROR(__xludf.DUMMYFUNCTION("IF(E4094&lt;&gt;"""", GOOGLETRANSLATE(E4094, ""en"", ""te""),"""")"),"[ '14 వ ఒక ఇన్నింగ్స్ లోని బెస్ట్ ఫిగర్స్ పరాజయం వైపు (5) ఉన్నప్పుడు', 'తొలి తీసుకోవాలని 26 అత్యంత వృద్ధ ఆటగాడు ఐదు వికెట్ల లో-ఒక-ఇన్నింగ్స్ (31y 289d)']")</f>
        <v>[ '14 వ ఒక ఇన్నింగ్స్ లోని బెస్ట్ ఫిగర్స్ పరాజయం వైపు (5) ఉన్నప్పుడు', 'తొలి తీసుకోవాలని 26 అత్యంత వృద్ధ ఆటగాడు ఐదు వికెట్ల లో-ఒక-ఇన్నింగ్స్ (31y 289d)']</v>
      </c>
      <c r="G4094" s="2"/>
      <c r="H4094" s="2" t="str">
        <f>IFERROR(__xludf.DUMMYFUNCTION("IF(G4094&lt;&gt;"""", GOOGLETRANSLATE(G4094, ""en"", ""te""),"""")"),"")</f>
        <v/>
      </c>
      <c r="I4094" s="3"/>
    </row>
    <row r="4095" customHeight="1" spans="1:9">
      <c r="A4095" s="2"/>
      <c r="B4095" s="2" t="str">
        <f>IFERROR(__xludf.DUMMYFUNCTION("IF(A4095&lt;&gt;"""", GOOGLETRANSLATE(A4095, ""en"", ""te""),"""")"),"")</f>
        <v/>
      </c>
      <c r="C4095" s="2"/>
      <c r="D4095" s="2" t="str">
        <f>IFERROR(__xludf.DUMMYFUNCTION("IF(C4095&lt;&gt;"""", GOOGLETRANSLATE(C4095, ""en"", ""te""),"""")"),"")</f>
        <v/>
      </c>
      <c r="E4095" s="2"/>
      <c r="F4095" s="2" t="str">
        <f>IFERROR(__xludf.DUMMYFUNCTION("IF(E4095&lt;&gt;"""", GOOGLETRANSLATE(E4095, ""en"", ""te""),"""")"),"")</f>
        <v/>
      </c>
      <c r="G4095" s="2"/>
      <c r="H4095" s="2" t="str">
        <f>IFERROR(__xludf.DUMMYFUNCTION("IF(G4095&lt;&gt;"""", GOOGLETRANSLATE(G4095, ""en"", ""te""),"""")"),"")</f>
        <v/>
      </c>
      <c r="I4095" s="3"/>
    </row>
    <row r="4096" customHeight="1" spans="1:9">
      <c r="A4096" s="2"/>
      <c r="B4096" s="2" t="str">
        <f>IFERROR(__xludf.DUMMYFUNCTION("IF(A4096&lt;&gt;"""", GOOGLETRANSLATE(A4096, ""en"", ""te""),"""")"),"")</f>
        <v/>
      </c>
      <c r="C4096" s="2"/>
      <c r="D4096" s="2" t="str">
        <f>IFERROR(__xludf.DUMMYFUNCTION("IF(C4096&lt;&gt;"""", GOOGLETRANSLATE(C4096, ""en"", ""te""),"""")"),"")</f>
        <v/>
      </c>
      <c r="E4096" s="2"/>
      <c r="F4096" s="2" t="str">
        <f>IFERROR(__xludf.DUMMYFUNCTION("IF(E4096&lt;&gt;"""", GOOGLETRANSLATE(E4096, ""en"", ""te""),"""")"),"")</f>
        <v/>
      </c>
      <c r="G4096" s="2"/>
      <c r="H4096" s="2" t="str">
        <f>IFERROR(__xludf.DUMMYFUNCTION("IF(G4096&lt;&gt;"""", GOOGLETRANSLATE(G4096, ""en"", ""te""),"""")"),"")</f>
        <v/>
      </c>
      <c r="I4096" s="3"/>
    </row>
    <row r="4097" customHeight="1" spans="1:9">
      <c r="A4097" s="2"/>
      <c r="B4097" s="2" t="str">
        <f>IFERROR(__xludf.DUMMYFUNCTION("IF(A4097&lt;&gt;"""", GOOGLETRANSLATE(A4097, ""en"", ""te""),"""")"),"")</f>
        <v/>
      </c>
      <c r="C4097" s="2"/>
      <c r="D4097" s="2" t="str">
        <f>IFERROR(__xludf.DUMMYFUNCTION("IF(C4097&lt;&gt;"""", GOOGLETRANSLATE(C4097, ""en"", ""te""),"""")"),"")</f>
        <v/>
      </c>
      <c r="E4097" s="2"/>
      <c r="F4097" s="2" t="str">
        <f>IFERROR(__xludf.DUMMYFUNCTION("IF(E4097&lt;&gt;"""", GOOGLETRANSLATE(E4097, ""en"", ""te""),"""")"),"")</f>
        <v/>
      </c>
      <c r="G4097" s="2"/>
      <c r="H4097" s="2" t="str">
        <f>IFERROR(__xludf.DUMMYFUNCTION("IF(G4097&lt;&gt;"""", GOOGLETRANSLATE(G4097, ""en"", ""te""),"""")"),"")</f>
        <v/>
      </c>
      <c r="I4097" s="3"/>
    </row>
    <row r="4098" customHeight="1" spans="1:9">
      <c r="A4098" s="2" t="s">
        <v>2920</v>
      </c>
      <c r="B4098" s="2" t="str">
        <f>IFERROR(__xludf.DUMMYFUNCTION("IF(A4098&lt;&gt;"""", GOOGLETRANSLATE(A4098, ""en"", ""te""),"""")"),"[ '4 వ ఉత్తమ కెరీర్ ఆర్థిక రేటు (1.97)']")</f>
        <v>[ '4 వ ఉత్తమ కెరీర్ ఆర్థిక రేటు (1.97)']</v>
      </c>
      <c r="C4098" s="2"/>
      <c r="D4098" s="2" t="str">
        <f>IFERROR(__xludf.DUMMYFUNCTION("IF(C4098&lt;&gt;"""", GOOGLETRANSLATE(C4098, ""en"", ""te""),"""")"),"")</f>
        <v/>
      </c>
      <c r="E4098" s="2" t="s">
        <v>2921</v>
      </c>
      <c r="F4098" s="2" t="str">
        <f>IFERROR(__xludf.DUMMYFUNCTION("IF(E4098&lt;&gt;"""", GOOGLETRANSLATE(E4098, ""en"", ""te""),"""")"),"[ '4 వ ఉత్తమ కెరీర్ ఆర్థిక రేటు (1.97)' '40 వ ఉత్తమ కెరీర్ సగటు (19.70) బౌలింగ్', 'ఇన్నింగ్స్ లో 19 ఉత్తమ ఆర్థిక రేటు (0.33)', '19 చెత్త కెరీర్లో సమ్మె రేటు (59.9)']")</f>
        <v>[ '4 వ ఉత్తమ కెరీర్ ఆర్థిక రేటు (1.97)' '40 వ ఉత్తమ కెరీర్ సగటు (19.70) బౌలింగ్', 'ఇన్నింగ్స్ లో 19 ఉత్తమ ఆర్థిక రేటు (0.33)', '19 చెత్త కెరీర్లో సమ్మె రేటు (59.9)']</v>
      </c>
      <c r="G4098" s="2"/>
      <c r="H4098" s="2" t="str">
        <f>IFERROR(__xludf.DUMMYFUNCTION("IF(G4098&lt;&gt;"""", GOOGLETRANSLATE(G4098, ""en"", ""te""),"""")"),"")</f>
        <v/>
      </c>
      <c r="I4098" s="3"/>
    </row>
    <row r="4099" customHeight="1" spans="1:9">
      <c r="A4099" s="2"/>
      <c r="B4099" s="2" t="str">
        <f>IFERROR(__xludf.DUMMYFUNCTION("IF(A4099&lt;&gt;"""", GOOGLETRANSLATE(A4099, ""en"", ""te""),"""")"),"")</f>
        <v/>
      </c>
      <c r="C4099" s="2"/>
      <c r="D4099" s="2" t="str">
        <f>IFERROR(__xludf.DUMMYFUNCTION("IF(C4099&lt;&gt;"""", GOOGLETRANSLATE(C4099, ""en"", ""te""),"""")"),"")</f>
        <v/>
      </c>
      <c r="E4099" s="2"/>
      <c r="F4099" s="2" t="str">
        <f>IFERROR(__xludf.DUMMYFUNCTION("IF(E4099&lt;&gt;"""", GOOGLETRANSLATE(E4099, ""en"", ""te""),"""")"),"")</f>
        <v/>
      </c>
      <c r="G4099" s="2"/>
      <c r="H4099" s="2" t="str">
        <f>IFERROR(__xludf.DUMMYFUNCTION("IF(G4099&lt;&gt;"""", GOOGLETRANSLATE(G4099, ""en"", ""te""),"""")"),"")</f>
        <v/>
      </c>
      <c r="I4099" s="3"/>
    </row>
    <row r="4100" customHeight="1" spans="1:9">
      <c r="A4100" s="2"/>
      <c r="B4100" s="2" t="str">
        <f>IFERROR(__xludf.DUMMYFUNCTION("IF(A4100&lt;&gt;"""", GOOGLETRANSLATE(A4100, ""en"", ""te""),"""")"),"")</f>
        <v/>
      </c>
      <c r="C4100" s="2"/>
      <c r="D4100" s="2" t="str">
        <f>IFERROR(__xludf.DUMMYFUNCTION("IF(C4100&lt;&gt;"""", GOOGLETRANSLATE(C4100, ""en"", ""te""),"""")"),"")</f>
        <v/>
      </c>
      <c r="E4100" s="2"/>
      <c r="F4100" s="2" t="str">
        <f>IFERROR(__xludf.DUMMYFUNCTION("IF(E4100&lt;&gt;"""", GOOGLETRANSLATE(E4100, ""en"", ""te""),"""")"),"")</f>
        <v/>
      </c>
      <c r="G4100" s="2"/>
      <c r="H4100" s="2" t="str">
        <f>IFERROR(__xludf.DUMMYFUNCTION("IF(G4100&lt;&gt;"""", GOOGLETRANSLATE(G4100, ""en"", ""te""),"""")"),"")</f>
        <v/>
      </c>
      <c r="I4100" s="3"/>
    </row>
    <row r="4101" customHeight="1" spans="1:9">
      <c r="A4101" s="2"/>
      <c r="B4101" s="2" t="str">
        <f>IFERROR(__xludf.DUMMYFUNCTION("IF(A4101&lt;&gt;"""", GOOGLETRANSLATE(A4101, ""en"", ""te""),"""")"),"")</f>
        <v/>
      </c>
      <c r="C4101" s="2"/>
      <c r="D4101" s="2" t="str">
        <f>IFERROR(__xludf.DUMMYFUNCTION("IF(C4101&lt;&gt;"""", GOOGLETRANSLATE(C4101, ""en"", ""te""),"""")"),"")</f>
        <v/>
      </c>
      <c r="E4101" s="2"/>
      <c r="F4101" s="2" t="str">
        <f>IFERROR(__xludf.DUMMYFUNCTION("IF(E4101&lt;&gt;"""", GOOGLETRANSLATE(E4101, ""en"", ""te""),"""")"),"")</f>
        <v/>
      </c>
      <c r="G4101" s="2"/>
      <c r="H4101" s="2" t="str">
        <f>IFERROR(__xludf.DUMMYFUNCTION("IF(G4101&lt;&gt;"""", GOOGLETRANSLATE(G4101, ""en"", ""te""),"""")"),"")</f>
        <v/>
      </c>
      <c r="I4101" s="3"/>
    </row>
    <row r="4102" customHeight="1" spans="1:9">
      <c r="A4102" s="2"/>
      <c r="B4102" s="2" t="str">
        <f>IFERROR(__xludf.DUMMYFUNCTION("IF(A4102&lt;&gt;"""", GOOGLETRANSLATE(A4102, ""en"", ""te""),"""")"),"")</f>
        <v/>
      </c>
      <c r="C4102" s="2"/>
      <c r="D4102" s="2" t="str">
        <f>IFERROR(__xludf.DUMMYFUNCTION("IF(C4102&lt;&gt;"""", GOOGLETRANSLATE(C4102, ""en"", ""te""),"""")"),"")</f>
        <v/>
      </c>
      <c r="E4102" s="2"/>
      <c r="F4102" s="2" t="str">
        <f>IFERROR(__xludf.DUMMYFUNCTION("IF(E4102&lt;&gt;"""", GOOGLETRANSLATE(E4102, ""en"", ""te""),"""")"),"")</f>
        <v/>
      </c>
      <c r="G4102" s="2"/>
      <c r="H4102" s="2" t="str">
        <f>IFERROR(__xludf.DUMMYFUNCTION("IF(G4102&lt;&gt;"""", GOOGLETRANSLATE(G4102, ""en"", ""te""),"""")"),"")</f>
        <v/>
      </c>
      <c r="I4102" s="3"/>
    </row>
    <row r="4103" customHeight="1" spans="1:9">
      <c r="A4103" s="2"/>
      <c r="B4103" s="2" t="str">
        <f>IFERROR(__xludf.DUMMYFUNCTION("IF(A4103&lt;&gt;"""", GOOGLETRANSLATE(A4103, ""en"", ""te""),"""")"),"")</f>
        <v/>
      </c>
      <c r="C4103" s="2"/>
      <c r="D4103" s="2" t="str">
        <f>IFERROR(__xludf.DUMMYFUNCTION("IF(C4103&lt;&gt;"""", GOOGLETRANSLATE(C4103, ""en"", ""te""),"""")"),"")</f>
        <v/>
      </c>
      <c r="E4103" s="2"/>
      <c r="F4103" s="2" t="str">
        <f>IFERROR(__xludf.DUMMYFUNCTION("IF(E4103&lt;&gt;"""", GOOGLETRANSLATE(E4103, ""en"", ""te""),"""")"),"")</f>
        <v/>
      </c>
      <c r="G4103" s="2"/>
      <c r="H4103" s="2" t="str">
        <f>IFERROR(__xludf.DUMMYFUNCTION("IF(G4103&lt;&gt;"""", GOOGLETRANSLATE(G4103, ""en"", ""te""),"""")"),"")</f>
        <v/>
      </c>
      <c r="I4103" s="3"/>
    </row>
    <row r="4104" customHeight="1" spans="1:9">
      <c r="A4104" s="2"/>
      <c r="B4104" s="2" t="str">
        <f>IFERROR(__xludf.DUMMYFUNCTION("IF(A4104&lt;&gt;"""", GOOGLETRANSLATE(A4104, ""en"", ""te""),"""")"),"")</f>
        <v/>
      </c>
      <c r="C4104" s="2"/>
      <c r="D4104" s="2" t="str">
        <f>IFERROR(__xludf.DUMMYFUNCTION("IF(C4104&lt;&gt;"""", GOOGLETRANSLATE(C4104, ""en"", ""te""),"""")"),"")</f>
        <v/>
      </c>
      <c r="E4104" s="2"/>
      <c r="F4104" s="2" t="str">
        <f>IFERROR(__xludf.DUMMYFUNCTION("IF(E4104&lt;&gt;"""", GOOGLETRANSLATE(E4104, ""en"", ""te""),"""")"),"")</f>
        <v/>
      </c>
      <c r="G4104" s="2"/>
      <c r="H4104" s="2" t="str">
        <f>IFERROR(__xludf.DUMMYFUNCTION("IF(G4104&lt;&gt;"""", GOOGLETRANSLATE(G4104, ""en"", ""te""),"""")"),"")</f>
        <v/>
      </c>
      <c r="I4104" s="3"/>
    </row>
    <row r="4105" customHeight="1" spans="1:9">
      <c r="A4105" s="2"/>
      <c r="B4105" s="2" t="str">
        <f>IFERROR(__xludf.DUMMYFUNCTION("IF(A4105&lt;&gt;"""", GOOGLETRANSLATE(A4105, ""en"", ""te""),"""")"),"")</f>
        <v/>
      </c>
      <c r="C4105" s="2" t="s">
        <v>2922</v>
      </c>
      <c r="D4105" s="2" t="str">
        <f>IFERROR(__xludf.DUMMYFUNCTION("IF(C4105&lt;&gt;"""", GOOGLETRANSLATE(C4105, ""en"", ""te""),"""")"),"[ 'ప్రవేశం (6) ఒక ఇన్నింగ్స్ లో 22 వ బెస్ట్ ఫిగర్స్', '41 వ చెత్త కెరీర్ సగటు (50.64) బౌలింగ్']")</f>
        <v>[ 'ప్రవేశం (6) ఒక ఇన్నింగ్స్ లో 22 వ బెస్ట్ ఫిగర్స్', '41 వ చెత్త కెరీర్ సగటు (50.64) బౌలింగ్']</v>
      </c>
      <c r="E4105" s="2"/>
      <c r="F4105" s="2" t="str">
        <f>IFERROR(__xludf.DUMMYFUNCTION("IF(E4105&lt;&gt;"""", GOOGLETRANSLATE(E4105, ""en"", ""te""),"""")"),"")</f>
        <v/>
      </c>
      <c r="G4105" s="2"/>
      <c r="H4105" s="2" t="str">
        <f>IFERROR(__xludf.DUMMYFUNCTION("IF(G4105&lt;&gt;"""", GOOGLETRANSLATE(G4105, ""en"", ""te""),"""")"),"")</f>
        <v/>
      </c>
      <c r="I4105" s="3"/>
    </row>
    <row r="4106" customHeight="1" spans="1:9">
      <c r="A4106" s="2" t="s">
        <v>2923</v>
      </c>
      <c r="B4106" s="2" t="str">
        <f>IFERROR(__xludf.DUMMYFUNCTION("IF(A4106&lt;&gt;"""", GOOGLETRANSLATE(A4106, ""en"", ""te""),"""")"),"[ '8 వ అత్యుత్తమ ఇన్నింగ్స్ (6/32) విశ్లేషణలలో బౌలింగ్']")</f>
        <v>[ '8 వ అత్యుత్తమ ఇన్నింగ్స్ (6/32) విశ్లేషణలలో బౌలింగ్']</v>
      </c>
      <c r="C4106" s="2"/>
      <c r="D4106" s="2" t="str">
        <f>IFERROR(__xludf.DUMMYFUNCTION("IF(C4106&lt;&gt;"""", GOOGLETRANSLATE(C4106, ""en"", ""te""),"""")"),"")</f>
        <v/>
      </c>
      <c r="E4106" s="2" t="s">
        <v>2924</v>
      </c>
      <c r="F4106" s="2" t="str">
        <f>IFERROR(__xludf.DUMMYFUNCTION("IF(E4106&lt;&gt;"""", GOOGLETRANSLATE(E4106, ""en"", ""te""),"""")"),"[ '13 వ ఇన్నింగ్స్ లో అత్యధిక పరుగులు (బ్యాటింగ్ స్థానంలో ప్రకారం) (88 *)', '13 వ ఇన్నింగ్స్ లో బెస్ట్ ఫిగర్స్ (6/32)', '8 వ అత్యుత్తమ బౌలింగ్ ఇన్నింగ్స్ లో విశ్లేషించడం (6/32)', '49 వ ఐదవ వికెట్కు అత్యధిక భాగస్వామ్యం (86) ',' ఆరవ వికెట్కు 22 అత్యధిక భాగస"&amp;"్వామ్యం (77 *) ']")</f>
        <v>[ '13 వ ఇన్నింగ్స్ లో అత్యధిక పరుగులు (బ్యాటింగ్ స్థానంలో ప్రకారం) (88 *)', '13 వ ఇన్నింగ్స్ లో బెస్ట్ ఫిగర్స్ (6/32)', '8 వ అత్యుత్తమ బౌలింగ్ ఇన్నింగ్స్ లో విశ్లేషించడం (6/32)', '49 వ ఐదవ వికెట్కు అత్యధిక భాగస్వామ్యం (86) ',' ఆరవ వికెట్కు 22 అత్యధిక భాగస్వామ్యం (77 *) ']</v>
      </c>
      <c r="G4106" s="2"/>
      <c r="H4106" s="2" t="str">
        <f>IFERROR(__xludf.DUMMYFUNCTION("IF(G4106&lt;&gt;"""", GOOGLETRANSLATE(G4106, ""en"", ""te""),"""")"),"")</f>
        <v/>
      </c>
      <c r="I4106" s="3"/>
    </row>
    <row r="4107" customHeight="1" spans="1:9">
      <c r="A4107" s="2"/>
      <c r="B4107" s="2" t="str">
        <f>IFERROR(__xludf.DUMMYFUNCTION("IF(A4107&lt;&gt;"""", GOOGLETRANSLATE(A4107, ""en"", ""te""),"""")"),"")</f>
        <v/>
      </c>
      <c r="C4107" s="2" t="s">
        <v>2925</v>
      </c>
      <c r="D4107" s="2" t="str">
        <f>IFERROR(__xludf.DUMMYFUNCTION("IF(C4107&lt;&gt;"""", GOOGLETRANSLATE(C4107, ""en"", ""te""),"""")"),"[ '34 వ పురాతన దేశం ఆటగాళ్ళు (87y 166d)']")</f>
        <v>[ '34 వ పురాతన దేశం ఆటగాళ్ళు (87y 166d)']</v>
      </c>
      <c r="E4107" s="2"/>
      <c r="F4107" s="2" t="str">
        <f>IFERROR(__xludf.DUMMYFUNCTION("IF(E4107&lt;&gt;"""", GOOGLETRANSLATE(E4107, ""en"", ""te""),"""")"),"")</f>
        <v/>
      </c>
      <c r="G4107" s="2"/>
      <c r="H4107" s="2" t="str">
        <f>IFERROR(__xludf.DUMMYFUNCTION("IF(G4107&lt;&gt;"""", GOOGLETRANSLATE(G4107, ""en"", ""te""),"""")"),"")</f>
        <v/>
      </c>
      <c r="I4107" s="3"/>
    </row>
    <row r="4108" customHeight="1" spans="1:9">
      <c r="A4108" s="2"/>
      <c r="B4108" s="2" t="str">
        <f>IFERROR(__xludf.DUMMYFUNCTION("IF(A4108&lt;&gt;"""", GOOGLETRANSLATE(A4108, ""en"", ""te""),"""")"),"")</f>
        <v/>
      </c>
      <c r="C4108" s="2"/>
      <c r="D4108" s="2" t="str">
        <f>IFERROR(__xludf.DUMMYFUNCTION("IF(C4108&lt;&gt;"""", GOOGLETRANSLATE(C4108, ""en"", ""te""),"""")"),"")</f>
        <v/>
      </c>
      <c r="E4108" s="2"/>
      <c r="F4108" s="2" t="str">
        <f>IFERROR(__xludf.DUMMYFUNCTION("IF(E4108&lt;&gt;"""", GOOGLETRANSLATE(E4108, ""en"", ""te""),"""")"),"")</f>
        <v/>
      </c>
      <c r="G4108" s="2"/>
      <c r="H4108" s="2" t="str">
        <f>IFERROR(__xludf.DUMMYFUNCTION("IF(G4108&lt;&gt;"""", GOOGLETRANSLATE(G4108, ""en"", ""te""),"""")"),"")</f>
        <v/>
      </c>
      <c r="I4108" s="3"/>
    </row>
    <row r="4109" customHeight="1" spans="1:9">
      <c r="A4109" s="2"/>
      <c r="B4109" s="2" t="str">
        <f>IFERROR(__xludf.DUMMYFUNCTION("IF(A4109&lt;&gt;"""", GOOGLETRANSLATE(A4109, ""en"", ""te""),"""")"),"")</f>
        <v/>
      </c>
      <c r="C4109" s="2"/>
      <c r="D4109" s="2" t="str">
        <f>IFERROR(__xludf.DUMMYFUNCTION("IF(C4109&lt;&gt;"""", GOOGLETRANSLATE(C4109, ""en"", ""te""),"""")"),"")</f>
        <v/>
      </c>
      <c r="E4109" s="2"/>
      <c r="F4109" s="2" t="str">
        <f>IFERROR(__xludf.DUMMYFUNCTION("IF(E4109&lt;&gt;"""", GOOGLETRANSLATE(E4109, ""en"", ""te""),"""")"),"")</f>
        <v/>
      </c>
      <c r="G4109" s="2"/>
      <c r="H4109" s="2" t="str">
        <f>IFERROR(__xludf.DUMMYFUNCTION("IF(G4109&lt;&gt;"""", GOOGLETRANSLATE(G4109, ""en"", ""te""),"""")"),"")</f>
        <v/>
      </c>
      <c r="I4109" s="3"/>
    </row>
    <row r="4110" customHeight="1" spans="1:9">
      <c r="A4110" s="2"/>
      <c r="B4110" s="2" t="str">
        <f>IFERROR(__xludf.DUMMYFUNCTION("IF(A4110&lt;&gt;"""", GOOGLETRANSLATE(A4110, ""en"", ""te""),"""")"),"")</f>
        <v/>
      </c>
      <c r="C4110" s="2"/>
      <c r="D4110" s="2" t="str">
        <f>IFERROR(__xludf.DUMMYFUNCTION("IF(C4110&lt;&gt;"""", GOOGLETRANSLATE(C4110, ""en"", ""te""),"""")"),"")</f>
        <v/>
      </c>
      <c r="E4110" s="2"/>
      <c r="F4110" s="2" t="str">
        <f>IFERROR(__xludf.DUMMYFUNCTION("IF(E4110&lt;&gt;"""", GOOGLETRANSLATE(E4110, ""en"", ""te""),"""")"),"")</f>
        <v/>
      </c>
      <c r="G4110" s="2"/>
      <c r="H4110" s="2" t="str">
        <f>IFERROR(__xludf.DUMMYFUNCTION("IF(G4110&lt;&gt;"""", GOOGLETRANSLATE(G4110, ""en"", ""te""),"""")"),"")</f>
        <v/>
      </c>
      <c r="I4110" s="3"/>
    </row>
    <row r="4111" customHeight="1" spans="1:9">
      <c r="A4111" s="2"/>
      <c r="B4111" s="2" t="str">
        <f>IFERROR(__xludf.DUMMYFUNCTION("IF(A4111&lt;&gt;"""", GOOGLETRANSLATE(A4111, ""en"", ""te""),"""")"),"")</f>
        <v/>
      </c>
      <c r="C4111" s="2"/>
      <c r="D4111" s="2" t="str">
        <f>IFERROR(__xludf.DUMMYFUNCTION("IF(C4111&lt;&gt;"""", GOOGLETRANSLATE(C4111, ""en"", ""te""),"""")"),"")</f>
        <v/>
      </c>
      <c r="E4111" s="2" t="s">
        <v>2926</v>
      </c>
      <c r="F4111" s="2" t="str">
        <f>IFERROR(__xludf.DUMMYFUNCTION("IF(E4111&lt;&gt;"""", GOOGLETRANSLATE(E4111, ""en"", ""te""),"""")"),"[ 'ప్రదర్శనల మధ్య 25 లాంగెస్ట్ వ్యవధిలో (6y 75d)', '42 వ అత్యంత స్టంపింగ్లు కెరీర్లో (5)', '22 వ వరుస (5) అత్యంత స్టంపింగ్లు']")</f>
        <v>[ 'ప్రదర్శనల మధ్య 25 లాంగెస్ట్ వ్యవధిలో (6y 75d)', '42 వ అత్యంత స్టంపింగ్లు కెరీర్లో (5)', '22 వ వరుస (5) అత్యంత స్టంపింగ్లు']</v>
      </c>
      <c r="G4111" s="2"/>
      <c r="H4111" s="2" t="str">
        <f>IFERROR(__xludf.DUMMYFUNCTION("IF(G4111&lt;&gt;"""", GOOGLETRANSLATE(G4111, ""en"", ""te""),"""")"),"")</f>
        <v/>
      </c>
      <c r="I4111" s="3"/>
    </row>
    <row r="4112" customHeight="1" spans="1:9">
      <c r="A4112" s="2" t="s">
        <v>2927</v>
      </c>
      <c r="B4112" s="2" t="str">
        <f>IFERROR(__xludf.DUMMYFUNCTION("IF(A4112&lt;&gt;"""", GOOGLETRANSLATE(A4112, ""en"", ""te""),"""")"),"[ '10 వ పురాతన దేశం ఆటగాళ్ళు (91y 205d)']")</f>
        <v>[ '10 వ పురాతన దేశం ఆటగాళ్ళు (91y 205d)']</v>
      </c>
      <c r="C4112" s="2" t="s">
        <v>2927</v>
      </c>
      <c r="D4112" s="2" t="str">
        <f>IFERROR(__xludf.DUMMYFUNCTION("IF(C4112&lt;&gt;"""", GOOGLETRANSLATE(C4112, ""en"", ""te""),"""")"),"[ '10 వ పురాతన దేశం ఆటగాళ్ళు (91y 205d)']")</f>
        <v>[ '10 వ పురాతన దేశం ఆటగాళ్ళు (91y 205d)']</v>
      </c>
      <c r="E4112" s="2"/>
      <c r="F4112" s="2" t="str">
        <f>IFERROR(__xludf.DUMMYFUNCTION("IF(E4112&lt;&gt;"""", GOOGLETRANSLATE(E4112, ""en"", ""te""),"""")"),"")</f>
        <v/>
      </c>
      <c r="G4112" s="2"/>
      <c r="H4112" s="2" t="str">
        <f>IFERROR(__xludf.DUMMYFUNCTION("IF(G4112&lt;&gt;"""", GOOGLETRANSLATE(G4112, ""en"", ""te""),"""")"),"")</f>
        <v/>
      </c>
      <c r="I4112" s="3"/>
    </row>
    <row r="4113" customHeight="1" spans="1:9">
      <c r="A4113" s="2" t="s">
        <v>2928</v>
      </c>
      <c r="B4113" s="2" t="str">
        <f>IFERROR(__xludf.DUMMYFUNCTION("IF(A4113&lt;&gt;"""", GOOGLETRANSLATE(A4113, ""en"", ""te""),"""")"),"[ 'ఇన్నింగ్స్ లో 2 వ అత్యధిక క్యాచ్లు (4)' '3 వ అత్యధిక సమ్మె ఇన్నింగ్స్ లో రేటు (355.55)', '3 వ అత్యంత ఆకర్షించింది తీసుకున్న మరియు బౌల్డ్ (5) వికెట్స్']")</f>
        <v>[ 'ఇన్నింగ్స్ లో 2 వ అత్యధిక క్యాచ్లు (4)' '3 వ అత్యధిక సమ్మె ఇన్నింగ్స్ లో రేటు (355.55)', '3 వ అత్యంత ఆకర్షించింది తీసుకున్న మరియు బౌల్డ్ (5) వికెట్స్']</v>
      </c>
      <c r="C4113" s="2"/>
      <c r="D4113" s="2" t="str">
        <f>IFERROR(__xludf.DUMMYFUNCTION("IF(C4113&lt;&gt;"""", GOOGLETRANSLATE(C4113, ""en"", ""te""),"""")"),"")</f>
        <v/>
      </c>
      <c r="E4113" s="2" t="s">
        <v>2929</v>
      </c>
      <c r="F4113" s="2" t="str">
        <f>IFERROR(__xludf.DUMMYFUNCTION("IF(E4113&lt;&gt;"""", GOOGLETRANSLATE(E4113, ""en"", ""te""),"""")"),"[ '3 వ అత్యధిక సమ్మె ఇన్నింగ్స్ లో రేటు (355.55)', '45 వ చెత్త కెరీర్ బౌలింగ్ సరాసరి (46.92)', 'ఇన్నింగ్స్ లో 2 వ అత్యధిక క్యాచ్లు (4)', 'తొమ్మిదవ వికెట్ (67) 43 వ అత్యధిక భాగస్వామ్యం']")</f>
        <v>[ '3 వ అత్యధిక సమ్మె ఇన్నింగ్స్ లో రేటు (355.55)', '45 వ చెత్త కెరీర్ బౌలింగ్ సరాసరి (46.92)', 'ఇన్నింగ్స్ లో 2 వ అత్యధిక క్యాచ్లు (4)', 'తొమ్మిదవ వికెట్ (67) 43 వ అత్యధిక భాగస్వామ్యం']</v>
      </c>
      <c r="G4113" s="2" t="s">
        <v>2930</v>
      </c>
      <c r="H4113" s="2" t="str">
        <f>IFERROR(__xludf.DUMMYFUNCTION("IF(G4113&lt;&gt;"""", GOOGLETRANSLATE(G4113, ""en"", ""te""),"""")"),"[ 'మొదటి డక్ (17) ముందు 40 వ అత్యంత ఇన్నింగ్స్' '22 వ కెరీర్ లో అత్యధిక వికెట్లు (58)', '48 వ బెస్ట్ కెరీర్ బౌలింగ్ సరాసరి (22.03)', '27 వ ఉత్తమ కెరీర్ ఆర్థిక రేటు (6.82)', '16 వ అత్యంత నాలుగు -wickets-ఇన్-ఒక-ఇన్నింగ్స్ కెరీర్లో (2) ', '21 వ కెరీర్ లో బౌల"&amp;"్డ్ చాలా బంతుల్లో (1123)', '20 వ కెరీర్ లో సాధించిన (1278)', '17 వ బౌలర్ అత్యధిక పరుగులు / బ్యాట్స్ కలయికలు (3)' '45 వ బౌలర్ / ఫీల్డర్ కలయికలు (6)', '38 వ అత్యధిక వికెట్లు తీసుకున్న బౌల్డ్ (11)', '16 వ అత్యధిక వికెట్లు తీసుకున్న ఆకర్షించింది (40)', '3 వ అ"&amp;"త్యంత క్యాచ్ మరియు బౌల్డ్ తీసుకోబడిన వికెట్ల (5)', '11 వ అత్యంత వికెట్లు ఒక ఫీల్డర్ (38) ',' 17 వ అత్యధిక వికెట్లు ఇన్నింగ్స్ లో తీసిన స్టంప్ (5) ',' 38 వ కెరీర్ లో అత్యధిక క్యాచ్లు (26) ',' 15 వ అత్యధిక క్యాచ్లు (3) ',' 46 వ అత్యధిక కొరకు చేసిన భాగస్వామ్"&amp;"యం పట్టుకుంటే తీసుకున్న ఎనిమిదవ వికెట్ (34 *) ',' 48 వ కెరీర్ లో అత్యధిక మ్యాచ్లు (63) ']")</f>
        <v>[ 'మొదటి డక్ (17) ముందు 40 వ అత్యంత ఇన్నింగ్స్' '22 వ కెరీర్ లో అత్యధిక వికెట్లు (58)', '48 వ బెస్ట్ కెరీర్ బౌలింగ్ సరాసరి (22.03)', '27 వ ఉత్తమ కెరీర్ ఆర్థిక రేటు (6.82)', '16 వ అత్యంత నాలుగు -wickets-ఇన్-ఒక-ఇన్నింగ్స్ కెరీర్లో (2) ', '21 వ కెరీర్ లో బౌల్డ్ చాలా బంతుల్లో (1123)', '20 వ కెరీర్ లో సాధించిన (1278)', '17 వ బౌలర్ అత్యధిక పరుగులు / బ్యాట్స్ కలయికలు (3)' '45 వ బౌలర్ / ఫీల్డర్ కలయికలు (6)', '38 వ అత్యధిక వికెట్లు తీసుకున్న బౌల్డ్ (11)', '16 వ అత్యధిక వికెట్లు తీసుకున్న ఆకర్షించింది (40)', '3 వ అత్యంత క్యాచ్ మరియు బౌల్డ్ తీసుకోబడిన వికెట్ల (5)', '11 వ అత్యంత వికెట్లు ఒక ఫీల్డర్ (38) ',' 17 వ అత్యధిక వికెట్లు ఇన్నింగ్స్ లో తీసిన స్టంప్ (5) ',' 38 వ కెరీర్ లో అత్యధిక క్యాచ్లు (26) ',' 15 వ అత్యధిక క్యాచ్లు (3) ',' 46 వ అత్యధిక కొరకు చేసిన భాగస్వామ్యం పట్టుకుంటే తీసుకున్న ఎనిమిదవ వికెట్ (34 *) ',' 48 వ కెరీర్ లో అత్యధిక మ్యాచ్లు (63) ']</v>
      </c>
      <c r="I4113" s="3"/>
    </row>
    <row r="4114" customHeight="1" spans="1:9">
      <c r="A4114" s="2"/>
      <c r="B4114" s="2" t="str">
        <f>IFERROR(__xludf.DUMMYFUNCTION("IF(A4114&lt;&gt;"""", GOOGLETRANSLATE(A4114, ""en"", ""te""),"""")"),"")</f>
        <v/>
      </c>
      <c r="C4114" s="2"/>
      <c r="D4114" s="2" t="str">
        <f>IFERROR(__xludf.DUMMYFUNCTION("IF(C4114&lt;&gt;"""", GOOGLETRANSLATE(C4114, ""en"", ""te""),"""")"),"")</f>
        <v/>
      </c>
      <c r="E4114" s="2"/>
      <c r="F4114" s="2" t="str">
        <f>IFERROR(__xludf.DUMMYFUNCTION("IF(E4114&lt;&gt;"""", GOOGLETRANSLATE(E4114, ""en"", ""te""),"""")"),"")</f>
        <v/>
      </c>
      <c r="G4114" s="2"/>
      <c r="H4114" s="2" t="str">
        <f>IFERROR(__xludf.DUMMYFUNCTION("IF(G4114&lt;&gt;"""", GOOGLETRANSLATE(G4114, ""en"", ""te""),"""")"),"")</f>
        <v/>
      </c>
      <c r="I4114" s="3"/>
    </row>
    <row r="4115" customHeight="1" spans="1:9">
      <c r="A4115" s="2" t="s">
        <v>2931</v>
      </c>
      <c r="B4115" s="2" t="str">
        <f>IFERROR(__xludf.DUMMYFUNCTION("IF(A4115&lt;&gt;"""", GOOGLETRANSLATE(A4115, ""en"", ""te""),"""")"),"[ 'తొలి పెయిర్', 'ఇన్నింగ్స్ లో 6 వ అత్యధిక పరుగులు (బ్యాటింగ్ స్థానంలో ద్వారా) (29)', '7 వ చెత్త కెరీర్లో సమ్మె రేటు (71.6)']")</f>
        <v>[ 'తొలి పెయిర్', 'ఇన్నింగ్స్ లో 6 వ అత్యధిక పరుగులు (బ్యాటింగ్ స్థానంలో ద్వారా) (29)', '7 వ చెత్త కెరీర్లో సమ్మె రేటు (71.6)']</v>
      </c>
      <c r="C4115" s="2" t="s">
        <v>2932</v>
      </c>
      <c r="D4115" s="2" t="str">
        <f>IFERROR(__xludf.DUMMYFUNCTION("IF(C4115&lt;&gt;"""", GOOGLETRANSLATE(C4115, ""en"", ""te""),"""")"),"[ '2 వ కెరీర్ జతల (1)']")</f>
        <v>[ '2 వ కెరీర్ జతల (1)']</v>
      </c>
      <c r="E4115" s="2" t="s">
        <v>2933</v>
      </c>
      <c r="F4115" s="2" t="str">
        <f>IFERROR(__xludf.DUMMYFUNCTION("IF(E4115&lt;&gt;"""", GOOGLETRANSLATE(E4115, ""en"", ""te""),"""")"),"[ 'ఇన్నింగ్స్ లో 6 వ అత్యధిక పరుగులు (బ్యాటింగ్ స్థానంలో ద్వారా) (29)', '48 వ ఉత్తమ కెరీర్ ఆర్థిక రేటు (2.93)', 'సగటు (35.00) బౌలింగ్ 24th చెత్త జీవితం' '7th చెత్త కెరీర్లో సమ్మె రేటు (71.6)' ]")</f>
        <v>[ 'ఇన్నింగ్స్ లో 6 వ అత్యధిక పరుగులు (బ్యాటింగ్ స్థానంలో ద్వారా) (29)', '48 వ ఉత్తమ కెరీర్ ఆర్థిక రేటు (2.93)', 'సగటు (35.00) బౌలింగ్ 24th చెత్త జీవితం' '7th చెత్త కెరీర్లో సమ్మె రేటు (71.6)' ]</v>
      </c>
      <c r="G4115" s="2"/>
      <c r="H4115" s="2" t="str">
        <f>IFERROR(__xludf.DUMMYFUNCTION("IF(G4115&lt;&gt;"""", GOOGLETRANSLATE(G4115, ""en"", ""te""),"""")"),"")</f>
        <v/>
      </c>
      <c r="I4115" s="3"/>
    </row>
    <row r="4116" customHeight="1" spans="1:9">
      <c r="A4116" s="2"/>
      <c r="B4116" s="2" t="str">
        <f>IFERROR(__xludf.DUMMYFUNCTION("IF(A4116&lt;&gt;"""", GOOGLETRANSLATE(A4116, ""en"", ""te""),"""")"),"")</f>
        <v/>
      </c>
      <c r="C4116" s="2"/>
      <c r="D4116" s="2" t="str">
        <f>IFERROR(__xludf.DUMMYFUNCTION("IF(C4116&lt;&gt;"""", GOOGLETRANSLATE(C4116, ""en"", ""te""),"""")"),"")</f>
        <v/>
      </c>
      <c r="E4116" s="2"/>
      <c r="F4116" s="2" t="str">
        <f>IFERROR(__xludf.DUMMYFUNCTION("IF(E4116&lt;&gt;"""", GOOGLETRANSLATE(E4116, ""en"", ""te""),"""")"),"")</f>
        <v/>
      </c>
      <c r="G4116" s="2"/>
      <c r="H4116" s="2" t="str">
        <f>IFERROR(__xludf.DUMMYFUNCTION("IF(G4116&lt;&gt;"""", GOOGLETRANSLATE(G4116, ""en"", ""te""),"""")"),"")</f>
        <v/>
      </c>
      <c r="I4116" s="3"/>
    </row>
    <row r="4117" customHeight="1" spans="1:9">
      <c r="A4117" s="2" t="s">
        <v>2285</v>
      </c>
      <c r="B4117" s="2" t="str">
        <f>IFERROR(__xludf.DUMMYFUNCTION("IF(A4117&lt;&gt;"""", GOOGLETRANSLATE(A4117, ""en"", ""te""),"""")"),"[ '1st అత్యుత్తమ ఇన్నింగ్స్ లో విశ్లేషణలు బౌలింగ్ (1/0)', ​​'1st బెస్ట్ కెరీర్ (అర్హత లేకుండా) సగటు బౌలింగ్ (0.00)']")</f>
        <v>[ '1st అత్యుత్తమ ఇన్నింగ్స్ లో విశ్లేషణలు బౌలింగ్ (1/0)', ​​'1st బెస్ట్ కెరీర్ (అర్హత లేకుండా) సగటు బౌలింగ్ (0.00)']</v>
      </c>
      <c r="C4117" s="2" t="s">
        <v>2285</v>
      </c>
      <c r="D4117" s="2" t="str">
        <f>IFERROR(__xludf.DUMMYFUNCTION("IF(C4117&lt;&gt;"""", GOOGLETRANSLATE(C4117, ""en"", ""te""),"""")"),"[ '1st అత్యుత్తమ ఇన్నింగ్స్ లో విశ్లేషణలు బౌలింగ్ (1/0)', ​​'1st బెస్ట్ కెరీర్ (అర్హత లేకుండా) సగటు బౌలింగ్ (0.00)']")</f>
        <v>[ '1st అత్యుత్తమ ఇన్నింగ్స్ లో విశ్లేషణలు బౌలింగ్ (1/0)', ​​'1st బెస్ట్ కెరీర్ (అర్హత లేకుండా) సగటు బౌలింగ్ (0.00)']</v>
      </c>
      <c r="E4117" s="2"/>
      <c r="F4117" s="2" t="str">
        <f>IFERROR(__xludf.DUMMYFUNCTION("IF(E4117&lt;&gt;"""", GOOGLETRANSLATE(E4117, ""en"", ""te""),"""")"),"")</f>
        <v/>
      </c>
      <c r="G4117" s="2"/>
      <c r="H4117" s="2" t="str">
        <f>IFERROR(__xludf.DUMMYFUNCTION("IF(G4117&lt;&gt;"""", GOOGLETRANSLATE(G4117, ""en"", ""te""),"""")"),"")</f>
        <v/>
      </c>
      <c r="I4117" s="3"/>
    </row>
    <row r="4118" customHeight="1" spans="1:9">
      <c r="A4118" s="2"/>
      <c r="B4118" s="2" t="str">
        <f>IFERROR(__xludf.DUMMYFUNCTION("IF(A4118&lt;&gt;"""", GOOGLETRANSLATE(A4118, ""en"", ""te""),"""")"),"")</f>
        <v/>
      </c>
      <c r="C4118" s="2"/>
      <c r="D4118" s="2" t="str">
        <f>IFERROR(__xludf.DUMMYFUNCTION("IF(C4118&lt;&gt;"""", GOOGLETRANSLATE(C4118, ""en"", ""te""),"""")"),"")</f>
        <v/>
      </c>
      <c r="E4118" s="2"/>
      <c r="F4118" s="2" t="str">
        <f>IFERROR(__xludf.DUMMYFUNCTION("IF(E4118&lt;&gt;"""", GOOGLETRANSLATE(E4118, ""en"", ""te""),"""")"),"")</f>
        <v/>
      </c>
      <c r="G4118" s="2"/>
      <c r="H4118" s="2" t="str">
        <f>IFERROR(__xludf.DUMMYFUNCTION("IF(G4118&lt;&gt;"""", GOOGLETRANSLATE(G4118, ""en"", ""te""),"""")"),"")</f>
        <v/>
      </c>
      <c r="I4118" s="3"/>
    </row>
    <row r="4119" customHeight="1" spans="1:9">
      <c r="A4119" s="2"/>
      <c r="B4119" s="2" t="str">
        <f>IFERROR(__xludf.DUMMYFUNCTION("IF(A4119&lt;&gt;"""", GOOGLETRANSLATE(A4119, ""en"", ""te""),"""")"),"")</f>
        <v/>
      </c>
      <c r="C4119" s="2"/>
      <c r="D4119" s="2" t="str">
        <f>IFERROR(__xludf.DUMMYFUNCTION("IF(C4119&lt;&gt;"""", GOOGLETRANSLATE(C4119, ""en"", ""te""),"""")"),"")</f>
        <v/>
      </c>
      <c r="E4119" s="2"/>
      <c r="F4119" s="2" t="str">
        <f>IFERROR(__xludf.DUMMYFUNCTION("IF(E4119&lt;&gt;"""", GOOGLETRANSLATE(E4119, ""en"", ""te""),"""")"),"")</f>
        <v/>
      </c>
      <c r="G4119" s="2"/>
      <c r="H4119" s="2" t="str">
        <f>IFERROR(__xludf.DUMMYFUNCTION("IF(G4119&lt;&gt;"""", GOOGLETRANSLATE(G4119, ""en"", ""te""),"""")"),"")</f>
        <v/>
      </c>
      <c r="I4119" s="3"/>
    </row>
    <row r="4120" customHeight="1" spans="1:9">
      <c r="A4120" s="2" t="s">
        <v>2934</v>
      </c>
      <c r="B4120" s="2" t="str">
        <f>IFERROR(__xludf.DUMMYFUNCTION("IF(A4120&lt;&gt;"""", GOOGLETRANSLATE(A4120, ""en"", ""te""),"""")"),"[ 'బృందం కోసం 8 వ వరుస మ్యాచ్లు (15)', '1 వ వరుస మ్యాచ్లు ఒక జట్టు కెప్టెన్గా (13)', 'ఒక కెప్టెన్తో ఇన్నింగ్స్ లో 2 వ అత్యధిక పరుగులు (155 *)', '10 వ అత్యధిక వందలు లో ఒక కెరీర్ (2) ',' 10 వ కెరీర్ (20) వెనుదిరిగాడు ']")</f>
        <v>[ 'బృందం కోసం 8 వ వరుస మ్యాచ్లు (15)', '1 వ వరుస మ్యాచ్లు ఒక జట్టు కెప్టెన్గా (13)', 'ఒక కెప్టెన్తో ఇన్నింగ్స్ లో 2 వ అత్యధిక పరుగులు (155 *)', '10 వ అత్యధిక వందలు లో ఒక కెరీర్ (2) ',' 10 వ కెరీర్ (20) వెనుదిరిగాడు ']</v>
      </c>
      <c r="C4120" s="2" t="s">
        <v>2935</v>
      </c>
      <c r="D4120" s="2" t="str">
        <f>IFERROR(__xludf.DUMMYFUNCTION("IF(C4120&lt;&gt;"""", GOOGLETRANSLATE(C4120, ""en"", ""te""),"""")"),"[ 'కెరీర్లో 22 వ అత్యధిక పరుగులు (699)', '20 వ ఇన్నింగ్స్ లో అత్యధిక పరుగులు (155 *)', '33 వ అత్యధిక పరుగులు మ్యాచ్ లో (160)', '7 వ ఇన్నింగ్స్ లో అత్యధిక పరుగులు (బ్యాటింగ్ స్థానంలో ప్రకారం) ( 155 *) ',' 13 వ అత్యంత ఒక కెప్టెన్తో ఒక కెప్టెన్ ద్వారా ఒక సిర"&amp;"ీస్లో పరుగులు (223) ',' ఇన్నింగ్స్ లో 2 వ అత్యధిక పరుగులు (155 *) ',' 10th ఒక వృత్తిలో అత్యధిక వందలు (2) ',' 15 వ అత్యధిక తొలి వంద (155 *) ',' కెరీర్లో 20 వ అతి తక్కువ బాతులు (13) ',' 17 వ అత్యధిక ఒక ఇన్నింగ్స్లో పరుగుల శాతం (51.32) ',' 17 వ కెరీర్ లో అత్"&amp;"యధిక మ్యాచ్లు (15) ',' 8 వ వరుస ఒక జట్టు మ్యాచ్ (15) ',' 36 వ లాంగెస్ట్ కెరీర్లు (12y 225d) ',' 1 వ అత్యధిక మ్యాచ్లు కెప్టెన్గా (14) ',' ఒక జట్టు కెప్టెన్గా 1st వరుస మ్యాచ్లు (13) ']")</f>
        <v>[ 'కెరీర్లో 22 వ అత్యధిక పరుగులు (699)', '20 వ ఇన్నింగ్స్ లో అత్యధిక పరుగులు (155 *)', '33 వ అత్యధిక పరుగులు మ్యాచ్ లో (160)', '7 వ ఇన్నింగ్స్ లో అత్యధిక పరుగులు (బ్యాటింగ్ స్థానంలో ప్రకారం) ( 155 *) ',' 13 వ అత్యంత ఒక కెప్టెన్తో ఒక కెప్టెన్ ద్వారా ఒక సిరీస్లో పరుగులు (223) ',' ఇన్నింగ్స్ లో 2 వ అత్యధిక పరుగులు (155 *) ',' 10th ఒక వృత్తిలో అత్యధిక వందలు (2) ',' 15 వ అత్యధిక తొలి వంద (155 *) ',' కెరీర్లో 20 వ అతి తక్కువ బాతులు (13) ',' 17 వ అత్యధిక ఒక ఇన్నింగ్స్లో పరుగుల శాతం (51.32) ',' 17 వ కెరీర్ లో అత్యధిక మ్యాచ్లు (15) ',' 8 వ వరుస ఒక జట్టు మ్యాచ్ (15) ',' 36 వ లాంగెస్ట్ కెరీర్లు (12y 225d) ',' 1 వ అత్యధిక మ్యాచ్లు కెప్టెన్గా (14) ',' ఒక జట్టు కెప్టెన్గా 1st వరుస మ్యాచ్లు (13) ']</v>
      </c>
      <c r="E4120" s="2" t="s">
        <v>2936</v>
      </c>
      <c r="F4120" s="2" t="str">
        <f>IFERROR(__xludf.DUMMYFUNCTION("IF(E4120&lt;&gt;"""", GOOGLETRANSLATE(E4120, ""en"", ""te""),"""")"),"[ '24 వ తొలి మ్యాచ్లో అత్యధిక పరుగులు (54)', 'కెరీర్లో 10 వ లేవు బాతులు (20)', '46 వ వరుస మ్యాచ్లు ఒక జట్టు కెప్టెన్గా (15)']")</f>
        <v>[ '24 వ తొలి మ్యాచ్లో అత్యధిక పరుగులు (54)', 'కెరీర్లో 10 వ లేవు బాతులు (20)', '46 వ వరుస మ్యాచ్లు ఒక జట్టు కెప్టెన్గా (15)']</v>
      </c>
      <c r="G4120" s="2"/>
      <c r="H4120" s="2" t="str">
        <f>IFERROR(__xludf.DUMMYFUNCTION("IF(G4120&lt;&gt;"""", GOOGLETRANSLATE(G4120, ""en"", ""te""),"""")"),"")</f>
        <v/>
      </c>
      <c r="I4120" s="3"/>
    </row>
    <row r="4121" customHeight="1" spans="1:9">
      <c r="A4121" s="2"/>
      <c r="B4121" s="2" t="str">
        <f>IFERROR(__xludf.DUMMYFUNCTION("IF(A4121&lt;&gt;"""", GOOGLETRANSLATE(A4121, ""en"", ""te""),"""")"),"")</f>
        <v/>
      </c>
      <c r="C4121" s="2"/>
      <c r="D4121" s="2" t="str">
        <f>IFERROR(__xludf.DUMMYFUNCTION("IF(C4121&lt;&gt;"""", GOOGLETRANSLATE(C4121, ""en"", ""te""),"""")"),"")</f>
        <v/>
      </c>
      <c r="E4121" s="2"/>
      <c r="F4121" s="2" t="str">
        <f>IFERROR(__xludf.DUMMYFUNCTION("IF(E4121&lt;&gt;"""", GOOGLETRANSLATE(E4121, ""en"", ""te""),"""")"),"")</f>
        <v/>
      </c>
      <c r="G4121" s="2"/>
      <c r="H4121" s="2" t="str">
        <f>IFERROR(__xludf.DUMMYFUNCTION("IF(G4121&lt;&gt;"""", GOOGLETRANSLATE(G4121, ""en"", ""te""),"""")"),"")</f>
        <v/>
      </c>
      <c r="I4121" s="3"/>
    </row>
    <row r="4122" customHeight="1" spans="1:9">
      <c r="A4122" s="2" t="s">
        <v>2937</v>
      </c>
      <c r="B4122" s="2" t="str">
        <f>IFERROR(__xludf.DUMMYFUNCTION("IF(A4122&lt;&gt;"""", GOOGLETRANSLATE(A4122, ""en"", ""te""),"""")"),"[ 'ఒకే మైదానంలో 6 వ అత్యధిక పరుగులు (421)', '4 వ అత్యధిక కెరీర్ సమ్మె రేటు (156.44)', 'వరుస ఇన్నింగ్స్లో 3 వ యాభైల్లో (3)', '4 వ కెరీర్ లో వచ్చిన ఎక్కువ సిక్స్ (107)', '4 వ అత్యధిక నాలుగో వికెట్కు భాగస్వామ్యం (123) ']")</f>
        <v>[ 'ఒకే మైదానంలో 6 వ అత్యధిక పరుగులు (421)', '4 వ అత్యధిక కెరీర్ సమ్మె రేటు (156.44)', 'వరుస ఇన్నింగ్స్లో 3 వ యాభైల్లో (3)', '4 వ కెరీర్ లో వచ్చిన ఎక్కువ సిక్స్ (107)', '4 వ అత్యధిక నాలుగో వికెట్కు భాగస్వామ్యం (123) ']</v>
      </c>
      <c r="C4122" s="2"/>
      <c r="D4122" s="2" t="str">
        <f>IFERROR(__xludf.DUMMYFUNCTION("IF(C4122&lt;&gt;"""", GOOGLETRANSLATE(C4122, ""en"", ""te""),"""")"),"")</f>
        <v/>
      </c>
      <c r="E4122" s="2" t="s">
        <v>2938</v>
      </c>
      <c r="F4122" s="2" t="str">
        <f>IFERROR(__xludf.DUMMYFUNCTION("IF(E4122&lt;&gt;"""", GOOGLETRANSLATE(E4122, ""en"", ""te""),"""")"),"[ '20 వ అత్యధిక కెరీర్ సమ్మె రేటు (104.69)', 'ఇన్నింగ్స్ లో 18 వ అత్యధిక స్ట్రైక్ రేట్ (293.33)']")</f>
        <v>[ '20 వ అత్యధిక కెరీర్ సమ్మె రేటు (104.69)', 'ఇన్నింగ్స్ లో 18 వ అత్యధిక స్ట్రైక్ రేట్ (293.33)']</v>
      </c>
      <c r="G4122" s="2" t="s">
        <v>2939</v>
      </c>
      <c r="H4122" s="2" t="str">
        <f>IFERROR(__xludf.DUMMYFUNCTION("IF(G4122&lt;&gt;"""", GOOGLETRANSLATE(G4122, ""en"", ""te""),"""")"),"[ '19 కెరీర్లో అత్యధిక పరుగులు (1724)', '28th ఇన్నింగ్స్ లో అత్యధిక పరుగులు (109 *)', '19 ఒక క్యాలెండర్ సంవత్సరంలో అత్యధిక పరుగులు (500)', '9 వ ఇన్నింగ్స్ లో అత్యధిక పరుగులు (బ్యాటింగ్ స్థానంలో ద్వారా) (101) ',' 6 వ ఒకే మైదానంలో అత్యధిక పరుగులు (421) ','"&amp;" 36 వ అత్యధిక కెరీర్ బ్యాటింగ్ సగటు (31.34) ',' 4 వ అత్యధిక కెరీర్ సమ్మె రేటు (156.44) ',' ఇన్నింగ్స్ 6 వ అత్యధిక స్ట్రైక్ రేట్ (357.14 ) ',' 10 వ కెరీర్ లో చాలా అర్ధ (14) ',' వరుస ఇన్నింగ్స్లో 3 వ యాభైల్లో (3) ',' 32 వ అత్యంత బాతులు కెరీర్ లో (5) ',' 4"&amp;" వ ఎక్కువ సిక్స్ కెరీర్లో (107) ',' 36 వ అత్యంత కెరీర్లో ఫోర్లు (132) ',' 7 వ ఇన్నింగ్స్ లో వచ్చిన ఎక్కువ సిక్స్ (10) ',' 31 ఇన్నింగ్స్ లో వచ్చిన ఎక్కువ ఫోర్లు (11) ',' ఒక ఇన్నింగ్స్లో పరుగుల 45 వ అత్యధిక శాతం (55.61) ',' 19 వ వేగంగా 1000 పరుగులు (38) ','"&amp;" నాలుగవ వికెట్కు 4 వ అత్యధిక భాగస్వామ్యం (123) ',' 43 వ కెరీర్ లో అత్యధిక మ్యాచ్లు (65) ',' 12 వ అత్యంత ప్లేయర్ ఆఫ్ ది మ్యాచ్ అవార్డులు (7) ']")</f>
        <v>[ '19 కెరీర్లో అత్యధిక పరుగులు (1724)', '28th ఇన్నింగ్స్ లో అత్యధిక పరుగులు (109 *)', '19 ఒక క్యాలెండర్ సంవత్సరంలో అత్యధిక పరుగులు (500)', '9 వ ఇన్నింగ్స్ లో అత్యధిక పరుగులు (బ్యాటింగ్ స్థానంలో ద్వారా) (101) ',' 6 వ ఒకే మైదానంలో అత్యధిక పరుగులు (421) ',' 36 వ అత్యధిక కెరీర్ బ్యాటింగ్ సగటు (31.34) ',' 4 వ అత్యధిక కెరీర్ సమ్మె రేటు (156.44) ',' ఇన్నింగ్స్ 6 వ అత్యధిక స్ట్రైక్ రేట్ (357.14 ) ',' 10 వ కెరీర్ లో చాలా అర్ధ (14) ',' వరుస ఇన్నింగ్స్లో 3 వ యాభైల్లో (3) ',' 32 వ అత్యంత బాతులు కెరీర్ లో (5) ',' 4 వ ఎక్కువ సిక్స్ కెరీర్లో (107) ',' 36 వ అత్యంత కెరీర్లో ఫోర్లు (132) ',' 7 వ ఇన్నింగ్స్ లో వచ్చిన ఎక్కువ సిక్స్ (10) ',' 31 ఇన్నింగ్స్ లో వచ్చిన ఎక్కువ ఫోర్లు (11) ',' ఒక ఇన్నింగ్స్లో పరుగుల 45 వ అత్యధిక శాతం (55.61) ',' 19 వ వేగంగా 1000 పరుగులు (38) ',' నాలుగవ వికెట్కు 4 వ అత్యధిక భాగస్వామ్యం (123) ',' 43 వ కెరీర్ లో అత్యధిక మ్యాచ్లు (65) ',' 12 వ అత్యంత ప్లేయర్ ఆఫ్ ది మ్యాచ్ అవార్డులు (7) ']</v>
      </c>
      <c r="I4122" s="3"/>
    </row>
    <row r="4123" customHeight="1" spans="1:9">
      <c r="A4123" s="2" t="s">
        <v>2940</v>
      </c>
      <c r="B4123" s="2" t="str">
        <f>IFERROR(__xludf.DUMMYFUNCTION("IF(A4123&lt;&gt;"""", GOOGLETRANSLATE(A4123, ""en"", ""te""),"""")"),"[ 'వరుస 7 వ అత్యధిక వికెట్లు (18)' '10 వ అత్యంత ఇన్నింగ్స్ లో సాధించిన బైస్ (16)', '4 వ ఒక సిరీస్లో అత్యధిక క్యాచ్లు (14)', వంద లేకుండా కెరీర్లో '10 వ అత్యధిక పరుగులు (1481 ) ',' కెరీర్ లో 2 వ అతి తక్కువ బాతులు (40) ',' 8 వ కెరీర్ లో అత్యధిక వికెట్లు (47"&amp;") ',' 5 వ ఇన్నింగ్స్ లో అత్యధిక క్యాచ్లు (3) ',' 9 వ ఇన్నింగ్స్ లో వచ్చిన ఎక్కువ స్టంపింగ్లు (3) ',' 10 వ అత్యంత ఇన్నింగ్స్ లో నడుస్తుంది (బ్యాటింగ్ స్థానం) (56 నాటౌట్) ',' తొమ్మిదవ వికెట్ (32 *) 3 వ అత్యధిక భాగస్వామ్యం ']")</f>
        <v>[ 'వరుస 7 వ అత్యధిక వికెట్లు (18)' '10 వ అత్యంత ఇన్నింగ్స్ లో సాధించిన బైస్ (16)', '4 వ ఒక సిరీస్లో అత్యధిక క్యాచ్లు (14)', వంద లేకుండా కెరీర్లో '10 వ అత్యధిక పరుగులు (1481 ) ',' కెరీర్ లో 2 వ అతి తక్కువ బాతులు (40) ',' 8 వ కెరీర్ లో అత్యధిక వికెట్లు (47) ',' 5 వ ఇన్నింగ్స్ లో అత్యధిక క్యాచ్లు (3) ',' 9 వ ఇన్నింగ్స్ లో వచ్చిన ఎక్కువ స్టంపింగ్లు (3) ',' 10 వ అత్యంత ఇన్నింగ్స్ లో నడుస్తుంది (బ్యాటింగ్ స్థానం) (56 నాటౌట్) ',' తొమ్మిదవ వికెట్ (32 *) 3 వ అత్యధిక భాగస్వామ్యం ']</v>
      </c>
      <c r="C4123" s="2" t="s">
        <v>2941</v>
      </c>
      <c r="D4123" s="2" t="str">
        <f>IFERROR(__xludf.DUMMYFUNCTION("IF(C4123&lt;&gt;"""", GOOGLETRANSLATE(C4123, ""en"", ""te""),"""")"),"[ '10 వ అత్యంత ఇన్నింగ్స్ లో సాధించిన బైస్ (16)']")</f>
        <v>[ '10 వ అత్యంత ఇన్నింగ్స్ లో సాధించిన బైస్ (16)']</v>
      </c>
      <c r="E4123" s="2" t="s">
        <v>2942</v>
      </c>
      <c r="F4123" s="2" t="str">
        <f>IFERROR(__xludf.DUMMYFUNCTION("IF(E4123&lt;&gt;"""", GOOGLETRANSLATE(E4123, ""en"", ""te""),"""")"),"[ '13 వ ఒకే మైదానంలో అత్యధిక పరుగులు (492)', 'ఒక వికెట్ కీపర్ సిరీస్లో 30 వ అత్యధిక పరుగులు (189)', 'అత్యధిక వికెట్లు ఇన్నింగ్స్ లో 41 వ అత్యధిక పరుగులు (79)', '10th చాలా పరుగులు మొదటి డక్ ముందు వంద (1481) ',' 4 వ అత్యంత ఇన్నింగ్స్ లేకుండా కెరీర్ (40) ',"&amp;"' డకౌట్ కెరీర్లో (40) ',' 2 వ అతి తక్కువ బాతులు (40) ',' 28th అత్యధిక భాగస్వామ్యం లేకుండా 20 వరుస ఇన్నింగ్స్ ఎనిమిదవ వికెట్ (47) ',' 12 వ లాంగెస్ట్ కెరీర్లు (17y 127d) ',' 12 వ వరుస మ్యాచ్లు కెరీర్లో ప్రదర్శనలు (53) ',' 15 వ అత్యధిక వికెట్లు (52) ',' 17 వ"&amp;" అత్యంత తొలగింపులకు మధ్య జట్టుకు దూరమయ్యాడు ఇన్నింగ్స్ (4) ',' 7 వ అత్యధిక వికెట్లు వరుస (18) ',' 12 వ కెరీర్ లో అత్యధిక క్యాచ్లు (36) ', '21 వ ఇన్నింగ్స్ (3)', '4 వ అత్యధిక క్యాచ్లు లో అత్యధిక క్యాచ్లు వరుస ( 14) ',' 19 వ కెరీర్ స్టంపింగ్లు (16) ']")</f>
        <v>[ '13 వ ఒకే మైదానంలో అత్యధిక పరుగులు (492)', 'ఒక వికెట్ కీపర్ సిరీస్లో 30 వ అత్యధిక పరుగులు (189)', 'అత్యధిక వికెట్లు ఇన్నింగ్స్ లో 41 వ అత్యధిక పరుగులు (79)', '10th చాలా పరుగులు మొదటి డక్ ముందు వంద (1481) ',' 4 వ అత్యంత ఇన్నింగ్స్ లేకుండా కెరీర్ (40) ',' డకౌట్ కెరీర్లో (40) ',' 2 వ అతి తక్కువ బాతులు (40) ',' 28th అత్యధిక భాగస్వామ్యం లేకుండా 20 వరుస ఇన్నింగ్స్ ఎనిమిదవ వికెట్ (47) ',' 12 వ లాంగెస్ట్ కెరీర్లు (17y 127d) ',' 12 వ వరుస మ్యాచ్లు కెరీర్లో ప్రదర్శనలు (53) ',' 15 వ అత్యధిక వికెట్లు (52) ',' 17 వ అత్యంత తొలగింపులకు మధ్య జట్టుకు దూరమయ్యాడు ఇన్నింగ్స్ (4) ',' 7 వ అత్యధిక వికెట్లు వరుస (18) ',' 12 వ కెరీర్ లో అత్యధిక క్యాచ్లు (36) ', '21 వ ఇన్నింగ్స్ (3)', '4 వ అత్యధిక క్యాచ్లు లో అత్యధిక క్యాచ్లు వరుస ( 14) ',' 19 వ కెరీర్ స్టంపింగ్లు (16) ']</v>
      </c>
      <c r="G4123" s="2" t="s">
        <v>2943</v>
      </c>
      <c r="H4123" s="2" t="str">
        <f>IFERROR(__xludf.DUMMYFUNCTION("IF(G4123&lt;&gt;"""", GOOGLETRANSLATE(G4123, ""en"", ""te""),"""")"),"[ '39 వ కెరీర్ లో అత్యధిక పరుగులు (960)', '29th ఒక క్యాలెండర్ సంవత్సరంలో అత్యధిక పరుగులు (414)', '10 వ ఇన్నింగ్స్ లో అత్యధిక పరుగులు (బ్యాటింగ్ స్థానంలో ప్రకారం) (56 నాటౌట్)', '18 వ అత్యంత ఇన్నింగ్స్ లో పరుగులు అత్యధిక వికెట్లు (65) ',' 26th కెరీర్ అర్ధ ("&amp;"4) ',' ఒక డక్ లేకుండా 35 వ వరుస ఇన్నింగ్స్ (31) ',' 16 వ అత్యంత బాతులు కెరీర్లో (6) ',' 34 వ అత్యధిక ఏ వికెట్కు భాగస్వామ్యాలు (124) ',' మూడో వికెట్కు 3 వ అత్యధిక భాగస్వామ్యం (124) ',' నాలుగవ వికెట్కు (116 *) ',' ఆరవ వికెట్కు 37 వ అత్యధిక భాగస్వామ్యం (42 *"&amp;") 5 వ అత్యధిక భాగస్వామ్యం ',' 29th అత్యధిక భాగస్వామ్యం ఏడవ వికెట్కు (37) ',' ఎనిమిదవ వికెట్ (22 *) ',' తొమ్మిదవ వికెట్కు 3 వ అత్యధిక భాగస్వామ్యం (32 *) ',' పదవ వికెట్కు 7 వ అత్యధిక భాగస్వామ్యం (19) 'కోసం 40 వ అత్యధిక భాగస్వామ్యం, '23 వ కెరీర్ లో అత్యధిక మ"&amp;"్యాచ్లు (91)', '8 వ కెరీర్ లో అత్యధిక వికెట్లు (47)', '5 వ కెరీర్లో అత్యధిక క్యాచ్లు (25)', '5 వ ఇన్నింగ్స్ లో అత్యధిక క్యాచ్లు (3)', '11 వ అత్యంత స్టంపింగ్లు లో ఒక ఇన్నింగ్స్ లో కెరీర్ (22) ',' 9 వ అత్యంత స్టంపింగ్లు (3) ']")</f>
        <v>[ '39 వ కెరీర్ లో అత్యధిక పరుగులు (960)', '29th ఒక క్యాలెండర్ సంవత్సరంలో అత్యధిక పరుగులు (414)', '10 వ ఇన్నింగ్స్ లో అత్యధిక పరుగులు (బ్యాటింగ్ స్థానంలో ప్రకారం) (56 నాటౌట్)', '18 వ అత్యంత ఇన్నింగ్స్ లో పరుగులు అత్యధిక వికెట్లు (65) ',' 26th కెరీర్ అర్ధ (4) ',' ఒక డక్ లేకుండా 35 వ వరుస ఇన్నింగ్స్ (31) ',' 16 వ అత్యంత బాతులు కెరీర్లో (6) ',' 34 వ అత్యధిక ఏ వికెట్కు భాగస్వామ్యాలు (124) ',' మూడో వికెట్కు 3 వ అత్యధిక భాగస్వామ్యం (124) ',' నాలుగవ వికెట్కు (116 *) ',' ఆరవ వికెట్కు 37 వ అత్యధిక భాగస్వామ్యం (42 *) 5 వ అత్యధిక భాగస్వామ్యం ',' 29th అత్యధిక భాగస్వామ్యం ఏడవ వికెట్కు (37) ',' ఎనిమిదవ వికెట్ (22 *) ',' తొమ్మిదవ వికెట్కు 3 వ అత్యధిక భాగస్వామ్యం (32 *) ',' పదవ వికెట్కు 7 వ అత్యధిక భాగస్వామ్యం (19) 'కోసం 40 వ అత్యధిక భాగస్వామ్యం, '23 వ కెరీర్ లో అత్యధిక మ్యాచ్లు (91)', '8 వ కెరీర్ లో అత్యధిక వికెట్లు (47)', '5 వ కెరీర్లో అత్యధిక క్యాచ్లు (25)', '5 వ ఇన్నింగ్స్ లో అత్యధిక క్యాచ్లు (3)', '11 వ అత్యంత స్టంపింగ్లు లో ఒక ఇన్నింగ్స్ లో కెరీర్ (22) ',' 9 వ అత్యంత స్టంపింగ్లు (3) ']</v>
      </c>
      <c r="I4123" s="3"/>
    </row>
    <row r="4124" customHeight="1" spans="1:9">
      <c r="A4124" s="2"/>
      <c r="B4124" s="2" t="str">
        <f>IFERROR(__xludf.DUMMYFUNCTION("IF(A4124&lt;&gt;"""", GOOGLETRANSLATE(A4124, ""en"", ""te""),"""")"),"")</f>
        <v/>
      </c>
      <c r="C4124" s="2" t="s">
        <v>2944</v>
      </c>
      <c r="D4124" s="2" t="str">
        <f>IFERROR(__xludf.DUMMYFUNCTION("IF(C4124&lt;&gt;"""", GOOGLETRANSLATE(C4124, ""en"", ""te""),"""")"),"[ 'తొలి 28 ఓల్డెస్ట్ క్రీడాకారులు (38y 101d)']")</f>
        <v>[ 'తొలి 28 ఓల్డెస్ట్ క్రీడాకారులు (38y 101d)']</v>
      </c>
      <c r="E4124" s="2"/>
      <c r="F4124" s="2" t="str">
        <f>IFERROR(__xludf.DUMMYFUNCTION("IF(E4124&lt;&gt;"""", GOOGLETRANSLATE(E4124, ""en"", ""te""),"""")"),"")</f>
        <v/>
      </c>
      <c r="G4124" s="2"/>
      <c r="H4124" s="2" t="str">
        <f>IFERROR(__xludf.DUMMYFUNCTION("IF(G4124&lt;&gt;"""", GOOGLETRANSLATE(G4124, ""en"", ""te""),"""")"),"")</f>
        <v/>
      </c>
      <c r="I4124" s="3"/>
    </row>
    <row r="4125" customHeight="1" spans="1:9">
      <c r="A4125" s="2"/>
      <c r="B4125" s="2" t="str">
        <f>IFERROR(__xludf.DUMMYFUNCTION("IF(A4125&lt;&gt;"""", GOOGLETRANSLATE(A4125, ""en"", ""te""),"""")"),"")</f>
        <v/>
      </c>
      <c r="C4125" s="2"/>
      <c r="D4125" s="2" t="str">
        <f>IFERROR(__xludf.DUMMYFUNCTION("IF(C4125&lt;&gt;"""", GOOGLETRANSLATE(C4125, ""en"", ""te""),"""")"),"")</f>
        <v/>
      </c>
      <c r="E4125" s="2"/>
      <c r="F4125" s="2" t="str">
        <f>IFERROR(__xludf.DUMMYFUNCTION("IF(E4125&lt;&gt;"""", GOOGLETRANSLATE(E4125, ""en"", ""te""),"""")"),"")</f>
        <v/>
      </c>
      <c r="G4125" s="2"/>
      <c r="H4125" s="2" t="str">
        <f>IFERROR(__xludf.DUMMYFUNCTION("IF(G4125&lt;&gt;"""", GOOGLETRANSLATE(G4125, ""en"", ""te""),"""")"),"")</f>
        <v/>
      </c>
      <c r="I4125" s="3"/>
    </row>
    <row r="4126" customHeight="1" spans="1:9">
      <c r="A4126" s="2"/>
      <c r="B4126" s="2" t="str">
        <f>IFERROR(__xludf.DUMMYFUNCTION("IF(A4126&lt;&gt;"""", GOOGLETRANSLATE(A4126, ""en"", ""te""),"""")"),"")</f>
        <v/>
      </c>
      <c r="C4126" s="2"/>
      <c r="D4126" s="2" t="str">
        <f>IFERROR(__xludf.DUMMYFUNCTION("IF(C4126&lt;&gt;"""", GOOGLETRANSLATE(C4126, ""en"", ""te""),"""")"),"")</f>
        <v/>
      </c>
      <c r="E4126" s="2"/>
      <c r="F4126" s="2" t="str">
        <f>IFERROR(__xludf.DUMMYFUNCTION("IF(E4126&lt;&gt;"""", GOOGLETRANSLATE(E4126, ""en"", ""te""),"""")"),"")</f>
        <v/>
      </c>
      <c r="G4126" s="2"/>
      <c r="H4126" s="2" t="str">
        <f>IFERROR(__xludf.DUMMYFUNCTION("IF(G4126&lt;&gt;"""", GOOGLETRANSLATE(G4126, ""en"", ""te""),"""")"),"")</f>
        <v/>
      </c>
      <c r="I4126" s="3"/>
    </row>
    <row r="4127" customHeight="1" spans="1:9">
      <c r="A4127" s="2" t="s">
        <v>2945</v>
      </c>
      <c r="B4127" s="2" t="str">
        <f>IFERROR(__xludf.DUMMYFUNCTION("IF(A4127&lt;&gt;"""", GOOGLETRANSLATE(A4127, ""en"", ""te""),"""")"),"[ '2 వ భాగం (13 *) ఒక ఇన్నింగ్స్ లో నడుస్తుంది (బ్యాటింగ్ స్థానం)']")</f>
        <v>[ '2 వ భాగం (13 *) ఒక ఇన్నింగ్స్ లో నడుస్తుంది (బ్యాటింగ్ స్థానం)']</v>
      </c>
      <c r="C4127" s="2"/>
      <c r="D4127" s="2" t="str">
        <f>IFERROR(__xludf.DUMMYFUNCTION("IF(C4127&lt;&gt;"""", GOOGLETRANSLATE(C4127, ""en"", ""te""),"""")"),"")</f>
        <v/>
      </c>
      <c r="E4127" s="2" t="s">
        <v>2946</v>
      </c>
      <c r="F4127" s="2" t="str">
        <f>IFERROR(__xludf.DUMMYFUNCTION("IF(E4127&lt;&gt;"""", GOOGLETRANSLATE(E4127, ""en"", ""te""),"""")"),"[18 వ చెత్త కెరీర్ (105.00) (అర్హత లేకుండా) సగటు బౌలింగ్ ',' 47 వ ఇన్నింగ్స్ లో సాధించిన అత్యధిక పరుగులు (70) ']")</f>
        <v>[18 వ చెత్త కెరీర్ (105.00) (అర్హత లేకుండా) సగటు బౌలింగ్ ',' 47 వ ఇన్నింగ్స్ లో సాధించిన అత్యధిక పరుగులు (70) ']</v>
      </c>
      <c r="G4127" s="2" t="s">
        <v>2945</v>
      </c>
      <c r="H4127" s="2" t="str">
        <f>IFERROR(__xludf.DUMMYFUNCTION("IF(G4127&lt;&gt;"""", GOOGLETRANSLATE(G4127, ""en"", ""te""),"""")"),"[ '2 వ భాగం (13 *) ఒక ఇన్నింగ్స్ లో నడుస్తుంది (బ్యాటింగ్ స్థానం)']")</f>
        <v>[ '2 వ భాగం (13 *) ఒక ఇన్నింగ్స్ లో నడుస్తుంది (బ్యాటింగ్ స్థానం)']</v>
      </c>
      <c r="I4127" s="3"/>
    </row>
    <row r="4128" customHeight="1" spans="1:9">
      <c r="A4128" s="2"/>
      <c r="B4128" s="2" t="str">
        <f>IFERROR(__xludf.DUMMYFUNCTION("IF(A4128&lt;&gt;"""", GOOGLETRANSLATE(A4128, ""en"", ""te""),"""")"),"")</f>
        <v/>
      </c>
      <c r="C4128" s="2"/>
      <c r="D4128" s="2" t="str">
        <f>IFERROR(__xludf.DUMMYFUNCTION("IF(C4128&lt;&gt;"""", GOOGLETRANSLATE(C4128, ""en"", ""te""),"""")"),"")</f>
        <v/>
      </c>
      <c r="E4128" s="2"/>
      <c r="F4128" s="2" t="str">
        <f>IFERROR(__xludf.DUMMYFUNCTION("IF(E4128&lt;&gt;"""", GOOGLETRANSLATE(E4128, ""en"", ""te""),"""")"),"")</f>
        <v/>
      </c>
      <c r="G4128" s="2"/>
      <c r="H4128" s="2" t="str">
        <f>IFERROR(__xludf.DUMMYFUNCTION("IF(G4128&lt;&gt;"""", GOOGLETRANSLATE(G4128, ""en"", ""te""),"""")"),"")</f>
        <v/>
      </c>
      <c r="I4128" s="3"/>
    </row>
    <row r="4129" customHeight="1" spans="1:9">
      <c r="A4129" s="2"/>
      <c r="B4129" s="2" t="str">
        <f>IFERROR(__xludf.DUMMYFUNCTION("IF(A4129&lt;&gt;"""", GOOGLETRANSLATE(A4129, ""en"", ""te""),"""")"),"")</f>
        <v/>
      </c>
      <c r="C4129" s="2"/>
      <c r="D4129" s="2" t="str">
        <f>IFERROR(__xludf.DUMMYFUNCTION("IF(C4129&lt;&gt;"""", GOOGLETRANSLATE(C4129, ""en"", ""te""),"""")"),"")</f>
        <v/>
      </c>
      <c r="E4129" s="2"/>
      <c r="F4129" s="2" t="str">
        <f>IFERROR(__xludf.DUMMYFUNCTION("IF(E4129&lt;&gt;"""", GOOGLETRANSLATE(E4129, ""en"", ""te""),"""")"),"")</f>
        <v/>
      </c>
      <c r="G4129" s="2"/>
      <c r="H4129" s="2" t="str">
        <f>IFERROR(__xludf.DUMMYFUNCTION("IF(G4129&lt;&gt;"""", GOOGLETRANSLATE(G4129, ""en"", ""te""),"""")"),"")</f>
        <v/>
      </c>
      <c r="I4129" s="3"/>
    </row>
    <row r="4130" customHeight="1" spans="1:9">
      <c r="A4130" s="2" t="s">
        <v>2947</v>
      </c>
      <c r="B4130" s="2" t="str">
        <f>IFERROR(__xludf.DUMMYFUNCTION("IF(A4130&lt;&gt;"""", GOOGLETRANSLATE(A4130, ""en"", ""te""),"""")"),"[ 'కెరీర్లో 8 వ అత్యధిక మ్యాచ్లు (134)', 'ఒక వృత్తిలో 3 వ అత్యధిక పరుగులు వంద (2438) లేకుండా' '3 వ కెరీర్ (14) అత్యంత బాతులు' '4 వ అత్యంత ఇన్నింగ్స్ (12) లో సాధించిన బైస్', 'ఆరవ వికెట్కు 2 వ అత్యధిక భాగస్వామ్యం (139 *)', 'ఇన్నింగ్స్ లో 9 వ అత్యధిక పరుగుల"&amp;"ు (బ్యాటింగ్ స్థానంలో ప్రకారం) (84)', '4 వ మొట్టమొదటి డక్ (36) ముందు చాలా ఇన్నింగ్స్]")</f>
        <v>[ 'కెరీర్లో 8 వ అత్యధిక మ్యాచ్లు (134)', 'ఒక వృత్తిలో 3 వ అత్యధిక పరుగులు వంద (2438) లేకుండా' '3 వ కెరీర్ (14) అత్యంత బాతులు' '4 వ అత్యంత ఇన్నింగ్స్ (12) లో సాధించిన బైస్', 'ఆరవ వికెట్కు 2 వ అత్యధిక భాగస్వామ్యం (139 *)', 'ఇన్నింగ్స్ లో 9 వ అత్యధిక పరుగులు (బ్యాటింగ్ స్థానంలో ప్రకారం) (84)', '4 వ మొట్టమొదటి డక్ (36) ముందు చాలా ఇన్నింగ్స్]</v>
      </c>
      <c r="C4130" s="2"/>
      <c r="D4130" s="2" t="str">
        <f>IFERROR(__xludf.DUMMYFUNCTION("IF(C4130&lt;&gt;"""", GOOGLETRANSLATE(C4130, ""en"", ""te""),"""")"),"")</f>
        <v/>
      </c>
      <c r="E4130" s="2" t="s">
        <v>2948</v>
      </c>
      <c r="F4130" s="2" t="str">
        <f>IFERROR(__xludf.DUMMYFUNCTION("IF(E4130&lt;&gt;"""", GOOGLETRANSLATE(E4130, ""en"", ""te""),"""")"),"[ '31 అత్యధిక కెరీర్ లో పరుగులు (2438)', '13 వ ఇన్నింగ్స్ లో అత్యధిక పరుగులు (బ్యాటింగ్ స్థానంలో ప్రకారం) (88 *)', 'ఒకే క్రీడా న 7 వ అత్యధిక పరుగులు (633)', '3 వ అత్యంత ఒక వృత్తిలో నడుస్తుంది వంద (2438) ',' 46 వ లేకుండా కెరీర్ అర్ధ (11) ',' కెరీర్ లో 3 వ "&amp;"అత్యంత బాతులు (14) ',' 26th కెరీర్లో అత్యధిక క్యాచ్లు (35) ',' నాలుగవ వికెట్కు 41 వ అత్యధిక భాగస్వామ్యం ( కెరీర్లో 100) ',' ఆరవ వికెట్ (139 *) కోసం 2 వ అత్యధిక భాగస్వామ్యం ',' 8 వ అత్యధిక మ్యాచ్లు (134) ',' 44th లాంగెస్ట్ కెరీర్లు (13y 243d) ',' 4 వ అత్యం"&amp;"త ఇన్నింగ్స్ లో సాధించిన బైస్ (12) ']")</f>
        <v>[ '31 అత్యధిక కెరీర్ లో పరుగులు (2438)', '13 వ ఇన్నింగ్స్ లో అత్యధిక పరుగులు (బ్యాటింగ్ స్థానంలో ప్రకారం) (88 *)', 'ఒకే క్రీడా న 7 వ అత్యధిక పరుగులు (633)', '3 వ అత్యంత ఒక వృత్తిలో నడుస్తుంది వంద (2438) ',' 46 వ లేకుండా కెరీర్ అర్ధ (11) ',' కెరీర్ లో 3 వ అత్యంత బాతులు (14) ',' 26th కెరీర్లో అత్యధిక క్యాచ్లు (35) ',' నాలుగవ వికెట్కు 41 వ అత్యధిక భాగస్వామ్యం ( కెరీర్లో 100) ',' ఆరవ వికెట్ (139 *) కోసం 2 వ అత్యధిక భాగస్వామ్యం ',' 8 వ అత్యధిక మ్యాచ్లు (134) ',' 44th లాంగెస్ట్ కెరీర్లు (13y 243d) ',' 4 వ అత్యంత ఇన్నింగ్స్ లో సాధించిన బైస్ (12) ']</v>
      </c>
      <c r="G4130" s="2" t="s">
        <v>2949</v>
      </c>
      <c r="H4130" s="2" t="str">
        <f>IFERROR(__xludf.DUMMYFUNCTION("IF(G4130&lt;&gt;"""", GOOGLETRANSLATE(G4130, ""en"", ""te""),"""")"),"[ఒకే నేలపై '28 అత్యధిక కెరీర్ లో పరుగులు (1164)', '49 వ ఇన్నింగ్స్ లో అత్యధిక పరుగులు (84)', 'ఇన్నింగ్స్ లో 9 వ అత్యధిక పరుగులు (బ్యాటింగ్ స్థానంలో ప్రకారం) (84)', '35 వ అత్యధిక పరుగులు ( మొదటి డక్ ముందు 192) ',' 4 వ అత్యంత ఇన్నింగ్స్ (36) ',' ఒక డక్ లేక"&amp;"ుండా 23 వరుస ఇన్నింగ్స్ (36) ',' కెరీర్లో 14 వ అతి తక్కువ బాతులు (36.5) ',' 19 వ అత్యధిక క్యాచ్లు కెరీర్లో (29) ' , 'మూడో వికెట్కు 21 అత్యధిక భాగస్వామ్యం (93)', 'ఏడవ వికెట్కు 40 వ అత్యధిక భాగస్వామ్యం (32)', '43 వ అత్యధిక మ్యాచ్లు కెరీర్లో (76)', 'ఒక జట్టు"&amp;"కు 20 వ వరుస మ్యాచ్లు (47)' ]")</f>
        <v>[ఒకే నేలపై '28 అత్యధిక కెరీర్ లో పరుగులు (1164)', '49 వ ఇన్నింగ్స్ లో అత్యధిక పరుగులు (84)', 'ఇన్నింగ్స్ లో 9 వ అత్యధిక పరుగులు (బ్యాటింగ్ స్థానంలో ప్రకారం) (84)', '35 వ అత్యధిక పరుగులు ( మొదటి డక్ ముందు 192) ',' 4 వ అత్యంత ఇన్నింగ్స్ (36) ',' ఒక డక్ లేకుండా 23 వరుస ఇన్నింగ్స్ (36) ',' కెరీర్లో 14 వ అతి తక్కువ బాతులు (36.5) ',' 19 వ అత్యధిక క్యాచ్లు కెరీర్లో (29) ' , 'మూడో వికెట్కు 21 అత్యధిక భాగస్వామ్యం (93)', 'ఏడవ వికెట్కు 40 వ అత్యధిక భాగస్వామ్యం (32)', '43 వ అత్యధిక మ్యాచ్లు కెరీర్లో (76)', 'ఒక జట్టుకు 20 వ వరుస మ్యాచ్లు (47)' ]</v>
      </c>
      <c r="I4130" s="3"/>
    </row>
    <row r="4131" customHeight="1" spans="1:9">
      <c r="A4131" s="2"/>
      <c r="B4131" s="2" t="str">
        <f>IFERROR(__xludf.DUMMYFUNCTION("IF(A4131&lt;&gt;"""", GOOGLETRANSLATE(A4131, ""en"", ""te""),"""")"),"")</f>
        <v/>
      </c>
      <c r="C4131" s="2"/>
      <c r="D4131" s="2" t="str">
        <f>IFERROR(__xludf.DUMMYFUNCTION("IF(C4131&lt;&gt;"""", GOOGLETRANSLATE(C4131, ""en"", ""te""),"""")"),"")</f>
        <v/>
      </c>
      <c r="E4131" s="2"/>
      <c r="F4131" s="2" t="str">
        <f>IFERROR(__xludf.DUMMYFUNCTION("IF(E4131&lt;&gt;"""", GOOGLETRANSLATE(E4131, ""en"", ""te""),"""")"),"")</f>
        <v/>
      </c>
      <c r="G4131" s="2"/>
      <c r="H4131" s="2" t="str">
        <f>IFERROR(__xludf.DUMMYFUNCTION("IF(G4131&lt;&gt;"""", GOOGLETRANSLATE(G4131, ""en"", ""te""),"""")"),"")</f>
        <v/>
      </c>
      <c r="I4131" s="3"/>
    </row>
    <row r="4132" customHeight="1" spans="1:9">
      <c r="A4132" s="2" t="s">
        <v>2950</v>
      </c>
      <c r="B4132" s="2" t="str">
        <f>IFERROR(__xludf.DUMMYFUNCTION("IF(A4132&lt;&gt;"""", GOOGLETRANSLATE(A4132, ""en"", ""te""),"""")"),"[ 'జట్టు 5 వ వరుస మ్యాచ్లు (101)', '8 వ మ్యాచ్ లో అత్యధిక వికెట్లు (9)', '4 వ ఇన్నింగ్స్ లో అత్యధిక పరుగులు (బ్యాటింగ్ స్థానంలో ప్రకారం) (302)', 'ఒక 2 వ అధిక రెండొందల పరుగులు సిరీస్ (2) ',' 1st కెరీర్లో ఎక్కువ సిక్స్ (107) ',' 9 వ లాంగెస్ట్ వ్యక్తిగత ఇన్న"&amp;"ింగ్స్ (నిమిషాలు) (775) ',' 2000 పరుగులు మరియు 100 వికెట్ కీపింగ్ తొలగింపులకు ఆరవ వికెట్కు ',' 3 వ అత్యధిక భాగస్వామ్యం (352 ) ',' 6 వ అత్యధిక కెరీర్ లో వరుస కెరీర్లో వికెట్లు (242) ',' 7 వ వరుస మ్యాచ్లు జట్టు (122) ',' 9 వ అత్యధిక వికెట్లు (19) ',' 5 వ అత"&amp;"్యధిక క్యాచ్లు (227) ', , '(1) వికెట్ను కాపాడుకున్నాడు మరియు బ్యాటింగ్ తెరిచారు ఎవరు 5 వ కెప్టెన్ల' 'వరుస 8 వ అత్యధిక క్యాచ్లు (18)', '10 వ అత్యధిక తొలి వంద (166)', '8 వ ఎక్కువ సిక్స్ కెరీర్లో (200)', ' 2000 పరుగులు మరియు 100 వికెట్ కీపింగ్ తొలగింపులకు ',"&amp;"' వరుస ఇన్నింగ్స్లో ఒక వికెట్ (123) ',' 1st యాభైల్లో (4) 'ద్వారా వికెట్ను కాపాడుకున్నాడు మరియు ఇన్నింగ్స్ బ్యాటింగ్ (2)', '1 వ అత్యధిక పరుగులు తెరిచిన చేసిన 1st కెప్టెన్ల, 'కెరీర్లో 8 వ ఎక్కువ సిక్స్ (91)' ఒక compl పరుగులు, '9 వ అత్యధిక శాతం eted ఇన్నింగ"&amp;"్స్ (64.39) ',' 2000 పరుగులు (66) ',' ఒక జట్టు ఆరవ వికెట్ (85 *) కోసం 7 వ అత్యధిక భాగస్వామ్యం ',' 3 వ వరుస మ్యాచ్లు (208) ',' 10 వ అత్యంత వికెట్లు 4 వ వేగవంతమైన కెరీర్ (453) ',' 10 వ కెరీర్ లో అత్యధిక క్యాచ్లు (419) ',' 4 వ కెరీర్ (398) లో వచ్చిన ఎక్కువ "&amp;"సిక్స్ ']")</f>
        <v>[ 'జట్టు 5 వ వరుస మ్యాచ్లు (101)', '8 వ మ్యాచ్ లో అత్యధిక వికెట్లు (9)', '4 వ ఇన్నింగ్స్ లో అత్యధిక పరుగులు (బ్యాటింగ్ స్థానంలో ప్రకారం) (302)', 'ఒక 2 వ అధిక రెండొందల పరుగులు సిరీస్ (2) ',' 1st కెరీర్లో ఎక్కువ సిక్స్ (107) ',' 9 వ లాంగెస్ట్ వ్యక్తిగత ఇన్నింగ్స్ (నిమిషాలు) (775) ',' 2000 పరుగులు మరియు 100 వికెట్ కీపింగ్ తొలగింపులకు ఆరవ వికెట్కు ',' 3 వ అత్యధిక భాగస్వామ్యం (352 ) ',' 6 వ అత్యధిక కెరీర్ లో వరుస కెరీర్లో వికెట్లు (242) ',' 7 వ వరుస మ్యాచ్లు జట్టు (122) ',' 9 వ అత్యధిక వికెట్లు (19) ',' 5 వ అత్యధిక క్యాచ్లు (227) ', , '(1) వికెట్ను కాపాడుకున్నాడు మరియు బ్యాటింగ్ తెరిచారు ఎవరు 5 వ కెప్టెన్ల' 'వరుస 8 వ అత్యధిక క్యాచ్లు (18)', '10 వ అత్యధిక తొలి వంద (166)', '8 వ ఎక్కువ సిక్స్ కెరీర్లో (200)', ' 2000 పరుగులు మరియు 100 వికెట్ కీపింగ్ తొలగింపులకు ',' వరుస ఇన్నింగ్స్లో ఒక వికెట్ (123) ',' 1st యాభైల్లో (4) 'ద్వారా వికెట్ను కాపాడుకున్నాడు మరియు ఇన్నింగ్స్ బ్యాటింగ్ (2)', '1 వ అత్యధిక పరుగులు తెరిచిన చేసిన 1st కెప్టెన్ల, 'కెరీర్లో 8 వ ఎక్కువ సిక్స్ (91)' ఒక compl పరుగులు, '9 వ అత్యధిక శాతం eted ఇన్నింగ్స్ (64.39) ',' 2000 పరుగులు (66) ',' ఒక జట్టు ఆరవ వికెట్ (85 *) కోసం 7 వ అత్యధిక భాగస్వామ్యం ',' 3 వ వరుస మ్యాచ్లు (208) ',' 10 వ అత్యంత వికెట్లు 4 వ వేగవంతమైన కెరీర్ (453) ',' 10 వ కెరీర్ లో అత్యధిక క్యాచ్లు (419) ',' 4 వ కెరీర్ (398) లో వచ్చిన ఎక్కువ సిక్స్ ']</v>
      </c>
      <c r="C4132" s="2" t="s">
        <v>2951</v>
      </c>
      <c r="D4132" s="2" t="str">
        <f>IFERROR(__xludf.DUMMYFUNCTION("IF(C4132&lt;&gt;"""", GOOGLETRANSLATE(C4132, ""en"", ""te""),"""")"),"[ '41 వ మ్యాచ్ లో అత్యధిక పరుగులు (310)', '4 వ ఇన్నింగ్స్ లో అత్యధిక పరుగులు (బ్యాటింగ్ స్థానంలో ప్రకారం) (302)', '39 వ ఒక సిరీస్లో అత్యధిక పరుగులతో' 30 వ ఇన్నింగ్స్ (302) అత్యధిక పరుగులు ' ఒక కెప్టెన్ (535) ',' 8 వ ఎక్కువ (302) ',' అత్యధిక వికెట్లు ఇన్ని"&amp;"ంగ్స్ లో 13 వ అత్యధిక పరుగులు (185) ',' ఇన్నింగ్స్ లో 33 వ అత్యధిక స్ట్రైక్ రేట్ (183.54) 'ఒక కెప్టెన్తో ఇన్నింగ్స్ లో నడుస్తుంది, '35 వ హండ్రెడ్ గత మ్యాచ్లో (145)', '17 వ అత్యధిక డబుల్ జీవితంలో వందల (4)' 'ఒక వృత్తిలో 5 వ అత్యధిక ట్రిపుల్ సెంచరీలు (1)', "&amp;"'వరుస 2 వ అత్యధిక డబుల్ సెంచరీలు (2)', 'కెరీర్ లో 1 వ ఎక్కువ సిక్స్ (107)' 'ఇన్నింగ్స్ లో 2 వ ఎక్కువ సిక్స్ (11)', '34 వ ఇన్నింగ్స్ లో ఫోర్లు, సిక్సర్లు నుండి అత్యధిక పరుగులు (152)', '9 వ లాంగెస్ట్ వ్యక్తిగత ఇన్నింగ్స్ (నిమిషాలు) (775 ) ',' 19 వ లాంగెస్ట్"&amp;" వ్యక్తిగత ఇన్నింగ్స్ (బంతులతో) (ఏ వికెట్కు 559) ',' 41 వ అత్యధిక భాగస్వామ్యాల (352) రెండవ వికెట్కు ',' 20 వ అత్యధిక భాగస్వామ్యం (297) ఆరవ వికెట్కు ',' 3 వ అత్యధిక భాగస్వామ్యం (352) ',' ఏడవ వికెట్కు 30 వ అత్యధిక భాగస్వామ్యం (179) ',' 5 వ అత్యధిక వరుస ఒక ట"&amp;"ీ మ్యాచ్లు m (101) ',' 45 వ అత్యధిక మ్యాచ్లు కెప్టెన్గా (31) ',' ఒక జట్టు కెప్టెన్గా 18 వ వరుస మ్యాచ్లు (31) ',' 47 వ వరుస అన్ని టాస్ గెలిచిన (3) ',' 27th కలిగిన కెప్టెన్ల ఉంచింది వికెట్ (1) ',' 23 వ కెరీర్ లో అత్యధిక వికెట్లు (179) ',' 8 వ మ్యాచ్ లో అత్య"&amp;"ధిక వికెట్లు (9) ', '21 వ కెరీర్లో అత్యధిక క్యాచ్లు (168)', '26 ఒక మ్యాచ్లో అత్యధిక క్యాచ్లు (8 ) ',' 43 వ అత్యంత స్టంపింగ్లు కెరీర్లో (11) ',' 23 వ బైలు ఇన్నింగ్స్ లో (25 సమ్మతించాడు) ']")</f>
        <v>[ '41 వ మ్యాచ్ లో అత్యధిక పరుగులు (310)', '4 వ ఇన్నింగ్స్ లో అత్యధిక పరుగులు (బ్యాటింగ్ స్థానంలో ప్రకారం) (302)', '39 వ ఒక సిరీస్లో అత్యధిక పరుగులతో' 30 వ ఇన్నింగ్స్ (302) అత్యధిక పరుగులు ' ఒక కెప్టెన్ (535) ',' 8 వ ఎక్కువ (302) ',' అత్యధిక వికెట్లు ఇన్నింగ్స్ లో 13 వ అత్యధిక పరుగులు (185) ',' ఇన్నింగ్స్ లో 33 వ అత్యధిక స్ట్రైక్ రేట్ (183.54) 'ఒక కెప్టెన్తో ఇన్నింగ్స్ లో నడుస్తుంది, '35 వ హండ్రెడ్ గత మ్యాచ్లో (145)', '17 వ అత్యధిక డబుల్ జీవితంలో వందల (4)' 'ఒక వృత్తిలో 5 వ అత్యధిక ట్రిపుల్ సెంచరీలు (1)', 'వరుస 2 వ అత్యధిక డబుల్ సెంచరీలు (2)', 'కెరీర్ లో 1 వ ఎక్కువ సిక్స్ (107)' 'ఇన్నింగ్స్ లో 2 వ ఎక్కువ సిక్స్ (11)', '34 వ ఇన్నింగ్స్ లో ఫోర్లు, సిక్సర్లు నుండి అత్యధిక పరుగులు (152)', '9 వ లాంగెస్ట్ వ్యక్తిగత ఇన్నింగ్స్ (నిమిషాలు) (775 ) ',' 19 వ లాంగెస్ట్ వ్యక్తిగత ఇన్నింగ్స్ (బంతులతో) (ఏ వికెట్కు 559) ',' 41 వ అత్యధిక భాగస్వామ్యాల (352) రెండవ వికెట్కు ',' 20 వ అత్యధిక భాగస్వామ్యం (297) ఆరవ వికెట్కు ',' 3 వ అత్యధిక భాగస్వామ్యం (352) ',' ఏడవ వికెట్కు 30 వ అత్యధిక భాగస్వామ్యం (179) ',' 5 వ అత్యధిక వరుస ఒక టీ మ్యాచ్లు m (101) ',' 45 వ అత్యధిక మ్యాచ్లు కెప్టెన్గా (31) ',' ఒక జట్టు కెప్టెన్గా 18 వ వరుస మ్యాచ్లు (31) ',' 47 వ వరుస అన్ని టాస్ గెలిచిన (3) ',' 27th కలిగిన కెప్టెన్ల ఉంచింది వికెట్ (1) ',' 23 వ కెరీర్ లో అత్యధిక వికెట్లు (179) ',' 8 వ మ్యాచ్ లో అత్యధిక వికెట్లు (9) ', '21 వ కెరీర్లో అత్యధిక క్యాచ్లు (168)', '26 ఒక మ్యాచ్లో అత్యధిక క్యాచ్లు (8 ) ',' 43 వ అత్యంత స్టంపింగ్లు కెరీర్లో (11) ',' 23 వ బైలు ఇన్నింగ్స్ లో (25 సమ్మతించాడు) ']</v>
      </c>
      <c r="E4132" s="2" t="s">
        <v>2952</v>
      </c>
      <c r="F4132" s="2" t="str">
        <f>IFERROR(__xludf.DUMMYFUNCTION("IF(E4132&lt;&gt;"""", GOOGLETRANSLATE(E4132, ""en"", ""te""),"""")"),"[ 'అత్యధిక వికెట్లు ఇన్నింగ్స్ లో 38 వ అత్యధిక పరుగులు (131)', '47 వ అత్యధిక కెరీర్ సమ్మె రేటు (96.37)', '11 వ అత్యధిక సమ్మె ఇన్నింగ్స్ లో రేటు (308.00)', '10 వ అత్యధిక తొలి వంద (166)', 'కెరీర్లో 8 వ ఎక్కువ సిక్స్ (200)' '13 వ అత్యధిక కెరీర్ లో బాతులు (20"&amp;")', 'ఇన్నింగ్స్ లో 22 వ ఎక్కువ సిక్స్ (10)', 'ఇన్నింగ్స్ లో ఫోర్లు, సిక్సర్లు నుండి 33 వ అత్యధిక పరుగులు (108)', 'జట్టు 7 వ వరుస మ్యాచ్లు (122)' 'తొమ్మిదవ వికెట్ (74 *) 28 అత్యధిక భాగస్వామ్యం', '38 వ కెరీర్ లో అత్యధిక మ్యాచ్లు (260)', '43 వ కెప్టెన్గా అత్"&amp;"యధిక మ్యాచ్లు (62)', ' 17 కెప్టెన్ల ఉంచింది చేసిన వికెట్ (13) ',' ఇన్నింగ్స్ (5) 'లో వికెట్ను కాపాడుకున్నాడు మరియు బ్యాటింగ్ (1)', '6 వ కెరీర్ లో అత్యధిక వికెట్లు (242)', '16 వ అత్యధిక వికెట్లు తెరిచిన చేసిన 5 వ కెప్టెన్ల, 'ఇన్నింగ్స్ (5) 11 వ అత్యధిక క్య"&amp;"ాచ్లు', 'కెరీర్ లో 5 వ అత్యధిక క్యాచ్లు (227)', '(19) వరుస 9 వ ఎక్కువ సార్లు అవుట్' 'వరుస 8 వ అత్యధిక క్యాచ్లు (18)', '25 వ అత్యంత కెరీర్ (15) స్టంపింగ్లు ']")</f>
        <v>[ 'అత్యధిక వికెట్లు ఇన్నింగ్స్ లో 38 వ అత్యధిక పరుగులు (131)', '47 వ అత్యధిక కెరీర్ సమ్మె రేటు (96.37)', '11 వ అత్యధిక సమ్మె ఇన్నింగ్స్ లో రేటు (308.00)', '10 వ అత్యధిక తొలి వంద (166)', 'కెరీర్లో 8 వ ఎక్కువ సిక్స్ (200)' '13 వ అత్యధిక కెరీర్ లో బాతులు (20)', 'ఇన్నింగ్స్ లో 22 వ ఎక్కువ సిక్స్ (10)', 'ఇన్నింగ్స్ లో ఫోర్లు, సిక్సర్లు నుండి 33 వ అత్యధిక పరుగులు (108)', 'జట్టు 7 వ వరుస మ్యాచ్లు (122)' 'తొమ్మిదవ వికెట్ (74 *) 28 అత్యధిక భాగస్వామ్యం', '38 వ కెరీర్ లో అత్యధిక మ్యాచ్లు (260)', '43 వ కెప్టెన్గా అత్యధిక మ్యాచ్లు (62)', ' 17 కెప్టెన్ల ఉంచింది చేసిన వికెట్ (13) ',' ఇన్నింగ్స్ (5) 'లో వికెట్ను కాపాడుకున్నాడు మరియు బ్యాటింగ్ (1)', '6 వ కెరీర్ లో అత్యధిక వికెట్లు (242)', '16 వ అత్యధిక వికెట్లు తెరిచిన చేసిన 5 వ కెప్టెన్ల, 'ఇన్నింగ్స్ (5) 11 వ అత్యధిక క్యాచ్లు', 'కెరీర్ లో 5 వ అత్యధిక క్యాచ్లు (227)', '(19) వరుస 9 వ ఎక్కువ సార్లు అవుట్' 'వరుస 8 వ అత్యధిక క్యాచ్లు (18)', '25 వ అత్యంత కెరీర్ (15) స్టంపింగ్లు ']</v>
      </c>
      <c r="G4132" s="2" t="s">
        <v>2953</v>
      </c>
      <c r="H4132" s="2" t="str">
        <f>IFERROR(__xludf.DUMMYFUNCTION("IF(G4132&lt;&gt;"""", GOOGLETRANSLATE(G4132, ""en"", ""te""),"""")"),"[ 'కెరీర్లో 9 వ అత్యధిక పరుగులు (2140)', '11 వ ఇన్నింగ్స్ లో అత్యధిక పరుగులు (123)', '4 వ ఇన్నింగ్స్ లో అత్యధిక పరుగులు (ప్రగతిశీల రికార్డు హోల్డర్) (123)', '26 ఒక క్యాలెండర్ సంవత్సరంలో అత్యధిక పరుగులు ( 459) ',' అత్యధిక వికెట్లు ఇన్నింగ్స్ లో 1 వ అత్యధిక"&amp;" పరుగులు (బ్యాటింగ్ స్థానంలో ప్రకారం) (123) ',' 1 వ ఇన్నింగ్స్ లో అత్యధిక పరుగులు (123) ',' 17 వ అత్యధిక కెరీర్ బ్యాటింగ్ సగటు (35.66) ',' 8 వ అత్యంత కెరీర్లో అర్ధ (15) ',' వరుస ఇన్నింగ్స్లో 1st యాభైల్లో మొదటి డక్ (33) ',' ఒక డక్ లేకుండా 38 వ వరుస ఇన్నిం"&amp;"గ్స్ (33) ',' 24 వ అతి తక్కువ కెరీర్ లో బాతులు ముందు (4) ',' 11 వ అత్యంత ఇన్నింగ్స్ (23.33) ',' కెరీర్లో 8 వ ఎక్కువ సిక్స్ (91) ',' 11 వ కెరీర్ ఫోర్లు (199) ',' 30 వ ఇన్నింగ్స్ లో వచ్చిన ఎక్కువ సిక్స్ (8) ',' 12 వ ఇన్నింగ్స్ లో వచ్చిన ఎక్కువ ఫోర్లు (12) '"&amp;" 'ఇన్నింగ్స్ లో ఫోర్లు, సిక్సర్లు నుండి 9 వ అత్యధిక పరుగులు (96)', 'ఒక ఇన్నింగ్స్లో పరుగుల 9 వ అత్యధిక శాతం (64.39)', '2000 పరుగులు వేగంగా 4 వ 12 వ 1000 పరుగులు (35) వేగంగా' ( 66) ',' మొదటి వికెట్కు 42 వ అత్యధిక భాగస్వామ్యం (120) ',' ఐదవ వికెట్కు 45 వ అత్"&amp;"యధిక భాగస్వామ్యం (68) ',' 7th ఆరవ వికెట్ (85 *) ',' ఏడవ వికెట్కు 35 వ అత్యధిక భాగస్వామ్యం (50 *) కోసం అత్యధిక భాగస్వామ్యం ',' బృందం (40) కెరీర్ లో 36 వ అత్యధిక మ్యాచ్లు (71) ',' 18 వ వరుస మ్యాచ్లు ', '12 వ అత్యంత ప్లేయర్ ఆఫ్ ది మ్యాచ్ అవార్డులు (7)', '18 "&amp;"వ అత్యధిక మ్యాచ్లు కెప్టెన్గా (28)', 'వికెట్ను కాపాడుకున్నాడు చేసిన 7th కెప్టెన్ల (13)', 'వికెట్ను కాపాడుకున్నాడు మరియు బ్యాటింగ్ తెరిచారు 1 వ కెప్టెన్ల (2) ',' 7 వ వరుస అన్ని టాస్ గెలిచిన (4) ',' 12 వ కెరీర్ లో అత్యధిక వికెట్లు (32) ',' 13 వ కెరీర్ లో అత"&amp;"్యధిక క్యాచ్లు (24) ',' 13 వ ఇన్నింగ్స్ లో అత్యధిక క్యాచ్లు (3) ',' కెరీర్ (8) 12 వ అత్యంత స్టంపింగ్లు ']")</f>
        <v>[ 'కెరీర్లో 9 వ అత్యధిక పరుగులు (2140)', '11 వ ఇన్నింగ్స్ లో అత్యధిక పరుగులు (123)', '4 వ ఇన్నింగ్స్ లో అత్యధిక పరుగులు (ప్రగతిశీల రికార్డు హోల్డర్) (123)', '26 ఒక క్యాలెండర్ సంవత్సరంలో అత్యధిక పరుగులు ( 459) ',' అత్యధిక వికెట్లు ఇన్నింగ్స్ లో 1 వ అత్యధిక పరుగులు (బ్యాటింగ్ స్థానంలో ప్రకారం) (123) ',' 1 వ ఇన్నింగ్స్ లో అత్యధిక పరుగులు (123) ',' 17 వ అత్యధిక కెరీర్ బ్యాటింగ్ సగటు (35.66) ',' 8 వ అత్యంత కెరీర్లో అర్ధ (15) ',' వరుస ఇన్నింగ్స్లో 1st యాభైల్లో మొదటి డక్ (33) ',' ఒక డక్ లేకుండా 38 వ వరుస ఇన్నింగ్స్ (33) ',' 24 వ అతి తక్కువ కెరీర్ లో బాతులు ముందు (4) ',' 11 వ అత్యంత ఇన్నింగ్స్ (23.33) ',' కెరీర్లో 8 వ ఎక్కువ సిక్స్ (91) ',' 11 వ కెరీర్ ఫోర్లు (199) ',' 30 వ ఇన్నింగ్స్ లో వచ్చిన ఎక్కువ సిక్స్ (8) ',' 12 వ ఇన్నింగ్స్ లో వచ్చిన ఎక్కువ ఫోర్లు (12) ' 'ఇన్నింగ్స్ లో ఫోర్లు, సిక్సర్లు నుండి 9 వ అత్యధిక పరుగులు (96)', 'ఒక ఇన్నింగ్స్లో పరుగుల 9 వ అత్యధిక శాతం (64.39)', '2000 పరుగులు వేగంగా 4 వ 12 వ 1000 పరుగులు (35) వేగంగా' ( 66) ',' మొదటి వికెట్కు 42 వ అత్యధిక భాగస్వామ్యం (120) ',' ఐదవ వికెట్కు 45 వ అత్యధిక భాగస్వామ్యం (68) ',' 7th ఆరవ వికెట్ (85 *) ',' ఏడవ వికెట్కు 35 వ అత్యధిక భాగస్వామ్యం (50 *) కోసం అత్యధిక భాగస్వామ్యం ',' బృందం (40) కెరీర్ లో 36 వ అత్యధిక మ్యాచ్లు (71) ',' 18 వ వరుస మ్యాచ్లు ', '12 వ అత్యంత ప్లేయర్ ఆఫ్ ది మ్యాచ్ అవార్డులు (7)', '18 వ అత్యధిక మ్యాచ్లు కెప్టెన్గా (28)', 'వికెట్ను కాపాడుకున్నాడు చేసిన 7th కెప్టెన్ల (13)', 'వికెట్ను కాపాడుకున్నాడు మరియు బ్యాటింగ్ తెరిచారు 1 వ కెప్టెన్ల (2) ',' 7 వ వరుస అన్ని టాస్ గెలిచిన (4) ',' 12 వ కెరీర్ లో అత్యధిక వికెట్లు (32) ',' 13 వ కెరీర్ లో అత్యధిక క్యాచ్లు (24) ',' 13 వ ఇన్నింగ్స్ లో అత్యధిక క్యాచ్లు (3) ',' కెరీర్ (8) 12 వ అత్యంత స్టంపింగ్లు ']</v>
      </c>
      <c r="I4132" s="3"/>
    </row>
    <row r="4133" customHeight="1" spans="1:9">
      <c r="A4133" s="2"/>
      <c r="B4133" s="2" t="str">
        <f>IFERROR(__xludf.DUMMYFUNCTION("IF(A4133&lt;&gt;"""", GOOGLETRANSLATE(A4133, ""en"", ""te""),"""")"),"")</f>
        <v/>
      </c>
      <c r="C4133" s="2"/>
      <c r="D4133" s="2" t="str">
        <f>IFERROR(__xludf.DUMMYFUNCTION("IF(C4133&lt;&gt;"""", GOOGLETRANSLATE(C4133, ""en"", ""te""),"""")"),"")</f>
        <v/>
      </c>
      <c r="E4133" s="2"/>
      <c r="F4133" s="2" t="str">
        <f>IFERROR(__xludf.DUMMYFUNCTION("IF(E4133&lt;&gt;"""", GOOGLETRANSLATE(E4133, ""en"", ""te""),"""")"),"")</f>
        <v/>
      </c>
      <c r="G4133" s="2"/>
      <c r="H4133" s="2" t="str">
        <f>IFERROR(__xludf.DUMMYFUNCTION("IF(G4133&lt;&gt;"""", GOOGLETRANSLATE(G4133, ""en"", ""te""),"""")"),"")</f>
        <v/>
      </c>
      <c r="I4133" s="3"/>
    </row>
    <row r="4134" customHeight="1" spans="1:9">
      <c r="A4134" s="2" t="s">
        <v>2954</v>
      </c>
      <c r="B4134" s="2" t="str">
        <f>IFERROR(__xludf.DUMMYFUNCTION("IF(A4134&lt;&gt;"""", GOOGLETRANSLATE(A4134, ""en"", ""te""),"""")"),"[ 'ప్రదర్శనల మధ్య 5 వ లాంగెస్ట్ వ్యవధిలో (8y 173d)']")</f>
        <v>[ 'ప్రదర్శనల మధ్య 5 వ లాంగెస్ట్ వ్యవధిలో (8y 173d)']</v>
      </c>
      <c r="C4134" s="2" t="s">
        <v>2955</v>
      </c>
      <c r="D4134" s="2" t="str">
        <f>IFERROR(__xludf.DUMMYFUNCTION("IF(C4134&lt;&gt;"""", GOOGLETRANSLATE(C4134, ""en"", ""te""),"""")"),"[ '34 వ అత్యధిక కెరీర్ బ్యాటింగ్ సగటు (33.77)']")</f>
        <v>[ '34 వ అత్యధిక కెరీర్ బ్యాటింగ్ సగటు (33.77)']</v>
      </c>
      <c r="E4134" s="2" t="s">
        <v>2954</v>
      </c>
      <c r="F4134" s="2" t="str">
        <f>IFERROR(__xludf.DUMMYFUNCTION("IF(E4134&lt;&gt;"""", GOOGLETRANSLATE(E4134, ""en"", ""te""),"""")"),"[ 'ప్రదర్శనల మధ్య 5 వ లాంగెస్ట్ వ్యవధిలో (8y 173d)']")</f>
        <v>[ 'ప్రదర్శనల మధ్య 5 వ లాంగెస్ట్ వ్యవధిలో (8y 173d)']</v>
      </c>
      <c r="G4134" s="2"/>
      <c r="H4134" s="2" t="str">
        <f>IFERROR(__xludf.DUMMYFUNCTION("IF(G4134&lt;&gt;"""", GOOGLETRANSLATE(G4134, ""en"", ""te""),"""")"),"")</f>
        <v/>
      </c>
      <c r="I4134" s="3"/>
    </row>
    <row r="4135" customHeight="1" spans="1:9">
      <c r="A4135" s="2"/>
      <c r="B4135" s="2" t="str">
        <f>IFERROR(__xludf.DUMMYFUNCTION("IF(A4135&lt;&gt;"""", GOOGLETRANSLATE(A4135, ""en"", ""te""),"""")"),"")</f>
        <v/>
      </c>
      <c r="C4135" s="2"/>
      <c r="D4135" s="2" t="str">
        <f>IFERROR(__xludf.DUMMYFUNCTION("IF(C4135&lt;&gt;"""", GOOGLETRANSLATE(C4135, ""en"", ""te""),"""")"),"")</f>
        <v/>
      </c>
      <c r="E4135" s="2"/>
      <c r="F4135" s="2" t="str">
        <f>IFERROR(__xludf.DUMMYFUNCTION("IF(E4135&lt;&gt;"""", GOOGLETRANSLATE(E4135, ""en"", ""te""),"""")"),"")</f>
        <v/>
      </c>
      <c r="G4135" s="2"/>
      <c r="H4135" s="2" t="str">
        <f>IFERROR(__xludf.DUMMYFUNCTION("IF(G4135&lt;&gt;"""", GOOGLETRANSLATE(G4135, ""en"", ""te""),"""")"),"")</f>
        <v/>
      </c>
      <c r="I4135" s="3"/>
    </row>
    <row r="4136" customHeight="1" spans="1:9">
      <c r="A4136" s="2"/>
      <c r="B4136" s="2" t="str">
        <f>IFERROR(__xludf.DUMMYFUNCTION("IF(A4136&lt;&gt;"""", GOOGLETRANSLATE(A4136, ""en"", ""te""),"""")"),"")</f>
        <v/>
      </c>
      <c r="C4136" s="2"/>
      <c r="D4136" s="2" t="str">
        <f>IFERROR(__xludf.DUMMYFUNCTION("IF(C4136&lt;&gt;"""", GOOGLETRANSLATE(C4136, ""en"", ""te""),"""")"),"")</f>
        <v/>
      </c>
      <c r="E4136" s="2"/>
      <c r="F4136" s="2" t="str">
        <f>IFERROR(__xludf.DUMMYFUNCTION("IF(E4136&lt;&gt;"""", GOOGLETRANSLATE(E4136, ""en"", ""te""),"""")"),"")</f>
        <v/>
      </c>
      <c r="G4136" s="2"/>
      <c r="H4136" s="2" t="str">
        <f>IFERROR(__xludf.DUMMYFUNCTION("IF(G4136&lt;&gt;"""", GOOGLETRANSLATE(G4136, ""en"", ""te""),"""")"),"")</f>
        <v/>
      </c>
      <c r="I4136" s="3"/>
    </row>
    <row r="4137" customHeight="1" spans="1:9">
      <c r="A4137" s="2"/>
      <c r="B4137" s="2" t="str">
        <f>IFERROR(__xludf.DUMMYFUNCTION("IF(A4137&lt;&gt;"""", GOOGLETRANSLATE(A4137, ""en"", ""te""),"""")"),"")</f>
        <v/>
      </c>
      <c r="C4137" s="2"/>
      <c r="D4137" s="2" t="str">
        <f>IFERROR(__xludf.DUMMYFUNCTION("IF(C4137&lt;&gt;"""", GOOGLETRANSLATE(C4137, ""en"", ""te""),"""")"),"")</f>
        <v/>
      </c>
      <c r="E4137" s="2"/>
      <c r="F4137" s="2" t="str">
        <f>IFERROR(__xludf.DUMMYFUNCTION("IF(E4137&lt;&gt;"""", GOOGLETRANSLATE(E4137, ""en"", ""te""),"""")"),"")</f>
        <v/>
      </c>
      <c r="G4137" s="2"/>
      <c r="H4137" s="2" t="str">
        <f>IFERROR(__xludf.DUMMYFUNCTION("IF(G4137&lt;&gt;"""", GOOGLETRANSLATE(G4137, ""en"", ""te""),"""")"),"")</f>
        <v/>
      </c>
      <c r="I4137" s="3"/>
    </row>
    <row r="4138" customHeight="1" spans="1:9">
      <c r="A4138" s="2" t="s">
        <v>2956</v>
      </c>
      <c r="B4138" s="2" t="str">
        <f>IFERROR(__xludf.DUMMYFUNCTION("IF(A4138&lt;&gt;"""", GOOGLETRANSLATE(A4138, ""en"", ""te""),"""")"),"[ 'హండ్రెడ్ మరియు ఒక మ్యాచ్లో ఒక డక్', '1 వ అత్యుత్తమ బౌలింగ్ ఇన్నింగ్స్ లో విశ్లేషించడం (1/0)', ​​'4 వ అత్యంత ఇన్నింగ్స్ తొలి డక్ ముందు (68)', 'ఆరవ వికెట్ (165) 6 వ అత్యధిక భాగస్వామ్యం' ]")</f>
        <v>[ 'హండ్రెడ్ మరియు ఒక మ్యాచ్లో ఒక డక్', '1 వ అత్యుత్తమ బౌలింగ్ ఇన్నింగ్స్ లో విశ్లేషించడం (1/0)', ​​'4 వ అత్యంత ఇన్నింగ్స్ తొలి డక్ ముందు (68)', 'ఆరవ వికెట్ (165) 6 వ అత్యధిక భాగస్వామ్యం' ]</v>
      </c>
      <c r="C4138" s="2" t="s">
        <v>2957</v>
      </c>
      <c r="D4138" s="2" t="str">
        <f>IFERROR(__xludf.DUMMYFUNCTION("IF(C4138&lt;&gt;"""", GOOGLETRANSLATE(C4138, ""en"", ""te""),"""")"),"[ '33 వ కెరీర్ లో వచ్చిన ఎక్కువ సిక్స్ (54)', '36 వ ఇన్నింగ్స్ (6) లో వచ్చిన ఎక్కువ సిక్స్' '1 వ అత్యుత్తమ బౌలింగ్ ఇన్నింగ్స్ లో విశ్లేషించడం (1/0)', ​​ఒక ఇన్నింగ్స్ లో '29 చెత్త ఆర్థిక రేటు (6.60) ']")</f>
        <v>[ '33 వ కెరీర్ లో వచ్చిన ఎక్కువ సిక్స్ (54)', '36 వ ఇన్నింగ్స్ (6) లో వచ్చిన ఎక్కువ సిక్స్' '1 వ అత్యుత్తమ బౌలింగ్ ఇన్నింగ్స్ లో విశ్లేషించడం (1/0)', ​​ఒక ఇన్నింగ్స్ లో '29 చెత్త ఆర్థిక రేటు (6.60) ']</v>
      </c>
      <c r="E4138" s="2" t="s">
        <v>2958</v>
      </c>
      <c r="F4138" s="2" t="str">
        <f>IFERROR(__xludf.DUMMYFUNCTION("IF(E4138&lt;&gt;"""", GOOGLETRANSLATE(E4138, ""en"", ""te""),"""")"),"[ '16 వ ఇన్నింగ్స్ లో అత్యధిక పరుగులు (బ్యాటింగ్ స్థానంలో ప్రకారం) (117)', '4 వ అత్యంత ఇన్నింగ్స్ తొలి డక్ ముందు (68)', 'ఒక డక్ లేకుండా 36 వ వరుస ఇన్నింగ్స్ (68)', '6 వ అత్యధిక సిక్స్త్ కొరకు చేసిన భాగస్వామ్యం వికెట్ (165) ',' 34 వ పిన్న కాప్టెన్ (24y 209"&amp;"d) ']")</f>
        <v>[ '16 వ ఇన్నింగ్స్ లో అత్యధిక పరుగులు (బ్యాటింగ్ స్థానంలో ప్రకారం) (117)', '4 వ అత్యంత ఇన్నింగ్స్ తొలి డక్ ముందు (68)', 'ఒక డక్ లేకుండా 36 వ వరుస ఇన్నింగ్స్ (68)', '6 వ అత్యధిక సిక్స్త్ కొరకు చేసిన భాగస్వామ్యం వికెట్ (165) ',' 34 వ పిన్న కాప్టెన్ (24y 209d) ']</v>
      </c>
      <c r="G4138" s="2" t="s">
        <v>2959</v>
      </c>
      <c r="H4138" s="2" t="str">
        <f>IFERROR(__xludf.DUMMYFUNCTION("IF(G4138&lt;&gt;"""", GOOGLETRANSLATE(G4138, ""en"", ""te""),"""")"),"[ '20 వ ఇన్నింగ్స్ లో అత్యధిక పరుగులు (బ్యాటింగ్ స్థానంలో ప్రకారం) (57)', 'ఆరవ వికెట్ (73) 19 వ అత్యధిక భాగస్వామ్యం']")</f>
        <v>[ '20 వ ఇన్నింగ్స్ లో అత్యధిక పరుగులు (బ్యాటింగ్ స్థానంలో ప్రకారం) (57)', 'ఆరవ వికెట్ (73) 19 వ అత్యధిక భాగస్వామ్యం']</v>
      </c>
      <c r="I4138" s="3"/>
    </row>
    <row r="4139" customHeight="1" spans="1:9">
      <c r="A4139" s="2" t="s">
        <v>2960</v>
      </c>
      <c r="B4139" s="2" t="str">
        <f>IFERROR(__xludf.DUMMYFUNCTION("IF(A4139&lt;&gt;"""", GOOGLETRANSLATE(A4139, ""en"", ""te""),"""")"),"[ '1st కెరీర్ జతల (7)', '1 వ అత్యుత్తమ బౌలింగ్ ఇన్నింగ్స్ లో విశ్లేషించడం (1/0)', ​​'4 వ అత్యధిక వరుస బాతులు (4)']")</f>
        <v>[ '1st కెరీర్ జతల (7)', '1 వ అత్యుత్తమ బౌలింగ్ ఇన్నింగ్స్ లో విశ్లేషించడం (1/0)', ​​'4 వ అత్యధిక వరుస బాతులు (4)']</v>
      </c>
      <c r="C4139" s="2" t="s">
        <v>2961</v>
      </c>
      <c r="D4139" s="2" t="str">
        <f>IFERROR(__xludf.DUMMYFUNCTION("IF(C4139&lt;&gt;"""", GOOGLETRANSLATE(C4139, ""en"", ""te""),"""")"),"[ 'కెరీర్లో 2 వ అత్యంత బాతులు (36)', '4 వ అత్యధిక వరుస బాతులు (4)', '1 వ అత్యంత జతల కెరీర్లో (7)', '1 వ అత్యుత్తమ బౌలింగ్ ఇన్నింగ్స్ లో విశ్లేషించడం (1/0)', ​​'21 వ ఒకే మైదానంలో అత్యధిక వికెట్లు (60) ',' ఇన్నింగ్స్ లో 37 వ ఉత్తమ సమ్మె రేటు (8.5) ',' 18 వ"&amp;" అత్యధిక వరుస ఐదు వికెట్ల లో-ఒక-ఇన్నింగ్స్ (3) ',' 44 వ అత్యంత వృద్ధ ఆటగాడు ఐదు- తీసుకోవాలని వికెట్ల లో-ఒక-ఇన్నింగ్స్ (37y 47d) ',' 37 వ అత్యధిక పరుగులు కెరీర్లో సాధించిన (7878) ',' 38 వ బౌలర్ / ఫీల్డర్ కలయికలు (42) ',' 40 వ అత్యధిక వికెట్లు ఆకర్షించింది "&amp;"తీసుకున్న (167) ',' 43 వ అత్యంత ఒక ఫీల్డర్ చేత క్యాచ్ తీసుకోబడిన వికెట్ల (110) ',' 39 వ అత్యధిక వికెట్లు సాధించిన వికెట్కీపర్గా (57) పట్టుకుంటే తీసిన]")</f>
        <v>[ 'కెరీర్లో 2 వ అత్యంత బాతులు (36)', '4 వ అత్యధిక వరుస బాతులు (4)', '1 వ అత్యంత జతల కెరీర్లో (7)', '1 వ అత్యుత్తమ బౌలింగ్ ఇన్నింగ్స్ లో విశ్లేషించడం (1/0)', ​​'21 వ ఒకే మైదానంలో అత్యధిక వికెట్లు (60) ',' ఇన్నింగ్స్ లో 37 వ ఉత్తమ సమ్మె రేటు (8.5) ',' 18 వ అత్యధిక వరుస ఐదు వికెట్ల లో-ఒక-ఇన్నింగ్స్ (3) ',' 44 వ అత్యంత వృద్ధ ఆటగాడు ఐదు- తీసుకోవాలని వికెట్ల లో-ఒక-ఇన్నింగ్స్ (37y 47d) ',' 37 వ అత్యధిక పరుగులు కెరీర్లో సాధించిన (7878) ',' 38 వ బౌలర్ / ఫీల్డర్ కలయికలు (42) ',' 40 వ అత్యధిక వికెట్లు ఆకర్షించింది తీసుకున్న (167) ',' 43 వ అత్యంత ఒక ఫీల్డర్ చేత క్యాచ్ తీసుకోబడిన వికెట్ల (110) ',' 39 వ అత్యధిక వికెట్లు సాధించిన వికెట్కీపర్గా (57) పట్టుకుంటే తీసిన]</v>
      </c>
      <c r="E4139" s="2"/>
      <c r="F4139" s="2" t="str">
        <f>IFERROR(__xludf.DUMMYFUNCTION("IF(E4139&lt;&gt;"""", GOOGLETRANSLATE(E4139, ""en"", ""te""),"""")"),"")</f>
        <v/>
      </c>
      <c r="G4139" s="2"/>
      <c r="H4139" s="2" t="str">
        <f>IFERROR(__xludf.DUMMYFUNCTION("IF(G4139&lt;&gt;"""", GOOGLETRANSLATE(G4139, ""en"", ""te""),"""")"),"")</f>
        <v/>
      </c>
      <c r="I4139" s="3"/>
    </row>
    <row r="4140" customHeight="1" spans="1:9">
      <c r="A4140" s="2" t="s">
        <v>2962</v>
      </c>
      <c r="B4140" s="2" t="str">
        <f>IFERROR(__xludf.DUMMYFUNCTION("IF(A4140&lt;&gt;"""", GOOGLETRANSLATE(A4140, ""en"", ""te""),"""")"),"[ 'ఇన్నింగ్స్ లో 7 వ అత్యధిక పరుగులు (బ్యాటింగ్ స్థానంలో ప్రకారం) (34 *)', '50 వికెట్లు 2nd వేగవంతమైన (23)']")</f>
        <v>[ 'ఇన్నింగ్స్ లో 7 వ అత్యధిక పరుగులు (బ్యాటింగ్ స్థానంలో ప్రకారం) (34 *)', '50 వికెట్లు 2nd వేగవంతమైన (23)']</v>
      </c>
      <c r="C4140" s="2"/>
      <c r="D4140" s="2" t="str">
        <f>IFERROR(__xludf.DUMMYFUNCTION("IF(C4140&lt;&gt;"""", GOOGLETRANSLATE(C4140, ""en"", ""te""),"""")"),"")</f>
        <v/>
      </c>
      <c r="E4140" s="2" t="s">
        <v>2963</v>
      </c>
      <c r="F4140" s="2" t="str">
        <f>IFERROR(__xludf.DUMMYFUNCTION("IF(E4140&lt;&gt;"""", GOOGLETRANSLATE(E4140, ""en"", ""te""),"""")"),"[ 'ఇన్నింగ్స్ లో 7 వ అత్యధిక పరుగులు (బ్యాటింగ్ స్థానంలో ప్రకారం) (34 *)', '14 వ ఒక ఇన్నింగ్స్ లోని బెస్ట్ ఫిగర్స్ ఉన్నప్పుడు పరాజయం వైపు (5)', '13 వ ఉత్తమ కెరీర్ సమ్మె రేటు (28.4)', '15 వ చెత్త వృత్తి ఆర్థిక రేటు (5.94) ',' 15 వ అరంగేట్రంలోనే ఇన్నింగ్స్"&amp;" లోని బెస్ట్ ఫిగర్స్ (4) ',' 13 వ వరుస నాలుగు వికెట్లు-ఇన్-ఒక-ఇన్నింగ్స్ (2) ',' 36 వ ఇన్నింగ్స్ లో సాధించిన అత్యధిక పరుగులు (93 ) ',' 50 వికెట్లు వేగంగా 2 వ (23) ']")</f>
        <v>[ 'ఇన్నింగ్స్ లో 7 వ అత్యధిక పరుగులు (బ్యాటింగ్ స్థానంలో ప్రకారం) (34 *)', '14 వ ఒక ఇన్నింగ్స్ లోని బెస్ట్ ఫిగర్స్ ఉన్నప్పుడు పరాజయం వైపు (5)', '13 వ ఉత్తమ కెరీర్ సమ్మె రేటు (28.4)', '15 వ చెత్త వృత్తి ఆర్థిక రేటు (5.94) ',' 15 వ అరంగేట్రంలోనే ఇన్నింగ్స్ లోని బెస్ట్ ఫిగర్స్ (4) ',' 13 వ వరుస నాలుగు వికెట్లు-ఇన్-ఒక-ఇన్నింగ్స్ (2) ',' 36 వ ఇన్నింగ్స్ లో సాధించిన అత్యధిక పరుగులు (93 ) ',' 50 వికెట్లు వేగంగా 2 వ (23) ']</v>
      </c>
      <c r="G4140" s="2" t="s">
        <v>2964</v>
      </c>
      <c r="H4140" s="2" t="str">
        <f>IFERROR(__xludf.DUMMYFUNCTION("IF(G4140&lt;&gt;"""", GOOGLETRANSLATE(G4140, ""en"", ""te""),"""")"),"[ '44 వ చెత్త కెరీర్లో ఆర్థిక రేటు (7.78)', '17 వ బౌలర్ / బ్యాట్స్ కలయికలు (3)', '45 వ బౌలర్ / ఫీల్డర్ కలయికలు (6)', '22 వ అత్యధిక వికెట్లు ఆకర్షించింది అత్యధిక వికెట్లు తీసిన (7)']")</f>
        <v>[ '44 వ చెత్త కెరీర్లో ఆర్థిక రేటు (7.78)', '17 వ బౌలర్ / బ్యాట్స్ కలయికలు (3)', '45 వ బౌలర్ / ఫీల్డర్ కలయికలు (6)', '22 వ అత్యధిక వికెట్లు ఆకర్షించింది అత్యధిక వికెట్లు తీసిన (7)']</v>
      </c>
      <c r="I4140" s="3"/>
    </row>
    <row r="4141" customHeight="1" spans="1:9">
      <c r="A4141" s="2"/>
      <c r="B4141" s="2" t="str">
        <f>IFERROR(__xludf.DUMMYFUNCTION("IF(A4141&lt;&gt;"""", GOOGLETRANSLATE(A4141, ""en"", ""te""),"""")"),"")</f>
        <v/>
      </c>
      <c r="C4141" s="2"/>
      <c r="D4141" s="2" t="str">
        <f>IFERROR(__xludf.DUMMYFUNCTION("IF(C4141&lt;&gt;"""", GOOGLETRANSLATE(C4141, ""en"", ""te""),"""")"),"")</f>
        <v/>
      </c>
      <c r="E4141" s="2"/>
      <c r="F4141" s="2" t="str">
        <f>IFERROR(__xludf.DUMMYFUNCTION("IF(E4141&lt;&gt;"""", GOOGLETRANSLATE(E4141, ""en"", ""te""),"""")"),"")</f>
        <v/>
      </c>
      <c r="G4141" s="2"/>
      <c r="H4141" s="2" t="str">
        <f>IFERROR(__xludf.DUMMYFUNCTION("IF(G4141&lt;&gt;"""", GOOGLETRANSLATE(G4141, ""en"", ""te""),"""")"),"")</f>
        <v/>
      </c>
      <c r="I4141" s="3"/>
    </row>
    <row r="4142" customHeight="1" spans="1:9">
      <c r="A4142" s="2"/>
      <c r="B4142" s="2" t="str">
        <f>IFERROR(__xludf.DUMMYFUNCTION("IF(A4142&lt;&gt;"""", GOOGLETRANSLATE(A4142, ""en"", ""te""),"""")"),"")</f>
        <v/>
      </c>
      <c r="C4142" s="2"/>
      <c r="D4142" s="2" t="str">
        <f>IFERROR(__xludf.DUMMYFUNCTION("IF(C4142&lt;&gt;"""", GOOGLETRANSLATE(C4142, ""en"", ""te""),"""")"),"")</f>
        <v/>
      </c>
      <c r="E4142" s="2"/>
      <c r="F4142" s="2" t="str">
        <f>IFERROR(__xludf.DUMMYFUNCTION("IF(E4142&lt;&gt;"""", GOOGLETRANSLATE(E4142, ""en"", ""te""),"""")"),"")</f>
        <v/>
      </c>
      <c r="G4142" s="2"/>
      <c r="H4142" s="2" t="str">
        <f>IFERROR(__xludf.DUMMYFUNCTION("IF(G4142&lt;&gt;"""", GOOGLETRANSLATE(G4142, ""en"", ""te""),"""")"),"")</f>
        <v/>
      </c>
      <c r="I4142" s="3"/>
    </row>
    <row r="4143" customHeight="1" spans="1:9">
      <c r="A4143" s="2"/>
      <c r="B4143" s="2" t="str">
        <f>IFERROR(__xludf.DUMMYFUNCTION("IF(A4143&lt;&gt;"""", GOOGLETRANSLATE(A4143, ""en"", ""te""),"""")"),"")</f>
        <v/>
      </c>
      <c r="C4143" s="2"/>
      <c r="D4143" s="2" t="str">
        <f>IFERROR(__xludf.DUMMYFUNCTION("IF(C4143&lt;&gt;"""", GOOGLETRANSLATE(C4143, ""en"", ""te""),"""")"),"")</f>
        <v/>
      </c>
      <c r="E4143" s="2"/>
      <c r="F4143" s="2" t="str">
        <f>IFERROR(__xludf.DUMMYFUNCTION("IF(E4143&lt;&gt;"""", GOOGLETRANSLATE(E4143, ""en"", ""te""),"""")"),"")</f>
        <v/>
      </c>
      <c r="G4143" s="2"/>
      <c r="H4143" s="2" t="str">
        <f>IFERROR(__xludf.DUMMYFUNCTION("IF(G4143&lt;&gt;"""", GOOGLETRANSLATE(G4143, ""en"", ""te""),"""")"),"")</f>
        <v/>
      </c>
      <c r="I4143" s="3"/>
    </row>
    <row r="4144" customHeight="1" spans="1:9">
      <c r="A4144" s="2"/>
      <c r="B4144" s="2" t="str">
        <f>IFERROR(__xludf.DUMMYFUNCTION("IF(A4144&lt;&gt;"""", GOOGLETRANSLATE(A4144, ""en"", ""te""),"""")"),"")</f>
        <v/>
      </c>
      <c r="C4144" s="2"/>
      <c r="D4144" s="2" t="str">
        <f>IFERROR(__xludf.DUMMYFUNCTION("IF(C4144&lt;&gt;"""", GOOGLETRANSLATE(C4144, ""en"", ""te""),"""")"),"")</f>
        <v/>
      </c>
      <c r="E4144" s="2"/>
      <c r="F4144" s="2" t="str">
        <f>IFERROR(__xludf.DUMMYFUNCTION("IF(E4144&lt;&gt;"""", GOOGLETRANSLATE(E4144, ""en"", ""te""),"""")"),"")</f>
        <v/>
      </c>
      <c r="G4144" s="2"/>
      <c r="H4144" s="2" t="str">
        <f>IFERROR(__xludf.DUMMYFUNCTION("IF(G4144&lt;&gt;"""", GOOGLETRANSLATE(G4144, ""en"", ""te""),"""")"),"")</f>
        <v/>
      </c>
      <c r="I4144" s="3"/>
    </row>
    <row r="4145" customHeight="1" spans="1:9">
      <c r="A4145" s="2"/>
      <c r="B4145" s="2" t="str">
        <f>IFERROR(__xludf.DUMMYFUNCTION("IF(A4145&lt;&gt;"""", GOOGLETRANSLATE(A4145, ""en"", ""te""),"""")"),"")</f>
        <v/>
      </c>
      <c r="C4145" s="2"/>
      <c r="D4145" s="2" t="str">
        <f>IFERROR(__xludf.DUMMYFUNCTION("IF(C4145&lt;&gt;"""", GOOGLETRANSLATE(C4145, ""en"", ""te""),"""")"),"")</f>
        <v/>
      </c>
      <c r="E4145" s="2"/>
      <c r="F4145" s="2" t="str">
        <f>IFERROR(__xludf.DUMMYFUNCTION("IF(E4145&lt;&gt;"""", GOOGLETRANSLATE(E4145, ""en"", ""te""),"""")"),"")</f>
        <v/>
      </c>
      <c r="G4145" s="2"/>
      <c r="H4145" s="2" t="str">
        <f>IFERROR(__xludf.DUMMYFUNCTION("IF(G4145&lt;&gt;"""", GOOGLETRANSLATE(G4145, ""en"", ""te""),"""")"),"")</f>
        <v/>
      </c>
      <c r="I4145" s="3"/>
    </row>
    <row r="4146" customHeight="1" spans="1:9">
      <c r="A4146" s="2"/>
      <c r="B4146" s="2" t="str">
        <f>IFERROR(__xludf.DUMMYFUNCTION("IF(A4146&lt;&gt;"""", GOOGLETRANSLATE(A4146, ""en"", ""te""),"""")"),"")</f>
        <v/>
      </c>
      <c r="C4146" s="2"/>
      <c r="D4146" s="2" t="str">
        <f>IFERROR(__xludf.DUMMYFUNCTION("IF(C4146&lt;&gt;"""", GOOGLETRANSLATE(C4146, ""en"", ""te""),"""")"),"")</f>
        <v/>
      </c>
      <c r="E4146" s="2"/>
      <c r="F4146" s="2" t="str">
        <f>IFERROR(__xludf.DUMMYFUNCTION("IF(E4146&lt;&gt;"""", GOOGLETRANSLATE(E4146, ""en"", ""te""),"""")"),"")</f>
        <v/>
      </c>
      <c r="G4146" s="2"/>
      <c r="H4146" s="2" t="str">
        <f>IFERROR(__xludf.DUMMYFUNCTION("IF(G4146&lt;&gt;"""", GOOGLETRANSLATE(G4146, ""en"", ""te""),"""")"),"")</f>
        <v/>
      </c>
      <c r="I4146" s="3"/>
    </row>
    <row r="4147" customHeight="1" spans="1:9">
      <c r="A4147" s="2" t="s">
        <v>2965</v>
      </c>
      <c r="B4147" s="2" t="str">
        <f>IFERROR(__xludf.DUMMYFUNCTION("IF(A4147&lt;&gt;"""", GOOGLETRANSLATE(A4147, ""en"", ""te""),"""")"),"[ 'ఒక ఇన్నింగ్స్ లో ఒక ప్రత్యామ్నాయంగా (3) 1 వ అత్యధిక క్యాచ్లు']")</f>
        <v>[ 'ఒక ఇన్నింగ్స్ లో ఒక ప్రత్యామ్నాయంగా (3) 1 వ అత్యధిక క్యాచ్లు']</v>
      </c>
      <c r="C4147" s="2" t="s">
        <v>2966</v>
      </c>
      <c r="D4147" s="2" t="str">
        <f>IFERROR(__xludf.DUMMYFUNCTION("IF(C4147&lt;&gt;"""", GOOGLETRANSLATE(C4147, ""en"", ""te""),"""")"),"[ 'గత మ్యాచ్లో 41 వ హండ్రెడ్ (102 *)']")</f>
        <v>[ 'గత మ్యాచ్లో 41 వ హండ్రెడ్ (102 *)']</v>
      </c>
      <c r="E4147" s="2" t="s">
        <v>2967</v>
      </c>
      <c r="F4147" s="2" t="str">
        <f>IFERROR(__xludf.DUMMYFUNCTION("IF(E4147&lt;&gt;"""", GOOGLETRANSLATE(E4147, ""en"", ""te""),"""")"),"[18 వ హండ్రెడ్ గత మ్యాచ్లో (100 *) ']")</f>
        <v>[18 వ హండ్రెడ్ గత మ్యాచ్లో (100 *) ']</v>
      </c>
      <c r="G4147" s="2" t="s">
        <v>2965</v>
      </c>
      <c r="H4147" s="2" t="str">
        <f>IFERROR(__xludf.DUMMYFUNCTION("IF(G4147&lt;&gt;"""", GOOGLETRANSLATE(G4147, ""en"", ""te""),"""")"),"[ 'ఒక ఇన్నింగ్స్ లో ఒక ప్రత్యామ్నాయంగా (3) 1 వ అత్యధిక క్యాచ్లు']")</f>
        <v>[ 'ఒక ఇన్నింగ్స్ లో ఒక ప్రత్యామ్నాయంగా (3) 1 వ అత్యధిక క్యాచ్లు']</v>
      </c>
      <c r="I4147" s="3"/>
    </row>
    <row r="4148" customHeight="1" spans="1:9">
      <c r="A4148" s="2"/>
      <c r="B4148" s="2" t="str">
        <f>IFERROR(__xludf.DUMMYFUNCTION("IF(A4148&lt;&gt;"""", GOOGLETRANSLATE(A4148, ""en"", ""te""),"""")"),"")</f>
        <v/>
      </c>
      <c r="C4148" s="2"/>
      <c r="D4148" s="2" t="str">
        <f>IFERROR(__xludf.DUMMYFUNCTION("IF(C4148&lt;&gt;"""", GOOGLETRANSLATE(C4148, ""en"", ""te""),"""")"),"")</f>
        <v/>
      </c>
      <c r="E4148" s="2"/>
      <c r="F4148" s="2" t="str">
        <f>IFERROR(__xludf.DUMMYFUNCTION("IF(E4148&lt;&gt;"""", GOOGLETRANSLATE(E4148, ""en"", ""te""),"""")"),"")</f>
        <v/>
      </c>
      <c r="G4148" s="2"/>
      <c r="H4148" s="2" t="str">
        <f>IFERROR(__xludf.DUMMYFUNCTION("IF(G4148&lt;&gt;"""", GOOGLETRANSLATE(G4148, ""en"", ""te""),"""")"),"")</f>
        <v/>
      </c>
      <c r="I4148" s="3"/>
    </row>
    <row r="4149" customHeight="1" spans="1:9">
      <c r="A4149" s="2" t="s">
        <v>942</v>
      </c>
      <c r="B4149" s="2" t="str">
        <f>IFERROR(__xludf.DUMMYFUNCTION("IF(A4149&lt;&gt;"""", GOOGLETRANSLATE(A4149, ""en"", ""te""),"""")"),"[ 'వరుస 2nd అత్యంత బాతులు (5)']")</f>
        <v>[ 'వరుస 2nd అత్యంత బాతులు (5)']</v>
      </c>
      <c r="C4149" s="2" t="s">
        <v>942</v>
      </c>
      <c r="D4149" s="2" t="str">
        <f>IFERROR(__xludf.DUMMYFUNCTION("IF(C4149&lt;&gt;"""", GOOGLETRANSLATE(C4149, ""en"", ""te""),"""")"),"[ 'వరుస 2nd అత్యంత బాతులు (5)']")</f>
        <v>[ 'వరుస 2nd అత్యంత బాతులు (5)']</v>
      </c>
      <c r="E4149" s="2"/>
      <c r="F4149" s="2" t="str">
        <f>IFERROR(__xludf.DUMMYFUNCTION("IF(E4149&lt;&gt;"""", GOOGLETRANSLATE(E4149, ""en"", ""te""),"""")"),"")</f>
        <v/>
      </c>
      <c r="G4149" s="2"/>
      <c r="H4149" s="2" t="str">
        <f>IFERROR(__xludf.DUMMYFUNCTION("IF(G4149&lt;&gt;"""", GOOGLETRANSLATE(G4149, ""en"", ""te""),"""")"),"")</f>
        <v/>
      </c>
      <c r="I4149" s="3"/>
    </row>
    <row r="4150" customHeight="1" spans="1:9">
      <c r="A4150" s="2"/>
      <c r="B4150" s="2" t="str">
        <f>IFERROR(__xludf.DUMMYFUNCTION("IF(A4150&lt;&gt;"""", GOOGLETRANSLATE(A4150, ""en"", ""te""),"""")"),"")</f>
        <v/>
      </c>
      <c r="C4150" s="2"/>
      <c r="D4150" s="2" t="str">
        <f>IFERROR(__xludf.DUMMYFUNCTION("IF(C4150&lt;&gt;"""", GOOGLETRANSLATE(C4150, ""en"", ""te""),"""")"),"")</f>
        <v/>
      </c>
      <c r="E4150" s="2"/>
      <c r="F4150" s="2" t="str">
        <f>IFERROR(__xludf.DUMMYFUNCTION("IF(E4150&lt;&gt;"""", GOOGLETRANSLATE(E4150, ""en"", ""te""),"""")"),"")</f>
        <v/>
      </c>
      <c r="G4150" s="2"/>
      <c r="H4150" s="2" t="str">
        <f>IFERROR(__xludf.DUMMYFUNCTION("IF(G4150&lt;&gt;"""", GOOGLETRANSLATE(G4150, ""en"", ""te""),"""")"),"")</f>
        <v/>
      </c>
      <c r="I4150" s="3"/>
    </row>
    <row r="4151" customHeight="1" spans="1:9">
      <c r="A4151" s="2" t="s">
        <v>323</v>
      </c>
      <c r="B4151" s="2" t="str">
        <f>IFERROR(__xludf.DUMMYFUNCTION("IF(A4151&lt;&gt;"""", GOOGLETRANSLATE(A4151, ""en"", ""te""),"""")"),"[ '4 వ అత్యధిక వరుస బాతులు (4)']")</f>
        <v>[ '4 వ అత్యధిక వరుస బాతులు (4)']</v>
      </c>
      <c r="C4151" s="2" t="s">
        <v>324</v>
      </c>
      <c r="D4151" s="2" t="str">
        <f>IFERROR(__xludf.DUMMYFUNCTION("IF(C4151&lt;&gt;"""", GOOGLETRANSLATE(C4151, ""en"", ""te""),"""")"),"[ '11 వ ఒక సిరీస్లో అత్యధిక బాతులు (4)', '4 వ అత్యధిక వరుస బాతులు (4)']")</f>
        <v>[ '11 వ ఒక సిరీస్లో అత్యధిక బాతులు (4)', '4 వ అత్యధిక వరుస బాతులు (4)']</v>
      </c>
      <c r="E4151" s="2"/>
      <c r="F4151" s="2" t="str">
        <f>IFERROR(__xludf.DUMMYFUNCTION("IF(E4151&lt;&gt;"""", GOOGLETRANSLATE(E4151, ""en"", ""te""),"""")"),"")</f>
        <v/>
      </c>
      <c r="G4151" s="2"/>
      <c r="H4151" s="2" t="str">
        <f>IFERROR(__xludf.DUMMYFUNCTION("IF(G4151&lt;&gt;"""", GOOGLETRANSLATE(G4151, ""en"", ""te""),"""")"),"")</f>
        <v/>
      </c>
      <c r="I4151" s="3"/>
    </row>
    <row r="4152" customHeight="1" spans="1:9">
      <c r="A4152" s="2"/>
      <c r="B4152" s="2" t="str">
        <f>IFERROR(__xludf.DUMMYFUNCTION("IF(A4152&lt;&gt;"""", GOOGLETRANSLATE(A4152, ""en"", ""te""),"""")"),"")</f>
        <v/>
      </c>
      <c r="C4152" s="2"/>
      <c r="D4152" s="2" t="str">
        <f>IFERROR(__xludf.DUMMYFUNCTION("IF(C4152&lt;&gt;"""", GOOGLETRANSLATE(C4152, ""en"", ""te""),"""")"),"")</f>
        <v/>
      </c>
      <c r="E4152" s="2"/>
      <c r="F4152" s="2" t="str">
        <f>IFERROR(__xludf.DUMMYFUNCTION("IF(E4152&lt;&gt;"""", GOOGLETRANSLATE(E4152, ""en"", ""te""),"""")"),"")</f>
        <v/>
      </c>
      <c r="G4152" s="2"/>
      <c r="H4152" s="2" t="str">
        <f>IFERROR(__xludf.DUMMYFUNCTION("IF(G4152&lt;&gt;"""", GOOGLETRANSLATE(G4152, ""en"", ""te""),"""")"),"")</f>
        <v/>
      </c>
      <c r="I4152" s="3"/>
    </row>
    <row r="4153" customHeight="1" spans="1:9">
      <c r="A4153" s="2" t="s">
        <v>2968</v>
      </c>
      <c r="B4153" s="2" t="str">
        <f>IFERROR(__xludf.DUMMYFUNCTION("IF(A4153&lt;&gt;"""", GOOGLETRANSLATE(A4153, ""en"", ""te""),"""")"),"[ 'ప్రదర్శనల మధ్య 2 వ లాంగెస్ట్ వ్యవధిలో (15y 97d)']")</f>
        <v>[ 'ప్రదర్శనల మధ్య 2 వ లాంగెస్ట్ వ్యవధిలో (15y 97d)']</v>
      </c>
      <c r="C4153" s="2" t="s">
        <v>2969</v>
      </c>
      <c r="D4153" s="2" t="str">
        <f>IFERROR(__xludf.DUMMYFUNCTION("IF(C4153&lt;&gt;"""", GOOGLETRANSLATE(C4153, ""en"", ""te""),"""")"),"[, 'వంద (465) లేకుండా ఒక కెరీర్లో 12 వ అత్యధిక పరుగులు' '30 వ అత్యధిక కెరీర్ బ్యాటింగ్ సగటు (35.76)', '11 వ అత్యంత ఇన్నింగ్స్ ముందు మొదటి డక్' 21 వ పరాజయం వైపు (87) ఒక మ్యాచ్లో అత్యధిక పరుగులు ' (12) ',' 8 వ ఓల్డెస్ట్ క్రీడాకారులు (41y 144d) ',' 11 వ లాం"&amp;"గెస్ట్ కెరీర్లు (15y 357d) ',' ప్రదర్శనలు మధ్య జట్టుకు దూరమయ్యాడు ప్రదర్శనలు (15y 97d) ',' 3 వ వరుస మ్యాచ్లు మధ్య 2 వ లాంగెస్ట్ వ్యవధిలో (9 ) ']")</f>
        <v>[, 'వంద (465) లేకుండా ఒక కెరీర్లో 12 వ అత్యధిక పరుగులు' '30 వ అత్యధిక కెరీర్ బ్యాటింగ్ సగటు (35.76)', '11 వ అత్యంత ఇన్నింగ్స్ ముందు మొదటి డక్' 21 వ పరాజయం వైపు (87) ఒక మ్యాచ్లో అత్యధిక పరుగులు ' (12) ',' 8 వ ఓల్డెస్ట్ క్రీడాకారులు (41y 144d) ',' 11 వ లాంగెస్ట్ కెరీర్లు (15y 357d) ',' ప్రదర్శనలు మధ్య జట్టుకు దూరమయ్యాడు ప్రదర్శనలు (15y 97d) ',' 3 వ వరుస మ్యాచ్లు మధ్య 2 వ లాంగెస్ట్ వ్యవధిలో (9 ) ']</v>
      </c>
      <c r="E4153" s="2" t="s">
        <v>2970</v>
      </c>
      <c r="F4153" s="2" t="str">
        <f>IFERROR(__xludf.DUMMYFUNCTION("IF(E4153&lt;&gt;"""", GOOGLETRANSLATE(E4153, ""en"", ""te""),"""")"),"[ 'తొలి 5 వ ఓల్డెస్ట్ క్రీడాకారులు (40y 241d)', '4 వ ఓల్డెస్ట్ క్రీడాకారులు (43y 86d)']")</f>
        <v>[ 'తొలి 5 వ ఓల్డెస్ట్ క్రీడాకారులు (40y 241d)', '4 వ ఓల్డెస్ట్ క్రీడాకారులు (43y 86d)']</v>
      </c>
      <c r="G4153" s="2"/>
      <c r="H4153" s="2" t="str">
        <f>IFERROR(__xludf.DUMMYFUNCTION("IF(G4153&lt;&gt;"""", GOOGLETRANSLATE(G4153, ""en"", ""te""),"""")"),"")</f>
        <v/>
      </c>
      <c r="I4153" s="3"/>
    </row>
    <row r="4154" customHeight="1" spans="1:9">
      <c r="A4154" s="2"/>
      <c r="B4154" s="2" t="str">
        <f>IFERROR(__xludf.DUMMYFUNCTION("IF(A4154&lt;&gt;"""", GOOGLETRANSLATE(A4154, ""en"", ""te""),"""")"),"")</f>
        <v/>
      </c>
      <c r="C4154" s="2"/>
      <c r="D4154" s="2" t="str">
        <f>IFERROR(__xludf.DUMMYFUNCTION("IF(C4154&lt;&gt;"""", GOOGLETRANSLATE(C4154, ""en"", ""te""),"""")"),"")</f>
        <v/>
      </c>
      <c r="E4154" s="2"/>
      <c r="F4154" s="2" t="str">
        <f>IFERROR(__xludf.DUMMYFUNCTION("IF(E4154&lt;&gt;"""", GOOGLETRANSLATE(E4154, ""en"", ""te""),"""")"),"")</f>
        <v/>
      </c>
      <c r="G4154" s="2"/>
      <c r="H4154" s="2" t="str">
        <f>IFERROR(__xludf.DUMMYFUNCTION("IF(G4154&lt;&gt;"""", GOOGLETRANSLATE(G4154, ""en"", ""te""),"""")"),"")</f>
        <v/>
      </c>
      <c r="I4154" s="3"/>
    </row>
    <row r="4155" customHeight="1" spans="1:9">
      <c r="A4155" s="2" t="s">
        <v>2971</v>
      </c>
      <c r="B4155" s="2" t="str">
        <f>IFERROR(__xludf.DUMMYFUNCTION("IF(A4155&lt;&gt;"""", GOOGLETRANSLATE(A4155, ""en"", ""te""),"""")"),"[ '4 వ అత్యధిక వరుస బాతులు (4)', 'బ్యాటింగ్ తెరవడం మరియు అదే మ్యాచ్ లో బౌలింగ్', '6 వ అత్యధిక వరుస బాతులు (3)']")</f>
        <v>[ '4 వ అత్యధిక వరుస బాతులు (4)', 'బ్యాటింగ్ తెరవడం మరియు అదే మ్యాచ్ లో బౌలింగ్', '6 వ అత్యధిక వరుస బాతులు (3)']</v>
      </c>
      <c r="C4155" s="2" t="s">
        <v>2972</v>
      </c>
      <c r="D4155" s="2" t="str">
        <f>IFERROR(__xludf.DUMMYFUNCTION("IF(C4155&lt;&gt;"""", GOOGLETRANSLATE(C4155, ""en"", ""te""),"""")"),"[ '13 వ కెరీర్ బాతులు (24)', '11 వ ఒక సిరీస్లో అత్యధిక బాతులు (4)', '4 వ అత్యధిక వరుస బాతులు (4)', '7 వ కెరీర్ (3) లో అత్యంత జతల']")</f>
        <v>[ '13 వ కెరీర్ బాతులు (24)', '11 వ ఒక సిరీస్లో అత్యధిక బాతులు (4)', '4 వ అత్యధిక వరుస బాతులు (4)', '7 వ కెరీర్ (3) లో అత్యంత జతల']</v>
      </c>
      <c r="E4155" s="2" t="s">
        <v>2973</v>
      </c>
      <c r="F4155" s="2" t="str">
        <f>IFERROR(__xludf.DUMMYFUNCTION("IF(E4155&lt;&gt;"""", GOOGLETRANSLATE(E4155, ""en"", ""te""),"""")"),"[ '6 వ అత్యధిక వరుస బాతులు (3)', 'మోస్ట్ ఐదు వికెట్ల లో-ఒక-ఇన్నింగ్స్ 43 వ ఒక వృత్తిలో (2)', '48 వ అత్యధిక వికెట్లు బౌల్డ్ తీసుకున్న (44)']")</f>
        <v>[ '6 వ అత్యధిక వరుస బాతులు (3)', 'మోస్ట్ ఐదు వికెట్ల లో-ఒక-ఇన్నింగ్స్ 43 వ ఒక వృత్తిలో (2)', '48 వ అత్యధిక వికెట్లు బౌల్డ్ తీసుకున్న (44)']</v>
      </c>
      <c r="G4155" s="2"/>
      <c r="H4155" s="2" t="str">
        <f>IFERROR(__xludf.DUMMYFUNCTION("IF(G4155&lt;&gt;"""", GOOGLETRANSLATE(G4155, ""en"", ""te""),"""")"),"")</f>
        <v/>
      </c>
      <c r="I4155" s="3"/>
    </row>
    <row r="4156" customHeight="1" spans="1:9">
      <c r="A4156" s="2" t="s">
        <v>2974</v>
      </c>
      <c r="B4156" s="2" t="str">
        <f>IFERROR(__xludf.DUMMYFUNCTION("IF(A4156&lt;&gt;"""", GOOGLETRANSLATE(A4156, ""en"", ""te""),"""")"),"[ 'గత మ్యాచ్లో 6 వ హండ్రెడ్ (161)', 'తొలి వికెట్కు (274) కోసం 8 వ అత్యధిక భాగస్వామ్యం']")</f>
        <v>[ 'గత మ్యాచ్లో 6 వ హండ్రెడ్ (161)', 'తొలి వికెట్కు (274) కోసం 8 వ అత్యధిక భాగస్వామ్యం']</v>
      </c>
      <c r="C4156" s="2"/>
      <c r="D4156" s="2" t="str">
        <f>IFERROR(__xludf.DUMMYFUNCTION("IF(C4156&lt;&gt;"""", GOOGLETRANSLATE(C4156, ""en"", ""te""),"""")"),"")</f>
        <v/>
      </c>
      <c r="E4156" s="2" t="s">
        <v>2975</v>
      </c>
      <c r="F4156" s="2" t="str">
        <f>IFERROR(__xludf.DUMMYFUNCTION("IF(E4156&lt;&gt;"""", GOOGLETRANSLATE(E4156, ""en"", ""te""),"""")"),"[ 'గత మ్యాచ్లో 6 వ హండ్రెడ్ (161)', '12 వ అత్యధిక తొలి వంద (161)', 'ఏ వికెట్కు 12 వ అత్యధిక భాగస్వామ్యాల (274)', 'తొలి వికెట్కు (274) కోసం 8 వ అత్యధిక భాగస్వామ్యం']")</f>
        <v>[ 'గత మ్యాచ్లో 6 వ హండ్రెడ్ (161)', '12 వ అత్యధిక తొలి వంద (161)', 'ఏ వికెట్కు 12 వ అత్యధిక భాగస్వామ్యాల (274)', 'తొలి వికెట్కు (274) కోసం 8 వ అత్యధిక భాగస్వామ్యం']</v>
      </c>
      <c r="G4156" s="2"/>
      <c r="H4156" s="2" t="str">
        <f>IFERROR(__xludf.DUMMYFUNCTION("IF(G4156&lt;&gt;"""", GOOGLETRANSLATE(G4156, ""en"", ""te""),"""")"),"")</f>
        <v/>
      </c>
      <c r="I4156" s="3"/>
    </row>
    <row r="4157" customHeight="1" spans="1:9">
      <c r="A4157" s="2"/>
      <c r="B4157" s="2" t="str">
        <f>IFERROR(__xludf.DUMMYFUNCTION("IF(A4157&lt;&gt;"""", GOOGLETRANSLATE(A4157, ""en"", ""te""),"""")"),"")</f>
        <v/>
      </c>
      <c r="C4157" s="2"/>
      <c r="D4157" s="2" t="str">
        <f>IFERROR(__xludf.DUMMYFUNCTION("IF(C4157&lt;&gt;"""", GOOGLETRANSLATE(C4157, ""en"", ""te""),"""")"),"")</f>
        <v/>
      </c>
      <c r="E4157" s="2" t="s">
        <v>2976</v>
      </c>
      <c r="F4157" s="2" t="str">
        <f>IFERROR(__xludf.DUMMYFUNCTION("IF(E4157&lt;&gt;"""", GOOGLETRANSLATE(E4157, ""en"", ""te""),"""")"),"[ '20 వ బౌలర్ / ఫీల్డర్ కలయికలు (13)', 'ఐదు వికెట్ల లో-ఒక-ఇన్నింగ్స్ పడుతుంది 19 పిన్న ఆటగాడు (21y 192d)', '48 వ అత్యధిక వికెట్లు బౌల్డ్ తీసుకోకూడదు (16)', '11 వ అత్యధిక వికెట్లు ఆకర్షించింది తీసుకున్న అత్యధిక వికెట్లు (15) ']")</f>
        <v>[ '20 వ బౌలర్ / ఫీల్డర్ కలయికలు (13)', 'ఐదు వికెట్ల లో-ఒక-ఇన్నింగ్స్ పడుతుంది 19 పిన్న ఆటగాడు (21y 192d)', '48 వ అత్యధిక వికెట్లు బౌల్డ్ తీసుకోకూడదు (16)', '11 వ అత్యధిక వికెట్లు ఆకర్షించింది తీసుకున్న అత్యధిక వికెట్లు (15) ']</v>
      </c>
      <c r="G4157" s="2"/>
      <c r="H4157" s="2" t="str">
        <f>IFERROR(__xludf.DUMMYFUNCTION("IF(G4157&lt;&gt;"""", GOOGLETRANSLATE(G4157, ""en"", ""te""),"""")"),"")</f>
        <v/>
      </c>
      <c r="I4157" s="3"/>
    </row>
    <row r="4158" customHeight="1" spans="1:9">
      <c r="A4158" s="2"/>
      <c r="B4158" s="2" t="str">
        <f>IFERROR(__xludf.DUMMYFUNCTION("IF(A4158&lt;&gt;"""", GOOGLETRANSLATE(A4158, ""en"", ""te""),"""")"),"")</f>
        <v/>
      </c>
      <c r="C4158" s="2"/>
      <c r="D4158" s="2" t="str">
        <f>IFERROR(__xludf.DUMMYFUNCTION("IF(C4158&lt;&gt;"""", GOOGLETRANSLATE(C4158, ""en"", ""te""),"""")"),"")</f>
        <v/>
      </c>
      <c r="E4158" s="2"/>
      <c r="F4158" s="2" t="str">
        <f>IFERROR(__xludf.DUMMYFUNCTION("IF(E4158&lt;&gt;"""", GOOGLETRANSLATE(E4158, ""en"", ""te""),"""")"),"")</f>
        <v/>
      </c>
      <c r="G4158" s="2"/>
      <c r="H4158" s="2" t="str">
        <f>IFERROR(__xludf.DUMMYFUNCTION("IF(G4158&lt;&gt;"""", GOOGLETRANSLATE(G4158, ""en"", ""te""),"""")"),"")</f>
        <v/>
      </c>
      <c r="I4158" s="3"/>
    </row>
    <row r="4159" customHeight="1" spans="1:9">
      <c r="A4159" s="2" t="s">
        <v>1343</v>
      </c>
      <c r="B4159" s="2" t="str">
        <f>IFERROR(__xludf.DUMMYFUNCTION("IF(A4159&lt;&gt;"""", GOOGLETRANSLATE(A4159, ""en"", ""te""),"""")"),"[ 'ప్రవేశం (117) పై వంద']")</f>
        <v>[ 'ప్రవేశం (117) పై వంద']</v>
      </c>
      <c r="C4159" s="2"/>
      <c r="D4159" s="2" t="str">
        <f>IFERROR(__xludf.DUMMYFUNCTION("IF(C4159&lt;&gt;"""", GOOGLETRANSLATE(C4159, ""en"", ""te""),"""")"),"")</f>
        <v/>
      </c>
      <c r="E4159" s="2"/>
      <c r="F4159" s="2" t="str">
        <f>IFERROR(__xludf.DUMMYFUNCTION("IF(E4159&lt;&gt;"""", GOOGLETRANSLATE(E4159, ""en"", ""te""),"""")"),"")</f>
        <v/>
      </c>
      <c r="G4159" s="2"/>
      <c r="H4159" s="2" t="str">
        <f>IFERROR(__xludf.DUMMYFUNCTION("IF(G4159&lt;&gt;"""", GOOGLETRANSLATE(G4159, ""en"", ""te""),"""")"),"")</f>
        <v/>
      </c>
      <c r="I4159" s="3"/>
    </row>
    <row r="4160" customHeight="1" spans="1:9">
      <c r="A4160" s="2" t="s">
        <v>2977</v>
      </c>
      <c r="B4160" s="2" t="str">
        <f>IFERROR(__xludf.DUMMYFUNCTION("IF(A4160&lt;&gt;"""", GOOGLETRANSLATE(A4160, ""en"", ""te""),"""")"),"[ '6 వ అత్యుత్తమ బౌలింగ్ ఇన్నింగ్స్ లో విశ్లేషించడం (2/2)', '1000 పరుగులు మరియు 100 వికెట్లు']")</f>
        <v>[ '6 వ అత్యుత్తమ బౌలింగ్ ఇన్నింగ్స్ లో విశ్లేషించడం (2/2)', '1000 పరుగులు మరియు 100 వికెట్లు']</v>
      </c>
      <c r="C4160" s="2"/>
      <c r="D4160" s="2" t="str">
        <f>IFERROR(__xludf.DUMMYFUNCTION("IF(C4160&lt;&gt;"""", GOOGLETRANSLATE(C4160, ""en"", ""te""),"""")"),"")</f>
        <v/>
      </c>
      <c r="E4160" s="2" t="s">
        <v>2978</v>
      </c>
      <c r="F4160" s="2" t="str">
        <f>IFERROR(__xludf.DUMMYFUNCTION("IF(E4160&lt;&gt;"""", GOOGLETRANSLATE(E4160, ""en"", ""te""),"""")"),"[ '28 కెరీర్లో అత్యధిక వికెట్లు (240)', '6 వ అత్యుత్తమ బౌలింగ్ ఇన్నింగ్స్ లో విశ్లేషించడం (2/2)', '14 వ ఒక ఇన్నింగ్స్ లోని బెస్ట్ ఫిగర్స్ ఉన్నప్పుడు పరాజయం వైపు (5)', '35 వ ఉత్తమ సమ్మెలో రేటు ఇన్నింగ్స్ (6.7) ',' 36 వ అత్యంత నాలుగు వికెట్లు-ఇన్-ఒక-ఇన్నిం"&amp;"గ్స్ కెరీర్లో (9) ',' 37 వ కెరీర్ లో బౌల్డ్ చాలా బంతుల్లో (8230) ',' 35 వ అత్యధిక పరుగులు కెరీర్లో సాధించిన (6485) ' '14 వ బౌలర్ / ఫీల్డర్ కలయికలు (37)', '14 వ అత్యధిక వికెట్లు తీసుకున్న ఆకర్షించింది (186)', '14 వ అత్యధిక వికెట్లు ఒక ఫీల్డర్ (139) పట్టుకు"&amp;"ంటే తీసిన' 22 వ అత్యధిక వికెట్లు సాధించిన వికెట్కీపర్గా (47) పట్టుకుంటే తీసుకున్న ' '100 వికెట్లు వేగంగా 45 వ (69)', '13 వ వేగంగా 200 వికెట్లు (135)', 'తొమ్మిదవ వికెట్కు 18 అత్యధిక భాగస్వామ్యం (83)', '40 వ అత్యధిక' 150 వికెట్లు (103) వేగంగా 23 ' పదవ వికెట"&amp;"్కు భాగస్వామ్యం (50) ',' కెప్టెన్సీ ప్రవేశం (34y 233d) పై 37 వ ఓల్డెస్ట్ కెప్టెన్లు ']")</f>
        <v>[ '28 కెరీర్లో అత్యధిక వికెట్లు (240)', '6 వ అత్యుత్తమ బౌలింగ్ ఇన్నింగ్స్ లో విశ్లేషించడం (2/2)', '14 వ ఒక ఇన్నింగ్స్ లోని బెస్ట్ ఫిగర్స్ ఉన్నప్పుడు పరాజయం వైపు (5)', '35 వ ఉత్తమ సమ్మెలో రేటు ఇన్నింగ్స్ (6.7) ',' 36 వ అత్యంత నాలుగు వికెట్లు-ఇన్-ఒక-ఇన్నింగ్స్ కెరీర్లో (9) ',' 37 వ కెరీర్ లో బౌల్డ్ చాలా బంతుల్లో (8230) ',' 35 వ అత్యధిక పరుగులు కెరీర్లో సాధించిన (6485) ' '14 వ బౌలర్ / ఫీల్డర్ కలయికలు (37)', '14 వ అత్యధిక వికెట్లు తీసుకున్న ఆకర్షించింది (186)', '14 వ అత్యధిక వికెట్లు ఒక ఫీల్డర్ (139) పట్టుకుంటే తీసిన' 22 వ అత్యధిక వికెట్లు సాధించిన వికెట్కీపర్గా (47) పట్టుకుంటే తీసుకున్న ' '100 వికెట్లు వేగంగా 45 వ (69)', '13 వ వేగంగా 200 వికెట్లు (135)', 'తొమ్మిదవ వికెట్కు 18 అత్యధిక భాగస్వామ్యం (83)', '40 వ అత్యధిక' 150 వికెట్లు (103) వేగంగా 23 ' పదవ వికెట్కు భాగస్వామ్యం (50) ',' కెప్టెన్సీ ప్రవేశం (34y 233d) పై 37 వ ఓల్డెస్ట్ కెప్టెన్లు ']</v>
      </c>
      <c r="G4160" s="2" t="s">
        <v>2979</v>
      </c>
      <c r="H4160" s="2" t="str">
        <f>IFERROR(__xludf.DUMMYFUNCTION("IF(G4160&lt;&gt;"""", GOOGLETRANSLATE(G4160, ""en"", ""te""),"""")"),"[ '25 వ ఇన్నింగ్స్ లో అత్యధిక పరుగులు (బ్యాటింగ్ స్థానంలో ప్రకారం) (33 *)', '43 వ అత్యధిక వికెట్లు ఒకే నేలపై (11)', '26 చెత్త కెరీర్లో ఆర్థిక రేటు (8.21)', '41 వ అత్యంత బంతుల్లో కెరీర్లో బౌల్డ్ (897) ',' 25 వ కెరీర్ లో సాధించిన అత్యధిక పరుగులు (1228) ','"&amp;" 26th అత్యధిక వికెట్లు తీసుకున్న క్యాచ్ (36) ',' 27 వ అత్యధిక వికెట్లు తీసుకున్న ఫీల్డర్ చేత క్యాచ్ (30) ',' 33 వ అత్యధిక వికెట్లు ఒక పట్టుకుంటే తీసుకున్న వికెట్కీపర్గా (6) ',' కెప్టెన్సీ ప్రవేశం (34y 236d) పై 49 వ ఓల్డెస్ట్ కెప్టెన్లు ']")</f>
        <v>[ '25 వ ఇన్నింగ్స్ లో అత్యధిక పరుగులు (బ్యాటింగ్ స్థానంలో ప్రకారం) (33 *)', '43 వ అత్యధిక వికెట్లు ఒకే నేలపై (11)', '26 చెత్త కెరీర్లో ఆర్థిక రేటు (8.21)', '41 వ అత్యంత బంతుల్లో కెరీర్లో బౌల్డ్ (897) ',' 25 వ కెరీర్ లో సాధించిన అత్యధిక పరుగులు (1228) ',' 26th అత్యధిక వికెట్లు తీసుకున్న క్యాచ్ (36) ',' 27 వ అత్యధిక వికెట్లు తీసుకున్న ఫీల్డర్ చేత క్యాచ్ (30) ',' 33 వ అత్యధిక వికెట్లు ఒక పట్టుకుంటే తీసుకున్న వికెట్కీపర్గా (6) ',' కెప్టెన్సీ ప్రవేశం (34y 236d) పై 49 వ ఓల్డెస్ట్ కెప్టెన్లు ']</v>
      </c>
      <c r="I4160" s="3"/>
    </row>
    <row r="4161" customHeight="1" spans="1:9">
      <c r="A4161" s="2"/>
      <c r="B4161" s="2" t="str">
        <f>IFERROR(__xludf.DUMMYFUNCTION("IF(A4161&lt;&gt;"""", GOOGLETRANSLATE(A4161, ""en"", ""te""),"""")"),"")</f>
        <v/>
      </c>
      <c r="C4161" s="2"/>
      <c r="D4161" s="2" t="str">
        <f>IFERROR(__xludf.DUMMYFUNCTION("IF(C4161&lt;&gt;"""", GOOGLETRANSLATE(C4161, ""en"", ""te""),"""")"),"")</f>
        <v/>
      </c>
      <c r="E4161" s="2"/>
      <c r="F4161" s="2" t="str">
        <f>IFERROR(__xludf.DUMMYFUNCTION("IF(E4161&lt;&gt;"""", GOOGLETRANSLATE(E4161, ""en"", ""te""),"""")"),"")</f>
        <v/>
      </c>
      <c r="G4161" s="2"/>
      <c r="H4161" s="2" t="str">
        <f>IFERROR(__xludf.DUMMYFUNCTION("IF(G4161&lt;&gt;"""", GOOGLETRANSLATE(G4161, ""en"", ""te""),"""")"),"")</f>
        <v/>
      </c>
      <c r="I4161" s="3"/>
    </row>
    <row r="4162" customHeight="1" spans="1:9">
      <c r="A4162" s="2"/>
      <c r="B4162" s="2" t="str">
        <f>IFERROR(__xludf.DUMMYFUNCTION("IF(A4162&lt;&gt;"""", GOOGLETRANSLATE(A4162, ""en"", ""te""),"""")"),"")</f>
        <v/>
      </c>
      <c r="C4162" s="2" t="s">
        <v>2980</v>
      </c>
      <c r="D4162" s="2" t="str">
        <f>IFERROR(__xludf.DUMMYFUNCTION("IF(C4162&lt;&gt;"""", GOOGLETRANSLATE(C4162, ""en"", ""te""),"""")"),"[ '32 వ షార్టేస్ట్ క్రీడాకారులు (31y 338d) నివసించారు']")</f>
        <v>[ '32 వ షార్టేస్ట్ క్రీడాకారులు (31y 338d) నివసించారు']</v>
      </c>
      <c r="E4162" s="2"/>
      <c r="F4162" s="2" t="str">
        <f>IFERROR(__xludf.DUMMYFUNCTION("IF(E4162&lt;&gt;"""", GOOGLETRANSLATE(E4162, ""en"", ""te""),"""")"),"")</f>
        <v/>
      </c>
      <c r="G4162" s="2"/>
      <c r="H4162" s="2" t="str">
        <f>IFERROR(__xludf.DUMMYFUNCTION("IF(G4162&lt;&gt;"""", GOOGLETRANSLATE(G4162, ""en"", ""te""),"""")"),"")</f>
        <v/>
      </c>
      <c r="I4162" s="3"/>
    </row>
    <row r="4163" customHeight="1" spans="1:9">
      <c r="A4163" s="2"/>
      <c r="B4163" s="2" t="str">
        <f>IFERROR(__xludf.DUMMYFUNCTION("IF(A4163&lt;&gt;"""", GOOGLETRANSLATE(A4163, ""en"", ""te""),"""")"),"")</f>
        <v/>
      </c>
      <c r="C4163" s="2"/>
      <c r="D4163" s="2" t="str">
        <f>IFERROR(__xludf.DUMMYFUNCTION("IF(C4163&lt;&gt;"""", GOOGLETRANSLATE(C4163, ""en"", ""te""),"""")"),"")</f>
        <v/>
      </c>
      <c r="E4163" s="2"/>
      <c r="F4163" s="2" t="str">
        <f>IFERROR(__xludf.DUMMYFUNCTION("IF(E4163&lt;&gt;"""", GOOGLETRANSLATE(E4163, ""en"", ""te""),"""")"),"")</f>
        <v/>
      </c>
      <c r="G4163" s="2"/>
      <c r="H4163" s="2" t="str">
        <f>IFERROR(__xludf.DUMMYFUNCTION("IF(G4163&lt;&gt;"""", GOOGLETRANSLATE(G4163, ""en"", ""te""),"""")"),"")</f>
        <v/>
      </c>
      <c r="I4163" s="3"/>
    </row>
    <row r="4164" customHeight="1" spans="1:9">
      <c r="A4164" s="2" t="s">
        <v>2981</v>
      </c>
      <c r="B4164" s="2" t="str">
        <f>IFERROR(__xludf.DUMMYFUNCTION("IF(A4164&lt;&gt;"""", GOOGLETRANSLATE(A4164, ""en"", ""te""),"""")"),"[ '(3) ఇన్నింగ్స్ లో 4 వ అత్యధిక క్యాచ్లు', '5 వ వరుస మ్యాచ్లు ఆడి (67) మధ్య ఒక జట్టుకు దూరమయ్యాడు' '9 వ చెత్త కెరీర్లో ఆర్థిక రేటు (6.57)']")</f>
        <v>[ '(3) ఇన్నింగ్స్ లో 4 వ అత్యధిక క్యాచ్లు', '5 వ వరుస మ్యాచ్లు ఆడి (67) మధ్య ఒక జట్టుకు దూరమయ్యాడు' '9 వ చెత్త కెరీర్లో ఆర్థిక రేటు (6.57)']</v>
      </c>
      <c r="C4164" s="2"/>
      <c r="D4164" s="2" t="str">
        <f>IFERROR(__xludf.DUMMYFUNCTION("IF(C4164&lt;&gt;"""", GOOGLETRANSLATE(C4164, ""en"", ""te""),"""")"),"")</f>
        <v/>
      </c>
      <c r="E4164" s="2" t="s">
        <v>2982</v>
      </c>
      <c r="F4164" s="2" t="str">
        <f>IFERROR(__xludf.DUMMYFUNCTION("IF(E4164&lt;&gt;"""", GOOGLETRANSLATE(E4164, ""en"", ""te""),"""")"),"[ '25 వ కెరీర్ లో బాతులు (16)', '4 వ అత్యంత ఇన్నింగ్స్ లో క్యాచ్లు (3)', 'ప్రదర్శనల మధ్య 16 వ లాంగెస్ట్ వ్యవధిలో (6y 363d)', '5 వ వరుస మ్యాచ్లు ఆడి మధ్య జట్టుకు దూరమయ్యాడు (67) ']")</f>
        <v>[ '25 వ కెరీర్ లో బాతులు (16)', '4 వ అత్యంత ఇన్నింగ్స్ లో క్యాచ్లు (3)', 'ప్రదర్శనల మధ్య 16 వ లాంగెస్ట్ వ్యవధిలో (6y 363d)', '5 వ వరుస మ్యాచ్లు ఆడి మధ్య జట్టుకు దూరమయ్యాడు (67) ']</v>
      </c>
      <c r="G4164" s="2" t="s">
        <v>2983</v>
      </c>
      <c r="H4164" s="2" t="str">
        <f>IFERROR(__xludf.DUMMYFUNCTION("IF(G4164&lt;&gt;"""", GOOGLETRANSLATE(G4164, ""en"", ""te""),"""")"),"[ '34 వ కెరీర్ బాతులు (5)', 'ఇన్నింగ్స్ లో 12 వ అత్యుత్తమ బౌలింగ్ విశ్లేషణలు (1/1)', '46 వ ఉత్తమ కెరీర్ సమ్మె రేటు (21.0)', '9 వ చెత్త కెరీర్లో ఆర్థిక రేటు (6.57)', ' ఐదవ వికెట్కు 39 వ అత్యధిక భాగస్వామ్యం (54 *) ']")</f>
        <v>[ '34 వ కెరీర్ బాతులు (5)', 'ఇన్నింగ్స్ లో 12 వ అత్యుత్తమ బౌలింగ్ విశ్లేషణలు (1/1)', '46 వ ఉత్తమ కెరీర్ సమ్మె రేటు (21.0)', '9 వ చెత్త కెరీర్లో ఆర్థిక రేటు (6.57)', ' ఐదవ వికెట్కు 39 వ అత్యధిక భాగస్వామ్యం (54 *) ']</v>
      </c>
      <c r="I4164" s="3"/>
    </row>
    <row r="4165" customHeight="1" spans="1:9">
      <c r="A4165" s="2"/>
      <c r="B4165" s="2" t="str">
        <f>IFERROR(__xludf.DUMMYFUNCTION("IF(A4165&lt;&gt;"""", GOOGLETRANSLATE(A4165, ""en"", ""te""),"""")"),"")</f>
        <v/>
      </c>
      <c r="C4165" s="2"/>
      <c r="D4165" s="2" t="str">
        <f>IFERROR(__xludf.DUMMYFUNCTION("IF(C4165&lt;&gt;"""", GOOGLETRANSLATE(C4165, ""en"", ""te""),"""")"),"")</f>
        <v/>
      </c>
      <c r="E4165" s="2"/>
      <c r="F4165" s="2" t="str">
        <f>IFERROR(__xludf.DUMMYFUNCTION("IF(E4165&lt;&gt;"""", GOOGLETRANSLATE(E4165, ""en"", ""te""),"""")"),"")</f>
        <v/>
      </c>
      <c r="G4165" s="2"/>
      <c r="H4165" s="2" t="str">
        <f>IFERROR(__xludf.DUMMYFUNCTION("IF(G4165&lt;&gt;"""", GOOGLETRANSLATE(G4165, ""en"", ""te""),"""")"),"")</f>
        <v/>
      </c>
      <c r="I4165" s="3"/>
    </row>
    <row r="4166" customHeight="1" spans="1:9">
      <c r="A4166" s="2"/>
      <c r="B4166" s="2" t="str">
        <f>IFERROR(__xludf.DUMMYFUNCTION("IF(A4166&lt;&gt;"""", GOOGLETRANSLATE(A4166, ""en"", ""te""),"""")"),"")</f>
        <v/>
      </c>
      <c r="C4166" s="2"/>
      <c r="D4166" s="2" t="str">
        <f>IFERROR(__xludf.DUMMYFUNCTION("IF(C4166&lt;&gt;"""", GOOGLETRANSLATE(C4166, ""en"", ""te""),"""")"),"")</f>
        <v/>
      </c>
      <c r="E4166" s="2"/>
      <c r="F4166" s="2" t="str">
        <f>IFERROR(__xludf.DUMMYFUNCTION("IF(E4166&lt;&gt;"""", GOOGLETRANSLATE(E4166, ""en"", ""te""),"""")"),"")</f>
        <v/>
      </c>
      <c r="G4166" s="2" t="s">
        <v>2984</v>
      </c>
      <c r="H4166" s="2" t="str">
        <f>IFERROR(__xludf.DUMMYFUNCTION("IF(G4166&lt;&gt;"""", GOOGLETRANSLATE(G4166, ""en"", ""te""),"""")"),"[ '13 వ ఇన్నింగ్స్ లో అత్యధిక క్యాచ్లు (3)']")</f>
        <v>[ '13 వ ఇన్నింగ్స్ లో అత్యధిక క్యాచ్లు (3)']</v>
      </c>
      <c r="I4166" s="3"/>
    </row>
    <row r="4167" customHeight="1" spans="1:9">
      <c r="A4167" s="2"/>
      <c r="B4167" s="2" t="str">
        <f>IFERROR(__xludf.DUMMYFUNCTION("IF(A4167&lt;&gt;"""", GOOGLETRANSLATE(A4167, ""en"", ""te""),"""")"),"")</f>
        <v/>
      </c>
      <c r="C4167" s="2"/>
      <c r="D4167" s="2" t="str">
        <f>IFERROR(__xludf.DUMMYFUNCTION("IF(C4167&lt;&gt;"""", GOOGLETRANSLATE(C4167, ""en"", ""te""),"""")"),"")</f>
        <v/>
      </c>
      <c r="E4167" s="2"/>
      <c r="F4167" s="2" t="str">
        <f>IFERROR(__xludf.DUMMYFUNCTION("IF(E4167&lt;&gt;"""", GOOGLETRANSLATE(E4167, ""en"", ""te""),"""")"),"")</f>
        <v/>
      </c>
      <c r="G4167" s="2"/>
      <c r="H4167" s="2" t="str">
        <f>IFERROR(__xludf.DUMMYFUNCTION("IF(G4167&lt;&gt;"""", GOOGLETRANSLATE(G4167, ""en"", ""te""),"""")"),"")</f>
        <v/>
      </c>
      <c r="I4167" s="3"/>
    </row>
    <row r="4168" customHeight="1" spans="1:9">
      <c r="A4168" s="2" t="s">
        <v>662</v>
      </c>
      <c r="B4168" s="2" t="str">
        <f>IFERROR(__xludf.DUMMYFUNCTION("IF(A4168&lt;&gt;"""", GOOGLETRANSLATE(A4168, ""en"", ""te""),"""")"),"[ 'ఒక ఇన్నింగ్స్ లో 8 వ బెస్ట్ ఫిగర్స్ ఉన్నప్పుడు పరాజయం వైపు (4)', '1 వ బౌలర్ / బ్యాట్స్ కలయికలు (4)']")</f>
        <v>[ 'ఒక ఇన్నింగ్స్ లో 8 వ బెస్ట్ ఫిగర్స్ ఉన్నప్పుడు పరాజయం వైపు (4)', '1 వ బౌలర్ / బ్యాట్స్ కలయికలు (4)']</v>
      </c>
      <c r="C4168" s="2"/>
      <c r="D4168" s="2" t="str">
        <f>IFERROR(__xludf.DUMMYFUNCTION("IF(C4168&lt;&gt;"""", GOOGLETRANSLATE(C4168, ""en"", ""te""),"""")"),"")</f>
        <v/>
      </c>
      <c r="E4168" s="2"/>
      <c r="F4168" s="2" t="str">
        <f>IFERROR(__xludf.DUMMYFUNCTION("IF(E4168&lt;&gt;"""", GOOGLETRANSLATE(E4168, ""en"", ""te""),"""")"),"")</f>
        <v/>
      </c>
      <c r="G4168" s="2" t="s">
        <v>2985</v>
      </c>
      <c r="H4168" s="2" t="str">
        <f>IFERROR(__xludf.DUMMYFUNCTION("IF(G4168&lt;&gt;"""", GOOGLETRANSLATE(G4168, ""en"", ""te""),"""")"),"[ '25 వ అత్యుత్తమ బౌలింగ్ ఇన్నింగ్స్ లో విశ్లేషించడం (3/8)', '8 వ ఒక ఇన్నింగ్స్ లోని బెస్ట్ ఫిగర్స్ ఉన్నప్పుడు పరాజయం వైపు (4)', '1 వ బౌలర్ / బ్యాట్స్ కలయికలు (4)', '45 వ బౌలర్ / ఫీల్డర్ కాంబినేషన్ (6) ',' 22 వ అత్యధిక వికెట్లు ఒక వికెట్ కీపర్ చే కాట్ తీ"&amp;"సుకోకూడదు (7) ']")</f>
        <v>[ '25 వ అత్యుత్తమ బౌలింగ్ ఇన్నింగ్స్ లో విశ్లేషించడం (3/8)', '8 వ ఒక ఇన్నింగ్స్ లోని బెస్ట్ ఫిగర్స్ ఉన్నప్పుడు పరాజయం వైపు (4)', '1 వ బౌలర్ / బ్యాట్స్ కలయికలు (4)', '45 వ బౌలర్ / ఫీల్డర్ కాంబినేషన్ (6) ',' 22 వ అత్యధిక వికెట్లు ఒక వికెట్ కీపర్ చే కాట్ తీసుకోకూడదు (7) ']</v>
      </c>
      <c r="I4168" s="3"/>
    </row>
    <row r="4169" customHeight="1" spans="1:9">
      <c r="A4169" s="2"/>
      <c r="B4169" s="2" t="str">
        <f>IFERROR(__xludf.DUMMYFUNCTION("IF(A4169&lt;&gt;"""", GOOGLETRANSLATE(A4169, ""en"", ""te""),"""")"),"")</f>
        <v/>
      </c>
      <c r="C4169" s="2"/>
      <c r="D4169" s="2" t="str">
        <f>IFERROR(__xludf.DUMMYFUNCTION("IF(C4169&lt;&gt;"""", GOOGLETRANSLATE(C4169, ""en"", ""te""),"""")"),"")</f>
        <v/>
      </c>
      <c r="E4169" s="2"/>
      <c r="F4169" s="2" t="str">
        <f>IFERROR(__xludf.DUMMYFUNCTION("IF(E4169&lt;&gt;"""", GOOGLETRANSLATE(E4169, ""en"", ""te""),"""")"),"")</f>
        <v/>
      </c>
      <c r="G4169" s="2"/>
      <c r="H4169" s="2" t="str">
        <f>IFERROR(__xludf.DUMMYFUNCTION("IF(G4169&lt;&gt;"""", GOOGLETRANSLATE(G4169, ""en"", ""te""),"""")"),"")</f>
        <v/>
      </c>
      <c r="I4169" s="3"/>
    </row>
    <row r="4170" customHeight="1" spans="1:9">
      <c r="A4170" s="2"/>
      <c r="B4170" s="2" t="str">
        <f>IFERROR(__xludf.DUMMYFUNCTION("IF(A4170&lt;&gt;"""", GOOGLETRANSLATE(A4170, ""en"", ""te""),"""")"),"")</f>
        <v/>
      </c>
      <c r="C4170" s="2"/>
      <c r="D4170" s="2" t="str">
        <f>IFERROR(__xludf.DUMMYFUNCTION("IF(C4170&lt;&gt;"""", GOOGLETRANSLATE(C4170, ""en"", ""te""),"""")"),"")</f>
        <v/>
      </c>
      <c r="E4170" s="2"/>
      <c r="F4170" s="2" t="str">
        <f>IFERROR(__xludf.DUMMYFUNCTION("IF(E4170&lt;&gt;"""", GOOGLETRANSLATE(E4170, ""en"", ""te""),"""")"),"")</f>
        <v/>
      </c>
      <c r="G4170" s="2"/>
      <c r="H4170" s="2" t="str">
        <f>IFERROR(__xludf.DUMMYFUNCTION("IF(G4170&lt;&gt;"""", GOOGLETRANSLATE(G4170, ""en"", ""te""),"""")"),"")</f>
        <v/>
      </c>
      <c r="I4170" s="3"/>
    </row>
    <row r="4171" customHeight="1" spans="1:9">
      <c r="A4171" s="2"/>
      <c r="B4171" s="2" t="str">
        <f>IFERROR(__xludf.DUMMYFUNCTION("IF(A4171&lt;&gt;"""", GOOGLETRANSLATE(A4171, ""en"", ""te""),"""")"),"")</f>
        <v/>
      </c>
      <c r="C4171" s="2" t="s">
        <v>2986</v>
      </c>
      <c r="D4171" s="2" t="str">
        <f>IFERROR(__xludf.DUMMYFUNCTION("IF(C4171&lt;&gt;"""", GOOGLETRANSLATE(C4171, ""en"", ""te""),"""")"),"[ '28 పిన్న ఆటగాడు పది వికెట్లు లో ఒక మ్యాచ్ తీసుకోవాలని (22y 208d)', 'ఎనిమిదవ వికెట్కు 33 వ అత్యధిక భాగస్వామ్యం (137)', '45 వ వరుస అన్ని టాస్ గెలిచిన (3)']")</f>
        <v>[ '28 పిన్న ఆటగాడు పది వికెట్లు లో ఒక మ్యాచ్ తీసుకోవాలని (22y 208d)', 'ఎనిమిదవ వికెట్కు 33 వ అత్యధిక భాగస్వామ్యం (137)', '45 వ వరుస అన్ని టాస్ గెలిచిన (3)']</v>
      </c>
      <c r="E4171" s="2" t="s">
        <v>2987</v>
      </c>
      <c r="F4171" s="2" t="str">
        <f>IFERROR(__xludf.DUMMYFUNCTION("IF(E4171&lt;&gt;"""", GOOGLETRANSLATE(E4171, ""en"", ""te""),"""")"),"[ 'పదవ వికెట్కు 43 వ అత్యధిక భాగస్వామ్యం (48 *)']")</f>
        <v>[ 'పదవ వికెట్కు 43 వ అత్యధిక భాగస్వామ్యం (48 *)']</v>
      </c>
      <c r="G4171" s="2"/>
      <c r="H4171" s="2" t="str">
        <f>IFERROR(__xludf.DUMMYFUNCTION("IF(G4171&lt;&gt;"""", GOOGLETRANSLATE(G4171, ""en"", ""te""),"""")"),"")</f>
        <v/>
      </c>
      <c r="I4171" s="3"/>
    </row>
    <row r="4172" customHeight="1" spans="1:9">
      <c r="A4172" s="2"/>
      <c r="B4172" s="2" t="str">
        <f>IFERROR(__xludf.DUMMYFUNCTION("IF(A4172&lt;&gt;"""", GOOGLETRANSLATE(A4172, ""en"", ""te""),"""")"),"")</f>
        <v/>
      </c>
      <c r="C4172" s="2"/>
      <c r="D4172" s="2" t="str">
        <f>IFERROR(__xludf.DUMMYFUNCTION("IF(C4172&lt;&gt;"""", GOOGLETRANSLATE(C4172, ""en"", ""te""),"""")"),"")</f>
        <v/>
      </c>
      <c r="E4172" s="2"/>
      <c r="F4172" s="2" t="str">
        <f>IFERROR(__xludf.DUMMYFUNCTION("IF(E4172&lt;&gt;"""", GOOGLETRANSLATE(E4172, ""en"", ""te""),"""")"),"")</f>
        <v/>
      </c>
      <c r="G4172" s="2"/>
      <c r="H4172" s="2" t="str">
        <f>IFERROR(__xludf.DUMMYFUNCTION("IF(G4172&lt;&gt;"""", GOOGLETRANSLATE(G4172, ""en"", ""te""),"""")"),"")</f>
        <v/>
      </c>
      <c r="I4172" s="3"/>
    </row>
    <row r="4173" customHeight="1" spans="1:9">
      <c r="A4173" s="2"/>
      <c r="B4173" s="2" t="str">
        <f>IFERROR(__xludf.DUMMYFUNCTION("IF(A4173&lt;&gt;"""", GOOGLETRANSLATE(A4173, ""en"", ""te""),"""")"),"")</f>
        <v/>
      </c>
      <c r="C4173" s="2"/>
      <c r="D4173" s="2" t="str">
        <f>IFERROR(__xludf.DUMMYFUNCTION("IF(C4173&lt;&gt;"""", GOOGLETRANSLATE(C4173, ""en"", ""te""),"""")"),"")</f>
        <v/>
      </c>
      <c r="E4173" s="2" t="s">
        <v>2988</v>
      </c>
      <c r="F4173" s="2" t="str">
        <f>IFERROR(__xludf.DUMMYFUNCTION("IF(E4173&lt;&gt;"""", GOOGLETRANSLATE(E4173, ""en"", ""te""),"""")"),"[18 వ పిన్న ఆటగాడు ఐదు వికెట్ల లో-ఒక-ఇన్నింగ్స్ తీసుకోవాలని (21y 169d) ']")</f>
        <v>[18 వ పిన్న ఆటగాడు ఐదు వికెట్ల లో-ఒక-ఇన్నింగ్స్ తీసుకోవాలని (21y 169d) ']</v>
      </c>
      <c r="G4173" s="2"/>
      <c r="H4173" s="2" t="str">
        <f>IFERROR(__xludf.DUMMYFUNCTION("IF(G4173&lt;&gt;"""", GOOGLETRANSLATE(G4173, ""en"", ""te""),"""")"),"")</f>
        <v/>
      </c>
      <c r="I4173" s="3"/>
    </row>
    <row r="4174" customHeight="1" spans="1:9">
      <c r="A4174" s="2"/>
      <c r="B4174" s="2" t="str">
        <f>IFERROR(__xludf.DUMMYFUNCTION("IF(A4174&lt;&gt;"""", GOOGLETRANSLATE(A4174, ""en"", ""te""),"""")"),"")</f>
        <v/>
      </c>
      <c r="C4174" s="2" t="s">
        <v>2989</v>
      </c>
      <c r="D4174" s="2" t="str">
        <f>IFERROR(__xludf.DUMMYFUNCTION("IF(C4174&lt;&gt;"""", GOOGLETRANSLATE(C4174, ""en"", ""te""),"""")"),"[40 వ హండ్రెడ్ గత మ్యాచ్లో (157) ',' వరుస మ్యాచ్లలో 26 యాభైల్లో (7) ']")</f>
        <v>[40 వ హండ్రెడ్ గత మ్యాచ్లో (157) ',' వరుస మ్యాచ్లలో 26 యాభైల్లో (7) ']</v>
      </c>
      <c r="E4174" s="2" t="s">
        <v>2990</v>
      </c>
      <c r="F4174" s="2" t="str">
        <f>IFERROR(__xludf.DUMMYFUNCTION("IF(E4174&lt;&gt;"""", GOOGLETRANSLATE(E4174, ""en"", ""te""),"""")"),"[ 'ఆరవ వికెట్ (130) కోసం 36 వ అత్యధిక భాగస్వామ్యం']")</f>
        <v>[ 'ఆరవ వికెట్ (130) కోసం 36 వ అత్యధిక భాగస్వామ్యం']</v>
      </c>
      <c r="G4174" s="2"/>
      <c r="H4174" s="2" t="str">
        <f>IFERROR(__xludf.DUMMYFUNCTION("IF(G4174&lt;&gt;"""", GOOGLETRANSLATE(G4174, ""en"", ""te""),"""")"),"")</f>
        <v/>
      </c>
      <c r="I4174" s="3"/>
    </row>
    <row r="4175" customHeight="1" spans="1:9">
      <c r="A4175" s="2" t="s">
        <v>2991</v>
      </c>
      <c r="B4175" s="2" t="str">
        <f>IFERROR(__xludf.DUMMYFUNCTION("IF(A4175&lt;&gt;"""", GOOGLETRANSLATE(A4175, ""en"", ""te""),"""")"),"[ 'ఒక ఇన్నింగ్స్ లో 3 వ ఉత్తమ సంఖ్యలు ఉన్నప్పుడు పరాజయం వైపు (5)', '7 వ అత్యంత ఐదు-వికెట్ల లో-ఒక-ఇన్నింగ్స్ కెరీర్లో (2)', '5 వ ఇన్నింగ్స్ లో అత్యధిక పరుగులు (బ్యాటింగ్ స్థానంలో ద్వారా) (21 *) ',' ఒక ఇన్నింగ్స్ లో 5 వ బెస్ట్ ఫిగర్స్ కూడా ఓడిపోయింది వైపు"&amp;" (4) ',' 6 వ ఉత్తమ కెరీర్ ఆర్థిక రేటు (4.80) ']")</f>
        <v>[ 'ఒక ఇన్నింగ్స్ లో 3 వ ఉత్తమ సంఖ్యలు ఉన్నప్పుడు పరాజయం వైపు (5)', '7 వ అత్యంత ఐదు-వికెట్ల లో-ఒక-ఇన్నింగ్స్ కెరీర్లో (2)', '5 వ ఇన్నింగ్స్ లో అత్యధిక పరుగులు (బ్యాటింగ్ స్థానంలో ద్వారా) (21 *) ',' ఒక ఇన్నింగ్స్ లో 5 వ బెస్ట్ ఫిగర్స్ కూడా ఓడిపోయింది వైపు (4) ',' 6 వ ఉత్తమ కెరీర్ ఆర్థిక రేటు (4.80) ']</v>
      </c>
      <c r="C4175" s="2"/>
      <c r="D4175" s="2" t="str">
        <f>IFERROR(__xludf.DUMMYFUNCTION("IF(C4175&lt;&gt;"""", GOOGLETRANSLATE(C4175, ""en"", ""te""),"""")"),"")</f>
        <v/>
      </c>
      <c r="E4175" s="2" t="s">
        <v>2992</v>
      </c>
      <c r="F4175" s="2" t="str">
        <f>IFERROR(__xludf.DUMMYFUNCTION("IF(E4175&lt;&gt;"""", GOOGLETRANSLATE(E4175, ""en"", ""te""),"""")"),"[ '38 వ ఒక సిరీస్లో అత్యధిక వికెట్లు (18)', '24th ఒకే మైదానంలో అత్యధిక వికెట్లు (13)', '3 వ ఒక ఇన్నింగ్స్ లోని బెస్ట్ ఫిగర్స్ ఉన్నప్పుడు పరాజయం వైపు (5)', '7 వ అత్యంత ఐదు-wickets- లో-ఒక-ఇన్నింగ్స్ కెరీర్లో (2) ',' పదవ వికెట్ను (27) కోసం 36 వ అత్యధిక భాగ"&amp;"స్వామ్యం ']")</f>
        <v>[ '38 వ ఒక సిరీస్లో అత్యధిక వికెట్లు (18)', '24th ఒకే మైదానంలో అత్యధిక వికెట్లు (13)', '3 వ ఒక ఇన్నింగ్స్ లోని బెస్ట్ ఫిగర్స్ ఉన్నప్పుడు పరాజయం వైపు (5)', '7 వ అత్యంత ఐదు-wickets- లో-ఒక-ఇన్నింగ్స్ కెరీర్లో (2) ',' పదవ వికెట్ను (27) కోసం 36 వ అత్యధిక భాగస్వామ్యం ']</v>
      </c>
      <c r="G4175" s="2" t="s">
        <v>2993</v>
      </c>
      <c r="H4175" s="2" t="str">
        <f>IFERROR(__xludf.DUMMYFUNCTION("IF(G4175&lt;&gt;"""", GOOGLETRANSLATE(G4175, ""en"", ""te""),"""")"),"[ 'ఇన్నింగ్స్ లో 5 వ అత్యధిక పరుగులు (బ్యాటింగ్ స్థానంలో ప్రకారం) (21 *)', '5 వ ఒక ఇన్నింగ్స్ లోని బెస్ట్ ఫిగర్స్ పరాజయం వైపు (4) ఉన్నప్పుడు', '6 వ ఉత్తమ' 32 వ ఉత్తమ కెరీర్ సగటు (18.36) బౌలింగ్ ' వృత్తి ఆర్థిక రేటు (4.80) ',' 42 వ కెరీర్ లో బౌల్డ్ చాలా బ"&amp;"ంతుల్లో (941) ',' 50 వ అత్యధిక వికెట్లు తీసుకున్న ఆకర్షించింది (24) ',' 45 వ అత్యధిక వికెట్లు ఒక ఫీల్డర్ చేత క్యాచ్ తీసుకున్న (21) ',' 36 వ అత్యధిక వికెట్లు తీసుకున్న LBW (6) ']")</f>
        <v>[ 'ఇన్నింగ్స్ లో 5 వ అత్యధిక పరుగులు (బ్యాటింగ్ స్థానంలో ప్రకారం) (21 *)', '5 వ ఒక ఇన్నింగ్స్ లోని బెస్ట్ ఫిగర్స్ పరాజయం వైపు (4) ఉన్నప్పుడు', '6 వ ఉత్తమ' 32 వ ఉత్తమ కెరీర్ సగటు (18.36) బౌలింగ్ ' వృత్తి ఆర్థిక రేటు (4.80) ',' 42 వ కెరీర్ లో బౌల్డ్ చాలా బంతుల్లో (941) ',' 50 వ అత్యధిక వికెట్లు తీసుకున్న ఆకర్షించింది (24) ',' 45 వ అత్యధిక వికెట్లు ఒక ఫీల్డర్ చేత క్యాచ్ తీసుకున్న (21) ',' 36 వ అత్యధిక వికెట్లు తీసుకున్న LBW (6) ']</v>
      </c>
      <c r="I4175" s="3"/>
    </row>
    <row r="4176" customHeight="1" spans="1:9">
      <c r="A4176" s="2"/>
      <c r="B4176" s="2" t="str">
        <f>IFERROR(__xludf.DUMMYFUNCTION("IF(A4176&lt;&gt;"""", GOOGLETRANSLATE(A4176, ""en"", ""te""),"""")"),"")</f>
        <v/>
      </c>
      <c r="C4176" s="2"/>
      <c r="D4176" s="2" t="str">
        <f>IFERROR(__xludf.DUMMYFUNCTION("IF(C4176&lt;&gt;"""", GOOGLETRANSLATE(C4176, ""en"", ""te""),"""")"),"")</f>
        <v/>
      </c>
      <c r="E4176" s="2" t="s">
        <v>2994</v>
      </c>
      <c r="F4176" s="2" t="str">
        <f>IFERROR(__xludf.DUMMYFUNCTION("IF(E4176&lt;&gt;"""", GOOGLETRANSLATE(E4176, ""en"", ""te""),"""")"),"[ '28 ఉత్తమ కెరీర్ బౌలింగ్ సరాసరి (18.60)', '22 వ ఉత్తమ కెరీర్ ఆర్థిక రేటు (2.59)', '33 వ బౌలర్ / ఫీల్డర్ కలయికలు (11)']")</f>
        <v>[ '28 ఉత్తమ కెరీర్ బౌలింగ్ సరాసరి (18.60)', '22 వ ఉత్తమ కెరీర్ ఆర్థిక రేటు (2.59)', '33 వ బౌలర్ / ఫీల్డర్ కలయికలు (11)']</v>
      </c>
      <c r="G4176" s="2"/>
      <c r="H4176" s="2" t="str">
        <f>IFERROR(__xludf.DUMMYFUNCTION("IF(G4176&lt;&gt;"""", GOOGLETRANSLATE(G4176, ""en"", ""te""),"""")"),"")</f>
        <v/>
      </c>
      <c r="I4176" s="3"/>
    </row>
    <row r="4177" customHeight="1" spans="1:9">
      <c r="A4177" s="2"/>
      <c r="B4177" s="2" t="str">
        <f>IFERROR(__xludf.DUMMYFUNCTION("IF(A4177&lt;&gt;"""", GOOGLETRANSLATE(A4177, ""en"", ""te""),"""")"),"")</f>
        <v/>
      </c>
      <c r="C4177" s="2"/>
      <c r="D4177" s="2" t="str">
        <f>IFERROR(__xludf.DUMMYFUNCTION("IF(C4177&lt;&gt;"""", GOOGLETRANSLATE(C4177, ""en"", ""te""),"""")"),"")</f>
        <v/>
      </c>
      <c r="E4177" s="2"/>
      <c r="F4177" s="2" t="str">
        <f>IFERROR(__xludf.DUMMYFUNCTION("IF(E4177&lt;&gt;"""", GOOGLETRANSLATE(E4177, ""en"", ""te""),"""")"),"")</f>
        <v/>
      </c>
      <c r="G4177" s="2"/>
      <c r="H4177" s="2" t="str">
        <f>IFERROR(__xludf.DUMMYFUNCTION("IF(G4177&lt;&gt;"""", GOOGLETRANSLATE(G4177, ""en"", ""te""),"""")"),"")</f>
        <v/>
      </c>
      <c r="I4177" s="3"/>
    </row>
    <row r="4178" customHeight="1" spans="1:9">
      <c r="A4178" s="2" t="s">
        <v>2995</v>
      </c>
      <c r="B4178" s="2" t="str">
        <f>IFERROR(__xludf.DUMMYFUNCTION("IF(A4178&lt;&gt;"""", GOOGLETRANSLATE(A4178, ""en"", ""te""),"""")"),"[ 'ఇన్నింగ్స్ లో 7 వ అత్యధిక పరుగులు (బ్యాటింగ్ స్థానంలో ప్రకారం) (137 *)', 'హండ్రెడ్ తొలి (137 *)', 'తొలి నుండి వరుస మ్యాచ్లలో 2 వ వందల (2)', '2 వ అత్యధిక స్ట్రైక్ రేట్ ఇన్నింగ్స్ లో (361.53) ',' 7 వ చెత్త కెరీర్లో ఆర్థిక రేటు (6.06) ']")</f>
        <v>[ 'ఇన్నింగ్స్ లో 7 వ అత్యధిక పరుగులు (బ్యాటింగ్ స్థానంలో ప్రకారం) (137 *)', 'హండ్రెడ్ తొలి (137 *)', 'తొలి నుండి వరుస మ్యాచ్లలో 2 వ వందల (2)', '2 వ అత్యధిక స్ట్రైక్ రేట్ ఇన్నింగ్స్ లో (361.53) ',' 7 వ చెత్త కెరీర్లో ఆర్థిక రేటు (6.06) ']</v>
      </c>
      <c r="C4178" s="2" t="s">
        <v>2996</v>
      </c>
      <c r="D4178" s="2" t="str">
        <f>IFERROR(__xludf.DUMMYFUNCTION("IF(C4178&lt;&gt;"""", GOOGLETRANSLATE(C4178, ""en"", ""te""),"""")"),"[ '7th చాలా ఇన్నింగ్స్ లో నడుస్తుంది (బ్యాటింగ్ స్థానం) (137 *)', '26th తొలి మ్యాచ్లో అత్యధిక పరుగులు (170)', 'ప్రవేశం (2) నుండి వరుస మ్యాచ్లలో 2 వ వందల]")</f>
        <v>[ '7th చాలా ఇన్నింగ్స్ లో నడుస్తుంది (బ్యాటింగ్ స్థానం) (137 *)', '26th తొలి మ్యాచ్లో అత్యధిక పరుగులు (170)', 'ప్రవేశం (2) నుండి వరుస మ్యాచ్లలో 2 వ వందల]</v>
      </c>
      <c r="E4178" s="2" t="s">
        <v>2997</v>
      </c>
      <c r="F4178" s="2" t="str">
        <f>IFERROR(__xludf.DUMMYFUNCTION("IF(E4178&lt;&gt;"""", GOOGLETRANSLATE(E4178, ""en"", ""te""),"""")"),"[ '50 వ అత్యంత వంద (1320) లేకుండా ఒక వృత్తిలో పరుగులు' '39 వ అత్యధిక కెరీర్ సమ్మె రేటు (97.63)', 'ఇన్నింగ్స్ లో 2 వ అత్యధిక స్ట్రైక్ రేట్ (361.53)', 'కెరీర్ (28) 42 వ అతి తక్కువ బాతులు' '35 వ ఉత్తమ కెరీర్ సమ్మె రేటు (31.1)', '7 వ చెత్త కెరీర్లో ఆర్థిక రే"&amp;"టు (6.06)', '43 వ అత్యంత ఐదు-వికెట్ల లో-ఒక-ఇన్నింగ్స్ కెరీర్లో (2)', '13 వ వరుస నాలుగు వికెట్లు -ఇన్-ఒక-ఇన్నింగ్స్ (2) ',' ఆరవ వికెట్కు 31 అత్యధిక భాగస్వామ్యం (132) ',' తొమ్మిదవ వికెట్ (84) కోసం 17 అత్యధిక భాగస్వామ్యం ']")</f>
        <v>[ '50 వ అత్యంత వంద (1320) లేకుండా ఒక వృత్తిలో పరుగులు' '39 వ అత్యధిక కెరీర్ సమ్మె రేటు (97.63)', 'ఇన్నింగ్స్ లో 2 వ అత్యధిక స్ట్రైక్ రేట్ (361.53)', 'కెరీర్ (28) 42 వ అతి తక్కువ బాతులు' '35 వ ఉత్తమ కెరీర్ సమ్మె రేటు (31.1)', '7 వ చెత్త కెరీర్లో ఆర్థిక రేటు (6.06)', '43 వ అత్యంత ఐదు-వికెట్ల లో-ఒక-ఇన్నింగ్స్ కెరీర్లో (2)', '13 వ వరుస నాలుగు వికెట్లు -ఇన్-ఒక-ఇన్నింగ్స్ (2) ',' ఆరవ వికెట్కు 31 అత్యధిక భాగస్వామ్యం (132) ',' తొమ్మిదవ వికెట్ (84) కోసం 17 అత్యధిక భాగస్వామ్యం ']</v>
      </c>
      <c r="G4178" s="2" t="s">
        <v>2998</v>
      </c>
      <c r="H4178" s="2" t="str">
        <f>IFERROR(__xludf.DUMMYFUNCTION("IF(G4178&lt;&gt;"""", GOOGLETRANSLATE(G4178, ""en"", ""te""),"""")"),"[ '42 వ ఇన్నింగ్స్ లో అత్యధిక పరుగులు (బ్యాటింగ్ స్థానంలో ప్రకారం) (42)', 'ఇన్నింగ్స్ లో 40 వ అత్యధిక స్ట్రైక్ రేట్ (281.25)', '22 వ ఇన్నింగ్స్ లో సాధించిన (60) అత్యధిక పరుగులు']")</f>
        <v>[ '42 వ ఇన్నింగ్స్ లో అత్యధిక పరుగులు (బ్యాటింగ్ స్థానంలో ప్రకారం) (42)', 'ఇన్నింగ్స్ లో 40 వ అత్యధిక స్ట్రైక్ రేట్ (281.25)', '22 వ ఇన్నింగ్స్ లో సాధించిన (60) అత్యధిక పరుగులు']</v>
      </c>
      <c r="I4178" s="3"/>
    </row>
    <row r="4179" customHeight="1" spans="1:9">
      <c r="A4179" s="2"/>
      <c r="B4179" s="2" t="str">
        <f>IFERROR(__xludf.DUMMYFUNCTION("IF(A4179&lt;&gt;"""", GOOGLETRANSLATE(A4179, ""en"", ""te""),"""")"),"")</f>
        <v/>
      </c>
      <c r="C4179" s="2"/>
      <c r="D4179" s="2" t="str">
        <f>IFERROR(__xludf.DUMMYFUNCTION("IF(C4179&lt;&gt;"""", GOOGLETRANSLATE(C4179, ""en"", ""te""),"""")"),"")</f>
        <v/>
      </c>
      <c r="E4179" s="2"/>
      <c r="F4179" s="2" t="str">
        <f>IFERROR(__xludf.DUMMYFUNCTION("IF(E4179&lt;&gt;"""", GOOGLETRANSLATE(E4179, ""en"", ""te""),"""")"),"")</f>
        <v/>
      </c>
      <c r="G4179" s="2"/>
      <c r="H4179" s="2" t="str">
        <f>IFERROR(__xludf.DUMMYFUNCTION("IF(G4179&lt;&gt;"""", GOOGLETRANSLATE(G4179, ""en"", ""te""),"""")"),"")</f>
        <v/>
      </c>
      <c r="I4179" s="3"/>
    </row>
    <row r="4180" customHeight="1" spans="1:9">
      <c r="A4180" s="2" t="s">
        <v>2999</v>
      </c>
      <c r="B4180" s="2" t="str">
        <f>IFERROR(__xludf.DUMMYFUNCTION("IF(A4180&lt;&gt;"""", GOOGLETRANSLATE(A4180, ""en"", ""te""),"""")"),"[ 'హండ్రెడ్ తొలి (108 *)']")</f>
        <v>[ 'హండ్రెడ్ తొలి (108 *)']</v>
      </c>
      <c r="C4180" s="2"/>
      <c r="D4180" s="2" t="str">
        <f>IFERROR(__xludf.DUMMYFUNCTION("IF(C4180&lt;&gt;"""", GOOGLETRANSLATE(C4180, ""en"", ""te""),"""")"),"")</f>
        <v/>
      </c>
      <c r="E4180" s="2" t="s">
        <v>3000</v>
      </c>
      <c r="F4180" s="2" t="str">
        <f>IFERROR(__xludf.DUMMYFUNCTION("IF(E4180&lt;&gt;"""", GOOGLETRANSLATE(E4180, ""en"", ""te""),"""")"),"[ '10 వ తొలి మ్యాచ్ (108 *) లో అత్యధిక పరుగులు', 'ఇన్నింగ్స్ లో 29 ఉత్తమ సమ్మె రేటు (6.2)']")</f>
        <v>[ '10 వ తొలి మ్యాచ్ (108 *) లో అత్యధిక పరుగులు', 'ఇన్నింగ్స్ లో 29 ఉత్తమ సమ్మె రేటు (6.2)']</v>
      </c>
      <c r="G4180" s="2"/>
      <c r="H4180" s="2" t="str">
        <f>IFERROR(__xludf.DUMMYFUNCTION("IF(G4180&lt;&gt;"""", GOOGLETRANSLATE(G4180, ""en"", ""te""),"""")"),"")</f>
        <v/>
      </c>
      <c r="I4180" s="3"/>
    </row>
    <row r="4181" customHeight="1" spans="1:9">
      <c r="A4181" s="2"/>
      <c r="B4181" s="2" t="str">
        <f>IFERROR(__xludf.DUMMYFUNCTION("IF(A4181&lt;&gt;"""", GOOGLETRANSLATE(A4181, ""en"", ""te""),"""")"),"")</f>
        <v/>
      </c>
      <c r="C4181" s="2"/>
      <c r="D4181" s="2" t="str">
        <f>IFERROR(__xludf.DUMMYFUNCTION("IF(C4181&lt;&gt;"""", GOOGLETRANSLATE(C4181, ""en"", ""te""),"""")"),"")</f>
        <v/>
      </c>
      <c r="E4181" s="2"/>
      <c r="F4181" s="2" t="str">
        <f>IFERROR(__xludf.DUMMYFUNCTION("IF(E4181&lt;&gt;"""", GOOGLETRANSLATE(E4181, ""en"", ""te""),"""")"),"")</f>
        <v/>
      </c>
      <c r="G4181" s="2"/>
      <c r="H4181" s="2" t="str">
        <f>IFERROR(__xludf.DUMMYFUNCTION("IF(G4181&lt;&gt;"""", GOOGLETRANSLATE(G4181, ""en"", ""te""),"""")"),"")</f>
        <v/>
      </c>
      <c r="I4181" s="3"/>
    </row>
    <row r="4182" customHeight="1" spans="1:9">
      <c r="A4182" s="2"/>
      <c r="B4182" s="2" t="str">
        <f>IFERROR(__xludf.DUMMYFUNCTION("IF(A4182&lt;&gt;"""", GOOGLETRANSLATE(A4182, ""en"", ""te""),"""")"),"")</f>
        <v/>
      </c>
      <c r="C4182" s="2" t="s">
        <v>3001</v>
      </c>
      <c r="D4182" s="2" t="str">
        <f>IFERROR(__xludf.DUMMYFUNCTION("IF(C4182&lt;&gt;"""", GOOGLETRANSLATE(C4182, ""en"", ""te""),"""")"),"[ '17 వ లాంగెస్ట్ క్రీడాకారులు నివసించారు (94y 82d)']")</f>
        <v>[ '17 వ లాంగెస్ట్ క్రీడాకారులు నివసించారు (94y 82d)']</v>
      </c>
      <c r="E4182" s="2"/>
      <c r="F4182" s="2" t="str">
        <f>IFERROR(__xludf.DUMMYFUNCTION("IF(E4182&lt;&gt;"""", GOOGLETRANSLATE(E4182, ""en"", ""te""),"""")"),"")</f>
        <v/>
      </c>
      <c r="G4182" s="2"/>
      <c r="H4182" s="2" t="str">
        <f>IFERROR(__xludf.DUMMYFUNCTION("IF(G4182&lt;&gt;"""", GOOGLETRANSLATE(G4182, ""en"", ""te""),"""")"),"")</f>
        <v/>
      </c>
      <c r="I4182" s="3"/>
    </row>
    <row r="4183" customHeight="1" spans="1:9">
      <c r="A4183" s="2"/>
      <c r="B4183" s="2" t="str">
        <f>IFERROR(__xludf.DUMMYFUNCTION("IF(A4183&lt;&gt;"""", GOOGLETRANSLATE(A4183, ""en"", ""te""),"""")"),"")</f>
        <v/>
      </c>
      <c r="C4183" s="2"/>
      <c r="D4183" s="2" t="str">
        <f>IFERROR(__xludf.DUMMYFUNCTION("IF(C4183&lt;&gt;"""", GOOGLETRANSLATE(C4183, ""en"", ""te""),"""")"),"")</f>
        <v/>
      </c>
      <c r="E4183" s="2"/>
      <c r="F4183" s="2" t="str">
        <f>IFERROR(__xludf.DUMMYFUNCTION("IF(E4183&lt;&gt;"""", GOOGLETRANSLATE(E4183, ""en"", ""te""),"""")"),"")</f>
        <v/>
      </c>
      <c r="G4183" s="2"/>
      <c r="H4183" s="2" t="str">
        <f>IFERROR(__xludf.DUMMYFUNCTION("IF(G4183&lt;&gt;"""", GOOGLETRANSLATE(G4183, ""en"", ""te""),"""")"),"")</f>
        <v/>
      </c>
      <c r="I4183" s="3"/>
    </row>
    <row r="4184" customHeight="1" spans="1:9">
      <c r="A4184" s="2"/>
      <c r="B4184" s="2" t="str">
        <f>IFERROR(__xludf.DUMMYFUNCTION("IF(A4184&lt;&gt;"""", GOOGLETRANSLATE(A4184, ""en"", ""te""),"""")"),"")</f>
        <v/>
      </c>
      <c r="C4184" s="2"/>
      <c r="D4184" s="2" t="str">
        <f>IFERROR(__xludf.DUMMYFUNCTION("IF(C4184&lt;&gt;"""", GOOGLETRANSLATE(C4184, ""en"", ""te""),"""")"),"")</f>
        <v/>
      </c>
      <c r="E4184" s="2"/>
      <c r="F4184" s="2" t="str">
        <f>IFERROR(__xludf.DUMMYFUNCTION("IF(E4184&lt;&gt;"""", GOOGLETRANSLATE(E4184, ""en"", ""te""),"""")"),"")</f>
        <v/>
      </c>
      <c r="G4184" s="2"/>
      <c r="H4184" s="2" t="str">
        <f>IFERROR(__xludf.DUMMYFUNCTION("IF(G4184&lt;&gt;"""", GOOGLETRANSLATE(G4184, ""en"", ""te""),"""")"),"")</f>
        <v/>
      </c>
      <c r="I4184" s="3"/>
    </row>
    <row r="4185" customHeight="1" spans="1:9">
      <c r="A4185" s="2"/>
      <c r="B4185" s="2" t="str">
        <f>IFERROR(__xludf.DUMMYFUNCTION("IF(A4185&lt;&gt;"""", GOOGLETRANSLATE(A4185, ""en"", ""te""),"""")"),"")</f>
        <v/>
      </c>
      <c r="C4185" s="2"/>
      <c r="D4185" s="2" t="str">
        <f>IFERROR(__xludf.DUMMYFUNCTION("IF(C4185&lt;&gt;"""", GOOGLETRANSLATE(C4185, ""en"", ""te""),"""")"),"")</f>
        <v/>
      </c>
      <c r="E4185" s="2"/>
      <c r="F4185" s="2" t="str">
        <f>IFERROR(__xludf.DUMMYFUNCTION("IF(E4185&lt;&gt;"""", GOOGLETRANSLATE(E4185, ""en"", ""te""),"""")"),"")</f>
        <v/>
      </c>
      <c r="G4185" s="2"/>
      <c r="H4185" s="2" t="str">
        <f>IFERROR(__xludf.DUMMYFUNCTION("IF(G4185&lt;&gt;"""", GOOGLETRANSLATE(G4185, ""en"", ""te""),"""")"),"")</f>
        <v/>
      </c>
      <c r="I4185" s="3"/>
    </row>
    <row r="4186" customHeight="1" spans="1:9">
      <c r="A4186" s="2"/>
      <c r="B4186" s="2" t="str">
        <f>IFERROR(__xludf.DUMMYFUNCTION("IF(A4186&lt;&gt;"""", GOOGLETRANSLATE(A4186, ""en"", ""te""),"""")"),"")</f>
        <v/>
      </c>
      <c r="C4186" s="2"/>
      <c r="D4186" s="2" t="str">
        <f>IFERROR(__xludf.DUMMYFUNCTION("IF(C4186&lt;&gt;"""", GOOGLETRANSLATE(C4186, ""en"", ""te""),"""")"),"")</f>
        <v/>
      </c>
      <c r="E4186" s="2" t="s">
        <v>832</v>
      </c>
      <c r="F4186" s="2" t="str">
        <f>IFERROR(__xludf.DUMMYFUNCTION("IF(E4186&lt;&gt;"""", GOOGLETRANSLATE(E4186, ""en"", ""te""),"""")"),"[ 'తొలి ఇన్నింగ్స్ 15 వ బెస్ట్ ఫిగర్స్ (3)']")</f>
        <v>[ 'తొలి ఇన్నింగ్స్ 15 వ బెస్ట్ ఫిగర్స్ (3)']</v>
      </c>
      <c r="G4186" s="2"/>
      <c r="H4186" s="2" t="str">
        <f>IFERROR(__xludf.DUMMYFUNCTION("IF(G4186&lt;&gt;"""", GOOGLETRANSLATE(G4186, ""en"", ""te""),"""")"),"")</f>
        <v/>
      </c>
      <c r="I4186" s="3"/>
    </row>
    <row r="4187" customHeight="1" spans="1:9">
      <c r="A4187" s="2" t="s">
        <v>3002</v>
      </c>
      <c r="B4187" s="2" t="str">
        <f>IFERROR(__xludf.DUMMYFUNCTION("IF(A4187&lt;&gt;"""", GOOGLETRANSLATE(A4187, ""en"", ""te""),"""")"),"[ 'ఇన్నింగ్స్ లో 5 వ అత్యధిక పరుగులు (బ్యాటింగ్ స్థానంలో ప్రకారం) (83)', '1 వ అత్యుత్తమ ఇన్నింగ్స్ లో బౌలింగ్ విశ్లేషణలు (3/2)', '6 వ బౌలర్ / ఫీల్డర్ కలయికలు (48)', '1000 పరుగులు మరియు 100 వికెట్లు '' 1000 పరుగులు, 50 వికెట్లు, 50 క్యాచ్లు ',' 2 వ అత్యధిక"&amp;" పరుగులు ఇన్నింగ్స్ లో (బ్యాటింగ్ స్థానం) (66 *) ',' 1st చెత్త కెరీర్లో పదవ వికెట్కు సగటు (41.73) ',' 8 వ అత్యధిక భాగస్వామ్యం బౌలింగ్ (28) ']")</f>
        <v>[ 'ఇన్నింగ్స్ లో 5 వ అత్యధిక పరుగులు (బ్యాటింగ్ స్థానంలో ప్రకారం) (83)', '1 వ అత్యుత్తమ ఇన్నింగ్స్ లో బౌలింగ్ విశ్లేషణలు (3/2)', '6 వ బౌలర్ / ఫీల్డర్ కలయికలు (48)', '1000 పరుగులు మరియు 100 వికెట్లు '' 1000 పరుగులు, 50 వికెట్లు, 50 క్యాచ్లు ',' 2 వ అత్యధిక పరుగులు ఇన్నింగ్స్ లో (బ్యాటింగ్ స్థానం) (66 *) ',' 1st చెత్త కెరీర్లో పదవ వికెట్కు సగటు (41.73) ',' 8 వ అత్యధిక భాగస్వామ్యం బౌలింగ్ (28) ']</v>
      </c>
      <c r="C4187" s="2" t="s">
        <v>3003</v>
      </c>
      <c r="D4187" s="2" t="str">
        <f>IFERROR(__xludf.DUMMYFUNCTION("IF(C4187&lt;&gt;"""", GOOGLETRANSLATE(C4187, ""en"", ""te""),"""")"),"[ 'ఏడవ వికెట్ (183) కోసం 27 అత్యధిక భాగస్వామ్యం']")</f>
        <v>[ 'ఏడవ వికెట్ (183) కోసం 27 అత్యధిక భాగస్వామ్యం']</v>
      </c>
      <c r="E4187" s="2" t="s">
        <v>3004</v>
      </c>
      <c r="F4187" s="2" t="str">
        <f>IFERROR(__xludf.DUMMYFUNCTION("IF(E4187&lt;&gt;"""", GOOGLETRANSLATE(E4187, ""en"", ""te""),"""")"),"[ 'ఇన్నింగ్స్ లో 5 వ అత్యధిక పరుగులు (బ్యాటింగ్ స్థానంలో ప్రకారం) (83)', 'ఇన్నింగ్స్ (277.77) లో 31 అత్యధిక స్ట్రైక్ రేట్' '1 వ అత్యుత్తమ బౌలింగ్ ఇన్నింగ్స్ లో విశ్లేషించడం (3/2)', '43 వ అత్యంత ఐదు -wickets-ఇన్-ఒక-ఇన్నింగ్స్ కెరీర్లో (2) ',' 6 వ బౌలర్ / "&amp;"ఫీల్డర్ కలయికలు (48) ',' 38 వ అత్యధిక వికెట్లు తీసుకున్న ఆకర్షించింది (133) ',' 20 వ అత్యధిక వికెట్లు ఒక వికెట్ కీపర్ చే కాట్ తీసుకోకూడదు (49) ',' ఆరవ వికెట్కు 22 అత్యధిక భాగస్వామ్యం (137 *) ',' ఏడవ వికెట్కు 39 వ అత్యధిక భాగస్వామ్యం (103) ']")</f>
        <v>[ 'ఇన్నింగ్స్ లో 5 వ అత్యధిక పరుగులు (బ్యాటింగ్ స్థానంలో ప్రకారం) (83)', 'ఇన్నింగ్స్ (277.77) లో 31 అత్యధిక స్ట్రైక్ రేట్' '1 వ అత్యుత్తమ బౌలింగ్ ఇన్నింగ్స్ లో విశ్లేషించడం (3/2)', '43 వ అత్యంత ఐదు -wickets-ఇన్-ఒక-ఇన్నింగ్స్ కెరీర్లో (2) ',' 6 వ బౌలర్ / ఫీల్డర్ కలయికలు (48) ',' 38 వ అత్యధిక వికెట్లు తీసుకున్న ఆకర్షించింది (133) ',' 20 వ అత్యధిక వికెట్లు ఒక వికెట్ కీపర్ చే కాట్ తీసుకోకూడదు (49) ',' ఆరవ వికెట్కు 22 అత్యధిక భాగస్వామ్యం (137 *) ',' ఏడవ వికెట్కు 39 వ అత్యధిక భాగస్వామ్యం (103) ']</v>
      </c>
      <c r="G4187" s="2" t="s">
        <v>3005</v>
      </c>
      <c r="H4187" s="2" t="str">
        <f>IFERROR(__xludf.DUMMYFUNCTION("IF(G4187&lt;&gt;"""", GOOGLETRANSLATE(G4187, ""en"", ""te""),"""")"),"[ '2 వ భాగం (బ్యాటింగ్ స్థానంలో ద్వారా) ఒక ఇన్నింగ్స్ లో నడుస్తుంది (66 *)', '38 వ అత్యధిక కెరీర్ సమ్మె రేటు (139.82)', '1st చెత్త కెరీర్ సగటు (41.73) బౌలింగ్', '9 వ చెత్త కెరీర్లో ఆర్థిక రేటు (8.71) ',' 3 వ చెత్త కెరీర్లో సమ్మె రేటు (28.7) ',' తొమ్మిదవ వ"&amp;"ికెట్కు 22 అత్యధిక భాగస్వామ్యం (35) ',' పదవ వికెట్కు 8 వ అత్యధిక భాగస్వామ్యం (28) ']")</f>
        <v>[ '2 వ భాగం (బ్యాటింగ్ స్థానంలో ద్వారా) ఒక ఇన్నింగ్స్ లో నడుస్తుంది (66 *)', '38 వ అత్యధిక కెరీర్ సమ్మె రేటు (139.82)', '1st చెత్త కెరీర్ సగటు (41.73) బౌలింగ్', '9 వ చెత్త కెరీర్లో ఆర్థిక రేటు (8.71) ',' 3 వ చెత్త కెరీర్లో సమ్మె రేటు (28.7) ',' తొమ్మిదవ వికెట్కు 22 అత్యధిక భాగస్వామ్యం (35) ',' పదవ వికెట్కు 8 వ అత్యధిక భాగస్వామ్యం (28) ']</v>
      </c>
      <c r="I4187" s="3"/>
    </row>
    <row r="4188" customHeight="1" spans="1:9">
      <c r="A4188" s="2"/>
      <c r="B4188" s="2" t="str">
        <f>IFERROR(__xludf.DUMMYFUNCTION("IF(A4188&lt;&gt;"""", GOOGLETRANSLATE(A4188, ""en"", ""te""),"""")"),"")</f>
        <v/>
      </c>
      <c r="C4188" s="2"/>
      <c r="D4188" s="2" t="str">
        <f>IFERROR(__xludf.DUMMYFUNCTION("IF(C4188&lt;&gt;"""", GOOGLETRANSLATE(C4188, ""en"", ""te""),"""")"),"")</f>
        <v/>
      </c>
      <c r="E4188" s="2"/>
      <c r="F4188" s="2" t="str">
        <f>IFERROR(__xludf.DUMMYFUNCTION("IF(E4188&lt;&gt;"""", GOOGLETRANSLATE(E4188, ""en"", ""te""),"""")"),"")</f>
        <v/>
      </c>
      <c r="G4188" s="2"/>
      <c r="H4188" s="2" t="str">
        <f>IFERROR(__xludf.DUMMYFUNCTION("IF(G4188&lt;&gt;"""", GOOGLETRANSLATE(G4188, ""en"", ""te""),"""")"),"")</f>
        <v/>
      </c>
      <c r="I4188" s="3"/>
    </row>
    <row r="4189" customHeight="1" spans="1:9">
      <c r="A4189" s="2" t="s">
        <v>3006</v>
      </c>
      <c r="B4189" s="2" t="str">
        <f>IFERROR(__xludf.DUMMYFUNCTION("IF(A4189&lt;&gt;"""", GOOGLETRANSLATE(A4189, ""en"", ""te""),"""")"),"[ '6 వ చెత్త కెరీర్ బౌలింగ్ సరాసరి (68.00)']")</f>
        <v>[ '6 వ చెత్త కెరీర్ బౌలింగ్ సరాసరి (68.00)']</v>
      </c>
      <c r="C4189" s="2" t="s">
        <v>3007</v>
      </c>
      <c r="D4189" s="2" t="str">
        <f>IFERROR(__xludf.DUMMYFUNCTION("IF(C4189&lt;&gt;"""", GOOGLETRANSLATE(C4189, ""en"", ""te""),"""")"),"[ '6 వ చెత్త కెరీర్ బౌలింగ్ సరాసరి (68.00)', '8 వ చెత్త కెరీర్లో సమ్మె రేటు (152.4)']")</f>
        <v>[ '6 వ చెత్త కెరీర్ బౌలింగ్ సరాసరి (68.00)', '8 వ చెత్త కెరీర్లో సమ్మె రేటు (152.4)']</v>
      </c>
      <c r="E4189" s="2"/>
      <c r="F4189" s="2" t="str">
        <f>IFERROR(__xludf.DUMMYFUNCTION("IF(E4189&lt;&gt;"""", GOOGLETRANSLATE(E4189, ""en"", ""te""),"""")"),"")</f>
        <v/>
      </c>
      <c r="G4189" s="2"/>
      <c r="H4189" s="2" t="str">
        <f>IFERROR(__xludf.DUMMYFUNCTION("IF(G4189&lt;&gt;"""", GOOGLETRANSLATE(G4189, ""en"", ""te""),"""")"),"")</f>
        <v/>
      </c>
      <c r="I4189" s="3"/>
    </row>
    <row r="4190" customHeight="1" spans="1:9">
      <c r="A4190" s="2"/>
      <c r="B4190" s="2" t="str">
        <f>IFERROR(__xludf.DUMMYFUNCTION("IF(A4190&lt;&gt;"""", GOOGLETRANSLATE(A4190, ""en"", ""te""),"""")"),"")</f>
        <v/>
      </c>
      <c r="C4190" s="2"/>
      <c r="D4190" s="2" t="str">
        <f>IFERROR(__xludf.DUMMYFUNCTION("IF(C4190&lt;&gt;"""", GOOGLETRANSLATE(C4190, ""en"", ""te""),"""")"),"")</f>
        <v/>
      </c>
      <c r="E4190" s="2"/>
      <c r="F4190" s="2" t="str">
        <f>IFERROR(__xludf.DUMMYFUNCTION("IF(E4190&lt;&gt;"""", GOOGLETRANSLATE(E4190, ""en"", ""te""),"""")"),"")</f>
        <v/>
      </c>
      <c r="G4190" s="2"/>
      <c r="H4190" s="2" t="str">
        <f>IFERROR(__xludf.DUMMYFUNCTION("IF(G4190&lt;&gt;"""", GOOGLETRANSLATE(G4190, ""en"", ""te""),"""")"),"")</f>
        <v/>
      </c>
      <c r="I4190" s="3"/>
    </row>
    <row r="4191" customHeight="1" spans="1:9">
      <c r="A4191" s="2"/>
      <c r="B4191" s="2" t="str">
        <f>IFERROR(__xludf.DUMMYFUNCTION("IF(A4191&lt;&gt;"""", GOOGLETRANSLATE(A4191, ""en"", ""te""),"""")"),"")</f>
        <v/>
      </c>
      <c r="C4191" s="2"/>
      <c r="D4191" s="2" t="str">
        <f>IFERROR(__xludf.DUMMYFUNCTION("IF(C4191&lt;&gt;"""", GOOGLETRANSLATE(C4191, ""en"", ""te""),"""")"),"")</f>
        <v/>
      </c>
      <c r="E4191" s="2"/>
      <c r="F4191" s="2" t="str">
        <f>IFERROR(__xludf.DUMMYFUNCTION("IF(E4191&lt;&gt;"""", GOOGLETRANSLATE(E4191, ""en"", ""te""),"""")"),"")</f>
        <v/>
      </c>
      <c r="G4191" s="2"/>
      <c r="H4191" s="2" t="str">
        <f>IFERROR(__xludf.DUMMYFUNCTION("IF(G4191&lt;&gt;"""", GOOGLETRANSLATE(G4191, ""en"", ""te""),"""")"),"")</f>
        <v/>
      </c>
      <c r="I4191" s="3"/>
    </row>
    <row r="4192" customHeight="1" spans="1:9">
      <c r="A4192" s="2"/>
      <c r="B4192" s="2" t="str">
        <f>IFERROR(__xludf.DUMMYFUNCTION("IF(A4192&lt;&gt;"""", GOOGLETRANSLATE(A4192, ""en"", ""te""),"""")"),"")</f>
        <v/>
      </c>
      <c r="C4192" s="2"/>
      <c r="D4192" s="2" t="str">
        <f>IFERROR(__xludf.DUMMYFUNCTION("IF(C4192&lt;&gt;"""", GOOGLETRANSLATE(C4192, ""en"", ""te""),"""")"),"")</f>
        <v/>
      </c>
      <c r="E4192" s="2" t="s">
        <v>3008</v>
      </c>
      <c r="F4192" s="2" t="str">
        <f>IFERROR(__xludf.DUMMYFUNCTION("IF(E4192&lt;&gt;"""", GOOGLETRANSLATE(E4192, ""en"", ""te""),"""")"),"[ '50 వ చెత్త కెరీర్లో ఆర్థిక రేటు (5.63)', '43 వ అత్యంత ఐదు-వికెట్ల లో-ఒక-ఇన్నింగ్స్ కెరీర్లో (2)']")</f>
        <v>[ '50 వ చెత్త కెరీర్లో ఆర్థిక రేటు (5.63)', '43 వ అత్యంత ఐదు-వికెట్ల లో-ఒక-ఇన్నింగ్స్ కెరీర్లో (2)']</v>
      </c>
      <c r="G4192" s="2"/>
      <c r="H4192" s="2" t="str">
        <f>IFERROR(__xludf.DUMMYFUNCTION("IF(G4192&lt;&gt;"""", GOOGLETRANSLATE(G4192, ""en"", ""te""),"""")"),"")</f>
        <v/>
      </c>
      <c r="I4192" s="3"/>
    </row>
    <row r="4193" customHeight="1" spans="1:9">
      <c r="A4193" s="2"/>
      <c r="B4193" s="2" t="str">
        <f>IFERROR(__xludf.DUMMYFUNCTION("IF(A4193&lt;&gt;"""", GOOGLETRANSLATE(A4193, ""en"", ""te""),"""")"),"")</f>
        <v/>
      </c>
      <c r="C4193" s="2"/>
      <c r="D4193" s="2" t="str">
        <f>IFERROR(__xludf.DUMMYFUNCTION("IF(C4193&lt;&gt;"""", GOOGLETRANSLATE(C4193, ""en"", ""te""),"""")"),"")</f>
        <v/>
      </c>
      <c r="E4193" s="2"/>
      <c r="F4193" s="2" t="str">
        <f>IFERROR(__xludf.DUMMYFUNCTION("IF(E4193&lt;&gt;"""", GOOGLETRANSLATE(E4193, ""en"", ""te""),"""")"),"")</f>
        <v/>
      </c>
      <c r="G4193" s="2"/>
      <c r="H4193" s="2" t="str">
        <f>IFERROR(__xludf.DUMMYFUNCTION("IF(G4193&lt;&gt;"""", GOOGLETRANSLATE(G4193, ""en"", ""te""),"""")"),"")</f>
        <v/>
      </c>
      <c r="I4193" s="3"/>
    </row>
    <row r="4194" customHeight="1" spans="1:9">
      <c r="A4194" s="2"/>
      <c r="B4194" s="2" t="str">
        <f>IFERROR(__xludf.DUMMYFUNCTION("IF(A4194&lt;&gt;"""", GOOGLETRANSLATE(A4194, ""en"", ""te""),"""")"),"")</f>
        <v/>
      </c>
      <c r="C4194" s="2"/>
      <c r="D4194" s="2" t="str">
        <f>IFERROR(__xludf.DUMMYFUNCTION("IF(C4194&lt;&gt;"""", GOOGLETRANSLATE(C4194, ""en"", ""te""),"""")"),"")</f>
        <v/>
      </c>
      <c r="E4194" s="2"/>
      <c r="F4194" s="2" t="str">
        <f>IFERROR(__xludf.DUMMYFUNCTION("IF(E4194&lt;&gt;"""", GOOGLETRANSLATE(E4194, ""en"", ""te""),"""")"),"")</f>
        <v/>
      </c>
      <c r="G4194" s="2"/>
      <c r="H4194" s="2" t="str">
        <f>IFERROR(__xludf.DUMMYFUNCTION("IF(G4194&lt;&gt;"""", GOOGLETRANSLATE(G4194, ""en"", ""te""),"""")"),"")</f>
        <v/>
      </c>
      <c r="I4194" s="3"/>
    </row>
    <row r="4195" customHeight="1" spans="1:9">
      <c r="A4195" s="2"/>
      <c r="B4195" s="2" t="str">
        <f>IFERROR(__xludf.DUMMYFUNCTION("IF(A4195&lt;&gt;"""", GOOGLETRANSLATE(A4195, ""en"", ""te""),"""")"),"")</f>
        <v/>
      </c>
      <c r="C4195" s="2"/>
      <c r="D4195" s="2" t="str">
        <f>IFERROR(__xludf.DUMMYFUNCTION("IF(C4195&lt;&gt;"""", GOOGLETRANSLATE(C4195, ""en"", ""te""),"""")"),"")</f>
        <v/>
      </c>
      <c r="E4195" s="2"/>
      <c r="F4195" s="2" t="str">
        <f>IFERROR(__xludf.DUMMYFUNCTION("IF(E4195&lt;&gt;"""", GOOGLETRANSLATE(E4195, ""en"", ""te""),"""")"),"")</f>
        <v/>
      </c>
      <c r="G4195" s="2"/>
      <c r="H4195" s="2" t="str">
        <f>IFERROR(__xludf.DUMMYFUNCTION("IF(G4195&lt;&gt;"""", GOOGLETRANSLATE(G4195, ""en"", ""te""),"""")"),"")</f>
        <v/>
      </c>
      <c r="I4195" s="3"/>
    </row>
    <row r="4196" customHeight="1" spans="1:9">
      <c r="A4196" s="2" t="s">
        <v>3009</v>
      </c>
      <c r="B4196" s="2" t="str">
        <f>IFERROR(__xludf.DUMMYFUNCTION("IF(A4196&lt;&gt;"""", GOOGLETRANSLATE(A4196, ""en"", ""te""),"""")"),"[ '6 వ అత్యధిక ఇన్నింగ్స్ బై గూడా ఇవ్వకుండా మొత్తం (660/5 రో)', '2000 పరుగులు మరియు 100 వికెట్ కీపింగ్ తొలగింపులకు', '6 వ అత్యధిక వరుస బాతులు (3)', '2000 పరుగులు మరియు 100 వికెట్ కీపింగ్ తొలగింపులకు']")</f>
        <v>[ '6 వ అత్యధిక ఇన్నింగ్స్ బై గూడా ఇవ్వకుండా మొత్తం (660/5 రో)', '2000 పరుగులు మరియు 100 వికెట్ కీపింగ్ తొలగింపులకు', '6 వ అత్యధిక వరుస బాతులు (3)', '2000 పరుగులు మరియు 100 వికెట్ కీపింగ్ తొలగింపులకు']</v>
      </c>
      <c r="C4196" s="2" t="s">
        <v>3010</v>
      </c>
      <c r="D4196" s="2" t="str">
        <f>IFERROR(__xludf.DUMMYFUNCTION("IF(C4196&lt;&gt;"""", GOOGLETRANSLATE(C4196, ""en"", ""te""),"""")"),"[ '11 వ ఇన్నింగ్స్ లో అత్యధిక పరుగులు (బ్యాటింగ్ స్థానంలో ప్రకారం) (110)', '18 వ కెరీర్ లో అత్యధిక వికెట్లు (201)', '16 వ అత్యధిక క్యాచ్లు కెరీర్లో (194)', '6 వ అత్యధిక ఇన్నింగ్స్ బై గూడా ఇవ్వకుండా మొత్తం ( 660/5 రో) ']")</f>
        <v>[ '11 వ ఇన్నింగ్స్ లో అత్యధిక పరుగులు (బ్యాటింగ్ స్థానంలో ప్రకారం) (110)', '18 వ కెరీర్ లో అత్యధిక వికెట్లు (201)', '16 వ అత్యధిక క్యాచ్లు కెరీర్లో (194)', '6 వ అత్యధిక ఇన్నింగ్స్ బై గూడా ఇవ్వకుండా మొత్తం ( 660/5 రో) ']</v>
      </c>
      <c r="E4196" s="2" t="s">
        <v>3011</v>
      </c>
      <c r="F4196" s="2" t="str">
        <f>IFERROR(__xludf.DUMMYFUNCTION("IF(E4196&lt;&gt;"""", GOOGLETRANSLATE(E4196, ""en"", ""te""),"""")"),"[18 వ కెరీర్ బాతులు (19) ',' 6 వ ఒక సిరీస్లో అత్యధిక బాతులు (3) ',' 6 వ అత్యధిక వరుస బాతులు (3) ',' ఏడవ వికెట్కు 14 అత్యధిక భాగస్వామ్యం (115) ',' 33 వ అత్యంత ఒక జట్టు వరుస మ్యాచ్లు (84) ',' 24 వ అత్యధిక వికెట్లు కెరీర్లో (136) ',' 16 వ ఇన్నింగ్స్ లో అత్యధ"&amp;"ిక వికెట్లు వరుస (5) ',' 25 వ అత్యధిక వికెట్లు (16) ',' 24 వ అత్యధిక క్యాచ్లు లో కెరీర్ (111) ',' 12 వ ఒక సిరీస్లో అత్యధిక క్యాచ్లు (16) ',' 18 వ కెరీర్ (25) అత్యంత స్టంపింగ్లు ']")</f>
        <v>[18 వ కెరీర్ బాతులు (19) ',' 6 వ ఒక సిరీస్లో అత్యధిక బాతులు (3) ',' 6 వ అత్యధిక వరుస బాతులు (3) ',' ఏడవ వికెట్కు 14 అత్యధిక భాగస్వామ్యం (115) ',' 33 వ అత్యంత ఒక జట్టు వరుస మ్యాచ్లు (84) ',' 24 వ అత్యధిక వికెట్లు కెరీర్లో (136) ',' 16 వ ఇన్నింగ్స్ లో అత్యధిక వికెట్లు వరుస (5) ',' 25 వ అత్యధిక వికెట్లు (16) ',' 24 వ అత్యధిక క్యాచ్లు లో కెరీర్ (111) ',' 12 వ ఒక సిరీస్లో అత్యధిక క్యాచ్లు (16) ',' 18 వ కెరీర్ (25) అత్యంత స్టంపింగ్లు ']</v>
      </c>
      <c r="G4196" s="2"/>
      <c r="H4196" s="2" t="str">
        <f>IFERROR(__xludf.DUMMYFUNCTION("IF(G4196&lt;&gt;"""", GOOGLETRANSLATE(G4196, ""en"", ""te""),"""")"),"")</f>
        <v/>
      </c>
      <c r="I4196" s="3"/>
    </row>
    <row r="4197" customHeight="1" spans="1:9">
      <c r="A4197" s="2"/>
      <c r="B4197" s="2" t="str">
        <f>IFERROR(__xludf.DUMMYFUNCTION("IF(A4197&lt;&gt;"""", GOOGLETRANSLATE(A4197, ""en"", ""te""),"""")"),"")</f>
        <v/>
      </c>
      <c r="C4197" s="2"/>
      <c r="D4197" s="2" t="str">
        <f>IFERROR(__xludf.DUMMYFUNCTION("IF(C4197&lt;&gt;"""", GOOGLETRANSLATE(C4197, ""en"", ""te""),"""")"),"")</f>
        <v/>
      </c>
      <c r="E4197" s="2"/>
      <c r="F4197" s="2" t="str">
        <f>IFERROR(__xludf.DUMMYFUNCTION("IF(E4197&lt;&gt;"""", GOOGLETRANSLATE(E4197, ""en"", ""te""),"""")"),"")</f>
        <v/>
      </c>
      <c r="G4197" s="2"/>
      <c r="H4197" s="2" t="str">
        <f>IFERROR(__xludf.DUMMYFUNCTION("IF(G4197&lt;&gt;"""", GOOGLETRANSLATE(G4197, ""en"", ""te""),"""")"),"")</f>
        <v/>
      </c>
      <c r="I4197" s="3"/>
    </row>
    <row r="4198" customHeight="1" spans="1:9">
      <c r="A4198" s="2"/>
      <c r="B4198" s="2" t="str">
        <f>IFERROR(__xludf.DUMMYFUNCTION("IF(A4198&lt;&gt;"""", GOOGLETRANSLATE(A4198, ""en"", ""te""),"""")"),"")</f>
        <v/>
      </c>
      <c r="C4198" s="2"/>
      <c r="D4198" s="2" t="str">
        <f>IFERROR(__xludf.DUMMYFUNCTION("IF(C4198&lt;&gt;"""", GOOGLETRANSLATE(C4198, ""en"", ""te""),"""")"),"")</f>
        <v/>
      </c>
      <c r="E4198" s="2"/>
      <c r="F4198" s="2" t="str">
        <f>IFERROR(__xludf.DUMMYFUNCTION("IF(E4198&lt;&gt;"""", GOOGLETRANSLATE(E4198, ""en"", ""te""),"""")"),"")</f>
        <v/>
      </c>
      <c r="G4198" s="2"/>
      <c r="H4198" s="2" t="str">
        <f>IFERROR(__xludf.DUMMYFUNCTION("IF(G4198&lt;&gt;"""", GOOGLETRANSLATE(G4198, ""en"", ""te""),"""")"),"")</f>
        <v/>
      </c>
      <c r="I4198" s="3"/>
    </row>
    <row r="4199" customHeight="1" spans="1:9">
      <c r="A4199" s="2" t="s">
        <v>3012</v>
      </c>
      <c r="B4199" s="2" t="str">
        <f>IFERROR(__xludf.DUMMYFUNCTION("IF(A4199&lt;&gt;"""", GOOGLETRANSLATE(A4199, ""en"", ""te""),"""")"),"[ 'ఇన్నింగ్స్ లో 8 వ అత్యధిక పరుగులు (బ్యాటింగ్ స్థానంలో ప్రకారం) (70 *)', '4 వ ఒక సిరీస్లో అత్యధిక క్యాచ్లు (13)', 'కెరీర్ (42) లో 2 వ లేవు బాతులు']")</f>
        <v>[ 'ఇన్నింగ్స్ లో 8 వ అత్యధిక పరుగులు (బ్యాటింగ్ స్థానంలో ప్రకారం) (70 *)', '4 వ ఒక సిరీస్లో అత్యధిక క్యాచ్లు (13)', 'కెరీర్ (42) లో 2 వ లేవు బాతులు']</v>
      </c>
      <c r="C4199" s="2"/>
      <c r="D4199" s="2" t="str">
        <f>IFERROR(__xludf.DUMMYFUNCTION("IF(C4199&lt;&gt;"""", GOOGLETRANSLATE(C4199, ""en"", ""te""),"""")"),"")</f>
        <v/>
      </c>
      <c r="E4199" s="2" t="s">
        <v>3013</v>
      </c>
      <c r="F4199" s="2" t="str">
        <f>IFERROR(__xludf.DUMMYFUNCTION("IF(E4199&lt;&gt;"""", GOOGLETRANSLATE(E4199, ""en"", ""te""),"""")"),"[ 'ఇన్నింగ్స్ లో 8 వ అత్యధిక పరుగులు (70 *) (బ్యాటింగ్ స్థానం)', 'వంద (1198) లేకుండా ఒక వృత్తిలో 21 అత్యధిక పరుగులు', '23 మొదటి డక్ ముందు అత్యంత ఇన్నింగ్స్ (18)', '48 వ వరుస ఒక డక్ లేకుండా ఇన్నింగ్స్ (31) ',' 45 వ కెరీర్ లో అతి తక్కువ బాతులు (19) ',' 26th"&amp;" కెరీర్లో అత్యధిక క్యాచ్లు (35) ',' 4 వ ఇన్నింగ్స్ లో అత్యధిక క్యాచ్లు (3) ',' 4 వ అత్యంత వరుస క్యాచ్లు (13) ',' ఏడవ వికెట్కు 32 వ అత్యధిక భాగస్వామ్యం (62) ',' తొమ్మిదవ వికెట్కు 41 వ అత్యధిక భాగస్వామ్యం (36) ',' 40 వ వరుస జట్టు మ్యాచ్లు (40) ']")</f>
        <v>[ 'ఇన్నింగ్స్ లో 8 వ అత్యధిక పరుగులు (70 *) (బ్యాటింగ్ స్థానం)', 'వంద (1198) లేకుండా ఒక వృత్తిలో 21 అత్యధిక పరుగులు', '23 మొదటి డక్ ముందు అత్యంత ఇన్నింగ్స్ (18)', '48 వ వరుస ఒక డక్ లేకుండా ఇన్నింగ్స్ (31) ',' 45 వ కెరీర్ లో అతి తక్కువ బాతులు (19) ',' 26th కెరీర్లో అత్యధిక క్యాచ్లు (35) ',' 4 వ ఇన్నింగ్స్ లో అత్యధిక క్యాచ్లు (3) ',' 4 వ అత్యంత వరుస క్యాచ్లు (13) ',' ఏడవ వికెట్కు 32 వ అత్యధిక భాగస్వామ్యం (62) ',' తొమ్మిదవ వికెట్కు 41 వ అత్యధిక భాగస్వామ్యం (36) ',' 40 వ వరుస జట్టు మ్యాచ్లు (40) ']</v>
      </c>
      <c r="G4199" s="2" t="s">
        <v>3014</v>
      </c>
      <c r="H4199" s="2" t="str">
        <f>IFERROR(__xludf.DUMMYFUNCTION("IF(G4199&lt;&gt;"""", GOOGLETRANSLATE(G4199, ""en"", ""te""),"""")"),"[ '25 వ ఇన్నింగ్స్ లో అత్యధిక పరుగులు (బ్యాటింగ్ స్థానంలో ప్రకారం) (15 *)', 'కెరీర్ లో 2 వ లేవు బాతులు (42)', '11 వ వరుస ఇన్నింగ్స్లో డకౌట్ (42 *) లేకుండా', '20 వ అత్యధిక కొరకు చేసిన భాగస్వామ్యం ఎనిమిదవ వికెట్ (27) ']")</f>
        <v>[ '25 వ ఇన్నింగ్స్ లో అత్యధిక పరుగులు (బ్యాటింగ్ స్థానంలో ప్రకారం) (15 *)', 'కెరీర్ లో 2 వ లేవు బాతులు (42)', '11 వ వరుస ఇన్నింగ్స్లో డకౌట్ (42 *) లేకుండా', '20 వ అత్యధిక కొరకు చేసిన భాగస్వామ్యం ఎనిమిదవ వికెట్ (27) ']</v>
      </c>
      <c r="I4199" s="3"/>
    </row>
    <row r="4200" customHeight="1" spans="1:9">
      <c r="A4200" s="2" t="s">
        <v>3015</v>
      </c>
      <c r="B4200" s="2" t="str">
        <f>IFERROR(__xludf.DUMMYFUNCTION("IF(A4200&lt;&gt;"""", GOOGLETRANSLATE(A4200, ""en"", ""te""),"""")"),"[ '2nd అత్యంత ఇన్నింగ్స్ లో సాధించిన బైస్ (18)']")</f>
        <v>[ '2nd అత్యంత ఇన్నింగ్స్ లో సాధించిన బైస్ (18)']</v>
      </c>
      <c r="C4200" s="2" t="s">
        <v>3016</v>
      </c>
      <c r="D4200" s="2" t="str">
        <f>IFERROR(__xludf.DUMMYFUNCTION("IF(C4200&lt;&gt;"""", GOOGLETRANSLATE(C4200, ""en"", ""te""),"""")"),"[ '43 వ పిన్న కాప్టెన్ (25y 252d)']")</f>
        <v>[ '43 వ పిన్న కాప్టెన్ (25y 252d)']</v>
      </c>
      <c r="E4200" s="2" t="s">
        <v>3017</v>
      </c>
      <c r="F4200" s="2" t="str">
        <f>IFERROR(__xludf.DUMMYFUNCTION("IF(E4200&lt;&gt;"""", GOOGLETRANSLATE(E4200, ""en"", ""te""),"""")"),"[ '20 వ ఉత్తమ కెరీర్ (10.00) (అర్హత లేకుండా) సగటు బౌలింగ్', '2 వ అత్యంత బైస్ ఇన్నింగ్స్ లో సాధించిన (18)']")</f>
        <v>[ '20 వ ఉత్తమ కెరీర్ (10.00) (అర్హత లేకుండా) సగటు బౌలింగ్', '2 వ అత్యంత బైస్ ఇన్నింగ్స్ లో సాధించిన (18)']</v>
      </c>
      <c r="G4200" s="2"/>
      <c r="H4200" s="2" t="str">
        <f>IFERROR(__xludf.DUMMYFUNCTION("IF(G4200&lt;&gt;"""", GOOGLETRANSLATE(G4200, ""en"", ""te""),"""")"),"")</f>
        <v/>
      </c>
      <c r="I4200" s="3"/>
    </row>
    <row r="4201" customHeight="1" spans="1:9">
      <c r="A4201" s="2"/>
      <c r="B4201" s="2" t="str">
        <f>IFERROR(__xludf.DUMMYFUNCTION("IF(A4201&lt;&gt;"""", GOOGLETRANSLATE(A4201, ""en"", ""te""),"""")"),"")</f>
        <v/>
      </c>
      <c r="C4201" s="2"/>
      <c r="D4201" s="2" t="str">
        <f>IFERROR(__xludf.DUMMYFUNCTION("IF(C4201&lt;&gt;"""", GOOGLETRANSLATE(C4201, ""en"", ""te""),"""")"),"")</f>
        <v/>
      </c>
      <c r="E4201" s="2"/>
      <c r="F4201" s="2" t="str">
        <f>IFERROR(__xludf.DUMMYFUNCTION("IF(E4201&lt;&gt;"""", GOOGLETRANSLATE(E4201, ""en"", ""te""),"""")"),"")</f>
        <v/>
      </c>
      <c r="G4201" s="2"/>
      <c r="H4201" s="2" t="str">
        <f>IFERROR(__xludf.DUMMYFUNCTION("IF(G4201&lt;&gt;"""", GOOGLETRANSLATE(G4201, ""en"", ""te""),"""")"),"")</f>
        <v/>
      </c>
      <c r="I4201" s="3"/>
    </row>
    <row r="4202" customHeight="1" spans="1:9">
      <c r="A4202" s="2"/>
      <c r="B4202" s="2" t="str">
        <f>IFERROR(__xludf.DUMMYFUNCTION("IF(A4202&lt;&gt;"""", GOOGLETRANSLATE(A4202, ""en"", ""te""),"""")"),"")</f>
        <v/>
      </c>
      <c r="C4202" s="2"/>
      <c r="D4202" s="2" t="str">
        <f>IFERROR(__xludf.DUMMYFUNCTION("IF(C4202&lt;&gt;"""", GOOGLETRANSLATE(C4202, ""en"", ""te""),"""")"),"")</f>
        <v/>
      </c>
      <c r="E4202" s="2"/>
      <c r="F4202" s="2" t="str">
        <f>IFERROR(__xludf.DUMMYFUNCTION("IF(E4202&lt;&gt;"""", GOOGLETRANSLATE(E4202, ""en"", ""te""),"""")"),"")</f>
        <v/>
      </c>
      <c r="G4202" s="2"/>
      <c r="H4202" s="2" t="str">
        <f>IFERROR(__xludf.DUMMYFUNCTION("IF(G4202&lt;&gt;"""", GOOGLETRANSLATE(G4202, ""en"", ""te""),"""")"),"")</f>
        <v/>
      </c>
      <c r="I4202" s="3"/>
    </row>
    <row r="4203" customHeight="1" spans="1:9">
      <c r="A4203" s="2"/>
      <c r="B4203" s="2" t="str">
        <f>IFERROR(__xludf.DUMMYFUNCTION("IF(A4203&lt;&gt;"""", GOOGLETRANSLATE(A4203, ""en"", ""te""),"""")"),"")</f>
        <v/>
      </c>
      <c r="C4203" s="2"/>
      <c r="D4203" s="2" t="str">
        <f>IFERROR(__xludf.DUMMYFUNCTION("IF(C4203&lt;&gt;"""", GOOGLETRANSLATE(C4203, ""en"", ""te""),"""")"),"")</f>
        <v/>
      </c>
      <c r="E4203" s="2"/>
      <c r="F4203" s="2" t="str">
        <f>IFERROR(__xludf.DUMMYFUNCTION("IF(E4203&lt;&gt;"""", GOOGLETRANSLATE(E4203, ""en"", ""te""),"""")"),"")</f>
        <v/>
      </c>
      <c r="G4203" s="2"/>
      <c r="H4203" s="2" t="str">
        <f>IFERROR(__xludf.DUMMYFUNCTION("IF(G4203&lt;&gt;"""", GOOGLETRANSLATE(G4203, ""en"", ""te""),"""")"),"")</f>
        <v/>
      </c>
      <c r="I4203" s="3"/>
    </row>
    <row r="4204" customHeight="1" spans="1:9">
      <c r="A4204" s="2" t="s">
        <v>3018</v>
      </c>
      <c r="B4204" s="2" t="str">
        <f>IFERROR(__xludf.DUMMYFUNCTION("IF(A4204&lt;&gt;"""", GOOGLETRANSLATE(A4204, ""en"", ""te""),"""")"),"[ '10 వ ఇన్నింగ్స్ లో అత్యధిక పరుగులు (బ్యాటింగ్ స్థానంలో ప్రకారం) (34)', 'ఒక ఇన్నింగ్స్ లో ఒక ప్రత్యామ్నాయంగా (2) 3 వ అత్యధిక క్యాచ్లు']")</f>
        <v>[ '10 వ ఇన్నింగ్స్ లో అత్యధిక పరుగులు (బ్యాటింగ్ స్థానంలో ప్రకారం) (34)', 'ఒక ఇన్నింగ్స్ లో ఒక ప్రత్యామ్నాయంగా (2) 3 వ అత్యధిక క్యాచ్లు']</v>
      </c>
      <c r="C4204" s="2"/>
      <c r="D4204" s="2" t="str">
        <f>IFERROR(__xludf.DUMMYFUNCTION("IF(C4204&lt;&gt;"""", GOOGLETRANSLATE(C4204, ""en"", ""te""),"""")"),"")</f>
        <v/>
      </c>
      <c r="E4204" s="2" t="s">
        <v>3019</v>
      </c>
      <c r="F4204" s="2" t="str">
        <f>IFERROR(__xludf.DUMMYFUNCTION("IF(E4204&lt;&gt;"""", GOOGLETRANSLATE(E4204, ""en"", ""te""),"""")"),"[ '10 వ ఇన్నింగ్స్ లో అత్యధిక పరుగులు (బ్యాటింగ్ స్థానంలో ప్రకారం) (34)', 'ప్రదర్శనల మధ్య 24 లాంగెస్ట్ వ్యవధిలో (7y 87d)', '29th వరుస మ్యాచ్లు ఆడి మధ్య జట్టు (140) కోసం తప్పిన']")</f>
        <v>[ '10 వ ఇన్నింగ్స్ లో అత్యధిక పరుగులు (బ్యాటింగ్ స్థానంలో ప్రకారం) (34)', 'ప్రదర్శనల మధ్య 24 లాంగెస్ట్ వ్యవధిలో (7y 87d)', '29th వరుస మ్యాచ్లు ఆడి మధ్య జట్టు (140) కోసం తప్పిన']</v>
      </c>
      <c r="G4204" s="2" t="s">
        <v>3020</v>
      </c>
      <c r="H4204" s="2" t="str">
        <f>IFERROR(__xludf.DUMMYFUNCTION("IF(G4204&lt;&gt;"""", GOOGLETRANSLATE(G4204, ""en"", ""te""),"""")"),"[ '45 వ బౌలర్ / ఫీల్డర్ కలయికలు (6)', 'ఒక ఇన్నింగ్స్ లో ఒక ప్రత్యామ్నాయంగా (2) 3 వ అత్యధిక క్యాచ్లు']")</f>
        <v>[ '45 వ బౌలర్ / ఫీల్డర్ కలయికలు (6)', 'ఒక ఇన్నింగ్స్ లో ఒక ప్రత్యామ్నాయంగా (2) 3 వ అత్యధిక క్యాచ్లు']</v>
      </c>
      <c r="I4204" s="3"/>
    </row>
    <row r="4205" customHeight="1" spans="1:9">
      <c r="A4205" s="2"/>
      <c r="B4205" s="2" t="str">
        <f>IFERROR(__xludf.DUMMYFUNCTION("IF(A4205&lt;&gt;"""", GOOGLETRANSLATE(A4205, ""en"", ""te""),"""")"),"")</f>
        <v/>
      </c>
      <c r="C4205" s="2"/>
      <c r="D4205" s="2" t="str">
        <f>IFERROR(__xludf.DUMMYFUNCTION("IF(C4205&lt;&gt;"""", GOOGLETRANSLATE(C4205, ""en"", ""te""),"""")"),"")</f>
        <v/>
      </c>
      <c r="E4205" s="2"/>
      <c r="F4205" s="2" t="str">
        <f>IFERROR(__xludf.DUMMYFUNCTION("IF(E4205&lt;&gt;"""", GOOGLETRANSLATE(E4205, ""en"", ""te""),"""")"),"")</f>
        <v/>
      </c>
      <c r="G4205" s="2"/>
      <c r="H4205" s="2" t="str">
        <f>IFERROR(__xludf.DUMMYFUNCTION("IF(G4205&lt;&gt;"""", GOOGLETRANSLATE(G4205, ""en"", ""te""),"""")"),"")</f>
        <v/>
      </c>
      <c r="I4205" s="3"/>
    </row>
    <row r="4206" customHeight="1" spans="1:9">
      <c r="A4206" s="2" t="s">
        <v>3021</v>
      </c>
      <c r="B4206" s="2" t="str">
        <f>IFERROR(__xludf.DUMMYFUNCTION("IF(A4206&lt;&gt;"""", GOOGLETRANSLATE(A4206, ""en"", ""te""),"""")"),"[ '3 వ చెత్త కెరీర్ బౌలింగ్ సరాసరి (అర్హత లేకుండా) (201.00)']")</f>
        <v>[ '3 వ చెత్త కెరీర్ బౌలింగ్ సరాసరి (అర్హత లేకుండా) (201.00)']</v>
      </c>
      <c r="C4206" s="2"/>
      <c r="D4206" s="2" t="str">
        <f>IFERROR(__xludf.DUMMYFUNCTION("IF(C4206&lt;&gt;"""", GOOGLETRANSLATE(C4206, ""en"", ""te""),"""")"),"")</f>
        <v/>
      </c>
      <c r="E4206" s="2" t="s">
        <v>3021</v>
      </c>
      <c r="F4206" s="2" t="str">
        <f>IFERROR(__xludf.DUMMYFUNCTION("IF(E4206&lt;&gt;"""", GOOGLETRANSLATE(E4206, ""en"", ""te""),"""")"),"[ '3 వ చెత్త కెరీర్ బౌలింగ్ సరాసరి (అర్హత లేకుండా) (201.00)']")</f>
        <v>[ '3 వ చెత్త కెరీర్ బౌలింగ్ సరాసరి (అర్హత లేకుండా) (201.00)']</v>
      </c>
      <c r="G4206" s="2"/>
      <c r="H4206" s="2" t="str">
        <f>IFERROR(__xludf.DUMMYFUNCTION("IF(G4206&lt;&gt;"""", GOOGLETRANSLATE(G4206, ""en"", ""te""),"""")"),"")</f>
        <v/>
      </c>
      <c r="I4206" s="3"/>
    </row>
    <row r="4207" customHeight="1" spans="1:9">
      <c r="A4207" s="2"/>
      <c r="B4207" s="2" t="str">
        <f>IFERROR(__xludf.DUMMYFUNCTION("IF(A4207&lt;&gt;"""", GOOGLETRANSLATE(A4207, ""en"", ""te""),"""")"),"")</f>
        <v/>
      </c>
      <c r="C4207" s="2"/>
      <c r="D4207" s="2" t="str">
        <f>IFERROR(__xludf.DUMMYFUNCTION("IF(C4207&lt;&gt;"""", GOOGLETRANSLATE(C4207, ""en"", ""te""),"""")"),"")</f>
        <v/>
      </c>
      <c r="E4207" s="2"/>
      <c r="F4207" s="2" t="str">
        <f>IFERROR(__xludf.DUMMYFUNCTION("IF(E4207&lt;&gt;"""", GOOGLETRANSLATE(E4207, ""en"", ""te""),"""")"),"")</f>
        <v/>
      </c>
      <c r="G4207" s="2"/>
      <c r="H4207" s="2" t="str">
        <f>IFERROR(__xludf.DUMMYFUNCTION("IF(G4207&lt;&gt;"""", GOOGLETRANSLATE(G4207, ""en"", ""te""),"""")"),"")</f>
        <v/>
      </c>
      <c r="I4207" s="3"/>
    </row>
    <row r="4208" customHeight="1" spans="1:9">
      <c r="A4208" s="2"/>
      <c r="B4208" s="2" t="str">
        <f>IFERROR(__xludf.DUMMYFUNCTION("IF(A4208&lt;&gt;"""", GOOGLETRANSLATE(A4208, ""en"", ""te""),"""")"),"")</f>
        <v/>
      </c>
      <c r="C4208" s="2"/>
      <c r="D4208" s="2" t="str">
        <f>IFERROR(__xludf.DUMMYFUNCTION("IF(C4208&lt;&gt;"""", GOOGLETRANSLATE(C4208, ""en"", ""te""),"""")"),"")</f>
        <v/>
      </c>
      <c r="E4208" s="2"/>
      <c r="F4208" s="2" t="str">
        <f>IFERROR(__xludf.DUMMYFUNCTION("IF(E4208&lt;&gt;"""", GOOGLETRANSLATE(E4208, ""en"", ""te""),"""")"),"")</f>
        <v/>
      </c>
      <c r="G4208" s="2"/>
      <c r="H4208" s="2" t="str">
        <f>IFERROR(__xludf.DUMMYFUNCTION("IF(G4208&lt;&gt;"""", GOOGLETRANSLATE(G4208, ""en"", ""te""),"""")"),"")</f>
        <v/>
      </c>
      <c r="I4208" s="3"/>
    </row>
    <row r="4209" customHeight="1" spans="1:9">
      <c r="A4209" s="2"/>
      <c r="B4209" s="2" t="str">
        <f>IFERROR(__xludf.DUMMYFUNCTION("IF(A4209&lt;&gt;"""", GOOGLETRANSLATE(A4209, ""en"", ""te""),"""")"),"")</f>
        <v/>
      </c>
      <c r="C4209" s="2"/>
      <c r="D4209" s="2" t="str">
        <f>IFERROR(__xludf.DUMMYFUNCTION("IF(C4209&lt;&gt;"""", GOOGLETRANSLATE(C4209, ""en"", ""te""),"""")"),"")</f>
        <v/>
      </c>
      <c r="E4209" s="2"/>
      <c r="F4209" s="2" t="str">
        <f>IFERROR(__xludf.DUMMYFUNCTION("IF(E4209&lt;&gt;"""", GOOGLETRANSLATE(E4209, ""en"", ""te""),"""")"),"")</f>
        <v/>
      </c>
      <c r="G4209" s="2"/>
      <c r="H4209" s="2" t="str">
        <f>IFERROR(__xludf.DUMMYFUNCTION("IF(G4209&lt;&gt;"""", GOOGLETRANSLATE(G4209, ""en"", ""te""),"""")"),"")</f>
        <v/>
      </c>
      <c r="I4209" s="3"/>
    </row>
    <row r="4210" customHeight="1" spans="1:9">
      <c r="A4210" s="2"/>
      <c r="B4210" s="2" t="str">
        <f>IFERROR(__xludf.DUMMYFUNCTION("IF(A4210&lt;&gt;"""", GOOGLETRANSLATE(A4210, ""en"", ""te""),"""")"),"")</f>
        <v/>
      </c>
      <c r="C4210" s="2"/>
      <c r="D4210" s="2" t="str">
        <f>IFERROR(__xludf.DUMMYFUNCTION("IF(C4210&lt;&gt;"""", GOOGLETRANSLATE(C4210, ""en"", ""te""),"""")"),"")</f>
        <v/>
      </c>
      <c r="E4210" s="2"/>
      <c r="F4210" s="2" t="str">
        <f>IFERROR(__xludf.DUMMYFUNCTION("IF(E4210&lt;&gt;"""", GOOGLETRANSLATE(E4210, ""en"", ""te""),"""")"),"")</f>
        <v/>
      </c>
      <c r="G4210" s="2"/>
      <c r="H4210" s="2" t="str">
        <f>IFERROR(__xludf.DUMMYFUNCTION("IF(G4210&lt;&gt;"""", GOOGLETRANSLATE(G4210, ""en"", ""te""),"""")"),"")</f>
        <v/>
      </c>
      <c r="I4210" s="3"/>
    </row>
    <row r="4211" customHeight="1" spans="1:9">
      <c r="A4211" s="2"/>
      <c r="B4211" s="2" t="str">
        <f>IFERROR(__xludf.DUMMYFUNCTION("IF(A4211&lt;&gt;"""", GOOGLETRANSLATE(A4211, ""en"", ""te""),"""")"),"")</f>
        <v/>
      </c>
      <c r="C4211" s="2"/>
      <c r="D4211" s="2" t="str">
        <f>IFERROR(__xludf.DUMMYFUNCTION("IF(C4211&lt;&gt;"""", GOOGLETRANSLATE(C4211, ""en"", ""te""),"""")"),"")</f>
        <v/>
      </c>
      <c r="E4211" s="2" t="s">
        <v>3022</v>
      </c>
      <c r="F4211" s="2" t="str">
        <f>IFERROR(__xludf.DUMMYFUNCTION("IF(E4211&lt;&gt;"""", GOOGLETRANSLATE(E4211, ""en"", ""te""),"""")"),"[ '15 వ ఇన్నింగ్స్ లో అత్యధిక పరుగులు (బ్యాటింగ్ స్థానంలో ప్రకారం) (70)', '11 వ తొలి మ్యాచ్లో అత్యధిక పరుగులు (70)', 'ఎనిమిదవ వికెట్కు 14 అత్యధిక భాగస్వామ్యం (58)', '36 వ వరుస మ్యాచ్లు కోసం తప్పిన 'ప్రదర్శనల మధ్య బృందం (33)]")</f>
        <v>[ '15 వ ఇన్నింగ్స్ లో అత్యధిక పరుగులు (బ్యాటింగ్ స్థానంలో ప్రకారం) (70)', '11 వ తొలి మ్యాచ్లో అత్యధిక పరుగులు (70)', 'ఎనిమిదవ వికెట్కు 14 అత్యధిక భాగస్వామ్యం (58)', '36 వ వరుస మ్యాచ్లు కోసం తప్పిన 'ప్రదర్శనల మధ్య బృందం (33)]</v>
      </c>
      <c r="G4211" s="2" t="s">
        <v>3023</v>
      </c>
      <c r="H4211" s="2" t="str">
        <f>IFERROR(__xludf.DUMMYFUNCTION("IF(G4211&lt;&gt;"""", GOOGLETRANSLATE(G4211, ""en"", ""te""),"""")"),"[ '24 వ ఇన్నింగ్స్ లో అత్యధిక పరుగులు (బ్యాటింగ్ స్థానంలో ప్రకారం) (50 *)', 'ఐదవ వికెట్కు 24 అత్యధిక భాగస్వామ్యం (62)']")</f>
        <v>[ '24 వ ఇన్నింగ్స్ లో అత్యధిక పరుగులు (బ్యాటింగ్ స్థానంలో ప్రకారం) (50 *)', 'ఐదవ వికెట్కు 24 అత్యధిక భాగస్వామ్యం (62)']</v>
      </c>
      <c r="I4211" s="3"/>
    </row>
    <row r="4212" customHeight="1" spans="1:9">
      <c r="A4212" s="2"/>
      <c r="B4212" s="2" t="str">
        <f>IFERROR(__xludf.DUMMYFUNCTION("IF(A4212&lt;&gt;"""", GOOGLETRANSLATE(A4212, ""en"", ""te""),"""")"),"")</f>
        <v/>
      </c>
      <c r="C4212" s="2"/>
      <c r="D4212" s="2" t="str">
        <f>IFERROR(__xludf.DUMMYFUNCTION("IF(C4212&lt;&gt;"""", GOOGLETRANSLATE(C4212, ""en"", ""te""),"""")"),"")</f>
        <v/>
      </c>
      <c r="E4212" s="2"/>
      <c r="F4212" s="2" t="str">
        <f>IFERROR(__xludf.DUMMYFUNCTION("IF(E4212&lt;&gt;"""", GOOGLETRANSLATE(E4212, ""en"", ""te""),"""")"),"")</f>
        <v/>
      </c>
      <c r="G4212" s="2"/>
      <c r="H4212" s="2" t="str">
        <f>IFERROR(__xludf.DUMMYFUNCTION("IF(G4212&lt;&gt;"""", GOOGLETRANSLATE(G4212, ""en"", ""te""),"""")"),"")</f>
        <v/>
      </c>
      <c r="I4212" s="3"/>
    </row>
    <row r="4213" customHeight="1" spans="1:9">
      <c r="A4213" s="2" t="s">
        <v>2954</v>
      </c>
      <c r="B4213" s="2" t="str">
        <f>IFERROR(__xludf.DUMMYFUNCTION("IF(A4213&lt;&gt;"""", GOOGLETRANSLATE(A4213, ""en"", ""te""),"""")"),"[ 'ప్రదర్శనల మధ్య 5 వ లాంగెస్ట్ వ్యవధిలో (8y 173d)']")</f>
        <v>[ 'ప్రదర్శనల మధ్య 5 వ లాంగెస్ట్ వ్యవధిలో (8y 173d)']</v>
      </c>
      <c r="C4213" s="2" t="s">
        <v>3024</v>
      </c>
      <c r="D4213" s="2" t="str">
        <f>IFERROR(__xludf.DUMMYFUNCTION("IF(C4213&lt;&gt;"""", GOOGLETRANSLATE(C4213, ""en"", ""te""),"""")"),"[18 వ చెత్త ఇన్నింగ్స్ లో సమ్మె రేటు (216.0) ']")</f>
        <v>[18 వ చెత్త ఇన్నింగ్స్ లో సమ్మె రేటు (216.0) ']</v>
      </c>
      <c r="E4213" s="2" t="s">
        <v>3025</v>
      </c>
      <c r="F4213" s="2" t="str">
        <f>IFERROR(__xludf.DUMMYFUNCTION("IF(E4213&lt;&gt;"""", GOOGLETRANSLATE(E4213, ""en"", ""te""),"""")"),"[ '45 వ ఉత్తమ ఇన్నింగ్స్ లో ఆర్థిక రేటు (0.50)', '5 వ లాంగెస్ట్ వ్యవధిలో ప్రదర్శనల మధ్య (8y 173d)']")</f>
        <v>[ '45 వ ఉత్తమ ఇన్నింగ్స్ లో ఆర్థిక రేటు (0.50)', '5 వ లాంగెస్ట్ వ్యవధిలో ప్రదర్శనల మధ్య (8y 173d)']</v>
      </c>
      <c r="G4213" s="2"/>
      <c r="H4213" s="2" t="str">
        <f>IFERROR(__xludf.DUMMYFUNCTION("IF(G4213&lt;&gt;"""", GOOGLETRANSLATE(G4213, ""en"", ""te""),"""")"),"")</f>
        <v/>
      </c>
      <c r="I4213" s="3"/>
    </row>
    <row r="4214" customHeight="1" spans="1:9">
      <c r="A4214" s="2"/>
      <c r="B4214" s="2" t="str">
        <f>IFERROR(__xludf.DUMMYFUNCTION("IF(A4214&lt;&gt;"""", GOOGLETRANSLATE(A4214, ""en"", ""te""),"""")"),"")</f>
        <v/>
      </c>
      <c r="C4214" s="2"/>
      <c r="D4214" s="2" t="str">
        <f>IFERROR(__xludf.DUMMYFUNCTION("IF(C4214&lt;&gt;"""", GOOGLETRANSLATE(C4214, ""en"", ""te""),"""")"),"")</f>
        <v/>
      </c>
      <c r="E4214" s="2" t="s">
        <v>3026</v>
      </c>
      <c r="F4214" s="2" t="str">
        <f>IFERROR(__xludf.DUMMYFUNCTION("IF(E4214&lt;&gt;"""", GOOGLETRANSLATE(E4214, ""en"", ""te""),"""")"),"[ '11 వ తొలి మ్యాచ్లో అత్యధిక పరుగులు (70)']")</f>
        <v>[ '11 వ తొలి మ్యాచ్లో అత్యధిక పరుగులు (70)']</v>
      </c>
      <c r="G4214" s="2"/>
      <c r="H4214" s="2" t="str">
        <f>IFERROR(__xludf.DUMMYFUNCTION("IF(G4214&lt;&gt;"""", GOOGLETRANSLATE(G4214, ""en"", ""te""),"""")"),"")</f>
        <v/>
      </c>
      <c r="I4214" s="3"/>
    </row>
    <row r="4215" customHeight="1" spans="1:9">
      <c r="A4215" s="2"/>
      <c r="B4215" s="2" t="str">
        <f>IFERROR(__xludf.DUMMYFUNCTION("IF(A4215&lt;&gt;"""", GOOGLETRANSLATE(A4215, ""en"", ""te""),"""")"),"")</f>
        <v/>
      </c>
      <c r="C4215" s="2"/>
      <c r="D4215" s="2" t="str">
        <f>IFERROR(__xludf.DUMMYFUNCTION("IF(C4215&lt;&gt;"""", GOOGLETRANSLATE(C4215, ""en"", ""te""),"""")"),"")</f>
        <v/>
      </c>
      <c r="E4215" s="2"/>
      <c r="F4215" s="2" t="str">
        <f>IFERROR(__xludf.DUMMYFUNCTION("IF(E4215&lt;&gt;"""", GOOGLETRANSLATE(E4215, ""en"", ""te""),"""")"),"")</f>
        <v/>
      </c>
      <c r="G4215" s="2"/>
      <c r="H4215" s="2" t="str">
        <f>IFERROR(__xludf.DUMMYFUNCTION("IF(G4215&lt;&gt;"""", GOOGLETRANSLATE(G4215, ""en"", ""te""),"""")"),"")</f>
        <v/>
      </c>
      <c r="I4215" s="3"/>
    </row>
    <row r="4216" customHeight="1" spans="1:9">
      <c r="A4216" s="2"/>
      <c r="B4216" s="2" t="str">
        <f>IFERROR(__xludf.DUMMYFUNCTION("IF(A4216&lt;&gt;"""", GOOGLETRANSLATE(A4216, ""en"", ""te""),"""")"),"")</f>
        <v/>
      </c>
      <c r="C4216" s="2"/>
      <c r="D4216" s="2" t="str">
        <f>IFERROR(__xludf.DUMMYFUNCTION("IF(C4216&lt;&gt;"""", GOOGLETRANSLATE(C4216, ""en"", ""te""),"""")"),"")</f>
        <v/>
      </c>
      <c r="E4216" s="2"/>
      <c r="F4216" s="2" t="str">
        <f>IFERROR(__xludf.DUMMYFUNCTION("IF(E4216&lt;&gt;"""", GOOGLETRANSLATE(E4216, ""en"", ""te""),"""")"),"")</f>
        <v/>
      </c>
      <c r="G4216" s="2"/>
      <c r="H4216" s="2" t="str">
        <f>IFERROR(__xludf.DUMMYFUNCTION("IF(G4216&lt;&gt;"""", GOOGLETRANSLATE(G4216, ""en"", ""te""),"""")"),"")</f>
        <v/>
      </c>
      <c r="I4216" s="3"/>
    </row>
    <row r="4217" customHeight="1" spans="1:9">
      <c r="A4217" s="2"/>
      <c r="B4217" s="2" t="str">
        <f>IFERROR(__xludf.DUMMYFUNCTION("IF(A4217&lt;&gt;"""", GOOGLETRANSLATE(A4217, ""en"", ""te""),"""")"),"")</f>
        <v/>
      </c>
      <c r="C4217" s="2"/>
      <c r="D4217" s="2" t="str">
        <f>IFERROR(__xludf.DUMMYFUNCTION("IF(C4217&lt;&gt;"""", GOOGLETRANSLATE(C4217, ""en"", ""te""),"""")"),"")</f>
        <v/>
      </c>
      <c r="E4217" s="2"/>
      <c r="F4217" s="2" t="str">
        <f>IFERROR(__xludf.DUMMYFUNCTION("IF(E4217&lt;&gt;"""", GOOGLETRANSLATE(E4217, ""en"", ""te""),"""")"),"")</f>
        <v/>
      </c>
      <c r="G4217" s="2"/>
      <c r="H4217" s="2" t="str">
        <f>IFERROR(__xludf.DUMMYFUNCTION("IF(G4217&lt;&gt;"""", GOOGLETRANSLATE(G4217, ""en"", ""te""),"""")"),"")</f>
        <v/>
      </c>
      <c r="I4217" s="3"/>
    </row>
    <row r="4218" customHeight="1" spans="1:9">
      <c r="A4218" s="2" t="s">
        <v>3027</v>
      </c>
      <c r="B4218" s="2" t="str">
        <f>IFERROR(__xludf.DUMMYFUNCTION("IF(A4218&lt;&gt;"""", GOOGLETRANSLATE(A4218, ""en"", ""te""),"""")"),"[ '5 వ వరుస మ్యాచ్లు ప్రదర్శనల మధ్య బృందం (8) కోసం తప్పిన', 'కెప్టెన్సీ ప్రవేశం (40y 119d) పై 2 వ ఓల్డెస్ట్ కెప్టెన్లు']")</f>
        <v>[ '5 వ వరుస మ్యాచ్లు ప్రదర్శనల మధ్య బృందం (8) కోసం తప్పిన', 'కెప్టెన్సీ ప్రవేశం (40y 119d) పై 2 వ ఓల్డెస్ట్ కెప్టెన్లు']</v>
      </c>
      <c r="C4218" s="2" t="s">
        <v>3028</v>
      </c>
      <c r="D4218" s="2" t="str">
        <f>IFERROR(__xludf.DUMMYFUNCTION("IF(C4218&lt;&gt;"""", GOOGLETRANSLATE(C4218, ""en"", ""te""),"""")"),"[ '15 వ ఓల్డెస్ట్ క్రీడాకారులు (40y 154d)', '5 వ వరుస మ్యాచ్లు ఆడి మధ్య జట్టుకు దూరమయ్యాడు (8)', '3 వ ఓల్డెస్ట్ కాప్టెన్ (40y 154d)', 'కెప్టెన్సీ తొలి 2nd ఓల్డెస్ట్ కాప్టెన్ (40y 119d)']")</f>
        <v>[ '15 వ ఓల్డెస్ట్ క్రీడాకారులు (40y 154d)', '5 వ వరుస మ్యాచ్లు ఆడి మధ్య జట్టుకు దూరమయ్యాడు (8)', '3 వ ఓల్డెస్ట్ కాప్టెన్ (40y 154d)', 'కెప్టెన్సీ తొలి 2nd ఓల్డెస్ట్ కాప్టెన్ (40y 119d)']</v>
      </c>
      <c r="E4218" s="2" t="s">
        <v>3029</v>
      </c>
      <c r="F4218" s="2" t="str">
        <f>IFERROR(__xludf.DUMMYFUNCTION("IF(E4218&lt;&gt;"""", GOOGLETRANSLATE(E4218, ""en"", ""te""),"""")"),"'ప్రదర్శనల మధ్య 11 వ లాంగెస్ట్ వ్యవధిలో (7y 164)' [ '17 వ ఓల్డెస్ట్ క్రీడాకారులు (40y 131d)', '36 వ వరుస మ్యాచ్లు (33) ప్రదర్శనల మధ్య ఒక జట్టుకు దూరమయ్యాడు', '5 వ ఓల్డెస్ట్ కాప్టెన్ (40y 131d)', ' కెప్టెన్సీ తొలి 4 వ ఓల్డెస్ట్ కాప్టెన్ (40y 127d) ']")</f>
        <v>'ప్రదర్శనల మధ్య 11 వ లాంగెస్ట్ వ్యవధిలో (7y 164)' [ '17 వ ఓల్డెస్ట్ క్రీడాకారులు (40y 131d)', '36 వ వరుస మ్యాచ్లు (33) ప్రదర్శనల మధ్య ఒక జట్టుకు దూరమయ్యాడు', '5 వ ఓల్డెస్ట్ కాప్టెన్ (40y 131d)', ' కెప్టెన్సీ తొలి 4 వ ఓల్డెస్ట్ కాప్టెన్ (40y 127d) ']</v>
      </c>
      <c r="G4218" s="2"/>
      <c r="H4218" s="2" t="str">
        <f>IFERROR(__xludf.DUMMYFUNCTION("IF(G4218&lt;&gt;"""", GOOGLETRANSLATE(G4218, ""en"", ""te""),"""")"),"")</f>
        <v/>
      </c>
      <c r="I4218" s="3"/>
    </row>
    <row r="4219" customHeight="1" spans="1:9">
      <c r="A4219" s="2"/>
      <c r="B4219" s="2" t="str">
        <f>IFERROR(__xludf.DUMMYFUNCTION("IF(A4219&lt;&gt;"""", GOOGLETRANSLATE(A4219, ""en"", ""te""),"""")"),"")</f>
        <v/>
      </c>
      <c r="C4219" s="2"/>
      <c r="D4219" s="2" t="str">
        <f>IFERROR(__xludf.DUMMYFUNCTION("IF(C4219&lt;&gt;"""", GOOGLETRANSLATE(C4219, ""en"", ""te""),"""")"),"")</f>
        <v/>
      </c>
      <c r="E4219" s="2"/>
      <c r="F4219" s="2" t="str">
        <f>IFERROR(__xludf.DUMMYFUNCTION("IF(E4219&lt;&gt;"""", GOOGLETRANSLATE(E4219, ""en"", ""te""),"""")"),"")</f>
        <v/>
      </c>
      <c r="G4219" s="2"/>
      <c r="H4219" s="2" t="str">
        <f>IFERROR(__xludf.DUMMYFUNCTION("IF(G4219&lt;&gt;"""", GOOGLETRANSLATE(G4219, ""en"", ""te""),"""")"),"")</f>
        <v/>
      </c>
      <c r="I4219" s="3"/>
    </row>
    <row r="4220" customHeight="1" spans="1:9">
      <c r="A4220" s="2" t="s">
        <v>3030</v>
      </c>
      <c r="B4220" s="2" t="str">
        <f>IFERROR(__xludf.DUMMYFUNCTION("IF(A4220&lt;&gt;"""", GOOGLETRANSLATE(A4220, ""en"", ""te""),"""")"),"[ '4 వ అత్యుత్తమ ఇన్నింగ్స్ (3/3) విశ్లేషణలలో బౌలింగ్']")</f>
        <v>[ '4 వ అత్యుత్తమ ఇన్నింగ్స్ (3/3) విశ్లేషణలలో బౌలింగ్']</v>
      </c>
      <c r="C4220" s="2" t="s">
        <v>3031</v>
      </c>
      <c r="D4220" s="2" t="str">
        <f>IFERROR(__xludf.DUMMYFUNCTION("IF(C4220&lt;&gt;"""", GOOGLETRANSLATE(C4220, ""en"", ""te""),"""")"),"[ '42 వ చెత్త కెరీర్లో సమ్మె రేటు (110.5)' '4 వ అత్యుత్తమ బౌలింగ్ (3/3) ఇన్నింగ్స్ విశ్లేషణలలో']")</f>
        <v>[ '42 వ చెత్త కెరీర్లో సమ్మె రేటు (110.5)' '4 వ అత్యుత్తమ బౌలింగ్ (3/3) ఇన్నింగ్స్ విశ్లేషణలలో']</v>
      </c>
      <c r="E4220" s="2"/>
      <c r="F4220" s="2" t="str">
        <f>IFERROR(__xludf.DUMMYFUNCTION("IF(E4220&lt;&gt;"""", GOOGLETRANSLATE(E4220, ""en"", ""te""),"""")"),"")</f>
        <v/>
      </c>
      <c r="G4220" s="2"/>
      <c r="H4220" s="2" t="str">
        <f>IFERROR(__xludf.DUMMYFUNCTION("IF(G4220&lt;&gt;"""", GOOGLETRANSLATE(G4220, ""en"", ""te""),"""")"),"")</f>
        <v/>
      </c>
      <c r="I4220" s="3"/>
    </row>
    <row r="4221" customHeight="1" spans="1:9">
      <c r="A4221" s="2" t="s">
        <v>3032</v>
      </c>
      <c r="B4221" s="2" t="str">
        <f>IFERROR(__xludf.DUMMYFUNCTION("IF(A4221&lt;&gt;"""", GOOGLETRANSLATE(A4221, ""en"", ""te""),"""")"),"[ '10 వ ఇన్నింగ్స్ లో అత్యధిక పరుగులు (బ్యాటింగ్ స్థానంలో ప్రకారం) (46)', 'కెరీర్ లో 6 వ లేవు బాతులు (21)', '4 వ ఇన్నింగ్స్ లో అత్యధిక క్యాచ్లు (3)', '2 వ ఉత్తమ సమ్మె ఇన్నింగ్స్ లో రేటు ( 2.0) ']")</f>
        <v>[ '10 వ ఇన్నింగ్స్ లో అత్యధిక పరుగులు (బ్యాటింగ్ స్థానంలో ప్రకారం) (46)', 'కెరీర్ లో 6 వ లేవు బాతులు (21)', '4 వ ఇన్నింగ్స్ లో అత్యధిక క్యాచ్లు (3)', '2 వ ఉత్తమ సమ్మె ఇన్నింగ్స్ లో రేటు ( 2.0) ']</v>
      </c>
      <c r="C4221" s="2"/>
      <c r="D4221" s="2" t="str">
        <f>IFERROR(__xludf.DUMMYFUNCTION("IF(C4221&lt;&gt;"""", GOOGLETRANSLATE(C4221, ""en"", ""te""),"""")"),"")</f>
        <v/>
      </c>
      <c r="E4221" s="2" t="s">
        <v>3033</v>
      </c>
      <c r="F4221" s="2" t="str">
        <f>IFERROR(__xludf.DUMMYFUNCTION("IF(E4221&lt;&gt;"""", GOOGLETRANSLATE(E4221, ""en"", ""te""),"""")"),"[ '10 వ ఇన్నింగ్స్ లో అత్యధిక పరుగులు (బ్యాటింగ్ స్థానంలో ప్రకారం) (46)', 'కెరీర్ లో 6 వ లేవు బాతులు (21)', '11 వ ఒక ఇన్నింగ్స్ లోని బెస్ట్ ఫిగర్స్ ఉన్నప్పుడు పరాజయం వైపు (4)', '4 వ అత్యధిక క్యాచ్లు ఒక ఇన్నింగ్స్ లో (3) ఎనిమిదో వికెట్కు ',' 20 వ అత్యధిక "&amp;"భాగస్వామ్యం (50) ']")</f>
        <v>[ '10 వ ఇన్నింగ్స్ లో అత్యధిక పరుగులు (బ్యాటింగ్ స్థానంలో ప్రకారం) (46)', 'కెరీర్ లో 6 వ లేవు బాతులు (21)', '11 వ ఒక ఇన్నింగ్స్ లోని బెస్ట్ ఫిగర్స్ ఉన్నప్పుడు పరాజయం వైపు (4)', '4 వ అత్యధిక క్యాచ్లు ఒక ఇన్నింగ్స్ లో (3) ఎనిమిదో వికెట్కు ',' 20 వ అత్యధిక భాగస్వామ్యం (50) ']</v>
      </c>
      <c r="G4221" s="2" t="s">
        <v>3034</v>
      </c>
      <c r="H4221" s="2" t="str">
        <f>IFERROR(__xludf.DUMMYFUNCTION("IF(G4221&lt;&gt;"""", GOOGLETRANSLATE(G4221, ""en"", ""te""),"""")"),"[ '37 వ అత్యంత ఇన్నింగ్స్ తొలి డక్ ముందు (13)', 'ఇన్నింగ్స్ లో 12 వ అత్యుత్తమ బౌలింగ్ విశ్లేషణలు (3/2)', 'ఇన్నింగ్స్ లో 2 వ ఉత్తమ సమ్మె రేటు (2.0)']")</f>
        <v>[ '37 వ అత్యంత ఇన్నింగ్స్ తొలి డక్ ముందు (13)', 'ఇన్నింగ్స్ లో 12 వ అత్యుత్తమ బౌలింగ్ విశ్లేషణలు (3/2)', 'ఇన్నింగ్స్ లో 2 వ ఉత్తమ సమ్మె రేటు (2.0)']</v>
      </c>
      <c r="I4221" s="3"/>
    </row>
    <row r="4222" customHeight="1" spans="1:9">
      <c r="A4222" s="2" t="s">
        <v>3035</v>
      </c>
      <c r="B4222" s="2" t="str">
        <f>IFERROR(__xludf.DUMMYFUNCTION("IF(A4222&lt;&gt;"""", GOOGLETRANSLATE(A4222, ""en"", ""te""),"""")"),"[ '4 వ అత్యుత్తమ బౌలింగ్ ఇన్నింగ్స్ లో విశ్లేషించడం (5/7)', '7 వ అత్యంత ఐదు-వికెట్ల లో-ఒక-ఇన్నింగ్స్ కెరీర్లో (2)', 'బ్యాటింగ్ తెరవడం మరియు అదే మ్యాచ్ లో బౌలింగ్']")</f>
        <v>[ '4 వ అత్యుత్తమ బౌలింగ్ ఇన్నింగ్స్ లో విశ్లేషించడం (5/7)', '7 వ అత్యంత ఐదు-వికెట్ల లో-ఒక-ఇన్నింగ్స్ కెరీర్లో (2)', 'బ్యాటింగ్ తెరవడం మరియు అదే మ్యాచ్ లో బౌలింగ్']</v>
      </c>
      <c r="C4222" s="2"/>
      <c r="D4222" s="2" t="str">
        <f>IFERROR(__xludf.DUMMYFUNCTION("IF(C4222&lt;&gt;"""", GOOGLETRANSLATE(C4222, ""en"", ""te""),"""")"),"")</f>
        <v/>
      </c>
      <c r="E4222" s="2" t="s">
        <v>3036</v>
      </c>
      <c r="F4222" s="2" t="str">
        <f>IFERROR(__xludf.DUMMYFUNCTION("IF(E4222&lt;&gt;"""", GOOGLETRANSLATE(E4222, ""en"", ""te""),"""")"),"[ '39 వ కెరీర్ లో అత్యధిక వికెట్లు (74)', '21 వ ఇన్నింగ్స్ లో బెస్ట్ ఫిగర్స్ (5/7) ',' 4 వ అత్యుత్తమ బౌలింగ్ ఇన్నింగ్స్ విశ్లేషణలలో '14 వ ఒక క్యాలెండర్ ఏడాది (26) అత్యధిక వికెట్లు (5 / 7) ',' 11 వ ఒక ఇన్నింగ్స్ లోని బెస్ట్ ఫిగర్స్ పరాజయం వైపు (4) ',' 14 "&amp;"వ ఉత్తమ కెరీర్ సగటు (16.48) ',' 38 వ ఉత్తమ కెరీర్ ఎకానమీ రేట్ బౌలింగ్ (2.82) ',' 37 వ ఉత్తమ కెరీర్ సమ్మె రేటు ఉన్నప్పుడు ( 35.0) ',' ఇన్నింగ్స్ లో 36 వ ఉత్తమ సమ్మె రేటు (8.4) ',' 7 వ అత్యంత ఐదు-వికెట్ల లో-ఒక-ఇన్నింగ్స్ కెరీర్ (2) ',' 25 వ అత్యంత నాలుగు వి"&amp;"కెట్లు-ఇన్-ఒక-ఇన్నింగ్స్ లో ఒక కెరీర్ (4) ',' 20 వ పిన్న ఆటగాడు ఐదు వికెట్ల లో-ఒక-ఇన్నింగ్స్ (21y 259d) ',' 20 వ బౌలర్ / ఫీల్డర్ కలయికలు (13) ',' 42 వ అత్యధిక వికెట్లు తీసుకున్న బౌల్డ్ తీసుకోవాలని (17) ', '45 వ అత్యంత తీసుకోబడిన వికెట్ల ఆకర్షించింది (40)'"&amp;", '19 వ అత్యంత ఆకర్షించింది తీసుకోబడిన వికెట్ల అత్యధిక వికెట్లు (12)', '23 వ అత్యధిక వికెట్లు తీసుకున్న ఎల్బిడబ్ల్యు (16)', 'తొమ్మిదవ వికెట్కు 39 వ అత్యధిక భాగస్వామ్యం (36 *)']")</f>
        <v>[ '39 వ కెరీర్ లో అత్యధిక వికెట్లు (74)', '21 వ ఇన్నింగ్స్ లో బెస్ట్ ఫిగర్స్ (5/7) ',' 4 వ అత్యుత్తమ బౌలింగ్ ఇన్నింగ్స్ విశ్లేషణలలో '14 వ ఒక క్యాలెండర్ ఏడాది (26) అత్యధిక వికెట్లు (5 / 7) ',' 11 వ ఒక ఇన్నింగ్స్ లోని బెస్ట్ ఫిగర్స్ పరాజయం వైపు (4) ',' 14 వ ఉత్తమ కెరీర్ సగటు (16.48) ',' 38 వ ఉత్తమ కెరీర్ ఎకానమీ రేట్ బౌలింగ్ (2.82) ',' 37 వ ఉత్తమ కెరీర్ సమ్మె రేటు ఉన్నప్పుడు ( 35.0) ',' ఇన్నింగ్స్ లో 36 వ ఉత్తమ సమ్మె రేటు (8.4) ',' 7 వ అత్యంత ఐదు-వికెట్ల లో-ఒక-ఇన్నింగ్స్ కెరీర్ (2) ',' 25 వ అత్యంత నాలుగు వికెట్లు-ఇన్-ఒక-ఇన్నింగ్స్ లో ఒక కెరీర్ (4) ',' 20 వ పిన్న ఆటగాడు ఐదు వికెట్ల లో-ఒక-ఇన్నింగ్స్ (21y 259d) ',' 20 వ బౌలర్ / ఫీల్డర్ కలయికలు (13) ',' 42 వ అత్యధిక వికెట్లు తీసుకున్న బౌల్డ్ తీసుకోవాలని (17) ', '45 వ అత్యంత తీసుకోబడిన వికెట్ల ఆకర్షించింది (40)', '19 వ అత్యంత ఆకర్షించింది తీసుకోబడిన వికెట్ల అత్యధిక వికెట్లు (12)', '23 వ అత్యధిక వికెట్లు తీసుకున్న ఎల్బిడబ్ల్యు (16)', 'తొమ్మిదవ వికెట్కు 39 వ అత్యధిక భాగస్వామ్యం (36 *)']</v>
      </c>
      <c r="G4222" s="2"/>
      <c r="H4222" s="2" t="str">
        <f>IFERROR(__xludf.DUMMYFUNCTION("IF(G4222&lt;&gt;"""", GOOGLETRANSLATE(G4222, ""en"", ""te""),"""")"),"")</f>
        <v/>
      </c>
      <c r="I4222" s="3"/>
    </row>
    <row r="4223" customHeight="1" spans="1:9">
      <c r="A4223" s="2"/>
      <c r="B4223" s="2" t="str">
        <f>IFERROR(__xludf.DUMMYFUNCTION("IF(A4223&lt;&gt;"""", GOOGLETRANSLATE(A4223, ""en"", ""te""),"""")"),"")</f>
        <v/>
      </c>
      <c r="C4223" s="2" t="s">
        <v>3037</v>
      </c>
      <c r="D4223" s="2" t="str">
        <f>IFERROR(__xludf.DUMMYFUNCTION("IF(C4223&lt;&gt;"""", GOOGLETRANSLATE(C4223, ""en"", ""te""),"""")"),"[ '38 వ వరుస మ్యాచ్లు ప్రదర్శనల మధ్య (58) జట్టు తప్పిన']")</f>
        <v>[ '38 వ వరుస మ్యాచ్లు ప్రదర్శనల మధ్య (58) జట్టు తప్పిన']</v>
      </c>
      <c r="E4223" s="2"/>
      <c r="F4223" s="2" t="str">
        <f>IFERROR(__xludf.DUMMYFUNCTION("IF(E4223&lt;&gt;"""", GOOGLETRANSLATE(E4223, ""en"", ""te""),"""")"),"")</f>
        <v/>
      </c>
      <c r="G4223" s="2"/>
      <c r="H4223" s="2" t="str">
        <f>IFERROR(__xludf.DUMMYFUNCTION("IF(G4223&lt;&gt;"""", GOOGLETRANSLATE(G4223, ""en"", ""te""),"""")"),"")</f>
        <v/>
      </c>
      <c r="I4223" s="3"/>
    </row>
    <row r="4224" customHeight="1" spans="1:9">
      <c r="A4224" s="2"/>
      <c r="B4224" s="2" t="str">
        <f>IFERROR(__xludf.DUMMYFUNCTION("IF(A4224&lt;&gt;"""", GOOGLETRANSLATE(A4224, ""en"", ""te""),"""")"),"")</f>
        <v/>
      </c>
      <c r="C4224" s="2"/>
      <c r="D4224" s="2" t="str">
        <f>IFERROR(__xludf.DUMMYFUNCTION("IF(C4224&lt;&gt;"""", GOOGLETRANSLATE(C4224, ""en"", ""te""),"""")"),"")</f>
        <v/>
      </c>
      <c r="E4224" s="2"/>
      <c r="F4224" s="2" t="str">
        <f>IFERROR(__xludf.DUMMYFUNCTION("IF(E4224&lt;&gt;"""", GOOGLETRANSLATE(E4224, ""en"", ""te""),"""")"),"")</f>
        <v/>
      </c>
      <c r="G4224" s="2"/>
      <c r="H4224" s="2" t="str">
        <f>IFERROR(__xludf.DUMMYFUNCTION("IF(G4224&lt;&gt;"""", GOOGLETRANSLATE(G4224, ""en"", ""te""),"""")"),"")</f>
        <v/>
      </c>
      <c r="I4224" s="3"/>
    </row>
    <row r="4225" customHeight="1" spans="1:9">
      <c r="A4225" s="2"/>
      <c r="B4225" s="2" t="str">
        <f>IFERROR(__xludf.DUMMYFUNCTION("IF(A4225&lt;&gt;"""", GOOGLETRANSLATE(A4225, ""en"", ""te""),"""")"),"")</f>
        <v/>
      </c>
      <c r="C4225" s="2"/>
      <c r="D4225" s="2" t="str">
        <f>IFERROR(__xludf.DUMMYFUNCTION("IF(C4225&lt;&gt;"""", GOOGLETRANSLATE(C4225, ""en"", ""te""),"""")"),"")</f>
        <v/>
      </c>
      <c r="E4225" s="2"/>
      <c r="F4225" s="2" t="str">
        <f>IFERROR(__xludf.DUMMYFUNCTION("IF(E4225&lt;&gt;"""", GOOGLETRANSLATE(E4225, ""en"", ""te""),"""")"),"")</f>
        <v/>
      </c>
      <c r="G4225" s="2"/>
      <c r="H4225" s="2" t="str">
        <f>IFERROR(__xludf.DUMMYFUNCTION("IF(G4225&lt;&gt;"""", GOOGLETRANSLATE(G4225, ""en"", ""te""),"""")"),"")</f>
        <v/>
      </c>
      <c r="I4225" s="3"/>
    </row>
    <row r="4226" customHeight="1" spans="1:9">
      <c r="A4226" s="2"/>
      <c r="B4226" s="2" t="str">
        <f>IFERROR(__xludf.DUMMYFUNCTION("IF(A4226&lt;&gt;"""", GOOGLETRANSLATE(A4226, ""en"", ""te""),"""")"),"")</f>
        <v/>
      </c>
      <c r="C4226" s="2"/>
      <c r="D4226" s="2" t="str">
        <f>IFERROR(__xludf.DUMMYFUNCTION("IF(C4226&lt;&gt;"""", GOOGLETRANSLATE(C4226, ""en"", ""te""),"""")"),"")</f>
        <v/>
      </c>
      <c r="E4226" s="2"/>
      <c r="F4226" s="2" t="str">
        <f>IFERROR(__xludf.DUMMYFUNCTION("IF(E4226&lt;&gt;"""", GOOGLETRANSLATE(E4226, ""en"", ""te""),"""")"),"")</f>
        <v/>
      </c>
      <c r="G4226" s="2"/>
      <c r="H4226" s="2" t="str">
        <f>IFERROR(__xludf.DUMMYFUNCTION("IF(G4226&lt;&gt;"""", GOOGLETRANSLATE(G4226, ""en"", ""te""),"""")"),"")</f>
        <v/>
      </c>
      <c r="I4226" s="3"/>
    </row>
    <row r="4227" customHeight="1" spans="1:9">
      <c r="A4227" s="2"/>
      <c r="B4227" s="2" t="str">
        <f>IFERROR(__xludf.DUMMYFUNCTION("IF(A4227&lt;&gt;"""", GOOGLETRANSLATE(A4227, ""en"", ""te""),"""")"),"")</f>
        <v/>
      </c>
      <c r="C4227" s="2"/>
      <c r="D4227" s="2" t="str">
        <f>IFERROR(__xludf.DUMMYFUNCTION("IF(C4227&lt;&gt;"""", GOOGLETRANSLATE(C4227, ""en"", ""te""),"""")"),"")</f>
        <v/>
      </c>
      <c r="E4227" s="2"/>
      <c r="F4227" s="2" t="str">
        <f>IFERROR(__xludf.DUMMYFUNCTION("IF(E4227&lt;&gt;"""", GOOGLETRANSLATE(E4227, ""en"", ""te""),"""")"),"")</f>
        <v/>
      </c>
      <c r="G4227" s="2"/>
      <c r="H4227" s="2" t="str">
        <f>IFERROR(__xludf.DUMMYFUNCTION("IF(G4227&lt;&gt;"""", GOOGLETRANSLATE(G4227, ""en"", ""te""),"""")"),"")</f>
        <v/>
      </c>
      <c r="I4227" s="3"/>
    </row>
    <row r="4228" customHeight="1" spans="1:9">
      <c r="A4228" s="2"/>
      <c r="B4228" s="2" t="str">
        <f>IFERROR(__xludf.DUMMYFUNCTION("IF(A4228&lt;&gt;"""", GOOGLETRANSLATE(A4228, ""en"", ""te""),"""")"),"")</f>
        <v/>
      </c>
      <c r="C4228" s="2"/>
      <c r="D4228" s="2" t="str">
        <f>IFERROR(__xludf.DUMMYFUNCTION("IF(C4228&lt;&gt;"""", GOOGLETRANSLATE(C4228, ""en"", ""te""),"""")"),"")</f>
        <v/>
      </c>
      <c r="E4228" s="2"/>
      <c r="F4228" s="2" t="str">
        <f>IFERROR(__xludf.DUMMYFUNCTION("IF(E4228&lt;&gt;"""", GOOGLETRANSLATE(E4228, ""en"", ""te""),"""")"),"")</f>
        <v/>
      </c>
      <c r="G4228" s="2"/>
      <c r="H4228" s="2" t="str">
        <f>IFERROR(__xludf.DUMMYFUNCTION("IF(G4228&lt;&gt;"""", GOOGLETRANSLATE(G4228, ""en"", ""te""),"""")"),"")</f>
        <v/>
      </c>
      <c r="I4228" s="3"/>
    </row>
    <row r="4229" customHeight="1" spans="1:9">
      <c r="A4229" s="2"/>
      <c r="B4229" s="2" t="str">
        <f>IFERROR(__xludf.DUMMYFUNCTION("IF(A4229&lt;&gt;"""", GOOGLETRANSLATE(A4229, ""en"", ""te""),"""")"),"")</f>
        <v/>
      </c>
      <c r="C4229" s="2"/>
      <c r="D4229" s="2" t="str">
        <f>IFERROR(__xludf.DUMMYFUNCTION("IF(C4229&lt;&gt;"""", GOOGLETRANSLATE(C4229, ""en"", ""te""),"""")"),"")</f>
        <v/>
      </c>
      <c r="E4229" s="2"/>
      <c r="F4229" s="2" t="str">
        <f>IFERROR(__xludf.DUMMYFUNCTION("IF(E4229&lt;&gt;"""", GOOGLETRANSLATE(E4229, ""en"", ""te""),"""")"),"")</f>
        <v/>
      </c>
      <c r="G4229" s="2"/>
      <c r="H4229" s="2" t="str">
        <f>IFERROR(__xludf.DUMMYFUNCTION("IF(G4229&lt;&gt;"""", GOOGLETRANSLATE(G4229, ""en"", ""te""),"""")"),"")</f>
        <v/>
      </c>
      <c r="I4229" s="3"/>
    </row>
    <row r="4230" customHeight="1" spans="1:9">
      <c r="A4230" s="2" t="s">
        <v>3038</v>
      </c>
      <c r="B4230" s="2" t="str">
        <f>IFERROR(__xludf.DUMMYFUNCTION("IF(A4230&lt;&gt;"""", GOOGLETRANSLATE(A4230, ""en"", ""te""),"""")"),"[ 'తొలి పెయిర్', '8 వ వరుస మ్యాచ్లు ఆడి మధ్య జట్టుకు దూరమయ్యాడు (61)', 'ఇన్నింగ్స్ లో 3 వ ఉత్తమ సమ్మె రేటు (4.7)', 'ఒకే మ్యాచ్ లో బ్యాటింగ్ ప్రారంభించుటకు మరియు బౌలింగ్']")</f>
        <v>[ 'తొలి పెయిర్', '8 వ వరుస మ్యాచ్లు ఆడి మధ్య జట్టుకు దూరమయ్యాడు (61)', 'ఇన్నింగ్స్ లో 3 వ ఉత్తమ సమ్మె రేటు (4.7)', 'ఒకే మ్యాచ్ లో బ్యాటింగ్ ప్రారంభించుటకు మరియు బౌలింగ్']</v>
      </c>
      <c r="C4230" s="2" t="s">
        <v>3039</v>
      </c>
      <c r="D4230" s="2" t="str">
        <f>IFERROR(__xludf.DUMMYFUNCTION("IF(C4230&lt;&gt;"""", GOOGLETRANSLATE(C4230, ""en"", ""te""),"""")"),"[ 'కెరీర్లో 2 వ అత్యంత జతల (1)', '15 వ ఉత్తమ కెరీర్ బౌలింగ్ సరాసరి (అర్హత లేకుండా) (7.50)']")</f>
        <v>[ 'కెరీర్లో 2 వ అత్యంత జతల (1)', '15 వ ఉత్తమ కెరీర్ బౌలింగ్ సరాసరి (అర్హత లేకుండా) (7.50)']</v>
      </c>
      <c r="E4230" s="2" t="s">
        <v>3040</v>
      </c>
      <c r="F4230" s="2" t="str">
        <f>IFERROR(__xludf.DUMMYFUNCTION("IF(E4230&lt;&gt;"""", GOOGLETRANSLATE(E4230, ""en"", ""te""),"""")"),"[ '11 వ అత్యుత్తమ బౌలింగ్ ఇన్నింగ్స్ విశ్లేషణలలో (4/5)', 'ఇన్నింగ్స్ లో 3 వ ఉత్తమ సమ్మె రేటు (4.7)', '31 బౌలర్ / బ్యాట్స్ కలయికలు (5)', '8 వ వరుస మ్యాచ్లు మధ్య జట్టుకు దూరమయ్యాడు ప్రదర్శనలు (61) ']")</f>
        <v>[ '11 వ అత్యుత్తమ బౌలింగ్ ఇన్నింగ్స్ విశ్లేషణలలో (4/5)', 'ఇన్నింగ్స్ లో 3 వ ఉత్తమ సమ్మె రేటు (4.7)', '31 బౌలర్ / బ్యాట్స్ కలయికలు (5)', '8 వ వరుస మ్యాచ్లు మధ్య జట్టుకు దూరమయ్యాడు ప్రదర్శనలు (61) ']</v>
      </c>
      <c r="G4230" s="2"/>
      <c r="H4230" s="2" t="str">
        <f>IFERROR(__xludf.DUMMYFUNCTION("IF(G4230&lt;&gt;"""", GOOGLETRANSLATE(G4230, ""en"", ""te""),"""")"),"")</f>
        <v/>
      </c>
      <c r="I4230" s="3"/>
    </row>
    <row r="4231" customHeight="1" spans="1:9">
      <c r="A4231" s="2" t="s">
        <v>3041</v>
      </c>
      <c r="B4231" s="2" t="str">
        <f>IFERROR(__xludf.DUMMYFUNCTION("IF(A4231&lt;&gt;"""", GOOGLETRANSLATE(A4231, ""en"", ""te""),"""")"),"[ '7th ఎక్కువ (34 *) ఒక ఇన్నింగ్స్ లో నడుస్తుంది (బ్యాటింగ్ స్థానం)']")</f>
        <v>[ '7th ఎక్కువ (34 *) ఒక ఇన్నింగ్స్ లో నడుస్తుంది (బ్యాటింగ్ స్థానం)']</v>
      </c>
      <c r="C4231" s="2" t="s">
        <v>3042</v>
      </c>
      <c r="D4231" s="2" t="str">
        <f>IFERROR(__xludf.DUMMYFUNCTION("IF(C4231&lt;&gt;"""", GOOGLETRANSLATE(C4231, ""en"", ""te""),"""")"),"[ '24 ఒక ఇన్నింగ్స్ లోని బెస్ట్ ఫిగర్స్ పరాజయం వైపు (7) ఉన్నప్పుడు' 'ఉన్నప్పుడు పరాజయం వైపు (11) 15 వ మ్యాచ్ లో బెస్ట్ ఫిగర్స్', 'తీసుకోవాలని 31 పిన్న ఆటగాడు, పది వికెట్లు లో ఒక మ్యాచ్ (22y 273d) ']")</f>
        <v>[ '24 ఒక ఇన్నింగ్స్ లోని బెస్ట్ ఫిగర్స్ పరాజయం వైపు (7) ఉన్నప్పుడు' 'ఉన్నప్పుడు పరాజయం వైపు (11) 15 వ మ్యాచ్ లో బెస్ట్ ఫిగర్స్', 'తీసుకోవాలని 31 పిన్న ఆటగాడు, పది వికెట్లు లో ఒక మ్యాచ్ (22y 273d) ']</v>
      </c>
      <c r="E4231" s="2" t="s">
        <v>3043</v>
      </c>
      <c r="F4231" s="2" t="str">
        <f>IFERROR(__xludf.DUMMYFUNCTION("IF(E4231&lt;&gt;"""", GOOGLETRANSLATE(E4231, ""en"", ""te""),"""")"),"[ 'ఇన్నింగ్స్ 7 అత్యధిక పరుగులు (బ్యాటింగ్ స్థానంలో ప్రకారం) (34 *)', '42 వ ఒక సిరీస్లో అత్యధిక వికెట్లు (18)', '27 ఒక క్యాలెండర్ సంవత్సరంలో అత్యధిక వికెట్లు (46)', '14 వ ఒక ఉత్తమ బొమ్మలు 'పరాజయం వైపు (5)', '42 వ ఉత్తమ కెరీర్ సగటు (23.87)', '21 వ వేగవంతమ"&amp;"ైన 100 వికెట్లు (62) బౌలింగ్తో ఉన్నప్పుడు ఇన్నింగ్స్]")</f>
        <v>[ 'ఇన్నింగ్స్ 7 అత్యధిక పరుగులు (బ్యాటింగ్ స్థానంలో ప్రకారం) (34 *)', '42 వ ఒక సిరీస్లో అత్యధిక వికెట్లు (18)', '27 ఒక క్యాలెండర్ సంవత్సరంలో అత్యధిక వికెట్లు (46)', '14 వ ఒక ఉత్తమ బొమ్మలు 'పరాజయం వైపు (5)', '42 వ ఉత్తమ కెరీర్ సగటు (23.87)', '21 వ వేగవంతమైన 100 వికెట్లు (62) బౌలింగ్తో ఉన్నప్పుడు ఇన్నింగ్స్]</v>
      </c>
      <c r="G4231" s="2"/>
      <c r="H4231" s="2" t="str">
        <f>IFERROR(__xludf.DUMMYFUNCTION("IF(G4231&lt;&gt;"""", GOOGLETRANSLATE(G4231, ""en"", ""te""),"""")"),"")</f>
        <v/>
      </c>
      <c r="I4231" s="3"/>
    </row>
    <row r="4232" customHeight="1" spans="1:9">
      <c r="A4232" s="2" t="s">
        <v>3044</v>
      </c>
      <c r="B4232" s="2" t="str">
        <f>IFERROR(__xludf.DUMMYFUNCTION("IF(A4232&lt;&gt;"""", GOOGLETRANSLATE(A4232, ""en"", ""te""),"""")"),"[ 'ఇన్నింగ్స్ (4) 5 వ అత్యధిక వికెట్లు' '3 వ అత్యంత ఇన్నింగ్స్ లో నడుస్తుంది (బ్యాటింగ్ స్థానం) (108)']")</f>
        <v>[ 'ఇన్నింగ్స్ (4) 5 వ అత్యధిక వికెట్లు' '3 వ అత్యంత ఇన్నింగ్స్ లో నడుస్తుంది (బ్యాటింగ్ స్థానం) (108)']</v>
      </c>
      <c r="C4232" s="2"/>
      <c r="D4232" s="2" t="str">
        <f>IFERROR(__xludf.DUMMYFUNCTION("IF(C4232&lt;&gt;"""", GOOGLETRANSLATE(C4232, ""en"", ""te""),"""")"),"")</f>
        <v/>
      </c>
      <c r="E4232" s="2"/>
      <c r="F4232" s="2" t="str">
        <f>IFERROR(__xludf.DUMMYFUNCTION("IF(E4232&lt;&gt;"""", GOOGLETRANSLATE(E4232, ""en"", ""te""),"""")"),"")</f>
        <v/>
      </c>
      <c r="G4232" s="2" t="s">
        <v>3045</v>
      </c>
      <c r="H4232" s="2" t="str">
        <f>IFERROR(__xludf.DUMMYFUNCTION("IF(G4232&lt;&gt;"""", GOOGLETRANSLATE(G4232, ""en"", ""te""),"""")"),"[ '29 ఇన్నింగ్స్ (108) అత్యధిక పరుగులు' '3 వ అత్యంత ఇన్నింగ్స్ లో నడుస్తుంది (బ్యాటింగ్ స్థానం) (108)', '15 వ అత్యధిక కెరీర్ సమ్మె రేటు (149.70)', 'కెరీర్లో 21 వ లేవు బాతులు (22) ',' 30 వ ఇన్నింగ్స్ లో వచ్చిన ఎక్కువ సిక్స్ (8) ',' 14 వ ఒక ఇన్నింగ్స్ లో ఫో"&amp;"ర్లు, సిక్సర్లు (88) ',' ఆరవ వికెట్ (62 *) కోసం 44 వ అత్యధిక భాగస్వామ్యం ',' 5 వ అత్యధిక వికెట్లు నుండి అత్యధిక పరుగులు ఇన్నింగ్స్ (4) ',' 13 వ ఇన్నింగ్స్ లో అత్యధిక క్యాచ్లు (3) ']")</f>
        <v>[ '29 ఇన్నింగ్స్ (108) అత్యధిక పరుగులు' '3 వ అత్యంత ఇన్నింగ్స్ లో నడుస్తుంది (బ్యాటింగ్ స్థానం) (108)', '15 వ అత్యధిక కెరీర్ సమ్మె రేటు (149.70)', 'కెరీర్లో 21 వ లేవు బాతులు (22) ',' 30 వ ఇన్నింగ్స్ లో వచ్చిన ఎక్కువ సిక్స్ (8) ',' 14 వ ఒక ఇన్నింగ్స్ లో ఫోర్లు, సిక్సర్లు (88) ',' ఆరవ వికెట్ (62 *) కోసం 44 వ అత్యధిక భాగస్వామ్యం ',' 5 వ అత్యధిక వికెట్లు నుండి అత్యధిక పరుగులు ఇన్నింగ్స్ (4) ',' 13 వ ఇన్నింగ్స్ లో అత్యధిక క్యాచ్లు (3) ']</v>
      </c>
      <c r="I4232" s="3"/>
    </row>
    <row r="4233" customHeight="1" spans="1:9">
      <c r="A4233" s="2" t="s">
        <v>3046</v>
      </c>
      <c r="B4233" s="2" t="str">
        <f>IFERROR(__xludf.DUMMYFUNCTION("IF(A4233&lt;&gt;"""", GOOGLETRANSLATE(A4233, ""en"", ""te""),"""")"),"[ 'ఇన్నింగ్స్ లో 5 వ అత్యధిక వికెట్లు (5)', 'ఇన్నింగ్స్ లో 3 వ అత్యధిక క్యాచ్లు (4)', 'అత్యధిక వికెట్లు ఇన్నింగ్స్ లో 1 వ అత్యధిక పరుగులు (157)', '5 వ ఒక క్యాలెండర్ సంవత్సరంలో అత్యధిక వందలు (2 ) ',' 10 వ కెరీర్ లో అత్యంత తొంభైల (2) ',' ఇన్నింగ్స్ లో 200 "&amp;"పరుగులు మరియు ఒక సిరీస్ ',' 3 వ అత్యధిక వికెట్లు కెరీర్లో (72) ',' 1 వ అత్యధిక క్యాచ్లు 10 వికెట్కీపింగ్ వికెట్లు (4) ',' కెరీర్ (31) 6 వ అత్యంత స్టంపింగ్లు ']")</f>
        <v>[ 'ఇన్నింగ్స్ లో 5 వ అత్యధిక వికెట్లు (5)', 'ఇన్నింగ్స్ లో 3 వ అత్యధిక క్యాచ్లు (4)', 'అత్యధిక వికెట్లు ఇన్నింగ్స్ లో 1 వ అత్యధిక పరుగులు (157)', '5 వ ఒక క్యాలెండర్ సంవత్సరంలో అత్యధిక వందలు (2 ) ',' 10 వ కెరీర్ లో అత్యంత తొంభైల (2) ',' ఇన్నింగ్స్ లో 200 పరుగులు మరియు ఒక సిరీస్ ',' 3 వ అత్యధిక వికెట్లు కెరీర్లో (72) ',' 1 వ అత్యధిక క్యాచ్లు 10 వికెట్కీపింగ్ వికెట్లు (4) ',' కెరీర్ (31) 6 వ అత్యంత స్టంపింగ్లు ']</v>
      </c>
      <c r="C4233" s="2"/>
      <c r="D4233" s="2" t="str">
        <f>IFERROR(__xludf.DUMMYFUNCTION("IF(C4233&lt;&gt;"""", GOOGLETRANSLATE(C4233, ""en"", ""te""),"""")"),"")</f>
        <v/>
      </c>
      <c r="E4233" s="2" t="s">
        <v>3047</v>
      </c>
      <c r="F4233" s="2" t="str">
        <f>IFERROR(__xludf.DUMMYFUNCTION("IF(E4233&lt;&gt;"""", GOOGLETRANSLATE(E4233, ""en"", ""te""),"""")"),"[ '10 వ ఇన్నింగ్స్ లో అత్యధిక పరుగులు (157)', '14 వ ఒక సిరీస్లో అత్యధిక పరుగులు (688)', '29th ఒక క్యాలెండర్ సంవత్సరంలో అత్యధిక పరుగులు (592)', '7 వ ఇన్నింగ్స్ లో అత్యధిక పరుగులు (బ్యాటింగ్ స్థానంలో ద్వారా) (157) ',' ఒక వికెట్ శ్రేణిలో (522) ',' 2 వ అత్యధి"&amp;"క పరుగులు ఒకే మైదానంలో 10 వ అత్యధిక పరుగులు (688) ',' అత్యధిక వికెట్లు ఇన్నింగ్స్ లో 1 వ అత్యధిక పరుగులు (157) ',' 25 వ ఒక వృత్తిలో అత్యధిక వందలు (2) ',' 6 వ ఒక సిరీస్లో అత్యధిక వందల ఒక క్యాలెండర్ సంవత్సరంలో (2) ',' 5 వ అత్యధిక వందలు (2) ',' 11 వ ఒక జట్ట"&amp;"ు వ్యతిరేకంగా అత్యధిక వందలు (2) ',' 48 వ అత్యధిక కెరీర్లో తొలి వంద (30y 143d) ',' 10 వ అత్యంత తొంభైల స్కోర్ వంద (30y 147d) ',' 19 వ అత్యంత వృద్ధ ఆటగాడు స్కోర్ కన్య వందల (108) ',' 31 అత్యంత వృద్ధ ఆటగాడు (2) ',' 46 వ అత్యంత కెరీర్లో అర్ధ (11) ',' వరుస ఇన్న"&amp;"ింగ్స్లో 28 యాభైల్లో (3) ',' 16 వ ఇన్నింగ్స్ తొలి డక్ ముందు (23) ',' రెండవ వికెట్ (153 *) 30 వ అత్యధిక భాగస్వామ్యం ',' 32 వ వరుస మ్యాచ్లు ఒక జట్టు (43) ',' 8 వ కెరీర్ లో అత్యధిక వికెట్లు (93) ',' 5 వ ఇన్నింగ్స్ లో అత్యధిక వికెట్లు (5) ',' 14 వ కొట్టి అత్"&amp;"యంత వరుస als (15) ',' 5 వ కెరీర్లో అత్యధిక క్యాచ్లు (72) ',' వరుస ఇన్నింగ్స్ (4) ',' 4 వ అత్యధిక క్యాచ్లు లో 3 వ అత్యధిక క్యాచ్లు (14) ',' 13 వ అత్యధిక కెరీర్ లో స్టంపింగ్లు (21) ']")</f>
        <v>[ '10 వ ఇన్నింగ్స్ లో అత్యధిక పరుగులు (157)', '14 వ ఒక సిరీస్లో అత్యధిక పరుగులు (688)', '29th ఒక క్యాలెండర్ సంవత్సరంలో అత్యధిక పరుగులు (592)', '7 వ ఇన్నింగ్స్ లో అత్యధిక పరుగులు (బ్యాటింగ్ స్థానంలో ద్వారా) (157) ',' ఒక వికెట్ శ్రేణిలో (522) ',' 2 వ అత్యధిక పరుగులు ఒకే మైదానంలో 10 వ అత్యధిక పరుగులు (688) ',' అత్యధిక వికెట్లు ఇన్నింగ్స్ లో 1 వ అత్యధిక పరుగులు (157) ',' 25 వ ఒక వృత్తిలో అత్యధిక వందలు (2) ',' 6 వ ఒక సిరీస్లో అత్యధిక వందల ఒక క్యాలెండర్ సంవత్సరంలో (2) ',' 5 వ అత్యధిక వందలు (2) ',' 11 వ ఒక జట్టు వ్యతిరేకంగా అత్యధిక వందలు (2) ',' 48 వ అత్యధిక కెరీర్లో తొలి వంద (30y 143d) ',' 10 వ అత్యంత తొంభైల స్కోర్ వంద (30y 147d) ',' 19 వ అత్యంత వృద్ధ ఆటగాడు స్కోర్ కన్య వందల (108) ',' 31 అత్యంత వృద్ధ ఆటగాడు (2) ',' 46 వ అత్యంత కెరీర్లో అర్ధ (11) ',' వరుస ఇన్నింగ్స్లో 28 యాభైల్లో (3) ',' 16 వ ఇన్నింగ్స్ తొలి డక్ ముందు (23) ',' రెండవ వికెట్ (153 *) 30 వ అత్యధిక భాగస్వామ్యం ',' 32 వ వరుస మ్యాచ్లు ఒక జట్టు (43) ',' 8 వ కెరీర్ లో అత్యధిక వికెట్లు (93) ',' 5 వ ఇన్నింగ్స్ లో అత్యధిక వికెట్లు (5) ',' 14 వ కొట్టి అత్యంత వరుస als (15) ',' 5 వ కెరీర్లో అత్యధిక క్యాచ్లు (72) ',' వరుస ఇన్నింగ్స్ (4) ',' 4 వ అత్యధిక క్యాచ్లు లో 3 వ అత్యధిక క్యాచ్లు (14) ',' 13 వ అత్యధిక కెరీర్ లో స్టంపింగ్లు (21) ']</v>
      </c>
      <c r="G4233" s="2" t="s">
        <v>3048</v>
      </c>
      <c r="H4233" s="2" t="str">
        <f>IFERROR(__xludf.DUMMYFUNCTION("IF(G4233&lt;&gt;"""", GOOGLETRANSLATE(G4233, ""en"", ""te""),"""")"),"[ '43 వ కెరీర్ లో అత్యధిక పరుగులు (873)', 'అత్యధిక వికెట్లు ఇన్నింగ్స్ 24 వ అత్యధిక పరుగులు (60)', 'ఒక డక్ లేకుండా 47 వ వరుస ఇన్నింగ్స్ (27 *)', 'కెరీర్లో 24 వ అతి తక్కువ బాతులు (21.33) ',' ఏడవ వికెట్ (30 *) ',' పదవ వికెట్కు 20 వ అత్యధిక భాగస్వామ్యం (13 *"&amp;") ',' 46 వ కెరీర్ లో అత్యధిక మ్యాచ్లు (75) కోసం 45 వ అత్యధిక భాగస్వామ్యం ',' 3 వ కెరీర్ లో అత్యధిక వికెట్లు (72) ',' ఇన్నింగ్స్ లో 6 వ అత్యధిక వికెట్లు కెరీర్లో (4) ',' 2 వ అత్యధిక క్యాచ్లు (41) ',' 1 వ ఇన్నింగ్స్ లో అత్యధిక క్యాచ్లు (4) ',' 6 వ అత్యంత స్"&amp;"టంపింగ్లు కెరీర్లో (31) ',' 9 వ ఒక ఇన్నింగ్స్ లో చాలా స్టంపింగ్లు (3) ',' 13 వ అత్యంత బైలు ఇన్నింగ్స్ లో సాధించిన (6) ']")</f>
        <v>[ '43 వ కెరీర్ లో అత్యధిక పరుగులు (873)', 'అత్యధిక వికెట్లు ఇన్నింగ్స్ 24 వ అత్యధిక పరుగులు (60)', 'ఒక డక్ లేకుండా 47 వ వరుస ఇన్నింగ్స్ (27 *)', 'కెరీర్లో 24 వ అతి తక్కువ బాతులు (21.33) ',' ఏడవ వికెట్ (30 *) ',' పదవ వికెట్కు 20 వ అత్యధిక భాగస్వామ్యం (13 *) ',' 46 వ కెరీర్ లో అత్యధిక మ్యాచ్లు (75) కోసం 45 వ అత్యధిక భాగస్వామ్యం ',' 3 వ కెరీర్ లో అత్యధిక వికెట్లు (72) ',' ఇన్నింగ్స్ లో 6 వ అత్యధిక వికెట్లు కెరీర్లో (4) ',' 2 వ అత్యధిక క్యాచ్లు (41) ',' 1 వ ఇన్నింగ్స్ లో అత్యధిక క్యాచ్లు (4) ',' 6 వ అత్యంత స్టంపింగ్లు కెరీర్లో (31) ',' 9 వ ఒక ఇన్నింగ్స్ లో చాలా స్టంపింగ్లు (3) ',' 13 వ అత్యంత బైలు ఇన్నింగ్స్ లో సాధించిన (6) ']</v>
      </c>
      <c r="I4233" s="3"/>
    </row>
    <row r="4234" customHeight="1" spans="1:9">
      <c r="A4234" s="2" t="s">
        <v>3049</v>
      </c>
      <c r="B4234" s="2" t="str">
        <f>IFERROR(__xludf.DUMMYFUNCTION("IF(A4234&lt;&gt;"""", GOOGLETRANSLATE(A4234, ""en"", ""te""),"""")"),"[ '9 వ చెత్త కెరీర్లో సమ్మె రేటు (72.2)', '4 వ అత్యధిక వరుస బాతులు (4)']")</f>
        <v>[ '9 వ చెత్త కెరీర్లో సమ్మె రేటు (72.2)', '4 వ అత్యధిక వరుస బాతులు (4)']</v>
      </c>
      <c r="C4234" s="2" t="s">
        <v>3050</v>
      </c>
      <c r="D4234" s="2" t="str">
        <f>IFERROR(__xludf.DUMMYFUNCTION("IF(C4234&lt;&gt;"""", GOOGLETRANSLATE(C4234, ""en"", ""te""),"""")"),"[ '35 వ అత్యంత వంద (1200) లేకుండా ఒక వృత్తిలో పరుగులు' '99 (199, 299 etc) (99) అవుటయ్యాడు 46 వ']")</f>
        <v>[ '35 వ అత్యంత వంద (1200) లేకుండా ఒక వృత్తిలో పరుగులు' '99 (199, 299 etc) (99) అవుటయ్యాడు 46 వ']</v>
      </c>
      <c r="E4234" s="2" t="s">
        <v>3051</v>
      </c>
      <c r="F4234" s="2" t="str">
        <f>IFERROR(__xludf.DUMMYFUNCTION("IF(E4234&lt;&gt;"""", GOOGLETRANSLATE(E4234, ""en"", ""te""),"""")"),"[ '29 చెత్త కెరీర్ బౌలింగ్ సరాసరి (50.24)', '9 వ చెత్త కెరీర్లో సమ్మె రేటు (72.2)']")</f>
        <v>[ '29 చెత్త కెరీర్ బౌలింగ్ సరాసరి (50.24)', '9 వ చెత్త కెరీర్లో సమ్మె రేటు (72.2)']</v>
      </c>
      <c r="G4234" s="2"/>
      <c r="H4234" s="2" t="str">
        <f>IFERROR(__xludf.DUMMYFUNCTION("IF(G4234&lt;&gt;"""", GOOGLETRANSLATE(G4234, ""en"", ""te""),"""")"),"")</f>
        <v/>
      </c>
      <c r="I4234" s="3"/>
    </row>
    <row r="4235" customHeight="1" spans="1:9">
      <c r="A4235" s="2" t="s">
        <v>3052</v>
      </c>
      <c r="B4235" s="2" t="str">
        <f>IFERROR(__xludf.DUMMYFUNCTION("IF(A4235&lt;&gt;"""", GOOGLETRANSLATE(A4235, ""en"", ""te""),"""")"),"[ '1st అత్యుత్తమ బౌలింగ్ ఇన్నింగ్స్ లో విశ్లేషించడం (1/0)', ​​'ఇన్నింగ్స్ లో 7 వ ఉత్తమ ఆర్థిక రేటు (0.20)', '1 వ అత్యధిక వికెట్లు తీసిన హిట్ వికెట్ (1)', 'బ్యాటింగ్ తెరవడం మరియు అదే లో బౌలింగ్ సరిపోలుతున్నాయని]")</f>
        <v>[ '1st అత్యుత్తమ బౌలింగ్ ఇన్నింగ్స్ లో విశ్లేషించడం (1/0)', ​​'ఇన్నింగ్స్ లో 7 వ ఉత్తమ ఆర్థిక రేటు (0.20)', '1 వ అత్యధిక వికెట్లు తీసిన హిట్ వికెట్ (1)', 'బ్యాటింగ్ తెరవడం మరియు అదే లో బౌలింగ్ సరిపోలుతున్నాయని]</v>
      </c>
      <c r="C4235" s="2"/>
      <c r="D4235" s="2" t="str">
        <f>IFERROR(__xludf.DUMMYFUNCTION("IF(C4235&lt;&gt;"""", GOOGLETRANSLATE(C4235, ""en"", ""te""),"""")"),"")</f>
        <v/>
      </c>
      <c r="E4235" s="2" t="s">
        <v>3053</v>
      </c>
      <c r="F4235" s="2" t="str">
        <f>IFERROR(__xludf.DUMMYFUNCTION("IF(E4235&lt;&gt;"""", GOOGLETRANSLATE(E4235, ""en"", ""te""),"""")"),"[ '22 వ అత్యంత వంద (1178) లేకుండా ఒక వృత్తిలో పరుగులు' '1 వ అత్యుత్తమ బౌలింగ్ ఇన్నింగ్స్ లో విశ్లేషించడం (1/0)', ​​'ఇన్నింగ్స్ లో 7 వ ఉత్తమ ఆర్థిక రేటు (0.20)', '1 వ అత్యధిక వికెట్లు తీసిన హిట్ వికెట్ (1) ',' 47 వ ఒక సిరీస్లో అత్యధిక క్యాచ్లు (6) ',' మొదట"&amp;"ి వికెట్కు 34 వ అత్యధిక భాగస్వామ్యం (153) ',' రెండవ వికెట్కు 47 వ అత్యధిక భాగస్వామ్యం (138) ',' 31 లాంగెస్ట్ కెరీర్లు (14y 71d) ',' 36 వ పిన్న కాప్టెన్ (23y 313d) ']")</f>
        <v>[ '22 వ అత్యంత వంద (1178) లేకుండా ఒక వృత్తిలో పరుగులు' '1 వ అత్యుత్తమ బౌలింగ్ ఇన్నింగ్స్ లో విశ్లేషించడం (1/0)', ​​'ఇన్నింగ్స్ లో 7 వ ఉత్తమ ఆర్థిక రేటు (0.20)', '1 వ అత్యధిక వికెట్లు తీసిన హిట్ వికెట్ (1) ',' 47 వ ఒక సిరీస్లో అత్యధిక క్యాచ్లు (6) ',' మొదటి వికెట్కు 34 వ అత్యధిక భాగస్వామ్యం (153) ',' రెండవ వికెట్కు 47 వ అత్యధిక భాగస్వామ్యం (138) ',' 31 లాంగెస్ట్ కెరీర్లు (14y 71d) ',' 36 వ పిన్న కాప్టెన్ (23y 313d) ']</v>
      </c>
      <c r="G4235" s="2"/>
      <c r="H4235" s="2" t="str">
        <f>IFERROR(__xludf.DUMMYFUNCTION("IF(G4235&lt;&gt;"""", GOOGLETRANSLATE(G4235, ""en"", ""te""),"""")"),"")</f>
        <v/>
      </c>
      <c r="I4235" s="3"/>
    </row>
    <row r="4236" customHeight="1" spans="1:9">
      <c r="A4236" s="2"/>
      <c r="B4236" s="2" t="str">
        <f>IFERROR(__xludf.DUMMYFUNCTION("IF(A4236&lt;&gt;"""", GOOGLETRANSLATE(A4236, ""en"", ""te""),"""")"),"")</f>
        <v/>
      </c>
      <c r="C4236" s="2"/>
      <c r="D4236" s="2" t="str">
        <f>IFERROR(__xludf.DUMMYFUNCTION("IF(C4236&lt;&gt;"""", GOOGLETRANSLATE(C4236, ""en"", ""te""),"""")"),"")</f>
        <v/>
      </c>
      <c r="E4236" s="2"/>
      <c r="F4236" s="2" t="str">
        <f>IFERROR(__xludf.DUMMYFUNCTION("IF(E4236&lt;&gt;"""", GOOGLETRANSLATE(E4236, ""en"", ""te""),"""")"),"")</f>
        <v/>
      </c>
      <c r="G4236" s="2"/>
      <c r="H4236" s="2" t="str">
        <f>IFERROR(__xludf.DUMMYFUNCTION("IF(G4236&lt;&gt;"""", GOOGLETRANSLATE(G4236, ""en"", ""te""),"""")"),"")</f>
        <v/>
      </c>
      <c r="I4236" s="3"/>
    </row>
    <row r="4237" customHeight="1" spans="1:9">
      <c r="A4237" s="2"/>
      <c r="B4237" s="2" t="str">
        <f>IFERROR(__xludf.DUMMYFUNCTION("IF(A4237&lt;&gt;"""", GOOGLETRANSLATE(A4237, ""en"", ""te""),"""")"),"")</f>
        <v/>
      </c>
      <c r="C4237" s="2"/>
      <c r="D4237" s="2" t="str">
        <f>IFERROR(__xludf.DUMMYFUNCTION("IF(C4237&lt;&gt;"""", GOOGLETRANSLATE(C4237, ""en"", ""te""),"""")"),"")</f>
        <v/>
      </c>
      <c r="E4237" s="2"/>
      <c r="F4237" s="2" t="str">
        <f>IFERROR(__xludf.DUMMYFUNCTION("IF(E4237&lt;&gt;"""", GOOGLETRANSLATE(E4237, ""en"", ""te""),"""")"),"")</f>
        <v/>
      </c>
      <c r="G4237" s="2"/>
      <c r="H4237" s="2" t="str">
        <f>IFERROR(__xludf.DUMMYFUNCTION("IF(G4237&lt;&gt;"""", GOOGLETRANSLATE(G4237, ""en"", ""te""),"""")"),"")</f>
        <v/>
      </c>
      <c r="I4237" s="3"/>
    </row>
    <row r="4238" customHeight="1" spans="1:9">
      <c r="A4238" s="2" t="s">
        <v>3054</v>
      </c>
      <c r="B4238" s="2" t="str">
        <f>IFERROR(__xludf.DUMMYFUNCTION("IF(A4238&lt;&gt;"""", GOOGLETRANSLATE(A4238, ""en"", ""te""),"""")"),"[ '10 వ అత్యంత వృద్ధ ఆటగాడు తొలి తీసుకుని ఐదు-వికెట్ల లో-ఒక-ఇన్నింగ్స్ (31y 79d)']")</f>
        <v>[ '10 వ అత్యంత వృద్ధ ఆటగాడు తొలి తీసుకుని ఐదు-వికెట్ల లో-ఒక-ఇన్నింగ్స్ (31y 79d)']</v>
      </c>
      <c r="C4238" s="2" t="s">
        <v>3055</v>
      </c>
      <c r="D4238" s="2" t="str">
        <f>IFERROR(__xludf.DUMMYFUNCTION("IF(C4238&lt;&gt;"""", GOOGLETRANSLATE(C4238, ""en"", ""te""),"""")"),"[ '19 మోస్ట్ వంద (412) లేకుండా ఒక వృత్తిలో పరుగులు', 'కెరీర్లో 11 వ లేవు బాతులు (17)', '43 వ ఉత్తమ కెరీర్ సగటు (24.26) బౌలింగ్', '17 వ ఉత్తమ కెరీర్ సమ్మె రేటు (59.3)', ' 10 వ కన్య తీసుకోవాలని అత్యంత వృద్ధ ఆటగాడు ఐదు వికెట్ల లో-ఒక-ఇన్నింగ్స్ (31y 79d) ']")</f>
        <v>[ '19 మోస్ట్ వంద (412) లేకుండా ఒక వృత్తిలో పరుగులు', 'కెరీర్లో 11 వ లేవు బాతులు (17)', '43 వ ఉత్తమ కెరీర్ సగటు (24.26) బౌలింగ్', '17 వ ఉత్తమ కెరీర్ సమ్మె రేటు (59.3)', ' 10 వ కన్య తీసుకోవాలని అత్యంత వృద్ధ ఆటగాడు ఐదు వికెట్ల లో-ఒక-ఇన్నింగ్స్ (31y 79d) ']</v>
      </c>
      <c r="E4238" s="2" t="s">
        <v>3056</v>
      </c>
      <c r="F4238" s="2" t="str">
        <f>IFERROR(__xludf.DUMMYFUNCTION("IF(E4238&lt;&gt;"""", GOOGLETRANSLATE(E4238, ""en"", ""te""),"""")"),"[ '11 వ ఒక ఇన్నింగ్స్ లోని బెస్ట్ ఫిగర్స్ ఉన్నప్పుడు పరాజయం వైపు (4)', '32 వ చెత్త కెరీర్లో సమ్మె రేటు (55.4)', 'ఆరవ వికెట్కు 16 అత్యధిక భాగస్వామ్యం (82 నాటౌట్)', '14 వ అత్యధిక ఏడవ కోసం భాగస్వామ్యంతో వికెట్ (73 *) ']")</f>
        <v>[ '11 వ ఒక ఇన్నింగ్స్ లోని బెస్ట్ ఫిగర్స్ ఉన్నప్పుడు పరాజయం వైపు (4)', '32 వ చెత్త కెరీర్లో సమ్మె రేటు (55.4)', 'ఆరవ వికెట్కు 16 అత్యధిక భాగస్వామ్యం (82 నాటౌట్)', '14 వ అత్యధిక ఏడవ కోసం భాగస్వామ్యంతో వికెట్ (73 *) ']</v>
      </c>
      <c r="G4238" s="2"/>
      <c r="H4238" s="2" t="str">
        <f>IFERROR(__xludf.DUMMYFUNCTION("IF(G4238&lt;&gt;"""", GOOGLETRANSLATE(G4238, ""en"", ""te""),"""")"),"")</f>
        <v/>
      </c>
      <c r="I4238" s="3"/>
    </row>
    <row r="4239" customHeight="1" spans="1:9">
      <c r="A4239" s="2"/>
      <c r="B4239" s="2" t="str">
        <f>IFERROR(__xludf.DUMMYFUNCTION("IF(A4239&lt;&gt;"""", GOOGLETRANSLATE(A4239, ""en"", ""te""),"""")"),"")</f>
        <v/>
      </c>
      <c r="C4239" s="2" t="s">
        <v>3057</v>
      </c>
      <c r="D4239" s="2" t="str">
        <f>IFERROR(__xludf.DUMMYFUNCTION("IF(C4239&lt;&gt;"""", GOOGLETRANSLATE(C4239, ""en"", ""te""),"""")"),"[ '1000 పరుగులు 26 వేగవంతమైన (20)' '31 లాంగెస్ట్ వ్యక్తిగత ఇన్నింగ్స్ (నిమిషాలు) (685)',]")</f>
        <v>[ '1000 పరుగులు 26 వేగవంతమైన (20)' '31 లాంగెస్ట్ వ్యక్తిగత ఇన్నింగ్స్ (నిమిషాలు) (685)',]</v>
      </c>
      <c r="E4239" s="2" t="s">
        <v>3058</v>
      </c>
      <c r="F4239" s="2" t="str">
        <f>IFERROR(__xludf.DUMMYFUNCTION("IF(E4239&lt;&gt;"""", GOOGLETRANSLATE(E4239, ""en"", ""te""),"""")"),"[ 'కెరీర్లో 16 వ లేవు బాతులు (24)', '31 లాంగెస్ట్ క్రీడాకారులు (64y 301d) నివసించారు']")</f>
        <v>[ 'కెరీర్లో 16 వ లేవు బాతులు (24)', '31 లాంగెస్ట్ క్రీడాకారులు (64y 301d) నివసించారు']</v>
      </c>
      <c r="G4239" s="2"/>
      <c r="H4239" s="2" t="str">
        <f>IFERROR(__xludf.DUMMYFUNCTION("IF(G4239&lt;&gt;"""", GOOGLETRANSLATE(G4239, ""en"", ""te""),"""")"),"")</f>
        <v/>
      </c>
      <c r="I4239" s="3"/>
    </row>
    <row r="4240" customHeight="1" spans="1:9">
      <c r="A4240" s="2" t="s">
        <v>1828</v>
      </c>
      <c r="B4240" s="2" t="str">
        <f>IFERROR(__xludf.DUMMYFUNCTION("IF(A4240&lt;&gt;"""", GOOGLETRANSLATE(A4240, ""en"", ""te""),"""")"),"[ 'ఇన్నింగ్స్ లో 4 వ అత్యధిక క్యాచ్లు (3)']")</f>
        <v>[ 'ఇన్నింగ్స్ లో 4 వ అత్యధిక క్యాచ్లు (3)']</v>
      </c>
      <c r="C4240" s="2"/>
      <c r="D4240" s="2" t="str">
        <f>IFERROR(__xludf.DUMMYFUNCTION("IF(C4240&lt;&gt;"""", GOOGLETRANSLATE(C4240, ""en"", ""te""),"""")"),"")</f>
        <v/>
      </c>
      <c r="E4240" s="2" t="s">
        <v>3059</v>
      </c>
      <c r="F4240" s="2" t="str">
        <f>IFERROR(__xludf.DUMMYFUNCTION("IF(E4240&lt;&gt;"""", GOOGLETRANSLATE(E4240, ""en"", ""te""),"""")"),"[ '37 వ ఉత్తమ కెరీర్ సమ్మె రేటు (35.0)', '31 అత్యధిక వికెట్లు క్యాచ్ మరియు బౌల్డ్ (5) తీసుకోకూడదు', 'ఇన్నింగ్స్ లో 4 వ అత్యధిక క్యాచ్లు (3)']")</f>
        <v>[ '37 వ ఉత్తమ కెరీర్ సమ్మె రేటు (35.0)', '31 అత్యధిక వికెట్లు క్యాచ్ మరియు బౌల్డ్ (5) తీసుకోకూడదు', 'ఇన్నింగ్స్ లో 4 వ అత్యధిక క్యాచ్లు (3)']</v>
      </c>
      <c r="G4240" s="2"/>
      <c r="H4240" s="2" t="str">
        <f>IFERROR(__xludf.DUMMYFUNCTION("IF(G4240&lt;&gt;"""", GOOGLETRANSLATE(G4240, ""en"", ""te""),"""")"),"")</f>
        <v/>
      </c>
      <c r="I4240" s="3"/>
    </row>
    <row r="4241" customHeight="1" spans="1:9">
      <c r="A4241" s="2" t="s">
        <v>3060</v>
      </c>
      <c r="B4241" s="2" t="str">
        <f>IFERROR(__xludf.DUMMYFUNCTION("IF(A4241&lt;&gt;"""", GOOGLETRANSLATE(A4241, ""en"", ""te""),"""")"),"[ 'ఇన్నింగ్స్ లో 7 వ అత్యంత ఫోర్లు (13)']")</f>
        <v>[ 'ఇన్నింగ్స్ లో 7 వ అత్యంత ఫోర్లు (13)']</v>
      </c>
      <c r="C4241" s="2"/>
      <c r="D4241" s="2" t="str">
        <f>IFERROR(__xludf.DUMMYFUNCTION("IF(C4241&lt;&gt;"""", GOOGLETRANSLATE(C4241, ""en"", ""te""),"""")"),"")</f>
        <v/>
      </c>
      <c r="E4241" s="2"/>
      <c r="F4241" s="2" t="str">
        <f>IFERROR(__xludf.DUMMYFUNCTION("IF(E4241&lt;&gt;"""", GOOGLETRANSLATE(E4241, ""en"", ""te""),"""")"),"")</f>
        <v/>
      </c>
      <c r="G4241" s="2" t="s">
        <v>3061</v>
      </c>
      <c r="H4241" s="2" t="str">
        <f>IFERROR(__xludf.DUMMYFUNCTION("IF(G4241&lt;&gt;"""", GOOGLETRANSLATE(G4241, ""en"", ""te""),"""")"),"[ '21 వ తొలి మ్యాచ్లో అత్యధిక పరుగులు (63)', 'ఇన్నింగ్స్ లో 7 వ అత్యంత ఫోర్లు (13)']")</f>
        <v>[ '21 వ తొలి మ్యాచ్లో అత్యధిక పరుగులు (63)', 'ఇన్నింగ్స్ లో 7 వ అత్యంత ఫోర్లు (13)']</v>
      </c>
      <c r="I4241" s="3"/>
    </row>
    <row r="4242" customHeight="1" spans="1:9">
      <c r="A4242" s="2"/>
      <c r="B4242" s="2" t="str">
        <f>IFERROR(__xludf.DUMMYFUNCTION("IF(A4242&lt;&gt;"""", GOOGLETRANSLATE(A4242, ""en"", ""te""),"""")"),"")</f>
        <v/>
      </c>
      <c r="C4242" s="2" t="s">
        <v>3062</v>
      </c>
      <c r="D4242" s="2" t="str">
        <f>IFERROR(__xludf.DUMMYFUNCTION("IF(C4242&lt;&gt;"""", GOOGLETRANSLATE(C4242, ""en"", ""te""),"""")"),"[ 'తొలి వికెట్కు (254) కోసం 33 వ అత్యధిక భాగస్వామ్యం']")</f>
        <v>[ 'తొలి వికెట్కు (254) కోసం 33 వ అత్యధిక భాగస్వామ్యం']</v>
      </c>
      <c r="E4242" s="2"/>
      <c r="F4242" s="2" t="str">
        <f>IFERROR(__xludf.DUMMYFUNCTION("IF(E4242&lt;&gt;"""", GOOGLETRANSLATE(E4242, ""en"", ""te""),"""")"),"")</f>
        <v/>
      </c>
      <c r="G4242" s="2"/>
      <c r="H4242" s="2" t="str">
        <f>IFERROR(__xludf.DUMMYFUNCTION("IF(G4242&lt;&gt;"""", GOOGLETRANSLATE(G4242, ""en"", ""te""),"""")"),"")</f>
        <v/>
      </c>
      <c r="I4242" s="3"/>
    </row>
    <row r="4243" customHeight="1" spans="1:9">
      <c r="A4243" s="2"/>
      <c r="B4243" s="2" t="str">
        <f>IFERROR(__xludf.DUMMYFUNCTION("IF(A4243&lt;&gt;"""", GOOGLETRANSLATE(A4243, ""en"", ""te""),"""")"),"")</f>
        <v/>
      </c>
      <c r="C4243" s="2"/>
      <c r="D4243" s="2" t="str">
        <f>IFERROR(__xludf.DUMMYFUNCTION("IF(C4243&lt;&gt;"""", GOOGLETRANSLATE(C4243, ""en"", ""te""),"""")"),"")</f>
        <v/>
      </c>
      <c r="E4243" s="2"/>
      <c r="F4243" s="2" t="str">
        <f>IFERROR(__xludf.DUMMYFUNCTION("IF(E4243&lt;&gt;"""", GOOGLETRANSLATE(E4243, ""en"", ""te""),"""")"),"")</f>
        <v/>
      </c>
      <c r="G4243" s="2"/>
      <c r="H4243" s="2" t="str">
        <f>IFERROR(__xludf.DUMMYFUNCTION("IF(G4243&lt;&gt;"""", GOOGLETRANSLATE(G4243, ""en"", ""te""),"""")"),"")</f>
        <v/>
      </c>
      <c r="I4243" s="3"/>
    </row>
    <row r="4244" customHeight="1" spans="1:9">
      <c r="A4244" s="2"/>
      <c r="B4244" s="2" t="str">
        <f>IFERROR(__xludf.DUMMYFUNCTION("IF(A4244&lt;&gt;"""", GOOGLETRANSLATE(A4244, ""en"", ""te""),"""")"),"")</f>
        <v/>
      </c>
      <c r="C4244" s="2"/>
      <c r="D4244" s="2" t="str">
        <f>IFERROR(__xludf.DUMMYFUNCTION("IF(C4244&lt;&gt;"""", GOOGLETRANSLATE(C4244, ""en"", ""te""),"""")"),"")</f>
        <v/>
      </c>
      <c r="E4244" s="2"/>
      <c r="F4244" s="2" t="str">
        <f>IFERROR(__xludf.DUMMYFUNCTION("IF(E4244&lt;&gt;"""", GOOGLETRANSLATE(E4244, ""en"", ""te""),"""")"),"")</f>
        <v/>
      </c>
      <c r="G4244" s="2"/>
      <c r="H4244" s="2" t="str">
        <f>IFERROR(__xludf.DUMMYFUNCTION("IF(G4244&lt;&gt;"""", GOOGLETRANSLATE(G4244, ""en"", ""te""),"""")"),"")</f>
        <v/>
      </c>
      <c r="I4244" s="3"/>
    </row>
    <row r="4245" customHeight="1" spans="1:9">
      <c r="A4245" s="2"/>
      <c r="B4245" s="2" t="str">
        <f>IFERROR(__xludf.DUMMYFUNCTION("IF(A4245&lt;&gt;"""", GOOGLETRANSLATE(A4245, ""en"", ""te""),"""")"),"")</f>
        <v/>
      </c>
      <c r="C4245" s="2"/>
      <c r="D4245" s="2" t="str">
        <f>IFERROR(__xludf.DUMMYFUNCTION("IF(C4245&lt;&gt;"""", GOOGLETRANSLATE(C4245, ""en"", ""te""),"""")"),"")</f>
        <v/>
      </c>
      <c r="E4245" s="2"/>
      <c r="F4245" s="2" t="str">
        <f>IFERROR(__xludf.DUMMYFUNCTION("IF(E4245&lt;&gt;"""", GOOGLETRANSLATE(E4245, ""en"", ""te""),"""")"),"")</f>
        <v/>
      </c>
      <c r="G4245" s="2"/>
      <c r="H4245" s="2" t="str">
        <f>IFERROR(__xludf.DUMMYFUNCTION("IF(G4245&lt;&gt;"""", GOOGLETRANSLATE(G4245, ""en"", ""te""),"""")"),"")</f>
        <v/>
      </c>
      <c r="I4245" s="3"/>
    </row>
    <row r="4246" customHeight="1" spans="1:9">
      <c r="A4246" s="2"/>
      <c r="B4246" s="2" t="str">
        <f>IFERROR(__xludf.DUMMYFUNCTION("IF(A4246&lt;&gt;"""", GOOGLETRANSLATE(A4246, ""en"", ""te""),"""")"),"")</f>
        <v/>
      </c>
      <c r="C4246" s="2"/>
      <c r="D4246" s="2" t="str">
        <f>IFERROR(__xludf.DUMMYFUNCTION("IF(C4246&lt;&gt;"""", GOOGLETRANSLATE(C4246, ""en"", ""te""),"""")"),"")</f>
        <v/>
      </c>
      <c r="E4246" s="2"/>
      <c r="F4246" s="2" t="str">
        <f>IFERROR(__xludf.DUMMYFUNCTION("IF(E4246&lt;&gt;"""", GOOGLETRANSLATE(E4246, ""en"", ""te""),"""")"),"")</f>
        <v/>
      </c>
      <c r="G4246" s="2"/>
      <c r="H4246" s="2" t="str">
        <f>IFERROR(__xludf.DUMMYFUNCTION("IF(G4246&lt;&gt;"""", GOOGLETRANSLATE(G4246, ""en"", ""te""),"""")"),"")</f>
        <v/>
      </c>
      <c r="I4246" s="3"/>
    </row>
    <row r="4247" customHeight="1" spans="1:9">
      <c r="A4247" s="2"/>
      <c r="B4247" s="2" t="str">
        <f>IFERROR(__xludf.DUMMYFUNCTION("IF(A4247&lt;&gt;"""", GOOGLETRANSLATE(A4247, ""en"", ""te""),"""")"),"")</f>
        <v/>
      </c>
      <c r="C4247" s="2"/>
      <c r="D4247" s="2" t="str">
        <f>IFERROR(__xludf.DUMMYFUNCTION("IF(C4247&lt;&gt;"""", GOOGLETRANSLATE(C4247, ""en"", ""te""),"""")"),"")</f>
        <v/>
      </c>
      <c r="E4247" s="2" t="s">
        <v>3063</v>
      </c>
      <c r="F4247" s="2" t="str">
        <f>IFERROR(__xludf.DUMMYFUNCTION("IF(E4247&lt;&gt;"""", GOOGLETRANSLATE(E4247, ""en"", ""te""),"""")"),"[ '41 వ ఉత్తమ కెరీర్ బౌలింగ్ సరాసరి (అర్హత లేకుండా) (13.00)']")</f>
        <v>[ '41 వ ఉత్తమ కెరీర్ బౌలింగ్ సరాసరి (అర్హత లేకుండా) (13.00)']</v>
      </c>
      <c r="G4247" s="2"/>
      <c r="H4247" s="2" t="str">
        <f>IFERROR(__xludf.DUMMYFUNCTION("IF(G4247&lt;&gt;"""", GOOGLETRANSLATE(G4247, ""en"", ""te""),"""")"),"")</f>
        <v/>
      </c>
      <c r="I4247" s="3"/>
    </row>
    <row r="4248" customHeight="1" spans="1:9">
      <c r="A4248" s="2"/>
      <c r="B4248" s="2" t="str">
        <f>IFERROR(__xludf.DUMMYFUNCTION("IF(A4248&lt;&gt;"""", GOOGLETRANSLATE(A4248, ""en"", ""te""),"""")"),"")</f>
        <v/>
      </c>
      <c r="C4248" s="2" t="s">
        <v>3064</v>
      </c>
      <c r="D4248" s="2" t="str">
        <f>IFERROR(__xludf.DUMMYFUNCTION("IF(C4248&lt;&gt;"""", GOOGLETRANSLATE(C4248, ""en"", ""te""),"""")"),"[ 'కెరీర్లో 25 వ లేవు బాతులు (20)', 'ఒక కెప్టెన్తో ఒక ఇన్నింగ్స్ లో 16 వ బెస్ట్ ఫిగర్స్ (6)']")</f>
        <v>[ 'కెరీర్లో 25 వ లేవు బాతులు (20)', 'ఒక కెప్టెన్తో ఒక ఇన్నింగ్స్ లో 16 వ బెస్ట్ ఫిగర్స్ (6)']</v>
      </c>
      <c r="E4248" s="2"/>
      <c r="F4248" s="2" t="str">
        <f>IFERROR(__xludf.DUMMYFUNCTION("IF(E4248&lt;&gt;"""", GOOGLETRANSLATE(E4248, ""en"", ""te""),"""")"),"")</f>
        <v/>
      </c>
      <c r="G4248" s="2"/>
      <c r="H4248" s="2" t="str">
        <f>IFERROR(__xludf.DUMMYFUNCTION("IF(G4248&lt;&gt;"""", GOOGLETRANSLATE(G4248, ""en"", ""te""),"""")"),"")</f>
        <v/>
      </c>
      <c r="I4248" s="3"/>
    </row>
    <row r="4249" customHeight="1" spans="1:9">
      <c r="A4249" s="2"/>
      <c r="B4249" s="2" t="str">
        <f>IFERROR(__xludf.DUMMYFUNCTION("IF(A4249&lt;&gt;"""", GOOGLETRANSLATE(A4249, ""en"", ""te""),"""")"),"")</f>
        <v/>
      </c>
      <c r="C4249" s="2"/>
      <c r="D4249" s="2" t="str">
        <f>IFERROR(__xludf.DUMMYFUNCTION("IF(C4249&lt;&gt;"""", GOOGLETRANSLATE(C4249, ""en"", ""te""),"""")"),"")</f>
        <v/>
      </c>
      <c r="E4249" s="2"/>
      <c r="F4249" s="2" t="str">
        <f>IFERROR(__xludf.DUMMYFUNCTION("IF(E4249&lt;&gt;"""", GOOGLETRANSLATE(E4249, ""en"", ""te""),"""")"),"")</f>
        <v/>
      </c>
      <c r="G4249" s="2"/>
      <c r="H4249" s="2" t="str">
        <f>IFERROR(__xludf.DUMMYFUNCTION("IF(G4249&lt;&gt;"""", GOOGLETRANSLATE(G4249, ""en"", ""te""),"""")"),"")</f>
        <v/>
      </c>
      <c r="I4249" s="3"/>
    </row>
    <row r="4250" customHeight="1" spans="1:9">
      <c r="A4250" s="2" t="s">
        <v>3065</v>
      </c>
      <c r="B4250" s="2" t="str">
        <f>IFERROR(__xludf.DUMMYFUNCTION("IF(A4250&lt;&gt;"""", GOOGLETRANSLATE(A4250, ""en"", ""te""),"""")"),"[ 'ప్రవేశం (171) పై వంద']")</f>
        <v>[ 'ప్రవేశం (171) పై వంద']</v>
      </c>
      <c r="C4250" s="2" t="s">
        <v>3066</v>
      </c>
      <c r="D4250" s="2" t="str">
        <f>IFERROR(__xludf.DUMMYFUNCTION("IF(C4250&lt;&gt;"""", GOOGLETRANSLATE(C4250, ""en"", ""te""),"""")"),"[ '25 తొలి మ్యాచ్లో అత్యధిక పరుగులు (171)']")</f>
        <v>[ '25 తొలి మ్యాచ్లో అత్యధిక పరుగులు (171)']</v>
      </c>
      <c r="E4250" s="2"/>
      <c r="F4250" s="2" t="str">
        <f>IFERROR(__xludf.DUMMYFUNCTION("IF(E4250&lt;&gt;"""", GOOGLETRANSLATE(E4250, ""en"", ""te""),"""")"),"")</f>
        <v/>
      </c>
      <c r="G4250" s="2" t="s">
        <v>3067</v>
      </c>
      <c r="H4250" s="2" t="str">
        <f>IFERROR(__xludf.DUMMYFUNCTION("IF(G4250&lt;&gt;"""", GOOGLETRANSLATE(G4250, ""en"", ""te""),"""")"),"[ 'రెండవ వికెట్కు 30 వ అత్యధిక భాగస్వామ్యం (114)', '14 వ వరుస మ్యాచ్లు ప్రదర్శనల మధ్య బృందం (51) కోసం తప్పిన' 'ప్రదర్శనల మధ్య 24 లాంగెస్ట్ వ్యవధిలో (5 సం 289d)']")</f>
        <v>[ 'రెండవ వికెట్కు 30 వ అత్యధిక భాగస్వామ్యం (114)', '14 వ వరుస మ్యాచ్లు ప్రదర్శనల మధ్య బృందం (51) కోసం తప్పిన' 'ప్రదర్శనల మధ్య 24 లాంగెస్ట్ వ్యవధిలో (5 సం 289d)']</v>
      </c>
      <c r="I4250" s="3"/>
    </row>
    <row r="4251" customHeight="1" spans="1:9">
      <c r="A4251" s="2"/>
      <c r="B4251" s="2" t="str">
        <f>IFERROR(__xludf.DUMMYFUNCTION("IF(A4251&lt;&gt;"""", GOOGLETRANSLATE(A4251, ""en"", ""te""),"""")"),"")</f>
        <v/>
      </c>
      <c r="C4251" s="2"/>
      <c r="D4251" s="2" t="str">
        <f>IFERROR(__xludf.DUMMYFUNCTION("IF(C4251&lt;&gt;"""", GOOGLETRANSLATE(C4251, ""en"", ""te""),"""")"),"")</f>
        <v/>
      </c>
      <c r="E4251" s="2"/>
      <c r="F4251" s="2" t="str">
        <f>IFERROR(__xludf.DUMMYFUNCTION("IF(E4251&lt;&gt;"""", GOOGLETRANSLATE(E4251, ""en"", ""te""),"""")"),"")</f>
        <v/>
      </c>
      <c r="G4251" s="2"/>
      <c r="H4251" s="2" t="str">
        <f>IFERROR(__xludf.DUMMYFUNCTION("IF(G4251&lt;&gt;"""", GOOGLETRANSLATE(G4251, ""en"", ""te""),"""")"),"")</f>
        <v/>
      </c>
      <c r="I4251" s="3"/>
    </row>
    <row r="4252" customHeight="1" spans="1:9">
      <c r="A4252" s="2"/>
      <c r="B4252" s="2" t="str">
        <f>IFERROR(__xludf.DUMMYFUNCTION("IF(A4252&lt;&gt;"""", GOOGLETRANSLATE(A4252, ""en"", ""te""),"""")"),"")</f>
        <v/>
      </c>
      <c r="C4252" s="2"/>
      <c r="D4252" s="2" t="str">
        <f>IFERROR(__xludf.DUMMYFUNCTION("IF(C4252&lt;&gt;"""", GOOGLETRANSLATE(C4252, ""en"", ""te""),"""")"),"")</f>
        <v/>
      </c>
      <c r="E4252" s="2" t="s">
        <v>3068</v>
      </c>
      <c r="F4252" s="2" t="str">
        <f>IFERROR(__xludf.DUMMYFUNCTION("IF(E4252&lt;&gt;"""", GOOGLETRANSLATE(E4252, ""en"", ""te""),"""")"),"[ '26 చెత్త కెరీర్ బౌలింగ్ సరాసరి (అర్హత లేకుండా) (84.00)']")</f>
        <v>[ '26 చెత్త కెరీర్ బౌలింగ్ సరాసరి (అర్హత లేకుండా) (84.00)']</v>
      </c>
      <c r="G4252" s="2"/>
      <c r="H4252" s="2" t="str">
        <f>IFERROR(__xludf.DUMMYFUNCTION("IF(G4252&lt;&gt;"""", GOOGLETRANSLATE(G4252, ""en"", ""te""),"""")"),"")</f>
        <v/>
      </c>
      <c r="I4252" s="3"/>
    </row>
    <row r="4253" customHeight="1" spans="1:9">
      <c r="A4253" s="2" t="s">
        <v>3069</v>
      </c>
      <c r="B4253" s="2" t="str">
        <f>IFERROR(__xludf.DUMMYFUNCTION("IF(A4253&lt;&gt;"""", GOOGLETRANSLATE(A4253, ""en"", ""te""),"""")"),"[ '7 వ అత్యధిక ఇన్నింగ్స్ బై గూడా ఇవ్వకుండా మొత్తం (285)', 'కెరీర్ లో 3 వ అత్యధిక వికెట్లు (133)', 'కెరీర్ లో 2 వ అత్యధిక క్యాచ్లు (89)', '6 వ ఇన్నింగ్స్ లో వచ్చిన ఎక్కువ స్టంపింగ్లు (3)', ' 3 వ అత్యంత ఇన్నింగ్స్ లో నడుస్తుంది (బ్యాటింగ్ స్థానం) (84 *) '"&amp;",' 200 పరుగులు మరియు ఒక సిరీస్లో 10 వికెట్కీపింగ్ తొలగింపులకు ']")</f>
        <v>[ '7 వ అత్యధిక ఇన్నింగ్స్ బై గూడా ఇవ్వకుండా మొత్తం (285)', 'కెరీర్ లో 3 వ అత్యధిక వికెట్లు (133)', 'కెరీర్ లో 2 వ అత్యధిక క్యాచ్లు (89)', '6 వ ఇన్నింగ్స్ లో వచ్చిన ఎక్కువ స్టంపింగ్లు (3)', ' 3 వ అత్యంత ఇన్నింగ్స్ లో నడుస్తుంది (బ్యాటింగ్ స్థానం) (84 *) ',' 200 పరుగులు మరియు ఒక సిరీస్లో 10 వికెట్కీపింగ్ తొలగింపులకు ']</v>
      </c>
      <c r="C4253" s="2" t="s">
        <v>3070</v>
      </c>
      <c r="D4253" s="2" t="str">
        <f>IFERROR(__xludf.DUMMYFUNCTION("IF(C4253&lt;&gt;"""", GOOGLETRANSLATE(C4253, ""en"", ""te""),"""")"),"[ 'ఏడవ వికెట్కు 20 వ అత్యధిక భాగస్వామ్యం (73)', '7 వ అత్యధిక ఇన్నింగ్స్ బై (285) గూడా ఇవ్వకుండా మొత్తం']")</f>
        <v>[ 'ఏడవ వికెట్కు 20 వ అత్యధిక భాగస్వామ్యం (73)', '7 వ అత్యధిక ఇన్నింగ్స్ బై (285) గూడా ఇవ్వకుండా మొత్తం']</v>
      </c>
      <c r="E4253" s="2" t="s">
        <v>3071</v>
      </c>
      <c r="F4253" s="2" t="str">
        <f>IFERROR(__xludf.DUMMYFUNCTION("IF(E4253&lt;&gt;"""", GOOGLETRANSLATE(E4253, ""en"", ""te""),"""")"),"[ '33 వ కెరీర్ లో అత్యధిక పరుగులు (2201)', '49 వ ఒక క్యాలెండర్ ఏడాది (524) అత్యధిక పరుగులు' '3 వ అత్యంత ఇన్నింగ్స్ లో నడుస్తుంది (బ్యాటింగ్ స్థానం) (84 *)', '4 వ మ్యాచ్ లో అత్యధిక పరుగులు పరాజయం వైపు (114) ',' 12 వ ఒకే మైదానంలో అత్యధిక పరుగులు (495) ','"&amp;" 18 వ అత్యధిక వికెట్లు ఒక సిరీస్లో అత్యధిక పరుగులు (219) ',' 9 వ అత్యధిక వికెట్లు ఇన్నింగ్స్ లో అత్యధిక పరుగులు (114) ',' 25 వ ఒక వృత్తిలో అత్యధిక వందలు (2) ',' 11 వ ఒక జట్టు (2) ',' 35 వ అత్యధిక తొలి వంద (114) ',' 28th అత్యంత వృద్ధ ఆటగాడు వ్యతిరేకంగా అత్"&amp;"యధిక వందలు వంద (31y 183d) స్కోర్ ', '38 వ కెరీర్ అర్ధ (14)', 'వరుస ఇన్నింగ్స్లో 28 యాభైల్లో (3)', '21 వ అత్యంత బాతులు కెరీర్లో (9) ',' రెండవ వికెట్కు 18 అత్యధిక భాగస్వామ్యం (170) ',' 11 వ అత్యధిక భాగస్వామ్యం ఐదో వికెట్కు (108 *) ఏడవ వికెట్కు ',' 34 వ అత్"&amp;"యధిక భాగస్వామ్యం (61) ',' 38 వ కెరీర్ లో అత్యధిక మ్యాచ్లు (104) ',' ఒక జట్టుకు 49 వ వరుస మ్యాచ్లు కోసం (39) ',' 3 వ అత్యంత వరుస ఇన్నింగ్స్ లో కెరీర్లో వికెట్లు (133) ',' 17 వ అత్యధిక వికెట్లు (4) ',' 17 వ అత్యధిక వికెట్లు (14) ', 'కెరీర్ లో 2 వ అత్యధిక క్"&amp;"యాచ్లు (89)', 'ఇన్నింగ్స్ (4) 3 వ అత్యధిక క్యాచ్లు' 'ఒక సిరీస్లో 6 వ అత్యధిక క్యాచ్లు (13)', '6 వ అత్యంత స్టంపింగ్లు కెరీర్లో (44)', '6 వ అత్యంత స్టంపింగ్లు ఇన్నింగ్స్ వరుస (3) ',' 22 వ అత్యంత స్టంపింగ్లు లో (5) ']")</f>
        <v>[ '33 వ కెరీర్ లో అత్యధిక పరుగులు (2201)', '49 వ ఒక క్యాలెండర్ ఏడాది (524) అత్యధిక పరుగులు' '3 వ అత్యంత ఇన్నింగ్స్ లో నడుస్తుంది (బ్యాటింగ్ స్థానం) (84 *)', '4 వ మ్యాచ్ లో అత్యధిక పరుగులు పరాజయం వైపు (114) ',' 12 వ ఒకే మైదానంలో అత్యధిక పరుగులు (495) ',' 18 వ అత్యధిక వికెట్లు ఒక సిరీస్లో అత్యధిక పరుగులు (219) ',' 9 వ అత్యధిక వికెట్లు ఇన్నింగ్స్ లో అత్యధిక పరుగులు (114) ',' 25 వ ఒక వృత్తిలో అత్యధిక వందలు (2) ',' 11 వ ఒక జట్టు (2) ',' 35 వ అత్యధిక తొలి వంద (114) ',' 28th అత్యంత వృద్ధ ఆటగాడు వ్యతిరేకంగా అత్యధిక వందలు వంద (31y 183d) స్కోర్ ', '38 వ కెరీర్ అర్ధ (14)', 'వరుస ఇన్నింగ్స్లో 28 యాభైల్లో (3)', '21 వ అత్యంత బాతులు కెరీర్లో (9) ',' రెండవ వికెట్కు 18 అత్యధిక భాగస్వామ్యం (170) ',' 11 వ అత్యధిక భాగస్వామ్యం ఐదో వికెట్కు (108 *) ఏడవ వికెట్కు ',' 34 వ అత్యధిక భాగస్వామ్యం (61) ',' 38 వ కెరీర్ లో అత్యధిక మ్యాచ్లు (104) ',' ఒక జట్టుకు 49 వ వరుస మ్యాచ్లు కోసం (39) ',' 3 వ అత్యంత వరుస ఇన్నింగ్స్ లో కెరీర్లో వికెట్లు (133) ',' 17 వ అత్యధిక వికెట్లు (4) ',' 17 వ అత్యధిక వికెట్లు (14) ', 'కెరీర్ లో 2 వ అత్యధిక క్యాచ్లు (89)', 'ఇన్నింగ్స్ (4) 3 వ అత్యధిక క్యాచ్లు' 'ఒక సిరీస్లో 6 వ అత్యధిక క్యాచ్లు (13)', '6 వ అత్యంత స్టంపింగ్లు కెరీర్లో (44)', '6 వ అత్యంత స్టంపింగ్లు ఇన్నింగ్స్ వరుస (3) ',' 22 వ అత్యంత స్టంపింగ్లు లో (5) ']</v>
      </c>
      <c r="G4253" s="2"/>
      <c r="H4253" s="2" t="str">
        <f>IFERROR(__xludf.DUMMYFUNCTION("IF(G4253&lt;&gt;"""", GOOGLETRANSLATE(G4253, ""en"", ""te""),"""")"),"")</f>
        <v/>
      </c>
      <c r="I4253" s="3"/>
    </row>
    <row r="4254" customHeight="1" spans="1:9">
      <c r="A4254" s="2" t="s">
        <v>3072</v>
      </c>
      <c r="B4254" s="2" t="str">
        <f>IFERROR(__xludf.DUMMYFUNCTION("IF(A4254&lt;&gt;"""", GOOGLETRANSLATE(A4254, ""en"", ""te""),"""")"),"[ 'ఒక మ్యాచ్ రిఫరీ గా 9 వ అత్యధిక మ్యాచ్లు (50)', 'ఒక ఇన్నింగ్స్లో పరుగుల 7 వ అత్యధిక శాతం (62.89)']")</f>
        <v>[ 'ఒక మ్యాచ్ రిఫరీ గా 9 వ అత్యధిక మ్యాచ్లు (50)', 'ఒక ఇన్నింగ్స్లో పరుగుల 7 వ అత్యధిక శాతం (62.89)']</v>
      </c>
      <c r="C4254" s="2" t="s">
        <v>3073</v>
      </c>
      <c r="D4254" s="2" t="str">
        <f>IFERROR(__xludf.DUMMYFUNCTION("IF(C4254&lt;&gt;"""", GOOGLETRANSLATE(C4254, ""en"", ""te""),"""")"),"[ '31 మోస్ట్ ఒక కెప్టెన్ ద్వారా ఒక సిరీస్లో పరుగులు (546)', 'ఒక డక్ లేకుండా 41 వ వరుస ఇన్నింగ్స్ (55)', 'ఒక ఇన్నింగ్స్లో పరుగుల 7 వ అత్యధిక శాతం (62.89)', '16 వ ఉత్తమ ఒక లో సంఖ్యలు ఒక కెప్టెన్ (6) ',' 26th ఓల్డెస్ట్ క్రీడాకారుడు ఇన్నింగ్స్ తొలి ఐదు వికెట్"&amp;"ల లో-ఒక-ఇన్నింగ్స్ (35y 270d) ',' 41 వ వరుస మ్యాచ్లు జట్టు (58) ',' 35 వ లాంగెస్ట్ క్రీడాకారులు నివసించారు తీసుకోవాలని ఒక జట్టు కెప్టెన్గా (92y 133d) ',' 36 వ కెప్టెన్గా అత్యధిక మ్యాచ్లు (34) ',' 15 వ వరుస మ్యాచ్లు (34) ',' 9 వ మ్యాచ్ రిఫరీ గా అత్యధిక మ్య"&amp;"ాచ్లు (50) ']")</f>
        <v>[ '31 మోస్ట్ ఒక కెప్టెన్ ద్వారా ఒక సిరీస్లో పరుగులు (546)', 'ఒక డక్ లేకుండా 41 వ వరుస ఇన్నింగ్స్ (55)', 'ఒక ఇన్నింగ్స్లో పరుగుల 7 వ అత్యధిక శాతం (62.89)', '16 వ ఉత్తమ ఒక లో సంఖ్యలు ఒక కెప్టెన్ (6) ',' 26th ఓల్డెస్ట్ క్రీడాకారుడు ఇన్నింగ్స్ తొలి ఐదు వికెట్ల లో-ఒక-ఇన్నింగ్స్ (35y 270d) ',' 41 వ వరుస మ్యాచ్లు జట్టు (58) ',' 35 వ లాంగెస్ట్ క్రీడాకారులు నివసించారు తీసుకోవాలని ఒక జట్టు కెప్టెన్గా (92y 133d) ',' 36 వ కెప్టెన్గా అత్యధిక మ్యాచ్లు (34) ',' 15 వ వరుస మ్యాచ్లు (34) ',' 9 వ మ్యాచ్ రిఫరీ గా అత్యధిక మ్యాచ్లు (50) ']</v>
      </c>
      <c r="E4254" s="2" t="s">
        <v>3074</v>
      </c>
      <c r="F4254" s="2" t="str">
        <f>IFERROR(__xludf.DUMMYFUNCTION("IF(E4254&lt;&gt;"""", GOOGLETRANSLATE(E4254, ""en"", ""te""),"""")"),"[ '13 వ ఒక మ్యాచ్ రిఫరీ గా అత్యధిక మ్యాచ్లు (98)']")</f>
        <v>[ '13 వ ఒక మ్యాచ్ రిఫరీ గా అత్యధిక మ్యాచ్లు (98)']</v>
      </c>
      <c r="G4254" s="2"/>
      <c r="H4254" s="2" t="str">
        <f>IFERROR(__xludf.DUMMYFUNCTION("IF(G4254&lt;&gt;"""", GOOGLETRANSLATE(G4254, ""en"", ""te""),"""")"),"")</f>
        <v/>
      </c>
      <c r="I4254" s="3"/>
    </row>
    <row r="4255" customHeight="1" spans="1:9">
      <c r="A4255" s="2"/>
      <c r="B4255" s="2" t="str">
        <f>IFERROR(__xludf.DUMMYFUNCTION("IF(A4255&lt;&gt;"""", GOOGLETRANSLATE(A4255, ""en"", ""te""),"""")"),"")</f>
        <v/>
      </c>
      <c r="C4255" s="2"/>
      <c r="D4255" s="2" t="str">
        <f>IFERROR(__xludf.DUMMYFUNCTION("IF(C4255&lt;&gt;"""", GOOGLETRANSLATE(C4255, ""en"", ""te""),"""")"),"")</f>
        <v/>
      </c>
      <c r="E4255" s="2"/>
      <c r="F4255" s="2" t="str">
        <f>IFERROR(__xludf.DUMMYFUNCTION("IF(E4255&lt;&gt;"""", GOOGLETRANSLATE(E4255, ""en"", ""te""),"""")"),"")</f>
        <v/>
      </c>
      <c r="G4255" s="2"/>
      <c r="H4255" s="2" t="str">
        <f>IFERROR(__xludf.DUMMYFUNCTION("IF(G4255&lt;&gt;"""", GOOGLETRANSLATE(G4255, ""en"", ""te""),"""")"),"")</f>
        <v/>
      </c>
      <c r="I4255" s="3"/>
    </row>
    <row r="4256" customHeight="1" spans="1:9">
      <c r="A4256" s="2"/>
      <c r="B4256" s="2" t="str">
        <f>IFERROR(__xludf.DUMMYFUNCTION("IF(A4256&lt;&gt;"""", GOOGLETRANSLATE(A4256, ""en"", ""te""),"""")"),"")</f>
        <v/>
      </c>
      <c r="C4256" s="2"/>
      <c r="D4256" s="2" t="str">
        <f>IFERROR(__xludf.DUMMYFUNCTION("IF(C4256&lt;&gt;"""", GOOGLETRANSLATE(C4256, ""en"", ""te""),"""")"),"")</f>
        <v/>
      </c>
      <c r="E4256" s="2" t="s">
        <v>3075</v>
      </c>
      <c r="F4256" s="2" t="str">
        <f>IFERROR(__xludf.DUMMYFUNCTION("IF(E4256&lt;&gt;"""", GOOGLETRANSLATE(E4256, ""en"", ""te""),"""")"),"[ '44 వ చెత్త కెరీర్ బౌలింగ్ సరాసరి (అర్హత లేకుండా) (110.00)']")</f>
        <v>[ '44 వ చెత్త కెరీర్ బౌలింగ్ సరాసరి (అర్హత లేకుండా) (110.00)']</v>
      </c>
      <c r="G4256" s="2" t="s">
        <v>3076</v>
      </c>
      <c r="H4256" s="2" t="str">
        <f>IFERROR(__xludf.DUMMYFUNCTION("IF(G4256&lt;&gt;"""", GOOGLETRANSLATE(G4256, ""en"", ""te""),"""")"),"[ '29 వ అత్యధిక పరుగులు ఇన్నింగ్స్ (58) లో సాధించిన]")</f>
        <v>[ '29 వ అత్యధిక పరుగులు ఇన్నింగ్స్ (58) లో సాధించిన]</v>
      </c>
      <c r="I4256" s="3"/>
    </row>
    <row r="4257" customHeight="1" spans="1:9">
      <c r="A4257" s="2" t="s">
        <v>3077</v>
      </c>
      <c r="B4257" s="2" t="str">
        <f>IFERROR(__xludf.DUMMYFUNCTION("IF(A4257&lt;&gt;"""", GOOGLETRANSLATE(A4257, ""en"", ""te""),"""")"),"[ 'హండ్రెడ్ మరియు ఒక మ్యాచ్లో తొంభై', 'కెరీర్ (65) లో 5 వ అతి తక్కువ బాతులు']")</f>
        <v>[ 'హండ్రెడ్ మరియు ఒక మ్యాచ్లో తొంభై', 'కెరీర్ (65) లో 5 వ అతి తక్కువ బాతులు']</v>
      </c>
      <c r="C4257" s="2" t="s">
        <v>3078</v>
      </c>
      <c r="D4257" s="2" t="str">
        <f>IFERROR(__xludf.DUMMYFUNCTION("IF(C4257&lt;&gt;"""", GOOGLETRANSLATE(C4257, ""en"", ""te""),"""")"),"[ 'మొదటి డక్ (30) ముందు 48 వ అత్యంత ఇన్నింగ్స్' '5 వ కెరీర్ లో అతి తక్కువ బాతులు (65)', '26th 1000 పరుగులు (20) వేగంగా', 'ఫాస్టెస్ట్ 35 వ 2000 పరుగులు (44)', '47 వ అత్యధిక భాగస్వామ్యం తొలి వికెట్కు (231) ']")</f>
        <v>[ 'మొదటి డక్ (30) ముందు 48 వ అత్యంత ఇన్నింగ్స్' '5 వ కెరీర్ లో అతి తక్కువ బాతులు (65)', '26th 1000 పరుగులు (20) వేగంగా', 'ఫాస్టెస్ట్ 35 వ 2000 పరుగులు (44)', '47 వ అత్యధిక భాగస్వామ్యం తొలి వికెట్కు (231) ']</v>
      </c>
      <c r="E4257" s="2"/>
      <c r="F4257" s="2" t="str">
        <f>IFERROR(__xludf.DUMMYFUNCTION("IF(E4257&lt;&gt;"""", GOOGLETRANSLATE(E4257, ""en"", ""te""),"""")"),"")</f>
        <v/>
      </c>
      <c r="G4257" s="2"/>
      <c r="H4257" s="2" t="str">
        <f>IFERROR(__xludf.DUMMYFUNCTION("IF(G4257&lt;&gt;"""", GOOGLETRANSLATE(G4257, ""en"", ""te""),"""")"),"")</f>
        <v/>
      </c>
      <c r="I4257" s="3"/>
    </row>
    <row r="4258" customHeight="1" spans="1:9">
      <c r="A4258" s="2" t="s">
        <v>3079</v>
      </c>
      <c r="B4258" s="2" t="str">
        <f>IFERROR(__xludf.DUMMYFUNCTION("IF(A4258&lt;&gt;"""", GOOGLETRANSLATE(A4258, ""en"", ""te""),"""")"),"[ 'తొలి పెయిర్', 'ఇన్నింగ్స్ లో 2 వ అత్యధిక క్యాచ్లు (4)']")</f>
        <v>[ 'తొలి పెయిర్', 'ఇన్నింగ్స్ లో 2 వ అత్యధిక క్యాచ్లు (4)']</v>
      </c>
      <c r="C4258" s="2" t="s">
        <v>3080</v>
      </c>
      <c r="D4258" s="2" t="str">
        <f>IFERROR(__xludf.DUMMYFUNCTION("IF(C4258&lt;&gt;"""", GOOGLETRANSLATE(C4258, ""en"", ""te""),"""")"),"[ 'వరుస (3) లో అన్ని టాస్ గెలిచి 33 వ' '29 చెత్త కెరీర్ (161.00) (అర్హత లేకుండా) సగటు బౌలింగ్',]")</f>
        <v>[ 'వరుస (3) లో అన్ని టాస్ గెలిచి 33 వ' '29 చెత్త కెరీర్ (161.00) (అర్హత లేకుండా) సగటు బౌలింగ్',]</v>
      </c>
      <c r="E4258" s="2" t="s">
        <v>789</v>
      </c>
      <c r="F4258" s="2" t="str">
        <f>IFERROR(__xludf.DUMMYFUNCTION("IF(E4258&lt;&gt;"""", GOOGLETRANSLATE(E4258, ""en"", ""te""),"""")"),"[ 'ఇన్నింగ్స్ లో 2 వ అత్యధిక క్యాచ్లు (4)']")</f>
        <v>[ 'ఇన్నింగ్స్ లో 2 వ అత్యధిక క్యాచ్లు (4)']</v>
      </c>
      <c r="G4258" s="2"/>
      <c r="H4258" s="2" t="str">
        <f>IFERROR(__xludf.DUMMYFUNCTION("IF(G4258&lt;&gt;"""", GOOGLETRANSLATE(G4258, ""en"", ""te""),"""")"),"")</f>
        <v/>
      </c>
      <c r="I4258" s="3"/>
    </row>
    <row r="4259" customHeight="1" spans="1:9">
      <c r="A4259" s="2"/>
      <c r="B4259" s="2" t="str">
        <f>IFERROR(__xludf.DUMMYFUNCTION("IF(A4259&lt;&gt;"""", GOOGLETRANSLATE(A4259, ""en"", ""te""),"""")"),"")</f>
        <v/>
      </c>
      <c r="C4259" s="2"/>
      <c r="D4259" s="2" t="str">
        <f>IFERROR(__xludf.DUMMYFUNCTION("IF(C4259&lt;&gt;"""", GOOGLETRANSLATE(C4259, ""en"", ""te""),"""")"),"")</f>
        <v/>
      </c>
      <c r="E4259" s="2"/>
      <c r="F4259" s="2" t="str">
        <f>IFERROR(__xludf.DUMMYFUNCTION("IF(E4259&lt;&gt;"""", GOOGLETRANSLATE(E4259, ""en"", ""te""),"""")"),"")</f>
        <v/>
      </c>
      <c r="G4259" s="2"/>
      <c r="H4259" s="2" t="str">
        <f>IFERROR(__xludf.DUMMYFUNCTION("IF(G4259&lt;&gt;"""", GOOGLETRANSLATE(G4259, ""en"", ""te""),"""")"),"")</f>
        <v/>
      </c>
      <c r="I4259" s="3"/>
    </row>
    <row r="4260" customHeight="1" spans="1:9">
      <c r="A4260" s="2"/>
      <c r="B4260" s="2" t="str">
        <f>IFERROR(__xludf.DUMMYFUNCTION("IF(A4260&lt;&gt;"""", GOOGLETRANSLATE(A4260, ""en"", ""te""),"""")"),"")</f>
        <v/>
      </c>
      <c r="C4260" s="2"/>
      <c r="D4260" s="2" t="str">
        <f>IFERROR(__xludf.DUMMYFUNCTION("IF(C4260&lt;&gt;"""", GOOGLETRANSLATE(C4260, ""en"", ""te""),"""")"),"")</f>
        <v/>
      </c>
      <c r="E4260" s="2"/>
      <c r="F4260" s="2" t="str">
        <f>IFERROR(__xludf.DUMMYFUNCTION("IF(E4260&lt;&gt;"""", GOOGLETRANSLATE(E4260, ""en"", ""te""),"""")"),"")</f>
        <v/>
      </c>
      <c r="G4260" s="2"/>
      <c r="H4260" s="2" t="str">
        <f>IFERROR(__xludf.DUMMYFUNCTION("IF(G4260&lt;&gt;"""", GOOGLETRANSLATE(G4260, ""en"", ""te""),"""")"),"")</f>
        <v/>
      </c>
      <c r="I4260" s="3"/>
    </row>
    <row r="4261" customHeight="1" spans="1:9">
      <c r="A4261" s="2"/>
      <c r="B4261" s="2" t="str">
        <f>IFERROR(__xludf.DUMMYFUNCTION("IF(A4261&lt;&gt;"""", GOOGLETRANSLATE(A4261, ""en"", ""te""),"""")"),"")</f>
        <v/>
      </c>
      <c r="C4261" s="2"/>
      <c r="D4261" s="2" t="str">
        <f>IFERROR(__xludf.DUMMYFUNCTION("IF(C4261&lt;&gt;"""", GOOGLETRANSLATE(C4261, ""en"", ""te""),"""")"),"")</f>
        <v/>
      </c>
      <c r="E4261" s="2"/>
      <c r="F4261" s="2" t="str">
        <f>IFERROR(__xludf.DUMMYFUNCTION("IF(E4261&lt;&gt;"""", GOOGLETRANSLATE(E4261, ""en"", ""te""),"""")"),"")</f>
        <v/>
      </c>
      <c r="G4261" s="2"/>
      <c r="H4261" s="2" t="str">
        <f>IFERROR(__xludf.DUMMYFUNCTION("IF(G4261&lt;&gt;"""", GOOGLETRANSLATE(G4261, ""en"", ""te""),"""")"),"")</f>
        <v/>
      </c>
      <c r="I4261" s="3"/>
    </row>
    <row r="4262" customHeight="1" spans="1:9">
      <c r="A4262" s="2" t="s">
        <v>1893</v>
      </c>
      <c r="B4262" s="2" t="str">
        <f>IFERROR(__xludf.DUMMYFUNCTION("IF(A4262&lt;&gt;"""", GOOGLETRANSLATE(A4262, ""en"", ""te""),"""")"),"[ 'ప్రవేశం (107) పై వంద']")</f>
        <v>[ 'ప్రవేశం (107) పై వంద']</v>
      </c>
      <c r="C4262" s="2" t="s">
        <v>3081</v>
      </c>
      <c r="D4262" s="2" t="str">
        <f>IFERROR(__xludf.DUMMYFUNCTION("IF(C4262&lt;&gt;"""", GOOGLETRANSLATE(C4262, ""en"", ""te""),"""")"),"[ '33 వ తొలి మ్యాచ్లో అత్యధిక పరుగులు (163)', 'గత మ్యాచ్ (107) లో 23 హండ్రెడ్']")</f>
        <v>[ '33 వ తొలి మ్యాచ్లో అత్యధిక పరుగులు (163)', 'గత మ్యాచ్ (107) లో 23 హండ్రెడ్']</v>
      </c>
      <c r="E4262" s="2"/>
      <c r="F4262" s="2" t="str">
        <f>IFERROR(__xludf.DUMMYFUNCTION("IF(E4262&lt;&gt;"""", GOOGLETRANSLATE(E4262, ""en"", ""te""),"""")"),"")</f>
        <v/>
      </c>
      <c r="G4262" s="2"/>
      <c r="H4262" s="2" t="str">
        <f>IFERROR(__xludf.DUMMYFUNCTION("IF(G4262&lt;&gt;"""", GOOGLETRANSLATE(G4262, ""en"", ""te""),"""")"),"")</f>
        <v/>
      </c>
      <c r="I4262" s="3"/>
    </row>
    <row r="4263" customHeight="1" spans="1:9">
      <c r="A4263" s="2" t="s">
        <v>3082</v>
      </c>
      <c r="B4263" s="2" t="str">
        <f>IFERROR(__xludf.DUMMYFUNCTION("IF(A4263&lt;&gt;"""", GOOGLETRANSLATE(A4263, ""en"", ""te""),"""")"),"[ 'ఇన్నింగ్స్ లో 1 వ అత్యధిక పరుగులు (బ్యాటింగ్ స్థానంలో ప్రకారం) (170 *)', '7 వ అత్యధిక కెరీర్ సమ్మె రేటు (114.50)', '8 వ అత్యధిక తొలి వంద (170 *)', '1st' రెండు దేశాలకు ప్రాతినిధ్యం 'కొట్టివేయబడింది 99 (199, 299 etc) (99) ',' 200 పరుగులు మరియు వరుస పదవ వ"&amp;"ికెట్కు ',' 4 వ అత్యధిక భాగస్వామ్యం (76) ',' రెండు దేశాలకు ప్రాతినిధ్యం ',' 8 వ అత్యంత బైస్ 10 వికెట్కీపింగ్ తొలగింపులకు సాధించిన ఒక ఇన్నింగ్స్ లో (8) ',' 1 వ వరుస బాతులు (3) ',' రెండు దేశాలకు ప్రాతినిధ్యం ']")</f>
        <v>[ 'ఇన్నింగ్స్ లో 1 వ అత్యధిక పరుగులు (బ్యాటింగ్ స్థానంలో ప్రకారం) (170 *)', '7 వ అత్యధిక కెరీర్ సమ్మె రేటు (114.50)', '8 వ అత్యధిక తొలి వంద (170 *)', '1st' రెండు దేశాలకు ప్రాతినిధ్యం 'కొట్టివేయబడింది 99 (199, 299 etc) (99) ',' 200 పరుగులు మరియు వరుస పదవ వికెట్కు ',' 4 వ అత్యధిక భాగస్వామ్యం (76) ',' రెండు దేశాలకు ప్రాతినిధ్యం ',' 8 వ అత్యంత బైస్ 10 వికెట్కీపింగ్ తొలగింపులకు సాధించిన ఒక ఇన్నింగ్స్ లో (8) ',' 1 వ వరుస బాతులు (3) ',' రెండు దేశాలకు ప్రాతినిధ్యం ']</v>
      </c>
      <c r="C4263" s="2"/>
      <c r="D4263" s="2" t="str">
        <f>IFERROR(__xludf.DUMMYFUNCTION("IF(C4263&lt;&gt;"""", GOOGLETRANSLATE(C4263, ""en"", ""te""),"""")"),"")</f>
        <v/>
      </c>
      <c r="E4263" s="2" t="s">
        <v>3083</v>
      </c>
      <c r="F4263" s="2" t="str">
        <f>IFERROR(__xludf.DUMMYFUNCTION("IF(E4263&lt;&gt;"""", GOOGLETRANSLATE(E4263, ""en"", ""te""),"""")"),"[ '50 వ ఇన్నింగ్స్ లో అత్యధిక పరుగులు (170 *)', '1 వ ఇన్నింగ్స్ లో అత్యధిక పరుగులు (బ్యాటింగ్ స్థానంలో ప్రకారం) (170 *)', '5 వ ఇన్నింగ్స్ లో అత్యధిక పరుగులు చేసిన వికెట్కీపర్గా (170 *) ద్వారా', '7th అత్యధిక కెరీర్ సమ్మె రేటు (114.50) ',' 8 వ అత్యధిక తొలి "&amp;"వంద (170 *) ',' 24 వ అత్యంత వృద్ధ ఆటగాడు 99 (199, 299 etc) (99) అవుటయ్యాడు కన్య వందల (33y 275d) ',' 1st స్కోర్ ',' 31 ఇన్నింగ్స్ లో వచ్చిన ఎక్కువ సిక్స్ (9) ',' ఇన్నింగ్స్ కెరీర్లో (110) పదవ వికెట్కు ',' 4 వ అత్యధిక భాగస్వామ్యం (76) ',' 28th ఎక్కువ సార్లు"&amp;" అవుట్ లో ఫోర్లు, సిక్సర్లు నుండి 28 అత్యధిక పరుగులు ( 117) ',' 27 వ కెరీర్ లో అత్యధిక క్యాచ్లు (105) ',' 32 వ కెరీర్ (12 అత్యంత స్టంపింగ్లు) ']")</f>
        <v>[ '50 వ ఇన్నింగ్స్ లో అత్యధిక పరుగులు (170 *)', '1 వ ఇన్నింగ్స్ లో అత్యధిక పరుగులు (బ్యాటింగ్ స్థానంలో ప్రకారం) (170 *)', '5 వ ఇన్నింగ్స్ లో అత్యధిక పరుగులు చేసిన వికెట్కీపర్గా (170 *) ద్వారా', '7th అత్యధిక కెరీర్ సమ్మె రేటు (114.50) ',' 8 వ అత్యధిక తొలి వంద (170 *) ',' 24 వ అత్యంత వృద్ధ ఆటగాడు 99 (199, 299 etc) (99) అవుటయ్యాడు కన్య వందల (33y 275d) ',' 1st స్కోర్ ',' 31 ఇన్నింగ్స్ లో వచ్చిన ఎక్కువ సిక్స్ (9) ',' ఇన్నింగ్స్ కెరీర్లో (110) పదవ వికెట్కు ',' 4 వ అత్యధిక భాగస్వామ్యం (76) ',' 28th ఎక్కువ సార్లు అవుట్ లో ఫోర్లు, సిక్సర్లు నుండి 28 అత్యధిక పరుగులు ( 117) ',' 27 వ కెరీర్ లో అత్యధిక క్యాచ్లు (105) ',' 32 వ కెరీర్ (12 అత్యంత స్టంపింగ్లు) ']</v>
      </c>
      <c r="G4263" s="2" t="s">
        <v>3084</v>
      </c>
      <c r="H4263" s="2" t="str">
        <f>IFERROR(__xludf.DUMMYFUNCTION("IF(G4263&lt;&gt;"""", GOOGLETRANSLATE(G4263, ""en"", ""te""),"""")"),"[ '15 వ ఇన్నింగ్స్ లో అత్యధిక పరుగులు (బ్యాటింగ్ స్థానంలో ప్రకారం) (51 *)', '37 వ అత్యధిక కెరీర్ సమ్మె రేటు (140.23)', '32 వ కెరీర్ బాతులు (5)', '1 వ వరుస బాతులు (3)' 'ఒక జట్టుకు 50 వ వరుస మ్యాచ్లు (28)', '13 వ కెరీర్ లో అత్యధిక వికెట్లు (30)', '13 వ కెరీ"&amp;"ర్ లో అత్యధిక క్యాచ్లు (24)', '13 వ అత్యంత ఇన్నింగ్స్ లో క్యాచ్లు (3)', '17 వ జీవితంలో అత్యధిక స్టంపింగ్లు (6) ',' 8 వ ఇన్నింగ్స్ లో సాధించిన అత్యంత బైలు (8) ']")</f>
        <v>[ '15 వ ఇన్నింగ్స్ లో అత్యధిక పరుగులు (బ్యాటింగ్ స్థానంలో ప్రకారం) (51 *)', '37 వ అత్యధిక కెరీర్ సమ్మె రేటు (140.23)', '32 వ కెరీర్ బాతులు (5)', '1 వ వరుస బాతులు (3)' 'ఒక జట్టుకు 50 వ వరుస మ్యాచ్లు (28)', '13 వ కెరీర్ లో అత్యధిక వికెట్లు (30)', '13 వ కెరీర్ లో అత్యధిక క్యాచ్లు (24)', '13 వ అత్యంత ఇన్నింగ్స్ లో క్యాచ్లు (3)', '17 వ జీవితంలో అత్యధిక స్టంపింగ్లు (6) ',' 8 వ ఇన్నింగ్స్ లో సాధించిన అత్యంత బైలు (8) ']</v>
      </c>
      <c r="I4263" s="3"/>
    </row>
    <row r="4264" customHeight="1" spans="1:9">
      <c r="A4264" s="2"/>
      <c r="B4264" s="2" t="str">
        <f>IFERROR(__xludf.DUMMYFUNCTION("IF(A4264&lt;&gt;"""", GOOGLETRANSLATE(A4264, ""en"", ""te""),"""")"),"")</f>
        <v/>
      </c>
      <c r="C4264" s="2"/>
      <c r="D4264" s="2" t="str">
        <f>IFERROR(__xludf.DUMMYFUNCTION("IF(C4264&lt;&gt;"""", GOOGLETRANSLATE(C4264, ""en"", ""te""),"""")"),"")</f>
        <v/>
      </c>
      <c r="E4264" s="2"/>
      <c r="F4264" s="2" t="str">
        <f>IFERROR(__xludf.DUMMYFUNCTION("IF(E4264&lt;&gt;"""", GOOGLETRANSLATE(E4264, ""en"", ""te""),"""")"),"")</f>
        <v/>
      </c>
      <c r="G4264" s="2"/>
      <c r="H4264" s="2" t="str">
        <f>IFERROR(__xludf.DUMMYFUNCTION("IF(G4264&lt;&gt;"""", GOOGLETRANSLATE(G4264, ""en"", ""te""),"""")"),"")</f>
        <v/>
      </c>
      <c r="I4264" s="3"/>
    </row>
    <row r="4265" customHeight="1" spans="1:9">
      <c r="A4265" s="2" t="s">
        <v>3085</v>
      </c>
      <c r="B4265" s="2" t="str">
        <f>IFERROR(__xludf.DUMMYFUNCTION("IF(A4265&lt;&gt;"""", GOOGLETRANSLATE(A4265, ""en"", ""te""),"""")"),"[ 'ఇన్నింగ్స్ లో 7 వ అత్యధిక పరుగులు (18 *) (బ్యాటింగ్ స్థానం)', 'తొమ్మిదవ వికెట్ (53) 6 వ అత్యధిక భాగస్వామ్యం']")</f>
        <v>[ 'ఇన్నింగ్స్ లో 7 వ అత్యధిక పరుగులు (18 *) (బ్యాటింగ్ స్థానం)', 'తొమ్మిదవ వికెట్ (53) 6 వ అత్యధిక భాగస్వామ్యం']</v>
      </c>
      <c r="C4265" s="2"/>
      <c r="D4265" s="2" t="str">
        <f>IFERROR(__xludf.DUMMYFUNCTION("IF(C4265&lt;&gt;"""", GOOGLETRANSLATE(C4265, ""en"", ""te""),"""")"),"")</f>
        <v/>
      </c>
      <c r="E4265" s="2" t="s">
        <v>3085</v>
      </c>
      <c r="F4265" s="2" t="str">
        <f>IFERROR(__xludf.DUMMYFUNCTION("IF(E4265&lt;&gt;"""", GOOGLETRANSLATE(E4265, ""en"", ""te""),"""")"),"[ 'ఇన్నింగ్స్ లో 7 వ అత్యధిక పరుగులు (18 *) (బ్యాటింగ్ స్థానం)', 'తొమ్మిదవ వికెట్ (53) 6 వ అత్యధిక భాగస్వామ్యం']")</f>
        <v>[ 'ఇన్నింగ్స్ లో 7 వ అత్యధిక పరుగులు (18 *) (బ్యాటింగ్ స్థానం)', 'తొమ్మిదవ వికెట్ (53) 6 వ అత్యధిక భాగస్వామ్యం']</v>
      </c>
      <c r="G4265" s="2"/>
      <c r="H4265" s="2" t="str">
        <f>IFERROR(__xludf.DUMMYFUNCTION("IF(G4265&lt;&gt;"""", GOOGLETRANSLATE(G4265, ""en"", ""te""),"""")"),"")</f>
        <v/>
      </c>
      <c r="I4265" s="3"/>
    </row>
    <row r="4266" customHeight="1" spans="1:9">
      <c r="A4266" s="2"/>
      <c r="B4266" s="2" t="str">
        <f>IFERROR(__xludf.DUMMYFUNCTION("IF(A4266&lt;&gt;"""", GOOGLETRANSLATE(A4266, ""en"", ""te""),"""")"),"")</f>
        <v/>
      </c>
      <c r="C4266" s="2"/>
      <c r="D4266" s="2" t="str">
        <f>IFERROR(__xludf.DUMMYFUNCTION("IF(C4266&lt;&gt;"""", GOOGLETRANSLATE(C4266, ""en"", ""te""),"""")"),"")</f>
        <v/>
      </c>
      <c r="E4266" s="2" t="s">
        <v>3086</v>
      </c>
      <c r="F4266" s="2" t="str">
        <f>IFERROR(__xludf.DUMMYFUNCTION("IF(E4266&lt;&gt;"""", GOOGLETRANSLATE(E4266, ""en"", ""te""),"""")"),"[ '35 వ చెత్త కెరీర్ బౌలింగ్ సరాసరి (32.75)', '39 వ చెత్త కెరీర్లో సమ్మె రేటు (53.2)']")</f>
        <v>[ '35 వ చెత్త కెరీర్ బౌలింగ్ సరాసరి (32.75)', '39 వ చెత్త కెరీర్లో సమ్మె రేటు (53.2)']</v>
      </c>
      <c r="G4266" s="2" t="s">
        <v>3087</v>
      </c>
      <c r="H4266" s="2" t="str">
        <f>IFERROR(__xludf.DUMMYFUNCTION("IF(G4266&lt;&gt;"""", GOOGLETRANSLATE(G4266, ""en"", ""te""),"""")"),"[ '19 ఉత్తమ కెరీర్ బౌలింగ్ సరాసరి (17.20)', '28th ఉత్తమ కెరీర్ ఆర్థిక రేటు (5.50)', '26 ఉత్తమ కెరీర్ సమ్మె రేటు (18.7)', '18 వ బౌలర్ / బ్యాట్స్ కలయికలు (4)', '23 వ అత్యధిక వికెట్లు తీసుకున్న ఒక వికెట్ కీపర్ చే కాట్ (5) ',' 24 వ అత్యధిక వికెట్లు తీసుకున్న "&amp;"ఎల్బిడబ్ల్యు (7) ',' 41 వ కెరీర్ పనికత్తెలయొద్ద (5) ']")</f>
        <v>[ '19 ఉత్తమ కెరీర్ బౌలింగ్ సరాసరి (17.20)', '28th ఉత్తమ కెరీర్ ఆర్థిక రేటు (5.50)', '26 ఉత్తమ కెరీర్ సమ్మె రేటు (18.7)', '18 వ బౌలర్ / బ్యాట్స్ కలయికలు (4)', '23 వ అత్యధిక వికెట్లు తీసుకున్న ఒక వికెట్ కీపర్ చే కాట్ (5) ',' 24 వ అత్యధిక వికెట్లు తీసుకున్న ఎల్బిడబ్ల్యు (7) ',' 41 వ కెరీర్ పనికత్తెలయొద్ద (5) ']</v>
      </c>
      <c r="I4266" s="3"/>
    </row>
    <row r="4267" customHeight="1" spans="1:9">
      <c r="A4267" s="2"/>
      <c r="B4267" s="2" t="str">
        <f>IFERROR(__xludf.DUMMYFUNCTION("IF(A4267&lt;&gt;"""", GOOGLETRANSLATE(A4267, ""en"", ""te""),"""")"),"")</f>
        <v/>
      </c>
      <c r="C4267" s="2" t="s">
        <v>3088</v>
      </c>
      <c r="D4267" s="2" t="str">
        <f>IFERROR(__xludf.DUMMYFUNCTION("IF(C4267&lt;&gt;"""", GOOGLETRANSLATE(C4267, ""en"", ""te""),"""")"),"[ '35 వ 1000 పరుగులు వేగంగా (21)', 'ఏడవ వికెట్ (186) కోసం 22 అత్యధిక భాగస్వామ్యం']")</f>
        <v>[ '35 వ 1000 పరుగులు వేగంగా (21)', 'ఏడవ వికెట్ (186) కోసం 22 అత్యధిక భాగస్వామ్యం']</v>
      </c>
      <c r="E4267" s="2" t="s">
        <v>3089</v>
      </c>
      <c r="F4267" s="2" t="str">
        <f>IFERROR(__xludf.DUMMYFUNCTION("IF(E4267&lt;&gt;"""", GOOGLETRANSLATE(E4267, ""en"", ""te""),"""")"),"[ '45 వ 1000 పరుగులు వేగంగా (29)', 'ఇన్నింగ్స్ లో 30 వ చెత్త ఆర్థిక రేటు (11.20)', 'నాలుగవ వికెట్కు (191) 20 అత్యధిక భాగస్వామ్యం']")</f>
        <v>[ '45 వ 1000 పరుగులు వేగంగా (29)', 'ఇన్నింగ్స్ లో 30 వ చెత్త ఆర్థిక రేటు (11.20)', 'నాలుగవ వికెట్కు (191) 20 అత్యధిక భాగస్వామ్యం']</v>
      </c>
      <c r="G4267" s="2" t="s">
        <v>3090</v>
      </c>
      <c r="H4267" s="2" t="str">
        <f>IFERROR(__xludf.DUMMYFUNCTION("IF(G4267&lt;&gt;"""", GOOGLETRANSLATE(G4267, ""en"", ""te""),"""")"),"[ 'మొదటి డక్ (15) ముందు 49 వ అత్యంత ఇన్నింగ్స్' '50 వ ఏ వికెట్కు అత్యధిక భాగస్వామ్యాల (130)', 'తొలి వికెట్కు (130) కోసం 26 అత్యధిక భాగస్వామ్యం']")</f>
        <v>[ 'మొదటి డక్ (15) ముందు 49 వ అత్యంత ఇన్నింగ్స్' '50 వ ఏ వికెట్కు అత్యధిక భాగస్వామ్యాల (130)', 'తొలి వికెట్కు (130) కోసం 26 అత్యధిక భాగస్వామ్యం']</v>
      </c>
      <c r="I4267" s="3"/>
    </row>
    <row r="4268" customHeight="1" spans="1:9">
      <c r="A4268" s="2"/>
      <c r="B4268" s="2" t="str">
        <f>IFERROR(__xludf.DUMMYFUNCTION("IF(A4268&lt;&gt;"""", GOOGLETRANSLATE(A4268, ""en"", ""te""),"""")"),"")</f>
        <v/>
      </c>
      <c r="C4268" s="2"/>
      <c r="D4268" s="2" t="str">
        <f>IFERROR(__xludf.DUMMYFUNCTION("IF(C4268&lt;&gt;"""", GOOGLETRANSLATE(C4268, ""en"", ""te""),"""")"),"")</f>
        <v/>
      </c>
      <c r="E4268" s="2"/>
      <c r="F4268" s="2" t="str">
        <f>IFERROR(__xludf.DUMMYFUNCTION("IF(E4268&lt;&gt;"""", GOOGLETRANSLATE(E4268, ""en"", ""te""),"""")"),"")</f>
        <v/>
      </c>
      <c r="G4268" s="2"/>
      <c r="H4268" s="2" t="str">
        <f>IFERROR(__xludf.DUMMYFUNCTION("IF(G4268&lt;&gt;"""", GOOGLETRANSLATE(G4268, ""en"", ""te""),"""")"),"")</f>
        <v/>
      </c>
      <c r="I4268" s="3"/>
    </row>
    <row r="4269" customHeight="1" spans="1:9">
      <c r="A4269" s="2"/>
      <c r="B4269" s="2" t="str">
        <f>IFERROR(__xludf.DUMMYFUNCTION("IF(A4269&lt;&gt;"""", GOOGLETRANSLATE(A4269, ""en"", ""te""),"""")"),"")</f>
        <v/>
      </c>
      <c r="C4269" s="2"/>
      <c r="D4269" s="2" t="str">
        <f>IFERROR(__xludf.DUMMYFUNCTION("IF(C4269&lt;&gt;"""", GOOGLETRANSLATE(C4269, ""en"", ""te""),"""")"),"")</f>
        <v/>
      </c>
      <c r="E4269" s="2" t="s">
        <v>3091</v>
      </c>
      <c r="F4269" s="2" t="str">
        <f>IFERROR(__xludf.DUMMYFUNCTION("IF(E4269&lt;&gt;"""", GOOGLETRANSLATE(E4269, ""en"", ""te""),"""")"),"[ '22 షార్టేస్ట్ క్రీడాకారులు (42y 173d) నివసించారు']")</f>
        <v>[ '22 షార్టేస్ట్ క్రీడాకారులు (42y 173d) నివసించారు']</v>
      </c>
      <c r="G4269" s="2"/>
      <c r="H4269" s="2" t="str">
        <f>IFERROR(__xludf.DUMMYFUNCTION("IF(G4269&lt;&gt;"""", GOOGLETRANSLATE(G4269, ""en"", ""te""),"""")"),"")</f>
        <v/>
      </c>
      <c r="I4269" s="3"/>
    </row>
    <row r="4270" customHeight="1" spans="1:9">
      <c r="A4270" s="2"/>
      <c r="B4270" s="2" t="str">
        <f>IFERROR(__xludf.DUMMYFUNCTION("IF(A4270&lt;&gt;"""", GOOGLETRANSLATE(A4270, ""en"", ""te""),"""")"),"")</f>
        <v/>
      </c>
      <c r="C4270" s="2" t="s">
        <v>3092</v>
      </c>
      <c r="D4270" s="2" t="str">
        <f>IFERROR(__xludf.DUMMYFUNCTION("IF(C4270&lt;&gt;"""", GOOGLETRANSLATE(C4270, ""en"", ""te""),"""")"),"[ '12 వ ఇన్నింగ్స్ లో అత్యధిక పరుగులు (55 *) (బ్యాటింగ్ స్థానం)', 'ఇన్నింగ్స్ లో 29 చెత్త ఆర్థిక రేటు (4.09)']")</f>
        <v>[ '12 వ ఇన్నింగ్స్ లో అత్యధిక పరుగులు (55 *) (బ్యాటింగ్ స్థానం)', 'ఇన్నింగ్స్ లో 29 చెత్త ఆర్థిక రేటు (4.09)']</v>
      </c>
      <c r="E4270" s="2" t="s">
        <v>3093</v>
      </c>
      <c r="F4270" s="2" t="str">
        <f>IFERROR(__xludf.DUMMYFUNCTION("IF(E4270&lt;&gt;"""", GOOGLETRANSLATE(E4270, ""en"", ""te""),"""")"),"[ '42 వ చెత్త కెరీర్ (అర్హత లేకుండా) సగటు బౌలింగ్ (70.85)']")</f>
        <v>[ '42 వ చెత్త కెరీర్ (అర్హత లేకుండా) సగటు బౌలింగ్ (70.85)']</v>
      </c>
      <c r="G4270" s="2"/>
      <c r="H4270" s="2" t="str">
        <f>IFERROR(__xludf.DUMMYFUNCTION("IF(G4270&lt;&gt;"""", GOOGLETRANSLATE(G4270, ""en"", ""te""),"""")"),"")</f>
        <v/>
      </c>
      <c r="I4270" s="3"/>
    </row>
    <row r="4271" customHeight="1" spans="1:9">
      <c r="A4271" s="2"/>
      <c r="B4271" s="2" t="str">
        <f>IFERROR(__xludf.DUMMYFUNCTION("IF(A4271&lt;&gt;"""", GOOGLETRANSLATE(A4271, ""en"", ""te""),"""")"),"")</f>
        <v/>
      </c>
      <c r="C4271" s="2" t="s">
        <v>3094</v>
      </c>
      <c r="D4271" s="2" t="str">
        <f>IFERROR(__xludf.DUMMYFUNCTION("IF(C4271&lt;&gt;"""", GOOGLETRANSLATE(C4271, ""en"", ""te""),"""")"),"[(2000 పరుగులు, 'ఒక ఇన్నింగ్స్లో పరుగుల 24 అత్యధిక శాతం (59.20)', '48 వ వేగవంతమైన' ఇన్నింగ్స్ (7) 19 వ ఎక్కువ సిక్స్ '' 12 వ అత్యంత వృద్ధ ఆటగాడు వంద (41y 108d) స్కోర్ ', 46 ) ',' ఏడవ వికెట్కు 44 వ అత్యధిక భాగస్వామ్యం (163) ',' 37 వ లాంగెస్ట్ కెరీర్లు (18"&amp;"y 72d) ']")</f>
        <v>[(2000 పరుగులు, 'ఒక ఇన్నింగ్స్లో పరుగుల 24 అత్యధిక శాతం (59.20)', '48 వ వేగవంతమైన' ఇన్నింగ్స్ (7) 19 వ ఎక్కువ సిక్స్ '' 12 వ అత్యంత వృద్ధ ఆటగాడు వంద (41y 108d) స్కోర్ ', 46 ) ',' ఏడవ వికెట్కు 44 వ అత్యధిక భాగస్వామ్యం (163) ',' 37 వ లాంగెస్ట్ కెరీర్లు (18y 72d) ']</v>
      </c>
      <c r="E4271" s="2"/>
      <c r="F4271" s="2" t="str">
        <f>IFERROR(__xludf.DUMMYFUNCTION("IF(E4271&lt;&gt;"""", GOOGLETRANSLATE(E4271, ""en"", ""te""),"""")"),"")</f>
        <v/>
      </c>
      <c r="G4271" s="2"/>
      <c r="H4271" s="2" t="str">
        <f>IFERROR(__xludf.DUMMYFUNCTION("IF(G4271&lt;&gt;"""", GOOGLETRANSLATE(G4271, ""en"", ""te""),"""")"),"")</f>
        <v/>
      </c>
      <c r="I4271" s="3"/>
    </row>
    <row r="4272" customHeight="1" spans="1:9">
      <c r="A4272" s="2"/>
      <c r="B4272" s="2" t="str">
        <f>IFERROR(__xludf.DUMMYFUNCTION("IF(A4272&lt;&gt;"""", GOOGLETRANSLATE(A4272, ""en"", ""te""),"""")"),"")</f>
        <v/>
      </c>
      <c r="C4272" s="2"/>
      <c r="D4272" s="2" t="str">
        <f>IFERROR(__xludf.DUMMYFUNCTION("IF(C4272&lt;&gt;"""", GOOGLETRANSLATE(C4272, ""en"", ""te""),"""")"),"")</f>
        <v/>
      </c>
      <c r="E4272" s="2"/>
      <c r="F4272" s="2" t="str">
        <f>IFERROR(__xludf.DUMMYFUNCTION("IF(E4272&lt;&gt;"""", GOOGLETRANSLATE(E4272, ""en"", ""te""),"""")"),"")</f>
        <v/>
      </c>
      <c r="G4272" s="2"/>
      <c r="H4272" s="2" t="str">
        <f>IFERROR(__xludf.DUMMYFUNCTION("IF(G4272&lt;&gt;"""", GOOGLETRANSLATE(G4272, ""en"", ""te""),"""")"),"")</f>
        <v/>
      </c>
      <c r="I4272" s="3"/>
    </row>
    <row r="4273" customHeight="1" spans="1:9">
      <c r="A4273" s="2"/>
      <c r="B4273" s="2" t="str">
        <f>IFERROR(__xludf.DUMMYFUNCTION("IF(A4273&lt;&gt;"""", GOOGLETRANSLATE(A4273, ""en"", ""te""),"""")"),"")</f>
        <v/>
      </c>
      <c r="C4273" s="2"/>
      <c r="D4273" s="2" t="str">
        <f>IFERROR(__xludf.DUMMYFUNCTION("IF(C4273&lt;&gt;"""", GOOGLETRANSLATE(C4273, ""en"", ""te""),"""")"),"")</f>
        <v/>
      </c>
      <c r="E4273" s="2"/>
      <c r="F4273" s="2" t="str">
        <f>IFERROR(__xludf.DUMMYFUNCTION("IF(E4273&lt;&gt;"""", GOOGLETRANSLATE(E4273, ""en"", ""te""),"""")"),"")</f>
        <v/>
      </c>
      <c r="G4273" s="2"/>
      <c r="H4273" s="2" t="str">
        <f>IFERROR(__xludf.DUMMYFUNCTION("IF(G4273&lt;&gt;"""", GOOGLETRANSLATE(G4273, ""en"", ""te""),"""")"),"")</f>
        <v/>
      </c>
      <c r="I4273" s="3"/>
    </row>
    <row r="4274" customHeight="1" spans="1:9">
      <c r="A4274" s="2"/>
      <c r="B4274" s="2" t="str">
        <f>IFERROR(__xludf.DUMMYFUNCTION("IF(A4274&lt;&gt;"""", GOOGLETRANSLATE(A4274, ""en"", ""te""),"""")"),"")</f>
        <v/>
      </c>
      <c r="C4274" s="2"/>
      <c r="D4274" s="2" t="str">
        <f>IFERROR(__xludf.DUMMYFUNCTION("IF(C4274&lt;&gt;"""", GOOGLETRANSLATE(C4274, ""en"", ""te""),"""")"),"")</f>
        <v/>
      </c>
      <c r="E4274" s="2"/>
      <c r="F4274" s="2" t="str">
        <f>IFERROR(__xludf.DUMMYFUNCTION("IF(E4274&lt;&gt;"""", GOOGLETRANSLATE(E4274, ""en"", ""te""),"""")"),"")</f>
        <v/>
      </c>
      <c r="G4274" s="2"/>
      <c r="H4274" s="2" t="str">
        <f>IFERROR(__xludf.DUMMYFUNCTION("IF(G4274&lt;&gt;"""", GOOGLETRANSLATE(G4274, ""en"", ""te""),"""")"),"")</f>
        <v/>
      </c>
      <c r="I4274" s="3"/>
    </row>
    <row r="4275" customHeight="1" spans="1:9">
      <c r="A4275" s="2"/>
      <c r="B4275" s="2" t="str">
        <f>IFERROR(__xludf.DUMMYFUNCTION("IF(A4275&lt;&gt;"""", GOOGLETRANSLATE(A4275, ""en"", ""te""),"""")"),"")</f>
        <v/>
      </c>
      <c r="C4275" s="2"/>
      <c r="D4275" s="2" t="str">
        <f>IFERROR(__xludf.DUMMYFUNCTION("IF(C4275&lt;&gt;"""", GOOGLETRANSLATE(C4275, ""en"", ""te""),"""")"),"")</f>
        <v/>
      </c>
      <c r="E4275" s="2"/>
      <c r="F4275" s="2" t="str">
        <f>IFERROR(__xludf.DUMMYFUNCTION("IF(E4275&lt;&gt;"""", GOOGLETRANSLATE(E4275, ""en"", ""te""),"""")"),"")</f>
        <v/>
      </c>
      <c r="G4275" s="2"/>
      <c r="H4275" s="2" t="str">
        <f>IFERROR(__xludf.DUMMYFUNCTION("IF(G4275&lt;&gt;"""", GOOGLETRANSLATE(G4275, ""en"", ""te""),"""")"),"")</f>
        <v/>
      </c>
      <c r="I4275" s="3"/>
    </row>
    <row r="4276" customHeight="1" spans="1:9">
      <c r="A4276" s="2"/>
      <c r="B4276" s="2" t="str">
        <f>IFERROR(__xludf.DUMMYFUNCTION("IF(A4276&lt;&gt;"""", GOOGLETRANSLATE(A4276, ""en"", ""te""),"""")"),"")</f>
        <v/>
      </c>
      <c r="C4276" s="2"/>
      <c r="D4276" s="2" t="str">
        <f>IFERROR(__xludf.DUMMYFUNCTION("IF(C4276&lt;&gt;"""", GOOGLETRANSLATE(C4276, ""en"", ""te""),"""")"),"")</f>
        <v/>
      </c>
      <c r="E4276" s="2"/>
      <c r="F4276" s="2" t="str">
        <f>IFERROR(__xludf.DUMMYFUNCTION("IF(E4276&lt;&gt;"""", GOOGLETRANSLATE(E4276, ""en"", ""te""),"""")"),"")</f>
        <v/>
      </c>
      <c r="G4276" s="2"/>
      <c r="H4276" s="2" t="str">
        <f>IFERROR(__xludf.DUMMYFUNCTION("IF(G4276&lt;&gt;"""", GOOGLETRANSLATE(G4276, ""en"", ""te""),"""")"),"")</f>
        <v/>
      </c>
      <c r="I4276" s="3"/>
    </row>
    <row r="4277" customHeight="1" spans="1:9">
      <c r="A4277" s="2"/>
      <c r="B4277" s="2" t="str">
        <f>IFERROR(__xludf.DUMMYFUNCTION("IF(A4277&lt;&gt;"""", GOOGLETRANSLATE(A4277, ""en"", ""te""),"""")"),"")</f>
        <v/>
      </c>
      <c r="C4277" s="2"/>
      <c r="D4277" s="2" t="str">
        <f>IFERROR(__xludf.DUMMYFUNCTION("IF(C4277&lt;&gt;"""", GOOGLETRANSLATE(C4277, ""en"", ""te""),"""")"),"")</f>
        <v/>
      </c>
      <c r="E4277" s="2"/>
      <c r="F4277" s="2" t="str">
        <f>IFERROR(__xludf.DUMMYFUNCTION("IF(E4277&lt;&gt;"""", GOOGLETRANSLATE(E4277, ""en"", ""te""),"""")"),"")</f>
        <v/>
      </c>
      <c r="G4277" s="2"/>
      <c r="H4277" s="2" t="str">
        <f>IFERROR(__xludf.DUMMYFUNCTION("IF(G4277&lt;&gt;"""", GOOGLETRANSLATE(G4277, ""en"", ""te""),"""")"),"")</f>
        <v/>
      </c>
      <c r="I4277" s="3"/>
    </row>
    <row r="4278" customHeight="1" spans="1:9">
      <c r="A4278" s="2"/>
      <c r="B4278" s="2" t="str">
        <f>IFERROR(__xludf.DUMMYFUNCTION("IF(A4278&lt;&gt;"""", GOOGLETRANSLATE(A4278, ""en"", ""te""),"""")"),"")</f>
        <v/>
      </c>
      <c r="C4278" s="2"/>
      <c r="D4278" s="2" t="str">
        <f>IFERROR(__xludf.DUMMYFUNCTION("IF(C4278&lt;&gt;"""", GOOGLETRANSLATE(C4278, ""en"", ""te""),"""")"),"")</f>
        <v/>
      </c>
      <c r="E4278" s="2"/>
      <c r="F4278" s="2" t="str">
        <f>IFERROR(__xludf.DUMMYFUNCTION("IF(E4278&lt;&gt;"""", GOOGLETRANSLATE(E4278, ""en"", ""te""),"""")"),"")</f>
        <v/>
      </c>
      <c r="G4278" s="2"/>
      <c r="H4278" s="2" t="str">
        <f>IFERROR(__xludf.DUMMYFUNCTION("IF(G4278&lt;&gt;"""", GOOGLETRANSLATE(G4278, ""en"", ""te""),"""")"),"")</f>
        <v/>
      </c>
      <c r="I4278" s="3"/>
    </row>
    <row r="4279" customHeight="1" spans="1:9">
      <c r="A4279" s="2" t="s">
        <v>3095</v>
      </c>
      <c r="B4279" s="2" t="str">
        <f>IFERROR(__xludf.DUMMYFUNCTION("IF(A4279&lt;&gt;"""", GOOGLETRANSLATE(A4279, ""en"", ""te""),"""")"),"[ 'ఇన్నింగ్స్ లో 3 వ అత్యధిక పరుగులు (బ్యాటింగ్ స్థానంలో ప్రకారం) (62)', '6 వ ఒక క్యాలెండర్ సంవత్సరంలో అత్యధిక వికెట్లు (22)', 'ఇన్నింగ్స్ లో 1 వ చెత్త సమ్మె రేటు (384.0)', '2 వ అత్యంత బంతుల్లో బౌల్డ్ ఒక మ్యాచ్ (582) ',' చాలా 5 వ మ్యాచ్ లో సాధించిన పరుగుల"&amp;"ు (163) ',' 7 వ అత్యధిక వికెట్లు తీసుకున్న బౌల్డ్ (14) ']")</f>
        <v>[ 'ఇన్నింగ్స్ లో 3 వ అత్యధిక పరుగులు (బ్యాటింగ్ స్థానంలో ప్రకారం) (62)', '6 వ ఒక క్యాలెండర్ సంవత్సరంలో అత్యధిక వికెట్లు (22)', 'ఇన్నింగ్స్ లో 1 వ చెత్త సమ్మె రేటు (384.0)', '2 వ అత్యంత బంతుల్లో బౌల్డ్ ఒక మ్యాచ్ (582) ',' చాలా 5 వ మ్యాచ్ లో సాధించిన పరుగులు (163) ',' 7 వ అత్యధిక వికెట్లు తీసుకున్న బౌల్డ్ (14) ']</v>
      </c>
      <c r="C4279" s="2" t="s">
        <v>3096</v>
      </c>
      <c r="D4279" s="2" t="str">
        <f>IFERROR(__xludf.DUMMYFUNCTION("IF(C4279&lt;&gt;"""", GOOGLETRANSLATE(C4279, ""en"", ""te""),"""")"),"[ '3 వ భాగం (బ్యాటింగ్ స్థానంలో ద్వారా) ఒక ఇన్నింగ్స్ లో నడుస్తుంది (62)', '13 వ కెరీర్ లో బాతులు (16)', '18 వ కెరీర్ లో అత్యధిక వికెట్లు (35)', '26 ఒక మ్యాచ్లో బెస్ట్ ఫిగర్స్ (8) ',' 27 ఒక సిరీస్లో అత్యధిక వికెట్లు (15) ',' ఒక క్యాలెండర్ సంవత్సరంలో 6 వ అ"&amp;"త్యధిక వికెట్లు (22) ',' 18 వ ఉత్తమ కెరీర్ ఆర్థిక రేటు (1.57) ',' 22 వ చెత్త కెరీర్లో సమ్మె రేటు (103.5) ',' ఒక ఇన్నింగ్స్ లో 1 వ చెత్త సమ్మె రేటు (384.0) ',' 5 వ కెరీర్ లో బౌల్డ్ చాలా బంతుల్లో (3623) ',' ఇన్నింగ్స్ లో బౌల్డ్ 2nd అత్యంత బంతుల్లో (384) ','"&amp;" ఒక మ్యాచ్ (582) 'లో బౌల్డ్ 2nd అత్యంత బంతుల్లో, 'కెరీర్ లో సాధించిన 10 వ అత్యధిక పరుగులు (951)', '11 వ ఇన్నింగ్స్ లో సాధించిన అత్యధిక పరుగులు (106)', 'చాలా 5 వ మ్యాచ్ లో సాధించిన పరుగులు (163)', '12 వ బౌలర్ / బ్యాట్స్ కలయికలు (4)', ' 7 వ అత్యంత బౌల్డ్ వి"&amp;"కెట్లు తీసుకున్నారు (14) ',' 16 వ అత్యధిక వికెట్లు తీసుకున్న ఆకర్షించింది (17) ',' 15 వ అత్యధిక వికెట్లు ఒక ఫీల్డర్ (15) పట్టుకుంటే తీసిన]")</f>
        <v>[ '3 వ భాగం (బ్యాటింగ్ స్థానంలో ద్వారా) ఒక ఇన్నింగ్స్ లో నడుస్తుంది (62)', '13 వ కెరీర్ లో బాతులు (16)', '18 వ కెరీర్ లో అత్యధిక వికెట్లు (35)', '26 ఒక మ్యాచ్లో బెస్ట్ ఫిగర్స్ (8) ',' 27 ఒక సిరీస్లో అత్యధిక వికెట్లు (15) ',' ఒక క్యాలెండర్ సంవత్సరంలో 6 వ అత్యధిక వికెట్లు (22) ',' 18 వ ఉత్తమ కెరీర్ ఆర్థిక రేటు (1.57) ',' 22 వ చెత్త కెరీర్లో సమ్మె రేటు (103.5) ',' ఒక ఇన్నింగ్స్ లో 1 వ చెత్త సమ్మె రేటు (384.0) ',' 5 వ కెరీర్ లో బౌల్డ్ చాలా బంతుల్లో (3623) ',' ఇన్నింగ్స్ లో బౌల్డ్ 2nd అత్యంత బంతుల్లో (384) ',' ఒక మ్యాచ్ (582) 'లో బౌల్డ్ 2nd అత్యంత బంతుల్లో, 'కెరీర్ లో సాధించిన 10 వ అత్యధిక పరుగులు (951)', '11 వ ఇన్నింగ్స్ లో సాధించిన అత్యధిక పరుగులు (106)', 'చాలా 5 వ మ్యాచ్ లో సాధించిన పరుగులు (163)', '12 వ బౌలర్ / బ్యాట్స్ కలయికలు (4)', ' 7 వ అత్యంత బౌల్డ్ వికెట్లు తీసుకున్నారు (14) ',' 16 వ అత్యధిక వికెట్లు తీసుకున్న ఆకర్షించింది (17) ',' 15 వ అత్యధిక వికెట్లు ఒక ఫీల్డర్ (15) పట్టుకుంటే తీసిన]</v>
      </c>
      <c r="E4279" s="2"/>
      <c r="F4279" s="2" t="str">
        <f>IFERROR(__xludf.DUMMYFUNCTION("IF(E4279&lt;&gt;"""", GOOGLETRANSLATE(E4279, ""en"", ""te""),"""")"),"")</f>
        <v/>
      </c>
      <c r="G4279" s="2"/>
      <c r="H4279" s="2" t="str">
        <f>IFERROR(__xludf.DUMMYFUNCTION("IF(G4279&lt;&gt;"""", GOOGLETRANSLATE(G4279, ""en"", ""te""),"""")"),"")</f>
        <v/>
      </c>
      <c r="I4279" s="3"/>
    </row>
    <row r="4280" customHeight="1" spans="1:9">
      <c r="A4280" s="2" t="s">
        <v>3097</v>
      </c>
      <c r="B4280" s="2" t="str">
        <f>IFERROR(__xludf.DUMMYFUNCTION("IF(A4280&lt;&gt;"""", GOOGLETRANSLATE(A4280, ""en"", ""te""),"""")"),"[ 'హండ్రెడ్ తొలి (214)', 'ఒక మ్యాచ్ లో రెండు అజేయంగా అర్ధ']")</f>
        <v>[ 'హండ్రెడ్ తొలి (214)', 'ఒక మ్యాచ్ లో రెండు అజేయంగా అర్ధ']</v>
      </c>
      <c r="C4280" s="2" t="s">
        <v>3098</v>
      </c>
      <c r="D4280" s="2" t="str">
        <f>IFERROR(__xludf.DUMMYFUNCTION("IF(C4280&lt;&gt;"""", GOOGLETRANSLATE(C4280, ""en"", ""te""),"""")"),"[ 'తొలి మ్యాచ్లో 7 వ అత్యధిక పరుగులు (214)', '22 వ అత్యధిక తొలి వంద (214)']")</f>
        <v>[ 'తొలి మ్యాచ్లో 7 వ అత్యధిక పరుగులు (214)', '22 వ అత్యధిక తొలి వంద (214)']</v>
      </c>
      <c r="E4280" s="2"/>
      <c r="F4280" s="2" t="str">
        <f>IFERROR(__xludf.DUMMYFUNCTION("IF(E4280&lt;&gt;"""", GOOGLETRANSLATE(E4280, ""en"", ""te""),"""")"),"")</f>
        <v/>
      </c>
      <c r="G4280" s="2"/>
      <c r="H4280" s="2" t="str">
        <f>IFERROR(__xludf.DUMMYFUNCTION("IF(G4280&lt;&gt;"""", GOOGLETRANSLATE(G4280, ""en"", ""te""),"""")"),"")</f>
        <v/>
      </c>
      <c r="I4280" s="3"/>
    </row>
    <row r="4281" customHeight="1" spans="1:9">
      <c r="A4281" s="2" t="s">
        <v>3099</v>
      </c>
      <c r="B4281" s="2" t="str">
        <f>IFERROR(__xludf.DUMMYFUNCTION("IF(A4281&lt;&gt;"""", GOOGLETRANSLATE(A4281, ""en"", ""te""),"""")"),"[ '1st అత్యుత్తమ బౌలింగ్ ఇన్నింగ్స్ లో విశ్లేషించడం (2/0)', ​​'8 వ అత్యధిక వికెట్లు తీసుకున్న స్టంప్ (8)']")</f>
        <v>[ '1st అత్యుత్తమ బౌలింగ్ ఇన్నింగ్స్ లో విశ్లేషించడం (2/0)', ​​'8 వ అత్యధిక వికెట్లు తీసుకున్న స్టంప్ (8)']</v>
      </c>
      <c r="C4281" s="2" t="s">
        <v>3100</v>
      </c>
      <c r="D4281" s="2" t="str">
        <f>IFERROR(__xludf.DUMMYFUNCTION("IF(C4281&lt;&gt;"""", GOOGLETRANSLATE(C4281, ""en"", ""te""),"""")"),"[ '16 వ ఇన్నింగ్స్ లో అత్యధిక పరుగులు (బ్యాటింగ్ స్థానంలో ప్రకారం) (126)']")</f>
        <v>[ '16 వ ఇన్నింగ్స్ లో అత్యధిక పరుగులు (బ్యాటింగ్ స్థానంలో ప్రకారం) (126)']</v>
      </c>
      <c r="E4281" s="2" t="s">
        <v>3101</v>
      </c>
      <c r="F4281" s="2" t="str">
        <f>IFERROR(__xludf.DUMMYFUNCTION("IF(E4281&lt;&gt;"""", GOOGLETRANSLATE(E4281, ""en"", ""te""),"""")"),"[ '1st అత్యుత్తమ బౌలింగ్ ఇన్నింగ్స్ లో విశ్లేషించడం (2/0)', ​​'ఇన్నింగ్స్ లో 30 వ చెత్త ఆర్థిక రేటు (11.20)', '40 వ అత్యధిక వికెట్లు తీసుకున్న స్టంప్ (10), తొమ్మిదవ వికెట్కు 40 వ అత్యధిక భాగస్వామ్యం (69 ) ']")</f>
        <v>[ '1st అత్యుత్తమ బౌలింగ్ ఇన్నింగ్స్ లో విశ్లేషించడం (2/0)', ​​'ఇన్నింగ్స్ లో 30 వ చెత్త ఆర్థిక రేటు (11.20)', '40 వ అత్యధిక వికెట్లు తీసుకున్న స్టంప్ (10), తొమ్మిదవ వికెట్కు 40 వ అత్యధిక భాగస్వామ్యం (69 ) ']</v>
      </c>
      <c r="G4281" s="2" t="s">
        <v>3102</v>
      </c>
      <c r="H4281" s="2" t="str">
        <f>IFERROR(__xludf.DUMMYFUNCTION("IF(G4281&lt;&gt;"""", GOOGLETRANSLATE(G4281, ""en"", ""te""),"""")"),"[ '19 కెరీర్లో అత్యధిక వికెట్లు (60)', '36 వ ఒక క్యాలెండర్ సంవత్సరంలో అత్యధిక వికెట్లు (20)', '43 వ ఒకే మైదానంలో అత్యధిక వికెట్లు (11)', '44 వ ఉత్తమ కెరీర్ బౌలింగ్ సరాసరి (21.45)', ' 40 వ ఉత్తమ కెరీర్ సమ్మె రేటు (17.4) ',' 16 వ అత్యంత నాలుగు వికెట్లు-ఇన్"&amp;"-ఒక-ఇన్నింగ్స్ కెరీర్లో (2) ',' 28th కెరీర్లో బౌల్డ్ చాలా బంతుల్లో (1046) ',' 19 వ కెరీర్ లో సాధించిన అత్యధిక పరుగులు ( 1287) ',' 17 వ బౌలర్ / బ్యాట్స్ కలయికలు (3) ',' 26th బౌలర్ / ఫీల్డర్ కలయికలు (7) ',' 10 వ అత్యధిక వికెట్లు తీసుకున్న ఆకర్షించింది (46) "&amp;"',' 8 వ అత్యధిక వికెట్లు ఒక ఫీల్డర్ చేత క్యాచ్ తీసుకున్న (41) ' , '44 వ అత్యధిక క్యాచ్లు కెరీర్లో (24)', '15 వ '50 వికెట్లు (40) వేగంగా 12 వ', '8 వ అత్యధిక వికెట్లు తీసుకున్న స్టంప్ (8)', '48 వ అత్యధిక వికెట్లు సాధించిన వికెట్కీపర్గా (5) ద్వారా ఆకర్షించిం"&amp;"ది తీసుకున్న' ఒక ఇన్నింగ్స్ లో అత్యధిక క్యాచ్లు (3) ',' ఏడవ వికెట్కు 28 అత్యధిక భాగస్వామ్యం (54) ',' ఎనిమిదవ వికెట్కు 48 వ అత్యధిక భాగస్వామ్యం (34) ',' తొమ్మిదవ వికెట్కు 14 అత్యధిక భాగస్వామ్యం (38 *) ']")</f>
        <v>[ '19 కెరీర్లో అత్యధిక వికెట్లు (60)', '36 వ ఒక క్యాలెండర్ సంవత్సరంలో అత్యధిక వికెట్లు (20)', '43 వ ఒకే మైదానంలో అత్యధిక వికెట్లు (11)', '44 వ ఉత్తమ కెరీర్ బౌలింగ్ సరాసరి (21.45)', ' 40 వ ఉత్తమ కెరీర్ సమ్మె రేటు (17.4) ',' 16 వ అత్యంత నాలుగు వికెట్లు-ఇన్-ఒక-ఇన్నింగ్స్ కెరీర్లో (2) ',' 28th కెరీర్లో బౌల్డ్ చాలా బంతుల్లో (1046) ',' 19 వ కెరీర్ లో సాధించిన అత్యధిక పరుగులు ( 1287) ',' 17 వ బౌలర్ / బ్యాట్స్ కలయికలు (3) ',' 26th బౌలర్ / ఫీల్డర్ కలయికలు (7) ',' 10 వ అత్యధిక వికెట్లు తీసుకున్న ఆకర్షించింది (46) ',' 8 వ అత్యధిక వికెట్లు ఒక ఫీల్డర్ చేత క్యాచ్ తీసుకున్న (41) ' , '44 వ అత్యధిక క్యాచ్లు కెరీర్లో (24)', '15 వ '50 వికెట్లు (40) వేగంగా 12 వ', '8 వ అత్యధిక వికెట్లు తీసుకున్న స్టంప్ (8)', '48 వ అత్యధిక వికెట్లు సాధించిన వికెట్కీపర్గా (5) ద్వారా ఆకర్షించింది తీసుకున్న' ఒక ఇన్నింగ్స్ లో అత్యధిక క్యాచ్లు (3) ',' ఏడవ వికెట్కు 28 అత్యధిక భాగస్వామ్యం (54) ',' ఎనిమిదవ వికెట్కు 48 వ అత్యధిక భాగస్వామ్యం (34) ',' తొమ్మిదవ వికెట్కు 14 అత్యధిక భాగస్వామ్యం (38 *) ']</v>
      </c>
      <c r="I4281" s="3"/>
    </row>
    <row r="4282" customHeight="1" spans="1:9">
      <c r="A4282" s="2"/>
      <c r="B4282" s="2" t="str">
        <f>IFERROR(__xludf.DUMMYFUNCTION("IF(A4282&lt;&gt;"""", GOOGLETRANSLATE(A4282, ""en"", ""te""),"""")"),"")</f>
        <v/>
      </c>
      <c r="C4282" s="2"/>
      <c r="D4282" s="2" t="str">
        <f>IFERROR(__xludf.DUMMYFUNCTION("IF(C4282&lt;&gt;"""", GOOGLETRANSLATE(C4282, ""en"", ""te""),"""")"),"")</f>
        <v/>
      </c>
      <c r="E4282" s="2"/>
      <c r="F4282" s="2" t="str">
        <f>IFERROR(__xludf.DUMMYFUNCTION("IF(E4282&lt;&gt;"""", GOOGLETRANSLATE(E4282, ""en"", ""te""),"""")"),"")</f>
        <v/>
      </c>
      <c r="G4282" s="2"/>
      <c r="H4282" s="2" t="str">
        <f>IFERROR(__xludf.DUMMYFUNCTION("IF(G4282&lt;&gt;"""", GOOGLETRANSLATE(G4282, ""en"", ""te""),"""")"),"")</f>
        <v/>
      </c>
      <c r="I4282" s="3"/>
    </row>
    <row r="4283" customHeight="1" spans="1:9">
      <c r="A4283" s="2"/>
      <c r="B4283" s="2" t="str">
        <f>IFERROR(__xludf.DUMMYFUNCTION("IF(A4283&lt;&gt;"""", GOOGLETRANSLATE(A4283, ""en"", ""te""),"""")"),"")</f>
        <v/>
      </c>
      <c r="C4283" s="2"/>
      <c r="D4283" s="2" t="str">
        <f>IFERROR(__xludf.DUMMYFUNCTION("IF(C4283&lt;&gt;"""", GOOGLETRANSLATE(C4283, ""en"", ""te""),"""")"),"")</f>
        <v/>
      </c>
      <c r="E4283" s="2"/>
      <c r="F4283" s="2" t="str">
        <f>IFERROR(__xludf.DUMMYFUNCTION("IF(E4283&lt;&gt;"""", GOOGLETRANSLATE(E4283, ""en"", ""te""),"""")"),"")</f>
        <v/>
      </c>
      <c r="G4283" s="2"/>
      <c r="H4283" s="2" t="str">
        <f>IFERROR(__xludf.DUMMYFUNCTION("IF(G4283&lt;&gt;"""", GOOGLETRANSLATE(G4283, ""en"", ""te""),"""")"),"")</f>
        <v/>
      </c>
      <c r="I4283" s="3"/>
    </row>
    <row r="4284" customHeight="1" spans="1:9">
      <c r="A4284" s="2"/>
      <c r="B4284" s="2" t="str">
        <f>IFERROR(__xludf.DUMMYFUNCTION("IF(A4284&lt;&gt;"""", GOOGLETRANSLATE(A4284, ""en"", ""te""),"""")"),"")</f>
        <v/>
      </c>
      <c r="C4284" s="2"/>
      <c r="D4284" s="2" t="str">
        <f>IFERROR(__xludf.DUMMYFUNCTION("IF(C4284&lt;&gt;"""", GOOGLETRANSLATE(C4284, ""en"", ""te""),"""")"),"")</f>
        <v/>
      </c>
      <c r="E4284" s="2"/>
      <c r="F4284" s="2" t="str">
        <f>IFERROR(__xludf.DUMMYFUNCTION("IF(E4284&lt;&gt;"""", GOOGLETRANSLATE(E4284, ""en"", ""te""),"""")"),"")</f>
        <v/>
      </c>
      <c r="G4284" s="2"/>
      <c r="H4284" s="2" t="str">
        <f>IFERROR(__xludf.DUMMYFUNCTION("IF(G4284&lt;&gt;"""", GOOGLETRANSLATE(G4284, ""en"", ""te""),"""")"),"")</f>
        <v/>
      </c>
      <c r="I4284" s="3"/>
    </row>
    <row r="4285" customHeight="1" spans="1:9">
      <c r="A4285" s="2"/>
      <c r="B4285" s="2" t="str">
        <f>IFERROR(__xludf.DUMMYFUNCTION("IF(A4285&lt;&gt;"""", GOOGLETRANSLATE(A4285, ""en"", ""te""),"""")"),"")</f>
        <v/>
      </c>
      <c r="C4285" s="2"/>
      <c r="D4285" s="2" t="str">
        <f>IFERROR(__xludf.DUMMYFUNCTION("IF(C4285&lt;&gt;"""", GOOGLETRANSLATE(C4285, ""en"", ""te""),"""")"),"")</f>
        <v/>
      </c>
      <c r="E4285" s="2"/>
      <c r="F4285" s="2" t="str">
        <f>IFERROR(__xludf.DUMMYFUNCTION("IF(E4285&lt;&gt;"""", GOOGLETRANSLATE(E4285, ""en"", ""te""),"""")"),"")</f>
        <v/>
      </c>
      <c r="G4285" s="2"/>
      <c r="H4285" s="2" t="str">
        <f>IFERROR(__xludf.DUMMYFUNCTION("IF(G4285&lt;&gt;"""", GOOGLETRANSLATE(G4285, ""en"", ""te""),"""")"),"")</f>
        <v/>
      </c>
      <c r="I4285" s="3"/>
    </row>
    <row r="4286" customHeight="1" spans="1:9">
      <c r="A4286" s="2"/>
      <c r="B4286" s="2" t="str">
        <f>IFERROR(__xludf.DUMMYFUNCTION("IF(A4286&lt;&gt;"""", GOOGLETRANSLATE(A4286, ""en"", ""te""),"""")"),"")</f>
        <v/>
      </c>
      <c r="C4286" s="2"/>
      <c r="D4286" s="2" t="str">
        <f>IFERROR(__xludf.DUMMYFUNCTION("IF(C4286&lt;&gt;"""", GOOGLETRANSLATE(C4286, ""en"", ""te""),"""")"),"")</f>
        <v/>
      </c>
      <c r="E4286" s="2"/>
      <c r="F4286" s="2" t="str">
        <f>IFERROR(__xludf.DUMMYFUNCTION("IF(E4286&lt;&gt;"""", GOOGLETRANSLATE(E4286, ""en"", ""te""),"""")"),"")</f>
        <v/>
      </c>
      <c r="G4286" s="2"/>
      <c r="H4286" s="2" t="str">
        <f>IFERROR(__xludf.DUMMYFUNCTION("IF(G4286&lt;&gt;"""", GOOGLETRANSLATE(G4286, ""en"", ""te""),"""")"),"")</f>
        <v/>
      </c>
      <c r="I4286" s="3"/>
    </row>
    <row r="4287" customHeight="1" spans="1:9">
      <c r="A4287" s="2"/>
      <c r="B4287" s="2" t="str">
        <f>IFERROR(__xludf.DUMMYFUNCTION("IF(A4287&lt;&gt;"""", GOOGLETRANSLATE(A4287, ""en"", ""te""),"""")"),"")</f>
        <v/>
      </c>
      <c r="C4287" s="2"/>
      <c r="D4287" s="2" t="str">
        <f>IFERROR(__xludf.DUMMYFUNCTION("IF(C4287&lt;&gt;"""", GOOGLETRANSLATE(C4287, ""en"", ""te""),"""")"),"")</f>
        <v/>
      </c>
      <c r="E4287" s="2"/>
      <c r="F4287" s="2" t="str">
        <f>IFERROR(__xludf.DUMMYFUNCTION("IF(E4287&lt;&gt;"""", GOOGLETRANSLATE(E4287, ""en"", ""te""),"""")"),"")</f>
        <v/>
      </c>
      <c r="G4287" s="2"/>
      <c r="H4287" s="2" t="str">
        <f>IFERROR(__xludf.DUMMYFUNCTION("IF(G4287&lt;&gt;"""", GOOGLETRANSLATE(G4287, ""en"", ""te""),"""")"),"")</f>
        <v/>
      </c>
      <c r="I4287" s="3"/>
    </row>
    <row r="4288" customHeight="1" spans="1:9">
      <c r="A4288" s="2"/>
      <c r="B4288" s="2" t="str">
        <f>IFERROR(__xludf.DUMMYFUNCTION("IF(A4288&lt;&gt;"""", GOOGLETRANSLATE(A4288, ""en"", ""te""),"""")"),"")</f>
        <v/>
      </c>
      <c r="C4288" s="2"/>
      <c r="D4288" s="2" t="str">
        <f>IFERROR(__xludf.DUMMYFUNCTION("IF(C4288&lt;&gt;"""", GOOGLETRANSLATE(C4288, ""en"", ""te""),"""")"),"")</f>
        <v/>
      </c>
      <c r="E4288" s="2"/>
      <c r="F4288" s="2" t="str">
        <f>IFERROR(__xludf.DUMMYFUNCTION("IF(E4288&lt;&gt;"""", GOOGLETRANSLATE(E4288, ""en"", ""te""),"""")"),"")</f>
        <v/>
      </c>
      <c r="G4288" s="2" t="s">
        <v>3103</v>
      </c>
      <c r="H4288" s="2" t="str">
        <f>IFERROR(__xludf.DUMMYFUNCTION("IF(G4288&lt;&gt;"""", GOOGLETRANSLATE(G4288, ""en"", ""te""),"""")"),"[ 'అత్యధిక వికెట్లు ఇన్నింగ్స్ లో 11 వ అత్యధిక పరుగులు (84 *)', '29th లాంగెస్ట్ వ్యక్తిగత ఇన్నింగ్స్ (బంతులతో) (63)', 'రెండవ వికెట్కు 18 అత్యధిక భాగస్వామ్యం (129 *)', '25 వ అత్యధిక కొరకు చేసిన భాగస్వామ్యం నాల్గవ వికెట్ (99) ',' 30 వ వరుస జట్టు మ్యాచ్లు (3"&amp;"5) ',' 17 వ కెరీర్ లో అత్యధిక వికెట్లు (26) ',' 17 వ కెరీర్ లో అత్యధిక క్యాచ్లు (20) ',' 13 వ అత్యధిక క్యాచ్లు ఒక ఇన్నింగ్స్ లో (3) ',' 17 వ కెరీర్ (6) అత్యంత స్టంపింగ్లు ']")</f>
        <v>[ 'అత్యధిక వికెట్లు ఇన్నింగ్స్ లో 11 వ అత్యధిక పరుగులు (84 *)', '29th లాంగెస్ట్ వ్యక్తిగత ఇన్నింగ్స్ (బంతులతో) (63)', 'రెండవ వికెట్కు 18 అత్యధిక భాగస్వామ్యం (129 *)', '25 వ అత్యధిక కొరకు చేసిన భాగస్వామ్యం నాల్గవ వికెట్ (99) ',' 30 వ వరుస జట్టు మ్యాచ్లు (35) ',' 17 వ కెరీర్ లో అత్యధిక వికెట్లు (26) ',' 17 వ కెరీర్ లో అత్యధిక క్యాచ్లు (20) ',' 13 వ అత్యధిక క్యాచ్లు ఒక ఇన్నింగ్స్ లో (3) ',' 17 వ కెరీర్ (6) అత్యంత స్టంపింగ్లు ']</v>
      </c>
      <c r="I4288" s="3"/>
    </row>
    <row r="4289" customHeight="1" spans="1:9">
      <c r="A4289" s="2" t="s">
        <v>3104</v>
      </c>
      <c r="B4289" s="2" t="str">
        <f>IFERROR(__xludf.DUMMYFUNCTION("IF(A4289&lt;&gt;"""", GOOGLETRANSLATE(A4289, ""en"", ""te""),"""")"),"[ '6 వ అత్యంత ఇన్నింగ్స్ లో సాధించిన పరుగులు (105)', 'బ్యాటింగ్ తెరవడం మరియు అదే మ్యాచ్ లో బౌలింగ్']")</f>
        <v>[ '6 వ అత్యంత ఇన్నింగ్స్ లో సాధించిన పరుగులు (105)', 'బ్యాటింగ్ తెరవడం మరియు అదే మ్యాచ్ లో బౌలింగ్']</v>
      </c>
      <c r="C4289" s="2"/>
      <c r="D4289" s="2" t="str">
        <f>IFERROR(__xludf.DUMMYFUNCTION("IF(C4289&lt;&gt;"""", GOOGLETRANSLATE(C4289, ""en"", ""te""),"""")"),"")</f>
        <v/>
      </c>
      <c r="E4289" s="2" t="s">
        <v>3105</v>
      </c>
      <c r="F4289" s="2" t="str">
        <f>IFERROR(__xludf.DUMMYFUNCTION("IF(E4289&lt;&gt;"""", GOOGLETRANSLATE(E4289, ""en"", ""te""),"""")"),"[ '6 వ అత్యధిక పరుగులు ఇన్నింగ్స్ లో సాధించిన (105)', 'పదవ వికెట్కు 11 వ అత్యధిక భాగస్వామ్యం (65)']")</f>
        <v>[ '6 వ అత్యధిక పరుగులు ఇన్నింగ్స్ లో సాధించిన (105)', 'పదవ వికెట్కు 11 వ అత్యధిక భాగస్వామ్యం (65)']</v>
      </c>
      <c r="G4289" s="2"/>
      <c r="H4289" s="2" t="str">
        <f>IFERROR(__xludf.DUMMYFUNCTION("IF(G4289&lt;&gt;"""", GOOGLETRANSLATE(G4289, ""en"", ""te""),"""")"),"")</f>
        <v/>
      </c>
      <c r="I4289" s="3"/>
    </row>
    <row r="4290" customHeight="1" spans="1:9">
      <c r="A4290" s="2" t="s">
        <v>3106</v>
      </c>
      <c r="B4290" s="2" t="str">
        <f>IFERROR(__xludf.DUMMYFUNCTION("IF(A4290&lt;&gt;"""", GOOGLETRANSLATE(A4290, ""en"", ""te""),"""")"),"[ 'ఇన్నింగ్స్ లో 1 వ అత్యధిక వికెట్లు (7)', '1 వ ఇన్నింగ్స్ లో అత్యధిక క్యాచ్లు (7)', '1 వ ఇన్నింగ్స్ లో అత్యధిక పరుగులు (బ్యాటింగ్ స్థానంలో ప్రకారం) (173)', 'ఎ నూట ఐదు ఒక లో తొలగింపులకు ఇన్నింగ్స్]")</f>
        <v>[ 'ఇన్నింగ్స్ లో 1 వ అత్యధిక వికెట్లు (7)', '1 వ ఇన్నింగ్స్ లో అత్యధిక క్యాచ్లు (7)', '1 వ ఇన్నింగ్స్ లో అత్యధిక పరుగులు (బ్యాటింగ్ స్థానంలో ప్రకారం) (173)', 'ఎ నూట ఐదు ఒక లో తొలగింపులకు ఇన్నింగ్స్]</v>
      </c>
      <c r="C4290" s="2" t="s">
        <v>3107</v>
      </c>
      <c r="D4290" s="2" t="str">
        <f>IFERROR(__xludf.DUMMYFUNCTION("IF(C4290&lt;&gt;"""", GOOGLETRANSLATE(C4290, ""en"", ""te""),"""")"),"[ 'ఇన్నింగ్స్ లో 1 వ అత్యధిక పరుగులు (బ్యాటింగ్ స్థానంలో ప్రకారం) (173)', 'ఒక వికెట్ 17 వ ఇన్నింగ్స్ లో అత్యధిక పరుగులు (173)', 'ఇన్నింగ్స్ లో 42 వ అత్యధిక స్ట్రైక్ రేట్ (176.47)', '17 వ అత్యధిక భాగస్వామ్యం తొమ్మిదవ వికెట్కు (136) ',' ఇన్నింగ్స్ లో వికెట"&amp;"్ (1) ',' 24 వ కెరీర్ లో అత్యధిక వికెట్లు (176) ',' 1 వ అత్యధిక వికెట్లు ఉంచింది చేసిన 27 కెప్టెన్ల (7) ',' 35 వ అత్యంత ఒక లో తొలగింపులకు కెరీర్లో మ్యాచ్ (8) ', '21 వ అత్యధిక క్యాచ్లు (168)', '1st చాలా మ్యాచ్లో ఇన్నింగ్స్ లో క్యాచ్లు (7)', '26th అత్యధిక క"&amp;"్యాచ్లు (8)', '12 వ అత్యధిక ఇన్నింగ్స్ బై గూడా ఇవ్వకుండా మొత్తం (616/5 రో) ']")</f>
        <v>[ 'ఇన్నింగ్స్ లో 1 వ అత్యధిక పరుగులు (బ్యాటింగ్ స్థానంలో ప్రకారం) (173)', 'ఒక వికెట్ 17 వ ఇన్నింగ్స్ లో అత్యధిక పరుగులు (173)', 'ఇన్నింగ్స్ లో 42 వ అత్యధిక స్ట్రైక్ రేట్ (176.47)', '17 వ అత్యధిక భాగస్వామ్యం తొమ్మిదవ వికెట్కు (136) ',' ఇన్నింగ్స్ లో వికెట్ (1) ',' 24 వ కెరీర్ లో అత్యధిక వికెట్లు (176) ',' 1 వ అత్యధిక వికెట్లు ఉంచింది చేసిన 27 కెప్టెన్ల (7) ',' 35 వ అత్యంత ఒక లో తొలగింపులకు కెరీర్లో మ్యాచ్ (8) ', '21 వ అత్యధిక క్యాచ్లు (168)', '1st చాలా మ్యాచ్లో ఇన్నింగ్స్ లో క్యాచ్లు (7)', '26th అత్యధిక క్యాచ్లు (8)', '12 వ అత్యధిక ఇన్నింగ్స్ బై గూడా ఇవ్వకుండా మొత్తం (616/5 రో) ']</v>
      </c>
      <c r="E4290" s="2" t="s">
        <v>3108</v>
      </c>
      <c r="F4290" s="2" t="str">
        <f>IFERROR(__xludf.DUMMYFUNCTION("IF(E4290&lt;&gt;"""", GOOGLETRANSLATE(E4290, ""en"", ""te""),"""")"),"[ '35 వ అత్యధిక కెరీర్ సమ్మె రేటు (99.43)', '37 వ కెరీర్ లో అత్యధిక వికెట్లు (85)', '34 వ కెరీర్ లో అత్యధిక క్యాచ్లు (80)']")</f>
        <v>[ '35 వ అత్యధిక కెరీర్ సమ్మె రేటు (99.43)', '37 వ కెరీర్ లో అత్యధిక వికెట్లు (85)', '34 వ కెరీర్ లో అత్యధిక క్యాచ్లు (80)']</v>
      </c>
      <c r="G4290" s="2"/>
      <c r="H4290" s="2" t="str">
        <f>IFERROR(__xludf.DUMMYFUNCTION("IF(G4290&lt;&gt;"""", GOOGLETRANSLATE(G4290, ""en"", ""te""),"""")"),"")</f>
        <v/>
      </c>
      <c r="I4290" s="3"/>
    </row>
    <row r="4291" customHeight="1" spans="1:9">
      <c r="A4291" s="2"/>
      <c r="B4291" s="2" t="str">
        <f>IFERROR(__xludf.DUMMYFUNCTION("IF(A4291&lt;&gt;"""", GOOGLETRANSLATE(A4291, ""en"", ""te""),"""")"),"")</f>
        <v/>
      </c>
      <c r="C4291" s="2"/>
      <c r="D4291" s="2" t="str">
        <f>IFERROR(__xludf.DUMMYFUNCTION("IF(C4291&lt;&gt;"""", GOOGLETRANSLATE(C4291, ""en"", ""te""),"""")"),"")</f>
        <v/>
      </c>
      <c r="E4291" s="2"/>
      <c r="F4291" s="2" t="str">
        <f>IFERROR(__xludf.DUMMYFUNCTION("IF(E4291&lt;&gt;"""", GOOGLETRANSLATE(E4291, ""en"", ""te""),"""")"),"")</f>
        <v/>
      </c>
      <c r="G4291" s="2"/>
      <c r="H4291" s="2" t="str">
        <f>IFERROR(__xludf.DUMMYFUNCTION("IF(G4291&lt;&gt;"""", GOOGLETRANSLATE(G4291, ""en"", ""te""),"""")"),"")</f>
        <v/>
      </c>
      <c r="I4291" s="3"/>
    </row>
    <row r="4292" customHeight="1" spans="1:9">
      <c r="A4292" s="2" t="s">
        <v>3109</v>
      </c>
      <c r="B4292" s="2" t="str">
        <f>IFERROR(__xludf.DUMMYFUNCTION("IF(A4292&lt;&gt;"""", GOOGLETRANSLATE(A4292, ""en"", ""te""),"""")"),"[ 'జట్టు 9 వ వరుస మ్యాచ్లు (61)', 'ఒకే నేలపై 3 వ అత్యధిక పరుగులు (792)', 'వరుస ఇన్నింగ్స్లో 1st వందల (4)', '10 వ అత్యంత తొంభైల కెరీర్లో (2)', ' వరుస ఇన్నింగ్స్లో 5 వ యాభైల్లో (5) ',' 10 వ వరుస ఇన్నింగ్స్లో డకౌట్ (47 *) లేకుండా ',' 2 వ అత్యధిక క్యాచ్లు "&amp;"వరుస (15) ',' 250 పరుగులు మరియు ఒక సిరీస్లో 10 వికెట్లు ',' 5 వ అత్యధిక ఎనిమిదవ వికెట్ కొరకు చేసిన భాగస్వామ్యం (74) ',' కెరీర్ (108) ',' 9 వ ఇన్నింగ్స్ లో అత్యధిక పరుగులు (బ్యాటింగ్ స్థానంలో ప్రకారం) (71 *) ',' ఒక డక్ లేకుండా 1st వరుస ఇన్నింగ్స్ (88 9th అ"&amp;"త్యధిక మ్యాచ్లు * ) ',' 6 వ అత్యుత్తమ బౌలింగ్ ఇన్నింగ్స్ లో విశ్లేషించడం (6/17) ',' కెరీర్లో 9 వ అత్యధిక క్యాచ్లు (36) ',' తొమ్మిదవ వికెట్కు 7 వ అత్యధిక భాగస్వామ్యం (29 *) ']")</f>
        <v>[ 'జట్టు 9 వ వరుస మ్యాచ్లు (61)', 'ఒకే నేలపై 3 వ అత్యధిక పరుగులు (792)', 'వరుస ఇన్నింగ్స్లో 1st వందల (4)', '10 వ అత్యంత తొంభైల కెరీర్లో (2)', ' వరుస ఇన్నింగ్స్లో 5 వ యాభైల్లో (5) ',' 10 వ వరుస ఇన్నింగ్స్లో డకౌట్ (47 *) లేకుండా ',' 2 వ అత్యధిక క్యాచ్లు వరుస (15) ',' 250 పరుగులు మరియు ఒక సిరీస్లో 10 వికెట్లు ',' 5 వ అత్యధిక ఎనిమిదవ వికెట్ కొరకు చేసిన భాగస్వామ్యం (74) ',' కెరీర్ (108) ',' 9 వ ఇన్నింగ్స్ లో అత్యధిక పరుగులు (బ్యాటింగ్ స్థానంలో ప్రకారం) (71 *) ',' ఒక డక్ లేకుండా 1st వరుస ఇన్నింగ్స్ (88 9th అత్యధిక మ్యాచ్లు * ) ',' 6 వ అత్యుత్తమ బౌలింగ్ ఇన్నింగ్స్ లో విశ్లేషించడం (6/17) ',' కెరీర్లో 9 వ అత్యధిక క్యాచ్లు (36) ',' తొమ్మిదవ వికెట్కు 7 వ అత్యధిక భాగస్వామ్యం (29 *) ']</v>
      </c>
      <c r="C4292" s="2"/>
      <c r="D4292" s="2" t="str">
        <f>IFERROR(__xludf.DUMMYFUNCTION("IF(C4292&lt;&gt;"""", GOOGLETRANSLATE(C4292, ""en"", ""te""),"""")"),"")</f>
        <v/>
      </c>
      <c r="E4292" s="2" t="s">
        <v>3110</v>
      </c>
      <c r="F4292" s="2" t="str">
        <f>IFERROR(__xludf.DUMMYFUNCTION("IF(E4292&lt;&gt;"""", GOOGLETRANSLATE(E4292, ""en"", ""te""),"""")"),"[ 'ఇన్నింగ్స్ (137 *) లో 35 వ అత్యధిక పరుగులు' 'కెరీర్ లో 7 వ అత్యధిక పరుగులు (4125)', 'వరుస 12 వ అత్యధిక పరుగులు (763)', '3 వ భాగం ఒక క్యాలెండర్ సంవత్సరంలో పరుగులు (853)', 'ఇన్నింగ్స్ లో 12 వ అత్యధిక పరుగులు (బ్యాటింగ్ స్థానంలో ప్రకారం) (137 *)', 'పరాజయం"&amp;" వైపు ఒక మ్యాచ్లో 9 వ అత్యధిక పరుగులు (109)', '3 వ అత్యంత ఒకే మైదానంలో పరుగులు (792)', '23 వ ఒక కెప్టెన్ ద్వారా ఒక సిరీస్లో పరుగులు (346) ',' ఒక కెప్టెన్తో ఇన్నింగ్స్ లో 14 వ అత్యధిక పరుగులు (123) ',' 26th అత్యధిక కెరీర్ బ్యాటింగ్ సగటు (38.91) ',' ఒక వృ"&amp;"త్తిలో 6 వ అత్యధిక వందలు (7) ', 'వరుస 2 వ అత్యధిక వందలు (3)', '(3) ఒక క్యాలెండర్ సంవత్సరంలో 1st అత్యధిక వందలు' 'ఒక జట్టుతో 2 వ అత్యధిక వందలు (3)', 'వరుస ఇన్నింగ్స్లో 1st వందల (4)', '46 వ అత్యధిక తొలి వంద (109) ',' 9 వ అత్యంత వృద్ధ ఆటగాడు వంద (34y 144d) ',"&amp;"' 10 వ కెరీర్ లో అత్యంత తొంభైల (2) ',' 10 వ కెరీర్ లో చాలా అర్ధ (29) సాధించిన ',' వరుస ఇన్నింగ్స్లో 5 వ యాభైల్లో (5) ',' ఒక డక్ లేకుండా 10 వ వరుస ఇన్నింగ్స్ (47 *) ',' 13 వ చెత్త కెరీర్లో ఆర్థిక రేటు (4.51) ',' ఇన్నింగ్స్ లో 39 వ చెత్త ఆర్థిక రేటు (8.66"&amp;" ) ',' 9 వ కెరీర్లో అత్యధిక క్యాచ్లు (50) ',' 4 వ ఇన్నింగ్స్ వరుస (3) ',' 2 వ అత్యధిక క్యాచ్లు లో అత్యధిక క్యాచ్లు (15) ',' మూడో వికెట్ (150 19 అత్యధిక భాగస్వామ్యం) ' , 'నాలుగవ వికెట్కు 5 వ అత్యధిక భాగస్వామ్యం (172 *)', 'ఐదవ వికెట్కు 22 అత్యధిక భాగస్వామ్య"&amp;"ం (99)', 'ఎనిమిదవ వికెట్కు 5 వ అత్యధిక భాగస్వామ్యం (74)', '9 వ కెరీర్లో అత్యధిక మ్యాచ్లు (128) ',' ఒక జట్టు 9 వ వరుస మ్యాచ్లు (61) ',' 42 వ లాంగెస్ట్ కెరీర్లు (13y 263d) ',' 34 వ పిన్న కాప్టెన్ (23y 270d) ']")</f>
        <v>[ 'ఇన్నింగ్స్ (137 *) లో 35 వ అత్యధిక పరుగులు' 'కెరీర్ లో 7 వ అత్యధిక పరుగులు (4125)', 'వరుస 12 వ అత్యధిక పరుగులు (763)', '3 వ భాగం ఒక క్యాలెండర్ సంవత్సరంలో పరుగులు (853)', 'ఇన్నింగ్స్ లో 12 వ అత్యధిక పరుగులు (బ్యాటింగ్ స్థానంలో ప్రకారం) (137 *)', 'పరాజయం వైపు ఒక మ్యాచ్లో 9 వ అత్యధిక పరుగులు (109)', '3 వ అత్యంత ఒకే మైదానంలో పరుగులు (792)', '23 వ ఒక కెప్టెన్ ద్వారా ఒక సిరీస్లో పరుగులు (346) ',' ఒక కెప్టెన్తో ఇన్నింగ్స్ లో 14 వ అత్యధిక పరుగులు (123) ',' 26th అత్యధిక కెరీర్ బ్యాటింగ్ సగటు (38.91) ',' ఒక వృత్తిలో 6 వ అత్యధిక వందలు (7) ', 'వరుస 2 వ అత్యధిక వందలు (3)', '(3) ఒక క్యాలెండర్ సంవత్సరంలో 1st అత్యధిక వందలు' 'ఒక జట్టుతో 2 వ అత్యధిక వందలు (3)', 'వరుస ఇన్నింగ్స్లో 1st వందల (4)', '46 వ అత్యధిక తొలి వంద (109) ',' 9 వ అత్యంత వృద్ధ ఆటగాడు వంద (34y 144d) ',' 10 వ కెరీర్ లో అత్యంత తొంభైల (2) ',' 10 వ కెరీర్ లో చాలా అర్ధ (29) సాధించిన ',' వరుస ఇన్నింగ్స్లో 5 వ యాభైల్లో (5) ',' ఒక డక్ లేకుండా 10 వ వరుస ఇన్నింగ్స్ (47 *) ',' 13 వ చెత్త కెరీర్లో ఆర్థిక రేటు (4.51) ',' ఇన్నింగ్స్ లో 39 వ చెత్త ఆర్థిక రేటు (8.66 ) ',' 9 వ కెరీర్లో అత్యధిక క్యాచ్లు (50) ',' 4 వ ఇన్నింగ్స్ వరుస (3) ',' 2 వ అత్యధిక క్యాచ్లు లో అత్యధిక క్యాచ్లు (15) ',' మూడో వికెట్ (150 19 అత్యధిక భాగస్వామ్యం) ' , 'నాలుగవ వికెట్కు 5 వ అత్యధిక భాగస్వామ్యం (172 *)', 'ఐదవ వికెట్కు 22 అత్యధిక భాగస్వామ్యం (99)', 'ఎనిమిదవ వికెట్కు 5 వ అత్యధిక భాగస్వామ్యం (74)', '9 వ కెరీర్లో అత్యధిక మ్యాచ్లు (128) ',' ఒక జట్టు 9 వ వరుస మ్యాచ్లు (61) ',' 42 వ లాంగెస్ట్ కెరీర్లు (13y 263d) ',' 34 వ పిన్న కాప్టెన్ (23y 270d) ']</v>
      </c>
      <c r="G4292" s="2" t="s">
        <v>3111</v>
      </c>
      <c r="H4292" s="2" t="str">
        <f>IFERROR(__xludf.DUMMYFUNCTION("IF(G4292&lt;&gt;"""", GOOGLETRANSLATE(G4292, ""en"", ""te""),"""")"),"[ 'ఒక డక్ (88 *) లేకుండా 1st వరుస ఇన్నింగ్స్' '17 వ అత్యధిక కెరీర్ లో పరుగులు (1717)', 'ఇన్నింగ్స్ లో 9 వ అత్యధిక పరుగులు (బ్యాటింగ్ స్థానంలో ప్రకారం) (71 *)', 'కెరీర్ లో 2 వ అతి తక్కువ బాతులు (97) ',' 6 వ ఉత్తమ గణాంకాలు ఇన్నింగ్స్ లో (6/17) ',' 6 వ అత్యు"&amp;"త్తమ బౌలింగ్ ఇన్నింగ్స్ లో విశ్లేషించడం (6/17) ',' ఇన్నింగ్స్ లో 33 వ ఉత్తమ సమ్మె రేటు (4.0) ',' 13 వ అత్యంత నాలుగు వికెట్లు-ఇన్-ఒక-ఇన్నింగ్స్ కెరీర్లో కెరీర్లో (2) ',' 9 వ అత్యధిక క్యాచ్లు (36) ',' రెండవ వికెట్కు 43 వ అత్యధిక భాగస్వామ్యం (89) ',' మూడో వి"&amp;"కెట్కు 18 అత్యధిక భాగస్వామ్యం ( 97) ',' తొమ్మిదవ వికెట్ (29 *) కోసం 7 వ అత్యధిక భాగస్వామ్యం ',' కెరీర్లో 9 వ అత్యధిక మ్యాచ్లు (ఒక జట్టు 108) ',' 27 వ వరుస మ్యాచ్లు (42) ',' 37 వ అత్యంత కెప్టెన్గా మ్యాచ్లు (12 ) ',' 16 వ ఓల్డెస్ట్ కాప్టెన్ (34y 176d) ',' క"&amp;"ెప్టెన్సీ తొలి 27 ఓల్డెస్ట్ కాప్టెన్ (31y 357d) ']")</f>
        <v>[ 'ఒక డక్ (88 *) లేకుండా 1st వరుస ఇన్నింగ్స్' '17 వ అత్యధిక కెరీర్ లో పరుగులు (1717)', 'ఇన్నింగ్స్ లో 9 వ అత్యధిక పరుగులు (బ్యాటింగ్ స్థానంలో ప్రకారం) (71 *)', 'కెరీర్ లో 2 వ అతి తక్కువ బాతులు (97) ',' 6 వ ఉత్తమ గణాంకాలు ఇన్నింగ్స్ లో (6/17) ',' 6 వ అత్యుత్తమ బౌలింగ్ ఇన్నింగ్స్ లో విశ్లేషించడం (6/17) ',' ఇన్నింగ్స్ లో 33 వ ఉత్తమ సమ్మె రేటు (4.0) ',' 13 వ అత్యంత నాలుగు వికెట్లు-ఇన్-ఒక-ఇన్నింగ్స్ కెరీర్లో కెరీర్లో (2) ',' 9 వ అత్యధిక క్యాచ్లు (36) ',' రెండవ వికెట్కు 43 వ అత్యధిక భాగస్వామ్యం (89) ',' మూడో వికెట్కు 18 అత్యధిక భాగస్వామ్యం ( 97) ',' తొమ్మిదవ వికెట్ (29 *) కోసం 7 వ అత్యధిక భాగస్వామ్యం ',' కెరీర్లో 9 వ అత్యధిక మ్యాచ్లు (ఒక జట్టు 108) ',' 27 వ వరుస మ్యాచ్లు (42) ',' 37 వ అత్యంత కెప్టెన్గా మ్యాచ్లు (12 ) ',' 16 వ ఓల్డెస్ట్ కాప్టెన్ (34y 176d) ',' కెప్టెన్సీ తొలి 27 ఓల్డెస్ట్ కాప్టెన్ (31y 357d) ']</v>
      </c>
      <c r="I4292" s="3"/>
    </row>
    <row r="4293" customHeight="1" spans="1:9">
      <c r="A4293" s="2" t="s">
        <v>3112</v>
      </c>
      <c r="B4293" s="2" t="str">
        <f>IFERROR(__xludf.DUMMYFUNCTION("IF(A4293&lt;&gt;"""", GOOGLETRANSLATE(A4293, ""en"", ""te""),"""")"),"[ 'తొలి ఇన్నింగ్స్లో 7 వ బెస్ట్ ఫిగర్స్ (5)', 'ఐదు వికెట్ల లో-ఒక-ఇన్నింగ్స్ పడుతుంది 5 వ పిన్న ఆటగాడు (18y 329d)']")</f>
        <v>[ 'తొలి ఇన్నింగ్స్లో 7 వ బెస్ట్ ఫిగర్స్ (5)', 'ఐదు వికెట్ల లో-ఒక-ఇన్నింగ్స్ పడుతుంది 5 వ పిన్న ఆటగాడు (18y 329d)']</v>
      </c>
      <c r="C4293" s="2" t="s">
        <v>3113</v>
      </c>
      <c r="D4293" s="2" t="str">
        <f>IFERROR(__xludf.DUMMYFUNCTION("IF(C4293&lt;&gt;"""", GOOGLETRANSLATE(C4293, ""en"", ""te""),"""")"),"[ 'తొలి ఇన్నింగ్స్లో 7 వ బెస్ట్ ఫిగర్స్ (5)', '21 వ అరంగేట్రంలోనే మ్యాచ్లో ఉత్తమ బొమ్మలు (5) ',' ఐదు వికెట్ల లో-ఒక-ఇన్నింగ్స్ పడుతుంది 5 వ పిన్న ఆటగాడు (18y 329d) ']")</f>
        <v>[ 'తొలి ఇన్నింగ్స్లో 7 వ బెస్ట్ ఫిగర్స్ (5)', '21 వ అరంగేట్రంలోనే మ్యాచ్లో ఉత్తమ బొమ్మలు (5) ',' ఐదు వికెట్ల లో-ఒక-ఇన్నింగ్స్ పడుతుంది 5 వ పిన్న ఆటగాడు (18y 329d) ']</v>
      </c>
      <c r="E4293" s="2" t="s">
        <v>3114</v>
      </c>
      <c r="F4293" s="2" t="str">
        <f>IFERROR(__xludf.DUMMYFUNCTION("IF(E4293&lt;&gt;"""", GOOGLETRANSLATE(E4293, ""en"", ""te""),"""")"),"[40 వ ఉత్తమ కెరీర్ ఆర్థిక రేటు (2.83) ']")</f>
        <v>[40 వ ఉత్తమ కెరీర్ ఆర్థిక రేటు (2.83) ']</v>
      </c>
      <c r="G4293" s="2"/>
      <c r="H4293" s="2" t="str">
        <f>IFERROR(__xludf.DUMMYFUNCTION("IF(G4293&lt;&gt;"""", GOOGLETRANSLATE(G4293, ""en"", ""te""),"""")"),"")</f>
        <v/>
      </c>
      <c r="I4293" s="3"/>
    </row>
    <row r="4294" customHeight="1" spans="1:9">
      <c r="A4294" s="2" t="s">
        <v>3115</v>
      </c>
      <c r="B4294" s="2" t="str">
        <f>IFERROR(__xludf.DUMMYFUNCTION("IF(A4294&lt;&gt;"""", GOOGLETRANSLATE(A4294, ""en"", ""te""),"""")"),"[ '7th బౌలర్ / ఫీల్డర్ కలయికలు (73)', '1000 పరుగులు మరియు 100 వికెట్లు', '1000 పరుగులు,' ఇన్నింగ్స్ (9) 8 వ ఎక్కువ సిక్స్ '' వంద (1690) లేకుండా ఒక వృత్తిలో 9 వ అత్యధిక పరుగులు ' 50 వికెట్లు, 50 క్యాచ్లు ',' 6 వ ఇన్నింగ్స్ లో అత్యధిక పరుగులు (బ్యాటింగ్ స్థ"&amp;"ానంలో ప్రకారం) (55) ',' ఇన్నింగ్స్ (7/33) ',' 6 వ అత్యంత ఇన్నింగ్స్ లో ఇవ్వబడిన పరుగులలో 6 వ అత్యుత్తమ బౌలింగ్ విశ్లేషణలు (105 ) ',' కెరీర్ లో 2 వ అత్యధిక వికెట్లు (99) ',' 3 వ అత్యంత బంతుల్లో కెరీర్లో బౌల్డ్ (1782) ',' 1st కెరీర్లో సాధించిన అత్యధిక పరుగు"&amp;"లు (2492) ',' 1 వ అత్యధిక వికెట్లు ఒక వికెట్ కీపర్ చే కాట్ తీసుకున్న (15) ',' 6 వ కెరీర్లో అత్యధిక క్యాచ్లు (44) ',' పదవ వికెట్కు 2 వ అత్యధిక భాగస్వామ్యం (36) ']")</f>
        <v>[ '7th బౌలర్ / ఫీల్డర్ కలయికలు (73)', '1000 పరుగులు మరియు 100 వికెట్లు', '1000 పరుగులు,' ఇన్నింగ్స్ (9) 8 వ ఎక్కువ సిక్స్ '' వంద (1690) లేకుండా ఒక వృత్తిలో 9 వ అత్యధిక పరుగులు ' 50 వికెట్లు, 50 క్యాచ్లు ',' 6 వ ఇన్నింగ్స్ లో అత్యధిక పరుగులు (బ్యాటింగ్ స్థానంలో ప్రకారం) (55) ',' ఇన్నింగ్స్ (7/33) ',' 6 వ అత్యంత ఇన్నింగ్స్ లో ఇవ్వబడిన పరుగులలో 6 వ అత్యుత్తమ బౌలింగ్ విశ్లేషణలు (105 ) ',' కెరీర్ లో 2 వ అత్యధిక వికెట్లు (99) ',' 3 వ అత్యంత బంతుల్లో కెరీర్లో బౌల్డ్ (1782) ',' 1st కెరీర్లో సాధించిన అత్యధిక పరుగులు (2492) ',' 1 వ అత్యధిక వికెట్లు ఒక వికెట్ కీపర్ చే కాట్ తీసుకున్న (15) ',' 6 వ కెరీర్లో అత్యధిక క్యాచ్లు (44) ',' పదవ వికెట్కు 2 వ అత్యధిక భాగస్వామ్యం (36) ']</v>
      </c>
      <c r="C4294" s="2" t="s">
        <v>3116</v>
      </c>
      <c r="D4294" s="2" t="str">
        <f>IFERROR(__xludf.DUMMYFUNCTION("IF(C4294&lt;&gt;"""", GOOGLETRANSLATE(C4294, ""en"", ""te""),"""")"),"[ '10 వ ఇన్నింగ్స్ లో అత్యధిక పరుగులు (బ్యాటింగ్ స్థానంలో ప్రకారం) (77 *)', 'ఒక వృత్తిలో 9 వ అత్యధిక పరుగులు వంద (1690) లేకుండా', '18 వ అత్యధిక సమ్మె ఇన్నింగ్స్ లో రేటు (208.69)', '15 వ అత్యంత కెరీర్లో సిక్సర్లు (73) ',' 8 వ ఇన్నింగ్స్ లో వచ్చిన ఎక్కువ సి"&amp;"క్స్ (9) ',' 35 వ అత్యధిక వికెట్లు కెరీర్లో (302) ',' 48 వ ఒకే మైదానంలో అత్యధిక వికెట్లు (51) ',' 24 వ ఉత్తమ ఒక లో సంఖ్యలు ఇన్నింగ్స్ ఉన్నప్పుడు పరాజయం వైపు (7) ',' 40 వ మ్యాచ్ లో బెస్ట్ ఫిగర్స్ ఉన్నప్పుడు పరాజయం వైపు (10) ',' ఐదు వికెట్ల లో-ఒక-ఇన్నింగ"&amp;"్స్ (19y 102d) తీసుకోవాలని 20 వ పిన్న ఆటగాడు ',' కెరీర్లో బౌల్డ్ 35 వ అత్యంత బంతుల్లో (17387) ',' 29th కెరీర్లో సాధించిన అత్యధిక పరుగులు (8670) ',' 30 వ అత్యధిక పరుగులు ఒక మ్యాచ్లో సాధించిన (266) ',' 7 వ బౌలర్ / ఫీల్డర్ కలయికలు (73) ', '21 వ అత్యంత వికెట్"&amp;"లు ఆకర్షించింది తీసుకున్న ఫీల్డర్ చేత క్యాచ్ తీసుకున్న (227) ',' 29 వ అత్యధిక వికెట్లు (134) ',' 12 వ అత్యధిక వికెట్లు వేగంగా 250 వికెట్లు (67) ',' 24 వ వేగంగా ఒక వికెట్కీపర్గా (93) ',' 32 వ పట్టుకుంటే తీసుకున్న 300 వికెట్లు (76) ',' పదవ వికెట్కు 46 వ అత్"&amp;"యధిక భాగస్వామ్యం (84) ']")</f>
        <v>[ '10 వ ఇన్నింగ్స్ లో అత్యధిక పరుగులు (బ్యాటింగ్ స్థానంలో ప్రకారం) (77 *)', 'ఒక వృత్తిలో 9 వ అత్యధిక పరుగులు వంద (1690) లేకుండా', '18 వ అత్యధిక సమ్మె ఇన్నింగ్స్ లో రేటు (208.69)', '15 వ అత్యంత కెరీర్లో సిక్సర్లు (73) ',' 8 వ ఇన్నింగ్స్ లో వచ్చిన ఎక్కువ సిక్స్ (9) ',' 35 వ అత్యధిక వికెట్లు కెరీర్లో (302) ',' 48 వ ఒకే మైదానంలో అత్యధిక వికెట్లు (51) ',' 24 వ ఉత్తమ ఒక లో సంఖ్యలు ఇన్నింగ్స్ ఉన్నప్పుడు పరాజయం వైపు (7) ',' 40 వ మ్యాచ్ లో బెస్ట్ ఫిగర్స్ ఉన్నప్పుడు పరాజయం వైపు (10) ',' ఐదు వికెట్ల లో-ఒక-ఇన్నింగ్స్ (19y 102d) తీసుకోవాలని 20 వ పిన్న ఆటగాడు ',' కెరీర్లో బౌల్డ్ 35 వ అత్యంత బంతుల్లో (17387) ',' 29th కెరీర్లో సాధించిన అత్యధిక పరుగులు (8670) ',' 30 వ అత్యధిక పరుగులు ఒక మ్యాచ్లో సాధించిన (266) ',' 7 వ బౌలర్ / ఫీల్డర్ కలయికలు (73) ', '21 వ అత్యంత వికెట్లు ఆకర్షించింది తీసుకున్న ఫీల్డర్ చేత క్యాచ్ తీసుకున్న (227) ',' 29 వ అత్యధిక వికెట్లు (134) ',' 12 వ అత్యధిక వికెట్లు వేగంగా 250 వికెట్లు (67) ',' 24 వ వేగంగా ఒక వికెట్కీపర్గా (93) ',' 32 వ పట్టుకుంటే తీసుకున్న 300 వికెట్లు (76) ',' పదవ వికెట్కు 46 వ అత్యధిక భాగస్వామ్యం (84) ']</v>
      </c>
      <c r="E4294" s="2" t="s">
        <v>3117</v>
      </c>
      <c r="F4294" s="2" t="str">
        <f>IFERROR(__xludf.DUMMYFUNCTION("IF(E4294&lt;&gt;"""", GOOGLETRANSLATE(E4294, ""en"", ""te""),"""")"),"[ 'ఇన్నింగ్స్ లో 6 వ అత్యధిక పరుగులు (బ్యాటింగ్ స్థానంలో ప్రకారం) (55)', '40 వ అత్యధిక కెరీర్ సమ్మె రేటు (97.55)', '45 వ కెరీర్ లో అత్యధిక వికెట్లు (190)', '7 వ ఇన్నింగ్స్ లో బెస్ట్ ఫిగర్స్ (7 / 33) ',' 42 వ ఒక సిరీస్లో అత్యధిక వికెట్లు (ఇన్నింగ్స్ 18) ',"&amp;"' 6 వ అత్యుత్తమ బౌలింగ్ విశ్లేషణలు (7/33) ',' 25 వ అత్యంత ఐదు-వికెట్ల లో-ఒక-ఇన్నింగ్స్ కెరీర్లో (3) ' '34 వ కెరీర్ (6558) లో సాధించిన అత్యధిక పరుగులు' 'అయిదు వికెట్లు-ఇన్-ఒక-ఇన్నింగ్స్ (22y 42d) పడుతుంది 37 వ పిన్న ఆటగాడు', '6 వ ఇన్నింగ్స్ లో సాధించిన అత్"&amp;"యధిక పరుగులు (105)', '47 వ అత్యంత వికెట్లు ఆకర్షించింది తీసుకోకూడదు (124) ',' 30 వ అత్యధిక వికెట్లు ఒక వికెట్ కీపర్ చే కాట్ తీసుకున్న (41) ',' 34 వ అత్యధిక వికెట్లు తీసుకున్న ఎల్బిడబ్ల్యు (26) ',' 32 వ వేగంగా 150 వికెట్లు (110) ']")</f>
        <v>[ 'ఇన్నింగ్స్ లో 6 వ అత్యధిక పరుగులు (బ్యాటింగ్ స్థానంలో ప్రకారం) (55)', '40 వ అత్యధిక కెరీర్ సమ్మె రేటు (97.55)', '45 వ కెరీర్ లో అత్యధిక వికెట్లు (190)', '7 వ ఇన్నింగ్స్ లో బెస్ట్ ఫిగర్స్ (7 / 33) ',' 42 వ ఒక సిరీస్లో అత్యధిక వికెట్లు (ఇన్నింగ్స్ 18) ',' 6 వ అత్యుత్తమ బౌలింగ్ విశ్లేషణలు (7/33) ',' 25 వ అత్యంత ఐదు-వికెట్ల లో-ఒక-ఇన్నింగ్స్ కెరీర్లో (3) ' '34 వ కెరీర్ (6558) లో సాధించిన అత్యధిక పరుగులు' 'అయిదు వికెట్లు-ఇన్-ఒక-ఇన్నింగ్స్ (22y 42d) పడుతుంది 37 వ పిన్న ఆటగాడు', '6 వ ఇన్నింగ్స్ లో సాధించిన అత్యధిక పరుగులు (105)', '47 వ అత్యంత వికెట్లు ఆకర్షించింది తీసుకోకూడదు (124) ',' 30 వ అత్యధిక వికెట్లు ఒక వికెట్ కీపర్ చే కాట్ తీసుకున్న (41) ',' 34 వ అత్యధిక వికెట్లు తీసుకున్న ఎల్బిడబ్ల్యు (26) ',' 32 వ వేగంగా 150 వికెట్లు (110) ']</v>
      </c>
      <c r="G4294" s="2" t="s">
        <v>3118</v>
      </c>
      <c r="H4294" s="2" t="str">
        <f>IFERROR(__xludf.DUMMYFUNCTION("IF(G4294&lt;&gt;"""", GOOGLETRANSLATE(G4294, ""en"", ""te""),"""")"),"[ '13 వ ఇన్నింగ్స్ లో అత్యధిక పరుగులు (బ్యాటింగ్ స్థానంలో ప్రకారం) (39)', 'కెరీర్ లో 2 వ అత్యధిక వికెట్లు (99)', 'ఇన్నింగ్స్ లో 27 బెస్ట్ ఫిగర్స్ (5/18)', '5 వ ఒక సింగిల్ అత్యధిక వికెట్లు భూమి (19) ',' ఒక కెప్టెన్తో ఒక ఇన్నింగ్స్ లో 20 వ బెస్ట్ ఫిగర్స్ (3"&amp;") ',' 45 వ ఉత్తమ కెరీర్ సమ్మె రేటు (18.0) ',' 20 వ చెత్త కెరీర్లో ఆర్థిక రేటు (8.39) ',' 16 వ అత్యంత నాలుగు wickets- లో-ఒక-ఇన్నింగ్స్ కెరీర్ (2) ',' 3 వ అత్యంత బంతుల్లో కెరీర్లో బౌల్డ్ (1782) ',' 1st కెరీర్లో సాధించిన (2492) ',' 17 వ బౌలర్ అత్యధిక పరుగులు"&amp;" / బ్యాట్స్ కలయికలు (3) ',' 26 లో బౌలర్ / ఫీల్డర్ కలయికలు (7) ',' 48 వ అత్యధిక వికెట్లు తీసుకున్న బౌల్డ్ (10) ',' 1 వ అత్యధిక వికెట్లు తీసుకున్న ఆకర్షించింది (86) ',' 3 వ అత్యంత క్యాచ్ మరియు బౌల్డ్ తీసుకోబడిన వికెట్ల (5) ',' 1 వ అత్యధిక వికెట్లు ఆకర్షించి"&amp;"ంది తీసుకున్న ఒక ఫీల్డర్ చేత (71) ',' 1 వ అత్యధిక వికెట్లు 50 వికెట్లు (42) ',' 6 వ అత్యధిక క్యాచ్లు కెరీర్లో (44) ',' కోసం 2 వ అత్యధిక భాగస్వామ్యాన్ని వికెట్కీపర్గా (15) ',' ఫాస్టెస్ట్ 18 పట్టుకుంటే తీసుకున్న పదవ వికెట్ను (36) ',' 16 వ కెరీర్ లో అత్యధిక "&amp;"మ్యాచ్లు (83) ',' 17 వ లాంగెస్ట్ కెరీర్లు (13y 55d) ',' 38 వ కెప్టెన్గా అత్యధిక మ్యాచ్లు (18) ']")</f>
        <v>[ '13 వ ఇన్నింగ్స్ లో అత్యధిక పరుగులు (బ్యాటింగ్ స్థానంలో ప్రకారం) (39)', 'కెరీర్ లో 2 వ అత్యధిక వికెట్లు (99)', 'ఇన్నింగ్స్ లో 27 బెస్ట్ ఫిగర్స్ (5/18)', '5 వ ఒక సింగిల్ అత్యధిక వికెట్లు భూమి (19) ',' ఒక కెప్టెన్తో ఒక ఇన్నింగ్స్ లో 20 వ బెస్ట్ ఫిగర్స్ (3) ',' 45 వ ఉత్తమ కెరీర్ సమ్మె రేటు (18.0) ',' 20 వ చెత్త కెరీర్లో ఆర్థిక రేటు (8.39) ',' 16 వ అత్యంత నాలుగు wickets- లో-ఒక-ఇన్నింగ్స్ కెరీర్ (2) ',' 3 వ అత్యంత బంతుల్లో కెరీర్లో బౌల్డ్ (1782) ',' 1st కెరీర్లో సాధించిన (2492) ',' 17 వ బౌలర్ అత్యధిక పరుగులు / బ్యాట్స్ కలయికలు (3) ',' 26 లో బౌలర్ / ఫీల్డర్ కలయికలు (7) ',' 48 వ అత్యధిక వికెట్లు తీసుకున్న బౌల్డ్ (10) ',' 1 వ అత్యధిక వికెట్లు తీసుకున్న ఆకర్షించింది (86) ',' 3 వ అత్యంత క్యాచ్ మరియు బౌల్డ్ తీసుకోబడిన వికెట్ల (5) ',' 1 వ అత్యధిక వికెట్లు ఆకర్షించింది తీసుకున్న ఒక ఫీల్డర్ చేత (71) ',' 1 వ అత్యధిక వికెట్లు 50 వికెట్లు (42) ',' 6 వ అత్యధిక క్యాచ్లు కెరీర్లో (44) ',' కోసం 2 వ అత్యధిక భాగస్వామ్యాన్ని వికెట్కీపర్గా (15) ',' ఫాస్టెస్ట్ 18 పట్టుకుంటే తీసుకున్న పదవ వికెట్ను (36) ',' 16 వ కెరీర్ లో అత్యధిక మ్యాచ్లు (83) ',' 17 వ లాంగెస్ట్ కెరీర్లు (13y 55d) ',' 38 వ కెప్టెన్గా అత్యధిక మ్యాచ్లు (18) ']</v>
      </c>
      <c r="I4294" s="3"/>
    </row>
    <row r="4295" customHeight="1" spans="1:9">
      <c r="A4295" s="2"/>
      <c r="B4295" s="2" t="str">
        <f>IFERROR(__xludf.DUMMYFUNCTION("IF(A4295&lt;&gt;"""", GOOGLETRANSLATE(A4295, ""en"", ""te""),"""")"),"")</f>
        <v/>
      </c>
      <c r="C4295" s="2"/>
      <c r="D4295" s="2" t="str">
        <f>IFERROR(__xludf.DUMMYFUNCTION("IF(C4295&lt;&gt;"""", GOOGLETRANSLATE(C4295, ""en"", ""te""),"""")"),"")</f>
        <v/>
      </c>
      <c r="E4295" s="2"/>
      <c r="F4295" s="2" t="str">
        <f>IFERROR(__xludf.DUMMYFUNCTION("IF(E4295&lt;&gt;"""", GOOGLETRANSLATE(E4295, ""en"", ""te""),"""")"),"")</f>
        <v/>
      </c>
      <c r="G4295" s="2"/>
      <c r="H4295" s="2" t="str">
        <f>IFERROR(__xludf.DUMMYFUNCTION("IF(G4295&lt;&gt;"""", GOOGLETRANSLATE(G4295, ""en"", ""te""),"""")"),"")</f>
        <v/>
      </c>
      <c r="I4295" s="3"/>
    </row>
    <row r="4296" customHeight="1" spans="1:9">
      <c r="A4296" s="2"/>
      <c r="B4296" s="2" t="str">
        <f>IFERROR(__xludf.DUMMYFUNCTION("IF(A4296&lt;&gt;"""", GOOGLETRANSLATE(A4296, ""en"", ""te""),"""")"),"")</f>
        <v/>
      </c>
      <c r="C4296" s="2"/>
      <c r="D4296" s="2" t="str">
        <f>IFERROR(__xludf.DUMMYFUNCTION("IF(C4296&lt;&gt;"""", GOOGLETRANSLATE(C4296, ""en"", ""te""),"""")"),"")</f>
        <v/>
      </c>
      <c r="E4296" s="2"/>
      <c r="F4296" s="2" t="str">
        <f>IFERROR(__xludf.DUMMYFUNCTION("IF(E4296&lt;&gt;"""", GOOGLETRANSLATE(E4296, ""en"", ""te""),"""")"),"")</f>
        <v/>
      </c>
      <c r="G4296" s="2"/>
      <c r="H4296" s="2" t="str">
        <f>IFERROR(__xludf.DUMMYFUNCTION("IF(G4296&lt;&gt;"""", GOOGLETRANSLATE(G4296, ""en"", ""te""),"""")"),"")</f>
        <v/>
      </c>
      <c r="I4296" s="3"/>
    </row>
    <row r="4297" customHeight="1" spans="1:9">
      <c r="A4297" s="2"/>
      <c r="B4297" s="2" t="str">
        <f>IFERROR(__xludf.DUMMYFUNCTION("IF(A4297&lt;&gt;"""", GOOGLETRANSLATE(A4297, ""en"", ""te""),"""")"),"")</f>
        <v/>
      </c>
      <c r="C4297" s="2"/>
      <c r="D4297" s="2" t="str">
        <f>IFERROR(__xludf.DUMMYFUNCTION("IF(C4297&lt;&gt;"""", GOOGLETRANSLATE(C4297, ""en"", ""te""),"""")"),"")</f>
        <v/>
      </c>
      <c r="E4297" s="2"/>
      <c r="F4297" s="2" t="str">
        <f>IFERROR(__xludf.DUMMYFUNCTION("IF(E4297&lt;&gt;"""", GOOGLETRANSLATE(E4297, ""en"", ""te""),"""")"),"")</f>
        <v/>
      </c>
      <c r="G4297" s="2"/>
      <c r="H4297" s="2" t="str">
        <f>IFERROR(__xludf.DUMMYFUNCTION("IF(G4297&lt;&gt;"""", GOOGLETRANSLATE(G4297, ""en"", ""te""),"""")"),"")</f>
        <v/>
      </c>
      <c r="I4297" s="3"/>
    </row>
    <row r="4298" customHeight="1" spans="1:9">
      <c r="A4298" s="2"/>
      <c r="B4298" s="2" t="str">
        <f>IFERROR(__xludf.DUMMYFUNCTION("IF(A4298&lt;&gt;"""", GOOGLETRANSLATE(A4298, ""en"", ""te""),"""")"),"")</f>
        <v/>
      </c>
      <c r="C4298" s="2"/>
      <c r="D4298" s="2" t="str">
        <f>IFERROR(__xludf.DUMMYFUNCTION("IF(C4298&lt;&gt;"""", GOOGLETRANSLATE(C4298, ""en"", ""te""),"""")"),"")</f>
        <v/>
      </c>
      <c r="E4298" s="2"/>
      <c r="F4298" s="2" t="str">
        <f>IFERROR(__xludf.DUMMYFUNCTION("IF(E4298&lt;&gt;"""", GOOGLETRANSLATE(E4298, ""en"", ""te""),"""")"),"")</f>
        <v/>
      </c>
      <c r="G4298" s="2"/>
      <c r="H4298" s="2" t="str">
        <f>IFERROR(__xludf.DUMMYFUNCTION("IF(G4298&lt;&gt;"""", GOOGLETRANSLATE(G4298, ""en"", ""te""),"""")"),"")</f>
        <v/>
      </c>
      <c r="I4298" s="3"/>
    </row>
    <row r="4299" customHeight="1" spans="1:9">
      <c r="A4299" s="2"/>
      <c r="B4299" s="2" t="str">
        <f>IFERROR(__xludf.DUMMYFUNCTION("IF(A4299&lt;&gt;"""", GOOGLETRANSLATE(A4299, ""en"", ""te""),"""")"),"")</f>
        <v/>
      </c>
      <c r="C4299" s="2"/>
      <c r="D4299" s="2" t="str">
        <f>IFERROR(__xludf.DUMMYFUNCTION("IF(C4299&lt;&gt;"""", GOOGLETRANSLATE(C4299, ""en"", ""te""),"""")"),"")</f>
        <v/>
      </c>
      <c r="E4299" s="2"/>
      <c r="F4299" s="2" t="str">
        <f>IFERROR(__xludf.DUMMYFUNCTION("IF(E4299&lt;&gt;"""", GOOGLETRANSLATE(E4299, ""en"", ""te""),"""")"),"")</f>
        <v/>
      </c>
      <c r="G4299" s="2"/>
      <c r="H4299" s="2" t="str">
        <f>IFERROR(__xludf.DUMMYFUNCTION("IF(G4299&lt;&gt;"""", GOOGLETRANSLATE(G4299, ""en"", ""te""),"""")"),"")</f>
        <v/>
      </c>
      <c r="I4299" s="3"/>
    </row>
    <row r="4300" customHeight="1" spans="1:9">
      <c r="A4300" s="2"/>
      <c r="B4300" s="2" t="str">
        <f>IFERROR(__xludf.DUMMYFUNCTION("IF(A4300&lt;&gt;"""", GOOGLETRANSLATE(A4300, ""en"", ""te""),"""")"),"")</f>
        <v/>
      </c>
      <c r="C4300" s="2"/>
      <c r="D4300" s="2" t="str">
        <f>IFERROR(__xludf.DUMMYFUNCTION("IF(C4300&lt;&gt;"""", GOOGLETRANSLATE(C4300, ""en"", ""te""),"""")"),"")</f>
        <v/>
      </c>
      <c r="E4300" s="2"/>
      <c r="F4300" s="2" t="str">
        <f>IFERROR(__xludf.DUMMYFUNCTION("IF(E4300&lt;&gt;"""", GOOGLETRANSLATE(E4300, ""en"", ""te""),"""")"),"")</f>
        <v/>
      </c>
      <c r="G4300" s="2"/>
      <c r="H4300" s="2" t="str">
        <f>IFERROR(__xludf.DUMMYFUNCTION("IF(G4300&lt;&gt;"""", GOOGLETRANSLATE(G4300, ""en"", ""te""),"""")"),"")</f>
        <v/>
      </c>
      <c r="I4300" s="3"/>
    </row>
    <row r="4301" customHeight="1" spans="1:9">
      <c r="A4301" s="2"/>
      <c r="B4301" s="2" t="str">
        <f>IFERROR(__xludf.DUMMYFUNCTION("IF(A4301&lt;&gt;"""", GOOGLETRANSLATE(A4301, ""en"", ""te""),"""")"),"")</f>
        <v/>
      </c>
      <c r="C4301" s="2"/>
      <c r="D4301" s="2" t="str">
        <f>IFERROR(__xludf.DUMMYFUNCTION("IF(C4301&lt;&gt;"""", GOOGLETRANSLATE(C4301, ""en"", ""te""),"""")"),"")</f>
        <v/>
      </c>
      <c r="E4301" s="2"/>
      <c r="F4301" s="2" t="str">
        <f>IFERROR(__xludf.DUMMYFUNCTION("IF(E4301&lt;&gt;"""", GOOGLETRANSLATE(E4301, ""en"", ""te""),"""")"),"")</f>
        <v/>
      </c>
      <c r="G4301" s="2"/>
      <c r="H4301" s="2" t="str">
        <f>IFERROR(__xludf.DUMMYFUNCTION("IF(G4301&lt;&gt;"""", GOOGLETRANSLATE(G4301, ""en"", ""te""),"""")"),"")</f>
        <v/>
      </c>
      <c r="I4301" s="3"/>
    </row>
    <row r="4302" customHeight="1" spans="1:9">
      <c r="A4302" s="2"/>
      <c r="B4302" s="2" t="str">
        <f>IFERROR(__xludf.DUMMYFUNCTION("IF(A4302&lt;&gt;"""", GOOGLETRANSLATE(A4302, ""en"", ""te""),"""")"),"")</f>
        <v/>
      </c>
      <c r="C4302" s="2"/>
      <c r="D4302" s="2" t="str">
        <f>IFERROR(__xludf.DUMMYFUNCTION("IF(C4302&lt;&gt;"""", GOOGLETRANSLATE(C4302, ""en"", ""te""),"""")"),"")</f>
        <v/>
      </c>
      <c r="E4302" s="2"/>
      <c r="F4302" s="2" t="str">
        <f>IFERROR(__xludf.DUMMYFUNCTION("IF(E4302&lt;&gt;"""", GOOGLETRANSLATE(E4302, ""en"", ""te""),"""")"),"")</f>
        <v/>
      </c>
      <c r="G4302" s="2"/>
      <c r="H4302" s="2" t="str">
        <f>IFERROR(__xludf.DUMMYFUNCTION("IF(G4302&lt;&gt;"""", GOOGLETRANSLATE(G4302, ""en"", ""te""),"""")"),"")</f>
        <v/>
      </c>
      <c r="I4302" s="3"/>
    </row>
    <row r="4303" customHeight="1" spans="1:9">
      <c r="A4303" s="2"/>
      <c r="B4303" s="2" t="str">
        <f>IFERROR(__xludf.DUMMYFUNCTION("IF(A4303&lt;&gt;"""", GOOGLETRANSLATE(A4303, ""en"", ""te""),"""")"),"")</f>
        <v/>
      </c>
      <c r="C4303" s="2"/>
      <c r="D4303" s="2" t="str">
        <f>IFERROR(__xludf.DUMMYFUNCTION("IF(C4303&lt;&gt;"""", GOOGLETRANSLATE(C4303, ""en"", ""te""),"""")"),"")</f>
        <v/>
      </c>
      <c r="E4303" s="2"/>
      <c r="F4303" s="2" t="str">
        <f>IFERROR(__xludf.DUMMYFUNCTION("IF(E4303&lt;&gt;"""", GOOGLETRANSLATE(E4303, ""en"", ""te""),"""")"),"")</f>
        <v/>
      </c>
      <c r="G4303" s="2"/>
      <c r="H4303" s="2" t="str">
        <f>IFERROR(__xludf.DUMMYFUNCTION("IF(G4303&lt;&gt;"""", GOOGLETRANSLATE(G4303, ""en"", ""te""),"""")"),"")</f>
        <v/>
      </c>
      <c r="I4303" s="3"/>
    </row>
    <row r="4304" customHeight="1" spans="1:9">
      <c r="A4304" s="2"/>
      <c r="B4304" s="2" t="str">
        <f>IFERROR(__xludf.DUMMYFUNCTION("IF(A4304&lt;&gt;"""", GOOGLETRANSLATE(A4304, ""en"", ""te""),"""")"),"")</f>
        <v/>
      </c>
      <c r="C4304" s="2"/>
      <c r="D4304" s="2" t="str">
        <f>IFERROR(__xludf.DUMMYFUNCTION("IF(C4304&lt;&gt;"""", GOOGLETRANSLATE(C4304, ""en"", ""te""),"""")"),"")</f>
        <v/>
      </c>
      <c r="E4304" s="2"/>
      <c r="F4304" s="2" t="str">
        <f>IFERROR(__xludf.DUMMYFUNCTION("IF(E4304&lt;&gt;"""", GOOGLETRANSLATE(E4304, ""en"", ""te""),"""")"),"")</f>
        <v/>
      </c>
      <c r="G4304" s="2"/>
      <c r="H4304" s="2" t="str">
        <f>IFERROR(__xludf.DUMMYFUNCTION("IF(G4304&lt;&gt;"""", GOOGLETRANSLATE(G4304, ""en"", ""te""),"""")"),"")</f>
        <v/>
      </c>
      <c r="I4304" s="3"/>
    </row>
    <row r="4305" customHeight="1" spans="1:9">
      <c r="A4305" s="2"/>
      <c r="B4305" s="2" t="str">
        <f>IFERROR(__xludf.DUMMYFUNCTION("IF(A4305&lt;&gt;"""", GOOGLETRANSLATE(A4305, ""en"", ""te""),"""")"),"")</f>
        <v/>
      </c>
      <c r="C4305" s="2"/>
      <c r="D4305" s="2" t="str">
        <f>IFERROR(__xludf.DUMMYFUNCTION("IF(C4305&lt;&gt;"""", GOOGLETRANSLATE(C4305, ""en"", ""te""),"""")"),"")</f>
        <v/>
      </c>
      <c r="E4305" s="2"/>
      <c r="F4305" s="2" t="str">
        <f>IFERROR(__xludf.DUMMYFUNCTION("IF(E4305&lt;&gt;"""", GOOGLETRANSLATE(E4305, ""en"", ""te""),"""")"),"")</f>
        <v/>
      </c>
      <c r="G4305" s="2"/>
      <c r="H4305" s="2" t="str">
        <f>IFERROR(__xludf.DUMMYFUNCTION("IF(G4305&lt;&gt;"""", GOOGLETRANSLATE(G4305, ""en"", ""te""),"""")"),"")</f>
        <v/>
      </c>
      <c r="I4305" s="3"/>
    </row>
    <row r="4306" customHeight="1" spans="1:9">
      <c r="A4306" s="2"/>
      <c r="B4306" s="2" t="str">
        <f>IFERROR(__xludf.DUMMYFUNCTION("IF(A4306&lt;&gt;"""", GOOGLETRANSLATE(A4306, ""en"", ""te""),"""")"),"")</f>
        <v/>
      </c>
      <c r="C4306" s="2"/>
      <c r="D4306" s="2" t="str">
        <f>IFERROR(__xludf.DUMMYFUNCTION("IF(C4306&lt;&gt;"""", GOOGLETRANSLATE(C4306, ""en"", ""te""),"""")"),"")</f>
        <v/>
      </c>
      <c r="E4306" s="2"/>
      <c r="F4306" s="2" t="str">
        <f>IFERROR(__xludf.DUMMYFUNCTION("IF(E4306&lt;&gt;"""", GOOGLETRANSLATE(E4306, ""en"", ""te""),"""")"),"")</f>
        <v/>
      </c>
      <c r="G4306" s="2"/>
      <c r="H4306" s="2" t="str">
        <f>IFERROR(__xludf.DUMMYFUNCTION("IF(G4306&lt;&gt;"""", GOOGLETRANSLATE(G4306, ""en"", ""te""),"""")"),"")</f>
        <v/>
      </c>
      <c r="I4306" s="3"/>
    </row>
    <row r="4307" customHeight="1" spans="1:9">
      <c r="A4307" s="2"/>
      <c r="B4307" s="2" t="str">
        <f>IFERROR(__xludf.DUMMYFUNCTION("IF(A4307&lt;&gt;"""", GOOGLETRANSLATE(A4307, ""en"", ""te""),"""")"),"")</f>
        <v/>
      </c>
      <c r="C4307" s="2"/>
      <c r="D4307" s="2" t="str">
        <f>IFERROR(__xludf.DUMMYFUNCTION("IF(C4307&lt;&gt;"""", GOOGLETRANSLATE(C4307, ""en"", ""te""),"""")"),"")</f>
        <v/>
      </c>
      <c r="E4307" s="2"/>
      <c r="F4307" s="2" t="str">
        <f>IFERROR(__xludf.DUMMYFUNCTION("IF(E4307&lt;&gt;"""", GOOGLETRANSLATE(E4307, ""en"", ""te""),"""")"),"")</f>
        <v/>
      </c>
      <c r="G4307" s="2"/>
      <c r="H4307" s="2" t="str">
        <f>IFERROR(__xludf.DUMMYFUNCTION("IF(G4307&lt;&gt;"""", GOOGLETRANSLATE(G4307, ""en"", ""te""),"""")"),"")</f>
        <v/>
      </c>
      <c r="I4307" s="3"/>
    </row>
    <row r="4308" customHeight="1" spans="1:9">
      <c r="A4308" s="2"/>
      <c r="B4308" s="2" t="str">
        <f>IFERROR(__xludf.DUMMYFUNCTION("IF(A4308&lt;&gt;"""", GOOGLETRANSLATE(A4308, ""en"", ""te""),"""")"),"")</f>
        <v/>
      </c>
      <c r="C4308" s="2"/>
      <c r="D4308" s="2" t="str">
        <f>IFERROR(__xludf.DUMMYFUNCTION("IF(C4308&lt;&gt;"""", GOOGLETRANSLATE(C4308, ""en"", ""te""),"""")"),"")</f>
        <v/>
      </c>
      <c r="E4308" s="2"/>
      <c r="F4308" s="2" t="str">
        <f>IFERROR(__xludf.DUMMYFUNCTION("IF(E4308&lt;&gt;"""", GOOGLETRANSLATE(E4308, ""en"", ""te""),"""")"),"")</f>
        <v/>
      </c>
      <c r="G4308" s="2"/>
      <c r="H4308" s="2" t="str">
        <f>IFERROR(__xludf.DUMMYFUNCTION("IF(G4308&lt;&gt;"""", GOOGLETRANSLATE(G4308, ""en"", ""te""),"""")"),"")</f>
        <v/>
      </c>
      <c r="I4308" s="3"/>
    </row>
    <row r="4309" customHeight="1" spans="1:9">
      <c r="A4309" s="2"/>
      <c r="B4309" s="2" t="str">
        <f>IFERROR(__xludf.DUMMYFUNCTION("IF(A4309&lt;&gt;"""", GOOGLETRANSLATE(A4309, ""en"", ""te""),"""")"),"")</f>
        <v/>
      </c>
      <c r="C4309" s="2"/>
      <c r="D4309" s="2" t="str">
        <f>IFERROR(__xludf.DUMMYFUNCTION("IF(C4309&lt;&gt;"""", GOOGLETRANSLATE(C4309, ""en"", ""te""),"""")"),"")</f>
        <v/>
      </c>
      <c r="E4309" s="2"/>
      <c r="F4309" s="2" t="str">
        <f>IFERROR(__xludf.DUMMYFUNCTION("IF(E4309&lt;&gt;"""", GOOGLETRANSLATE(E4309, ""en"", ""te""),"""")"),"")</f>
        <v/>
      </c>
      <c r="G4309" s="2"/>
      <c r="H4309" s="2" t="str">
        <f>IFERROR(__xludf.DUMMYFUNCTION("IF(G4309&lt;&gt;"""", GOOGLETRANSLATE(G4309, ""en"", ""te""),"""")"),"")</f>
        <v/>
      </c>
      <c r="I4309" s="3"/>
    </row>
    <row r="4310" customHeight="1" spans="1:9">
      <c r="A4310" s="2"/>
      <c r="B4310" s="2" t="str">
        <f>IFERROR(__xludf.DUMMYFUNCTION("IF(A4310&lt;&gt;"""", GOOGLETRANSLATE(A4310, ""en"", ""te""),"""")"),"")</f>
        <v/>
      </c>
      <c r="C4310" s="2"/>
      <c r="D4310" s="2" t="str">
        <f>IFERROR(__xludf.DUMMYFUNCTION("IF(C4310&lt;&gt;"""", GOOGLETRANSLATE(C4310, ""en"", ""te""),"""")"),"")</f>
        <v/>
      </c>
      <c r="E4310" s="2"/>
      <c r="F4310" s="2" t="str">
        <f>IFERROR(__xludf.DUMMYFUNCTION("IF(E4310&lt;&gt;"""", GOOGLETRANSLATE(E4310, ""en"", ""te""),"""")"),"")</f>
        <v/>
      </c>
      <c r="G4310" s="2"/>
      <c r="H4310" s="2" t="str">
        <f>IFERROR(__xludf.DUMMYFUNCTION("IF(G4310&lt;&gt;"""", GOOGLETRANSLATE(G4310, ""en"", ""te""),"""")"),"")</f>
        <v/>
      </c>
      <c r="I4310" s="3"/>
    </row>
    <row r="4311" customHeight="1" spans="1:9">
      <c r="A4311" s="2"/>
      <c r="B4311" s="2" t="str">
        <f>IFERROR(__xludf.DUMMYFUNCTION("IF(A4311&lt;&gt;"""", GOOGLETRANSLATE(A4311, ""en"", ""te""),"""")"),"")</f>
        <v/>
      </c>
      <c r="C4311" s="2"/>
      <c r="D4311" s="2" t="str">
        <f>IFERROR(__xludf.DUMMYFUNCTION("IF(C4311&lt;&gt;"""", GOOGLETRANSLATE(C4311, ""en"", ""te""),"""")"),"")</f>
        <v/>
      </c>
      <c r="E4311" s="2"/>
      <c r="F4311" s="2" t="str">
        <f>IFERROR(__xludf.DUMMYFUNCTION("IF(E4311&lt;&gt;"""", GOOGLETRANSLATE(E4311, ""en"", ""te""),"""")"),"")</f>
        <v/>
      </c>
      <c r="G4311" s="2"/>
      <c r="H4311" s="2" t="str">
        <f>IFERROR(__xludf.DUMMYFUNCTION("IF(G4311&lt;&gt;"""", GOOGLETRANSLATE(G4311, ""en"", ""te""),"""")"),"")</f>
        <v/>
      </c>
      <c r="I4311" s="3"/>
    </row>
    <row r="4312" customHeight="1" spans="1:9">
      <c r="A4312" s="2" t="s">
        <v>3119</v>
      </c>
      <c r="B4312" s="2" t="str">
        <f>IFERROR(__xludf.DUMMYFUNCTION("IF(A4312&lt;&gt;"""", GOOGLETRANSLATE(A4312, ""en"", ""te""),"""")"),"[ 'హండ్రెడ్ తొలి (107)', 'ఒక ఇన్నింగ్స్లో పరుగుల 7 వ అత్యధిక శాతం (62.66)', 'ఎ ఏబది ఒక ఇన్నింగ్స్ లో ఐదు వికెట్లు', '1000 పరుగులు, 50 వికెట్లు, 50 క్యాచ్లు', '10 వ లేవు కెరీర్లో బాతులు (29) ',' 8 వ అత్యుత్తమ బౌలింగ్ ఇన్నింగ్స్ లో విశ్లేషించడం (3/5) ']")</f>
        <v>[ 'హండ్రెడ్ తొలి (107)', 'ఒక ఇన్నింగ్స్లో పరుగుల 7 వ అత్యధిక శాతం (62.66)', 'ఎ ఏబది ఒక ఇన్నింగ్స్ లో ఐదు వికెట్లు', '1000 పరుగులు, 50 వికెట్లు, 50 క్యాచ్లు', '10 వ లేవు కెరీర్లో బాతులు (29) ',' 8 వ అత్యుత్తమ బౌలింగ్ ఇన్నింగ్స్ లో విశ్లేషించడం (3/5) ']</v>
      </c>
      <c r="C4312" s="2" t="s">
        <v>3120</v>
      </c>
      <c r="D4312" s="2" t="str">
        <f>IFERROR(__xludf.DUMMYFUNCTION("IF(C4312&lt;&gt;"""", GOOGLETRANSLATE(C4312, ""en"", ""te""),"""")"),"[ '23 వ తొలి మ్యాచ్ (176) లో నడుస్తుంది']")</f>
        <v>[ '23 వ తొలి మ్యాచ్ (176) లో నడుస్తుంది']</v>
      </c>
      <c r="E4312" s="2" t="s">
        <v>3121</v>
      </c>
      <c r="F4312" s="2" t="str">
        <f>IFERROR(__xludf.DUMMYFUNCTION("IF(E4312&lt;&gt;"""", GOOGLETRANSLATE(E4312, ""en"", ""te""),"""")"),"[ '35 వ ఒక సిరీస్లో అత్యధిక పరుగులు (499)', '18 వ ఇన్నింగ్స్ లో అత్యధిక పరుగులు (బ్యాటింగ్ స్థానంలో ప్రకారం) (141)', '31 పరాజయం వైపు ఒక మ్యాచ్లో అత్యధిక పరుగులు (141)', '33 వ అత్యధిక తొలి వందల (141) ',' వరుస ఇన్నింగ్స్లో 44 వ యాభైల్లో (4) ',' 7 వ అత్యధి"&amp;"క ఇన్నింగ్స్ లో ఒక ఇన్నింగ్స్ పూర్తి (62.66) ',' 34 వ ఉత్తమ బొమ్మలు పరుగులు శాతం (6/25) ',' 41 వ ఉత్తమ సమ్మె ఒక ఇన్నింగ్స్ లో రేటు (7.0) ',' ఎనిమిదవ వికెట్కు 37 వ అత్యధిక భాగస్వామ్యం (79) ',' పదవ వికెట్కు 49 వ అత్యధిక భాగస్వామ్యం (46) ']")</f>
        <v>[ '35 వ ఒక సిరీస్లో అత్యధిక పరుగులు (499)', '18 వ ఇన్నింగ్స్ లో అత్యధిక పరుగులు (బ్యాటింగ్ స్థానంలో ప్రకారం) (141)', '31 పరాజయం వైపు ఒక మ్యాచ్లో అత్యధిక పరుగులు (141)', '33 వ అత్యధిక తొలి వందల (141) ',' వరుస ఇన్నింగ్స్లో 44 వ యాభైల్లో (4) ',' 7 వ అత్యధిక ఇన్నింగ్స్ లో ఒక ఇన్నింగ్స్ పూర్తి (62.66) ',' 34 వ ఉత్తమ బొమ్మలు పరుగులు శాతం (6/25) ',' 41 వ ఉత్తమ సమ్మె ఒక ఇన్నింగ్స్ లో రేటు (7.0) ',' ఎనిమిదవ వికెట్కు 37 వ అత్యధిక భాగస్వామ్యం (79) ',' పదవ వికెట్కు 49 వ అత్యధిక భాగస్వామ్యం (46) ']</v>
      </c>
      <c r="G4312" s="2" t="s">
        <v>3122</v>
      </c>
      <c r="H4312" s="2" t="str">
        <f>IFERROR(__xludf.DUMMYFUNCTION("IF(G4312&lt;&gt;"""", GOOGLETRANSLATE(G4312, ""en"", ""te""),"""")"),"[ '19 తొలి మ్యాచ్లో అత్యధిక పరుగులు (66)', 'కెరీర్లో 10 వ లేవు బాతులు (29)', '8 వ అత్యుత్తమ బౌలింగ్ ఇన్నింగ్స్ విశ్లేషణలలో' ఇన్నింగ్స్ పూర్తి (56.25) లో పరుగులు 42 వ అత్యధిక శాతం '(3 / 5) ',' 25 వ ఎనిమిదవ వికెట్కు అత్యధిక భాగస్వామ్యం (40) ']")</f>
        <v>[ '19 తొలి మ్యాచ్లో అత్యధిక పరుగులు (66)', 'కెరీర్లో 10 వ లేవు బాతులు (29)', '8 వ అత్యుత్తమ బౌలింగ్ ఇన్నింగ్స్ విశ్లేషణలలో' ఇన్నింగ్స్ పూర్తి (56.25) లో పరుగులు 42 వ అత్యధిక శాతం '(3 / 5) ',' 25 వ ఎనిమిదవ వికెట్కు అత్యధిక భాగస్వామ్యం (40) ']</v>
      </c>
      <c r="I4312" s="3"/>
    </row>
    <row r="4313" customHeight="1" spans="1:9">
      <c r="A4313" s="2"/>
      <c r="B4313" s="2" t="str">
        <f>IFERROR(__xludf.DUMMYFUNCTION("IF(A4313&lt;&gt;"""", GOOGLETRANSLATE(A4313, ""en"", ""te""),"""")"),"")</f>
        <v/>
      </c>
      <c r="C4313" s="2"/>
      <c r="D4313" s="2" t="str">
        <f>IFERROR(__xludf.DUMMYFUNCTION("IF(C4313&lt;&gt;"""", GOOGLETRANSLATE(C4313, ""en"", ""te""),"""")"),"")</f>
        <v/>
      </c>
      <c r="E4313" s="2"/>
      <c r="F4313" s="2" t="str">
        <f>IFERROR(__xludf.DUMMYFUNCTION("IF(E4313&lt;&gt;"""", GOOGLETRANSLATE(E4313, ""en"", ""te""),"""")"),"")</f>
        <v/>
      </c>
      <c r="G4313" s="2"/>
      <c r="H4313" s="2" t="str">
        <f>IFERROR(__xludf.DUMMYFUNCTION("IF(G4313&lt;&gt;"""", GOOGLETRANSLATE(G4313, ""en"", ""te""),"""")"),"")</f>
        <v/>
      </c>
      <c r="I4313" s="3"/>
    </row>
    <row r="4314" customHeight="1" spans="1:9">
      <c r="A4314" s="2"/>
      <c r="B4314" s="2" t="str">
        <f>IFERROR(__xludf.DUMMYFUNCTION("IF(A4314&lt;&gt;"""", GOOGLETRANSLATE(A4314, ""en"", ""te""),"""")"),"")</f>
        <v/>
      </c>
      <c r="C4314" s="2"/>
      <c r="D4314" s="2" t="str">
        <f>IFERROR(__xludf.DUMMYFUNCTION("IF(C4314&lt;&gt;"""", GOOGLETRANSLATE(C4314, ""en"", ""te""),"""")"),"")</f>
        <v/>
      </c>
      <c r="E4314" s="2"/>
      <c r="F4314" s="2" t="str">
        <f>IFERROR(__xludf.DUMMYFUNCTION("IF(E4314&lt;&gt;"""", GOOGLETRANSLATE(E4314, ""en"", ""te""),"""")"),"")</f>
        <v/>
      </c>
      <c r="G4314" s="2"/>
      <c r="H4314" s="2" t="str">
        <f>IFERROR(__xludf.DUMMYFUNCTION("IF(G4314&lt;&gt;"""", GOOGLETRANSLATE(G4314, ""en"", ""te""),"""")"),"")</f>
        <v/>
      </c>
      <c r="I4314" s="3"/>
    </row>
    <row r="4315" customHeight="1" spans="1:9">
      <c r="A4315" s="2"/>
      <c r="B4315" s="2" t="str">
        <f>IFERROR(__xludf.DUMMYFUNCTION("IF(A4315&lt;&gt;"""", GOOGLETRANSLATE(A4315, ""en"", ""te""),"""")"),"")</f>
        <v/>
      </c>
      <c r="C4315" s="2"/>
      <c r="D4315" s="2" t="str">
        <f>IFERROR(__xludf.DUMMYFUNCTION("IF(C4315&lt;&gt;"""", GOOGLETRANSLATE(C4315, ""en"", ""te""),"""")"),"")</f>
        <v/>
      </c>
      <c r="E4315" s="2"/>
      <c r="F4315" s="2" t="str">
        <f>IFERROR(__xludf.DUMMYFUNCTION("IF(E4315&lt;&gt;"""", GOOGLETRANSLATE(E4315, ""en"", ""te""),"""")"),"")</f>
        <v/>
      </c>
      <c r="G4315" s="2"/>
      <c r="H4315" s="2" t="str">
        <f>IFERROR(__xludf.DUMMYFUNCTION("IF(G4315&lt;&gt;"""", GOOGLETRANSLATE(G4315, ""en"", ""te""),"""")"),"")</f>
        <v/>
      </c>
      <c r="I4315" s="3"/>
    </row>
    <row r="4316" customHeight="1" spans="1:9">
      <c r="A4316" s="2"/>
      <c r="B4316" s="2" t="str">
        <f>IFERROR(__xludf.DUMMYFUNCTION("IF(A4316&lt;&gt;"""", GOOGLETRANSLATE(A4316, ""en"", ""te""),"""")"),"")</f>
        <v/>
      </c>
      <c r="C4316" s="2"/>
      <c r="D4316" s="2" t="str">
        <f>IFERROR(__xludf.DUMMYFUNCTION("IF(C4316&lt;&gt;"""", GOOGLETRANSLATE(C4316, ""en"", ""te""),"""")"),"")</f>
        <v/>
      </c>
      <c r="E4316" s="2"/>
      <c r="F4316" s="2" t="str">
        <f>IFERROR(__xludf.DUMMYFUNCTION("IF(E4316&lt;&gt;"""", GOOGLETRANSLATE(E4316, ""en"", ""te""),"""")"),"")</f>
        <v/>
      </c>
      <c r="G4316" s="2"/>
      <c r="H4316" s="2" t="str">
        <f>IFERROR(__xludf.DUMMYFUNCTION("IF(G4316&lt;&gt;"""", GOOGLETRANSLATE(G4316, ""en"", ""te""),"""")"),"")</f>
        <v/>
      </c>
      <c r="I4316" s="3"/>
    </row>
    <row r="4317" customHeight="1" spans="1:9">
      <c r="A4317" s="2" t="s">
        <v>3123</v>
      </c>
      <c r="B4317" s="2" t="str">
        <f>IFERROR(__xludf.DUMMYFUNCTION("IF(A4317&lt;&gt;"""", GOOGLETRANSLATE(A4317, ""en"", ""te""),"""")"),"[ '10 వ చెత్త కెరీర్లో ఆర్థిక రేటు (3.75)', '9 వ కెరీర్ లో అత్యధిక వికెట్లు (73)', '10 వ కెరీర్ లో సాధించిన (1586) అత్యధిక పరుగులు' '1 వ బౌలర్ / బ్యాట్స్ కలయికలు (4)']")</f>
        <v>[ '10 వ చెత్త కెరీర్లో ఆర్థిక రేటు (3.75)', '9 వ కెరీర్ లో అత్యధిక వికెట్లు (73)', '10 వ కెరీర్ లో సాధించిన (1586) అత్యధిక పరుగులు' '1 వ బౌలర్ / బ్యాట్స్ కలయికలు (4)']</v>
      </c>
      <c r="C4317" s="2" t="s">
        <v>3124</v>
      </c>
      <c r="D4317" s="2" t="str">
        <f>IFERROR(__xludf.DUMMYFUNCTION("IF(C4317&lt;&gt;"""", GOOGLETRANSLATE(C4317, ""en"", ""te""),"""")"),"[ '49 వ చెత్త కెరీర్ బౌలింగ్ సరాసరి (48.58)', '10 వ చెత్త కెరీర్లో ఆర్థిక రేటు (3.75)', 'ఇన్నింగ్స్ లో 17 చెత్త ఆర్థిక రేటు (6.83)']")</f>
        <v>[ '49 వ చెత్త కెరీర్ బౌలింగ్ సరాసరి (48.58)', '10 వ చెత్త కెరీర్లో ఆర్థిక రేటు (3.75)', 'ఇన్నింగ్స్ లో 17 చెత్త ఆర్థిక రేటు (6.83)']</v>
      </c>
      <c r="E4317" s="2"/>
      <c r="F4317" s="2" t="str">
        <f>IFERROR(__xludf.DUMMYFUNCTION("IF(E4317&lt;&gt;"""", GOOGLETRANSLATE(E4317, ""en"", ""te""),"""")"),"")</f>
        <v/>
      </c>
      <c r="G4317" s="2" t="s">
        <v>3125</v>
      </c>
      <c r="H4317" s="2" t="str">
        <f>IFERROR(__xludf.DUMMYFUNCTION("IF(G4317&lt;&gt;"""", GOOGLETRANSLATE(G4317, ""en"", ""te""),"""")"),"[ 'కెరీర్లో 9 వ అత్యధిక వికెట్లు (73)', '11 వ ఒకే మైదానంలో అత్యధిక వికెట్లు (17)', '45 వ ఉత్తమ కెరీర్ బౌలింగ్ సరాసరి (21.72)', '21 వ ఉత్తమ కెరీర్ సమ్మె రేటు (16.1) ',' 32 వ చెత్త వృత్తి ఆర్థిక రేటు (8.07) ',' 16 వ అత్యంత నాలుగు వికెట్లు-ఇన్-ఒక-ఇన్నింగ్స్"&amp;" కెరీర్లో (2) ',' 13 వ కెరీర్ లో బౌల్డ్ చాలా బంతుల్లో (1179) ',' 10 వ కెరీర్ లో సాధించిన అత్యధిక పరుగులు (1586) ',' 1 వ బౌలర్ / బ్యాట్స్ కలయికలు (4) ',' 12 వ బౌలర్ / ఫీల్డర్ కలయికలు (8) ',' 30 వ అత్యధిక వికెట్లు తీసుకున్న బౌల్డ్ (12) ',' 2 వ అత్యధిక వికెట"&amp;"్లు తీసుకున్న ఆకర్షించింది (54) ',' 3 వ అత్యధిక వికెట్లు (5) ',' 2 వ అత్యంత ఫీల్డర్ చేత క్యాచ్ తీసుకున్న ఆకర్షించింది తీసుకున్న మరియు బౌల్డ్ వికెట్లు (49) ',' 48 వ అత్యధిక వికెట్లు సాధించిన వికెట్కీపర్గా (5) ',' 18 వ వేగంగా 50 వికెట్లు (42) ',' 47 వ చిక్క"&amp;"ుకున్నాయి తీసుకున్న పదవ వికెట్కు అత్యధిక భాగస్వామ్యం (15 *) ']")</f>
        <v>[ 'కెరీర్లో 9 వ అత్యధిక వికెట్లు (73)', '11 వ ఒకే మైదానంలో అత్యధిక వికెట్లు (17)', '45 వ ఉత్తమ కెరీర్ బౌలింగ్ సరాసరి (21.72)', '21 వ ఉత్తమ కెరీర్ సమ్మె రేటు (16.1) ',' 32 వ చెత్త వృత్తి ఆర్థిక రేటు (8.07) ',' 16 వ అత్యంత నాలుగు వికెట్లు-ఇన్-ఒక-ఇన్నింగ్స్ కెరీర్లో (2) ',' 13 వ కెరీర్ లో బౌల్డ్ చాలా బంతుల్లో (1179) ',' 10 వ కెరీర్ లో సాధించిన అత్యధిక పరుగులు (1586) ',' 1 వ బౌలర్ / బ్యాట్స్ కలయికలు (4) ',' 12 వ బౌలర్ / ఫీల్డర్ కలయికలు (8) ',' 30 వ అత్యధిక వికెట్లు తీసుకున్న బౌల్డ్ (12) ',' 2 వ అత్యధిక వికెట్లు తీసుకున్న ఆకర్షించింది (54) ',' 3 వ అత్యధిక వికెట్లు (5) ',' 2 వ అత్యంత ఫీల్డర్ చేత క్యాచ్ తీసుకున్న ఆకర్షించింది తీసుకున్న మరియు బౌల్డ్ వికెట్లు (49) ',' 48 వ అత్యధిక వికెట్లు సాధించిన వికెట్కీపర్గా (5) ',' 18 వ వేగంగా 50 వికెట్లు (42) ',' 47 వ చిక్కుకున్నాయి తీసుకున్న పదవ వికెట్కు అత్యధిక భాగస్వామ్యం (15 *) ']</v>
      </c>
      <c r="I4317" s="3"/>
    </row>
    <row r="4318" customHeight="1" spans="1:9">
      <c r="A4318" s="2" t="s">
        <v>323</v>
      </c>
      <c r="B4318" s="2" t="str">
        <f>IFERROR(__xludf.DUMMYFUNCTION("IF(A4318&lt;&gt;"""", GOOGLETRANSLATE(A4318, ""en"", ""te""),"""")"),"[ '4 వ అత్యధిక వరుస బాతులు (4)']")</f>
        <v>[ '4 వ అత్యధిక వరుస బాతులు (4)']</v>
      </c>
      <c r="C4318" s="2" t="s">
        <v>323</v>
      </c>
      <c r="D4318" s="2" t="str">
        <f>IFERROR(__xludf.DUMMYFUNCTION("IF(C4318&lt;&gt;"""", GOOGLETRANSLATE(C4318, ""en"", ""te""),"""")"),"[ '4 వ అత్యధిక వరుస బాతులు (4)']")</f>
        <v>[ '4 వ అత్యధిక వరుస బాతులు (4)']</v>
      </c>
      <c r="E4318" s="2"/>
      <c r="F4318" s="2" t="str">
        <f>IFERROR(__xludf.DUMMYFUNCTION("IF(E4318&lt;&gt;"""", GOOGLETRANSLATE(E4318, ""en"", ""te""),"""")"),"")</f>
        <v/>
      </c>
      <c r="G4318" s="2"/>
      <c r="H4318" s="2" t="str">
        <f>IFERROR(__xludf.DUMMYFUNCTION("IF(G4318&lt;&gt;"""", GOOGLETRANSLATE(G4318, ""en"", ""te""),"""")"),"")</f>
        <v/>
      </c>
      <c r="I4318" s="3"/>
    </row>
    <row r="4319" customHeight="1" spans="1:9">
      <c r="A4319" s="2"/>
      <c r="B4319" s="2" t="str">
        <f>IFERROR(__xludf.DUMMYFUNCTION("IF(A4319&lt;&gt;"""", GOOGLETRANSLATE(A4319, ""en"", ""te""),"""")"),"")</f>
        <v/>
      </c>
      <c r="C4319" s="2"/>
      <c r="D4319" s="2" t="str">
        <f>IFERROR(__xludf.DUMMYFUNCTION("IF(C4319&lt;&gt;"""", GOOGLETRANSLATE(C4319, ""en"", ""te""),"""")"),"")</f>
        <v/>
      </c>
      <c r="E4319" s="2"/>
      <c r="F4319" s="2" t="str">
        <f>IFERROR(__xludf.DUMMYFUNCTION("IF(E4319&lt;&gt;"""", GOOGLETRANSLATE(E4319, ""en"", ""te""),"""")"),"")</f>
        <v/>
      </c>
      <c r="G4319" s="2"/>
      <c r="H4319" s="2" t="str">
        <f>IFERROR(__xludf.DUMMYFUNCTION("IF(G4319&lt;&gt;"""", GOOGLETRANSLATE(G4319, ""en"", ""te""),"""")"),"")</f>
        <v/>
      </c>
      <c r="I4319" s="3"/>
    </row>
    <row r="4320" customHeight="1" spans="1:9">
      <c r="A4320" s="2"/>
      <c r="B4320" s="2" t="str">
        <f>IFERROR(__xludf.DUMMYFUNCTION("IF(A4320&lt;&gt;"""", GOOGLETRANSLATE(A4320, ""en"", ""te""),"""")"),"")</f>
        <v/>
      </c>
      <c r="C4320" s="2"/>
      <c r="D4320" s="2" t="str">
        <f>IFERROR(__xludf.DUMMYFUNCTION("IF(C4320&lt;&gt;"""", GOOGLETRANSLATE(C4320, ""en"", ""te""),"""")"),"")</f>
        <v/>
      </c>
      <c r="E4320" s="2" t="s">
        <v>3126</v>
      </c>
      <c r="F4320" s="2" t="str">
        <f>IFERROR(__xludf.DUMMYFUNCTION("IF(E4320&lt;&gt;"""", GOOGLETRANSLATE(E4320, ""en"", ""te""),"""")"),"[ '34 వ అత్యంత వృద్ధ ఆటగాడు తొలి శతకాలను సాధించిన (32y 201d)', 'వరుస ఇన్నింగ్స్లో 11 వ యాభైల్లో (5)', 'ఐదో వికెట్కు (148) కోసం 45 వ అత్యధిక భాగస్వామ్యం']")</f>
        <v>[ '34 వ అత్యంత వృద్ధ ఆటగాడు తొలి శతకాలను సాధించిన (32y 201d)', 'వరుస ఇన్నింగ్స్లో 11 వ యాభైల్లో (5)', 'ఐదో వికెట్కు (148) కోసం 45 వ అత్యధిక భాగస్వామ్యం']</v>
      </c>
      <c r="G4320" s="2"/>
      <c r="H4320" s="2" t="str">
        <f>IFERROR(__xludf.DUMMYFUNCTION("IF(G4320&lt;&gt;"""", GOOGLETRANSLATE(G4320, ""en"", ""te""),"""")"),"")</f>
        <v/>
      </c>
      <c r="I4320" s="3"/>
    </row>
    <row r="4321" customHeight="1" spans="1:9">
      <c r="A4321" s="2"/>
      <c r="B4321" s="2" t="str">
        <f>IFERROR(__xludf.DUMMYFUNCTION("IF(A4321&lt;&gt;"""", GOOGLETRANSLATE(A4321, ""en"", ""te""),"""")"),"")</f>
        <v/>
      </c>
      <c r="C4321" s="2"/>
      <c r="D4321" s="2" t="str">
        <f>IFERROR(__xludf.DUMMYFUNCTION("IF(C4321&lt;&gt;"""", GOOGLETRANSLATE(C4321, ""en"", ""te""),"""")"),"")</f>
        <v/>
      </c>
      <c r="E4321" s="2"/>
      <c r="F4321" s="2" t="str">
        <f>IFERROR(__xludf.DUMMYFUNCTION("IF(E4321&lt;&gt;"""", GOOGLETRANSLATE(E4321, ""en"", ""te""),"""")"),"")</f>
        <v/>
      </c>
      <c r="G4321" s="2"/>
      <c r="H4321" s="2" t="str">
        <f>IFERROR(__xludf.DUMMYFUNCTION("IF(G4321&lt;&gt;"""", GOOGLETRANSLATE(G4321, ""en"", ""te""),"""")"),"")</f>
        <v/>
      </c>
      <c r="I4321" s="3"/>
    </row>
    <row r="4322" customHeight="1" spans="1:9">
      <c r="A4322" s="2" t="s">
        <v>3127</v>
      </c>
      <c r="B4322" s="2" t="str">
        <f>IFERROR(__xludf.DUMMYFUNCTION("IF(A4322&lt;&gt;"""", GOOGLETRANSLATE(A4322, ""en"", ""te""),"""")"),"[ 'జట్టు 5 వ వరుస మ్యాచ్లు (71)', '4 వ ఒకే క్రీడా (731) పై అత్యధిక పరుగులు' '8 వ వరుస ఇన్నింగ్స్లో డకౌట్ లేకుండా (50 *)', '4 వ ఇన్నింగ్స్ లో అత్యధిక క్యాచ్లు (3 ) ',' రెండవ వికెట్ (262 3 వ అత్యధిక భాగస్వామ్యం) ']")</f>
        <v>[ 'జట్టు 5 వ వరుస మ్యాచ్లు (71)', '4 వ ఒకే క్రీడా (731) పై అత్యధిక పరుగులు' '8 వ వరుస ఇన్నింగ్స్లో డకౌట్ లేకుండా (50 *)', '4 వ ఇన్నింగ్స్ లో అత్యధిక క్యాచ్లు (3 ) ',' రెండవ వికెట్ (262 3 వ అత్యధిక భాగస్వామ్యం) ']</v>
      </c>
      <c r="C4322" s="2"/>
      <c r="D4322" s="2" t="str">
        <f>IFERROR(__xludf.DUMMYFUNCTION("IF(C4322&lt;&gt;"""", GOOGLETRANSLATE(C4322, ""en"", ""te""),"""")"),"")</f>
        <v/>
      </c>
      <c r="E4322" s="2" t="s">
        <v>3128</v>
      </c>
      <c r="F4322" s="2" t="str">
        <f>IFERROR(__xludf.DUMMYFUNCTION("IF(E4322&lt;&gt;"""", GOOGLETRANSLATE(E4322, ""en"", ""te""),"""")"),"[ '17 వ అత్యధిక కెరీర్ లో పరుగులు (2919)', 'పరాజయం వైపు ఒక మ్యాచ్లో 34 వ అత్యధిక పరుగులు (91)' ఒక ద్వారా ఒక సిరీస్లో, '4 వ ఒకే మైదానంలో అత్యధిక పరుగులు (731)', '31 అత్యధిక పరుగులు కెప్టెన్ (279) ',' ఒక కెప్టెన్తో ఇన్నింగ్స్ లో 49 వ అత్యధిక పరుగులు (100)"&amp;" ',' 50 వ అత్యధిక కెరీర్ బ్యాటింగ్ సగటు (30.72) ', '21 వ కెరీర్ అర్ధ (19)', '8 వ వరుస ఇన్నింగ్స్ లేకుండా డక్ (50 *) ',' 40 వ కెరీర్ బాతులు (8) ',' 27 ఒక క్యాలెండర్ సంవత్సరంలో అత్యధిక వికెట్లు (23) ',' 11 వ ఒక ఇన్నింగ్స్ లోని బెస్ట్ ఫిగర్స్ ఉన్నప్పుడు పరాజ"&amp;"యం వైపు (4) ',' 37 వ ఉత్తమ కెరీర్ బౌలింగ్ సరాసరి (19.48) ',' 25 వ ఉత్తమ కెరీర్ సమ్మె రేటు (33.7) ',' 29 వ అత్యధిక వికెట్లు తీసుకున్న ఎల్బిడబ్ల్యు (14) ',' 37 వ కెరీర్ లో అత్యధిక క్యాచ్లు (32) ',' 4 వ అత్యధిక క్యాచ్లు ఒక ఇన్నింగ్స్ లో ( 3) ',' 5 వ ఏ వికెట"&amp;"్కు అత్యధిక భాగస్వామ్యాల (262) ',' రెండవ వికెట్కు 3 వ అత్యధిక భాగస్వామ్యం (262) ',' 24 వ అత్యధిక కెరీర్ లో మ్యాచ్లు (117) ',' ఒక జట్టు 5 వ వరుస మ్యాచ్లు (71 ) ',' 12 వ అత్యధిక మ్యాచ్లు కెప్టెన్గా (45) ',' 16 వ వరుస మ్యాచ్లు ఒక జట్టు కెప్టెన్గా (29) ',' 44"&amp;"th పిన్న కాప్టెన్ (24y 324d) ']")</f>
        <v>[ '17 వ అత్యధిక కెరీర్ లో పరుగులు (2919)', 'పరాజయం వైపు ఒక మ్యాచ్లో 34 వ అత్యధిక పరుగులు (91)' ఒక ద్వారా ఒక సిరీస్లో, '4 వ ఒకే మైదానంలో అత్యధిక పరుగులు (731)', '31 అత్యధిక పరుగులు కెప్టెన్ (279) ',' ఒక కెప్టెన్తో ఇన్నింగ్స్ లో 49 వ అత్యధిక పరుగులు (100) ',' 50 వ అత్యధిక కెరీర్ బ్యాటింగ్ సగటు (30.72) ', '21 వ కెరీర్ అర్ధ (19)', '8 వ వరుస ఇన్నింగ్స్ లేకుండా డక్ (50 *) ',' 40 వ కెరీర్ బాతులు (8) ',' 27 ఒక క్యాలెండర్ సంవత్సరంలో అత్యధిక వికెట్లు (23) ',' 11 వ ఒక ఇన్నింగ్స్ లోని బెస్ట్ ఫిగర్స్ ఉన్నప్పుడు పరాజయం వైపు (4) ',' 37 వ ఉత్తమ కెరీర్ బౌలింగ్ సరాసరి (19.48) ',' 25 వ ఉత్తమ కెరీర్ సమ్మె రేటు (33.7) ',' 29 వ అత్యధిక వికెట్లు తీసుకున్న ఎల్బిడబ్ల్యు (14) ',' 37 వ కెరీర్ లో అత్యధిక క్యాచ్లు (32) ',' 4 వ అత్యధిక క్యాచ్లు ఒక ఇన్నింగ్స్ లో ( 3) ',' 5 వ ఏ వికెట్కు అత్యధిక భాగస్వామ్యాల (262) ',' రెండవ వికెట్కు 3 వ అత్యధిక భాగస్వామ్యం (262) ',' 24 వ అత్యధిక కెరీర్ లో మ్యాచ్లు (117) ',' ఒక జట్టు 5 వ వరుస మ్యాచ్లు (71 ) ',' 12 వ అత్యధిక మ్యాచ్లు కెప్టెన్గా (45) ',' 16 వ వరుస మ్యాచ్లు ఒక జట్టు కెప్టెన్గా (29) ',' 44th పిన్న కాప్టెన్ (24y 324d) ']</v>
      </c>
      <c r="G4322" s="2"/>
      <c r="H4322" s="2" t="str">
        <f>IFERROR(__xludf.DUMMYFUNCTION("IF(G4322&lt;&gt;"""", GOOGLETRANSLATE(G4322, ""en"", ""te""),"""")"),"")</f>
        <v/>
      </c>
      <c r="I4322" s="3"/>
    </row>
    <row r="4323" customHeight="1" spans="1:9">
      <c r="A4323" s="2"/>
      <c r="B4323" s="2" t="str">
        <f>IFERROR(__xludf.DUMMYFUNCTION("IF(A4323&lt;&gt;"""", GOOGLETRANSLATE(A4323, ""en"", ""te""),"""")"),"")</f>
        <v/>
      </c>
      <c r="C4323" s="2" t="s">
        <v>3129</v>
      </c>
      <c r="D4323" s="2" t="str">
        <f>IFERROR(__xludf.DUMMYFUNCTION("IF(C4323&lt;&gt;"""", GOOGLETRANSLATE(C4323, ""en"", ""te""),"""")"),"[ '23 వ ఉత్తమ కెరీర్ బౌలింగ్ సరాసరి (అర్హత లేకుండా) (9.00)']")</f>
        <v>[ '23 వ ఉత్తమ కెరీర్ బౌలింగ్ సరాసరి (అర్హత లేకుండా) (9.00)']</v>
      </c>
      <c r="E4323" s="2"/>
      <c r="F4323" s="2" t="str">
        <f>IFERROR(__xludf.DUMMYFUNCTION("IF(E4323&lt;&gt;"""", GOOGLETRANSLATE(E4323, ""en"", ""te""),"""")"),"")</f>
        <v/>
      </c>
      <c r="G4323" s="2"/>
      <c r="H4323" s="2" t="str">
        <f>IFERROR(__xludf.DUMMYFUNCTION("IF(G4323&lt;&gt;"""", GOOGLETRANSLATE(G4323, ""en"", ""te""),"""")"),"")</f>
        <v/>
      </c>
      <c r="I4323" s="3"/>
    </row>
    <row r="4324" customHeight="1" spans="1:9">
      <c r="A4324" s="2"/>
      <c r="B4324" s="2" t="str">
        <f>IFERROR(__xludf.DUMMYFUNCTION("IF(A4324&lt;&gt;"""", GOOGLETRANSLATE(A4324, ""en"", ""te""),"""")"),"")</f>
        <v/>
      </c>
      <c r="C4324" s="2"/>
      <c r="D4324" s="2" t="str">
        <f>IFERROR(__xludf.DUMMYFUNCTION("IF(C4324&lt;&gt;"""", GOOGLETRANSLATE(C4324, ""en"", ""te""),"""")"),"")</f>
        <v/>
      </c>
      <c r="E4324" s="2"/>
      <c r="F4324" s="2" t="str">
        <f>IFERROR(__xludf.DUMMYFUNCTION("IF(E4324&lt;&gt;"""", GOOGLETRANSLATE(E4324, ""en"", ""te""),"""")"),"")</f>
        <v/>
      </c>
      <c r="G4324" s="2"/>
      <c r="H4324" s="2" t="str">
        <f>IFERROR(__xludf.DUMMYFUNCTION("IF(G4324&lt;&gt;"""", GOOGLETRANSLATE(G4324, ""en"", ""te""),"""")"),"")</f>
        <v/>
      </c>
      <c r="I4324" s="3"/>
    </row>
    <row r="4325" customHeight="1" spans="1:9">
      <c r="A4325" s="2"/>
      <c r="B4325" s="2" t="str">
        <f>IFERROR(__xludf.DUMMYFUNCTION("IF(A4325&lt;&gt;"""", GOOGLETRANSLATE(A4325, ""en"", ""te""),"""")"),"")</f>
        <v/>
      </c>
      <c r="C4325" s="2"/>
      <c r="D4325" s="2" t="str">
        <f>IFERROR(__xludf.DUMMYFUNCTION("IF(C4325&lt;&gt;"""", GOOGLETRANSLATE(C4325, ""en"", ""te""),"""")"),"")</f>
        <v/>
      </c>
      <c r="E4325" s="2"/>
      <c r="F4325" s="2" t="str">
        <f>IFERROR(__xludf.DUMMYFUNCTION("IF(E4325&lt;&gt;"""", GOOGLETRANSLATE(E4325, ""en"", ""te""),"""")"),"")</f>
        <v/>
      </c>
      <c r="G4325" s="2"/>
      <c r="H4325" s="2" t="str">
        <f>IFERROR(__xludf.DUMMYFUNCTION("IF(G4325&lt;&gt;"""", GOOGLETRANSLATE(G4325, ""en"", ""te""),"""")"),"")</f>
        <v/>
      </c>
      <c r="I4325" s="3"/>
    </row>
    <row r="4326" customHeight="1" spans="1:9">
      <c r="A4326" s="2" t="s">
        <v>3130</v>
      </c>
      <c r="B4326" s="2" t="str">
        <f>IFERROR(__xludf.DUMMYFUNCTION("IF(A4326&lt;&gt;"""", GOOGLETRANSLATE(A4326, ""en"", ""te""),"""")"),"[ 'హండ్రెడ్ తొలి (105)', 'నూట ఒక ఇన్నింగ్స్ లో ఐదు వికెట్లు', '7 వ లాంగెస్ట్ క్రీడాకారులు (77y 209d) నివసించారు']")</f>
        <v>[ 'హండ్రెడ్ తొలి (105)', 'నూట ఒక ఇన్నింగ్స్ లో ఐదు వికెట్లు', '7 వ లాంగెస్ట్ క్రీడాకారులు (77y 209d) నివసించారు']</v>
      </c>
      <c r="C4326" s="2" t="s">
        <v>3131</v>
      </c>
      <c r="D4326" s="2" t="str">
        <f>IFERROR(__xludf.DUMMYFUNCTION("IF(C4326&lt;&gt;"""", GOOGLETRANSLATE(C4326, ""en"", ""te""),"""")"),"[40 వ ఉత్తమ ఇన్నింగ్స్ లో సమ్మె రేటు (9.0) ']")</f>
        <v>[40 వ ఉత్తమ ఇన్నింగ్స్ లో సమ్మె రేటు (9.0) ']</v>
      </c>
      <c r="E4326" s="2" t="s">
        <v>3132</v>
      </c>
      <c r="F4326" s="2" t="str">
        <f>IFERROR(__xludf.DUMMYFUNCTION("IF(E4326&lt;&gt;"""", GOOGLETRANSLATE(E4326, ""en"", ""te""),"""")"),"[ '7th లాంగెస్ట్ క్రీడాకారులు (77y 209d) నివసించారు']")</f>
        <v>[ '7th లాంగెస్ట్ క్రీడాకారులు (77y 209d) నివసించారు']</v>
      </c>
      <c r="G4326" s="2"/>
      <c r="H4326" s="2" t="str">
        <f>IFERROR(__xludf.DUMMYFUNCTION("IF(G4326&lt;&gt;"""", GOOGLETRANSLATE(G4326, ""en"", ""te""),"""")"),"")</f>
        <v/>
      </c>
      <c r="I4326" s="3"/>
    </row>
    <row r="4327" customHeight="1" spans="1:9">
      <c r="A4327" s="2"/>
      <c r="B4327" s="2" t="str">
        <f>IFERROR(__xludf.DUMMYFUNCTION("IF(A4327&lt;&gt;"""", GOOGLETRANSLATE(A4327, ""en"", ""te""),"""")"),"")</f>
        <v/>
      </c>
      <c r="C4327" s="2"/>
      <c r="D4327" s="2" t="str">
        <f>IFERROR(__xludf.DUMMYFUNCTION("IF(C4327&lt;&gt;"""", GOOGLETRANSLATE(C4327, ""en"", ""te""),"""")"),"")</f>
        <v/>
      </c>
      <c r="E4327" s="2"/>
      <c r="F4327" s="2" t="str">
        <f>IFERROR(__xludf.DUMMYFUNCTION("IF(E4327&lt;&gt;"""", GOOGLETRANSLATE(E4327, ""en"", ""te""),"""")"),"")</f>
        <v/>
      </c>
      <c r="G4327" s="2"/>
      <c r="H4327" s="2" t="str">
        <f>IFERROR(__xludf.DUMMYFUNCTION("IF(G4327&lt;&gt;"""", GOOGLETRANSLATE(G4327, ""en"", ""te""),"""")"),"")</f>
        <v/>
      </c>
      <c r="I4327" s="3"/>
    </row>
    <row r="4328" customHeight="1" spans="1:9">
      <c r="A4328" s="2" t="s">
        <v>3133</v>
      </c>
      <c r="B4328" s="2" t="str">
        <f>IFERROR(__xludf.DUMMYFUNCTION("IF(A4328&lt;&gt;"""", GOOGLETRANSLATE(A4328, ""en"", ""te""),"""")"),"[ 'ఇన్నింగ్స్ లో 8 వ అత్యధిక పరుగులు (78 *) (బ్యాటింగ్ స్థానం)' 'ఇన్నింగ్స్ లో 4 వ అత్యధిక క్యాచ్లు (3)', 'ఏడవ వికెట్కు 1st అత్యధిక భాగస్వామ్యం (104 *)']")</f>
        <v>[ 'ఇన్నింగ్స్ లో 8 వ అత్యధిక పరుగులు (78 *) (బ్యాటింగ్ స్థానం)' 'ఇన్నింగ్స్ లో 4 వ అత్యధిక క్యాచ్లు (3)', 'ఏడవ వికెట్కు 1st అత్యధిక భాగస్వామ్యం (104 *)']</v>
      </c>
      <c r="C4328" s="2"/>
      <c r="D4328" s="2" t="str">
        <f>IFERROR(__xludf.DUMMYFUNCTION("IF(C4328&lt;&gt;"""", GOOGLETRANSLATE(C4328, ""en"", ""te""),"""")"),"")</f>
        <v/>
      </c>
      <c r="E4328" s="2" t="s">
        <v>3134</v>
      </c>
      <c r="F4328" s="2" t="str">
        <f>IFERROR(__xludf.DUMMYFUNCTION("IF(E4328&lt;&gt;"""", GOOGLETRANSLATE(E4328, ""en"", ""te""),"""")"),"[ 'ఇన్నింగ్స్ లో 8 వ అత్యధిక పరుగులు (బ్యాటింగ్ స్థానంలో ప్రకారం) (78 *)', '33 వ తొలి డక్ ముందు అత్యంత ఇన్నింగ్స్ (16)', 'ఒక క్యాలెండర్ సంవత్సరంలో 46 వ అత్యధిక వికెట్లు (21)', '11 వ ఉత్తమ ఒక లో సంఖ్యలు ఇన్నింగ్స్ ఉన్నప్పుడు పరాజయం వైపు ఒక ఇన్నింగ్స్ లో ("&amp;"4) ',' 39 వ చెత్త కెరీర్ సగటు (32.02) ', '21 వ చెత్త కెరీర్లో ఆర్థిక రేటు (4.38) బౌలింగ్', '4 వ అత్యధిక క్యాచ్లు (3)', '7 వ అత్యధిక ద్వారా భాగస్వామ్యాలు వికెట్ (7) ',' ఏడవ వికెట్కు 1st అత్యధిక భాగస్వామ్యం (104 *) ']")</f>
        <v>[ 'ఇన్నింగ్స్ లో 8 వ అత్యధిక పరుగులు (బ్యాటింగ్ స్థానంలో ప్రకారం) (78 *)', '33 వ తొలి డక్ ముందు అత్యంత ఇన్నింగ్స్ (16)', 'ఒక క్యాలెండర్ సంవత్సరంలో 46 వ అత్యధిక వికెట్లు (21)', '11 వ ఉత్తమ ఒక లో సంఖ్యలు ఇన్నింగ్స్ ఉన్నప్పుడు పరాజయం వైపు ఒక ఇన్నింగ్స్ లో (4) ',' 39 వ చెత్త కెరీర్ సగటు (32.02) ', '21 వ చెత్త కెరీర్లో ఆర్థిక రేటు (4.38) బౌలింగ్', '4 వ అత్యధిక క్యాచ్లు (3)', '7 వ అత్యధిక ద్వారా భాగస్వామ్యాలు వికెట్ (7) ',' ఏడవ వికెట్కు 1st అత్యధిక భాగస్వామ్యం (104 *) ']</v>
      </c>
      <c r="G4328" s="2" t="s">
        <v>3135</v>
      </c>
      <c r="H4328" s="2" t="str">
        <f>IFERROR(__xludf.DUMMYFUNCTION("IF(G4328&lt;&gt;"""", GOOGLETRANSLATE(G4328, ""en"", ""te""),"""")"),"[ '33 వ అత్యంత ఇన్నింగ్స్ తొలి డక్ ముందు (15)', '23 వ అత్యధిక పరుగులు ఇన్నింగ్స్ (49) లో సాధించిన]")</f>
        <v>[ '33 వ అత్యంత ఇన్నింగ్స్ తొలి డక్ ముందు (15)', '23 వ అత్యధిక పరుగులు ఇన్నింగ్స్ (49) లో సాధించిన]</v>
      </c>
      <c r="I4328" s="3"/>
    </row>
    <row r="4329" customHeight="1" spans="1:9">
      <c r="A4329" s="2"/>
      <c r="B4329" s="2" t="str">
        <f>IFERROR(__xludf.DUMMYFUNCTION("IF(A4329&lt;&gt;"""", GOOGLETRANSLATE(A4329, ""en"", ""te""),"""")"),"")</f>
        <v/>
      </c>
      <c r="C4329" s="2"/>
      <c r="D4329" s="2" t="str">
        <f>IFERROR(__xludf.DUMMYFUNCTION("IF(C4329&lt;&gt;"""", GOOGLETRANSLATE(C4329, ""en"", ""te""),"""")"),"")</f>
        <v/>
      </c>
      <c r="E4329" s="2" t="s">
        <v>3136</v>
      </c>
      <c r="F4329" s="2" t="str">
        <f>IFERROR(__xludf.DUMMYFUNCTION("IF(E4329&lt;&gt;"""", GOOGLETRANSLATE(E4329, ""en"", ""te""),"""")"),"[ '48 వ బెస్ట్ ఇన్నింగ్స్ లో ఆర్థిక రేటు (1.00)']")</f>
        <v>[ '48 వ బెస్ట్ ఇన్నింగ్స్ లో ఆర్థిక రేటు (1.00)']</v>
      </c>
      <c r="G4329" s="2"/>
      <c r="H4329" s="2" t="str">
        <f>IFERROR(__xludf.DUMMYFUNCTION("IF(G4329&lt;&gt;"""", GOOGLETRANSLATE(G4329, ""en"", ""te""),"""")"),"")</f>
        <v/>
      </c>
      <c r="I4329" s="3"/>
    </row>
    <row r="4330" customHeight="1" spans="1:9">
      <c r="A4330" s="2"/>
      <c r="B4330" s="2" t="str">
        <f>IFERROR(__xludf.DUMMYFUNCTION("IF(A4330&lt;&gt;"""", GOOGLETRANSLATE(A4330, ""en"", ""te""),"""")"),"")</f>
        <v/>
      </c>
      <c r="C4330" s="2"/>
      <c r="D4330" s="2" t="str">
        <f>IFERROR(__xludf.DUMMYFUNCTION("IF(C4330&lt;&gt;"""", GOOGLETRANSLATE(C4330, ""en"", ""te""),"""")"),"")</f>
        <v/>
      </c>
      <c r="E4330" s="2"/>
      <c r="F4330" s="2" t="str">
        <f>IFERROR(__xludf.DUMMYFUNCTION("IF(E4330&lt;&gt;"""", GOOGLETRANSLATE(E4330, ""en"", ""te""),"""")"),"")</f>
        <v/>
      </c>
      <c r="G4330" s="2"/>
      <c r="H4330" s="2" t="str">
        <f>IFERROR(__xludf.DUMMYFUNCTION("IF(G4330&lt;&gt;"""", GOOGLETRANSLATE(G4330, ""en"", ""te""),"""")"),"")</f>
        <v/>
      </c>
      <c r="I4330" s="3"/>
    </row>
    <row r="4331" customHeight="1" spans="1:9">
      <c r="A4331" s="2" t="s">
        <v>3137</v>
      </c>
      <c r="B4331" s="2" t="str">
        <f>IFERROR(__xludf.DUMMYFUNCTION("IF(A4331&lt;&gt;"""", GOOGLETRANSLATE(A4331, ""en"", ""te""),"""")"),"[ 'ఒక మ్యాచ్లో ప్రతి ఇన్నింగ్స్లో హండ్రెడ్', 'కెరీర్ లో 3 వ అతి తక్కువ బాతులు (73)', 'ఒక ఇన్నింగ్స్లో ద్వారా బ్యాట్ నిదర్శన (223 *)', 'మొదటి వికెట్కు 4 వ అత్యధిక భాగస్వామ్యం (387)', '5 వ ఒక ఇన్నింగ్స్ లో అత్యధిక పరుగులు (ప్రగతిశీల రికార్డు హోల్డర్) (171 *"&amp;") ',' 7 వ అత్యధిక తొలి వంద (171 *) ',' 1st లాంగెస్ట్ వ్యక్తిగత ఇన్నింగ్స్ (బంతులతో) కెరీర్లో (201) ',' 7 వ అతి తక్కువ బాతులు (56.5) ']")</f>
        <v>[ 'ఒక మ్యాచ్లో ప్రతి ఇన్నింగ్స్లో హండ్రెడ్', 'కెరీర్ లో 3 వ అతి తక్కువ బాతులు (73)', 'ఒక ఇన్నింగ్స్లో ద్వారా బ్యాట్ నిదర్శన (223 *)', 'మొదటి వికెట్కు 4 వ అత్యధిక భాగస్వామ్యం (387)', '5 వ ఒక ఇన్నింగ్స్ లో అత్యధిక పరుగులు (ప్రగతిశీల రికార్డు హోల్డర్) (171 *) ',' 7 వ అత్యధిక తొలి వంద (171 *) ',' 1st లాంగెస్ట్ వ్యక్తిగత ఇన్నింగ్స్ (బంతులతో) కెరీర్లో (201) ',' 7 వ అతి తక్కువ బాతులు (56.5) ']</v>
      </c>
      <c r="C4331" s="2" t="s">
        <v>3138</v>
      </c>
      <c r="D4331" s="2" t="str">
        <f>IFERROR(__xludf.DUMMYFUNCTION("IF(C4331&lt;&gt;"""", GOOGLETRANSLATE(C4331, ""en"", ""te""),"""")"),"[ '44 వ ఒక సిరీస్లో అత్యధిక పరుగులు (672)', 'వరుస 2 వ అత్యధిక డబుల్ సెంచరీలు (2)', 'ఒక డక్ లేకుండా 13 వరుస ఇన్నింగ్స్ (72 *)', 'కెరీర్ (73) లో 3 వ అతి తక్కువ బాతులు' '24th లాంగెస్ట్ వ్యక్తిగత ఇన్నింగ్స్ (నిమిషాలు) (704)', '2 వ లాంగెస్ట్ వ్యక్తిగత ఇన్నింగ్"&amp;"స్ (బంతులతో) (759)', 'ఒక ఇన్నింగ్స్లో పరుగుల 35 వ అత్యధిక శాతం (57.77)', '20 వ అత్యధిక ఏ భాగస్వామ్యాలు వికెట్ (387) ',' మొదటి వికెట్కు 4 వ అత్యధిక భాగస్వామ్యం (387) ',' ఆరవ వికెట్ (220) 30 వ అత్యధిక భాగస్వామ్యం ']")</f>
        <v>[ '44 వ ఒక సిరీస్లో అత్యధిక పరుగులు (672)', 'వరుస 2 వ అత్యధిక డబుల్ సెంచరీలు (2)', 'ఒక డక్ లేకుండా 13 వరుస ఇన్నింగ్స్ (72 *)', 'కెరీర్ (73) లో 3 వ అతి తక్కువ బాతులు' '24th లాంగెస్ట్ వ్యక్తిగత ఇన్నింగ్స్ (నిమిషాలు) (704)', '2 వ లాంగెస్ట్ వ్యక్తిగత ఇన్నింగ్స్ (బంతులతో) (759)', 'ఒక ఇన్నింగ్స్లో పరుగుల 35 వ అత్యధిక శాతం (57.77)', '20 వ అత్యధిక ఏ భాగస్వామ్యాలు వికెట్ (387) ',' మొదటి వికెట్కు 4 వ అత్యధిక భాగస్వామ్యం (387) ',' ఆరవ వికెట్ (220) 30 వ అత్యధిక భాగస్వామ్యం ']</v>
      </c>
      <c r="E4331" s="2" t="s">
        <v>3139</v>
      </c>
      <c r="F4331" s="2" t="str">
        <f>IFERROR(__xludf.DUMMYFUNCTION("IF(E4331&lt;&gt;"""", GOOGLETRANSLATE(E4331, ""en"", ""te""),"""")"),"[ '47 వ అత్యంత ఇన్నింగ్స్ (171 *) పరుగులు' 'ఇన్నింగ్స్ లో 5 వ అత్యధిక పరుగులు (ప్రగతిశీల రికార్డు హోల్డర్) (171 *)', 'ఒక కెప్టెన్తో 47 వ ఒక సిరీస్లో అత్యధిక పరుగులు (333)', '7 వ అత్యంత ఒక కెప్టెన్ (171 *) ద్వారా ఇన్నింగ్స్ లో పరుగులు ',' 24 వ అత్యధిక కెరీ"&amp;"ర్ బ్యాటింగ్ సగటు (47.00) ',' 7 వ అత్యధిక తొలి వంద (171 *) ',' 32 వ అత్యంత వృద్ధ ఆటగాడు వంద స్కోర్ (35y 298d) ',' వరుస ఇన్నింగ్స్లో 44 వ యాభైల్లో (4) ',' 1st లాంగెస్ట్ వ్యక్తిగత ఇన్నింగ్స్ (బంతులతో) (201) ',' ఒక ఇన్నింగ్స్లో పరుగుల 41 వ అత్యధిక శాతం (55."&amp;"33) ',' 11 వ 1000 పరుగులు (24) వేగంగా ']")</f>
        <v>[ '47 వ అత్యంత ఇన్నింగ్స్ (171 *) పరుగులు' 'ఇన్నింగ్స్ లో 5 వ అత్యధిక పరుగులు (ప్రగతిశీల రికార్డు హోల్డర్) (171 *)', 'ఒక కెప్టెన్తో 47 వ ఒక సిరీస్లో అత్యధిక పరుగులు (333)', '7 వ అత్యంత ఒక కెప్టెన్ (171 *) ద్వారా ఇన్నింగ్స్ లో పరుగులు ',' 24 వ అత్యధిక కెరీర్ బ్యాటింగ్ సగటు (47.00) ',' 7 వ అత్యధిక తొలి వంద (171 *) ',' 32 వ అత్యంత వృద్ధ ఆటగాడు వంద స్కోర్ (35y 298d) ',' వరుస ఇన్నింగ్స్లో 44 వ యాభైల్లో (4) ',' 1st లాంగెస్ట్ వ్యక్తిగత ఇన్నింగ్స్ (బంతులతో) (201) ',' ఒక ఇన్నింగ్స్లో పరుగుల 41 వ అత్యధిక శాతం (55.33) ',' 11 వ 1000 పరుగులు (24) వేగంగా ']</v>
      </c>
      <c r="G4331" s="2"/>
      <c r="H4331" s="2" t="str">
        <f>IFERROR(__xludf.DUMMYFUNCTION("IF(G4331&lt;&gt;"""", GOOGLETRANSLATE(G4331, ""en"", ""te""),"""")"),"")</f>
        <v/>
      </c>
      <c r="I4331" s="3"/>
    </row>
    <row r="4332" customHeight="1" spans="1:9">
      <c r="A4332" s="2"/>
      <c r="B4332" s="2" t="str">
        <f>IFERROR(__xludf.DUMMYFUNCTION("IF(A4332&lt;&gt;"""", GOOGLETRANSLATE(A4332, ""en"", ""te""),"""")"),"")</f>
        <v/>
      </c>
      <c r="C4332" s="2"/>
      <c r="D4332" s="2" t="str">
        <f>IFERROR(__xludf.DUMMYFUNCTION("IF(C4332&lt;&gt;"""", GOOGLETRANSLATE(C4332, ""en"", ""te""),"""")"),"")</f>
        <v/>
      </c>
      <c r="E4332" s="2"/>
      <c r="F4332" s="2" t="str">
        <f>IFERROR(__xludf.DUMMYFUNCTION("IF(E4332&lt;&gt;"""", GOOGLETRANSLATE(E4332, ""en"", ""te""),"""")"),"")</f>
        <v/>
      </c>
      <c r="G4332" s="2"/>
      <c r="H4332" s="2" t="str">
        <f>IFERROR(__xludf.DUMMYFUNCTION("IF(G4332&lt;&gt;"""", GOOGLETRANSLATE(G4332, ""en"", ""te""),"""")"),"")</f>
        <v/>
      </c>
      <c r="I4332" s="3"/>
    </row>
    <row r="4333" customHeight="1" spans="1:9">
      <c r="A4333" s="2"/>
      <c r="B4333" s="2" t="str">
        <f>IFERROR(__xludf.DUMMYFUNCTION("IF(A4333&lt;&gt;"""", GOOGLETRANSLATE(A4333, ""en"", ""te""),"""")"),"")</f>
        <v/>
      </c>
      <c r="C4333" s="2"/>
      <c r="D4333" s="2" t="str">
        <f>IFERROR(__xludf.DUMMYFUNCTION("IF(C4333&lt;&gt;"""", GOOGLETRANSLATE(C4333, ""en"", ""te""),"""")"),"")</f>
        <v/>
      </c>
      <c r="E4333" s="2"/>
      <c r="F4333" s="2" t="str">
        <f>IFERROR(__xludf.DUMMYFUNCTION("IF(E4333&lt;&gt;"""", GOOGLETRANSLATE(E4333, ""en"", ""te""),"""")"),"")</f>
        <v/>
      </c>
      <c r="G4333" s="2"/>
      <c r="H4333" s="2" t="str">
        <f>IFERROR(__xludf.DUMMYFUNCTION("IF(G4333&lt;&gt;"""", GOOGLETRANSLATE(G4333, ""en"", ""te""),"""")"),"")</f>
        <v/>
      </c>
      <c r="I4333" s="3"/>
    </row>
    <row r="4334" customHeight="1" spans="1:9">
      <c r="A4334" s="2"/>
      <c r="B4334" s="2" t="str">
        <f>IFERROR(__xludf.DUMMYFUNCTION("IF(A4334&lt;&gt;"""", GOOGLETRANSLATE(A4334, ""en"", ""te""),"""")"),"")</f>
        <v/>
      </c>
      <c r="C4334" s="2"/>
      <c r="D4334" s="2" t="str">
        <f>IFERROR(__xludf.DUMMYFUNCTION("IF(C4334&lt;&gt;"""", GOOGLETRANSLATE(C4334, ""en"", ""te""),"""")"),"")</f>
        <v/>
      </c>
      <c r="E4334" s="2"/>
      <c r="F4334" s="2" t="str">
        <f>IFERROR(__xludf.DUMMYFUNCTION("IF(E4334&lt;&gt;"""", GOOGLETRANSLATE(E4334, ""en"", ""te""),"""")"),"")</f>
        <v/>
      </c>
      <c r="G4334" s="2"/>
      <c r="H4334" s="2" t="str">
        <f>IFERROR(__xludf.DUMMYFUNCTION("IF(G4334&lt;&gt;"""", GOOGLETRANSLATE(G4334, ""en"", ""te""),"""")"),"")</f>
        <v/>
      </c>
      <c r="I4334" s="3"/>
    </row>
    <row r="4335" customHeight="1" spans="1:9">
      <c r="A4335" s="2"/>
      <c r="B4335" s="2" t="str">
        <f>IFERROR(__xludf.DUMMYFUNCTION("IF(A4335&lt;&gt;"""", GOOGLETRANSLATE(A4335, ""en"", ""te""),"""")"),"")</f>
        <v/>
      </c>
      <c r="C4335" s="2"/>
      <c r="D4335" s="2" t="str">
        <f>IFERROR(__xludf.DUMMYFUNCTION("IF(C4335&lt;&gt;"""", GOOGLETRANSLATE(C4335, ""en"", ""te""),"""")"),"")</f>
        <v/>
      </c>
      <c r="E4335" s="2"/>
      <c r="F4335" s="2" t="str">
        <f>IFERROR(__xludf.DUMMYFUNCTION("IF(E4335&lt;&gt;"""", GOOGLETRANSLATE(E4335, ""en"", ""te""),"""")"),"")</f>
        <v/>
      </c>
      <c r="G4335" s="2"/>
      <c r="H4335" s="2" t="str">
        <f>IFERROR(__xludf.DUMMYFUNCTION("IF(G4335&lt;&gt;"""", GOOGLETRANSLATE(G4335, ""en"", ""te""),"""")"),"")</f>
        <v/>
      </c>
      <c r="I4335" s="3"/>
    </row>
    <row r="4336" customHeight="1" spans="1:9">
      <c r="A4336" s="2" t="s">
        <v>3140</v>
      </c>
      <c r="B4336" s="2" t="str">
        <f>IFERROR(__xludf.DUMMYFUNCTION("IF(A4336&lt;&gt;"""", GOOGLETRANSLATE(A4336, ""en"", ""te""),"""")"),"[ 'ఇన్నింగ్స్ లో 5 వ అత్యధిక పరుగులు (బ్యాటింగ్ స్థానంలో ప్రకారం) (290)', 'ఒక మ్యాచ్ లో రెండు అజేయంగా అర్ధ', '3 వ అత్యంత ఇన్నింగ్స్ తొలి డక్ ముందు (58)', 'ఇన్నింగ్స్ లో 6 వ అత్యంత ఫోర్లు (43)' '5000 పరుగులు మరియు 50 ఫీల్డింగ్ వికెట్లు', '2 వ అత్యంత ఇన్నిం"&amp;"గ్స్ లో నడుస్తుంది (బ్యాటింగ్ స్థానం) (181 *)' 'వరుస ఇన్నింగ్స్లో 2 వ యాభైల్లో (6)', 'వరుస ఇన్నింగ్స్లో 2 వ వందల (3)', '6 వ 8000 వేగంగా పరుగులు (203)', 'ఇన్నింగ్స్ లో 2 వ అత్యధిక క్యాచ్లు (4)', '5000 పరుగులు మరియు 50 ఫీల్డింగ్ వికెట్లు', 'ఐదవ వికెట్కు 8 "&amp;"వ అత్యధిక భాగస్వామ్యం (195)', '4 వ అత్యంత మ్యాచ్లు కెరీర్ (102) ',' కెరీర్లో 4 వ అత్యధిక క్యాచ్లు (46) ',' 10 వ కెరీర్ లో వచ్చిన ఎక్కువ సిక్స్ (270) ',' 3 వ కెరీర్ (340) లో అత్యధిక క్యాచ్లు ']")</f>
        <v>[ 'ఇన్నింగ్స్ లో 5 వ అత్యధిక పరుగులు (బ్యాటింగ్ స్థానంలో ప్రకారం) (290)', 'ఒక మ్యాచ్ లో రెండు అజేయంగా అర్ధ', '3 వ అత్యంత ఇన్నింగ్స్ తొలి డక్ ముందు (58)', 'ఇన్నింగ్స్ లో 6 వ అత్యంత ఫోర్లు (43)' '5000 పరుగులు మరియు 50 ఫీల్డింగ్ వికెట్లు', '2 వ అత్యంత ఇన్నింగ్స్ లో నడుస్తుంది (బ్యాటింగ్ స్థానం) (181 *)' 'వరుస ఇన్నింగ్స్లో 2 వ యాభైల్లో (6)', 'వరుస ఇన్నింగ్స్లో 2 వ వందల (3)', '6 వ 8000 వేగంగా పరుగులు (203)', 'ఇన్నింగ్స్ లో 2 వ అత్యధిక క్యాచ్లు (4)', '5000 పరుగులు మరియు 50 ఫీల్డింగ్ వికెట్లు', 'ఐదవ వికెట్కు 8 వ అత్యధిక భాగస్వామ్యం (195)', '4 వ అత్యంత మ్యాచ్లు కెరీర్ (102) ',' కెరీర్లో 4 వ అత్యధిక క్యాచ్లు (46) ',' 10 వ కెరీర్ లో వచ్చిన ఎక్కువ సిక్స్ (270) ',' 3 వ కెరీర్ (340) లో అత్యధిక క్యాచ్లు ']</v>
      </c>
      <c r="C4336" s="2" t="s">
        <v>3141</v>
      </c>
      <c r="D4336" s="2" t="str">
        <f>IFERROR(__xludf.DUMMYFUNCTION("IF(C4336&lt;&gt;"""", GOOGLETRANSLATE(C4336, ""en"", ""te""),"""")"),"[ '44 వ అత్యధిక కెరీర్ లో పరుగులు (7379)', '38 వ ఇన్నింగ్స్ లో అత్యధిక పరుగులు (290)', 'ఒక మ్యాచ్లో 30 వ అత్యధిక పరుగులు (326)', '5 వ ఇన్నింగ్స్ లో అత్యధిక పరుగులు (బ్యాటింగ్ స్థానంలో ప్రకారం) (290 ) ',' 32 వ ఒకే మైదానంలో అత్యధిక పరుగులు (1279) ',' 28th "&amp;"ఒక రోజు లో అత్యధిక పరుగులు (209) ',' 47 వ ఒక వృత్తిలో అత్యధిక వందలు (19) ',' ఒక కెరీర్లో 27 వ అత్యధిక డబుల్ సెంచరీలు (3 ) ',' వరుస మ్యాచ్లలో 21 వందల (3) ',' 47 వ అత్యంత అర్ధ కెరీర్లో (53) ',' వరుస మ్యాచ్లలో 26 యాభైల్లో (7) ',' 3 వ అత్యంత ఇన్నింగ్స్ తొలి "&amp;"డక్ ముందు (58) ',' 34 వ ఒక డక్ లేకుండా అత్యధిక వరుస ఇన్నింగ్స్ (58) ',' 35 వ కెరీర్ లో వచ్చిన ఎక్కువ సిక్స్ (53) ',' 37 వ అత్యంత ఫోర్లు కెరీర్లో (898) ',' 6 వ ఇన్నింగ్స్ లో వచ్చిన ఎక్కువ ఫోర్లు (43) ',' 20 వ అత్యధిక పరుగులు నుండి 6000 పరుగులు (145) ',' 37"&amp;" వ 5000 పరుగులు (120) ',' 43 వ వేగంగా ఒక ఇన్నింగ్స్ (172) ',' ఫాస్టెస్ట్ 50 వ లో ఫోర్లు, సిక్సర్లు వేగవంతమైన 7000 పరుగులు (169) ',' 12 వ కెరీర్ లో అత్యధిక క్యాచ్లు (155) ',' నాలుగవ వికెట్కు 29 అత్యధిక భాగస్వామ్యం (271) ',' ఆరవ వికెట్కు 21 అత్యధిక భాగస్వా"&amp;"మ్యం (253) ',' 41 వ అత్యంత ప్లేయర్ ఆఫ్ ది మ్యాచ్ AWA RDS (8) ']")</f>
        <v>[ '44 వ అత్యధిక కెరీర్ లో పరుగులు (7379)', '38 వ ఇన్నింగ్స్ లో అత్యధిక పరుగులు (290)', 'ఒక మ్యాచ్లో 30 వ అత్యధిక పరుగులు (326)', '5 వ ఇన్నింగ్స్ లో అత్యధిక పరుగులు (బ్యాటింగ్ స్థానంలో ప్రకారం) (290 ) ',' 32 వ ఒకే మైదానంలో అత్యధిక పరుగులు (1279) ',' 28th ఒక రోజు లో అత్యధిక పరుగులు (209) ',' 47 వ ఒక వృత్తిలో అత్యధిక వందలు (19) ',' ఒక కెరీర్లో 27 వ అత్యధిక డబుల్ సెంచరీలు (3 ) ',' వరుస మ్యాచ్లలో 21 వందల (3) ',' 47 వ అత్యంత అర్ధ కెరీర్లో (53) ',' వరుస మ్యాచ్లలో 26 యాభైల్లో (7) ',' 3 వ అత్యంత ఇన్నింగ్స్ తొలి డక్ ముందు (58) ',' 34 వ ఒక డక్ లేకుండా అత్యధిక వరుస ఇన్నింగ్స్ (58) ',' 35 వ కెరీర్ లో వచ్చిన ఎక్కువ సిక్స్ (53) ',' 37 వ అత్యంత ఫోర్లు కెరీర్లో (898) ',' 6 వ ఇన్నింగ్స్ లో వచ్చిన ఎక్కువ ఫోర్లు (43) ',' 20 వ అత్యధిక పరుగులు నుండి 6000 పరుగులు (145) ',' 37 వ 5000 పరుగులు (120) ',' 43 వ వేగంగా ఒక ఇన్నింగ్స్ (172) ',' ఫాస్టెస్ట్ 50 వ లో ఫోర్లు, సిక్సర్లు వేగవంతమైన 7000 పరుగులు (169) ',' 12 వ కెరీర్ లో అత్యధిక క్యాచ్లు (155) ',' నాలుగవ వికెట్కు 29 అత్యధిక భాగస్వామ్యం (271) ',' ఆరవ వికెట్కు 21 అత్యధిక భాగస్వామ్యం (253) ',' 41 వ అత్యంత ప్లేయర్ ఆఫ్ ది మ్యాచ్ AWA RDS (8) ']</v>
      </c>
      <c r="E4336" s="2" t="s">
        <v>3142</v>
      </c>
      <c r="F4336" s="2" t="str">
        <f>IFERROR(__xludf.DUMMYFUNCTION("IF(E4336&lt;&gt;"""", GOOGLETRANSLATE(E4336, ""en"", ""te""),"""")"),"[ '25 వ కెరీర్ లో అత్యధిక పరుగులు (8581)', '22 వ ఇన్నింగ్స్ లో అత్యధిక పరుగులు (181 *)', 'ఇన్నింగ్స్ లో 2 వ అత్యధిక పరుగులు (బ్యాటింగ్ స్థానంలో ప్రకారం) (181 *)', '18 వ అత్యధిక కెరీర్ బ్యాటింగ్ సగటు ( 48.20) ',' 12 వ ఒక వృత్తిలో అత్యధిక వందలు (21) ',' 29t"&amp;"h ఒక క్యాలెండర్ సంవత్సరంలో అత్యధిక వందలు (4) ',' 19 ఒక జట్టు వ్యతిరేకంగా అత్యధిక వందలు (5) ',' వరుస ఇన్నింగ్స్లో 2 వ వందల (3) ',' 24 వ అత్యంత వృద్ధ ఆటగాడు కెరీర్లో వంద (35y 334d) స్కోర్ ',' 22 వ అత్యంత తొంభైల (5) ',' 18 వ అత్యంత అర్ధ కెరీర్లో (72) ',' వర"&amp;"ుస ఇన్నింగ్స్లో 2 వ యాభైల్లో (6) ',' కెరీర్లో 16 వ ఎక్కువ సిక్స్ (146) ',' 34 వ కెరీర్ ఫోర్లు (712) ',' 5000 పరుగులు (144) ',' 16 వ ఇన్నింగ్స్ (104) ',' 34 వ అత్యంత వేగంగా ఫోర్లు, సిక్సర్లు నుండి 44 వ అత్యధిక పరుగులు వేగవంతమైన వరకు 6000 పరుగులు (166) ',"&amp;"' 8 వ 7000 వేగంగా పరుగులు (188) ',' 6 వ ఇన్నింగ్స్ లో కెరీర్ లో 8000 పరుగులు (203) ',' 5 వ అత్యధిక క్యాచ్లు (139) ',' 2 వ అత్యధిక క్యాచ్లు వేగంగా ( 4) ',' 12 వ ఒక సిరీస్లో అత్యధిక క్యాచ్లు (9) ',' నాలుగవ వికెట్కు 17 అత్యధిక భాగస్వామ్యం (200) ',' ఐదవ వికెట"&amp;"్కు 8 వ అత్యధిక భాగస్వామ్యం (1 95) ',' తొమ్మిదవ వికెట్ (76 *) 24 అత్యధిక భాగస్వామ్యం ',' 46 వ అత్యంత ప్లేయర్ ఆఫ్ ది మ్యాచ్ అవార్డులు (17) ']")</f>
        <v>[ '25 వ కెరీర్ లో అత్యధిక పరుగులు (8581)', '22 వ ఇన్నింగ్స్ లో అత్యధిక పరుగులు (181 *)', 'ఇన్నింగ్స్ లో 2 వ అత్యధిక పరుగులు (బ్యాటింగ్ స్థానంలో ప్రకారం) (181 *)', '18 వ అత్యధిక కెరీర్ బ్యాటింగ్ సగటు ( 48.20) ',' 12 వ ఒక వృత్తిలో అత్యధిక వందలు (21) ',' 29th ఒక క్యాలెండర్ సంవత్సరంలో అత్యధిక వందలు (4) ',' 19 ఒక జట్టు వ్యతిరేకంగా అత్యధిక వందలు (5) ',' వరుస ఇన్నింగ్స్లో 2 వ వందల (3) ',' 24 వ అత్యంత వృద్ధ ఆటగాడు కెరీర్లో వంద (35y 334d) స్కోర్ ',' 22 వ అత్యంత తొంభైల (5) ',' 18 వ అత్యంత అర్ధ కెరీర్లో (72) ',' వరుస ఇన్నింగ్స్లో 2 వ యాభైల్లో (6) ',' కెరీర్లో 16 వ ఎక్కువ సిక్స్ (146) ',' 34 వ కెరీర్ ఫోర్లు (712) ',' 5000 పరుగులు (144) ',' 16 వ ఇన్నింగ్స్ (104) ',' 34 వ అత్యంత వేగంగా ఫోర్లు, సిక్సర్లు నుండి 44 వ అత్యధిక పరుగులు వేగవంతమైన వరకు 6000 పరుగులు (166) ',' 8 వ 7000 వేగంగా పరుగులు (188) ',' 6 వ ఇన్నింగ్స్ లో కెరీర్ లో 8000 పరుగులు (203) ',' 5 వ అత్యధిక క్యాచ్లు (139) ',' 2 వ అత్యధిక క్యాచ్లు వేగంగా ( 4) ',' 12 వ ఒక సిరీస్లో అత్యధిక క్యాచ్లు (9) ',' నాలుగవ వికెట్కు 17 అత్యధిక భాగస్వామ్యం (200) ',' ఐదవ వికెట్కు 8 వ అత్యధిక భాగస్వామ్యం (1 95) ',' తొమ్మిదవ వికెట్ (76 *) 24 అత్యధిక భాగస్వామ్యం ',' 46 వ అత్యంత ప్లేయర్ ఆఫ్ ది మ్యాచ్ అవార్డులు (17) ']</v>
      </c>
      <c r="G4336" s="2" t="s">
        <v>3143</v>
      </c>
      <c r="H4336" s="2" t="str">
        <f>IFERROR(__xludf.DUMMYFUNCTION("IF(G4336&lt;&gt;"""", GOOGLETRANSLATE(G4336, ""en"", ""te""),"""")"),"[ '14 వ అత్యధిక కెరీర్ లో పరుగులు (1909)', 'ఒకే మైదానంలో 19 వ అత్యధిక పరుగులు (334)', '41 వ కెరీర్ అర్ధ (7)', '13 వ అత్యంత' 39 వ కెరీర్ లో (15.66) అతి తక్కువ బాతులు ' కెరీర్లో బాతులు (6) ',' 20 వ కెరీర్ లో వచ్చిన ఎక్కువ సిక్స్ (71) ',' 41 వ కెరీర్ ఫోర్లు"&amp;" (121) ',' 4 వ కెరీర్లో అత్యధిక క్యాచ్లు (46) ',' 15 వ ఇన్నింగ్స్ లో అత్యధిక క్యాచ్లు (3 ) ',' మూడో వికెట్కు 49 వ అత్యధిక భాగస్వామ్యం (93) ',' ఐదవ వికెట్కు 26 అత్యధిక భాగస్వామ్యం (77) ',' ఆరవ వికెట్కు 30 వ అత్యధిక భాగస్వామ్యం (68) తొమ్మిదవ వికెట్కు ',' 15"&amp;" వ అత్యధిక భాగస్వామ్యం కెరీర్లో (38) ',' 4 వ అత్యధిక మ్యాచ్లు (102) ',' 9 వ లాంగెస్ట్ కెరీర్లు (13y 343d) ']")</f>
        <v>[ '14 వ అత్యధిక కెరీర్ లో పరుగులు (1909)', 'ఒకే మైదానంలో 19 వ అత్యధిక పరుగులు (334)', '41 వ కెరీర్ అర్ధ (7)', '13 వ అత్యంత' 39 వ కెరీర్ లో (15.66) అతి తక్కువ బాతులు ' కెరీర్లో బాతులు (6) ',' 20 వ కెరీర్ లో వచ్చిన ఎక్కువ సిక్స్ (71) ',' 41 వ కెరీర్ ఫోర్లు (121) ',' 4 వ కెరీర్లో అత్యధిక క్యాచ్లు (46) ',' 15 వ ఇన్నింగ్స్ లో అత్యధిక క్యాచ్లు (3 ) ',' మూడో వికెట్కు 49 వ అత్యధిక భాగస్వామ్యం (93) ',' ఐదవ వికెట్కు 26 అత్యధిక భాగస్వామ్యం (77) ',' ఆరవ వికెట్కు 30 వ అత్యధిక భాగస్వామ్యం (68) తొమ్మిదవ వికెట్కు ',' 15 వ అత్యధిక భాగస్వామ్యం కెరీర్లో (38) ',' 4 వ అత్యధిక మ్యాచ్లు (102) ',' 9 వ లాంగెస్ట్ కెరీర్లు (13y 343d) ']</v>
      </c>
      <c r="I4336" s="3"/>
    </row>
    <row r="4337" customHeight="1" spans="1:9">
      <c r="A4337" s="2" t="s">
        <v>3144</v>
      </c>
      <c r="B4337" s="2" t="str">
        <f>IFERROR(__xludf.DUMMYFUNCTION("IF(A4337&lt;&gt;"""", GOOGLETRANSLATE(A4337, ""en"", ""te""),"""")"),"[ '2 వ అత్యుత్తమ బౌలింగ్ ఇన్నింగ్స్ లో విశ్లేషించడం (5/5)', 'ఇన్నింగ్స్ లో 7 వ ఉత్తమ ఆర్థిక రేటు (0.20)']")</f>
        <v>[ '2 వ అత్యుత్తమ బౌలింగ్ ఇన్నింగ్స్ లో విశ్లేషించడం (5/5)', 'ఇన్నింగ్స్ లో 7 వ ఉత్తమ ఆర్థిక రేటు (0.20)']</v>
      </c>
      <c r="C4337" s="2" t="s">
        <v>3145</v>
      </c>
      <c r="D4337" s="2" t="str">
        <f>IFERROR(__xludf.DUMMYFUNCTION("IF(C4337&lt;&gt;"""", GOOGLETRANSLATE(C4337, ""en"", ""te""),"""")"),"[ '17 వ మ్యాచ్ లో బెస్ట్ ఫిగర్స్ ఉన్నప్పుడు పరాజయం వైపు (5) న', '45 వ ఉత్తమ కెరీర్ సగటు (24.68) బౌలింగ్', '27 వ ఉత్తమ కెరీర్ సమ్మె రేటు (69.0)', '12 వ అత్యధిక వికెట్లు తీసుకున్న ఎల్బిడబ్ల్యు (8)' ]")</f>
        <v>[ '17 వ మ్యాచ్ లో బెస్ట్ ఫిగర్స్ ఉన్నప్పుడు పరాజయం వైపు (5) న', '45 వ ఉత్తమ కెరీర్ సగటు (24.68) బౌలింగ్', '27 వ ఉత్తమ కెరీర్ సమ్మె రేటు (69.0)', '12 వ అత్యధిక వికెట్లు తీసుకున్న ఎల్బిడబ్ల్యు (8)' ]</v>
      </c>
      <c r="E4337" s="2" t="s">
        <v>3146</v>
      </c>
      <c r="F4337" s="2" t="str">
        <f>IFERROR(__xludf.DUMMYFUNCTION("IF(E4337&lt;&gt;"""", GOOGLETRANSLATE(E4337, ""en"", ""te""),"""")"),"[ '19 ఒక ఇన్నింగ్స్ లోని బెస్ట్ ఫిగర్స్ (5/5)', '23 వ ఉత్తమ కెరీర్ ఆర్థిక రేటు (2.61)' '2 వ అత్యుత్తమ బౌలింగ్ (5/5) ఇన్నింగ్స్ విశ్లేషణలలో', ఒక ఇన్నింగ్స్ లో '7 వ ఉత్తమ ఆర్థిక రేటు ( 0.20) ',' 29th చెత్త కెరీర్లో సమ్మె రేటు (56.8) ',' ఐదు వికెట్ల లో-ఒక-ఇన"&amp;"్నింగ్స్ తీసుకోవాలని 36 వ పిన్న వయస్కుడిగా నిలిచాడు (23y 323d) ']")</f>
        <v>[ '19 ఒక ఇన్నింగ్స్ లోని బెస్ట్ ఫిగర్స్ (5/5)', '23 వ ఉత్తమ కెరీర్ ఆర్థిక రేటు (2.61)' '2 వ అత్యుత్తమ బౌలింగ్ (5/5) ఇన్నింగ్స్ విశ్లేషణలలో', ఒక ఇన్నింగ్స్ లో '7 వ ఉత్తమ ఆర్థిక రేటు ( 0.20) ',' 29th చెత్త కెరీర్లో సమ్మె రేటు (56.8) ',' ఐదు వికెట్ల లో-ఒక-ఇన్నింగ్స్ తీసుకోవాలని 36 వ పిన్న వయస్కుడిగా నిలిచాడు (23y 323d) ']</v>
      </c>
      <c r="G4337" s="2"/>
      <c r="H4337" s="2" t="str">
        <f>IFERROR(__xludf.DUMMYFUNCTION("IF(G4337&lt;&gt;"""", GOOGLETRANSLATE(G4337, ""en"", ""te""),"""")"),"")</f>
        <v/>
      </c>
      <c r="I4337" s="3"/>
    </row>
    <row r="4338" customHeight="1" spans="1:9">
      <c r="A4338" s="2" t="s">
        <v>3147</v>
      </c>
      <c r="B4338" s="2" t="str">
        <f>IFERROR(__xludf.DUMMYFUNCTION("IF(A4338&lt;&gt;"""", GOOGLETRANSLATE(A4338, ""en"", ""te""),"""")"),"[ '9 వ అత్యంత వికెట్కీపర్గా (18) పట్టుకుంటే తీసుకోబడిన వికెట్ల']")</f>
        <v>[ '9 వ అత్యంత వికెట్కీపర్గా (18) పట్టుకుంటే తీసుకోబడిన వికెట్ల']</v>
      </c>
      <c r="C4338" s="2"/>
      <c r="D4338" s="2" t="str">
        <f>IFERROR(__xludf.DUMMYFUNCTION("IF(C4338&lt;&gt;"""", GOOGLETRANSLATE(C4338, ""en"", ""te""),"""")"),"")</f>
        <v/>
      </c>
      <c r="E4338" s="2" t="s">
        <v>3148</v>
      </c>
      <c r="F4338" s="2" t="str">
        <f>IFERROR(__xludf.DUMMYFUNCTION("IF(E4338&lt;&gt;"""", GOOGLETRANSLATE(E4338, ""en"", ""te""),"""")"),"[40 వ కెరీర్ లో అత్యధిక వికెట్లు (73) ',' 36 వ ఒక సిరీస్లో అత్యధిక వికెట్లు (19) ',' ఒకే మైదానంలో 33 వ అత్యధిక వికెట్లు (12) ',' 37 వ చెత్త కెరీర్ బౌలింగ్ సరాసరి (32.30) ',' 18 వ చెత్త కెరీర్లో ఆర్థిక రేటు (4.45) ',' 33 వ కెరీర్ లో బౌల్డ్ చాలా బంతుల్లో ("&amp;"3176) ',' 23 వ కెరీర్ లో సాధించిన అత్యధిక పరుగులు (2358) ',' 33 వ బౌలర్ / ఫీల్డర్ కలయికలు (11) ',' 42 వ అత్యధిక వికెట్లు బౌల్డ్ తీసుకున్న (17) ',' 30 వ అత్యధిక వికెట్లు తీసుకున్న ఆకర్షించింది (47) ',' 9 వ అత్యంత ఆకర్షించింది తీసుకోబడిన వికెట్ల అత్యధిక విక"&amp;"ెట్లు (18) ',' తొమ్మిదవ వికెట్కు 17 అత్యధిక భాగస్వామ్యం (42) ']")</f>
        <v>[40 వ కెరీర్ లో అత్యధిక వికెట్లు (73) ',' 36 వ ఒక సిరీస్లో అత్యధిక వికెట్లు (19) ',' ఒకే మైదానంలో 33 వ అత్యధిక వికెట్లు (12) ',' 37 వ చెత్త కెరీర్ బౌలింగ్ సరాసరి (32.30) ',' 18 వ చెత్త కెరీర్లో ఆర్థిక రేటు (4.45) ',' 33 వ కెరీర్ లో బౌల్డ్ చాలా బంతుల్లో (3176) ',' 23 వ కెరీర్ లో సాధించిన అత్యధిక పరుగులు (2358) ',' 33 వ బౌలర్ / ఫీల్డర్ కలయికలు (11) ',' 42 వ అత్యధిక వికెట్లు బౌల్డ్ తీసుకున్న (17) ',' 30 వ అత్యధిక వికెట్లు తీసుకున్న ఆకర్షించింది (47) ',' 9 వ అత్యంత ఆకర్షించింది తీసుకోబడిన వికెట్ల అత్యధిక వికెట్లు (18) ',' తొమ్మిదవ వికెట్కు 17 అత్యధిక భాగస్వామ్యం (42) ']</v>
      </c>
      <c r="G4338" s="2" t="s">
        <v>3149</v>
      </c>
      <c r="H4338" s="2" t="str">
        <f>IFERROR(__xludf.DUMMYFUNCTION("IF(G4338&lt;&gt;"""", GOOGLETRANSLATE(G4338, ""en"", ""te""),"""")"),"[ '22 వ ఇన్నింగ్స్ లో అత్యధిక పరుగులు (బ్యాటింగ్ స్థానంలో ప్రకారం) (16)', '35 వ కెరీర్ లో అత్యధిక వికెట్లు (52)', '47 వ ఉత్తమ కెరీర్ సమ్మె రేటు (21.1)', '33 వ కెరీర్ లో బౌల్డ్ చాలా బంతుల్లో (1101) ',' 32 వ భాగం (1097) ',' 44 వ అత్యధిక వికెట్లు తీసుకున్న బ"&amp;"ౌల్డ్ (10) ',' 16 వ అత్యధిక వికెట్లు తీసుకున్న ఆకర్షించింది (42) ', '21 వ అత్యధిక వికెట్లు చిక్కుకున్న ఫీల్డర్ (32) తీసుకున్న కెరీర్లో ఇవ్వబడిన పరుగులలో', '6 వ అత్యధిక వికెట్లు వికెట్లు తీసుకున్న ఆకర్షించింది (10)', '41 వ అత్యంత పనికత్తెలయొద్ద కెరీర్లో (5"&amp;")']")</f>
        <v>[ '22 వ ఇన్నింగ్స్ లో అత్యధిక పరుగులు (బ్యాటింగ్ స్థానంలో ప్రకారం) (16)', '35 వ కెరీర్ లో అత్యధిక వికెట్లు (52)', '47 వ ఉత్తమ కెరీర్ సమ్మె రేటు (21.1)', '33 వ కెరీర్ లో బౌల్డ్ చాలా బంతుల్లో (1101) ',' 32 వ భాగం (1097) ',' 44 వ అత్యధిక వికెట్లు తీసుకున్న బౌల్డ్ (10) ',' 16 వ అత్యధిక వికెట్లు తీసుకున్న ఆకర్షించింది (42) ', '21 వ అత్యధిక వికెట్లు చిక్కుకున్న ఫీల్డర్ (32) తీసుకున్న కెరీర్లో ఇవ్వబడిన పరుగులలో', '6 వ అత్యధిక వికెట్లు వికెట్లు తీసుకున్న ఆకర్షించింది (10)', '41 వ అత్యంత పనికత్తెలయొద్ద కెరీర్లో (5)']</v>
      </c>
      <c r="I4338" s="3"/>
    </row>
    <row r="4339" customHeight="1" spans="1:9">
      <c r="A4339" s="2"/>
      <c r="B4339" s="2" t="str">
        <f>IFERROR(__xludf.DUMMYFUNCTION("IF(A4339&lt;&gt;"""", GOOGLETRANSLATE(A4339, ""en"", ""te""),"""")"),"")</f>
        <v/>
      </c>
      <c r="C4339" s="2"/>
      <c r="D4339" s="2" t="str">
        <f>IFERROR(__xludf.DUMMYFUNCTION("IF(C4339&lt;&gt;"""", GOOGLETRANSLATE(C4339, ""en"", ""te""),"""")"),"")</f>
        <v/>
      </c>
      <c r="E4339" s="2"/>
      <c r="F4339" s="2" t="str">
        <f>IFERROR(__xludf.DUMMYFUNCTION("IF(E4339&lt;&gt;"""", GOOGLETRANSLATE(E4339, ""en"", ""te""),"""")"),"")</f>
        <v/>
      </c>
      <c r="G4339" s="2"/>
      <c r="H4339" s="2" t="str">
        <f>IFERROR(__xludf.DUMMYFUNCTION("IF(G4339&lt;&gt;"""", GOOGLETRANSLATE(G4339, ""en"", ""te""),"""")"),"")</f>
        <v/>
      </c>
      <c r="I4339" s="3"/>
    </row>
    <row r="4340" customHeight="1" spans="1:9">
      <c r="A4340" s="2" t="s">
        <v>3150</v>
      </c>
      <c r="B4340" s="2" t="str">
        <f>IFERROR(__xludf.DUMMYFUNCTION("IF(A4340&lt;&gt;"""", GOOGLETRANSLATE(A4340, ""en"", ""te""),"""")"),"[ '2nd లాంగెస్ట్ క్రీడాకారులు (99y 226d) నివసించారు']")</f>
        <v>[ '2nd లాంగెస్ట్ క్రీడాకారులు (99y 226d) నివసించారు']</v>
      </c>
      <c r="C4340" s="2" t="s">
        <v>3151</v>
      </c>
      <c r="D4340" s="2" t="str">
        <f>IFERROR(__xludf.DUMMYFUNCTION("IF(C4340&lt;&gt;"""", GOOGLETRANSLATE(C4340, ""en"", ""te""),"""")"),"[ '2nd లాంగెస్ట్ క్రీడాకారులు (99y 226d) నివసించారు' 'ప్రదర్శనలు (8y 224d) మధ్య 46 వ లాంగెస్ట్ వ్యవధిలో']")</f>
        <v>[ '2nd లాంగెస్ట్ క్రీడాకారులు (99y 226d) నివసించారు' 'ప్రదర్శనలు (8y 224d) మధ్య 46 వ లాంగెస్ట్ వ్యవధిలో']</v>
      </c>
      <c r="E4340" s="2"/>
      <c r="F4340" s="2" t="str">
        <f>IFERROR(__xludf.DUMMYFUNCTION("IF(E4340&lt;&gt;"""", GOOGLETRANSLATE(E4340, ""en"", ""te""),"""")"),"")</f>
        <v/>
      </c>
      <c r="G4340" s="2"/>
      <c r="H4340" s="2" t="str">
        <f>IFERROR(__xludf.DUMMYFUNCTION("IF(G4340&lt;&gt;"""", GOOGLETRANSLATE(G4340, ""en"", ""te""),"""")"),"")</f>
        <v/>
      </c>
      <c r="I4340" s="3"/>
    </row>
    <row r="4341" customHeight="1" spans="1:9">
      <c r="A4341" s="2"/>
      <c r="B4341" s="2" t="str">
        <f>IFERROR(__xludf.DUMMYFUNCTION("IF(A4341&lt;&gt;"""", GOOGLETRANSLATE(A4341, ""en"", ""te""),"""")"),"")</f>
        <v/>
      </c>
      <c r="C4341" s="2"/>
      <c r="D4341" s="2" t="str">
        <f>IFERROR(__xludf.DUMMYFUNCTION("IF(C4341&lt;&gt;"""", GOOGLETRANSLATE(C4341, ""en"", ""te""),"""")"),"")</f>
        <v/>
      </c>
      <c r="E4341" s="2"/>
      <c r="F4341" s="2" t="str">
        <f>IFERROR(__xludf.DUMMYFUNCTION("IF(E4341&lt;&gt;"""", GOOGLETRANSLATE(E4341, ""en"", ""te""),"""")"),"")</f>
        <v/>
      </c>
      <c r="G4341" s="2"/>
      <c r="H4341" s="2" t="str">
        <f>IFERROR(__xludf.DUMMYFUNCTION("IF(G4341&lt;&gt;"""", GOOGLETRANSLATE(G4341, ""en"", ""te""),"""")"),"")</f>
        <v/>
      </c>
      <c r="I4341" s="3"/>
    </row>
    <row r="4342" customHeight="1" spans="1:9">
      <c r="A4342" s="2"/>
      <c r="B4342" s="2" t="str">
        <f>IFERROR(__xludf.DUMMYFUNCTION("IF(A4342&lt;&gt;"""", GOOGLETRANSLATE(A4342, ""en"", ""te""),"""")"),"")</f>
        <v/>
      </c>
      <c r="C4342" s="2"/>
      <c r="D4342" s="2" t="str">
        <f>IFERROR(__xludf.DUMMYFUNCTION("IF(C4342&lt;&gt;"""", GOOGLETRANSLATE(C4342, ""en"", ""te""),"""")"),"")</f>
        <v/>
      </c>
      <c r="E4342" s="2"/>
      <c r="F4342" s="2" t="str">
        <f>IFERROR(__xludf.DUMMYFUNCTION("IF(E4342&lt;&gt;"""", GOOGLETRANSLATE(E4342, ""en"", ""te""),"""")"),"")</f>
        <v/>
      </c>
      <c r="G4342" s="2"/>
      <c r="H4342" s="2" t="str">
        <f>IFERROR(__xludf.DUMMYFUNCTION("IF(G4342&lt;&gt;"""", GOOGLETRANSLATE(G4342, ""en"", ""te""),"""")"),"")</f>
        <v/>
      </c>
      <c r="I4342" s="3"/>
    </row>
    <row r="4343" customHeight="1" spans="1:9">
      <c r="A4343" s="2"/>
      <c r="B4343" s="2" t="str">
        <f>IFERROR(__xludf.DUMMYFUNCTION("IF(A4343&lt;&gt;"""", GOOGLETRANSLATE(A4343, ""en"", ""te""),"""")"),"")</f>
        <v/>
      </c>
      <c r="C4343" s="2" t="s">
        <v>3152</v>
      </c>
      <c r="D4343" s="2" t="str">
        <f>IFERROR(__xludf.DUMMYFUNCTION("IF(C4343&lt;&gt;"""", GOOGLETRANSLATE(C4343, ""en"", ""te""),"""")"),"[ '12 వ పిన్న ఆటగాడు వంద (19y 121d) స్కోర్']")</f>
        <v>[ '12 వ పిన్న ఆటగాడు వంద (19y 121d) స్కోర్']</v>
      </c>
      <c r="E4343" s="2"/>
      <c r="F4343" s="2" t="str">
        <f>IFERROR(__xludf.DUMMYFUNCTION("IF(E4343&lt;&gt;"""", GOOGLETRANSLATE(E4343, ""en"", ""te""),"""")"),"")</f>
        <v/>
      </c>
      <c r="G4343" s="2"/>
      <c r="H4343" s="2" t="str">
        <f>IFERROR(__xludf.DUMMYFUNCTION("IF(G4343&lt;&gt;"""", GOOGLETRANSLATE(G4343, ""en"", ""te""),"""")"),"")</f>
        <v/>
      </c>
      <c r="I4343" s="3"/>
    </row>
    <row r="4344" customHeight="1" spans="1:9">
      <c r="A4344" s="2" t="s">
        <v>3153</v>
      </c>
      <c r="B4344" s="2" t="str">
        <f>IFERROR(__xludf.DUMMYFUNCTION("IF(A4344&lt;&gt;"""", GOOGLETRANSLATE(A4344, ""en"", ""te""),"""")"),"[ 'హండ్రెడ్ తొలి (104)', '6 వ అత్యధిక తొలి వంద (172)', '1 వ అత్యుత్తమ బౌలింగ్ ఇన్నింగ్స్ లో విశ్లేషించడం (1/0)']")</f>
        <v>[ 'హండ్రెడ్ తొలి (104)', '6 వ అత్యధిక తొలి వంద (172)', '1 వ అత్యుత్తమ బౌలింగ్ ఇన్నింగ్స్ లో విశ్లేషించడం (1/0)']</v>
      </c>
      <c r="C4344" s="2" t="s">
        <v>3154</v>
      </c>
      <c r="D4344" s="2" t="str">
        <f>IFERROR(__xludf.DUMMYFUNCTION("IF(C4344&lt;&gt;"""", GOOGLETRANSLATE(C4344, ""en"", ""te""),"""")"),"[ '42 వ తొలి మ్యాచ్ (158) అత్యధిక పరుగులు']")</f>
        <v>[ '42 వ తొలి మ్యాచ్ (158) అత్యధిక పరుగులు']</v>
      </c>
      <c r="E4344" s="2" t="s">
        <v>3155</v>
      </c>
      <c r="F4344" s="2" t="str">
        <f>IFERROR(__xludf.DUMMYFUNCTION("IF(E4344&lt;&gt;"""", GOOGLETRANSLATE(E4344, ""en"", ""te""),"""")"),"[ '45 వ ఇన్నింగ్స్ లో అత్యధిక పరుగులు (172)', '6 వ అత్యధిక తొలి వంద (172)', '31 ఇన్నింగ్స్ లో వచ్చిన ఎక్కువ సిక్స్ (9)', 'ఇన్నింగ్స్ లో ఫోర్లు, సిక్సర్లు నుండి 17 వ అత్యధిక పరుగులు (118)' '1 వ అత్యుత్తమ బౌలింగ్ ఇన్నింగ్స్ లో విశ్లేషించడం (1/0)', ​​'మొదటి "&amp;"వికెట్కు 36 వ అత్యధిక భాగస్వామ్యం (204)', 'పదవ వికెట్కు 33 వ అత్యధిక భాగస్వామ్యం (52 *)']")</f>
        <v>[ '45 వ ఇన్నింగ్స్ లో అత్యధిక పరుగులు (172)', '6 వ అత్యధిక తొలి వంద (172)', '31 ఇన్నింగ్స్ లో వచ్చిన ఎక్కువ సిక్స్ (9)', 'ఇన్నింగ్స్ లో ఫోర్లు, సిక్సర్లు నుండి 17 వ అత్యధిక పరుగులు (118)' '1 వ అత్యుత్తమ బౌలింగ్ ఇన్నింగ్స్ లో విశ్లేషించడం (1/0)', ​​'మొదటి వికెట్కు 36 వ అత్యధిక భాగస్వామ్యం (204)', 'పదవ వికెట్కు 33 వ అత్యధిక భాగస్వామ్యం (52 *)']</v>
      </c>
      <c r="G4344" s="2"/>
      <c r="H4344" s="2" t="str">
        <f>IFERROR(__xludf.DUMMYFUNCTION("IF(G4344&lt;&gt;"""", GOOGLETRANSLATE(G4344, ""en"", ""te""),"""")"),"")</f>
        <v/>
      </c>
      <c r="I4344" s="3"/>
    </row>
    <row r="4345" customHeight="1" spans="1:9">
      <c r="A4345" s="2"/>
      <c r="B4345" s="2" t="str">
        <f>IFERROR(__xludf.DUMMYFUNCTION("IF(A4345&lt;&gt;"""", GOOGLETRANSLATE(A4345, ""en"", ""te""),"""")"),"")</f>
        <v/>
      </c>
      <c r="C4345" s="2"/>
      <c r="D4345" s="2" t="str">
        <f>IFERROR(__xludf.DUMMYFUNCTION("IF(C4345&lt;&gt;"""", GOOGLETRANSLATE(C4345, ""en"", ""te""),"""")"),"")</f>
        <v/>
      </c>
      <c r="E4345" s="2"/>
      <c r="F4345" s="2" t="str">
        <f>IFERROR(__xludf.DUMMYFUNCTION("IF(E4345&lt;&gt;"""", GOOGLETRANSLATE(E4345, ""en"", ""te""),"""")"),"")</f>
        <v/>
      </c>
      <c r="G4345" s="2"/>
      <c r="H4345" s="2" t="str">
        <f>IFERROR(__xludf.DUMMYFUNCTION("IF(G4345&lt;&gt;"""", GOOGLETRANSLATE(G4345, ""en"", ""te""),"""")"),"")</f>
        <v/>
      </c>
      <c r="I4345" s="3"/>
    </row>
    <row r="4346" customHeight="1" spans="1:9">
      <c r="A4346" s="2"/>
      <c r="B4346" s="2" t="str">
        <f>IFERROR(__xludf.DUMMYFUNCTION("IF(A4346&lt;&gt;"""", GOOGLETRANSLATE(A4346, ""en"", ""te""),"""")"),"")</f>
        <v/>
      </c>
      <c r="C4346" s="2"/>
      <c r="D4346" s="2" t="str">
        <f>IFERROR(__xludf.DUMMYFUNCTION("IF(C4346&lt;&gt;"""", GOOGLETRANSLATE(C4346, ""en"", ""te""),"""")"),"")</f>
        <v/>
      </c>
      <c r="E4346" s="2"/>
      <c r="F4346" s="2" t="str">
        <f>IFERROR(__xludf.DUMMYFUNCTION("IF(E4346&lt;&gt;"""", GOOGLETRANSLATE(E4346, ""en"", ""te""),"""")"),"")</f>
        <v/>
      </c>
      <c r="G4346" s="2"/>
      <c r="H4346" s="2" t="str">
        <f>IFERROR(__xludf.DUMMYFUNCTION("IF(G4346&lt;&gt;"""", GOOGLETRANSLATE(G4346, ""en"", ""te""),"""")"),"")</f>
        <v/>
      </c>
      <c r="I4346" s="3"/>
    </row>
    <row r="4347" customHeight="1" spans="1:9">
      <c r="A4347" s="2"/>
      <c r="B4347" s="2" t="str">
        <f>IFERROR(__xludf.DUMMYFUNCTION("IF(A4347&lt;&gt;"""", GOOGLETRANSLATE(A4347, ""en"", ""te""),"""")"),"")</f>
        <v/>
      </c>
      <c r="C4347" s="2"/>
      <c r="D4347" s="2" t="str">
        <f>IFERROR(__xludf.DUMMYFUNCTION("IF(C4347&lt;&gt;"""", GOOGLETRANSLATE(C4347, ""en"", ""te""),"""")"),"")</f>
        <v/>
      </c>
      <c r="E4347" s="2"/>
      <c r="F4347" s="2" t="str">
        <f>IFERROR(__xludf.DUMMYFUNCTION("IF(E4347&lt;&gt;"""", GOOGLETRANSLATE(E4347, ""en"", ""te""),"""")"),"")</f>
        <v/>
      </c>
      <c r="G4347" s="2"/>
      <c r="H4347" s="2" t="str">
        <f>IFERROR(__xludf.DUMMYFUNCTION("IF(G4347&lt;&gt;"""", GOOGLETRANSLATE(G4347, ""en"", ""te""),"""")"),"")</f>
        <v/>
      </c>
      <c r="I4347" s="3"/>
    </row>
    <row r="4348" customHeight="1" spans="1:9">
      <c r="A4348" s="2" t="s">
        <v>3156</v>
      </c>
      <c r="B4348" s="2" t="str">
        <f>IFERROR(__xludf.DUMMYFUNCTION("IF(A4348&lt;&gt;"""", GOOGLETRANSLATE(A4348, ""en"", ""te""),"""")"),"'(2/1) 2 వ అత్యుత్తమ బౌలింగ్ ఇన్నింగ్స్ విశ్లేషణలలో', 'ఐదు వికెట్ల లో-ఒక-ఇన్నింగ్స్ (తీసుకోవాలని 5 వ పిన్న ఆటగాడు [' ఇన్నింగ్స్ లో 5 వ అత్యధిక పరుగులు (బ్యాటింగ్ స్థానంలో ప్రకారం) (137 *) ', 18y 46d) ',' కెరీర్ లో బౌల్డ్ 8 వ అత్యంత బంతుల్లో (కెరీర్ సాధించ"&amp;"ిన 28814) ',' 10 వ అత్యధిక పరుగులు (12441) ',' 3 వ అత్యంత ఆకర్షించింది తీసుకున్న మరియు బౌల్డ్ వికెట్లు (21) ',' 1000 పరుగులు మరియు 100 వికెట్లు ', '1000 పరుగులు, 50 వికెట్లు, 50 క్యాచ్లు', '5 వ అత్యధిక పరుగులు ఇన్నింగ్స్ లో (బ్యాటింగ్ స్థానం) (83)', '10 వ"&amp;" కెరీర్ లో చాలా బాతులు (23)', '4 వ అత్యుత్తమ బౌలింగ్ ఇన్నింగ్స్ లో విశ్లేషించడం (5 / 7) ',' 8 వ కెరీర్ లో బౌల్డ్ చాలా బంతుల్లో (14060) ',' 9 వ కెరీర్ లో సాధించిన అత్యధిక పరుగులు (9674) ',' 6 వ అత్యధిక వికెట్లు తీసుకున్న ఎల్బిడబ్ల్యు (59) ',' 1000 పరుగులు "&amp;"మరియు 100 వికెట్లు ',' 1000 పరుగులు ఒక కెప్టెన్తో 50 వికెట్లు, 50 క్యాచ్లు ',' ఒక ఇన్నింగ్స్ లో 4 వ ఉత్తమ బొమ్మలు (4) ',' 1 వ ఉత్తమ కెరీర్ ఆర్థిక రేటు (5.70) ',' 6 వ అత్యంత బాతులు కెరీర్ లో (46) ',' చాలా 5 వ బంతులను బౌలింగ్ చేశాడు కెరీర్లో (43661) ',' 6 వ"&amp;" కెరీర్ లో సాధించిన అత్యధిక పరుగులు (22863) ',' 3 వ అత్యంత క్యాచ్ మరియు బౌల్డ్ తీసుకోబడిన వికెట్ల (34) ']")</f>
        <v>'(2/1) 2 వ అత్యుత్తమ బౌలింగ్ ఇన్నింగ్స్ విశ్లేషణలలో', 'ఐదు వికెట్ల లో-ఒక-ఇన్నింగ్స్ (తీసుకోవాలని 5 వ పిన్న ఆటగాడు [' ఇన్నింగ్స్ లో 5 వ అత్యధిక పరుగులు (బ్యాటింగ్ స్థానంలో ప్రకారం) (137 *) ', 18y 46d) ',' కెరీర్ లో బౌల్డ్ 8 వ అత్యంత బంతుల్లో (కెరీర్ సాధించిన 28814) ',' 10 వ అత్యధిక పరుగులు (12441) ',' 3 వ అత్యంత ఆకర్షించింది తీసుకున్న మరియు బౌల్డ్ వికెట్లు (21) ',' 1000 పరుగులు మరియు 100 వికెట్లు ', '1000 పరుగులు, 50 వికెట్లు, 50 క్యాచ్లు', '5 వ అత్యధిక పరుగులు ఇన్నింగ్స్ లో (బ్యాటింగ్ స్థానం) (83)', '10 వ కెరీర్ లో చాలా బాతులు (23)', '4 వ అత్యుత్తమ బౌలింగ్ ఇన్నింగ్స్ లో విశ్లేషించడం (5 / 7) ',' 8 వ కెరీర్ లో బౌల్డ్ చాలా బంతుల్లో (14060) ',' 9 వ కెరీర్ లో సాధించిన అత్యధిక పరుగులు (9674) ',' 6 వ అత్యధిక వికెట్లు తీసుకున్న ఎల్బిడబ్ల్యు (59) ',' 1000 పరుగులు మరియు 100 వికెట్లు ',' 1000 పరుగులు ఒక కెప్టెన్తో 50 వికెట్లు, 50 క్యాచ్లు ',' ఒక ఇన్నింగ్స్ లో 4 వ ఉత్తమ బొమ్మలు (4) ',' 1 వ ఉత్తమ కెరీర్ ఆర్థిక రేటు (5.70) ',' 6 వ అత్యంత బాతులు కెరీర్ లో (46) ',' చాలా 5 వ బంతులను బౌలింగ్ చేశాడు కెరీర్లో (43661) ',' 6 వ కెరీర్ లో సాధించిన అత్యధిక పరుగులు (22863) ',' 3 వ అత్యంత క్యాచ్ మరియు బౌల్డ్ తీసుకోబడిన వికెట్ల (34) ']</v>
      </c>
      <c r="C4348" s="2" t="s">
        <v>3157</v>
      </c>
      <c r="D4348" s="2" t="str">
        <f>IFERROR(__xludf.DUMMYFUNCTION("IF(C4348&lt;&gt;"""", GOOGLETRANSLATE(C4348, ""en"", ""te""),"""")"),"[ 'ఇన్నింగ్స్ లో 5 వ అత్యధిక పరుగులు (బ్యాటింగ్ స్థానంలో ప్రకారం) (137 *)', '23 వ కెరీర్ బాతులు (20)', '22 వ కెరీర్ లో అత్యధిక వికెట్లు (362)', '2 వ అత్యుత్తమ బౌలింగ్ ఇన్నింగ్స్ లో విశ్లేషించడం ( 2/1) ',' 26th ఒకే మైదానంలో అత్యధిక వికెట్లు (57) ',' ఒక కె"&amp;"ప్టెన్తో ఒక ఇన్నింగ్స్ లో 16 వ బెస్ట్ ఫిగర్స్ (6) ',' ఒక కెప్టెన్తో ఒక మ్యాచ్లో 21 వ బెస్ట్ ఫిగర్స్ (9) ',' ఒక ఇన్నింగ్స్ లో 24 వ బెస్ట్ ఫిగర్స్ ఉన్నప్పుడు పరాజయం వైపు (7) ',' 5 వ ఉత్తమ పరాజయం వైపు ఒక మ్యాచ్ను లో సంఖ్యలు (12) ',' 22 వ అత్యంత ఐదు-వికెట్ల"&amp;" లో-ఒక-ఇన్నింగ్స్ కెరీర్లో (20 ) ',' 29 వ అత్యధిక పది వికెట్లు లో ఒక మ్యాచ్ ఒక వృత్తిలో (3) ',' 18 వ వరుస ఐదు వికెట్ల లో-ఒక-ఇన్నింగ్స్ (3) ',' అయిదు వికెట్లు తీసుకోవాలని 5 వ పిన్న ఆటగాడు -ఇన్-ఒక-ఇన్నింగ్స్ (18y 46d) ',' పది వికెట్లు లో ఒక మ్యాచ్ తీసుకోవాల"&amp;"ని 19 పిన్న వయస్కుడిగా నిలిచాడు (21y 44d) ',' 8 వ కెరీర్ లో బౌల్డ్ చాలా బంతుల్లో (28814) ',' 45 వ అత్యంత బంతులను బౌలింగ్ చేశాడు ఒక ఇన్నింగ్స్ లో (426) ',' 10 వ అత్యధిక కెరీర్ లో సాధించిన పరుగులు (12441) ',' 35 వ ఇన్నింగ్స్ లో సాధించిన అత్యధిక పరుగులు (200"&amp;") ',' 19 వ అత్యధిక వికెట్లు తీసుకున్న ఆకర్షించింది (231) ',' 3 వ అత్యంత తీసుకోబడిన వికెట్ల ca ught మరియు బౌల్డ్ (21) ',' 11 వ అత్యధిక వికెట్లు ఒక ఫీల్డర్ చేత క్యాచ్ తీసుకున్న (195) ',' 18 వ అత్యధిక వికెట్లు తీసుకున్న ఎల్బిడబ్ల్యు (76) ',' 16 వ అత్యధిక విక"&amp;"ెట్లు తీసుకున్న స్టంప్ (13) ',' 41 వ అత్యధిక కెరీర్ లో మ్యాచ్లు (113) ',' 15 వ అత్యంత ప్లేయర్ ఆఫ్ ది మ్యాచ్ అవార్డులు (11) ',' 44 వ అత్యంత ప్లేయర్ ఆఫ్ ది సిరీస్ అవార్డులు (3) ',' 37 వ పిన్న క్రీడాకారులు (18y 10d) ',' 43 వ అత్యంత (32) ',' 17 వ వరుస బృందం ("&amp;"32) కెప్టెన్ గా మ్యాచ్లు కెప్టెన్గా మ్యాచ్లు ']")</f>
        <v>[ 'ఇన్నింగ్స్ లో 5 వ అత్యధిక పరుగులు (బ్యాటింగ్ స్థానంలో ప్రకారం) (137 *)', '23 వ కెరీర్ బాతులు (20)', '22 వ కెరీర్ లో అత్యధిక వికెట్లు (362)', '2 వ అత్యుత్తమ బౌలింగ్ ఇన్నింగ్స్ లో విశ్లేషించడం ( 2/1) ',' 26th ఒకే మైదానంలో అత్యధిక వికెట్లు (57) ',' ఒక కెప్టెన్తో ఒక ఇన్నింగ్స్ లో 16 వ బెస్ట్ ఫిగర్స్ (6) ',' ఒక కెప్టెన్తో ఒక మ్యాచ్లో 21 వ బెస్ట్ ఫిగర్స్ (9) ',' ఒక ఇన్నింగ్స్ లో 24 వ బెస్ట్ ఫిగర్స్ ఉన్నప్పుడు పరాజయం వైపు (7) ',' 5 వ ఉత్తమ పరాజయం వైపు ఒక మ్యాచ్ను లో సంఖ్యలు (12) ',' 22 వ అత్యంత ఐదు-వికెట్ల లో-ఒక-ఇన్నింగ్స్ కెరీర్లో (20 ) ',' 29 వ అత్యధిక పది వికెట్లు లో ఒక మ్యాచ్ ఒక వృత్తిలో (3) ',' 18 వ వరుస ఐదు వికెట్ల లో-ఒక-ఇన్నింగ్స్ (3) ',' అయిదు వికెట్లు తీసుకోవాలని 5 వ పిన్న ఆటగాడు -ఇన్-ఒక-ఇన్నింగ్స్ (18y 46d) ',' పది వికెట్లు లో ఒక మ్యాచ్ తీసుకోవాలని 19 పిన్న వయస్కుడిగా నిలిచాడు (21y 44d) ',' 8 వ కెరీర్ లో బౌల్డ్ చాలా బంతుల్లో (28814) ',' 45 వ అత్యంత బంతులను బౌలింగ్ చేశాడు ఒక ఇన్నింగ్స్ లో (426) ',' 10 వ అత్యధిక కెరీర్ లో సాధించిన పరుగులు (12441) ',' 35 వ ఇన్నింగ్స్ లో సాధించిన అత్యధిక పరుగులు (200) ',' 19 వ అత్యధిక వికెట్లు తీసుకున్న ఆకర్షించింది (231) ',' 3 వ అత్యంత తీసుకోబడిన వికెట్ల ca ught మరియు బౌల్డ్ (21) ',' 11 వ అత్యధిక వికెట్లు ఒక ఫీల్డర్ చేత క్యాచ్ తీసుకున్న (195) ',' 18 వ అత్యధిక వికెట్లు తీసుకున్న ఎల్బిడబ్ల్యు (76) ',' 16 వ అత్యధిక వికెట్లు తీసుకున్న స్టంప్ (13) ',' 41 వ అత్యధిక కెరీర్ లో మ్యాచ్లు (113) ',' 15 వ అత్యంత ప్లేయర్ ఆఫ్ ది మ్యాచ్ అవార్డులు (11) ',' 44 వ అత్యంత ప్లేయర్ ఆఫ్ ది సిరీస్ అవార్డులు (3) ',' 37 వ పిన్న క్రీడాకారులు (18y 10d) ',' 43 వ అత్యంత (32) ',' 17 వ వరుస బృందం (32) కెప్టెన్ గా మ్యాచ్లు కెప్టెన్గా మ్యాచ్లు ']</v>
      </c>
      <c r="E4348" s="2" t="s">
        <v>3158</v>
      </c>
      <c r="F4348" s="2" t="str">
        <f>IFERROR(__xludf.DUMMYFUNCTION("IF(E4348&lt;&gt;"""", GOOGLETRANSLATE(E4348, ""en"", ""te""),"""")"),"[ '11 వ అత్యధిక పరుగులు జీవితంలో వంద (2253) లేకుండా', '10 వ కెరీర్ లో చాలా బాతులు (23)' 'చాలా 5 వ ఇన్నింగ్స్ లో నడుస్తుంది (బ్యాటింగ్ స్థానం) (83)', '13 వ అత్యధిక కెరీర్ వికెట్లు (305) ',' 49 వ ఒక క్యాలెండర్ సంవత్సరంలో అత్యధిక వికెట్లు (43) ',' 4 వ అత్యుత"&amp;"్తమ బౌలింగ్ ఇన్నింగ్స్ లో విశ్లేషించడం (5/7) ',' ఒక కెప్టెన్తో ఒక ఇన్నింగ్స్ లో 6 వ ఉత్తమ బొమ్మలు (5) ',' 47 వ ఒక ఇన్నింగ్స్ లోని బెస్ట్ సమ్మె రేటు (7.2) ',' 43 వ అత్యంత ఐదు-వికెట్ల లో-ఒక-ఇన్నింగ్స్ కెరీర్లో (2) ',' 25 వ అత్యంత నాలుగు వికెట్లు-ఇన్-ఒక-ఇన్న"&amp;"ింగ్స్ కెరీర్లో (10) ' , '9 వ కెరీర్ లో సాధించిన అత్యధిక పరుగులు (9674)', '25 వ బౌలర్ / బ్యాట్స్ కలయికలు (8)', '26th అత్యధిక వికెట్లు తీసుకున్న బౌల్డ్ (56)', '21 వ అత్యంత '8 వ కెరీర్ లో బౌల్డ్ (14060) చాలా బంతుల్లో' వికెట్లు ఆకర్షించింది తీసుకోకూడదు (172)"&amp;" ',' 19 వ అత్యధిక వికెట్లు తీసుకున్న క్యాచ్ మరియు బౌల్డ్ (12) ',' 11 వ అత్యధిక వికెట్లు ఒక ఫీల్డర్ చేత క్యాచ్ తీసుకున్న (145) ',' 6 వ అత్యధిక వికెట్లు తీసుకున్న ఎల్బిడబ్ల్యు (59) ',' 16 వ అత్యధిక వికెట్లు తీసుకున్న స్టంప్ (18) ',' ఫాస్టెస్ట్ 200 వికెట్లు "&amp;"32 వ (198) ',' 23 250 వికెట్లు (245) ',' 11 వ వేగంగా వేగంగా 300 వికెట్లు (291) ',' 40 వ పలు c కెరీర్లో atches (88) ',' తొమ్మిదవ వికెట్కు 39 వ అత్యధిక భాగస్వామ్యం (70) ',' పదవ వికెట్కు 45 వ అత్యధిక భాగస్వామ్యం (47) ',' 23 వ అత్యధిక మ్యాచ్లు కెరీర్లో (295) "&amp;"',' 13 వ లాంగెస్ట్ కెరీర్లు ( 18y 4D) ',' 30 వ కెప్టెన్గా అత్యధిక మ్యాచ్లు (82) ',' 32 వ వరుస మ్యాచ్లు ఒక జట్టు కెప్టెన్గా (36) ']")</f>
        <v>[ '11 వ అత్యధిక పరుగులు జీవితంలో వంద (2253) లేకుండా', '10 వ కెరీర్ లో చాలా బాతులు (23)' 'చాలా 5 వ ఇన్నింగ్స్ లో నడుస్తుంది (బ్యాటింగ్ స్థానం) (83)', '13 వ అత్యధిక కెరీర్ వికెట్లు (305) ',' 49 వ ఒక క్యాలెండర్ సంవత్సరంలో అత్యధిక వికెట్లు (43) ',' 4 వ అత్యుత్తమ బౌలింగ్ ఇన్నింగ్స్ లో విశ్లేషించడం (5/7) ',' ఒక కెప్టెన్తో ఒక ఇన్నింగ్స్ లో 6 వ ఉత్తమ బొమ్మలు (5) ',' 47 వ ఒక ఇన్నింగ్స్ లోని బెస్ట్ సమ్మె రేటు (7.2) ',' 43 వ అత్యంత ఐదు-వికెట్ల లో-ఒక-ఇన్నింగ్స్ కెరీర్లో (2) ',' 25 వ అత్యంత నాలుగు వికెట్లు-ఇన్-ఒక-ఇన్నింగ్స్ కెరీర్లో (10) ' , '9 వ కెరీర్ లో సాధించిన అత్యధిక పరుగులు (9674)', '25 వ బౌలర్ / బ్యాట్స్ కలయికలు (8)', '26th అత్యధిక వికెట్లు తీసుకున్న బౌల్డ్ (56)', '21 వ అత్యంత '8 వ కెరీర్ లో బౌల్డ్ (14060) చాలా బంతుల్లో' వికెట్లు ఆకర్షించింది తీసుకోకూడదు (172) ',' 19 వ అత్యధిక వికెట్లు తీసుకున్న క్యాచ్ మరియు బౌల్డ్ (12) ',' 11 వ అత్యధిక వికెట్లు ఒక ఫీల్డర్ చేత క్యాచ్ తీసుకున్న (145) ',' 6 వ అత్యధిక వికెట్లు తీసుకున్న ఎల్బిడబ్ల్యు (59) ',' 16 వ అత్యధిక వికెట్లు తీసుకున్న స్టంప్ (18) ',' ఫాస్టెస్ట్ 200 వికెట్లు 32 వ (198) ',' 23 250 వికెట్లు (245) ',' 11 వ వేగంగా వేగంగా 300 వికెట్లు (291) ',' 40 వ పలు c కెరీర్లో atches (88) ',' తొమ్మిదవ వికెట్కు 39 వ అత్యధిక భాగస్వామ్యం (70) ',' పదవ వికెట్కు 45 వ అత్యధిక భాగస్వామ్యం (47) ',' 23 వ అత్యధిక మ్యాచ్లు కెరీర్లో (295) ',' 13 వ లాంగెస్ట్ కెరీర్లు ( 18y 4D) ',' 30 వ కెప్టెన్గా అత్యధిక మ్యాచ్లు (82) ',' 32 వ వరుస మ్యాచ్లు ఒక జట్టు కెప్టెన్గా (36) ']</v>
      </c>
      <c r="G4348" s="2" t="s">
        <v>3159</v>
      </c>
      <c r="H4348" s="2" t="str">
        <f>IFERROR(__xludf.DUMMYFUNCTION("IF(G4348&lt;&gt;"""", GOOGLETRANSLATE(G4348, ""en"", ""te""),"""")"),"[ '25 వ ఉత్తమ కెరీర్ సగటు (19.68) బౌలింగ్', '1 వ ఉత్తమ కెరీర్ ఎకానమీ రేట్' కెప్టెన్ (4) 4 వ ఒక ఇన్నింగ్స్ లోని బెస్ట్ ఫిగర్స్ '' 13 వ అత్యుత్తమ ఇన్నింగ్స్ లో విశ్లేషణలు బౌలింగ్ (3/6) ', (5.70 ) ',' 17 వ బౌలర్ / బ్యాట్స్ కలయికలు (3) ',' 12 వ బౌలర్ / ఫీల్డర"&amp;"్ కలయికలు (8) ',' 48 వ అత్యధిక వికెట్లు తీసుకున్న బౌల్డ్ (10) ',' 32 వ అత్యధిక వికెట్లు తీసుకున్న ఎల్బిడబ్ల్యు (5) ',' 18 వ అత్యంత (28) ',' 31 వరుస బృందం (36) కెప్టెన్ గా మ్యాచ్లు కెప్టెన్గా మ్యాచ్లు ']")</f>
        <v>[ '25 వ ఉత్తమ కెరీర్ సగటు (19.68) బౌలింగ్', '1 వ ఉత్తమ కెరీర్ ఎకానమీ రేట్' కెప్టెన్ (4) 4 వ ఒక ఇన్నింగ్స్ లోని బెస్ట్ ఫిగర్స్ '' 13 వ అత్యుత్తమ ఇన్నింగ్స్ లో విశ్లేషణలు బౌలింగ్ (3/6) ', (5.70 ) ',' 17 వ బౌలర్ / బ్యాట్స్ కలయికలు (3) ',' 12 వ బౌలర్ / ఫీల్డర్ కలయికలు (8) ',' 48 వ అత్యధిక వికెట్లు తీసుకున్న బౌల్డ్ (10) ',' 32 వ అత్యధిక వికెట్లు తీసుకున్న ఎల్బిడబ్ల్యు (5) ',' 18 వ అత్యంత (28) ',' 31 వరుస బృందం (36) కెప్టెన్ గా మ్యాచ్లు కెప్టెన్గా మ్యాచ్లు ']</v>
      </c>
      <c r="I4348" s="3"/>
    </row>
    <row r="4349" customHeight="1" spans="1:9">
      <c r="A4349" s="2"/>
      <c r="B4349" s="2" t="str">
        <f>IFERROR(__xludf.DUMMYFUNCTION("IF(A4349&lt;&gt;"""", GOOGLETRANSLATE(A4349, ""en"", ""te""),"""")"),"")</f>
        <v/>
      </c>
      <c r="C4349" s="2"/>
      <c r="D4349" s="2" t="str">
        <f>IFERROR(__xludf.DUMMYFUNCTION("IF(C4349&lt;&gt;"""", GOOGLETRANSLATE(C4349, ""en"", ""te""),"""")"),"")</f>
        <v/>
      </c>
      <c r="E4349" s="2"/>
      <c r="F4349" s="2" t="str">
        <f>IFERROR(__xludf.DUMMYFUNCTION("IF(E4349&lt;&gt;"""", GOOGLETRANSLATE(E4349, ""en"", ""te""),"""")"),"")</f>
        <v/>
      </c>
      <c r="G4349" s="2"/>
      <c r="H4349" s="2" t="str">
        <f>IFERROR(__xludf.DUMMYFUNCTION("IF(G4349&lt;&gt;"""", GOOGLETRANSLATE(G4349, ""en"", ""te""),"""")"),"")</f>
        <v/>
      </c>
      <c r="I4349" s="3"/>
    </row>
    <row r="4350" customHeight="1" spans="1:9">
      <c r="A4350" s="2"/>
      <c r="B4350" s="2" t="str">
        <f>IFERROR(__xludf.DUMMYFUNCTION("IF(A4350&lt;&gt;"""", GOOGLETRANSLATE(A4350, ""en"", ""te""),"""")"),"")</f>
        <v/>
      </c>
      <c r="C4350" s="2"/>
      <c r="D4350" s="2" t="str">
        <f>IFERROR(__xludf.DUMMYFUNCTION("IF(C4350&lt;&gt;"""", GOOGLETRANSLATE(C4350, ""en"", ""te""),"""")"),"")</f>
        <v/>
      </c>
      <c r="E4350" s="2"/>
      <c r="F4350" s="2" t="str">
        <f>IFERROR(__xludf.DUMMYFUNCTION("IF(E4350&lt;&gt;"""", GOOGLETRANSLATE(E4350, ""en"", ""te""),"""")"),"")</f>
        <v/>
      </c>
      <c r="G4350" s="2"/>
      <c r="H4350" s="2" t="str">
        <f>IFERROR(__xludf.DUMMYFUNCTION("IF(G4350&lt;&gt;"""", GOOGLETRANSLATE(G4350, ""en"", ""te""),"""")"),"")</f>
        <v/>
      </c>
      <c r="I4350" s="3"/>
    </row>
    <row r="4351" customHeight="1" spans="1:9">
      <c r="A4351" s="2"/>
      <c r="B4351" s="2" t="str">
        <f>IFERROR(__xludf.DUMMYFUNCTION("IF(A4351&lt;&gt;"""", GOOGLETRANSLATE(A4351, ""en"", ""te""),"""")"),"")</f>
        <v/>
      </c>
      <c r="C4351" s="2" t="s">
        <v>1221</v>
      </c>
      <c r="D4351" s="2" t="str">
        <f>IFERROR(__xludf.DUMMYFUNCTION("IF(C4351&lt;&gt;"""", GOOGLETRANSLATE(C4351, ""en"", ""te""),"""")"),"[ '27 చెత్త ఇన్నింగ్స్ లో ఆర్థిక రేటు (6,66)']")</f>
        <v>[ '27 చెత్త ఇన్నింగ్స్ లో ఆర్థిక రేటు (6,66)']</v>
      </c>
      <c r="E4351" s="2"/>
      <c r="F4351" s="2" t="str">
        <f>IFERROR(__xludf.DUMMYFUNCTION("IF(E4351&lt;&gt;"""", GOOGLETRANSLATE(E4351, ""en"", ""te""),"""")"),"")</f>
        <v/>
      </c>
      <c r="G4351" s="2"/>
      <c r="H4351" s="2" t="str">
        <f>IFERROR(__xludf.DUMMYFUNCTION("IF(G4351&lt;&gt;"""", GOOGLETRANSLATE(G4351, ""en"", ""te""),"""")"),"")</f>
        <v/>
      </c>
      <c r="I4351" s="3"/>
    </row>
    <row r="4352" customHeight="1" spans="1:9">
      <c r="A4352" s="2" t="s">
        <v>3160</v>
      </c>
      <c r="B4352" s="2" t="str">
        <f>IFERROR(__xludf.DUMMYFUNCTION("IF(A4352&lt;&gt;"""", GOOGLETRANSLATE(A4352, ""en"", ""te""),"""")"),"[ '8 వ షార్టేస్ట్ క్రీడాకారులు (29y 263d) నివసించారు']")</f>
        <v>[ '8 వ షార్టేస్ట్ క్రీడాకారులు (29y 263d) నివసించారు']</v>
      </c>
      <c r="C4352" s="2" t="s">
        <v>3161</v>
      </c>
      <c r="D4352" s="2" t="str">
        <f>IFERROR(__xludf.DUMMYFUNCTION("IF(C4352&lt;&gt;"""", GOOGLETRANSLATE(C4352, ""en"", ""te""),"""")"),"[, '50th కెరీర్లో అత్యధిక వికెట్లు (96)', '21 వ షార్టేస్ట్ క్రీడాకారులు (29y 263d) నివసించారు '' 50 వ అత్యంత వంద (1010) లేకుండా ఒక వృత్తిలో పరుగులు '' కెరీర్లో 46 వ అత్యధిక క్యాచ్లు (92) ']")</f>
        <v>[, '50th కెరీర్లో అత్యధిక వికెట్లు (96)', '21 వ షార్టేస్ట్ క్రీడాకారులు (29y 263d) నివసించారు '' 50 వ అత్యంత వంద (1010) లేకుండా ఒక వృత్తిలో పరుగులు '' కెరీర్లో 46 వ అత్యధిక క్యాచ్లు (92) ']</v>
      </c>
      <c r="E4352" s="2" t="s">
        <v>3162</v>
      </c>
      <c r="F4352" s="2" t="str">
        <f>IFERROR(__xludf.DUMMYFUNCTION("IF(E4352&lt;&gt;"""", GOOGLETRANSLATE(E4352, ""en"", ""te""),"""")"),"[ 'ఆరవ వికెట్కు 36 వ అత్యధిక భాగస్వామ్యం (130)', '8 వ షార్టేస్ట్ క్రీడాకారులు (29y 263d) నివసించారు']")</f>
        <v>[ 'ఆరవ వికెట్కు 36 వ అత్యధిక భాగస్వామ్యం (130)', '8 వ షార్టేస్ట్ క్రీడాకారులు (29y 263d) నివసించారు']</v>
      </c>
      <c r="G4352" s="2"/>
      <c r="H4352" s="2" t="str">
        <f>IFERROR(__xludf.DUMMYFUNCTION("IF(G4352&lt;&gt;"""", GOOGLETRANSLATE(G4352, ""en"", ""te""),"""")"),"")</f>
        <v/>
      </c>
      <c r="I4352" s="3"/>
    </row>
    <row r="4353" customHeight="1" spans="1:9">
      <c r="A4353" s="2" t="s">
        <v>3163</v>
      </c>
      <c r="B4353" s="2" t="str">
        <f>IFERROR(__xludf.DUMMYFUNCTION("IF(A4353&lt;&gt;"""", GOOGLETRANSLATE(A4353, ""en"", ""te""),"""")"),"[ '9 వ లాంగెస్ట్ క్రీడాకారులు (95y 151d) నివసించారు']")</f>
        <v>[ '9 వ లాంగెస్ట్ క్రీడాకారులు (95y 151d) నివసించారు']</v>
      </c>
      <c r="C4353" s="2" t="s">
        <v>3163</v>
      </c>
      <c r="D4353" s="2" t="str">
        <f>IFERROR(__xludf.DUMMYFUNCTION("IF(C4353&lt;&gt;"""", GOOGLETRANSLATE(C4353, ""en"", ""te""),"""")"),"[ '9 వ లాంగెస్ట్ క్రీడాకారులు (95y 151d) నివసించారు']")</f>
        <v>[ '9 వ లాంగెస్ట్ క్రీడాకారులు (95y 151d) నివసించారు']</v>
      </c>
      <c r="E4353" s="2"/>
      <c r="F4353" s="2" t="str">
        <f>IFERROR(__xludf.DUMMYFUNCTION("IF(E4353&lt;&gt;"""", GOOGLETRANSLATE(E4353, ""en"", ""te""),"""")"),"")</f>
        <v/>
      </c>
      <c r="G4353" s="2"/>
      <c r="H4353" s="2" t="str">
        <f>IFERROR(__xludf.DUMMYFUNCTION("IF(G4353&lt;&gt;"""", GOOGLETRANSLATE(G4353, ""en"", ""te""),"""")"),"")</f>
        <v/>
      </c>
      <c r="I4353" s="3"/>
    </row>
    <row r="4354" customHeight="1" spans="1:9">
      <c r="A4354" s="2"/>
      <c r="B4354" s="2" t="str">
        <f>IFERROR(__xludf.DUMMYFUNCTION("IF(A4354&lt;&gt;"""", GOOGLETRANSLATE(A4354, ""en"", ""te""),"""")"),"")</f>
        <v/>
      </c>
      <c r="C4354" s="2"/>
      <c r="D4354" s="2" t="str">
        <f>IFERROR(__xludf.DUMMYFUNCTION("IF(C4354&lt;&gt;"""", GOOGLETRANSLATE(C4354, ""en"", ""te""),"""")"),"")</f>
        <v/>
      </c>
      <c r="E4354" s="2"/>
      <c r="F4354" s="2" t="str">
        <f>IFERROR(__xludf.DUMMYFUNCTION("IF(E4354&lt;&gt;"""", GOOGLETRANSLATE(E4354, ""en"", ""te""),"""")"),"")</f>
        <v/>
      </c>
      <c r="G4354" s="2"/>
      <c r="H4354" s="2" t="str">
        <f>IFERROR(__xludf.DUMMYFUNCTION("IF(G4354&lt;&gt;"""", GOOGLETRANSLATE(G4354, ""en"", ""te""),"""")"),"")</f>
        <v/>
      </c>
      <c r="I4354" s="3"/>
    </row>
    <row r="4355" customHeight="1" spans="1:9">
      <c r="A4355" s="2" t="s">
        <v>298</v>
      </c>
      <c r="B4355" s="2" t="str">
        <f>IFERROR(__xludf.DUMMYFUNCTION("IF(A4355&lt;&gt;"""", GOOGLETRANSLATE(A4355, ""en"", ""te""),"""")"),"[ '5 వ అత్యధిక పరుగులు ఇన్నింగ్స్ (64) లో సాధించిన]")</f>
        <v>[ '5 వ అత్యధిక పరుగులు ఇన్నింగ్స్ (64) లో సాధించిన]</v>
      </c>
      <c r="C4355" s="2"/>
      <c r="D4355" s="2" t="str">
        <f>IFERROR(__xludf.DUMMYFUNCTION("IF(C4355&lt;&gt;"""", GOOGLETRANSLATE(C4355, ""en"", ""te""),"""")"),"")</f>
        <v/>
      </c>
      <c r="E4355" s="2"/>
      <c r="F4355" s="2" t="str">
        <f>IFERROR(__xludf.DUMMYFUNCTION("IF(E4355&lt;&gt;"""", GOOGLETRANSLATE(E4355, ""en"", ""te""),"""")"),"")</f>
        <v/>
      </c>
      <c r="G4355" s="2" t="s">
        <v>3164</v>
      </c>
      <c r="H4355" s="2" t="str">
        <f>IFERROR(__xludf.DUMMYFUNCTION("IF(G4355&lt;&gt;"""", GOOGLETRANSLATE(G4355, ""en"", ""te""),"""")"),"[ '42 వ ఇన్నింగ్స్ లో అత్యధిక పరుగులు (బ్యాటింగ్ స్థానంలో ప్రకారం) (30)', '5 వ ఇన్నింగ్స్ లో సాధించిన అత్యధిక పరుగులు (64)', 'తొమ్మిదవ వికెట్కు 48 వ అత్యధిక భాగస్వామ్యం (26)']")</f>
        <v>[ '42 వ ఇన్నింగ్స్ లో అత్యధిక పరుగులు (బ్యాటింగ్ స్థానంలో ప్రకారం) (30)', '5 వ ఇన్నింగ్స్ లో సాధించిన అత్యధిక పరుగులు (64)', 'తొమ్మిదవ వికెట్కు 48 వ అత్యధిక భాగస్వామ్యం (26)']</v>
      </c>
      <c r="I4355" s="3"/>
    </row>
    <row r="4356" customHeight="1" spans="1:9">
      <c r="A4356" s="2" t="s">
        <v>3165</v>
      </c>
      <c r="B4356" s="2" t="str">
        <f>IFERROR(__xludf.DUMMYFUNCTION("IF(A4356&lt;&gt;"""", GOOGLETRANSLATE(A4356, ""en"", ""te""),"""")"),"[ '10 వ ఇన్నింగ్స్ లో అత్యధిక పరుగులు (బ్యాటింగ్ స్థానంలో ప్రకారం) (68)', '5 వ ఒక క్యాలెండర్ సంవత్సరంలో అత్యధిక వందలు (2)', '3 వ అత్యుత్తమ బౌలింగ్ ఇన్నింగ్స్ లో విశ్లేషించడం (4/2)', '8 వ ఉత్తమ సమ్మె ఒక ఇన్నింగ్స్ లో రేటు (6.2) ',' ఇన్నింగ్స్ లో 4 వ అత్యధి"&amp;"క క్యాచ్లు (3) ',' ఇన్నింగ్స్ బ్యాటింగ్ తెరవడం మరియు అదే మ్యాచ్ లో బౌలింగ్ ',' 8 వ అత్యధిక పరుగులు (బ్యాటింగ్ స్థానంలో ప్రకారం) (89 *) ' ]")</f>
        <v>[ '10 వ ఇన్నింగ్స్ లో అత్యధిక పరుగులు (బ్యాటింగ్ స్థానంలో ప్రకారం) (68)', '5 వ ఒక క్యాలెండర్ సంవత్సరంలో అత్యధిక వందలు (2)', '3 వ అత్యుత్తమ బౌలింగ్ ఇన్నింగ్స్ లో విశ్లేషించడం (4/2)', '8 వ ఉత్తమ సమ్మె ఒక ఇన్నింగ్స్ లో రేటు (6.2) ',' ఇన్నింగ్స్ లో 4 వ అత్యధిక క్యాచ్లు (3) ',' ఇన్నింగ్స్ బ్యాటింగ్ తెరవడం మరియు అదే మ్యాచ్ లో బౌలింగ్ ',' 8 వ అత్యధిక పరుగులు (బ్యాటింగ్ స్థానంలో ప్రకారం) (89 *) ' ]</v>
      </c>
      <c r="C4356" s="2"/>
      <c r="D4356" s="2" t="str">
        <f>IFERROR(__xludf.DUMMYFUNCTION("IF(C4356&lt;&gt;"""", GOOGLETRANSLATE(C4356, ""en"", ""te""),"""")"),"")</f>
        <v/>
      </c>
      <c r="E4356" s="2" t="s">
        <v>3166</v>
      </c>
      <c r="F4356" s="2" t="str">
        <f>IFERROR(__xludf.DUMMYFUNCTION("IF(E4356&lt;&gt;"""", GOOGLETRANSLATE(E4356, ""en"", ""te""),"""")"),"[ 'కెరీర్లో 48 వ అత్యధిక పరుగులు (1889)', '10 వ ఇన్నింగ్స్ లో అత్యధిక పరుగులు (బ్యాటింగ్ స్థానంలో ప్రకారం) (68)', '26th ఒకే మైదానంలో అత్యధిక పరుగులు (382)', '25 వ ఒక వృత్తిలో అత్యధిక వందలు ( 2) ',' 5 వ ఒక క్యాలెండర్ సంవత్సరంలో అత్యధిక వందలు (2) ', '21 వ "&amp;"కెరీర్ బాతులు (9)', '25 వ కెరీర్ లో అత్యధిక వికెట్లు (92)', '27 ఒక క్యాలెండర్ సంవత్సరంలో అత్యధిక వికెట్లు (23) ',' 3 వ అత్యుత్తమ బౌలింగ్ ఇన్నింగ్స్ లో (4/2) ',' ఒకే మైదానంలో 4 వ అత్యధిక వికెట్లు (21) ',' ఒక కెప్టెన్తో ఒక ఇన్నింగ్స్ లో 9 వ బెస్ట్ ఫిగర్స్ "&amp;"(4) ',' 11 వ బెస్ట్ ఫిగర్స్ విశ్లేషణలలో పరాజయం వైపు (4) ',' 8 వ ఉత్తమ సమ్మె ఇన్నింగ్స్ లో రేటు (6.2) ',' 46 వ చెత్త కెరీర్ సగటు (31.04) ',' 15 వ అత్యంత నాలుగు వికెట్లు-ఇన్-ఒక-ఇన్నింగ్స్ లో బౌలింగ్ చేస్తున్నప్పుడు ఒక ఇన్నింగ్స్ కెరీర్ (5) ',' 19 వ కెరీర్ "&amp;"లో బౌల్డ్ చాలా బంతుల్లో (4392) ',' 15 వ కెరీర్ లో సాధించిన అత్యధిక పరుగులు (2856) ',' 31 బౌలర్ / బ్యాట్స్ కలయికలు (5) ',' 19 వ బౌలర్ / ఫీల్డర్ కలయికలు (14) ',' 14 వ అత్యధిక వికెట్లు తీసుకున్న ఆకర్షించింది (64) ',' 24 వ అత్యధిక వికెట్లు తీసుకున్న క్యాచ్ మర"&amp;"ియు బౌల్డ్ (6) ',' 16 వ అత్యధిక వికెట్లు ఒక ఫీల్డర్ చేత క్యాచ్ తీసుకున్న (49) ',' 11 వ అత్యంత వికెట్కీపర్గా (15) ',' 22 వ అత్యధిక వికెట్లు ఇన్నింగ్స్ లో తీసిన స్టంప్ (10) ',' 20 వ కెరీర్ లో అత్యధిక క్యాచ్లు (37) ',' 4 వ అత్యధిక క్యాచ్లు (3) ',' 25 వ అత్యధ"&amp;"ిక పట్టుకుంటే తీసుకోబడిన వికెట్ల రెండవ వికెట్కు భాగస్వామ్యం (161) ',' ఐదవ వికెట్కు 30 వ అత్యధిక భాగస్వామ్యం (94) ',' ఏడవ వికెట్కు 46 వ అత్యధిక భాగస్వామ్యం (57) ',' ఎనిమిదవ వికెట్కు 24 అత్యధిక భాగస్వామ్యం (49) ',' కెరీర్లో 41 వ అత్యధిక మ్యాచ్లు (103) ',' 3"&amp;"5 వ అత్యధిక మ్యాచ్లు కెప్టెన్గా (22) ',' 49 వ పిన్న కాప్టెన్ (25y 140d) ']")</f>
        <v>[ 'కెరీర్లో 48 వ అత్యధిక పరుగులు (1889)', '10 వ ఇన్నింగ్స్ లో అత్యధిక పరుగులు (బ్యాటింగ్ స్థానంలో ప్రకారం) (68)', '26th ఒకే మైదానంలో అత్యధిక పరుగులు (382)', '25 వ ఒక వృత్తిలో అత్యధిక వందలు ( 2) ',' 5 వ ఒక క్యాలెండర్ సంవత్సరంలో అత్యధిక వందలు (2) ', '21 వ కెరీర్ బాతులు (9)', '25 వ కెరీర్ లో అత్యధిక వికెట్లు (92)', '27 ఒక క్యాలెండర్ సంవత్సరంలో అత్యధిక వికెట్లు (23) ',' 3 వ అత్యుత్తమ బౌలింగ్ ఇన్నింగ్స్ లో (4/2) ',' ఒకే మైదానంలో 4 వ అత్యధిక వికెట్లు (21) ',' ఒక కెప్టెన్తో ఒక ఇన్నింగ్స్ లో 9 వ బెస్ట్ ఫిగర్స్ (4) ',' 11 వ బెస్ట్ ఫిగర్స్ విశ్లేషణలలో పరాజయం వైపు (4) ',' 8 వ ఉత్తమ సమ్మె ఇన్నింగ్స్ లో రేటు (6.2) ',' 46 వ చెత్త కెరీర్ సగటు (31.04) ',' 15 వ అత్యంత నాలుగు వికెట్లు-ఇన్-ఒక-ఇన్నింగ్స్ లో బౌలింగ్ చేస్తున్నప్పుడు ఒక ఇన్నింగ్స్ కెరీర్ (5) ',' 19 వ కెరీర్ లో బౌల్డ్ చాలా బంతుల్లో (4392) ',' 15 వ కెరీర్ లో సాధించిన అత్యధిక పరుగులు (2856) ',' 31 బౌలర్ / బ్యాట్స్ కలయికలు (5) ',' 19 వ బౌలర్ / ఫీల్డర్ కలయికలు (14) ',' 14 వ అత్యధిక వికెట్లు తీసుకున్న ఆకర్షించింది (64) ',' 24 వ అత్యధిక వికెట్లు తీసుకున్న క్యాచ్ మరియు బౌల్డ్ (6) ',' 16 వ అత్యధిక వికెట్లు ఒక ఫీల్డర్ చేత క్యాచ్ తీసుకున్న (49) ',' 11 వ అత్యంత వికెట్కీపర్గా (15) ',' 22 వ అత్యధిక వికెట్లు ఇన్నింగ్స్ లో తీసిన స్టంప్ (10) ',' 20 వ కెరీర్ లో అత్యధిక క్యాచ్లు (37) ',' 4 వ అత్యధిక క్యాచ్లు (3) ',' 25 వ అత్యధిక పట్టుకుంటే తీసుకోబడిన వికెట్ల రెండవ వికెట్కు భాగస్వామ్యం (161) ',' ఐదవ వికెట్కు 30 వ అత్యధిక భాగస్వామ్యం (94) ',' ఏడవ వికెట్కు 46 వ అత్యధిక భాగస్వామ్యం (57) ',' ఎనిమిదవ వికెట్కు 24 అత్యధిక భాగస్వామ్యం (49) ',' కెరీర్లో 41 వ అత్యధిక మ్యాచ్లు (103) ',' 35 వ అత్యధిక మ్యాచ్లు కెప్టెన్గా (22) ',' 49 వ పిన్న కాప్టెన్ (25y 140d) ']</v>
      </c>
      <c r="G4356" s="2" t="s">
        <v>3167</v>
      </c>
      <c r="H4356" s="2" t="str">
        <f>IFERROR(__xludf.DUMMYFUNCTION("IF(G4356&lt;&gt;"""", GOOGLETRANSLATE(G4356, ""en"", ""te""),"""")"),"[40 వ ఇన్నింగ్స్ (89 *) లో అత్యధిక పరుగులు '' ఇన్నింగ్స్ లో 8 వ అత్యధిక పరుగులు (బ్యాటింగ్ స్థానంలో ప్రకారం) (89 *) ',' ఒక కెప్టెన్తో ఇన్నింగ్స్ లో 13 వ అత్యధిక పరుగులు (89 *) ',' 34 వ జీవితంలో అత్యధిక అర్ధ (3) ', '21 వ అత్యంత ఇన్నింగ్స్ తొలి డక్ ముందు (1"&amp;"8)', '14 వ అత్యధిక కెప్టెన్ (3) ఒక ఇన్నింగ్స్ లో ఒక ఇన్నింగ్స్లో పరుగులు (61.37)', '21 వ ఉత్తమ వ్యక్తులలో శాతం ' 'ఇన్నింగ్స్ లో 13 వ ఉత్తమ సమ్మె రేటు (3.0)', '26 చెత్త కెరీర్లో ఆర్థిక రేటు (6.14)', 'తొలి ఇన్నింగ్స్ 12 వ బెస్ట్ ఫిగర్స్ (3)', మూడో వికెట్కు "&amp;"'47 వ అత్యధిక భాగస్వామ్యం (75) ',' ఐదవ వికెట్కు 46 వ అత్యధిక భాగస్వామ్యం (51) ',' 18 వ కెప్టెన్గా అత్యధిక మ్యాచ్లు (29) ']")</f>
        <v>[40 వ ఇన్నింగ్స్ (89 *) లో అత్యధిక పరుగులు '' ఇన్నింగ్స్ లో 8 వ అత్యధిక పరుగులు (బ్యాటింగ్ స్థానంలో ప్రకారం) (89 *) ',' ఒక కెప్టెన్తో ఇన్నింగ్స్ లో 13 వ అత్యధిక పరుగులు (89 *) ',' 34 వ జీవితంలో అత్యధిక అర్ధ (3) ', '21 వ అత్యంత ఇన్నింగ్స్ తొలి డక్ ముందు (18)', '14 వ అత్యధిక కెప్టెన్ (3) ఒక ఇన్నింగ్స్ లో ఒక ఇన్నింగ్స్లో పరుగులు (61.37)', '21 వ ఉత్తమ వ్యక్తులలో శాతం ' 'ఇన్నింగ్స్ లో 13 వ ఉత్తమ సమ్మె రేటు (3.0)', '26 చెత్త కెరీర్లో ఆర్థిక రేటు (6.14)', 'తొలి ఇన్నింగ్స్ 12 వ బెస్ట్ ఫిగర్స్ (3)', మూడో వికెట్కు '47 వ అత్యధిక భాగస్వామ్యం (75) ',' ఐదవ వికెట్కు 46 వ అత్యధిక భాగస్వామ్యం (51) ',' 18 వ కెప్టెన్గా అత్యధిక మ్యాచ్లు (29) ']</v>
      </c>
      <c r="I4356" s="3"/>
    </row>
    <row r="4357" customHeight="1" spans="1:9">
      <c r="A4357" s="2"/>
      <c r="B4357" s="2" t="str">
        <f>IFERROR(__xludf.DUMMYFUNCTION("IF(A4357&lt;&gt;"""", GOOGLETRANSLATE(A4357, ""en"", ""te""),"""")"),"")</f>
        <v/>
      </c>
      <c r="C4357" s="2"/>
      <c r="D4357" s="2" t="str">
        <f>IFERROR(__xludf.DUMMYFUNCTION("IF(C4357&lt;&gt;"""", GOOGLETRANSLATE(C4357, ""en"", ""te""),"""")"),"")</f>
        <v/>
      </c>
      <c r="E4357" s="2"/>
      <c r="F4357" s="2" t="str">
        <f>IFERROR(__xludf.DUMMYFUNCTION("IF(E4357&lt;&gt;"""", GOOGLETRANSLATE(E4357, ""en"", ""te""),"""")"),"")</f>
        <v/>
      </c>
      <c r="G4357" s="2"/>
      <c r="H4357" s="2" t="str">
        <f>IFERROR(__xludf.DUMMYFUNCTION("IF(G4357&lt;&gt;"""", GOOGLETRANSLATE(G4357, ""en"", ""te""),"""")"),"")</f>
        <v/>
      </c>
      <c r="I4357" s="3"/>
    </row>
    <row r="4358" customHeight="1" spans="1:9">
      <c r="A4358" s="2" t="s">
        <v>3168</v>
      </c>
      <c r="B4358" s="2" t="str">
        <f>IFERROR(__xludf.DUMMYFUNCTION("IF(A4358&lt;&gt;"""", GOOGLETRANSLATE(A4358, ""en"", ""te""),"""")"),"[ '1st వరుస మ్యాచ్లు ఆడి మధ్య జట్టు (271) కోసం తప్పిన']")</f>
        <v>[ '1st వరుస మ్యాచ్లు ఆడి మధ్య జట్టు (271) కోసం తప్పిన']</v>
      </c>
      <c r="C4358" s="2"/>
      <c r="D4358" s="2" t="str">
        <f>IFERROR(__xludf.DUMMYFUNCTION("IF(C4358&lt;&gt;"""", GOOGLETRANSLATE(C4358, ""en"", ""te""),"""")"),"")</f>
        <v/>
      </c>
      <c r="E4358" s="2" t="s">
        <v>3169</v>
      </c>
      <c r="F4358" s="2" t="str">
        <f>IFERROR(__xludf.DUMMYFUNCTION("IF(E4358&lt;&gt;"""", GOOGLETRANSLATE(E4358, ""en"", ""te""),"""")"),"[ 'ప్రదర్శనలు (11y 331d) మధ్య 1st లాంగెస్ట్ వ్యవధిలో' '1 వ వరుస మ్యాచ్లు ఆడి మధ్య జట్టు (271) కోసం తప్పిన']")</f>
        <v>[ 'ప్రదర్శనలు (11y 331d) మధ్య 1st లాంగెస్ట్ వ్యవధిలో' '1 వ వరుస మ్యాచ్లు ఆడి మధ్య జట్టు (271) కోసం తప్పిన']</v>
      </c>
      <c r="G4358" s="2"/>
      <c r="H4358" s="2" t="str">
        <f>IFERROR(__xludf.DUMMYFUNCTION("IF(G4358&lt;&gt;"""", GOOGLETRANSLATE(G4358, ""en"", ""te""),"""")"),"")</f>
        <v/>
      </c>
      <c r="I4358" s="3"/>
    </row>
    <row r="4359" customHeight="1" spans="1:9">
      <c r="A4359" s="2"/>
      <c r="B4359" s="2" t="str">
        <f>IFERROR(__xludf.DUMMYFUNCTION("IF(A4359&lt;&gt;"""", GOOGLETRANSLATE(A4359, ""en"", ""te""),"""")"),"")</f>
        <v/>
      </c>
      <c r="C4359" s="2"/>
      <c r="D4359" s="2" t="str">
        <f>IFERROR(__xludf.DUMMYFUNCTION("IF(C4359&lt;&gt;"""", GOOGLETRANSLATE(C4359, ""en"", ""te""),"""")"),"")</f>
        <v/>
      </c>
      <c r="E4359" s="2"/>
      <c r="F4359" s="2" t="str">
        <f>IFERROR(__xludf.DUMMYFUNCTION("IF(E4359&lt;&gt;"""", GOOGLETRANSLATE(E4359, ""en"", ""te""),"""")"),"")</f>
        <v/>
      </c>
      <c r="G4359" s="2"/>
      <c r="H4359" s="2" t="str">
        <f>IFERROR(__xludf.DUMMYFUNCTION("IF(G4359&lt;&gt;"""", GOOGLETRANSLATE(G4359, ""en"", ""te""),"""")"),"")</f>
        <v/>
      </c>
      <c r="I4359" s="3"/>
    </row>
    <row r="4360" customHeight="1" spans="1:9">
      <c r="A4360" s="2"/>
      <c r="B4360" s="2" t="str">
        <f>IFERROR(__xludf.DUMMYFUNCTION("IF(A4360&lt;&gt;"""", GOOGLETRANSLATE(A4360, ""en"", ""te""),"""")"),"")</f>
        <v/>
      </c>
      <c r="C4360" s="2" t="s">
        <v>3170</v>
      </c>
      <c r="D4360" s="2" t="str">
        <f>IFERROR(__xludf.DUMMYFUNCTION("IF(C4360&lt;&gt;"""", GOOGLETRANSLATE(C4360, ""en"", ""te""),"""")"),"[ '13 వ చెత్త ఇన్నింగ్స్ లో సమ్మె రేటు (234.0)']")</f>
        <v>[ '13 వ చెత్త ఇన్నింగ్స్ లో సమ్మె రేటు (234.0)']</v>
      </c>
      <c r="E4360" s="2"/>
      <c r="F4360" s="2" t="str">
        <f>IFERROR(__xludf.DUMMYFUNCTION("IF(E4360&lt;&gt;"""", GOOGLETRANSLATE(E4360, ""en"", ""te""),"""")"),"")</f>
        <v/>
      </c>
      <c r="G4360" s="2"/>
      <c r="H4360" s="2" t="str">
        <f>IFERROR(__xludf.DUMMYFUNCTION("IF(G4360&lt;&gt;"""", GOOGLETRANSLATE(G4360, ""en"", ""te""),"""")"),"")</f>
        <v/>
      </c>
      <c r="I4360" s="3"/>
    </row>
    <row r="4361" customHeight="1" spans="1:9">
      <c r="A4361" s="2"/>
      <c r="B4361" s="2" t="str">
        <f>IFERROR(__xludf.DUMMYFUNCTION("IF(A4361&lt;&gt;"""", GOOGLETRANSLATE(A4361, ""en"", ""te""),"""")"),"")</f>
        <v/>
      </c>
      <c r="C4361" s="2"/>
      <c r="D4361" s="2" t="str">
        <f>IFERROR(__xludf.DUMMYFUNCTION("IF(C4361&lt;&gt;"""", GOOGLETRANSLATE(C4361, ""en"", ""te""),"""")"),"")</f>
        <v/>
      </c>
      <c r="E4361" s="2"/>
      <c r="F4361" s="2" t="str">
        <f>IFERROR(__xludf.DUMMYFUNCTION("IF(E4361&lt;&gt;"""", GOOGLETRANSLATE(E4361, ""en"", ""te""),"""")"),"")</f>
        <v/>
      </c>
      <c r="G4361" s="2"/>
      <c r="H4361" s="2" t="str">
        <f>IFERROR(__xludf.DUMMYFUNCTION("IF(G4361&lt;&gt;"""", GOOGLETRANSLATE(G4361, ""en"", ""te""),"""")"),"")</f>
        <v/>
      </c>
      <c r="I4361" s="3"/>
    </row>
    <row r="4362" customHeight="1" spans="1:9">
      <c r="A4362" s="2" t="s">
        <v>3171</v>
      </c>
      <c r="B4362" s="2" t="str">
        <f>IFERROR(__xludf.DUMMYFUNCTION("IF(A4362&lt;&gt;"""", GOOGLETRANSLATE(A4362, ""en"", ""te""),"""")"),"[ 'తొలి మ్యాచ్ (77 *) లో 4 వ అత్యధిక పరుగులు', '1 వ వరుస బాతులు (3)']")</f>
        <v>[ 'తొలి మ్యాచ్ (77 *) లో 4 వ అత్యధిక పరుగులు', '1 వ వరుస బాతులు (3)']</v>
      </c>
      <c r="C4362" s="2"/>
      <c r="D4362" s="2" t="str">
        <f>IFERROR(__xludf.DUMMYFUNCTION("IF(C4362&lt;&gt;"""", GOOGLETRANSLATE(C4362, ""en"", ""te""),"""")"),"")</f>
        <v/>
      </c>
      <c r="E4362" s="2" t="s">
        <v>3172</v>
      </c>
      <c r="F4362" s="2" t="str">
        <f>IFERROR(__xludf.DUMMYFUNCTION("IF(E4362&lt;&gt;"""", GOOGLETRANSLATE(E4362, ""en"", ""te""),"""")"),"[ '16 వ తొలి మ్యాచ్లో అత్యధిక పరుగులు (62)']")</f>
        <v>[ '16 వ తొలి మ్యాచ్లో అత్యధిక పరుగులు (62)']</v>
      </c>
      <c r="G4362" s="2" t="s">
        <v>3173</v>
      </c>
      <c r="H4362" s="2" t="str">
        <f>IFERROR(__xludf.DUMMYFUNCTION("IF(G4362&lt;&gt;"""", GOOGLETRANSLATE(G4362, ""en"", ""te""),"""")"),"[ '50 వ ఇన్నింగ్స్ లో అత్యధిక పరుగులు (బ్యాటింగ్ స్థానంలో ప్రకారం) (77 *)', 'తొలి మ్యాచ్ (77 *) లో 4 వ అత్యధిక పరుగులు', '1 వ వరుస బాతులు (3)']")</f>
        <v>[ '50 వ ఇన్నింగ్స్ లో అత్యధిక పరుగులు (బ్యాటింగ్ స్థానంలో ప్రకారం) (77 *)', 'తొలి మ్యాచ్ (77 *) లో 4 వ అత్యధిక పరుగులు', '1 వ వరుస బాతులు (3)']</v>
      </c>
      <c r="I4362" s="3"/>
    </row>
    <row r="4363" customHeight="1" spans="1:9">
      <c r="A4363" s="2"/>
      <c r="B4363" s="2" t="str">
        <f>IFERROR(__xludf.DUMMYFUNCTION("IF(A4363&lt;&gt;"""", GOOGLETRANSLATE(A4363, ""en"", ""te""),"""")"),"")</f>
        <v/>
      </c>
      <c r="C4363" s="2"/>
      <c r="D4363" s="2" t="str">
        <f>IFERROR(__xludf.DUMMYFUNCTION("IF(C4363&lt;&gt;"""", GOOGLETRANSLATE(C4363, ""en"", ""te""),"""")"),"")</f>
        <v/>
      </c>
      <c r="E4363" s="2"/>
      <c r="F4363" s="2" t="str">
        <f>IFERROR(__xludf.DUMMYFUNCTION("IF(E4363&lt;&gt;"""", GOOGLETRANSLATE(E4363, ""en"", ""te""),"""")"),"")</f>
        <v/>
      </c>
      <c r="G4363" s="2"/>
      <c r="H4363" s="2" t="str">
        <f>IFERROR(__xludf.DUMMYFUNCTION("IF(G4363&lt;&gt;"""", GOOGLETRANSLATE(G4363, ""en"", ""te""),"""")"),"")</f>
        <v/>
      </c>
      <c r="I4363" s="3"/>
    </row>
    <row r="4364" customHeight="1" spans="1:9">
      <c r="A4364" s="2"/>
      <c r="B4364" s="2" t="str">
        <f>IFERROR(__xludf.DUMMYFUNCTION("IF(A4364&lt;&gt;"""", GOOGLETRANSLATE(A4364, ""en"", ""te""),"""")"),"")</f>
        <v/>
      </c>
      <c r="C4364" s="2"/>
      <c r="D4364" s="2" t="str">
        <f>IFERROR(__xludf.DUMMYFUNCTION("IF(C4364&lt;&gt;"""", GOOGLETRANSLATE(C4364, ""en"", ""te""),"""")"),"")</f>
        <v/>
      </c>
      <c r="E4364" s="2"/>
      <c r="F4364" s="2" t="str">
        <f>IFERROR(__xludf.DUMMYFUNCTION("IF(E4364&lt;&gt;"""", GOOGLETRANSLATE(E4364, ""en"", ""te""),"""")"),"")</f>
        <v/>
      </c>
      <c r="G4364" s="2"/>
      <c r="H4364" s="2" t="str">
        <f>IFERROR(__xludf.DUMMYFUNCTION("IF(G4364&lt;&gt;"""", GOOGLETRANSLATE(G4364, ""en"", ""te""),"""")"),"")</f>
        <v/>
      </c>
      <c r="I4364" s="3"/>
    </row>
    <row r="4365" customHeight="1" spans="1:9">
      <c r="A4365" s="2"/>
      <c r="B4365" s="2" t="str">
        <f>IFERROR(__xludf.DUMMYFUNCTION("IF(A4365&lt;&gt;"""", GOOGLETRANSLATE(A4365, ""en"", ""te""),"""")"),"")</f>
        <v/>
      </c>
      <c r="C4365" s="2" t="s">
        <v>1391</v>
      </c>
      <c r="D4365" s="2" t="str">
        <f>IFERROR(__xludf.DUMMYFUNCTION("IF(C4365&lt;&gt;"""", GOOGLETRANSLATE(C4365, ""en"", ""te""),"""")"),"[ '25 వ ఉత్తమ కెరీర్ బౌలింగ్ సరాసరి (అర్హత లేకుండా) (11.00)']")</f>
        <v>[ '25 వ ఉత్తమ కెరీర్ బౌలింగ్ సరాసరి (అర్హత లేకుండా) (11.00)']</v>
      </c>
      <c r="E4365" s="2"/>
      <c r="F4365" s="2" t="str">
        <f>IFERROR(__xludf.DUMMYFUNCTION("IF(E4365&lt;&gt;"""", GOOGLETRANSLATE(E4365, ""en"", ""te""),"""")"),"")</f>
        <v/>
      </c>
      <c r="G4365" s="2"/>
      <c r="H4365" s="2" t="str">
        <f>IFERROR(__xludf.DUMMYFUNCTION("IF(G4365&lt;&gt;"""", GOOGLETRANSLATE(G4365, ""en"", ""te""),"""")"),"")</f>
        <v/>
      </c>
      <c r="I4365" s="3"/>
    </row>
    <row r="4366" customHeight="1" spans="1:9">
      <c r="A4366" s="2" t="s">
        <v>3174</v>
      </c>
      <c r="B4366" s="2" t="str">
        <f>IFERROR(__xludf.DUMMYFUNCTION("IF(A4366&lt;&gt;"""", GOOGLETRANSLATE(A4366, ""en"", ""te""),"""")"),"[ 'ఇన్నింగ్స్ లో 5 వ అత్యధిక వికెట్లు (6)', 'వరుస 3 వ అత్యధిక క్యాచ్లు (42)', 'అత్యధిక వికెట్లు ఇన్నింగ్స్ లో 7 వ అత్యధిక పరుగులు (205)', 'హండ్రెడ్ మరియు ఒక మ్యాచ్లో ఒక డక్', 'వంద మరియు ఒక ఇన్నింగ్స్ లో ఐదు తొలగింపులకు', 'ఏడవ వికెట్కు 5 వ అత్యధిక భాగస్వామ"&amp;"్యం (261)']")</f>
        <v>[ 'ఇన్నింగ్స్ లో 5 వ అత్యధిక వికెట్లు (6)', 'వరుస 3 వ అత్యధిక క్యాచ్లు (42)', 'అత్యధిక వికెట్లు ఇన్నింగ్స్ లో 7 వ అత్యధిక పరుగులు (205)', 'హండ్రెడ్ మరియు ఒక మ్యాచ్లో ఒక డక్', 'వంద మరియు ఒక ఇన్నింగ్స్ లో ఐదు తొలగింపులకు', 'ఏడవ వికెట్కు 5 వ అత్యధిక భాగస్వామ్యం (261)']</v>
      </c>
      <c r="C4366" s="2" t="s">
        <v>3175</v>
      </c>
      <c r="D4366" s="2" t="str">
        <f>IFERROR(__xludf.DUMMYFUNCTION("IF(C4366&lt;&gt;"""", GOOGLETRANSLATE(C4366, ""en"", ""te""),"""")"),"[ 'ఇన్నింగ్స్ లో 7 వ అత్యధిక పరుగులు (బ్యాటింగ్ స్థానంలో ప్రకారం) (205)', 'అత్యధిక వికెట్లు 7 వ ఇన్నింగ్స్ లో అత్యధిక పరుగులు (205)', '46 వ లాంగెస్ట్ వ్యక్తిగత ఇన్నింగ్స్ (నిమిషాలు) (667)', '5 వ అత్యధిక ఏడవ వికెట్ కొరకు చేసిన భాగస్వామ్యం (261) ',' పదవ విక"&amp;"ెట్కు 10 వ అత్యధిక భాగస్వామ్యం (127) ',' 9 వ అత్యధిక కెరీర్ లో వికెట్లు (257) ',' చాలా 5 వ ఇన్నింగ్స్ లో వికెట్లు (6) ',' 8 వ అత్యధిక వికెట్లు ఒక మ్యాచ్లో (9) ',' 9 వ కెరీర్లో అత్యధిక క్యాచ్లు (249) ',' 5 వ ఇన్నింగ్స్ (6) ',' 8 వ అత్యధిక క్యాచ్లు లో అత్యధ"&amp;"ిక క్యాచ్లు ఒక మ్యాచ్లో (9) ',' 3 వ అత్యంత వరుస క్యాచ్లు (42) ',' 38 వ అత్యధిక ఇన్నింగ్స్ బై (556 / 4D) గూడా ఇవ్వకుండా మొత్తం ']")</f>
        <v>[ 'ఇన్నింగ్స్ లో 7 వ అత్యధిక పరుగులు (బ్యాటింగ్ స్థానంలో ప్రకారం) (205)', 'అత్యధిక వికెట్లు 7 వ ఇన్నింగ్స్ లో అత్యధిక పరుగులు (205)', '46 వ లాంగెస్ట్ వ్యక్తిగత ఇన్నింగ్స్ (నిమిషాలు) (667)', '5 వ అత్యధిక ఏడవ వికెట్ కొరకు చేసిన భాగస్వామ్యం (261) ',' పదవ వికెట్కు 10 వ అత్యధిక భాగస్వామ్యం (127) ',' 9 వ అత్యధిక కెరీర్ లో వికెట్లు (257) ',' చాలా 5 వ ఇన్నింగ్స్ లో వికెట్లు (6) ',' 8 వ అత్యధిక వికెట్లు ఒక మ్యాచ్లో (9) ',' 9 వ కెరీర్లో అత్యధిక క్యాచ్లు (249) ',' 5 వ ఇన్నింగ్స్ (6) ',' 8 వ అత్యధిక క్యాచ్లు లో అత్యధిక క్యాచ్లు ఒక మ్యాచ్లో (9) ',' 3 వ అత్యంత వరుస క్యాచ్లు (42) ',' 38 వ అత్యధిక ఇన్నింగ్స్ బై (556 / 4D) గూడా ఇవ్వకుండా మొత్తం ']</v>
      </c>
      <c r="E4366" s="2"/>
      <c r="F4366" s="2" t="str">
        <f>IFERROR(__xludf.DUMMYFUNCTION("IF(E4366&lt;&gt;"""", GOOGLETRANSLATE(E4366, ""en"", ""te""),"""")"),"")</f>
        <v/>
      </c>
      <c r="G4366" s="2"/>
      <c r="H4366" s="2" t="str">
        <f>IFERROR(__xludf.DUMMYFUNCTION("IF(G4366&lt;&gt;"""", GOOGLETRANSLATE(G4366, ""en"", ""te""),"""")"),"")</f>
        <v/>
      </c>
      <c r="I4366" s="3"/>
    </row>
    <row r="4367" customHeight="1" spans="1:9">
      <c r="A4367" s="2"/>
      <c r="B4367" s="2" t="str">
        <f>IFERROR(__xludf.DUMMYFUNCTION("IF(A4367&lt;&gt;"""", GOOGLETRANSLATE(A4367, ""en"", ""te""),"""")"),"")</f>
        <v/>
      </c>
      <c r="C4367" s="2"/>
      <c r="D4367" s="2" t="str">
        <f>IFERROR(__xludf.DUMMYFUNCTION("IF(C4367&lt;&gt;"""", GOOGLETRANSLATE(C4367, ""en"", ""te""),"""")"),"")</f>
        <v/>
      </c>
      <c r="E4367" s="2"/>
      <c r="F4367" s="2" t="str">
        <f>IFERROR(__xludf.DUMMYFUNCTION("IF(E4367&lt;&gt;"""", GOOGLETRANSLATE(E4367, ""en"", ""te""),"""")"),"")</f>
        <v/>
      </c>
      <c r="G4367" s="2"/>
      <c r="H4367" s="2" t="str">
        <f>IFERROR(__xludf.DUMMYFUNCTION("IF(G4367&lt;&gt;"""", GOOGLETRANSLATE(G4367, ""en"", ""te""),"""")"),"")</f>
        <v/>
      </c>
      <c r="I4367" s="3"/>
    </row>
    <row r="4368" customHeight="1" spans="1:9">
      <c r="A4368" s="2"/>
      <c r="B4368" s="2" t="str">
        <f>IFERROR(__xludf.DUMMYFUNCTION("IF(A4368&lt;&gt;"""", GOOGLETRANSLATE(A4368, ""en"", ""te""),"""")"),"")</f>
        <v/>
      </c>
      <c r="C4368" s="2"/>
      <c r="D4368" s="2" t="str">
        <f>IFERROR(__xludf.DUMMYFUNCTION("IF(C4368&lt;&gt;"""", GOOGLETRANSLATE(C4368, ""en"", ""te""),"""")"),"")</f>
        <v/>
      </c>
      <c r="E4368" s="2"/>
      <c r="F4368" s="2" t="str">
        <f>IFERROR(__xludf.DUMMYFUNCTION("IF(E4368&lt;&gt;"""", GOOGLETRANSLATE(E4368, ""en"", ""te""),"""")"),"")</f>
        <v/>
      </c>
      <c r="G4368" s="2"/>
      <c r="H4368" s="2" t="str">
        <f>IFERROR(__xludf.DUMMYFUNCTION("IF(G4368&lt;&gt;"""", GOOGLETRANSLATE(G4368, ""en"", ""te""),"""")"),"")</f>
        <v/>
      </c>
      <c r="I4368" s="3"/>
    </row>
    <row r="4369" customHeight="1" spans="1:9">
      <c r="A4369" s="2"/>
      <c r="B4369" s="2" t="str">
        <f>IFERROR(__xludf.DUMMYFUNCTION("IF(A4369&lt;&gt;"""", GOOGLETRANSLATE(A4369, ""en"", ""te""),"""")"),"")</f>
        <v/>
      </c>
      <c r="C4369" s="2"/>
      <c r="D4369" s="2" t="str">
        <f>IFERROR(__xludf.DUMMYFUNCTION("IF(C4369&lt;&gt;"""", GOOGLETRANSLATE(C4369, ""en"", ""te""),"""")"),"")</f>
        <v/>
      </c>
      <c r="E4369" s="2"/>
      <c r="F4369" s="2" t="str">
        <f>IFERROR(__xludf.DUMMYFUNCTION("IF(E4369&lt;&gt;"""", GOOGLETRANSLATE(E4369, ""en"", ""te""),"""")"),"")</f>
        <v/>
      </c>
      <c r="G4369" s="2"/>
      <c r="H4369" s="2" t="str">
        <f>IFERROR(__xludf.DUMMYFUNCTION("IF(G4369&lt;&gt;"""", GOOGLETRANSLATE(G4369, ""en"", ""te""),"""")"),"")</f>
        <v/>
      </c>
      <c r="I4369" s="3"/>
    </row>
    <row r="4370" customHeight="1" spans="1:9">
      <c r="A4370" s="2"/>
      <c r="B4370" s="2" t="str">
        <f>IFERROR(__xludf.DUMMYFUNCTION("IF(A4370&lt;&gt;"""", GOOGLETRANSLATE(A4370, ""en"", ""te""),"""")"),"")</f>
        <v/>
      </c>
      <c r="C4370" s="2"/>
      <c r="D4370" s="2" t="str">
        <f>IFERROR(__xludf.DUMMYFUNCTION("IF(C4370&lt;&gt;"""", GOOGLETRANSLATE(C4370, ""en"", ""te""),"""")"),"")</f>
        <v/>
      </c>
      <c r="E4370" s="2"/>
      <c r="F4370" s="2" t="str">
        <f>IFERROR(__xludf.DUMMYFUNCTION("IF(E4370&lt;&gt;"""", GOOGLETRANSLATE(E4370, ""en"", ""te""),"""")"),"")</f>
        <v/>
      </c>
      <c r="G4370" s="2" t="s">
        <v>3176</v>
      </c>
      <c r="H4370" s="2" t="str">
        <f>IFERROR(__xludf.DUMMYFUNCTION("IF(G4370&lt;&gt;"""", GOOGLETRANSLATE(G4370, ""en"", ""te""),"""")"),"[ '41 వ చెత్త కెరీర్ బౌలింగ్ సరాసరి (అర్హత లేకుండా) (70.00)']")</f>
        <v>[ '41 వ చెత్త కెరీర్ బౌలింగ్ సరాసరి (అర్హత లేకుండా) (70.00)']</v>
      </c>
      <c r="I4370" s="3"/>
    </row>
    <row r="4371" customHeight="1" spans="1:9">
      <c r="A4371" s="2"/>
      <c r="B4371" s="2" t="str">
        <f>IFERROR(__xludf.DUMMYFUNCTION("IF(A4371&lt;&gt;"""", GOOGLETRANSLATE(A4371, ""en"", ""te""),"""")"),"")</f>
        <v/>
      </c>
      <c r="C4371" s="2" t="s">
        <v>3177</v>
      </c>
      <c r="D4371" s="2" t="str">
        <f>IFERROR(__xludf.DUMMYFUNCTION("IF(C4371&lt;&gt;"""", GOOGLETRANSLATE(C4371, ""en"", ""te""),"""")"),"[ '22 వ కెరీర్ లో బాతులు (21)', 'కెప్టెన్సీ ప్రవేశం (36y 77d) పై 40 వ ఓల్డెస్ట్ కెప్టెన్లు', '48 వ లాంగెస్ట్ నివసించారు క్రీడాకారులు (91y 93d)', 'ప్రదర్శనలు (8y 224d) మధ్య 46 వ లాంగెస్ట్ వ్యవధిలో']")</f>
        <v>[ '22 వ కెరీర్ లో బాతులు (21)', 'కెప్టెన్సీ ప్రవేశం (36y 77d) పై 40 వ ఓల్డెస్ట్ కెప్టెన్లు', '48 వ లాంగెస్ట్ నివసించారు క్రీడాకారులు (91y 93d)', 'ప్రదర్శనలు (8y 224d) మధ్య 46 వ లాంగెస్ట్ వ్యవధిలో']</v>
      </c>
      <c r="E4371" s="2"/>
      <c r="F4371" s="2" t="str">
        <f>IFERROR(__xludf.DUMMYFUNCTION("IF(E4371&lt;&gt;"""", GOOGLETRANSLATE(E4371, ""en"", ""te""),"""")"),"")</f>
        <v/>
      </c>
      <c r="G4371" s="2"/>
      <c r="H4371" s="2" t="str">
        <f>IFERROR(__xludf.DUMMYFUNCTION("IF(G4371&lt;&gt;"""", GOOGLETRANSLATE(G4371, ""en"", ""te""),"""")"),"")</f>
        <v/>
      </c>
      <c r="I4371" s="3"/>
    </row>
    <row r="4372" customHeight="1" spans="1:9">
      <c r="A4372" s="2"/>
      <c r="B4372" s="2" t="str">
        <f>IFERROR(__xludf.DUMMYFUNCTION("IF(A4372&lt;&gt;"""", GOOGLETRANSLATE(A4372, ""en"", ""te""),"""")"),"")</f>
        <v/>
      </c>
      <c r="C4372" s="2" t="s">
        <v>3178</v>
      </c>
      <c r="D4372" s="2" t="str">
        <f>IFERROR(__xludf.DUMMYFUNCTION("IF(C4372&lt;&gt;"""", GOOGLETRANSLATE(C4372, ""en"", ""te""),"""")"),"[ '36 వ అత్యధిక ఇన్నింగ్స్ లో సమ్మె రేటు (180.00)', '20 వ బౌలర్ / ఫీల్డర్ కలయికలు (53)', '38 వ అత్యధిక వికెట్లు ఆకర్షించింది తీసుకున్న (179)', '36 వ అత్యధిక వికెట్లు ఒక ఫీల్డర్ (122) పట్టుకుంటే తీసుకున్న', 'వేగంగా 200 వికెట్లు (46) కు 21 వ' '39 వ అత్యధిక "&amp;"వికెట్లు ఆకర్షించింది అత్యధిక వికెట్లు తీసిన (57)',]")</f>
        <v>[ '36 వ అత్యధిక ఇన్నింగ్స్ లో సమ్మె రేటు (180.00)', '20 వ బౌలర్ / ఫీల్డర్ కలయికలు (53)', '38 వ అత్యధిక వికెట్లు ఆకర్షించింది తీసుకున్న (179)', '36 వ అత్యధిక వికెట్లు ఒక ఫీల్డర్ (122) పట్టుకుంటే తీసుకున్న', 'వేగంగా 200 వికెట్లు (46) కు 21 వ' '39 వ అత్యధిక వికెట్లు ఆకర్షించింది అత్యధిక వికెట్లు తీసిన (57)',]</v>
      </c>
      <c r="E4372" s="2"/>
      <c r="F4372" s="2" t="str">
        <f>IFERROR(__xludf.DUMMYFUNCTION("IF(E4372&lt;&gt;"""", GOOGLETRANSLATE(E4372, ""en"", ""te""),"""")"),"")</f>
        <v/>
      </c>
      <c r="G4372" s="2"/>
      <c r="H4372" s="2" t="str">
        <f>IFERROR(__xludf.DUMMYFUNCTION("IF(G4372&lt;&gt;"""", GOOGLETRANSLATE(G4372, ""en"", ""te""),"""")"),"")</f>
        <v/>
      </c>
      <c r="I4372" s="3"/>
    </row>
    <row r="4373" customHeight="1" spans="1:9">
      <c r="A4373" s="2"/>
      <c r="B4373" s="2" t="str">
        <f>IFERROR(__xludf.DUMMYFUNCTION("IF(A4373&lt;&gt;"""", GOOGLETRANSLATE(A4373, ""en"", ""te""),"""")"),"")</f>
        <v/>
      </c>
      <c r="C4373" s="2"/>
      <c r="D4373" s="2" t="str">
        <f>IFERROR(__xludf.DUMMYFUNCTION("IF(C4373&lt;&gt;"""", GOOGLETRANSLATE(C4373, ""en"", ""te""),"""")"),"")</f>
        <v/>
      </c>
      <c r="E4373" s="2"/>
      <c r="F4373" s="2" t="str">
        <f>IFERROR(__xludf.DUMMYFUNCTION("IF(E4373&lt;&gt;"""", GOOGLETRANSLATE(E4373, ""en"", ""te""),"""")"),"")</f>
        <v/>
      </c>
      <c r="G4373" s="2"/>
      <c r="H4373" s="2" t="str">
        <f>IFERROR(__xludf.DUMMYFUNCTION("IF(G4373&lt;&gt;"""", GOOGLETRANSLATE(G4373, ""en"", ""te""),"""")"),"")</f>
        <v/>
      </c>
      <c r="I4373" s="3"/>
    </row>
    <row r="4374" customHeight="1" spans="1:9">
      <c r="A4374" s="2" t="s">
        <v>3179</v>
      </c>
      <c r="B4374" s="2" t="str">
        <f>IFERROR(__xludf.DUMMYFUNCTION("IF(A4374&lt;&gt;"""", GOOGLETRANSLATE(A4374, ""en"", ""te""),"""")"),"[ 'ఇన్నింగ్స్ లో 2 వ అత్యధిక పరుగులు (బ్యాటింగ్ స్థానంలో ప్రకారం) (115 *)', '4 వ అత్యధిక క్యాచ్లు ఒక ఇన్నింగ్స్ లో (3)' '1 వ అత్యుత్తమ బౌలింగ్ ఇన్నింగ్స్ (2/0) విశ్లేషణలలో']")</f>
        <v>[ 'ఇన్నింగ్స్ లో 2 వ అత్యధిక పరుగులు (బ్యాటింగ్ స్థానంలో ప్రకారం) (115 *)', '4 వ అత్యధిక క్యాచ్లు ఒక ఇన్నింగ్స్ లో (3)' '1 వ అత్యుత్తమ బౌలింగ్ ఇన్నింగ్స్ (2/0) విశ్లేషణలలో']</v>
      </c>
      <c r="C4374" s="2"/>
      <c r="D4374" s="2" t="str">
        <f>IFERROR(__xludf.DUMMYFUNCTION("IF(C4374&lt;&gt;"""", GOOGLETRANSLATE(C4374, ""en"", ""te""),"""")"),"")</f>
        <v/>
      </c>
      <c r="E4374" s="2" t="s">
        <v>3180</v>
      </c>
      <c r="F4374" s="2" t="str">
        <f>IFERROR(__xludf.DUMMYFUNCTION("IF(E4374&lt;&gt;"""", GOOGLETRANSLATE(E4374, ""en"", ""te""),"""")"),"[ '16 వ ఓల్డెస్ట్ స్కోరు ఆటగాడి వంద (32y 159d) స్కోర్ 24 అత్యంత వృద్ధ ఆటగాడు' '2 వ అత్యంత ఇన్నింగ్స్ లో నడుస్తుంది (బ్యాటింగ్ స్థానం) (115 *)', '31 అత్యధిక తొలి వంద (115 *)', కన్య వందల (32y 159d) ',' 1 వ అత్యుత్తమ బౌలింగ్ ఇన్నింగ్స్ లో విశ్లేషించడం (2/0) "&amp;"',' 44 వ బౌలర్ / ఫీల్డర్ కలయికలు (10) ',' 36 వ అత్యధిక వికెట్లు తీసుకున్న ఎల్బిడబ్ల్యు (12) ',' 4 వ అత్యధిక క్యాచ్లు ఒక ఇన్నింగ్స్ లో (3) ఏడవ వికెట్కు ',' 43 వ అత్యధిక భాగస్వామ్యం (58) ',' 49 వ వరుస మ్యాచ్లు ప్రదర్శనల మధ్య బృందం (29) కోసం తప్పిన ']")</f>
        <v>[ '16 వ ఓల్డెస్ట్ స్కోరు ఆటగాడి వంద (32y 159d) స్కోర్ 24 అత్యంత వృద్ధ ఆటగాడు' '2 వ అత్యంత ఇన్నింగ్స్ లో నడుస్తుంది (బ్యాటింగ్ స్థానం) (115 *)', '31 అత్యధిక తొలి వంద (115 *)', కన్య వందల (32y 159d) ',' 1 వ అత్యుత్తమ బౌలింగ్ ఇన్నింగ్స్ లో విశ్లేషించడం (2/0) ',' 44 వ బౌలర్ / ఫీల్డర్ కలయికలు (10) ',' 36 వ అత్యధిక వికెట్లు తీసుకున్న ఎల్బిడబ్ల్యు (12) ',' 4 వ అత్యధిక క్యాచ్లు ఒక ఇన్నింగ్స్ లో (3) ఏడవ వికెట్కు ',' 43 వ అత్యధిక భాగస్వామ్యం (58) ',' 49 వ వరుస మ్యాచ్లు ప్రదర్శనల మధ్య బృందం (29) కోసం తప్పిన ']</v>
      </c>
      <c r="G4374" s="2"/>
      <c r="H4374" s="2" t="str">
        <f>IFERROR(__xludf.DUMMYFUNCTION("IF(G4374&lt;&gt;"""", GOOGLETRANSLATE(G4374, ""en"", ""te""),"""")"),"")</f>
        <v/>
      </c>
      <c r="I4374" s="3"/>
    </row>
    <row r="4375" customHeight="1" spans="1:9">
      <c r="A4375" s="2"/>
      <c r="B4375" s="2" t="str">
        <f>IFERROR(__xludf.DUMMYFUNCTION("IF(A4375&lt;&gt;"""", GOOGLETRANSLATE(A4375, ""en"", ""te""),"""")"),"")</f>
        <v/>
      </c>
      <c r="C4375" s="2"/>
      <c r="D4375" s="2" t="str">
        <f>IFERROR(__xludf.DUMMYFUNCTION("IF(C4375&lt;&gt;"""", GOOGLETRANSLATE(C4375, ""en"", ""te""),"""")"),"")</f>
        <v/>
      </c>
      <c r="E4375" s="2"/>
      <c r="F4375" s="2" t="str">
        <f>IFERROR(__xludf.DUMMYFUNCTION("IF(E4375&lt;&gt;"""", GOOGLETRANSLATE(E4375, ""en"", ""te""),"""")"),"")</f>
        <v/>
      </c>
      <c r="G4375" s="2"/>
      <c r="H4375" s="2" t="str">
        <f>IFERROR(__xludf.DUMMYFUNCTION("IF(G4375&lt;&gt;"""", GOOGLETRANSLATE(G4375, ""en"", ""te""),"""")"),"")</f>
        <v/>
      </c>
      <c r="I4375" s="3"/>
    </row>
    <row r="4376" customHeight="1" spans="1:9">
      <c r="A4376" s="2"/>
      <c r="B4376" s="2" t="str">
        <f>IFERROR(__xludf.DUMMYFUNCTION("IF(A4376&lt;&gt;"""", GOOGLETRANSLATE(A4376, ""en"", ""te""),"""")"),"")</f>
        <v/>
      </c>
      <c r="C4376" s="2"/>
      <c r="D4376" s="2" t="str">
        <f>IFERROR(__xludf.DUMMYFUNCTION("IF(C4376&lt;&gt;"""", GOOGLETRANSLATE(C4376, ""en"", ""te""),"""")"),"")</f>
        <v/>
      </c>
      <c r="E4376" s="2"/>
      <c r="F4376" s="2" t="str">
        <f>IFERROR(__xludf.DUMMYFUNCTION("IF(E4376&lt;&gt;"""", GOOGLETRANSLATE(E4376, ""en"", ""te""),"""")"),"")</f>
        <v/>
      </c>
      <c r="G4376" s="2"/>
      <c r="H4376" s="2" t="str">
        <f>IFERROR(__xludf.DUMMYFUNCTION("IF(G4376&lt;&gt;"""", GOOGLETRANSLATE(G4376, ""en"", ""te""),"""")"),"")</f>
        <v/>
      </c>
      <c r="I4376" s="3"/>
    </row>
    <row r="4377" customHeight="1" spans="1:9">
      <c r="A4377" s="2"/>
      <c r="B4377" s="2" t="str">
        <f>IFERROR(__xludf.DUMMYFUNCTION("IF(A4377&lt;&gt;"""", GOOGLETRANSLATE(A4377, ""en"", ""te""),"""")"),"")</f>
        <v/>
      </c>
      <c r="C4377" s="2"/>
      <c r="D4377" s="2" t="str">
        <f>IFERROR(__xludf.DUMMYFUNCTION("IF(C4377&lt;&gt;"""", GOOGLETRANSLATE(C4377, ""en"", ""te""),"""")"),"")</f>
        <v/>
      </c>
      <c r="E4377" s="2"/>
      <c r="F4377" s="2" t="str">
        <f>IFERROR(__xludf.DUMMYFUNCTION("IF(E4377&lt;&gt;"""", GOOGLETRANSLATE(E4377, ""en"", ""te""),"""")"),"")</f>
        <v/>
      </c>
      <c r="G4377" s="2"/>
      <c r="H4377" s="2" t="str">
        <f>IFERROR(__xludf.DUMMYFUNCTION("IF(G4377&lt;&gt;"""", GOOGLETRANSLATE(G4377, ""en"", ""te""),"""")"),"")</f>
        <v/>
      </c>
      <c r="I4377" s="3"/>
    </row>
    <row r="4378" customHeight="1" spans="1:9">
      <c r="A4378" s="2"/>
      <c r="B4378" s="2" t="str">
        <f>IFERROR(__xludf.DUMMYFUNCTION("IF(A4378&lt;&gt;"""", GOOGLETRANSLATE(A4378, ""en"", ""te""),"""")"),"")</f>
        <v/>
      </c>
      <c r="C4378" s="2" t="s">
        <v>3181</v>
      </c>
      <c r="D4378" s="2" t="str">
        <f>IFERROR(__xludf.DUMMYFUNCTION("IF(C4378&lt;&gt;"""", GOOGLETRANSLATE(C4378, ""en"", ""te""),"""")"),"[ '33 వ చెత్త ఇన్నింగ్స్ లో ఆర్థిక రేటు (6.53)']")</f>
        <v>[ '33 వ చెత్త ఇన్నింగ్స్ లో ఆర్థిక రేటు (6.53)']</v>
      </c>
      <c r="E4378" s="2"/>
      <c r="F4378" s="2" t="str">
        <f>IFERROR(__xludf.DUMMYFUNCTION("IF(E4378&lt;&gt;"""", GOOGLETRANSLATE(E4378, ""en"", ""te""),"""")"),"")</f>
        <v/>
      </c>
      <c r="G4378" s="2"/>
      <c r="H4378" s="2" t="str">
        <f>IFERROR(__xludf.DUMMYFUNCTION("IF(G4378&lt;&gt;"""", GOOGLETRANSLATE(G4378, ""en"", ""te""),"""")"),"")</f>
        <v/>
      </c>
      <c r="I4378" s="3"/>
    </row>
    <row r="4379" customHeight="1" spans="1:9">
      <c r="A4379" s="2" t="s">
        <v>3182</v>
      </c>
      <c r="B4379" s="2" t="str">
        <f>IFERROR(__xludf.DUMMYFUNCTION("IF(A4379&lt;&gt;"""", GOOGLETRANSLATE(A4379, ""en"", ""te""),"""")"),"[ 'తొలి హండ్రెడ్ (131)', '5000 పరుగులు మరియు 50 ఫీల్డింగ్ వికెట్లు', '6 వ పిన్న కాప్టెన్ (21y 332d)' 'ఆరవ వికెట్ (365 *) కోసం 2 వ అత్యధిక భాగస్వామ్యం', '3 వ చాల వరకు ఒక సిరీస్లో నడుస్తుంది ఒక కెప్టెన్తో (578) ',' 6 వ కెరీర్ తొంభైల (7) ',' వరుస ఇన్నింగ్స్"&amp;"లో 2 వ యాభైల్లో (6) ',' ఫాస్టెస్ట్ 6000 పరుగులు (139) ',' 5000 పరుగులు మరియు 50 ఫీల్డింగ్ వికెట్లు '3 వ, 'కెప్టెన్ 5 వ అత్యధిక మ్యాచ్లు (49)', '2nd ఒక ఇన్నింగ్స్లో పరుగుల అత్యధిక శాతం (70.00)', '9 వ 1000 పరుగులు (34) వేగంగా', 'నాలుగవ వికెట్కు 3 వ అత్యధిక"&amp;" భాగస్వామ్యం (124)', 'ఒక క్యాలెండర్ సంవత్సరంలో 5 వ అత్యధిక పరుగులు (2692)', 'కెరీర్ లో 6 వ అత్యంత తొంభైల (12)', 'వరుస ఇన్నింగ్స్లో 2 వ యాభైల్లో (7)']")</f>
        <v>[ 'తొలి హండ్రెడ్ (131)', '5000 పరుగులు మరియు 50 ఫీల్డింగ్ వికెట్లు', '6 వ పిన్న కాప్టెన్ (21y 332d)' 'ఆరవ వికెట్ (365 *) కోసం 2 వ అత్యధిక భాగస్వామ్యం', '3 వ చాల వరకు ఒక సిరీస్లో నడుస్తుంది ఒక కెప్టెన్తో (578) ',' 6 వ కెరీర్ తొంభైల (7) ',' వరుస ఇన్నింగ్స్లో 2 వ యాభైల్లో (6) ',' ఫాస్టెస్ట్ 6000 పరుగులు (139) ',' 5000 పరుగులు మరియు 50 ఫీల్డింగ్ వికెట్లు '3 వ, 'కెప్టెన్ 5 వ అత్యధిక మ్యాచ్లు (49)', '2nd ఒక ఇన్నింగ్స్లో పరుగుల అత్యధిక శాతం (70.00)', '9 వ 1000 పరుగులు (34) వేగంగా', 'నాలుగవ వికెట్కు 3 వ అత్యధిక భాగస్వామ్యం (124)', 'ఒక క్యాలెండర్ సంవత్సరంలో 5 వ అత్యధిక పరుగులు (2692)', 'కెరీర్ లో 6 వ అత్యంత తొంభైల (12)', 'వరుస ఇన్నింగ్స్లో 2 వ యాభైల్లో (7)']</v>
      </c>
      <c r="C4379" s="2" t="s">
        <v>3183</v>
      </c>
      <c r="D4379" s="2" t="str">
        <f>IFERROR(__xludf.DUMMYFUNCTION("IF(C4379&lt;&gt;"""", GOOGLETRANSLATE(C4379, ""en"", ""te""),"""")"),"[ '39 వ మ్యాచ్ లో అత్యధిక పరుగులు (311)', '44th ఒకే మైదానంలో అత్యధిక పరుగులు (1238)', 'ఒక కెప్టెన్తో ఇన్నింగ్స్ లో 20 వ అత్యధిక పరుగులు (251)', '19 వ అత్యధిక కెరీర్ బ్యాటింగ్ సగటు (54.31) '' గత మ్యాచ్లో 39 వ హండ్రెడ్ (238) ',' 23 ఒక వృత్తిలో అత్యధిక వందల"&amp;"ు (24) ',' ఒక కెరీర్ లో 17 వ అత్యధిక డబుల్ సెంచరీలు (4) ',' 19 ఒక క్యాలెండర్ సంవత్సరంలో అత్యధిక వందలు (5) ' 'వరుస మ్యాచ్లలో 21 వందల (3)', '28th పిన్న ఆటగాడు వంద (20y 88D) స్కోర్' '37 వ కెరీర్ అర్ధ (56)', '49 వ అత్యంత ఫోర్లు కెరీర్లో (782)', '27 వేగవంతమైన"&amp;" 4000 పరుగులు (89) ',' ఫాస్టెస్ట్ 5000 పరుగులు (110) ',' 16 వ అత్యంత వేగంగా చేయడానికి 6000 పరుగులు (126) ',' 13 వ అత్యంత వేగంగా 7000 ఏ వికెట్కు పరుగులు (144) ',' 29th అత్యధిక వాటా 30 ( 369) ',' మూడో వికెట్ (265) నాలుగో వికెట్కు (369) కోసం ',' 7 వ అత్యధిక "&amp;"భాగస్వామ్యం ',' ఆరవ వికెట్ (365 *) కోసం 2 వ అత్యధిక భాగస్వామ్యం ',' 32 వ అత్యంత ప్లేయర్ ఆఫ్ కోసం 38 వ అత్యధిక భాగస్వామ్యం -ది-మ్యాచ్ అవార్డులు (9) ',' 35 వ అత్యధిక మ్యాచ్లు కెప్టెన్గా (35) ',' ఒక జట్టు కెప్టెన్గా 33 వ వరుస మ్యాచ్లు (2 5) ']")</f>
        <v>[ '39 వ మ్యాచ్ లో అత్యధిక పరుగులు (311)', '44th ఒకే మైదానంలో అత్యధిక పరుగులు (1238)', 'ఒక కెప్టెన్తో ఇన్నింగ్స్ లో 20 వ అత్యధిక పరుగులు (251)', '19 వ అత్యధిక కెరీర్ బ్యాటింగ్ సగటు (54.31) '' గత మ్యాచ్లో 39 వ హండ్రెడ్ (238) ',' 23 ఒక వృత్తిలో అత్యధిక వందలు (24) ',' ఒక కెరీర్ లో 17 వ అత్యధిక డబుల్ సెంచరీలు (4) ',' 19 ఒక క్యాలెండర్ సంవత్సరంలో అత్యధిక వందలు (5) ' 'వరుస మ్యాచ్లలో 21 వందల (3)', '28th పిన్న ఆటగాడు వంద (20y 88D) స్కోర్' '37 వ కెరీర్ అర్ధ (56)', '49 వ అత్యంత ఫోర్లు కెరీర్లో (782)', '27 వేగవంతమైన 4000 పరుగులు (89) ',' ఫాస్టెస్ట్ 5000 పరుగులు (110) ',' 16 వ అత్యంత వేగంగా చేయడానికి 6000 పరుగులు (126) ',' 13 వ అత్యంత వేగంగా 7000 ఏ వికెట్కు పరుగులు (144) ',' 29th అత్యధిక వాటా 30 ( 369) ',' మూడో వికెట్ (265) నాలుగో వికెట్కు (369) కోసం ',' 7 వ అత్యధిక భాగస్వామ్యం ',' ఆరవ వికెట్ (365 *) కోసం 2 వ అత్యధిక భాగస్వామ్యం ',' 32 వ అత్యంత ప్లేయర్ ఆఫ్ కోసం 38 వ అత్యధిక భాగస్వామ్యం -ది-మ్యాచ్ అవార్డులు (9) ',' 35 వ అత్యధిక మ్యాచ్లు కెప్టెన్గా (35) ',' ఒక జట్టు కెప్టెన్గా 33 వ వరుస మ్యాచ్లు (2 5) ']</v>
      </c>
      <c r="E4379" s="2" t="s">
        <v>3184</v>
      </c>
      <c r="F4379" s="2" t="str">
        <f>IFERROR(__xludf.DUMMYFUNCTION("IF(E4379&lt;&gt;"""", GOOGLETRANSLATE(E4379, ""en"", ""te""),"""")"),"[ '19 ఒక క్యాలెండర్ సంవత్సరంలో అత్యధిక పరుగులు (1376)', '10 వ వరుస (578) అత్యధిక పరుగులు' 'ఒక కెప్టెన్తో 3 వ చాల వరకు ఒక సిరీస్లో పరుగులు (578)', '22 వ ఒక ద్వారా ఒక ఇన్నింగ్స్ లో అత్యధిక పరుగులు కెప్టెన్ (148) ', '21 వ అత్యధిక కెరీర్ బ్యాటింగ్ సగటు (47.48"&amp;")', '33 వ ఒక వృత్తిలో అత్యధిక వందలు (13)', '17 వ పిన్న ఆటగాడు (కెరీర్ వంద (20y 67d) స్కోర్', '6 వ అత్యంత తొంభైల 7) ',' 47 వ కెరీర్ అర్ధ (52) ',' వరుస ఇన్నింగ్స్లో 2 వ యాభైల్లో (6) ',' 39 వ అతి తక్కువ బాతులు కెరీర్ లో (28.8) ',' 24th 2000 పరుగులు వేగంగా "&amp;"(54) ',' 10 వ వేగవంతమైన 3000 పరుగులు (73) ',' 8 వ 4000 వేగవంతమైన పరుగులు (96) ',' 5000 పరుగులు వేగంగా 9 వ (119) ',' 6000 పరుగులు (139) ',' మూడో వికెట్కు 27 అత్యధిక భాగస్వామ్యం వేగంగా 3 వ (206) ',' 17 వ అత్యంత ప్లేయర్ ఆఫ్ ది సిరీస్ అవార్డులు (5) ',' 32 వ"&amp;" అత్యధిక మ్యాచ్లు కెప్టెన్గా (77) ',' 6 వ పిన్న కాప్టెన్ (21y 332d) ']")</f>
        <v>[ '19 ఒక క్యాలెండర్ సంవత్సరంలో అత్యధిక పరుగులు (1376)', '10 వ వరుస (578) అత్యధిక పరుగులు' 'ఒక కెప్టెన్తో 3 వ చాల వరకు ఒక సిరీస్లో పరుగులు (578)', '22 వ ఒక ద్వారా ఒక ఇన్నింగ్స్ లో అత్యధిక పరుగులు కెప్టెన్ (148) ', '21 వ అత్యధిక కెరీర్ బ్యాటింగ్ సగటు (47.48)', '33 వ ఒక వృత్తిలో అత్యధిక వందలు (13)', '17 వ పిన్న ఆటగాడు (కెరీర్ వంద (20y 67d) స్కోర్', '6 వ అత్యంత తొంభైల 7) ',' 47 వ కెరీర్ అర్ధ (52) ',' వరుస ఇన్నింగ్స్లో 2 వ యాభైల్లో (6) ',' 39 వ అతి తక్కువ బాతులు కెరీర్ లో (28.8) ',' 24th 2000 పరుగులు వేగంగా (54) ',' 10 వ వేగవంతమైన 3000 పరుగులు (73) ',' 8 వ 4000 వేగవంతమైన పరుగులు (96) ',' 5000 పరుగులు వేగంగా 9 వ (119) ',' 6000 పరుగులు (139) ',' మూడో వికెట్కు 27 అత్యధిక భాగస్వామ్యం వేగంగా 3 వ (206) ',' 17 వ అత్యంత ప్లేయర్ ఆఫ్ ది సిరీస్ అవార్డులు (5) ',' 32 వ అత్యధిక మ్యాచ్లు కెప్టెన్గా (77) ',' 6 వ పిన్న కాప్టెన్ (21y 332d) ']</v>
      </c>
      <c r="G4379" s="2" t="s">
        <v>3185</v>
      </c>
      <c r="H4379" s="2" t="str">
        <f>IFERROR(__xludf.DUMMYFUNCTION("IF(G4379&lt;&gt;"""", GOOGLETRANSLATE(G4379, ""en"", ""te""),"""")"),"[ '16 వ కెరీర్ లో అత్యధిక పరుగులు (1805)', '13 వ ఇన్నింగ్స్ లో అత్యధిక పరుగులు (బ్యాటింగ్ స్థానంలో ప్రకారం) (95)', '31 ఒకే మైదానంలో అత్యధిక పరుగులు (307)', '14 వ ఇన్నింగ్స్ లో అత్యధిక పరుగులు ద్వారా ఒక కెప్టెన్ (95) ',' 32 వ అత్యధిక కెరీర్ బ్యాటింగ్ సగటు"&amp;" (31.66) ',' 15 వ కెరీర్ అర్ధ (13) ',' మొదటి డక్ (17) ',' 27 వ కెరీర్ లో అతి తక్కువ బాతులు ముందు 40 వ అత్యంత ఇన్నింగ్స్ (21.66) ',' కెరీర్ లో 14 వ అత్యంత ఫోర్లు (182) ',' 31 మోస్ట్ ఇన్నింగ్స్ లో ఫోర్లు (11) ',' ఒక ఇన్నింగ్స్లో పరుగుల 2 వ అత్యధిక శాతం (70."&amp;"00) ',' 1000 పరుగులు వేగంగా 9 వ (34) ' 'కెరీర్లో 21 వ అత్యధిక క్యాచ్లు (32)', 'ఇన్నింగ్స్ లో 15 వ అత్యధిక క్యాచ్లు (3)', 'నాలుగవ వికెట్కు 3 వ అత్యధిక భాగస్వామ్యం (124)', 'ఐదవ వికెట్కు 18 అత్యధిక భాగస్వామ్యం (81 *)' , 40 వ కెరీర్ లో అత్యధిక మ్యాచ్లు (67) '"&amp;",' ఒక జట్టుకు 46 వ వరుస మ్యాచ్లు (29) ',' 5 వ అత్యధిక మ్యాచ్లు కెప్టెన్గా (49) ',' 9 వ పిన్న కాప్టెన్ (21y 328d) ',' 19 వ వరుస ఒక జట్టు కెప్టెన్గా పోటీలు (20) ',' 13 వ వరుస అన్ని టాస్ గెలిచిన (3) ']")</f>
        <v>[ '16 వ కెరీర్ లో అత్యధిక పరుగులు (1805)', '13 వ ఇన్నింగ్స్ లో అత్యధిక పరుగులు (బ్యాటింగ్ స్థానంలో ప్రకారం) (95)', '31 ఒకే మైదానంలో అత్యధిక పరుగులు (307)', '14 వ ఇన్నింగ్స్ లో అత్యధిక పరుగులు ద్వారా ఒక కెప్టెన్ (95) ',' 32 వ అత్యధిక కెరీర్ బ్యాటింగ్ సగటు (31.66) ',' 15 వ కెరీర్ అర్ధ (13) ',' మొదటి డక్ (17) ',' 27 వ కెరీర్ లో అతి తక్కువ బాతులు ముందు 40 వ అత్యంత ఇన్నింగ్స్ (21.66) ',' కెరీర్ లో 14 వ అత్యంత ఫోర్లు (182) ',' 31 మోస్ట్ ఇన్నింగ్స్ లో ఫోర్లు (11) ',' ఒక ఇన్నింగ్స్లో పరుగుల 2 వ అత్యధిక శాతం (70.00) ',' 1000 పరుగులు వేగంగా 9 వ (34) ' 'కెరీర్లో 21 వ అత్యధిక క్యాచ్లు (32)', 'ఇన్నింగ్స్ లో 15 వ అత్యధిక క్యాచ్లు (3)', 'నాలుగవ వికెట్కు 3 వ అత్యధిక భాగస్వామ్యం (124)', 'ఐదవ వికెట్కు 18 అత్యధిక భాగస్వామ్యం (81 *)' , 40 వ కెరీర్ లో అత్యధిక మ్యాచ్లు (67) ',' ఒక జట్టుకు 46 వ వరుస మ్యాచ్లు (29) ',' 5 వ అత్యధిక మ్యాచ్లు కెప్టెన్గా (49) ',' 9 వ పిన్న కాప్టెన్ (21y 328d) ',' 19 వ వరుస ఒక జట్టు కెప్టెన్గా పోటీలు (20) ',' 13 వ వరుస అన్ని టాస్ గెలిచిన (3) ']</v>
      </c>
      <c r="I4379" s="3"/>
    </row>
    <row r="4380" customHeight="1" spans="1:9">
      <c r="A4380" s="2"/>
      <c r="B4380" s="2" t="str">
        <f>IFERROR(__xludf.DUMMYFUNCTION("IF(A4380&lt;&gt;"""", GOOGLETRANSLATE(A4380, ""en"", ""te""),"""")"),"")</f>
        <v/>
      </c>
      <c r="C4380" s="2"/>
      <c r="D4380" s="2" t="str">
        <f>IFERROR(__xludf.DUMMYFUNCTION("IF(C4380&lt;&gt;"""", GOOGLETRANSLATE(C4380, ""en"", ""te""),"""")"),"")</f>
        <v/>
      </c>
      <c r="E4380" s="2"/>
      <c r="F4380" s="2" t="str">
        <f>IFERROR(__xludf.DUMMYFUNCTION("IF(E4380&lt;&gt;"""", GOOGLETRANSLATE(E4380, ""en"", ""te""),"""")"),"")</f>
        <v/>
      </c>
      <c r="G4380" s="2" t="s">
        <v>3186</v>
      </c>
      <c r="H4380" s="2" t="str">
        <f>IFERROR(__xludf.DUMMYFUNCTION("IF(G4380&lt;&gt;"""", GOOGLETRANSLATE(G4380, ""en"", ""te""),"""")"),"[ '23 వ తొలి మ్యాచ్ (62) లో నడుస్తుంది']")</f>
        <v>[ '23 వ తొలి మ్యాచ్ (62) లో నడుస్తుంది']</v>
      </c>
      <c r="I4380" s="3"/>
    </row>
    <row r="4381" customHeight="1" spans="1:9">
      <c r="A4381" s="2"/>
      <c r="B4381" s="2" t="str">
        <f>IFERROR(__xludf.DUMMYFUNCTION("IF(A4381&lt;&gt;"""", GOOGLETRANSLATE(A4381, ""en"", ""te""),"""")"),"")</f>
        <v/>
      </c>
      <c r="C4381" s="2"/>
      <c r="D4381" s="2" t="str">
        <f>IFERROR(__xludf.DUMMYFUNCTION("IF(C4381&lt;&gt;"""", GOOGLETRANSLATE(C4381, ""en"", ""te""),"""")"),"")</f>
        <v/>
      </c>
      <c r="E4381" s="2"/>
      <c r="F4381" s="2" t="str">
        <f>IFERROR(__xludf.DUMMYFUNCTION("IF(E4381&lt;&gt;"""", GOOGLETRANSLATE(E4381, ""en"", ""te""),"""")"),"")</f>
        <v/>
      </c>
      <c r="G4381" s="2"/>
      <c r="H4381" s="2" t="str">
        <f>IFERROR(__xludf.DUMMYFUNCTION("IF(G4381&lt;&gt;"""", GOOGLETRANSLATE(G4381, ""en"", ""te""),"""")"),"")</f>
        <v/>
      </c>
      <c r="I4381" s="3"/>
    </row>
    <row r="4382" customHeight="1" spans="1:9">
      <c r="A4382" s="2"/>
      <c r="B4382" s="2" t="str">
        <f>IFERROR(__xludf.DUMMYFUNCTION("IF(A4382&lt;&gt;"""", GOOGLETRANSLATE(A4382, ""en"", ""te""),"""")"),"")</f>
        <v/>
      </c>
      <c r="C4382" s="2"/>
      <c r="D4382" s="2" t="str">
        <f>IFERROR(__xludf.DUMMYFUNCTION("IF(C4382&lt;&gt;"""", GOOGLETRANSLATE(C4382, ""en"", ""te""),"""")"),"")</f>
        <v/>
      </c>
      <c r="E4382" s="2"/>
      <c r="F4382" s="2" t="str">
        <f>IFERROR(__xludf.DUMMYFUNCTION("IF(E4382&lt;&gt;"""", GOOGLETRANSLATE(E4382, ""en"", ""te""),"""")"),"")</f>
        <v/>
      </c>
      <c r="G4382" s="2"/>
      <c r="H4382" s="2" t="str">
        <f>IFERROR(__xludf.DUMMYFUNCTION("IF(G4382&lt;&gt;"""", GOOGLETRANSLATE(G4382, ""en"", ""te""),"""")"),"")</f>
        <v/>
      </c>
      <c r="I4382" s="3"/>
    </row>
    <row r="4383" customHeight="1" spans="1:9">
      <c r="A4383" s="2" t="s">
        <v>9</v>
      </c>
      <c r="B4383" s="2" t="str">
        <f>IFERROR(__xludf.DUMMYFUNCTION("IF(A4383&lt;&gt;"""", GOOGLETRANSLATE(A4383, ""en"", ""te""),"""")"),"[ 'హండ్రెడ్ మరియు ఒక మ్యాచ్లో ఒక డక్']")</f>
        <v>[ 'హండ్రెడ్ మరియు ఒక మ్యాచ్లో ఒక డక్']</v>
      </c>
      <c r="C4383" s="2" t="s">
        <v>3187</v>
      </c>
      <c r="D4383" s="2" t="str">
        <f>IFERROR(__xludf.DUMMYFUNCTION("IF(C4383&lt;&gt;"""", GOOGLETRANSLATE(C4383, ""en"", ""te""),"""")"),"[40 వ 99 (199, 299 etc) (99) అవుటయ్యాడు ',' ఒక డక్ లేకుండా 50 వ వరుస ఇన్నింగ్స్ (53) ',' 33 వ వరుస అన్ని టాస్ గెలిచిన (3) ']")</f>
        <v>[40 వ 99 (199, 299 etc) (99) అవుటయ్యాడు ',' ఒక డక్ లేకుండా 50 వ వరుస ఇన్నింగ్స్ (53) ',' 33 వ వరుస అన్ని టాస్ గెలిచిన (3) ']</v>
      </c>
      <c r="E4383" s="2" t="s">
        <v>3188</v>
      </c>
      <c r="F4383" s="2" t="str">
        <f>IFERROR(__xludf.DUMMYFUNCTION("IF(E4383&lt;&gt;"""", GOOGLETRANSLATE(E4383, ""en"", ""te""),"""")"),"[ '30 వ ఒక సిరీస్లో అత్యధిక పరుగులు (511)', '25 వ అత్యంత వృద్ధ ఆటగాడు తొలి శతకాలను సాధించిన (33y 255d)', '14 వ వరుస అన్ని టాస్ గెలిచిన (3)']")</f>
        <v>[ '30 వ ఒక సిరీస్లో అత్యధిక పరుగులు (511)', '25 వ అత్యంత వృద్ధ ఆటగాడు తొలి శతకాలను సాధించిన (33y 255d)', '14 వ వరుస అన్ని టాస్ గెలిచిన (3)']</v>
      </c>
      <c r="G4383" s="2"/>
      <c r="H4383" s="2" t="str">
        <f>IFERROR(__xludf.DUMMYFUNCTION("IF(G4383&lt;&gt;"""", GOOGLETRANSLATE(G4383, ""en"", ""te""),"""")"),"")</f>
        <v/>
      </c>
      <c r="I4383" s="3"/>
    </row>
    <row r="4384" customHeight="1" spans="1:9">
      <c r="A4384" s="2"/>
      <c r="B4384" s="2" t="str">
        <f>IFERROR(__xludf.DUMMYFUNCTION("IF(A4384&lt;&gt;"""", GOOGLETRANSLATE(A4384, ""en"", ""te""),"""")"),"")</f>
        <v/>
      </c>
      <c r="C4384" s="2"/>
      <c r="D4384" s="2" t="str">
        <f>IFERROR(__xludf.DUMMYFUNCTION("IF(C4384&lt;&gt;"""", GOOGLETRANSLATE(C4384, ""en"", ""te""),"""")"),"")</f>
        <v/>
      </c>
      <c r="E4384" s="2"/>
      <c r="F4384" s="2" t="str">
        <f>IFERROR(__xludf.DUMMYFUNCTION("IF(E4384&lt;&gt;"""", GOOGLETRANSLATE(E4384, ""en"", ""te""),"""")"),"")</f>
        <v/>
      </c>
      <c r="G4384" s="2"/>
      <c r="H4384" s="2" t="str">
        <f>IFERROR(__xludf.DUMMYFUNCTION("IF(G4384&lt;&gt;"""", GOOGLETRANSLATE(G4384, ""en"", ""te""),"""")"),"")</f>
        <v/>
      </c>
      <c r="I4384" s="3"/>
    </row>
    <row r="4385" customHeight="1" spans="1:9">
      <c r="A4385" s="2"/>
      <c r="B4385" s="2" t="str">
        <f>IFERROR(__xludf.DUMMYFUNCTION("IF(A4385&lt;&gt;"""", GOOGLETRANSLATE(A4385, ""en"", ""te""),"""")"),"")</f>
        <v/>
      </c>
      <c r="C4385" s="2"/>
      <c r="D4385" s="2" t="str">
        <f>IFERROR(__xludf.DUMMYFUNCTION("IF(C4385&lt;&gt;"""", GOOGLETRANSLATE(C4385, ""en"", ""te""),"""")"),"")</f>
        <v/>
      </c>
      <c r="E4385" s="2"/>
      <c r="F4385" s="2" t="str">
        <f>IFERROR(__xludf.DUMMYFUNCTION("IF(E4385&lt;&gt;"""", GOOGLETRANSLATE(E4385, ""en"", ""te""),"""")"),"")</f>
        <v/>
      </c>
      <c r="G4385" s="2"/>
      <c r="H4385" s="2" t="str">
        <f>IFERROR(__xludf.DUMMYFUNCTION("IF(G4385&lt;&gt;"""", GOOGLETRANSLATE(G4385, ""en"", ""te""),"""")"),"")</f>
        <v/>
      </c>
      <c r="I4385" s="3"/>
    </row>
    <row r="4386" customHeight="1" spans="1:9">
      <c r="A4386" s="2" t="s">
        <v>3189</v>
      </c>
      <c r="B4386" s="2" t="str">
        <f>IFERROR(__xludf.DUMMYFUNCTION("IF(A4386&lt;&gt;"""", GOOGLETRANSLATE(A4386, ""en"", ""te""),"""")"),"[ 'ఒక మ్యాచ్లో 8 వ అత్యధిక క్యాచ్లు (6)', 'ఒక ఇన్నింగ్స్ లో ఒక ప్రత్యామ్నాయంగా (3) 2 వ అత్యధిక క్యాచ్లు']")</f>
        <v>[ 'ఒక మ్యాచ్లో 8 వ అత్యధిక క్యాచ్లు (6)', 'ఒక ఇన్నింగ్స్ లో ఒక ప్రత్యామ్నాయంగా (3) 2 వ అత్యధిక క్యాచ్లు']</v>
      </c>
      <c r="C4386" s="2" t="s">
        <v>3190</v>
      </c>
      <c r="D4386" s="2" t="str">
        <f>IFERROR(__xludf.DUMMYFUNCTION("IF(C4386&lt;&gt;"""", GOOGLETRANSLATE(C4386, ""en"", ""te""),"""")"),"[ 'ఒక మ్యాచ్లో 8 వ అత్యధిక క్యాచ్లు (6)' '28 వ అతి ఇన్నింగ్స్ లో ఫోర్లు (37)',]")</f>
        <v>[ 'ఒక మ్యాచ్లో 8 వ అత్యధిక క్యాచ్లు (6)' '28 వ అతి ఇన్నింగ్స్ లో ఫోర్లు (37)',]</v>
      </c>
      <c r="E4386" s="2" t="s">
        <v>3191</v>
      </c>
      <c r="F4386" s="2" t="str">
        <f>IFERROR(__xludf.DUMMYFUNCTION("IF(E4386&lt;&gt;"""", GOOGLETRANSLATE(E4386, ""en"", ""te""),"""")"),"[ '34 వ అత్యంత వంద (1668) లేకుండా ఒక వృత్తిలో పరుగులు', 'ఒక ఇన్నింగ్స్ లో ఒక ప్రత్యామ్నాయంగా (3) 2 వ అత్యధిక క్యాచ్లు']")</f>
        <v>[ '34 వ అత్యంత వంద (1668) లేకుండా ఒక వృత్తిలో పరుగులు', 'ఒక ఇన్నింగ్స్ లో ఒక ప్రత్యామ్నాయంగా (3) 2 వ అత్యధిక క్యాచ్లు']</v>
      </c>
      <c r="G4386" s="2"/>
      <c r="H4386" s="2" t="str">
        <f>IFERROR(__xludf.DUMMYFUNCTION("IF(G4386&lt;&gt;"""", GOOGLETRANSLATE(G4386, ""en"", ""te""),"""")"),"")</f>
        <v/>
      </c>
      <c r="I4386" s="3"/>
    </row>
    <row r="4387" customHeight="1" spans="1:9">
      <c r="A4387" s="2"/>
      <c r="B4387" s="2" t="str">
        <f>IFERROR(__xludf.DUMMYFUNCTION("IF(A4387&lt;&gt;"""", GOOGLETRANSLATE(A4387, ""en"", ""te""),"""")"),"")</f>
        <v/>
      </c>
      <c r="C4387" s="2"/>
      <c r="D4387" s="2" t="str">
        <f>IFERROR(__xludf.DUMMYFUNCTION("IF(C4387&lt;&gt;"""", GOOGLETRANSLATE(C4387, ""en"", ""te""),"""")"),"")</f>
        <v/>
      </c>
      <c r="E4387" s="2"/>
      <c r="F4387" s="2" t="str">
        <f>IFERROR(__xludf.DUMMYFUNCTION("IF(E4387&lt;&gt;"""", GOOGLETRANSLATE(E4387, ""en"", ""te""),"""")"),"")</f>
        <v/>
      </c>
      <c r="G4387" s="2" t="s">
        <v>3192</v>
      </c>
      <c r="H4387" s="2" t="str">
        <f>IFERROR(__xludf.DUMMYFUNCTION("IF(G4387&lt;&gt;"""", GOOGLETRANSLATE(G4387, ""en"", ""te""),"""")"),"[ '39 వ తొలి మ్యాచ్లో అత్యధిక పరుగులు (53)']")</f>
        <v>[ '39 వ తొలి మ్యాచ్లో అత్యధిక పరుగులు (53)']</v>
      </c>
      <c r="I4387" s="3"/>
    </row>
    <row r="4388" customHeight="1" spans="1:9">
      <c r="A4388" s="2"/>
      <c r="B4388" s="2" t="str">
        <f>IFERROR(__xludf.DUMMYFUNCTION("IF(A4388&lt;&gt;"""", GOOGLETRANSLATE(A4388, ""en"", ""te""),"""")"),"")</f>
        <v/>
      </c>
      <c r="C4388" s="2"/>
      <c r="D4388" s="2" t="str">
        <f>IFERROR(__xludf.DUMMYFUNCTION("IF(C4388&lt;&gt;"""", GOOGLETRANSLATE(C4388, ""en"", ""te""),"""")"),"")</f>
        <v/>
      </c>
      <c r="E4388" s="2"/>
      <c r="F4388" s="2" t="str">
        <f>IFERROR(__xludf.DUMMYFUNCTION("IF(E4388&lt;&gt;"""", GOOGLETRANSLATE(E4388, ""en"", ""te""),"""")"),"")</f>
        <v/>
      </c>
      <c r="G4388" s="2"/>
      <c r="H4388" s="2" t="str">
        <f>IFERROR(__xludf.DUMMYFUNCTION("IF(G4388&lt;&gt;"""", GOOGLETRANSLATE(G4388, ""en"", ""te""),"""")"),"")</f>
        <v/>
      </c>
      <c r="I4388" s="3"/>
    </row>
    <row r="4389" customHeight="1" spans="1:9">
      <c r="A4389" s="2"/>
      <c r="B4389" s="2" t="str">
        <f>IFERROR(__xludf.DUMMYFUNCTION("IF(A4389&lt;&gt;"""", GOOGLETRANSLATE(A4389, ""en"", ""te""),"""")"),"")</f>
        <v/>
      </c>
      <c r="C4389" s="2"/>
      <c r="D4389" s="2" t="str">
        <f>IFERROR(__xludf.DUMMYFUNCTION("IF(C4389&lt;&gt;"""", GOOGLETRANSLATE(C4389, ""en"", ""te""),"""")"),"")</f>
        <v/>
      </c>
      <c r="E4389" s="2"/>
      <c r="F4389" s="2" t="str">
        <f>IFERROR(__xludf.DUMMYFUNCTION("IF(E4389&lt;&gt;"""", GOOGLETRANSLATE(E4389, ""en"", ""te""),"""")"),"")</f>
        <v/>
      </c>
      <c r="G4389" s="2"/>
      <c r="H4389" s="2" t="str">
        <f>IFERROR(__xludf.DUMMYFUNCTION("IF(G4389&lt;&gt;"""", GOOGLETRANSLATE(G4389, ""en"", ""te""),"""")"),"")</f>
        <v/>
      </c>
      <c r="I4389" s="3"/>
    </row>
    <row r="4390" customHeight="1" spans="1:9">
      <c r="A4390" s="2"/>
      <c r="B4390" s="2" t="str">
        <f>IFERROR(__xludf.DUMMYFUNCTION("IF(A4390&lt;&gt;"""", GOOGLETRANSLATE(A4390, ""en"", ""te""),"""")"),"")</f>
        <v/>
      </c>
      <c r="C4390" s="2"/>
      <c r="D4390" s="2" t="str">
        <f>IFERROR(__xludf.DUMMYFUNCTION("IF(C4390&lt;&gt;"""", GOOGLETRANSLATE(C4390, ""en"", ""te""),"""")"),"")</f>
        <v/>
      </c>
      <c r="E4390" s="2"/>
      <c r="F4390" s="2" t="str">
        <f>IFERROR(__xludf.DUMMYFUNCTION("IF(E4390&lt;&gt;"""", GOOGLETRANSLATE(E4390, ""en"", ""te""),"""")"),"")</f>
        <v/>
      </c>
      <c r="G4390" s="2"/>
      <c r="H4390" s="2" t="str">
        <f>IFERROR(__xludf.DUMMYFUNCTION("IF(G4390&lt;&gt;"""", GOOGLETRANSLATE(G4390, ""en"", ""te""),"""")"),"")</f>
        <v/>
      </c>
      <c r="I4390" s="3"/>
    </row>
    <row r="4391" customHeight="1" spans="1:9">
      <c r="A4391" s="2" t="s">
        <v>3193</v>
      </c>
      <c r="B4391" s="2" t="str">
        <f>IFERROR(__xludf.DUMMYFUNCTION("IF(A4391&lt;&gt;"""", GOOGLETRANSLATE(A4391, ""en"", ""te""),"""")"),"[ 'తొలి హండ్రెడ్ (110)', 'హండ్రెడ్ మరియు ఒక మ్యాచ్లో ఒక డక్', 'తొలి నుండి (3) వరుస మ్యాచ్లలో 1st వందల' '1 వ ఇన్నింగ్స్ లో అత్యధిక క్యాచ్లు (5)', '5000 పరుగులు మరియు 50 ఫీల్డింగ్ వికెట్లు ',' 6 వ వరుస మ్యాచ్లు జట్టు (126) ',' (98) ',' 9 వ ఇన్నింగ్స్ లో అత్"&amp;"యధిక పరుగులు (153 *) (బ్యాటింగ్ స్థానం) 'ఒక జట్టు కెప్టెన్గా 2 వ వరుస మ్యాచ్లు, '5000 పరుగులు మరియు 50 ఫీల్డింగ్ వికెట్లు', 'నాలుగవ వికెట్కు 1st అత్యధిక భాగస్వామ్యం (275 *)', '2 వ వరుస' ఇన్నింగ్స్ (4) 2 వ అత్యధిక క్యాచ్లు ',' (7) కెరీర్లో 6 వ అత్యంత తొంభె"&amp;"ౖల ' ఒక జట్టు కోసం ఒక జట్టు కెప్టెన్గా మ్యాచ్లు (98) ',' 4 వ వరుస మ్యాచ్లు (168) ',' 1 వ వరుస మ్యాచ్లు ఒక జట్టు కెప్టెన్గా (128) ',' తొలి నుండి వరుస మ్యాచ్లలో 1st వందల (2) ']")</f>
        <v>[ 'తొలి హండ్రెడ్ (110)', 'హండ్రెడ్ మరియు ఒక మ్యాచ్లో ఒక డక్', 'తొలి నుండి (3) వరుస మ్యాచ్లలో 1st వందల' '1 వ ఇన్నింగ్స్ లో అత్యధిక క్యాచ్లు (5)', '5000 పరుగులు మరియు 50 ఫీల్డింగ్ వికెట్లు ',' 6 వ వరుస మ్యాచ్లు జట్టు (126) ',' (98) ',' 9 వ ఇన్నింగ్స్ లో అత్యధిక పరుగులు (153 *) (బ్యాటింగ్ స్థానం) 'ఒక జట్టు కెప్టెన్గా 2 వ వరుస మ్యాచ్లు, '5000 పరుగులు మరియు 50 ఫీల్డింగ్ వికెట్లు', 'నాలుగవ వికెట్కు 1st అత్యధిక భాగస్వామ్యం (275 *)', '2 వ వరుస' ఇన్నింగ్స్ (4) 2 వ అత్యధిక క్యాచ్లు ',' (7) కెరీర్లో 6 వ అత్యంత తొంభైల ' ఒక జట్టు కోసం ఒక జట్టు కెప్టెన్గా మ్యాచ్లు (98) ',' 4 వ వరుస మ్యాచ్లు (168) ',' 1 వ వరుస మ్యాచ్లు ఒక జట్టు కెప్టెన్గా (128) ',' తొలి నుండి వరుస మ్యాచ్లలో 1st వందల (2) ']</v>
      </c>
      <c r="C4391" s="2" t="s">
        <v>3194</v>
      </c>
      <c r="D4391" s="2" t="str">
        <f>IFERROR(__xludf.DUMMYFUNCTION("IF(C4391&lt;&gt;"""", GOOGLETRANSLATE(C4391, ""en"", ""te""),"""")"),"[ '26 హండ్రెడ్ గత మ్యాచ్లో (102)', '32 వ ఒక వృత్తిలో అత్యధిక వందలు (22)', 'వరుస మ్యాచ్లలో 21 వందల (3)', 'తొలి నుండి వరుస మ్యాచ్లలో 1st వందల (3)', '38 వ 3000 పరుగులు 23 వేగవంతమైన 99 (199, 299 etc) కెరీర్లో (199) ',' 25 వ అతి తక్కువ బాతులు (29.4) అవుటయ్యాడ"&amp;"ు ',' (64) ',' 26th 4000 పరుగులు (88) ',' 50 వ వేగంగా వేగవంతమైన 5000 పరుగులు (120) ',' ఫాస్టెస్ట్ 6000 పరుగులు (143) ',' 34 వ అత్యధిక క్యాచ్లు కెరీర్ లో 41 వ (105) ',' 1 వ ఇన్నింగ్స్ వరుస (5) ',' 42 వ అత్యధిక క్యాచ్లు లో అత్యధిక క్యాచ్లు (10) ',' ఆరవ విక"&amp;"ెట్కు 14 అత్యధిక భాగస్వామ్యం (272) ',' ఎనిమిదవ వికెట్కు 16 అత్యధిక భాగస్వామ్యం (161) ',' 23 వ వరుస బృందం (69) ',' 44 వ అత్యంత ప్లేయర్ ఆఫ్ మ్యాచ్లు -ది-సిరీస్ అవార్డులు (3) ',' 22 వ కెప్టెన్గా అత్యధిక మ్యాచ్లు (47) ',' ఒక జట్టు కెప్టెన్గా 11 వ వరుస మ్యాచ్ల"&amp;"ు (37) ',' వరుస (3) లో అన్ని టాస్ గెలిచి 43 వ ']")</f>
        <v>[ '26 హండ్రెడ్ గత మ్యాచ్లో (102)', '32 వ ఒక వృత్తిలో అత్యధిక వందలు (22)', 'వరుస మ్యాచ్లలో 21 వందల (3)', 'తొలి నుండి వరుస మ్యాచ్లలో 1st వందల (3)', '38 వ 3000 పరుగులు 23 వేగవంతమైన 99 (199, 299 etc) కెరీర్లో (199) ',' 25 వ అతి తక్కువ బాతులు (29.4) అవుటయ్యాడు ',' (64) ',' 26th 4000 పరుగులు (88) ',' 50 వ వేగంగా వేగవంతమైన 5000 పరుగులు (120) ',' ఫాస్టెస్ట్ 6000 పరుగులు (143) ',' 34 వ అత్యధిక క్యాచ్లు కెరీర్ లో 41 వ (105) ',' 1 వ ఇన్నింగ్స్ వరుస (5) ',' 42 వ అత్యధిక క్యాచ్లు లో అత్యధిక క్యాచ్లు (10) ',' ఆరవ వికెట్కు 14 అత్యధిక భాగస్వామ్యం (272) ',' ఎనిమిదవ వికెట్కు 16 అత్యధిక భాగస్వామ్యం (161) ',' 23 వ వరుస బృందం (69) ',' 44 వ అత్యంత ప్లేయర్ ఆఫ్ మ్యాచ్లు -ది-సిరీస్ అవార్డులు (3) ',' 22 వ కెప్టెన్గా అత్యధిక మ్యాచ్లు (47) ',' ఒక జట్టు కెప్టెన్గా 11 వ వరుస మ్యాచ్లు (37) ',' వరుస (3) లో అన్ని టాస్ గెలిచి 43 వ ']</v>
      </c>
      <c r="E4391" s="2" t="s">
        <v>3195</v>
      </c>
      <c r="F4391" s="2" t="str">
        <f>IFERROR(__xludf.DUMMYFUNCTION("IF(E4391&lt;&gt;"""", GOOGLETRANSLATE(E4391, ""en"", ""te""),"""")"),"[18 వ కెరీర్ లో అత్యధిక పరుగులు (9378) ',' 35 వ ఒక క్యాలెండర్ సంవత్సరంలో అత్యధిక పరుగులు (1268) ',' ఇన్నింగ్స్ లో 9 వ అత్యధిక పరుగులు (బ్యాటింగ్ స్థానంలో ప్రకారం) (153 *) ',' 16 వ ఒక సింగిల్ అత్యధిక పరుగులు భూమి (1660) ',' 48 వ అత్యంత కెప్టెన్ ద్వారా ఒక స"&amp;"ిరీస్లో పరుగులు (332) ',' ఒక కెప్టెన్ (153 *) ద్వారా ఇన్నింగ్స్ లో 17 వ అత్యధిక పరుగులు ',' ఇన్నింగ్స్ లో 22 వ అత్యధిక స్ట్రైక్ రేట్ (290.00) ', 'కెరీర్ లో 6 వ అత్యంత తొంభైల (7)' '37 వ అత్యంత వృద్ధ ఆటగాడు వంద (35y 224d) స్కోర్', '28th చాలా అర్ధ కెరీర్లో"&amp;" (65)', 'వరుస ఇన్నింగ్స్లో 44 వ యాభైల్లో (4)', '30 వ అత్యంత ఒక డక్ లేకుండా వరుస ఇన్నింగ్స్లో కెరీర్లో (70) ',' 28th అతి తక్కువ బాతులు (34.22) ',' 43 వ కెరీర్ ఫోర్లు (622+) ',' 48 వ వేగవంతమైన 6000 పరుగులు (205) ',' 33 వ వేగవంతమైన 7000 పరుగులు (233) ',' "&amp;"ఫాస్టెస్ట్ 28 8000 పరుగులు (257) ',' ఫాస్టెస్ట్ కెరీర్లో 9000 పరుగులు (294) ',' 3 వ అత్యధిక క్యాచ్లు 19 (156) ',' ఇన్నింగ్స్ లో 2 వ అత్యధిక క్యాచ్లు (4) ', '24th ఒక సిరీస్లో అత్యధిక క్యాచ్లు (8)', 'ఏ వికెట్కు 11 వ అత్యధిక భాగస్వామ్యాల (275 *)', 'వికెట్ తే"&amp;"డాతో 4 వ అత్యధిక భాగస్వామ్యాల (4 వ)', '1 వ అత్యధిక partnershi నాలుగో వికెట్కు p (275 *) ',' ఐదవ వికెట్కు 4 వ అత్యధిక భాగస్వామ్యం (223) ',' ఆరవ వికెట్కు 41 వ అత్యధిక భాగస్వామ్యం (127) ',' 12 వ అత్యధిక మ్యాచ్లు కెరీర్లో (334) ',' 6 వ ఒక జట్టు వరుస మ్యాచ్లు "&amp;"(126) ',' 40 వ అత్యంత ప్లేయర్ ఆఫ్ ది మ్యాచ్ అవార్డులు (18) ',' 45 వ అత్యంత ప్లేయర్ ఆఫ్ ది సిరీస్ అవార్డులు (3) ',' 48 వ లాంగెస్ట్ కెరీర్లు (15y 135d ) ',' 6 వ అత్యధిక మ్యాచ్లు కెప్టెన్గా (174) ',' ఒక జట్టు కెప్టెన్గా 2 వ వరుస మ్యాచ్లు (98) ',' 31 వరుస అన్"&amp;"ని టాస్ గెలిచిన (5) ']")</f>
        <v>[18 వ కెరీర్ లో అత్యధిక పరుగులు (9378) ',' 35 వ ఒక క్యాలెండర్ సంవత్సరంలో అత్యధిక పరుగులు (1268) ',' ఇన్నింగ్స్ లో 9 వ అత్యధిక పరుగులు (బ్యాటింగ్ స్థానంలో ప్రకారం) (153 *) ',' 16 వ ఒక సింగిల్ అత్యధిక పరుగులు భూమి (1660) ',' 48 వ అత్యంత కెప్టెన్ ద్వారా ఒక సిరీస్లో పరుగులు (332) ',' ఒక కెప్టెన్ (153 *) ద్వారా ఇన్నింగ్స్ లో 17 వ అత్యధిక పరుగులు ',' ఇన్నింగ్స్ లో 22 వ అత్యధిక స్ట్రైక్ రేట్ (290.00) ', 'కెరీర్ లో 6 వ అత్యంత తొంభైల (7)' '37 వ అత్యంత వృద్ధ ఆటగాడు వంద (35y 224d) స్కోర్', '28th చాలా అర్ధ కెరీర్లో (65)', 'వరుస ఇన్నింగ్స్లో 44 వ యాభైల్లో (4)', '30 వ అత్యంత ఒక డక్ లేకుండా వరుస ఇన్నింగ్స్లో కెరీర్లో (70) ',' 28th అతి తక్కువ బాతులు (34.22) ',' 43 వ కెరీర్ ఫోర్లు (622+) ',' 48 వ వేగవంతమైన 6000 పరుగులు (205) ',' 33 వ వేగవంతమైన 7000 పరుగులు (233) ',' ఫాస్టెస్ట్ 28 8000 పరుగులు (257) ',' ఫాస్టెస్ట్ కెరీర్లో 9000 పరుగులు (294) ',' 3 వ అత్యధిక క్యాచ్లు 19 (156) ',' ఇన్నింగ్స్ లో 2 వ అత్యధిక క్యాచ్లు (4) ', '24th ఒక సిరీస్లో అత్యధిక క్యాచ్లు (8)', 'ఏ వికెట్కు 11 వ అత్యధిక భాగస్వామ్యాల (275 *)', 'వికెట్ తేడాతో 4 వ అత్యధిక భాగస్వామ్యాల (4 వ)', '1 వ అత్యధిక partnershi నాలుగో వికెట్కు p (275 *) ',' ఐదవ వికెట్కు 4 వ అత్యధిక భాగస్వామ్యం (223) ',' ఆరవ వికెట్కు 41 వ అత్యధిక భాగస్వామ్యం (127) ',' 12 వ అత్యధిక మ్యాచ్లు కెరీర్లో (334) ',' 6 వ ఒక జట్టు వరుస మ్యాచ్లు (126) ',' 40 వ అత్యంత ప్లేయర్ ఆఫ్ ది మ్యాచ్ అవార్డులు (18) ',' 45 వ అత్యంత ప్లేయర్ ఆఫ్ ది సిరీస్ అవార్డులు (3) ',' 48 వ లాంగెస్ట్ కెరీర్లు (15y 135d ) ',' 6 వ అత్యధిక మ్యాచ్లు కెప్టెన్గా (174) ',' ఒక జట్టు కెప్టెన్గా 2 వ వరుస మ్యాచ్లు (98) ',' 31 వరుస అన్ని టాస్ గెలిచిన (5) ']</v>
      </c>
      <c r="G4391" s="2" t="s">
        <v>3196</v>
      </c>
      <c r="H4391" s="2" t="str">
        <f>IFERROR(__xludf.DUMMYFUNCTION("IF(G4391&lt;&gt;"""", GOOGLETRANSLATE(G4391, ""en"", ""te""),"""")"),"[ 'బృందం (98) కెప్టెన్ గా 2nd వరుస మ్యాచ్లు']")</f>
        <v>[ 'బృందం (98) కెప్టెన్ గా 2nd వరుస మ్యాచ్లు']</v>
      </c>
      <c r="I4391" s="3"/>
    </row>
    <row r="4392" customHeight="1" spans="1:9">
      <c r="A4392" s="2"/>
      <c r="B4392" s="2" t="str">
        <f>IFERROR(__xludf.DUMMYFUNCTION("IF(A4392&lt;&gt;"""", GOOGLETRANSLATE(A4392, ""en"", ""te""),"""")"),"")</f>
        <v/>
      </c>
      <c r="C4392" s="2"/>
      <c r="D4392" s="2" t="str">
        <f>IFERROR(__xludf.DUMMYFUNCTION("IF(C4392&lt;&gt;"""", GOOGLETRANSLATE(C4392, ""en"", ""te""),"""")"),"")</f>
        <v/>
      </c>
      <c r="E4392" s="2"/>
      <c r="F4392" s="2" t="str">
        <f>IFERROR(__xludf.DUMMYFUNCTION("IF(E4392&lt;&gt;"""", GOOGLETRANSLATE(E4392, ""en"", ""te""),"""")"),"")</f>
        <v/>
      </c>
      <c r="G4392" s="2"/>
      <c r="H4392" s="2" t="str">
        <f>IFERROR(__xludf.DUMMYFUNCTION("IF(G4392&lt;&gt;"""", GOOGLETRANSLATE(G4392, ""en"", ""te""),"""")"),"")</f>
        <v/>
      </c>
      <c r="I4392" s="3"/>
    </row>
    <row r="4393" customHeight="1" spans="1:9">
      <c r="A4393" s="2"/>
      <c r="B4393" s="2" t="str">
        <f>IFERROR(__xludf.DUMMYFUNCTION("IF(A4393&lt;&gt;"""", GOOGLETRANSLATE(A4393, ""en"", ""te""),"""")"),"")</f>
        <v/>
      </c>
      <c r="C4393" s="2"/>
      <c r="D4393" s="2" t="str">
        <f>IFERROR(__xludf.DUMMYFUNCTION("IF(C4393&lt;&gt;"""", GOOGLETRANSLATE(C4393, ""en"", ""te""),"""")"),"")</f>
        <v/>
      </c>
      <c r="E4393" s="2"/>
      <c r="F4393" s="2" t="str">
        <f>IFERROR(__xludf.DUMMYFUNCTION("IF(E4393&lt;&gt;"""", GOOGLETRANSLATE(E4393, ""en"", ""te""),"""")"),"")</f>
        <v/>
      </c>
      <c r="G4393" s="2"/>
      <c r="H4393" s="2" t="str">
        <f>IFERROR(__xludf.DUMMYFUNCTION("IF(G4393&lt;&gt;"""", GOOGLETRANSLATE(G4393, ""en"", ""te""),"""")"),"")</f>
        <v/>
      </c>
      <c r="I4393" s="3"/>
    </row>
    <row r="4394" customHeight="1" spans="1:9">
      <c r="A4394" s="2"/>
      <c r="B4394" s="2" t="str">
        <f>IFERROR(__xludf.DUMMYFUNCTION("IF(A4394&lt;&gt;"""", GOOGLETRANSLATE(A4394, ""en"", ""te""),"""")"),"")</f>
        <v/>
      </c>
      <c r="C4394" s="2"/>
      <c r="D4394" s="2" t="str">
        <f>IFERROR(__xludf.DUMMYFUNCTION("IF(C4394&lt;&gt;"""", GOOGLETRANSLATE(C4394, ""en"", ""te""),"""")"),"")</f>
        <v/>
      </c>
      <c r="E4394" s="2"/>
      <c r="F4394" s="2" t="str">
        <f>IFERROR(__xludf.DUMMYFUNCTION("IF(E4394&lt;&gt;"""", GOOGLETRANSLATE(E4394, ""en"", ""te""),"""")"),"")</f>
        <v/>
      </c>
      <c r="G4394" s="2"/>
      <c r="H4394" s="2" t="str">
        <f>IFERROR(__xludf.DUMMYFUNCTION("IF(G4394&lt;&gt;"""", GOOGLETRANSLATE(G4394, ""en"", ""te""),"""")"),"")</f>
        <v/>
      </c>
      <c r="I4394" s="3"/>
    </row>
    <row r="4395" customHeight="1" spans="1:9">
      <c r="A4395" s="2"/>
      <c r="B4395" s="2" t="str">
        <f>IFERROR(__xludf.DUMMYFUNCTION("IF(A4395&lt;&gt;"""", GOOGLETRANSLATE(A4395, ""en"", ""te""),"""")"),"")</f>
        <v/>
      </c>
      <c r="C4395" s="2"/>
      <c r="D4395" s="2" t="str">
        <f>IFERROR(__xludf.DUMMYFUNCTION("IF(C4395&lt;&gt;"""", GOOGLETRANSLATE(C4395, ""en"", ""te""),"""")"),"")</f>
        <v/>
      </c>
      <c r="E4395" s="2"/>
      <c r="F4395" s="2" t="str">
        <f>IFERROR(__xludf.DUMMYFUNCTION("IF(E4395&lt;&gt;"""", GOOGLETRANSLATE(E4395, ""en"", ""te""),"""")"),"")</f>
        <v/>
      </c>
      <c r="G4395" s="2"/>
      <c r="H4395" s="2" t="str">
        <f>IFERROR(__xludf.DUMMYFUNCTION("IF(G4395&lt;&gt;"""", GOOGLETRANSLATE(G4395, ""en"", ""te""),"""")"),"")</f>
        <v/>
      </c>
      <c r="I4395" s="3"/>
    </row>
    <row r="4396" customHeight="1" spans="1:9">
      <c r="A4396" s="2"/>
      <c r="B4396" s="2" t="str">
        <f>IFERROR(__xludf.DUMMYFUNCTION("IF(A4396&lt;&gt;"""", GOOGLETRANSLATE(A4396, ""en"", ""te""),"""")"),"")</f>
        <v/>
      </c>
      <c r="C4396" s="2"/>
      <c r="D4396" s="2" t="str">
        <f>IFERROR(__xludf.DUMMYFUNCTION("IF(C4396&lt;&gt;"""", GOOGLETRANSLATE(C4396, ""en"", ""te""),"""")"),"")</f>
        <v/>
      </c>
      <c r="E4396" s="2"/>
      <c r="F4396" s="2" t="str">
        <f>IFERROR(__xludf.DUMMYFUNCTION("IF(E4396&lt;&gt;"""", GOOGLETRANSLATE(E4396, ""en"", ""te""),"""")"),"")</f>
        <v/>
      </c>
      <c r="G4396" s="2"/>
      <c r="H4396" s="2" t="str">
        <f>IFERROR(__xludf.DUMMYFUNCTION("IF(G4396&lt;&gt;"""", GOOGLETRANSLATE(G4396, ""en"", ""te""),"""")"),"")</f>
        <v/>
      </c>
      <c r="I4396" s="3"/>
    </row>
    <row r="4397" customHeight="1" spans="1:9">
      <c r="A4397" s="2"/>
      <c r="B4397" s="2" t="str">
        <f>IFERROR(__xludf.DUMMYFUNCTION("IF(A4397&lt;&gt;"""", GOOGLETRANSLATE(A4397, ""en"", ""te""),"""")"),"")</f>
        <v/>
      </c>
      <c r="C4397" s="2"/>
      <c r="D4397" s="2" t="str">
        <f>IFERROR(__xludf.DUMMYFUNCTION("IF(C4397&lt;&gt;"""", GOOGLETRANSLATE(C4397, ""en"", ""te""),"""")"),"")</f>
        <v/>
      </c>
      <c r="E4397" s="2"/>
      <c r="F4397" s="2" t="str">
        <f>IFERROR(__xludf.DUMMYFUNCTION("IF(E4397&lt;&gt;"""", GOOGLETRANSLATE(E4397, ""en"", ""te""),"""")"),"")</f>
        <v/>
      </c>
      <c r="G4397" s="2"/>
      <c r="H4397" s="2" t="str">
        <f>IFERROR(__xludf.DUMMYFUNCTION("IF(G4397&lt;&gt;"""", GOOGLETRANSLATE(G4397, ""en"", ""te""),"""")"),"")</f>
        <v/>
      </c>
      <c r="I4397" s="3"/>
    </row>
    <row r="4398" customHeight="1" spans="1:9">
      <c r="A4398" s="2"/>
      <c r="B4398" s="2" t="str">
        <f>IFERROR(__xludf.DUMMYFUNCTION("IF(A4398&lt;&gt;"""", GOOGLETRANSLATE(A4398, ""en"", ""te""),"""")"),"")</f>
        <v/>
      </c>
      <c r="C4398" s="2"/>
      <c r="D4398" s="2" t="str">
        <f>IFERROR(__xludf.DUMMYFUNCTION("IF(C4398&lt;&gt;"""", GOOGLETRANSLATE(C4398, ""en"", ""te""),"""")"),"")</f>
        <v/>
      </c>
      <c r="E4398" s="2"/>
      <c r="F4398" s="2" t="str">
        <f>IFERROR(__xludf.DUMMYFUNCTION("IF(E4398&lt;&gt;"""", GOOGLETRANSLATE(E4398, ""en"", ""te""),"""")"),"")</f>
        <v/>
      </c>
      <c r="G4398" s="2"/>
      <c r="H4398" s="2" t="str">
        <f>IFERROR(__xludf.DUMMYFUNCTION("IF(G4398&lt;&gt;"""", GOOGLETRANSLATE(G4398, ""en"", ""te""),"""")"),"")</f>
        <v/>
      </c>
      <c r="I4398" s="3"/>
    </row>
    <row r="4399" customHeight="1" spans="1:9">
      <c r="A4399" s="2"/>
      <c r="B4399" s="2" t="str">
        <f>IFERROR(__xludf.DUMMYFUNCTION("IF(A4399&lt;&gt;"""", GOOGLETRANSLATE(A4399, ""en"", ""te""),"""")"),"")</f>
        <v/>
      </c>
      <c r="C4399" s="2"/>
      <c r="D4399" s="2" t="str">
        <f>IFERROR(__xludf.DUMMYFUNCTION("IF(C4399&lt;&gt;"""", GOOGLETRANSLATE(C4399, ""en"", ""te""),"""")"),"")</f>
        <v/>
      </c>
      <c r="E4399" s="2"/>
      <c r="F4399" s="2" t="str">
        <f>IFERROR(__xludf.DUMMYFUNCTION("IF(E4399&lt;&gt;"""", GOOGLETRANSLATE(E4399, ""en"", ""te""),"""")"),"")</f>
        <v/>
      </c>
      <c r="G4399" s="2"/>
      <c r="H4399" s="2" t="str">
        <f>IFERROR(__xludf.DUMMYFUNCTION("IF(G4399&lt;&gt;"""", GOOGLETRANSLATE(G4399, ""en"", ""te""),"""")"),"")</f>
        <v/>
      </c>
      <c r="I4399" s="3"/>
    </row>
    <row r="4400" customHeight="1" spans="1:9">
      <c r="A4400" s="2"/>
      <c r="B4400" s="2" t="str">
        <f>IFERROR(__xludf.DUMMYFUNCTION("IF(A4400&lt;&gt;"""", GOOGLETRANSLATE(A4400, ""en"", ""te""),"""")"),"")</f>
        <v/>
      </c>
      <c r="C4400" s="2"/>
      <c r="D4400" s="2" t="str">
        <f>IFERROR(__xludf.DUMMYFUNCTION("IF(C4400&lt;&gt;"""", GOOGLETRANSLATE(C4400, ""en"", ""te""),"""")"),"")</f>
        <v/>
      </c>
      <c r="E4400" s="2"/>
      <c r="F4400" s="2" t="str">
        <f>IFERROR(__xludf.DUMMYFUNCTION("IF(E4400&lt;&gt;"""", GOOGLETRANSLATE(E4400, ""en"", ""te""),"""")"),"")</f>
        <v/>
      </c>
      <c r="G4400" s="2"/>
      <c r="H4400" s="2" t="str">
        <f>IFERROR(__xludf.DUMMYFUNCTION("IF(G4400&lt;&gt;"""", GOOGLETRANSLATE(G4400, ""en"", ""te""),"""")"),"")</f>
        <v/>
      </c>
      <c r="I4400" s="3"/>
    </row>
    <row r="4401" customHeight="1" spans="1:9">
      <c r="A4401" s="2"/>
      <c r="B4401" s="2" t="str">
        <f>IFERROR(__xludf.DUMMYFUNCTION("IF(A4401&lt;&gt;"""", GOOGLETRANSLATE(A4401, ""en"", ""te""),"""")"),"")</f>
        <v/>
      </c>
      <c r="C4401" s="2"/>
      <c r="D4401" s="2" t="str">
        <f>IFERROR(__xludf.DUMMYFUNCTION("IF(C4401&lt;&gt;"""", GOOGLETRANSLATE(C4401, ""en"", ""te""),"""")"),"")</f>
        <v/>
      </c>
      <c r="E4401" s="2"/>
      <c r="F4401" s="2" t="str">
        <f>IFERROR(__xludf.DUMMYFUNCTION("IF(E4401&lt;&gt;"""", GOOGLETRANSLATE(E4401, ""en"", ""te""),"""")"),"")</f>
        <v/>
      </c>
      <c r="G4401" s="2"/>
      <c r="H4401" s="2" t="str">
        <f>IFERROR(__xludf.DUMMYFUNCTION("IF(G4401&lt;&gt;"""", GOOGLETRANSLATE(G4401, ""en"", ""te""),"""")"),"")</f>
        <v/>
      </c>
      <c r="I4401" s="3"/>
    </row>
    <row r="4402" customHeight="1" spans="1:9">
      <c r="A4402" s="2"/>
      <c r="B4402" s="2" t="str">
        <f>IFERROR(__xludf.DUMMYFUNCTION("IF(A4402&lt;&gt;"""", GOOGLETRANSLATE(A4402, ""en"", ""te""),"""")"),"")</f>
        <v/>
      </c>
      <c r="C4402" s="2"/>
      <c r="D4402" s="2" t="str">
        <f>IFERROR(__xludf.DUMMYFUNCTION("IF(C4402&lt;&gt;"""", GOOGLETRANSLATE(C4402, ""en"", ""te""),"""")"),"")</f>
        <v/>
      </c>
      <c r="E4402" s="2"/>
      <c r="F4402" s="2" t="str">
        <f>IFERROR(__xludf.DUMMYFUNCTION("IF(E4402&lt;&gt;"""", GOOGLETRANSLATE(E4402, ""en"", ""te""),"""")"),"")</f>
        <v/>
      </c>
      <c r="G4402" s="2"/>
      <c r="H4402" s="2" t="str">
        <f>IFERROR(__xludf.DUMMYFUNCTION("IF(G4402&lt;&gt;"""", GOOGLETRANSLATE(G4402, ""en"", ""te""),"""")"),"")</f>
        <v/>
      </c>
      <c r="I4402" s="3"/>
    </row>
    <row r="4403" customHeight="1" spans="1:9">
      <c r="A4403" s="2"/>
      <c r="B4403" s="2" t="str">
        <f>IFERROR(__xludf.DUMMYFUNCTION("IF(A4403&lt;&gt;"""", GOOGLETRANSLATE(A4403, ""en"", ""te""),"""")"),"")</f>
        <v/>
      </c>
      <c r="C4403" s="2"/>
      <c r="D4403" s="2" t="str">
        <f>IFERROR(__xludf.DUMMYFUNCTION("IF(C4403&lt;&gt;"""", GOOGLETRANSLATE(C4403, ""en"", ""te""),"""")"),"")</f>
        <v/>
      </c>
      <c r="E4403" s="2"/>
      <c r="F4403" s="2" t="str">
        <f>IFERROR(__xludf.DUMMYFUNCTION("IF(E4403&lt;&gt;"""", GOOGLETRANSLATE(E4403, ""en"", ""te""),"""")"),"")</f>
        <v/>
      </c>
      <c r="G4403" s="2"/>
      <c r="H4403" s="2" t="str">
        <f>IFERROR(__xludf.DUMMYFUNCTION("IF(G4403&lt;&gt;"""", GOOGLETRANSLATE(G4403, ""en"", ""te""),"""")"),"")</f>
        <v/>
      </c>
      <c r="I4403" s="3"/>
    </row>
    <row r="4404" customHeight="1" spans="1:9">
      <c r="A4404" s="2"/>
      <c r="B4404" s="2" t="str">
        <f>IFERROR(__xludf.DUMMYFUNCTION("IF(A4404&lt;&gt;"""", GOOGLETRANSLATE(A4404, ""en"", ""te""),"""")"),"")</f>
        <v/>
      </c>
      <c r="C4404" s="2"/>
      <c r="D4404" s="2" t="str">
        <f>IFERROR(__xludf.DUMMYFUNCTION("IF(C4404&lt;&gt;"""", GOOGLETRANSLATE(C4404, ""en"", ""te""),"""")"),"")</f>
        <v/>
      </c>
      <c r="E4404" s="2"/>
      <c r="F4404" s="2" t="str">
        <f>IFERROR(__xludf.DUMMYFUNCTION("IF(E4404&lt;&gt;"""", GOOGLETRANSLATE(E4404, ""en"", ""te""),"""")"),"")</f>
        <v/>
      </c>
      <c r="G4404" s="2"/>
      <c r="H4404" s="2" t="str">
        <f>IFERROR(__xludf.DUMMYFUNCTION("IF(G4404&lt;&gt;"""", GOOGLETRANSLATE(G4404, ""en"", ""te""),"""")"),"")</f>
        <v/>
      </c>
      <c r="I4404" s="3"/>
    </row>
    <row r="4405" customHeight="1" spans="1:9">
      <c r="A4405" s="2"/>
      <c r="B4405" s="2" t="str">
        <f>IFERROR(__xludf.DUMMYFUNCTION("IF(A4405&lt;&gt;"""", GOOGLETRANSLATE(A4405, ""en"", ""te""),"""")"),"")</f>
        <v/>
      </c>
      <c r="C4405" s="2"/>
      <c r="D4405" s="2" t="str">
        <f>IFERROR(__xludf.DUMMYFUNCTION("IF(C4405&lt;&gt;"""", GOOGLETRANSLATE(C4405, ""en"", ""te""),"""")"),"")</f>
        <v/>
      </c>
      <c r="E4405" s="2"/>
      <c r="F4405" s="2" t="str">
        <f>IFERROR(__xludf.DUMMYFUNCTION("IF(E4405&lt;&gt;"""", GOOGLETRANSLATE(E4405, ""en"", ""te""),"""")"),"")</f>
        <v/>
      </c>
      <c r="G4405" s="2"/>
      <c r="H4405" s="2" t="str">
        <f>IFERROR(__xludf.DUMMYFUNCTION("IF(G4405&lt;&gt;"""", GOOGLETRANSLATE(G4405, ""en"", ""te""),"""")"),"")</f>
        <v/>
      </c>
      <c r="I4405" s="3"/>
    </row>
    <row r="4406" customHeight="1" spans="1:9">
      <c r="A4406" s="2"/>
      <c r="B4406" s="2" t="str">
        <f>IFERROR(__xludf.DUMMYFUNCTION("IF(A4406&lt;&gt;"""", GOOGLETRANSLATE(A4406, ""en"", ""te""),"""")"),"")</f>
        <v/>
      </c>
      <c r="C4406" s="2"/>
      <c r="D4406" s="2" t="str">
        <f>IFERROR(__xludf.DUMMYFUNCTION("IF(C4406&lt;&gt;"""", GOOGLETRANSLATE(C4406, ""en"", ""te""),"""")"),"")</f>
        <v/>
      </c>
      <c r="E4406" s="2"/>
      <c r="F4406" s="2" t="str">
        <f>IFERROR(__xludf.DUMMYFUNCTION("IF(E4406&lt;&gt;"""", GOOGLETRANSLATE(E4406, ""en"", ""te""),"""")"),"")</f>
        <v/>
      </c>
      <c r="G4406" s="2"/>
      <c r="H4406" s="2" t="str">
        <f>IFERROR(__xludf.DUMMYFUNCTION("IF(G4406&lt;&gt;"""", GOOGLETRANSLATE(G4406, ""en"", ""te""),"""")"),"")</f>
        <v/>
      </c>
      <c r="I4406" s="3"/>
    </row>
    <row r="4407" customHeight="1" spans="1:9">
      <c r="A4407" s="2"/>
      <c r="B4407" s="2" t="str">
        <f>IFERROR(__xludf.DUMMYFUNCTION("IF(A4407&lt;&gt;"""", GOOGLETRANSLATE(A4407, ""en"", ""te""),"""")"),"")</f>
        <v/>
      </c>
      <c r="C4407" s="2"/>
      <c r="D4407" s="2" t="str">
        <f>IFERROR(__xludf.DUMMYFUNCTION("IF(C4407&lt;&gt;"""", GOOGLETRANSLATE(C4407, ""en"", ""te""),"""")"),"")</f>
        <v/>
      </c>
      <c r="E4407" s="2"/>
      <c r="F4407" s="2" t="str">
        <f>IFERROR(__xludf.DUMMYFUNCTION("IF(E4407&lt;&gt;"""", GOOGLETRANSLATE(E4407, ""en"", ""te""),"""")"),"")</f>
        <v/>
      </c>
      <c r="G4407" s="2"/>
      <c r="H4407" s="2" t="str">
        <f>IFERROR(__xludf.DUMMYFUNCTION("IF(G4407&lt;&gt;"""", GOOGLETRANSLATE(G4407, ""en"", ""te""),"""")"),"")</f>
        <v/>
      </c>
      <c r="I4407" s="3"/>
    </row>
    <row r="4408" customHeight="1" spans="1:9">
      <c r="A4408" s="2"/>
      <c r="B4408" s="2" t="str">
        <f>IFERROR(__xludf.DUMMYFUNCTION("IF(A4408&lt;&gt;"""", GOOGLETRANSLATE(A4408, ""en"", ""te""),"""")"),"")</f>
        <v/>
      </c>
      <c r="C4408" s="2"/>
      <c r="D4408" s="2" t="str">
        <f>IFERROR(__xludf.DUMMYFUNCTION("IF(C4408&lt;&gt;"""", GOOGLETRANSLATE(C4408, ""en"", ""te""),"""")"),"")</f>
        <v/>
      </c>
      <c r="E4408" s="2"/>
      <c r="F4408" s="2" t="str">
        <f>IFERROR(__xludf.DUMMYFUNCTION("IF(E4408&lt;&gt;"""", GOOGLETRANSLATE(E4408, ""en"", ""te""),"""")"),"")</f>
        <v/>
      </c>
      <c r="G4408" s="2"/>
      <c r="H4408" s="2" t="str">
        <f>IFERROR(__xludf.DUMMYFUNCTION("IF(G4408&lt;&gt;"""", GOOGLETRANSLATE(G4408, ""en"", ""te""),"""")"),"")</f>
        <v/>
      </c>
      <c r="I4408" s="3"/>
    </row>
    <row r="4409" customHeight="1" spans="1:9">
      <c r="A4409" s="2" t="s">
        <v>3197</v>
      </c>
      <c r="B4409" s="2" t="str">
        <f>IFERROR(__xludf.DUMMYFUNCTION("IF(A4409&lt;&gt;"""", GOOGLETRANSLATE(A4409, ""en"", ""te""),"""")"),"[ 'ప్రదర్శనల మధ్య 8 వ లాంగెస్ట్ వ్యవధిలో (12y 129d)', 'హండ్రెడ్ తొలి (118)', 'ప్రదర్శనల మధ్య 10 వ లాంగెస్ట్ వ్యవధిలో (12y 129d)']")</f>
        <v>[ 'ప్రదర్శనల మధ్య 8 వ లాంగెస్ట్ వ్యవధిలో (12y 129d)', 'హండ్రెడ్ తొలి (118)', 'ప్రదర్శనల మధ్య 10 వ లాంగెస్ట్ వ్యవధిలో (12y 129d)']</v>
      </c>
      <c r="C4409" s="2" t="s">
        <v>3198</v>
      </c>
      <c r="D4409" s="2" t="str">
        <f>IFERROR(__xludf.DUMMYFUNCTION("IF(C4409&lt;&gt;"""", GOOGLETRANSLATE(C4409, ""en"", ""te""),"""")"),"[ '45 వ తొలి మ్యాచ్లో అత్యధిక పరుగులు (156)', '28th లాంగెస్ట్ కెరీర్లు (19y 0 రో)', 'ప్రదర్శనల మధ్య 8 వ లాంగెస్ట్ వ్యవధిలో (12y 129d)', '13 వ ఓల్డెస్ట్ కాప్టెన్ (41y 95d)', 'పై 39 వ ఓల్డెస్ట్ కెప్టెన్లు కెప్టెన్సీ ప్రవేశం (36y 78d) ']")</f>
        <v>[ '45 వ తొలి మ్యాచ్లో అత్యధిక పరుగులు (156)', '28th లాంగెస్ట్ కెరీర్లు (19y 0 రో)', 'ప్రదర్శనల మధ్య 8 వ లాంగెస్ట్ వ్యవధిలో (12y 129d)', '13 వ ఓల్డెస్ట్ కాప్టెన్ (41y 95d)', 'పై 39 వ ఓల్డెస్ట్ కెప్టెన్లు కెప్టెన్సీ ప్రవేశం (36y 78d) ']</v>
      </c>
      <c r="E4409" s="2"/>
      <c r="F4409" s="2" t="str">
        <f>IFERROR(__xludf.DUMMYFUNCTION("IF(E4409&lt;&gt;"""", GOOGLETRANSLATE(E4409, ""en"", ""te""),"""")"),"")</f>
        <v/>
      </c>
      <c r="G4409" s="2"/>
      <c r="H4409" s="2" t="str">
        <f>IFERROR(__xludf.DUMMYFUNCTION("IF(G4409&lt;&gt;"""", GOOGLETRANSLATE(G4409, ""en"", ""te""),"""")"),"")</f>
        <v/>
      </c>
      <c r="I4409" s="3"/>
    </row>
    <row r="4410" customHeight="1" spans="1:9">
      <c r="A4410" s="2"/>
      <c r="B4410" s="2" t="str">
        <f>IFERROR(__xludf.DUMMYFUNCTION("IF(A4410&lt;&gt;"""", GOOGLETRANSLATE(A4410, ""en"", ""te""),"""")"),"")</f>
        <v/>
      </c>
      <c r="C4410" s="2"/>
      <c r="D4410" s="2" t="str">
        <f>IFERROR(__xludf.DUMMYFUNCTION("IF(C4410&lt;&gt;"""", GOOGLETRANSLATE(C4410, ""en"", ""te""),"""")"),"")</f>
        <v/>
      </c>
      <c r="E4410" s="2"/>
      <c r="F4410" s="2" t="str">
        <f>IFERROR(__xludf.DUMMYFUNCTION("IF(E4410&lt;&gt;"""", GOOGLETRANSLATE(E4410, ""en"", ""te""),"""")"),"")</f>
        <v/>
      </c>
      <c r="G4410" s="2"/>
      <c r="H4410" s="2" t="str">
        <f>IFERROR(__xludf.DUMMYFUNCTION("IF(G4410&lt;&gt;"""", GOOGLETRANSLATE(G4410, ""en"", ""te""),"""")"),"")</f>
        <v/>
      </c>
      <c r="I4410" s="3"/>
    </row>
    <row r="4411" customHeight="1" spans="1:9">
      <c r="A4411" s="2"/>
      <c r="B4411" s="2" t="str">
        <f>IFERROR(__xludf.DUMMYFUNCTION("IF(A4411&lt;&gt;"""", GOOGLETRANSLATE(A4411, ""en"", ""te""),"""")"),"")</f>
        <v/>
      </c>
      <c r="C4411" s="2"/>
      <c r="D4411" s="2" t="str">
        <f>IFERROR(__xludf.DUMMYFUNCTION("IF(C4411&lt;&gt;"""", GOOGLETRANSLATE(C4411, ""en"", ""te""),"""")"),"")</f>
        <v/>
      </c>
      <c r="E4411" s="2"/>
      <c r="F4411" s="2" t="str">
        <f>IFERROR(__xludf.DUMMYFUNCTION("IF(E4411&lt;&gt;"""", GOOGLETRANSLATE(E4411, ""en"", ""te""),"""")"),"")</f>
        <v/>
      </c>
      <c r="G4411" s="2"/>
      <c r="H4411" s="2" t="str">
        <f>IFERROR(__xludf.DUMMYFUNCTION("IF(G4411&lt;&gt;"""", GOOGLETRANSLATE(G4411, ""en"", ""te""),"""")"),"")</f>
        <v/>
      </c>
      <c r="I4411" s="3"/>
    </row>
    <row r="4412" customHeight="1" spans="1:9">
      <c r="A4412" s="2"/>
      <c r="B4412" s="2" t="str">
        <f>IFERROR(__xludf.DUMMYFUNCTION("IF(A4412&lt;&gt;"""", GOOGLETRANSLATE(A4412, ""en"", ""te""),"""")"),"")</f>
        <v/>
      </c>
      <c r="C4412" s="2"/>
      <c r="D4412" s="2" t="str">
        <f>IFERROR(__xludf.DUMMYFUNCTION("IF(C4412&lt;&gt;"""", GOOGLETRANSLATE(C4412, ""en"", ""te""),"""")"),"")</f>
        <v/>
      </c>
      <c r="E4412" s="2"/>
      <c r="F4412" s="2" t="str">
        <f>IFERROR(__xludf.DUMMYFUNCTION("IF(E4412&lt;&gt;"""", GOOGLETRANSLATE(E4412, ""en"", ""te""),"""")"),"")</f>
        <v/>
      </c>
      <c r="G4412" s="2"/>
      <c r="H4412" s="2" t="str">
        <f>IFERROR(__xludf.DUMMYFUNCTION("IF(G4412&lt;&gt;"""", GOOGLETRANSLATE(G4412, ""en"", ""te""),"""")"),"")</f>
        <v/>
      </c>
      <c r="I4412" s="3"/>
    </row>
    <row r="4413" customHeight="1" spans="1:9">
      <c r="A4413" s="2"/>
      <c r="B4413" s="2" t="str">
        <f>IFERROR(__xludf.DUMMYFUNCTION("IF(A4413&lt;&gt;"""", GOOGLETRANSLATE(A4413, ""en"", ""te""),"""")"),"")</f>
        <v/>
      </c>
      <c r="C4413" s="2"/>
      <c r="D4413" s="2" t="str">
        <f>IFERROR(__xludf.DUMMYFUNCTION("IF(C4413&lt;&gt;"""", GOOGLETRANSLATE(C4413, ""en"", ""te""),"""")"),"")</f>
        <v/>
      </c>
      <c r="E4413" s="2"/>
      <c r="F4413" s="2" t="str">
        <f>IFERROR(__xludf.DUMMYFUNCTION("IF(E4413&lt;&gt;"""", GOOGLETRANSLATE(E4413, ""en"", ""te""),"""")"),"")</f>
        <v/>
      </c>
      <c r="G4413" s="2"/>
      <c r="H4413" s="2" t="str">
        <f>IFERROR(__xludf.DUMMYFUNCTION("IF(G4413&lt;&gt;"""", GOOGLETRANSLATE(G4413, ""en"", ""te""),"""")"),"")</f>
        <v/>
      </c>
      <c r="I4413" s="3"/>
    </row>
    <row r="4414" customHeight="1" spans="1:9">
      <c r="A4414" s="2"/>
      <c r="B4414" s="2" t="str">
        <f>IFERROR(__xludf.DUMMYFUNCTION("IF(A4414&lt;&gt;"""", GOOGLETRANSLATE(A4414, ""en"", ""te""),"""")"),"")</f>
        <v/>
      </c>
      <c r="C4414" s="2"/>
      <c r="D4414" s="2" t="str">
        <f>IFERROR(__xludf.DUMMYFUNCTION("IF(C4414&lt;&gt;"""", GOOGLETRANSLATE(C4414, ""en"", ""te""),"""")"),"")</f>
        <v/>
      </c>
      <c r="E4414" s="2"/>
      <c r="F4414" s="2" t="str">
        <f>IFERROR(__xludf.DUMMYFUNCTION("IF(E4414&lt;&gt;"""", GOOGLETRANSLATE(E4414, ""en"", ""te""),"""")"),"")</f>
        <v/>
      </c>
      <c r="G4414" s="2"/>
      <c r="H4414" s="2" t="str">
        <f>IFERROR(__xludf.DUMMYFUNCTION("IF(G4414&lt;&gt;"""", GOOGLETRANSLATE(G4414, ""en"", ""te""),"""")"),"")</f>
        <v/>
      </c>
      <c r="I4414" s="3"/>
    </row>
    <row r="4415" customHeight="1" spans="1:9">
      <c r="A4415" s="2"/>
      <c r="B4415" s="2" t="str">
        <f>IFERROR(__xludf.DUMMYFUNCTION("IF(A4415&lt;&gt;"""", GOOGLETRANSLATE(A4415, ""en"", ""te""),"""")"),"")</f>
        <v/>
      </c>
      <c r="C4415" s="2"/>
      <c r="D4415" s="2" t="str">
        <f>IFERROR(__xludf.DUMMYFUNCTION("IF(C4415&lt;&gt;"""", GOOGLETRANSLATE(C4415, ""en"", ""te""),"""")"),"")</f>
        <v/>
      </c>
      <c r="E4415" s="2"/>
      <c r="F4415" s="2" t="str">
        <f>IFERROR(__xludf.DUMMYFUNCTION("IF(E4415&lt;&gt;"""", GOOGLETRANSLATE(E4415, ""en"", ""te""),"""")"),"")</f>
        <v/>
      </c>
      <c r="G4415" s="2"/>
      <c r="H4415" s="2" t="str">
        <f>IFERROR(__xludf.DUMMYFUNCTION("IF(G4415&lt;&gt;"""", GOOGLETRANSLATE(G4415, ""en"", ""te""),"""")"),"")</f>
        <v/>
      </c>
      <c r="I4415" s="3"/>
    </row>
    <row r="4416" customHeight="1" spans="1:9">
      <c r="A4416" s="2"/>
      <c r="B4416" s="2" t="str">
        <f>IFERROR(__xludf.DUMMYFUNCTION("IF(A4416&lt;&gt;"""", GOOGLETRANSLATE(A4416, ""en"", ""te""),"""")"),"")</f>
        <v/>
      </c>
      <c r="C4416" s="2"/>
      <c r="D4416" s="2" t="str">
        <f>IFERROR(__xludf.DUMMYFUNCTION("IF(C4416&lt;&gt;"""", GOOGLETRANSLATE(C4416, ""en"", ""te""),"""")"),"")</f>
        <v/>
      </c>
      <c r="E4416" s="2"/>
      <c r="F4416" s="2" t="str">
        <f>IFERROR(__xludf.DUMMYFUNCTION("IF(E4416&lt;&gt;"""", GOOGLETRANSLATE(E4416, ""en"", ""te""),"""")"),"")</f>
        <v/>
      </c>
      <c r="G4416" s="2"/>
      <c r="H4416" s="2" t="str">
        <f>IFERROR(__xludf.DUMMYFUNCTION("IF(G4416&lt;&gt;"""", GOOGLETRANSLATE(G4416, ""en"", ""te""),"""")"),"")</f>
        <v/>
      </c>
      <c r="I4416" s="3"/>
    </row>
    <row r="4417" customHeight="1" spans="1:9">
      <c r="A4417" s="2"/>
      <c r="B4417" s="2" t="str">
        <f>IFERROR(__xludf.DUMMYFUNCTION("IF(A4417&lt;&gt;"""", GOOGLETRANSLATE(A4417, ""en"", ""te""),"""")"),"")</f>
        <v/>
      </c>
      <c r="C4417" s="2"/>
      <c r="D4417" s="2" t="str">
        <f>IFERROR(__xludf.DUMMYFUNCTION("IF(C4417&lt;&gt;"""", GOOGLETRANSLATE(C4417, ""en"", ""te""),"""")"),"")</f>
        <v/>
      </c>
      <c r="E4417" s="2"/>
      <c r="F4417" s="2" t="str">
        <f>IFERROR(__xludf.DUMMYFUNCTION("IF(E4417&lt;&gt;"""", GOOGLETRANSLATE(E4417, ""en"", ""te""),"""")"),"")</f>
        <v/>
      </c>
      <c r="G4417" s="2"/>
      <c r="H4417" s="2" t="str">
        <f>IFERROR(__xludf.DUMMYFUNCTION("IF(G4417&lt;&gt;"""", GOOGLETRANSLATE(G4417, ""en"", ""te""),"""")"),"")</f>
        <v/>
      </c>
      <c r="I4417" s="3"/>
    </row>
    <row r="4418" customHeight="1" spans="1:9">
      <c r="A4418" s="2"/>
      <c r="B4418" s="2" t="str">
        <f>IFERROR(__xludf.DUMMYFUNCTION("IF(A4418&lt;&gt;"""", GOOGLETRANSLATE(A4418, ""en"", ""te""),"""")"),"")</f>
        <v/>
      </c>
      <c r="C4418" s="2"/>
      <c r="D4418" s="2" t="str">
        <f>IFERROR(__xludf.DUMMYFUNCTION("IF(C4418&lt;&gt;"""", GOOGLETRANSLATE(C4418, ""en"", ""te""),"""")"),"")</f>
        <v/>
      </c>
      <c r="E4418" s="2"/>
      <c r="F4418" s="2" t="str">
        <f>IFERROR(__xludf.DUMMYFUNCTION("IF(E4418&lt;&gt;"""", GOOGLETRANSLATE(E4418, ""en"", ""te""),"""")"),"")</f>
        <v/>
      </c>
      <c r="G4418" s="2"/>
      <c r="H4418" s="2" t="str">
        <f>IFERROR(__xludf.DUMMYFUNCTION("IF(G4418&lt;&gt;"""", GOOGLETRANSLATE(G4418, ""en"", ""te""),"""")"),"")</f>
        <v/>
      </c>
      <c r="I4418" s="3"/>
    </row>
    <row r="4419" customHeight="1" spans="1:9">
      <c r="A4419" s="2"/>
      <c r="B4419" s="2" t="str">
        <f>IFERROR(__xludf.DUMMYFUNCTION("IF(A4419&lt;&gt;"""", GOOGLETRANSLATE(A4419, ""en"", ""te""),"""")"),"")</f>
        <v/>
      </c>
      <c r="C4419" s="2"/>
      <c r="D4419" s="2" t="str">
        <f>IFERROR(__xludf.DUMMYFUNCTION("IF(C4419&lt;&gt;"""", GOOGLETRANSLATE(C4419, ""en"", ""te""),"""")"),"")</f>
        <v/>
      </c>
      <c r="E4419" s="2"/>
      <c r="F4419" s="2" t="str">
        <f>IFERROR(__xludf.DUMMYFUNCTION("IF(E4419&lt;&gt;"""", GOOGLETRANSLATE(E4419, ""en"", ""te""),"""")"),"")</f>
        <v/>
      </c>
      <c r="G4419" s="2"/>
      <c r="H4419" s="2" t="str">
        <f>IFERROR(__xludf.DUMMYFUNCTION("IF(G4419&lt;&gt;"""", GOOGLETRANSLATE(G4419, ""en"", ""te""),"""")"),"")</f>
        <v/>
      </c>
      <c r="I4419" s="3"/>
    </row>
    <row r="4420" customHeight="1" spans="1:9">
      <c r="A4420" s="2"/>
      <c r="B4420" s="2" t="str">
        <f>IFERROR(__xludf.DUMMYFUNCTION("IF(A4420&lt;&gt;"""", GOOGLETRANSLATE(A4420, ""en"", ""te""),"""")"),"")</f>
        <v/>
      </c>
      <c r="C4420" s="2" t="s">
        <v>3199</v>
      </c>
      <c r="D4420" s="2" t="str">
        <f>IFERROR(__xludf.DUMMYFUNCTION("IF(C4420&lt;&gt;"""", GOOGLETRANSLATE(C4420, ""en"", ""te""),"""")"),"[ 'పదవ వికెట్కు 18 అత్యధిక భాగస్వామ్యం (109)', '28th ఓల్డెస్ట్ కాప్టెన్ (39y 195d)', 'కెప్టెన్సీ తొలి 11 వ ఓల్డెస్ట్ కాప్టెన్ (39y 190d)']")</f>
        <v>[ 'పదవ వికెట్కు 18 అత్యధిక భాగస్వామ్యం (109)', '28th ఓల్డెస్ట్ కాప్టెన్ (39y 195d)', 'కెప్టెన్సీ తొలి 11 వ ఓల్డెస్ట్ కాప్టెన్ (39y 190d)']</v>
      </c>
      <c r="E4420" s="2"/>
      <c r="F4420" s="2" t="str">
        <f>IFERROR(__xludf.DUMMYFUNCTION("IF(E4420&lt;&gt;"""", GOOGLETRANSLATE(E4420, ""en"", ""te""),"""")"),"")</f>
        <v/>
      </c>
      <c r="G4420" s="2"/>
      <c r="H4420" s="2" t="str">
        <f>IFERROR(__xludf.DUMMYFUNCTION("IF(G4420&lt;&gt;"""", GOOGLETRANSLATE(G4420, ""en"", ""te""),"""")"),"")</f>
        <v/>
      </c>
      <c r="I4420" s="3"/>
    </row>
    <row r="4421" customHeight="1" spans="1:9">
      <c r="A4421" s="2"/>
      <c r="B4421" s="2" t="str">
        <f>IFERROR(__xludf.DUMMYFUNCTION("IF(A4421&lt;&gt;"""", GOOGLETRANSLATE(A4421, ""en"", ""te""),"""")"),"")</f>
        <v/>
      </c>
      <c r="C4421" s="2"/>
      <c r="D4421" s="2" t="str">
        <f>IFERROR(__xludf.DUMMYFUNCTION("IF(C4421&lt;&gt;"""", GOOGLETRANSLATE(C4421, ""en"", ""te""),"""")"),"")</f>
        <v/>
      </c>
      <c r="E4421" s="2"/>
      <c r="F4421" s="2" t="str">
        <f>IFERROR(__xludf.DUMMYFUNCTION("IF(E4421&lt;&gt;"""", GOOGLETRANSLATE(E4421, ""en"", ""te""),"""")"),"")</f>
        <v/>
      </c>
      <c r="G4421" s="2"/>
      <c r="H4421" s="2" t="str">
        <f>IFERROR(__xludf.DUMMYFUNCTION("IF(G4421&lt;&gt;"""", GOOGLETRANSLATE(G4421, ""en"", ""te""),"""")"),"")</f>
        <v/>
      </c>
      <c r="I4421" s="3"/>
    </row>
    <row r="4422" customHeight="1" spans="1:9">
      <c r="A4422" s="2"/>
      <c r="B4422" s="2" t="str">
        <f>IFERROR(__xludf.DUMMYFUNCTION("IF(A4422&lt;&gt;"""", GOOGLETRANSLATE(A4422, ""en"", ""te""),"""")"),"")</f>
        <v/>
      </c>
      <c r="C4422" s="2"/>
      <c r="D4422" s="2" t="str">
        <f>IFERROR(__xludf.DUMMYFUNCTION("IF(C4422&lt;&gt;"""", GOOGLETRANSLATE(C4422, ""en"", ""te""),"""")"),"")</f>
        <v/>
      </c>
      <c r="E4422" s="2"/>
      <c r="F4422" s="2" t="str">
        <f>IFERROR(__xludf.DUMMYFUNCTION("IF(E4422&lt;&gt;"""", GOOGLETRANSLATE(E4422, ""en"", ""te""),"""")"),"")</f>
        <v/>
      </c>
      <c r="G4422" s="2"/>
      <c r="H4422" s="2" t="str">
        <f>IFERROR(__xludf.DUMMYFUNCTION("IF(G4422&lt;&gt;"""", GOOGLETRANSLATE(G4422, ""en"", ""te""),"""")"),"")</f>
        <v/>
      </c>
      <c r="I4422" s="3"/>
    </row>
    <row r="4423" customHeight="1" spans="1:9">
      <c r="A4423" s="2"/>
      <c r="B4423" s="2" t="str">
        <f>IFERROR(__xludf.DUMMYFUNCTION("IF(A4423&lt;&gt;"""", GOOGLETRANSLATE(A4423, ""en"", ""te""),"""")"),"")</f>
        <v/>
      </c>
      <c r="C4423" s="2"/>
      <c r="D4423" s="2" t="str">
        <f>IFERROR(__xludf.DUMMYFUNCTION("IF(C4423&lt;&gt;"""", GOOGLETRANSLATE(C4423, ""en"", ""te""),"""")"),"")</f>
        <v/>
      </c>
      <c r="E4423" s="2"/>
      <c r="F4423" s="2" t="str">
        <f>IFERROR(__xludf.DUMMYFUNCTION("IF(E4423&lt;&gt;"""", GOOGLETRANSLATE(E4423, ""en"", ""te""),"""")"),"")</f>
        <v/>
      </c>
      <c r="G4423" s="2"/>
      <c r="H4423" s="2" t="str">
        <f>IFERROR(__xludf.DUMMYFUNCTION("IF(G4423&lt;&gt;"""", GOOGLETRANSLATE(G4423, ""en"", ""te""),"""")"),"")</f>
        <v/>
      </c>
      <c r="I4423" s="3"/>
    </row>
    <row r="4424" customHeight="1" spans="1:9">
      <c r="A4424" s="2"/>
      <c r="B4424" s="2" t="str">
        <f>IFERROR(__xludf.DUMMYFUNCTION("IF(A4424&lt;&gt;"""", GOOGLETRANSLATE(A4424, ""en"", ""te""),"""")"),"")</f>
        <v/>
      </c>
      <c r="C4424" s="2"/>
      <c r="D4424" s="2" t="str">
        <f>IFERROR(__xludf.DUMMYFUNCTION("IF(C4424&lt;&gt;"""", GOOGLETRANSLATE(C4424, ""en"", ""te""),"""")"),"")</f>
        <v/>
      </c>
      <c r="E4424" s="2"/>
      <c r="F4424" s="2" t="str">
        <f>IFERROR(__xludf.DUMMYFUNCTION("IF(E4424&lt;&gt;"""", GOOGLETRANSLATE(E4424, ""en"", ""te""),"""")"),"")</f>
        <v/>
      </c>
      <c r="G4424" s="2"/>
      <c r="H4424" s="2" t="str">
        <f>IFERROR(__xludf.DUMMYFUNCTION("IF(G4424&lt;&gt;"""", GOOGLETRANSLATE(G4424, ""en"", ""te""),"""")"),"")</f>
        <v/>
      </c>
      <c r="I4424" s="3"/>
    </row>
    <row r="4425" customHeight="1" spans="1:9">
      <c r="A4425" s="2"/>
      <c r="B4425" s="2" t="str">
        <f>IFERROR(__xludf.DUMMYFUNCTION("IF(A4425&lt;&gt;"""", GOOGLETRANSLATE(A4425, ""en"", ""te""),"""")"),"")</f>
        <v/>
      </c>
      <c r="C4425" s="2"/>
      <c r="D4425" s="2" t="str">
        <f>IFERROR(__xludf.DUMMYFUNCTION("IF(C4425&lt;&gt;"""", GOOGLETRANSLATE(C4425, ""en"", ""te""),"""")"),"")</f>
        <v/>
      </c>
      <c r="E4425" s="2"/>
      <c r="F4425" s="2" t="str">
        <f>IFERROR(__xludf.DUMMYFUNCTION("IF(E4425&lt;&gt;"""", GOOGLETRANSLATE(E4425, ""en"", ""te""),"""")"),"")</f>
        <v/>
      </c>
      <c r="G4425" s="2"/>
      <c r="H4425" s="2" t="str">
        <f>IFERROR(__xludf.DUMMYFUNCTION("IF(G4425&lt;&gt;"""", GOOGLETRANSLATE(G4425, ""en"", ""te""),"""")"),"")</f>
        <v/>
      </c>
      <c r="I4425" s="3"/>
    </row>
    <row r="4426" customHeight="1" spans="1:9">
      <c r="A4426" s="2"/>
      <c r="B4426" s="2" t="str">
        <f>IFERROR(__xludf.DUMMYFUNCTION("IF(A4426&lt;&gt;"""", GOOGLETRANSLATE(A4426, ""en"", ""te""),"""")"),"")</f>
        <v/>
      </c>
      <c r="C4426" s="2"/>
      <c r="D4426" s="2" t="str">
        <f>IFERROR(__xludf.DUMMYFUNCTION("IF(C4426&lt;&gt;"""", GOOGLETRANSLATE(C4426, ""en"", ""te""),"""")"),"")</f>
        <v/>
      </c>
      <c r="E4426" s="2"/>
      <c r="F4426" s="2" t="str">
        <f>IFERROR(__xludf.DUMMYFUNCTION("IF(E4426&lt;&gt;"""", GOOGLETRANSLATE(E4426, ""en"", ""te""),"""")"),"")</f>
        <v/>
      </c>
      <c r="G4426" s="2"/>
      <c r="H4426" s="2" t="str">
        <f>IFERROR(__xludf.DUMMYFUNCTION("IF(G4426&lt;&gt;"""", GOOGLETRANSLATE(G4426, ""en"", ""te""),"""")"),"")</f>
        <v/>
      </c>
      <c r="I4426" s="3"/>
    </row>
    <row r="4427" customHeight="1" spans="1:9">
      <c r="A4427" s="2"/>
      <c r="B4427" s="2" t="str">
        <f>IFERROR(__xludf.DUMMYFUNCTION("IF(A4427&lt;&gt;"""", GOOGLETRANSLATE(A4427, ""en"", ""te""),"""")"),"")</f>
        <v/>
      </c>
      <c r="C4427" s="2"/>
      <c r="D4427" s="2" t="str">
        <f>IFERROR(__xludf.DUMMYFUNCTION("IF(C4427&lt;&gt;"""", GOOGLETRANSLATE(C4427, ""en"", ""te""),"""")"),"")</f>
        <v/>
      </c>
      <c r="E4427" s="2"/>
      <c r="F4427" s="2" t="str">
        <f>IFERROR(__xludf.DUMMYFUNCTION("IF(E4427&lt;&gt;"""", GOOGLETRANSLATE(E4427, ""en"", ""te""),"""")"),"")</f>
        <v/>
      </c>
      <c r="G4427" s="2"/>
      <c r="H4427" s="2" t="str">
        <f>IFERROR(__xludf.DUMMYFUNCTION("IF(G4427&lt;&gt;"""", GOOGLETRANSLATE(G4427, ""en"", ""te""),"""")"),"")</f>
        <v/>
      </c>
      <c r="I4427" s="3"/>
    </row>
    <row r="4428" customHeight="1" spans="1:9">
      <c r="A4428" s="2"/>
      <c r="B4428" s="2" t="str">
        <f>IFERROR(__xludf.DUMMYFUNCTION("IF(A4428&lt;&gt;"""", GOOGLETRANSLATE(A4428, ""en"", ""te""),"""")"),"")</f>
        <v/>
      </c>
      <c r="C4428" s="2"/>
      <c r="D4428" s="2" t="str">
        <f>IFERROR(__xludf.DUMMYFUNCTION("IF(C4428&lt;&gt;"""", GOOGLETRANSLATE(C4428, ""en"", ""te""),"""")"),"")</f>
        <v/>
      </c>
      <c r="E4428" s="2"/>
      <c r="F4428" s="2" t="str">
        <f>IFERROR(__xludf.DUMMYFUNCTION("IF(E4428&lt;&gt;"""", GOOGLETRANSLATE(E4428, ""en"", ""te""),"""")"),"")</f>
        <v/>
      </c>
      <c r="G4428" s="2"/>
      <c r="H4428" s="2" t="str">
        <f>IFERROR(__xludf.DUMMYFUNCTION("IF(G4428&lt;&gt;"""", GOOGLETRANSLATE(G4428, ""en"", ""te""),"""")"),"")</f>
        <v/>
      </c>
      <c r="I4428" s="3"/>
    </row>
    <row r="4429" customHeight="1" spans="1:9">
      <c r="A4429" s="2"/>
      <c r="B4429" s="2" t="str">
        <f>IFERROR(__xludf.DUMMYFUNCTION("IF(A4429&lt;&gt;"""", GOOGLETRANSLATE(A4429, ""en"", ""te""),"""")"),"")</f>
        <v/>
      </c>
      <c r="C4429" s="2"/>
      <c r="D4429" s="2" t="str">
        <f>IFERROR(__xludf.DUMMYFUNCTION("IF(C4429&lt;&gt;"""", GOOGLETRANSLATE(C4429, ""en"", ""te""),"""")"),"")</f>
        <v/>
      </c>
      <c r="E4429" s="2"/>
      <c r="F4429" s="2" t="str">
        <f>IFERROR(__xludf.DUMMYFUNCTION("IF(E4429&lt;&gt;"""", GOOGLETRANSLATE(E4429, ""en"", ""te""),"""")"),"")</f>
        <v/>
      </c>
      <c r="G4429" s="2"/>
      <c r="H4429" s="2" t="str">
        <f>IFERROR(__xludf.DUMMYFUNCTION("IF(G4429&lt;&gt;"""", GOOGLETRANSLATE(G4429, ""en"", ""te""),"""")"),"")</f>
        <v/>
      </c>
      <c r="I4429" s="3"/>
    </row>
    <row r="4430" customHeight="1" spans="1:9">
      <c r="A4430" s="2"/>
      <c r="B4430" s="2" t="str">
        <f>IFERROR(__xludf.DUMMYFUNCTION("IF(A4430&lt;&gt;"""", GOOGLETRANSLATE(A4430, ""en"", ""te""),"""")"),"")</f>
        <v/>
      </c>
      <c r="C4430" s="2"/>
      <c r="D4430" s="2" t="str">
        <f>IFERROR(__xludf.DUMMYFUNCTION("IF(C4430&lt;&gt;"""", GOOGLETRANSLATE(C4430, ""en"", ""te""),"""")"),"")</f>
        <v/>
      </c>
      <c r="E4430" s="2"/>
      <c r="F4430" s="2" t="str">
        <f>IFERROR(__xludf.DUMMYFUNCTION("IF(E4430&lt;&gt;"""", GOOGLETRANSLATE(E4430, ""en"", ""te""),"""")"),"")</f>
        <v/>
      </c>
      <c r="G4430" s="2"/>
      <c r="H4430" s="2" t="str">
        <f>IFERROR(__xludf.DUMMYFUNCTION("IF(G4430&lt;&gt;"""", GOOGLETRANSLATE(G4430, ""en"", ""te""),"""")"),"")</f>
        <v/>
      </c>
      <c r="I4430" s="3"/>
    </row>
    <row r="4431" customHeight="1" spans="1:9">
      <c r="A4431" s="2"/>
      <c r="B4431" s="2" t="str">
        <f>IFERROR(__xludf.DUMMYFUNCTION("IF(A4431&lt;&gt;"""", GOOGLETRANSLATE(A4431, ""en"", ""te""),"""")"),"")</f>
        <v/>
      </c>
      <c r="C4431" s="2"/>
      <c r="D4431" s="2" t="str">
        <f>IFERROR(__xludf.DUMMYFUNCTION("IF(C4431&lt;&gt;"""", GOOGLETRANSLATE(C4431, ""en"", ""te""),"""")"),"")</f>
        <v/>
      </c>
      <c r="E4431" s="2"/>
      <c r="F4431" s="2" t="str">
        <f>IFERROR(__xludf.DUMMYFUNCTION("IF(E4431&lt;&gt;"""", GOOGLETRANSLATE(E4431, ""en"", ""te""),"""")"),"")</f>
        <v/>
      </c>
      <c r="G4431" s="2"/>
      <c r="H4431" s="2" t="str">
        <f>IFERROR(__xludf.DUMMYFUNCTION("IF(G4431&lt;&gt;"""", GOOGLETRANSLATE(G4431, ""en"", ""te""),"""")"),"")</f>
        <v/>
      </c>
      <c r="I4431" s="3"/>
    </row>
    <row r="4432" customHeight="1" spans="1:9">
      <c r="A4432" s="2"/>
      <c r="B4432" s="2" t="str">
        <f>IFERROR(__xludf.DUMMYFUNCTION("IF(A4432&lt;&gt;"""", GOOGLETRANSLATE(A4432, ""en"", ""te""),"""")"),"")</f>
        <v/>
      </c>
      <c r="C4432" s="2"/>
      <c r="D4432" s="2" t="str">
        <f>IFERROR(__xludf.DUMMYFUNCTION("IF(C4432&lt;&gt;"""", GOOGLETRANSLATE(C4432, ""en"", ""te""),"""")"),"")</f>
        <v/>
      </c>
      <c r="E4432" s="2"/>
      <c r="F4432" s="2" t="str">
        <f>IFERROR(__xludf.DUMMYFUNCTION("IF(E4432&lt;&gt;"""", GOOGLETRANSLATE(E4432, ""en"", ""te""),"""")"),"")</f>
        <v/>
      </c>
      <c r="G4432" s="2"/>
      <c r="H4432" s="2" t="str">
        <f>IFERROR(__xludf.DUMMYFUNCTION("IF(G4432&lt;&gt;"""", GOOGLETRANSLATE(G4432, ""en"", ""te""),"""")"),"")</f>
        <v/>
      </c>
      <c r="I4432" s="3"/>
    </row>
    <row r="4433" customHeight="1" spans="1:9">
      <c r="A4433" s="2"/>
      <c r="B4433" s="2" t="str">
        <f>IFERROR(__xludf.DUMMYFUNCTION("IF(A4433&lt;&gt;"""", GOOGLETRANSLATE(A4433, ""en"", ""te""),"""")"),"")</f>
        <v/>
      </c>
      <c r="C4433" s="2"/>
      <c r="D4433" s="2" t="str">
        <f>IFERROR(__xludf.DUMMYFUNCTION("IF(C4433&lt;&gt;"""", GOOGLETRANSLATE(C4433, ""en"", ""te""),"""")"),"")</f>
        <v/>
      </c>
      <c r="E4433" s="2"/>
      <c r="F4433" s="2" t="str">
        <f>IFERROR(__xludf.DUMMYFUNCTION("IF(E4433&lt;&gt;"""", GOOGLETRANSLATE(E4433, ""en"", ""te""),"""")"),"")</f>
        <v/>
      </c>
      <c r="G4433" s="2"/>
      <c r="H4433" s="2" t="str">
        <f>IFERROR(__xludf.DUMMYFUNCTION("IF(G4433&lt;&gt;"""", GOOGLETRANSLATE(G4433, ""en"", ""te""),"""")"),"")</f>
        <v/>
      </c>
      <c r="I4433" s="3"/>
    </row>
    <row r="4434" customHeight="1" spans="1:9">
      <c r="A4434" s="2"/>
      <c r="B4434" s="2" t="str">
        <f>IFERROR(__xludf.DUMMYFUNCTION("IF(A4434&lt;&gt;"""", GOOGLETRANSLATE(A4434, ""en"", ""te""),"""")"),"")</f>
        <v/>
      </c>
      <c r="C4434" s="2"/>
      <c r="D4434" s="2" t="str">
        <f>IFERROR(__xludf.DUMMYFUNCTION("IF(C4434&lt;&gt;"""", GOOGLETRANSLATE(C4434, ""en"", ""te""),"""")"),"")</f>
        <v/>
      </c>
      <c r="E4434" s="2"/>
      <c r="F4434" s="2" t="str">
        <f>IFERROR(__xludf.DUMMYFUNCTION("IF(E4434&lt;&gt;"""", GOOGLETRANSLATE(E4434, ""en"", ""te""),"""")"),"")</f>
        <v/>
      </c>
      <c r="G4434" s="2"/>
      <c r="H4434" s="2" t="str">
        <f>IFERROR(__xludf.DUMMYFUNCTION("IF(G4434&lt;&gt;"""", GOOGLETRANSLATE(G4434, ""en"", ""te""),"""")"),"")</f>
        <v/>
      </c>
      <c r="I4434" s="3"/>
    </row>
    <row r="4435" customHeight="1" spans="1:9">
      <c r="A4435" s="2"/>
      <c r="B4435" s="2" t="str">
        <f>IFERROR(__xludf.DUMMYFUNCTION("IF(A4435&lt;&gt;"""", GOOGLETRANSLATE(A4435, ""en"", ""te""),"""")"),"")</f>
        <v/>
      </c>
      <c r="C4435" s="2"/>
      <c r="D4435" s="2" t="str">
        <f>IFERROR(__xludf.DUMMYFUNCTION("IF(C4435&lt;&gt;"""", GOOGLETRANSLATE(C4435, ""en"", ""te""),"""")"),"")</f>
        <v/>
      </c>
      <c r="E4435" s="2"/>
      <c r="F4435" s="2" t="str">
        <f>IFERROR(__xludf.DUMMYFUNCTION("IF(E4435&lt;&gt;"""", GOOGLETRANSLATE(E4435, ""en"", ""te""),"""")"),"")</f>
        <v/>
      </c>
      <c r="G4435" s="2"/>
      <c r="H4435" s="2" t="str">
        <f>IFERROR(__xludf.DUMMYFUNCTION("IF(G4435&lt;&gt;"""", GOOGLETRANSLATE(G4435, ""en"", ""te""),"""")"),"")</f>
        <v/>
      </c>
      <c r="I4435" s="3"/>
    </row>
    <row r="4436" customHeight="1" spans="1:9">
      <c r="A4436" s="2"/>
      <c r="B4436" s="2" t="str">
        <f>IFERROR(__xludf.DUMMYFUNCTION("IF(A4436&lt;&gt;"""", GOOGLETRANSLATE(A4436, ""en"", ""te""),"""")"),"")</f>
        <v/>
      </c>
      <c r="C4436" s="2"/>
      <c r="D4436" s="2" t="str">
        <f>IFERROR(__xludf.DUMMYFUNCTION("IF(C4436&lt;&gt;"""", GOOGLETRANSLATE(C4436, ""en"", ""te""),"""")"),"")</f>
        <v/>
      </c>
      <c r="E4436" s="2"/>
      <c r="F4436" s="2" t="str">
        <f>IFERROR(__xludf.DUMMYFUNCTION("IF(E4436&lt;&gt;"""", GOOGLETRANSLATE(E4436, ""en"", ""te""),"""")"),"")</f>
        <v/>
      </c>
      <c r="G4436" s="2"/>
      <c r="H4436" s="2" t="str">
        <f>IFERROR(__xludf.DUMMYFUNCTION("IF(G4436&lt;&gt;"""", GOOGLETRANSLATE(G4436, ""en"", ""te""),"""")"),"")</f>
        <v/>
      </c>
      <c r="I4436" s="3"/>
    </row>
    <row r="4437" customHeight="1" spans="1:9">
      <c r="A4437" s="2"/>
      <c r="B4437" s="2" t="str">
        <f>IFERROR(__xludf.DUMMYFUNCTION("IF(A4437&lt;&gt;"""", GOOGLETRANSLATE(A4437, ""en"", ""te""),"""")"),"")</f>
        <v/>
      </c>
      <c r="C4437" s="2"/>
      <c r="D4437" s="2" t="str">
        <f>IFERROR(__xludf.DUMMYFUNCTION("IF(C4437&lt;&gt;"""", GOOGLETRANSLATE(C4437, ""en"", ""te""),"""")"),"")</f>
        <v/>
      </c>
      <c r="E4437" s="2"/>
      <c r="F4437" s="2" t="str">
        <f>IFERROR(__xludf.DUMMYFUNCTION("IF(E4437&lt;&gt;"""", GOOGLETRANSLATE(E4437, ""en"", ""te""),"""")"),"")</f>
        <v/>
      </c>
      <c r="G4437" s="2"/>
      <c r="H4437" s="2" t="str">
        <f>IFERROR(__xludf.DUMMYFUNCTION("IF(G4437&lt;&gt;"""", GOOGLETRANSLATE(G4437, ""en"", ""te""),"""")"),"")</f>
        <v/>
      </c>
      <c r="I4437" s="3"/>
    </row>
    <row r="4438" customHeight="1" spans="1:9">
      <c r="A4438" s="2" t="s">
        <v>3200</v>
      </c>
      <c r="B4438" s="2" t="str">
        <f>IFERROR(__xludf.DUMMYFUNCTION("IF(A4438&lt;&gt;"""", GOOGLETRANSLATE(A4438, ""en"", ""te""),"""")"),"[ 'హండ్రెడ్ మరియు ఒక మ్యాచ్లో తొంభై', 'వరుస 2nd అత్యంత బాతులు (5)', '9 వ ఇన్నింగ్స్లో పరుగుల అత్యధిక శాతం (61.85)', 'బ్యాటింగ్ తెరవడం మరియు అదే మ్యాచ్ లో బౌలింగ్', '5 వ అత్యంత వృద్ధ ఆటగాడు తొలి వంద (37y 117d) స్కోర్', '1st అసాధారణ వికెట్లు (bal నిర్వహించ"&amp;"ింది)']")</f>
        <v>[ 'హండ్రెడ్ మరియు ఒక మ్యాచ్లో తొంభై', 'వరుస 2nd అత్యంత బాతులు (5)', '9 వ ఇన్నింగ్స్లో పరుగుల అత్యధిక శాతం (61.85)', 'బ్యాటింగ్ తెరవడం మరియు అదే మ్యాచ్ లో బౌలింగ్', '5 వ అత్యంత వృద్ధ ఆటగాడు తొలి వంద (37y 117d) స్కోర్', '1st అసాధారణ వికెట్లు (bal నిర్వహించింది)']</v>
      </c>
      <c r="C4438" s="2" t="s">
        <v>3201</v>
      </c>
      <c r="D4438" s="2" t="str">
        <f>IFERROR(__xludf.DUMMYFUNCTION("IF(C4438&lt;&gt;"""", GOOGLETRANSLATE(C4438, ""en"", ""te""),"""")"),"[ 'వరుస 2nd అత్యంత బాతులు (5)', '9 వ ఇన్నింగ్స్లో పరుగుల అత్యధిక శాతం (61.85)', '37 వ చెత్త కెరీర్లో సమ్మె రేటు (114.8)' 'సగటు (55.68) బౌలింగ్ 27 చెత్త జీవితం', '39 వ లాంగెస్ట్ కెరీర్లు (18y 22d)']")</f>
        <v>[ 'వరుస 2nd అత్యంత బాతులు (5)', '9 వ ఇన్నింగ్స్లో పరుగుల అత్యధిక శాతం (61.85)', '37 వ చెత్త కెరీర్లో సమ్మె రేటు (114.8)' 'సగటు (55.68) బౌలింగ్ 27 చెత్త జీవితం', '39 వ లాంగెస్ట్ కెరీర్లు (18y 22d)']</v>
      </c>
      <c r="E4438" s="2" t="s">
        <v>3202</v>
      </c>
      <c r="F4438" s="2" t="str">
        <f>IFERROR(__xludf.DUMMYFUNCTION("IF(E4438&lt;&gt;"""", GOOGLETRANSLATE(E4438, ""en"", ""te""),"""")"),"[ 'కన్య వందల (37y 117d) స్కోర్ 5 వ అత్యంత వృద్ధ ఆటగాడు' '13 వ అత్యంత వృద్ధ ఆటగాడు వంద (37y 185d) స్కోర్', 'మొదటి డక్ ముందు 28 మోస్ట్ ఇన్నింగ్స్ (38)' కెరీర్ లో, '24th అతి తక్కువ బాతులు (37.5 ) ',' 1st అసాధారణ వికెట్లు (bal 42 వ ఓల్డెస్ట్ కెప్టెన్లు కెప్టె"&amp;"న్సీ ప్రవేశం (34y 37d పరిష్కరించే) ',') ']")</f>
        <v>[ 'కన్య వందల (37y 117d) స్కోర్ 5 వ అత్యంత వృద్ధ ఆటగాడు' '13 వ అత్యంత వృద్ధ ఆటగాడు వంద (37y 185d) స్కోర్', 'మొదటి డక్ ముందు 28 మోస్ట్ ఇన్నింగ్స్ (38)' కెరీర్ లో, '24th అతి తక్కువ బాతులు (37.5 ) ',' 1st అసాధారణ వికెట్లు (bal 42 వ ఓల్డెస్ట్ కెప్టెన్లు కెప్టెన్సీ ప్రవేశం (34y 37d పరిష్కరించే) ',') ']</v>
      </c>
      <c r="G4438" s="2"/>
      <c r="H4438" s="2" t="str">
        <f>IFERROR(__xludf.DUMMYFUNCTION("IF(G4438&lt;&gt;"""", GOOGLETRANSLATE(G4438, ""en"", ""te""),"""")"),"")</f>
        <v/>
      </c>
      <c r="I4438" s="3"/>
    </row>
    <row r="4439" customHeight="1" spans="1:9">
      <c r="A4439" s="2"/>
      <c r="B4439" s="2" t="str">
        <f>IFERROR(__xludf.DUMMYFUNCTION("IF(A4439&lt;&gt;"""", GOOGLETRANSLATE(A4439, ""en"", ""te""),"""")"),"")</f>
        <v/>
      </c>
      <c r="C4439" s="2"/>
      <c r="D4439" s="2" t="str">
        <f>IFERROR(__xludf.DUMMYFUNCTION("IF(C4439&lt;&gt;"""", GOOGLETRANSLATE(C4439, ""en"", ""te""),"""")"),"")</f>
        <v/>
      </c>
      <c r="E4439" s="2"/>
      <c r="F4439" s="2" t="str">
        <f>IFERROR(__xludf.DUMMYFUNCTION("IF(E4439&lt;&gt;"""", GOOGLETRANSLATE(E4439, ""en"", ""te""),"""")"),"")</f>
        <v/>
      </c>
      <c r="G4439" s="2"/>
      <c r="H4439" s="2" t="str">
        <f>IFERROR(__xludf.DUMMYFUNCTION("IF(G4439&lt;&gt;"""", GOOGLETRANSLATE(G4439, ""en"", ""te""),"""")"),"")</f>
        <v/>
      </c>
      <c r="I4439" s="3"/>
    </row>
    <row r="4440" customHeight="1" spans="1:9">
      <c r="A4440" s="2" t="s">
        <v>3203</v>
      </c>
      <c r="B4440" s="2" t="str">
        <f>IFERROR(__xludf.DUMMYFUNCTION("IF(A4440&lt;&gt;"""", GOOGLETRANSLATE(A4440, ""en"", ""te""),"""")"),"[ 'ఇన్నింగ్స్ లో 3 వ అత్యధిక పరుగులు (బ్యాటింగ్ స్థానంలో ప్రకారం) (190)', '10 వ అత్యధిక కెరీర్ బ్యాటింగ్ సగటు (50.45)', 'వరుస మ్యాచ్లలో 1st వందల (2)', 'వరుస ఇన్నింగ్స్లో 5 వ యాభైల్లో (3)' 'కెరీర్లో 8 వ అతి తక్కువ బాతులు (23)', '1 వ అత్యుత్తమ బౌలింగ్ ఇన్న"&amp;"ింగ్స్ (1/0) విశ్లేషణలలో' 'కెరీర్లో 6 వ లేవు బాతులు (21)']")</f>
        <v>[ 'ఇన్నింగ్స్ లో 3 వ అత్యధిక పరుగులు (బ్యాటింగ్ స్థానంలో ప్రకారం) (190)', '10 వ అత్యధిక కెరీర్ బ్యాటింగ్ సగటు (50.45)', 'వరుస మ్యాచ్లలో 1st వందల (2)', 'వరుస ఇన్నింగ్స్లో 5 వ యాభైల్లో (3)' 'కెరీర్లో 8 వ అతి తక్కువ బాతులు (23)', '1 వ అత్యుత్తమ బౌలింగ్ ఇన్నింగ్స్ (1/0) విశ్లేషణలలో' 'కెరీర్లో 6 వ లేవు బాతులు (21)']</v>
      </c>
      <c r="C4440" s="2" t="s">
        <v>3204</v>
      </c>
      <c r="D4440" s="2" t="str">
        <f>IFERROR(__xludf.DUMMYFUNCTION("IF(C4440&lt;&gt;"""", GOOGLETRANSLATE(C4440, ""en"", ""te""),"""")"),"[ 'కెరీర్లో 6 వ అత్యధిక పరుగులు (1110)', ఒక మ్యాచ్లో 'ఇన్నింగ్స్ లో 4 వ అత్యధిక పరుగులు (ప్రగతిశీల రికార్డు హోల్డర్) (190)', '4 వ అత్యధిక పరుగులు' 10 వ ఇన్నింగ్స్ (190) అత్యధిక పరుగులు '(217 ) ',' 7th ఒక సిరీస్లో అత్యధిక పరుగులు (359) ',' ఒక క్యాలెండర్ ఏడ"&amp;"ాది (359) ',' 3 వ భాగం (ఒక ఇన్నింగ్స్ లో నడుస్తుంది బ్యాటింగ్ స్థానంలో ద్వారా 8 వ అత్యధిక పరుగులు) (190) ',' 10 వ అత్యధిక కెరీర్ బ్యాటింగ్ సగటు (50.45) ',' 2nd ఒక కెరీర్ (4) ',' 1st ఒక సిరీస్లో అత్యధిక సెంచరీలు (2) ',' 1st ఒక క్యాలెండర్ సంవత్సరంలో అత్యధిక"&amp;" వందలు (2) ',' వ్యతిరేకంగా 3 వ అత్యధిక వందలు ఒక జట్టు లో అత్యధిక వందలు (2) ',' వరుస మ్యాచ్లలో 1st వందల (2) ',' 20 వ అత్యధిక తొలి వంద (134) ',' 7 వ పిన్న ఆటగాడు కెరీర్ (8) లో వంద (20y 277d) ',' 6 వ అత్యంత అర్థ శతకాలు సాధించాడు ' 'వరుస ఇన్నింగ్స్లో 5 వ యాభె"&amp;"ౖల్లో (3)', '8 వ అతి తక్కువ బాతులు కెరీర్ లో (23)', '1 వ అత్యుత్తమ బౌలింగ్ ఇన్నింగ్స్ విశ్లేషణలలో' ఇన్నింగ్స్ పూర్తి (50.80) లో పరుగులు 19 అత్యధిక శాతం '(1/0 ) ',' 18 వ వరుస జట్టు మ్యాచ్లు (13) ']")</f>
        <v>[ 'కెరీర్లో 6 వ అత్యధిక పరుగులు (1110)', ఒక మ్యాచ్లో 'ఇన్నింగ్స్ లో 4 వ అత్యధిక పరుగులు (ప్రగతిశీల రికార్డు హోల్డర్) (190)', '4 వ అత్యధిక పరుగులు' 10 వ ఇన్నింగ్స్ (190) అత్యధిక పరుగులు '(217 ) ',' 7th ఒక సిరీస్లో అత్యధిక పరుగులు (359) ',' ఒక క్యాలెండర్ ఏడాది (359) ',' 3 వ భాగం (ఒక ఇన్నింగ్స్ లో నడుస్తుంది బ్యాటింగ్ స్థానంలో ద్వారా 8 వ అత్యధిక పరుగులు) (190) ',' 10 వ అత్యధిక కెరీర్ బ్యాటింగ్ సగటు (50.45) ',' 2nd ఒక కెరీర్ (4) ',' 1st ఒక సిరీస్లో అత్యధిక సెంచరీలు (2) ',' 1st ఒక క్యాలెండర్ సంవత్సరంలో అత్యధిక వందలు (2) ',' వ్యతిరేకంగా 3 వ అత్యధిక వందలు ఒక జట్టు లో అత్యధిక వందలు (2) ',' వరుస మ్యాచ్లలో 1st వందల (2) ',' 20 వ అత్యధిక తొలి వంద (134) ',' 7 వ పిన్న ఆటగాడు కెరీర్ (8) లో వంద (20y 277d) ',' 6 వ అత్యంత అర్థ శతకాలు సాధించాడు ' 'వరుస ఇన్నింగ్స్లో 5 వ యాభైల్లో (3)', '8 వ అతి తక్కువ బాతులు కెరీర్ లో (23)', '1 వ అత్యుత్తమ బౌలింగ్ ఇన్నింగ్స్ విశ్లేషణలలో' ఇన్నింగ్స్ పూర్తి (50.80) లో పరుగులు 19 అత్యధిక శాతం '(1/0 ) ',' 18 వ వరుస జట్టు మ్యాచ్లు (13) ']</v>
      </c>
      <c r="E4440" s="2" t="s">
        <v>3205</v>
      </c>
      <c r="F4440" s="2" t="str">
        <f>IFERROR(__xludf.DUMMYFUNCTION("IF(E4440&lt;&gt;"""", GOOGLETRANSLATE(E4440, ""en"", ""te""),"""")"),"[ '46 వ అత్యధిక కెరీర్ బ్యాటింగ్ సగటు (31,50)', '15 వ తొలి మ్యాచ్లో అత్యధిక పరుగులు (64)', 'కెరీర్ లో 6 వ లేవు బాతులు (21)', 'ప్రదర్శనల మధ్య 18 వ లాంగెస్ట్ వ్యవధిలో (6y 358d)']")</f>
        <v>[ '46 వ అత్యధిక కెరీర్ బ్యాటింగ్ సగటు (31,50)', '15 వ తొలి మ్యాచ్లో అత్యధిక పరుగులు (64)', 'కెరీర్ లో 6 వ లేవు బాతులు (21)', 'ప్రదర్శనల మధ్య 18 వ లాంగెస్ట్ వ్యవధిలో (6y 358d)']</v>
      </c>
      <c r="G4440" s="2"/>
      <c r="H4440" s="2" t="str">
        <f>IFERROR(__xludf.DUMMYFUNCTION("IF(G4440&lt;&gt;"""", GOOGLETRANSLATE(G4440, ""en"", ""te""),"""")"),"")</f>
        <v/>
      </c>
      <c r="I4440" s="3"/>
    </row>
    <row r="4441" customHeight="1" spans="1:9">
      <c r="A4441" s="2"/>
      <c r="B4441" s="2" t="str">
        <f>IFERROR(__xludf.DUMMYFUNCTION("IF(A4441&lt;&gt;"""", GOOGLETRANSLATE(A4441, ""en"", ""te""),"""")"),"")</f>
        <v/>
      </c>
      <c r="C4441" s="2"/>
      <c r="D4441" s="2" t="str">
        <f>IFERROR(__xludf.DUMMYFUNCTION("IF(C4441&lt;&gt;"""", GOOGLETRANSLATE(C4441, ""en"", ""te""),"""")"),"")</f>
        <v/>
      </c>
      <c r="E4441" s="2"/>
      <c r="F4441" s="2" t="str">
        <f>IFERROR(__xludf.DUMMYFUNCTION("IF(E4441&lt;&gt;"""", GOOGLETRANSLATE(E4441, ""en"", ""te""),"""")"),"")</f>
        <v/>
      </c>
      <c r="G4441" s="2"/>
      <c r="H4441" s="2" t="str">
        <f>IFERROR(__xludf.DUMMYFUNCTION("IF(G4441&lt;&gt;"""", GOOGLETRANSLATE(G4441, ""en"", ""te""),"""")"),"")</f>
        <v/>
      </c>
      <c r="I4441" s="3"/>
    </row>
    <row r="4442" customHeight="1" spans="1:9">
      <c r="A4442" s="2"/>
      <c r="B4442" s="2" t="str">
        <f>IFERROR(__xludf.DUMMYFUNCTION("IF(A4442&lt;&gt;"""", GOOGLETRANSLATE(A4442, ""en"", ""te""),"""")"),"")</f>
        <v/>
      </c>
      <c r="C4442" s="2"/>
      <c r="D4442" s="2" t="str">
        <f>IFERROR(__xludf.DUMMYFUNCTION("IF(C4442&lt;&gt;"""", GOOGLETRANSLATE(C4442, ""en"", ""te""),"""")"),"")</f>
        <v/>
      </c>
      <c r="E4442" s="2"/>
      <c r="F4442" s="2" t="str">
        <f>IFERROR(__xludf.DUMMYFUNCTION("IF(E4442&lt;&gt;"""", GOOGLETRANSLATE(E4442, ""en"", ""te""),"""")"),"")</f>
        <v/>
      </c>
      <c r="G4442" s="2"/>
      <c r="H4442" s="2" t="str">
        <f>IFERROR(__xludf.DUMMYFUNCTION("IF(G4442&lt;&gt;"""", GOOGLETRANSLATE(G4442, ""en"", ""te""),"""")"),"")</f>
        <v/>
      </c>
      <c r="I4442" s="3"/>
    </row>
    <row r="4443" customHeight="1" spans="1:9">
      <c r="A4443" s="2"/>
      <c r="B4443" s="2" t="str">
        <f>IFERROR(__xludf.DUMMYFUNCTION("IF(A4443&lt;&gt;"""", GOOGLETRANSLATE(A4443, ""en"", ""te""),"""")"),"")</f>
        <v/>
      </c>
      <c r="C4443" s="2"/>
      <c r="D4443" s="2" t="str">
        <f>IFERROR(__xludf.DUMMYFUNCTION("IF(C4443&lt;&gt;"""", GOOGLETRANSLATE(C4443, ""en"", ""te""),"""")"),"")</f>
        <v/>
      </c>
      <c r="E4443" s="2"/>
      <c r="F4443" s="2" t="str">
        <f>IFERROR(__xludf.DUMMYFUNCTION("IF(E4443&lt;&gt;"""", GOOGLETRANSLATE(E4443, ""en"", ""te""),"""")"),"")</f>
        <v/>
      </c>
      <c r="G4443" s="2"/>
      <c r="H4443" s="2" t="str">
        <f>IFERROR(__xludf.DUMMYFUNCTION("IF(G4443&lt;&gt;"""", GOOGLETRANSLATE(G4443, ""en"", ""te""),"""")"),"")</f>
        <v/>
      </c>
      <c r="I4443" s="3"/>
    </row>
    <row r="4444" customHeight="1" spans="1:9">
      <c r="A4444" s="2"/>
      <c r="B4444" s="2" t="str">
        <f>IFERROR(__xludf.DUMMYFUNCTION("IF(A4444&lt;&gt;"""", GOOGLETRANSLATE(A4444, ""en"", ""te""),"""")"),"")</f>
        <v/>
      </c>
      <c r="C4444" s="2"/>
      <c r="D4444" s="2" t="str">
        <f>IFERROR(__xludf.DUMMYFUNCTION("IF(C4444&lt;&gt;"""", GOOGLETRANSLATE(C4444, ""en"", ""te""),"""")"),"")</f>
        <v/>
      </c>
      <c r="E4444" s="2"/>
      <c r="F4444" s="2" t="str">
        <f>IFERROR(__xludf.DUMMYFUNCTION("IF(E4444&lt;&gt;"""", GOOGLETRANSLATE(E4444, ""en"", ""te""),"""")"),"")</f>
        <v/>
      </c>
      <c r="G4444" s="2"/>
      <c r="H4444" s="2" t="str">
        <f>IFERROR(__xludf.DUMMYFUNCTION("IF(G4444&lt;&gt;"""", GOOGLETRANSLATE(G4444, ""en"", ""te""),"""")"),"")</f>
        <v/>
      </c>
      <c r="I4444" s="3"/>
    </row>
    <row r="4445" customHeight="1" spans="1:9">
      <c r="A4445" s="2"/>
      <c r="B4445" s="2" t="str">
        <f>IFERROR(__xludf.DUMMYFUNCTION("IF(A4445&lt;&gt;"""", GOOGLETRANSLATE(A4445, ""en"", ""te""),"""")"),"")</f>
        <v/>
      </c>
      <c r="C4445" s="2"/>
      <c r="D4445" s="2" t="str">
        <f>IFERROR(__xludf.DUMMYFUNCTION("IF(C4445&lt;&gt;"""", GOOGLETRANSLATE(C4445, ""en"", ""te""),"""")"),"")</f>
        <v/>
      </c>
      <c r="E4445" s="2"/>
      <c r="F4445" s="2" t="str">
        <f>IFERROR(__xludf.DUMMYFUNCTION("IF(E4445&lt;&gt;"""", GOOGLETRANSLATE(E4445, ""en"", ""te""),"""")"),"")</f>
        <v/>
      </c>
      <c r="G4445" s="2"/>
      <c r="H4445" s="2" t="str">
        <f>IFERROR(__xludf.DUMMYFUNCTION("IF(G4445&lt;&gt;"""", GOOGLETRANSLATE(G4445, ""en"", ""te""),"""")"),"")</f>
        <v/>
      </c>
      <c r="I4445" s="3"/>
    </row>
    <row r="4446" customHeight="1" spans="1:9">
      <c r="A4446" s="2"/>
      <c r="B4446" s="2" t="str">
        <f>IFERROR(__xludf.DUMMYFUNCTION("IF(A4446&lt;&gt;"""", GOOGLETRANSLATE(A4446, ""en"", ""te""),"""")"),"")</f>
        <v/>
      </c>
      <c r="C4446" s="2"/>
      <c r="D4446" s="2" t="str">
        <f>IFERROR(__xludf.DUMMYFUNCTION("IF(C4446&lt;&gt;"""", GOOGLETRANSLATE(C4446, ""en"", ""te""),"""")"),"")</f>
        <v/>
      </c>
      <c r="E4446" s="2"/>
      <c r="F4446" s="2" t="str">
        <f>IFERROR(__xludf.DUMMYFUNCTION("IF(E4446&lt;&gt;"""", GOOGLETRANSLATE(E4446, ""en"", ""te""),"""")"),"")</f>
        <v/>
      </c>
      <c r="G4446" s="2"/>
      <c r="H4446" s="2" t="str">
        <f>IFERROR(__xludf.DUMMYFUNCTION("IF(G4446&lt;&gt;"""", GOOGLETRANSLATE(G4446, ""en"", ""te""),"""")"),"")</f>
        <v/>
      </c>
      <c r="I4446" s="3"/>
    </row>
    <row r="4447" customHeight="1" spans="1:9">
      <c r="A4447" s="2"/>
      <c r="B4447" s="2" t="str">
        <f>IFERROR(__xludf.DUMMYFUNCTION("IF(A4447&lt;&gt;"""", GOOGLETRANSLATE(A4447, ""en"", ""te""),"""")"),"")</f>
        <v/>
      </c>
      <c r="C4447" s="2"/>
      <c r="D4447" s="2" t="str">
        <f>IFERROR(__xludf.DUMMYFUNCTION("IF(C4447&lt;&gt;"""", GOOGLETRANSLATE(C4447, ""en"", ""te""),"""")"),"")</f>
        <v/>
      </c>
      <c r="E4447" s="2"/>
      <c r="F4447" s="2" t="str">
        <f>IFERROR(__xludf.DUMMYFUNCTION("IF(E4447&lt;&gt;"""", GOOGLETRANSLATE(E4447, ""en"", ""te""),"""")"),"")</f>
        <v/>
      </c>
      <c r="G4447" s="2"/>
      <c r="H4447" s="2" t="str">
        <f>IFERROR(__xludf.DUMMYFUNCTION("IF(G4447&lt;&gt;"""", GOOGLETRANSLATE(G4447, ""en"", ""te""),"""")"),"")</f>
        <v/>
      </c>
      <c r="I4447" s="3"/>
    </row>
    <row r="4448" customHeight="1" spans="1:9">
      <c r="A4448" s="2"/>
      <c r="B4448" s="2" t="str">
        <f>IFERROR(__xludf.DUMMYFUNCTION("IF(A4448&lt;&gt;"""", GOOGLETRANSLATE(A4448, ""en"", ""te""),"""")"),"")</f>
        <v/>
      </c>
      <c r="C4448" s="2"/>
      <c r="D4448" s="2" t="str">
        <f>IFERROR(__xludf.DUMMYFUNCTION("IF(C4448&lt;&gt;"""", GOOGLETRANSLATE(C4448, ""en"", ""te""),"""")"),"")</f>
        <v/>
      </c>
      <c r="E4448" s="2"/>
      <c r="F4448" s="2" t="str">
        <f>IFERROR(__xludf.DUMMYFUNCTION("IF(E4448&lt;&gt;"""", GOOGLETRANSLATE(E4448, ""en"", ""te""),"""")"),"")</f>
        <v/>
      </c>
      <c r="G4448" s="2"/>
      <c r="H4448" s="2" t="str">
        <f>IFERROR(__xludf.DUMMYFUNCTION("IF(G4448&lt;&gt;"""", GOOGLETRANSLATE(G4448, ""en"", ""te""),"""")"),"")</f>
        <v/>
      </c>
      <c r="I4448" s="3"/>
    </row>
    <row r="4449" customHeight="1" spans="1:9">
      <c r="A4449" s="2"/>
      <c r="B4449" s="2" t="str">
        <f>IFERROR(__xludf.DUMMYFUNCTION("IF(A4449&lt;&gt;"""", GOOGLETRANSLATE(A4449, ""en"", ""te""),"""")"),"")</f>
        <v/>
      </c>
      <c r="C4449" s="2" t="s">
        <v>3206</v>
      </c>
      <c r="D4449" s="2" t="str">
        <f>IFERROR(__xludf.DUMMYFUNCTION("IF(C4449&lt;&gt;"""", GOOGLETRANSLATE(C4449, ""en"", ""te""),"""")"),"[18 వ షార్టేస్ట్ నివసించారు క్రీడాకారులు (29y 169d) '' 24 వ పరాజయం వైపు (7) ఒక ఇన్నింగ్స్ లోని బెస్ట్ ఫిగర్స్ ']")</f>
        <v>[18 వ షార్టేస్ట్ నివసించారు క్రీడాకారులు (29y 169d) '' 24 వ పరాజయం వైపు (7) ఒక ఇన్నింగ్స్ లోని బెస్ట్ ఫిగర్స్ ']</v>
      </c>
      <c r="E4449" s="2"/>
      <c r="F4449" s="2" t="str">
        <f>IFERROR(__xludf.DUMMYFUNCTION("IF(E4449&lt;&gt;"""", GOOGLETRANSLATE(E4449, ""en"", ""te""),"""")"),"")</f>
        <v/>
      </c>
      <c r="G4449" s="2"/>
      <c r="H4449" s="2" t="str">
        <f>IFERROR(__xludf.DUMMYFUNCTION("IF(G4449&lt;&gt;"""", GOOGLETRANSLATE(G4449, ""en"", ""te""),"""")"),"")</f>
        <v/>
      </c>
      <c r="I4449" s="3"/>
    </row>
    <row r="4450" customHeight="1" spans="1:9">
      <c r="A4450" s="2"/>
      <c r="B4450" s="2" t="str">
        <f>IFERROR(__xludf.DUMMYFUNCTION("IF(A4450&lt;&gt;"""", GOOGLETRANSLATE(A4450, ""en"", ""te""),"""")"),"")</f>
        <v/>
      </c>
      <c r="C4450" s="2"/>
      <c r="D4450" s="2" t="str">
        <f>IFERROR(__xludf.DUMMYFUNCTION("IF(C4450&lt;&gt;"""", GOOGLETRANSLATE(C4450, ""en"", ""te""),"""")"),"")</f>
        <v/>
      </c>
      <c r="E4450" s="2"/>
      <c r="F4450" s="2" t="str">
        <f>IFERROR(__xludf.DUMMYFUNCTION("IF(E4450&lt;&gt;"""", GOOGLETRANSLATE(E4450, ""en"", ""te""),"""")"),"")</f>
        <v/>
      </c>
      <c r="G4450" s="2"/>
      <c r="H4450" s="2" t="str">
        <f>IFERROR(__xludf.DUMMYFUNCTION("IF(G4450&lt;&gt;"""", GOOGLETRANSLATE(G4450, ""en"", ""te""),"""")"),"")</f>
        <v/>
      </c>
      <c r="I4450" s="3"/>
    </row>
    <row r="4451" customHeight="1" spans="1:9">
      <c r="A4451" s="2"/>
      <c r="B4451" s="2" t="str">
        <f>IFERROR(__xludf.DUMMYFUNCTION("IF(A4451&lt;&gt;"""", GOOGLETRANSLATE(A4451, ""en"", ""te""),"""")"),"")</f>
        <v/>
      </c>
      <c r="C4451" s="2" t="s">
        <v>3207</v>
      </c>
      <c r="D4451" s="2" t="str">
        <f>IFERROR(__xludf.DUMMYFUNCTION("IF(C4451&lt;&gt;"""", GOOGLETRANSLATE(C4451, ""en"", ""te""),"""")"),"[ '32 వ రోజుకు లో అత్యధిక పరుగులు (206)', '20 వ అత్యధిక తొలి వంద (215)', '13 వ ఇన్నింగ్స్ లో వచ్చిన ఎక్కువ సిక్స్ (8)', 'ఇన్నింగ్స్ లో ఫోర్లు, సిక్సర్లు నుండి 28 అత్యధిక పరుగులు (160)' '22 వ వేగవంతమైన 1000 పరుగులు (19)', 'తొలి వికెట్కు (317) కోసం 12 వ అత"&amp;"్యధిక భాగస్వామ్యం']")</f>
        <v>[ '32 వ రోజుకు లో అత్యధిక పరుగులు (206)', '20 వ అత్యధిక తొలి వంద (215)', '13 వ ఇన్నింగ్స్ లో వచ్చిన ఎక్కువ సిక్స్ (8)', 'ఇన్నింగ్స్ లో ఫోర్లు, సిక్సర్లు నుండి 28 అత్యధిక పరుగులు (160)' '22 వ వేగవంతమైన 1000 పరుగులు (19)', 'తొలి వికెట్కు (317) కోసం 12 వ అత్యధిక భాగస్వామ్యం']</v>
      </c>
      <c r="E4451" s="2"/>
      <c r="F4451" s="2" t="str">
        <f>IFERROR(__xludf.DUMMYFUNCTION("IF(E4451&lt;&gt;"""", GOOGLETRANSLATE(E4451, ""en"", ""te""),"""")"),"")</f>
        <v/>
      </c>
      <c r="G4451" s="2"/>
      <c r="H4451" s="2" t="str">
        <f>IFERROR(__xludf.DUMMYFUNCTION("IF(G4451&lt;&gt;"""", GOOGLETRANSLATE(G4451, ""en"", ""te""),"""")"),"")</f>
        <v/>
      </c>
      <c r="I4451" s="3"/>
    </row>
    <row r="4452" customHeight="1" spans="1:9">
      <c r="A4452" s="2" t="s">
        <v>352</v>
      </c>
      <c r="B4452" s="2" t="str">
        <f>IFERROR(__xludf.DUMMYFUNCTION("IF(A4452&lt;&gt;"""", GOOGLETRANSLATE(A4452, ""en"", ""te""),"""")"),"[ 'బ్యాటింగ్ ప్రారంభించుటకు మరియు అదే మ్యాచ్ లో బౌలింగ్']")</f>
        <v>[ 'బ్యాటింగ్ ప్రారంభించుటకు మరియు అదే మ్యాచ్ లో బౌలింగ్']</v>
      </c>
      <c r="C4452" s="2" t="s">
        <v>3208</v>
      </c>
      <c r="D4452" s="2" t="str">
        <f>IFERROR(__xludf.DUMMYFUNCTION("IF(C4452&lt;&gt;"""", GOOGLETRANSLATE(C4452, ""en"", ""te""),"""")"),"[ '49 వ అత్యంత వంద (1018) లేకుండా ఒక వృత్తిలో పరుగులు', '22 వ ప్రవేశం (6) ఒక ఇన్నింగ్స్ లోని బెస్ట్ ఫిగర్స్']")</f>
        <v>[ '49 వ అత్యంత వంద (1018) లేకుండా ఒక వృత్తిలో పరుగులు', '22 వ ప్రవేశం (6) ఒక ఇన్నింగ్స్ లోని బెస్ట్ ఫిగర్స్']</v>
      </c>
      <c r="E4452" s="2" t="s">
        <v>3209</v>
      </c>
      <c r="F4452" s="2" t="str">
        <f>IFERROR(__xludf.DUMMYFUNCTION("IF(E4452&lt;&gt;"""", GOOGLETRANSLATE(E4452, ""en"", ""te""),"""")"),"[ '27 పురాతన దేశం ఆటగాళ్ళు (79y 265d)']")</f>
        <v>[ '27 పురాతన దేశం ఆటగాళ్ళు (79y 265d)']</v>
      </c>
      <c r="G4452" s="2"/>
      <c r="H4452" s="2" t="str">
        <f>IFERROR(__xludf.DUMMYFUNCTION("IF(G4452&lt;&gt;"""", GOOGLETRANSLATE(G4452, ""en"", ""te""),"""")"),"")</f>
        <v/>
      </c>
      <c r="I4452" s="3"/>
    </row>
    <row r="4453" customHeight="1" spans="1:9">
      <c r="A4453" s="2"/>
      <c r="B4453" s="2" t="str">
        <f>IFERROR(__xludf.DUMMYFUNCTION("IF(A4453&lt;&gt;"""", GOOGLETRANSLATE(A4453, ""en"", ""te""),"""")"),"")</f>
        <v/>
      </c>
      <c r="C4453" s="2"/>
      <c r="D4453" s="2" t="str">
        <f>IFERROR(__xludf.DUMMYFUNCTION("IF(C4453&lt;&gt;"""", GOOGLETRANSLATE(C4453, ""en"", ""te""),"""")"),"")</f>
        <v/>
      </c>
      <c r="E4453" s="2"/>
      <c r="F4453" s="2" t="str">
        <f>IFERROR(__xludf.DUMMYFUNCTION("IF(E4453&lt;&gt;"""", GOOGLETRANSLATE(E4453, ""en"", ""te""),"""")"),"")</f>
        <v/>
      </c>
      <c r="G4453" s="2"/>
      <c r="H4453" s="2" t="str">
        <f>IFERROR(__xludf.DUMMYFUNCTION("IF(G4453&lt;&gt;"""", GOOGLETRANSLATE(G4453, ""en"", ""te""),"""")"),"")</f>
        <v/>
      </c>
      <c r="I4453" s="3"/>
    </row>
    <row r="4454" customHeight="1" spans="1:9">
      <c r="A4454" s="2"/>
      <c r="B4454" s="2" t="str">
        <f>IFERROR(__xludf.DUMMYFUNCTION("IF(A4454&lt;&gt;"""", GOOGLETRANSLATE(A4454, ""en"", ""te""),"""")"),"")</f>
        <v/>
      </c>
      <c r="C4454" s="2"/>
      <c r="D4454" s="2" t="str">
        <f>IFERROR(__xludf.DUMMYFUNCTION("IF(C4454&lt;&gt;"""", GOOGLETRANSLATE(C4454, ""en"", ""te""),"""")"),"")</f>
        <v/>
      </c>
      <c r="E4454" s="2"/>
      <c r="F4454" s="2" t="str">
        <f>IFERROR(__xludf.DUMMYFUNCTION("IF(E4454&lt;&gt;"""", GOOGLETRANSLATE(E4454, ""en"", ""te""),"""")"),"")</f>
        <v/>
      </c>
      <c r="G4454" s="2"/>
      <c r="H4454" s="2" t="str">
        <f>IFERROR(__xludf.DUMMYFUNCTION("IF(G4454&lt;&gt;"""", GOOGLETRANSLATE(G4454, ""en"", ""te""),"""")"),"")</f>
        <v/>
      </c>
      <c r="I4454" s="3"/>
    </row>
    <row r="4455" customHeight="1" spans="1:9">
      <c r="A4455" s="2"/>
      <c r="B4455" s="2" t="str">
        <f>IFERROR(__xludf.DUMMYFUNCTION("IF(A4455&lt;&gt;"""", GOOGLETRANSLATE(A4455, ""en"", ""te""),"""")"),"")</f>
        <v/>
      </c>
      <c r="C4455" s="2"/>
      <c r="D4455" s="2" t="str">
        <f>IFERROR(__xludf.DUMMYFUNCTION("IF(C4455&lt;&gt;"""", GOOGLETRANSLATE(C4455, ""en"", ""te""),"""")"),"")</f>
        <v/>
      </c>
      <c r="E4455" s="2"/>
      <c r="F4455" s="2" t="str">
        <f>IFERROR(__xludf.DUMMYFUNCTION("IF(E4455&lt;&gt;"""", GOOGLETRANSLATE(E4455, ""en"", ""te""),"""")"),"")</f>
        <v/>
      </c>
      <c r="G4455" s="2"/>
      <c r="H4455" s="2" t="str">
        <f>IFERROR(__xludf.DUMMYFUNCTION("IF(G4455&lt;&gt;"""", GOOGLETRANSLATE(G4455, ""en"", ""te""),"""")"),"")</f>
        <v/>
      </c>
      <c r="I4455" s="3"/>
    </row>
    <row r="4456" customHeight="1" spans="1:9">
      <c r="A4456" s="2"/>
      <c r="B4456" s="2" t="str">
        <f>IFERROR(__xludf.DUMMYFUNCTION("IF(A4456&lt;&gt;"""", GOOGLETRANSLATE(A4456, ""en"", ""te""),"""")"),"")</f>
        <v/>
      </c>
      <c r="C4456" s="2"/>
      <c r="D4456" s="2" t="str">
        <f>IFERROR(__xludf.DUMMYFUNCTION("IF(C4456&lt;&gt;"""", GOOGLETRANSLATE(C4456, ""en"", ""te""),"""")"),"")</f>
        <v/>
      </c>
      <c r="E4456" s="2"/>
      <c r="F4456" s="2" t="str">
        <f>IFERROR(__xludf.DUMMYFUNCTION("IF(E4456&lt;&gt;"""", GOOGLETRANSLATE(E4456, ""en"", ""te""),"""")"),"")</f>
        <v/>
      </c>
      <c r="G4456" s="2"/>
      <c r="H4456" s="2" t="str">
        <f>IFERROR(__xludf.DUMMYFUNCTION("IF(G4456&lt;&gt;"""", GOOGLETRANSLATE(G4456, ""en"", ""te""),"""")"),"")</f>
        <v/>
      </c>
      <c r="I4456" s="3"/>
    </row>
    <row r="4457" customHeight="1" spans="1:9">
      <c r="A4457" s="2" t="s">
        <v>3210</v>
      </c>
      <c r="B4457" s="2" t="str">
        <f>IFERROR(__xludf.DUMMYFUNCTION("IF(A4457&lt;&gt;"""", GOOGLETRANSLATE(A4457, ""en"", ""te""),"""")"),"[ '10 వ ఒకే మైదానంలో అత్యధిక వికెట్లు (16)', '6 వ అత్యధిక వికెట్లు తీసుకున్న క్యాచ్ మరియు బౌల్డ్ (9)']")</f>
        <v>[ '10 వ ఒకే మైదానంలో అత్యధిక వికెట్లు (16)', '6 వ అత్యధిక వికెట్లు తీసుకున్న క్యాచ్ మరియు బౌల్డ్ (9)']</v>
      </c>
      <c r="C4457" s="2" t="s">
        <v>3211</v>
      </c>
      <c r="D4457" s="2" t="str">
        <f>IFERROR(__xludf.DUMMYFUNCTION("IF(C4457&lt;&gt;"""", GOOGLETRANSLATE(C4457, ""en"", ""te""),"""")"),"[ '13 వ ఉత్తమ ఇన్నింగ్స్ లో ఆర్థిక రేటు (0.46)', 'ఇన్నింగ్స్ లో 11 వ చెత్త ఆర్థిక రేటు (4.55)']")</f>
        <v>[ '13 వ ఉత్తమ ఇన్నింగ్స్ లో ఆర్థిక రేటు (0.46)', 'ఇన్నింగ్స్ లో 11 వ చెత్త ఆర్థిక రేటు (4.55)']</v>
      </c>
      <c r="E4457" s="2" t="s">
        <v>3212</v>
      </c>
      <c r="F4457" s="2" t="str">
        <f>IFERROR(__xludf.DUMMYFUNCTION("IF(E4457&lt;&gt;"""", GOOGLETRANSLATE(E4457, ""en"", ""te""),"""")"),"[ '20 వ కెరీర్ లో అత్యధిక వికెట్లు (100)', '30 వ ఇన్నింగ్స్ లో బెస్ట్ ఫిగర్స్ (5/14)', '18 వ ఒక క్యాలెండర్ సంవత్సరంలో అత్యధిక వికెట్లు (25)', '13 వ అత్యుత్తమ బౌలింగ్ ఇన్నింగ్స్ లో విశ్లేషించడం (5 / 14) ',' 10th ఒకే మైదానంలో అత్యధిక వికెట్లు (16) ',' 11 వ"&amp;" ఒక ఇన్నింగ్స్ లోని బెస్ట్ ఫిగర్స్ ఉన్నప్పుడు పరాజయం వైపు (4) ',' 33 వ ఉత్తమ సమ్మె ఇన్నింగ్స్ లో రేటు (8.2) ',' 15 వ అత్యంత నాలుగు వికెట్లు-ఇన్-ఒక-ఇన్నింగ్స్ కెరీర్లో ఐదు వికెట్ల లో-ఒక-ఇన్నింగ్స్ (21y 348d) తీసుకోవాలని (5) ', '21 వ పిన్న ఆటగాడు', 'కెరీర్"&amp;" లో బౌల్డ్ 21 మోస్ట్ బంతుల్లో (4036)', 'కెరీర్ లో 22 వ అత్యంత సాధించిన పరుగులు (2402)', '44 వ బౌలర్ / ఫీల్డర్ కలయికలు (10)', '29 వ అత్యధిక వికెట్లు తీసుకున్న బౌల్డ్ (21)', '20 వ అత్యధిక వికెట్లు తీసుకున్న ఆకర్షించింది (57)', '6 వ అత్యధిక వికెట్లు తీసుకున్"&amp;"న క్యాచ్ మరియు బౌల్డ్ (9) ',' 12 వ అత్యధిక వికెట్లు ఒక ఫీల్డర్ చేత క్యాచ్ తీసుకున్న (50) ',' 9 వ అత్యధిక వికెట్లు తీసుకున్న స్టంప్ (14) ']")</f>
        <v>[ '20 వ కెరీర్ లో అత్యధిక వికెట్లు (100)', '30 వ ఇన్నింగ్స్ లో బెస్ట్ ఫిగర్స్ (5/14)', '18 వ ఒక క్యాలెండర్ సంవత్సరంలో అత్యధిక వికెట్లు (25)', '13 వ అత్యుత్తమ బౌలింగ్ ఇన్నింగ్స్ లో విశ్లేషించడం (5 / 14) ',' 10th ఒకే మైదానంలో అత్యధిక వికెట్లు (16) ',' 11 వ ఒక ఇన్నింగ్స్ లోని బెస్ట్ ఫిగర్స్ ఉన్నప్పుడు పరాజయం వైపు (4) ',' 33 వ ఉత్తమ సమ్మె ఇన్నింగ్స్ లో రేటు (8.2) ',' 15 వ అత్యంత నాలుగు వికెట్లు-ఇన్-ఒక-ఇన్నింగ్స్ కెరీర్లో ఐదు వికెట్ల లో-ఒక-ఇన్నింగ్స్ (21y 348d) తీసుకోవాలని (5) ', '21 వ పిన్న ఆటగాడు', 'కెరీర్ లో బౌల్డ్ 21 మోస్ట్ బంతుల్లో (4036)', 'కెరీర్ లో 22 వ అత్యంత సాధించిన పరుగులు (2402)', '44 వ బౌలర్ / ఫీల్డర్ కలయికలు (10)', '29 వ అత్యధిక వికెట్లు తీసుకున్న బౌల్డ్ (21)', '20 వ అత్యధిక వికెట్లు తీసుకున్న ఆకర్షించింది (57)', '6 వ అత్యధిక వికెట్లు తీసుకున్న క్యాచ్ మరియు బౌల్డ్ (9) ',' 12 వ అత్యధిక వికెట్లు ఒక ఫీల్డర్ చేత క్యాచ్ తీసుకున్న (50) ',' 9 వ అత్యధిక వికెట్లు తీసుకున్న స్టంప్ (14) ']</v>
      </c>
      <c r="G4457" s="2"/>
      <c r="H4457" s="2" t="str">
        <f>IFERROR(__xludf.DUMMYFUNCTION("IF(G4457&lt;&gt;"""", GOOGLETRANSLATE(G4457, ""en"", ""te""),"""")"),"")</f>
        <v/>
      </c>
      <c r="I4457" s="3"/>
    </row>
    <row r="4458" customHeight="1" spans="1:9">
      <c r="A4458" s="2"/>
      <c r="B4458" s="2" t="str">
        <f>IFERROR(__xludf.DUMMYFUNCTION("IF(A4458&lt;&gt;"""", GOOGLETRANSLATE(A4458, ""en"", ""te""),"""")"),"")</f>
        <v/>
      </c>
      <c r="C4458" s="2"/>
      <c r="D4458" s="2" t="str">
        <f>IFERROR(__xludf.DUMMYFUNCTION("IF(C4458&lt;&gt;"""", GOOGLETRANSLATE(C4458, ""en"", ""te""),"""")"),"")</f>
        <v/>
      </c>
      <c r="E4458" s="2"/>
      <c r="F4458" s="2" t="str">
        <f>IFERROR(__xludf.DUMMYFUNCTION("IF(E4458&lt;&gt;"""", GOOGLETRANSLATE(E4458, ""en"", ""te""),"""")"),"")</f>
        <v/>
      </c>
      <c r="G4458" s="2"/>
      <c r="H4458" s="2" t="str">
        <f>IFERROR(__xludf.DUMMYFUNCTION("IF(G4458&lt;&gt;"""", GOOGLETRANSLATE(G4458, ""en"", ""te""),"""")"),"")</f>
        <v/>
      </c>
      <c r="I4458" s="3"/>
    </row>
    <row r="4459" customHeight="1" spans="1:9">
      <c r="A4459" s="2" t="s">
        <v>352</v>
      </c>
      <c r="B4459" s="2" t="str">
        <f>IFERROR(__xludf.DUMMYFUNCTION("IF(A4459&lt;&gt;"""", GOOGLETRANSLATE(A4459, ""en"", ""te""),"""")"),"[ 'బ్యాటింగ్ ప్రారంభించుటకు మరియు అదే మ్యాచ్ లో బౌలింగ్']")</f>
        <v>[ 'బ్యాటింగ్ ప్రారంభించుటకు మరియు అదే మ్యాచ్ లో బౌలింగ్']</v>
      </c>
      <c r="C4459" s="2"/>
      <c r="D4459" s="2" t="str">
        <f>IFERROR(__xludf.DUMMYFUNCTION("IF(C4459&lt;&gt;"""", GOOGLETRANSLATE(C4459, ""en"", ""te""),"""")"),"")</f>
        <v/>
      </c>
      <c r="E4459" s="2"/>
      <c r="F4459" s="2" t="str">
        <f>IFERROR(__xludf.DUMMYFUNCTION("IF(E4459&lt;&gt;"""", GOOGLETRANSLATE(E4459, ""en"", ""te""),"""")"),"")</f>
        <v/>
      </c>
      <c r="G4459" s="2"/>
      <c r="H4459" s="2" t="str">
        <f>IFERROR(__xludf.DUMMYFUNCTION("IF(G4459&lt;&gt;"""", GOOGLETRANSLATE(G4459, ""en"", ""te""),"""")"),"")</f>
        <v/>
      </c>
      <c r="I4459" s="3"/>
    </row>
    <row r="4460" customHeight="1" spans="1:9">
      <c r="A4460" s="2"/>
      <c r="B4460" s="2" t="str">
        <f>IFERROR(__xludf.DUMMYFUNCTION("IF(A4460&lt;&gt;"""", GOOGLETRANSLATE(A4460, ""en"", ""te""),"""")"),"")</f>
        <v/>
      </c>
      <c r="C4460" s="2"/>
      <c r="D4460" s="2" t="str">
        <f>IFERROR(__xludf.DUMMYFUNCTION("IF(C4460&lt;&gt;"""", GOOGLETRANSLATE(C4460, ""en"", ""te""),"""")"),"")</f>
        <v/>
      </c>
      <c r="E4460" s="2"/>
      <c r="F4460" s="2" t="str">
        <f>IFERROR(__xludf.DUMMYFUNCTION("IF(E4460&lt;&gt;"""", GOOGLETRANSLATE(E4460, ""en"", ""te""),"""")"),"")</f>
        <v/>
      </c>
      <c r="G4460" s="2"/>
      <c r="H4460" s="2" t="str">
        <f>IFERROR(__xludf.DUMMYFUNCTION("IF(G4460&lt;&gt;"""", GOOGLETRANSLATE(G4460, ""en"", ""te""),"""")"),"")</f>
        <v/>
      </c>
      <c r="I4460" s="3"/>
    </row>
    <row r="4461" customHeight="1" spans="1:9">
      <c r="A4461" s="2"/>
      <c r="B4461" s="2" t="str">
        <f>IFERROR(__xludf.DUMMYFUNCTION("IF(A4461&lt;&gt;"""", GOOGLETRANSLATE(A4461, ""en"", ""te""),"""")"),"")</f>
        <v/>
      </c>
      <c r="C4461" s="2"/>
      <c r="D4461" s="2" t="str">
        <f>IFERROR(__xludf.DUMMYFUNCTION("IF(C4461&lt;&gt;"""", GOOGLETRANSLATE(C4461, ""en"", ""te""),"""")"),"")</f>
        <v/>
      </c>
      <c r="E4461" s="2"/>
      <c r="F4461" s="2" t="str">
        <f>IFERROR(__xludf.DUMMYFUNCTION("IF(E4461&lt;&gt;"""", GOOGLETRANSLATE(E4461, ""en"", ""te""),"""")"),"")</f>
        <v/>
      </c>
      <c r="G4461" s="2"/>
      <c r="H4461" s="2" t="str">
        <f>IFERROR(__xludf.DUMMYFUNCTION("IF(G4461&lt;&gt;"""", GOOGLETRANSLATE(G4461, ""en"", ""te""),"""")"),"")</f>
        <v/>
      </c>
      <c r="I4461" s="3"/>
    </row>
    <row r="4462" customHeight="1" spans="1:9">
      <c r="A4462" s="2" t="s">
        <v>3213</v>
      </c>
      <c r="B4462" s="2" t="str">
        <f>IFERROR(__xludf.DUMMYFUNCTION("IF(A4462&lt;&gt;"""", GOOGLETRANSLATE(A4462, ""en"", ""te""),"""")"),"[ 'హండ్రెడ్ తొలి (124)', '9 వ ఉత్తమ కెరీర్ (5.00) (అర్హత లేకుండా) సగటు బౌలింగ్']")</f>
        <v>[ 'హండ్రెడ్ తొలి (124)', '9 వ ఉత్తమ కెరీర్ (5.00) (అర్హత లేకుండా) సగటు బౌలింగ్']</v>
      </c>
      <c r="C4462" s="2" t="s">
        <v>541</v>
      </c>
      <c r="D4462" s="2" t="str">
        <f>IFERROR(__xludf.DUMMYFUNCTION("IF(C4462&lt;&gt;"""", GOOGLETRANSLATE(C4462, ""en"", ""te""),"""")"),"[ '9 వ ఉత్తమ కెరీర్ బౌలింగ్ సరాసరి (అర్హత లేకుండా) (5.00)']")</f>
        <v>[ '9 వ ఉత్తమ కెరీర్ బౌలింగ్ సరాసరి (అర్హత లేకుండా) (5.00)']</v>
      </c>
      <c r="E4462" s="2"/>
      <c r="F4462" s="2" t="str">
        <f>IFERROR(__xludf.DUMMYFUNCTION("IF(E4462&lt;&gt;"""", GOOGLETRANSLATE(E4462, ""en"", ""te""),"""")"),"")</f>
        <v/>
      </c>
      <c r="G4462" s="2"/>
      <c r="H4462" s="2" t="str">
        <f>IFERROR(__xludf.DUMMYFUNCTION("IF(G4462&lt;&gt;"""", GOOGLETRANSLATE(G4462, ""en"", ""te""),"""")"),"")</f>
        <v/>
      </c>
      <c r="I4462" s="3"/>
    </row>
    <row r="4463" customHeight="1" spans="1:9">
      <c r="A4463" s="2"/>
      <c r="B4463" s="2" t="str">
        <f>IFERROR(__xludf.DUMMYFUNCTION("IF(A4463&lt;&gt;"""", GOOGLETRANSLATE(A4463, ""en"", ""te""),"""")"),"")</f>
        <v/>
      </c>
      <c r="C4463" s="2"/>
      <c r="D4463" s="2" t="str">
        <f>IFERROR(__xludf.DUMMYFUNCTION("IF(C4463&lt;&gt;"""", GOOGLETRANSLATE(C4463, ""en"", ""te""),"""")"),"")</f>
        <v/>
      </c>
      <c r="E4463" s="2"/>
      <c r="F4463" s="2" t="str">
        <f>IFERROR(__xludf.DUMMYFUNCTION("IF(E4463&lt;&gt;"""", GOOGLETRANSLATE(E4463, ""en"", ""te""),"""")"),"")</f>
        <v/>
      </c>
      <c r="G4463" s="2"/>
      <c r="H4463" s="2" t="str">
        <f>IFERROR(__xludf.DUMMYFUNCTION("IF(G4463&lt;&gt;"""", GOOGLETRANSLATE(G4463, ""en"", ""te""),"""")"),"")</f>
        <v/>
      </c>
      <c r="I4463" s="3"/>
    </row>
    <row r="4464" customHeight="1" spans="1:9">
      <c r="A4464" s="2" t="s">
        <v>9</v>
      </c>
      <c r="B4464" s="2" t="str">
        <f>IFERROR(__xludf.DUMMYFUNCTION("IF(A4464&lt;&gt;"""", GOOGLETRANSLATE(A4464, ""en"", ""te""),"""")"),"[ 'హండ్రెడ్ మరియు ఒక మ్యాచ్లో ఒక డక్']")</f>
        <v>[ 'హండ్రెడ్ మరియు ఒక మ్యాచ్లో ఒక డక్']</v>
      </c>
      <c r="C4464" s="2" t="s">
        <v>3214</v>
      </c>
      <c r="D4464" s="2" t="str">
        <f>IFERROR(__xludf.DUMMYFUNCTION("IF(C4464&lt;&gt;"""", GOOGLETRANSLATE(C4464, ""en"", ""te""),"""")"),"[ '34 వ పిన్న ఆటగాడు వంద (20y 137d) స్కోర్']")</f>
        <v>[ '34 వ పిన్న ఆటగాడు వంద (20y 137d) స్కోర్']</v>
      </c>
      <c r="E4464" s="2"/>
      <c r="F4464" s="2" t="str">
        <f>IFERROR(__xludf.DUMMYFUNCTION("IF(E4464&lt;&gt;"""", GOOGLETRANSLATE(E4464, ""en"", ""te""),"""")"),"")</f>
        <v/>
      </c>
      <c r="G4464" s="2"/>
      <c r="H4464" s="2" t="str">
        <f>IFERROR(__xludf.DUMMYFUNCTION("IF(G4464&lt;&gt;"""", GOOGLETRANSLATE(G4464, ""en"", ""te""),"""")"),"")</f>
        <v/>
      </c>
      <c r="I4464" s="3"/>
    </row>
    <row r="4465" customHeight="1" spans="1:9">
      <c r="A4465" s="2"/>
      <c r="B4465" s="2" t="str">
        <f>IFERROR(__xludf.DUMMYFUNCTION("IF(A4465&lt;&gt;"""", GOOGLETRANSLATE(A4465, ""en"", ""te""),"""")"),"")</f>
        <v/>
      </c>
      <c r="C4465" s="2"/>
      <c r="D4465" s="2" t="str">
        <f>IFERROR(__xludf.DUMMYFUNCTION("IF(C4465&lt;&gt;"""", GOOGLETRANSLATE(C4465, ""en"", ""te""),"""")"),"")</f>
        <v/>
      </c>
      <c r="E4465" s="2"/>
      <c r="F4465" s="2" t="str">
        <f>IFERROR(__xludf.DUMMYFUNCTION("IF(E4465&lt;&gt;"""", GOOGLETRANSLATE(E4465, ""en"", ""te""),"""")"),"")</f>
        <v/>
      </c>
      <c r="G4465" s="2"/>
      <c r="H4465" s="2" t="str">
        <f>IFERROR(__xludf.DUMMYFUNCTION("IF(G4465&lt;&gt;"""", GOOGLETRANSLATE(G4465, ""en"", ""te""),"""")"),"")</f>
        <v/>
      </c>
      <c r="I4465" s="3"/>
    </row>
    <row r="4466" customHeight="1" spans="1:9">
      <c r="A4466" s="2"/>
      <c r="B4466" s="2" t="str">
        <f>IFERROR(__xludf.DUMMYFUNCTION("IF(A4466&lt;&gt;"""", GOOGLETRANSLATE(A4466, ""en"", ""te""),"""")"),"")</f>
        <v/>
      </c>
      <c r="C4466" s="2"/>
      <c r="D4466" s="2" t="str">
        <f>IFERROR(__xludf.DUMMYFUNCTION("IF(C4466&lt;&gt;"""", GOOGLETRANSLATE(C4466, ""en"", ""te""),"""")"),"")</f>
        <v/>
      </c>
      <c r="E4466" s="2"/>
      <c r="F4466" s="2" t="str">
        <f>IFERROR(__xludf.DUMMYFUNCTION("IF(E4466&lt;&gt;"""", GOOGLETRANSLATE(E4466, ""en"", ""te""),"""")"),"")</f>
        <v/>
      </c>
      <c r="G4466" s="2"/>
      <c r="H4466" s="2" t="str">
        <f>IFERROR(__xludf.DUMMYFUNCTION("IF(G4466&lt;&gt;"""", GOOGLETRANSLATE(G4466, ""en"", ""te""),"""")"),"")</f>
        <v/>
      </c>
      <c r="I4466" s="3"/>
    </row>
    <row r="4467" customHeight="1" spans="1:9">
      <c r="A4467" s="2"/>
      <c r="B4467" s="2" t="str">
        <f>IFERROR(__xludf.DUMMYFUNCTION("IF(A4467&lt;&gt;"""", GOOGLETRANSLATE(A4467, ""en"", ""te""),"""")"),"")</f>
        <v/>
      </c>
      <c r="C4467" s="2"/>
      <c r="D4467" s="2" t="str">
        <f>IFERROR(__xludf.DUMMYFUNCTION("IF(C4467&lt;&gt;"""", GOOGLETRANSLATE(C4467, ""en"", ""te""),"""")"),"")</f>
        <v/>
      </c>
      <c r="E4467" s="2"/>
      <c r="F4467" s="2" t="str">
        <f>IFERROR(__xludf.DUMMYFUNCTION("IF(E4467&lt;&gt;"""", GOOGLETRANSLATE(E4467, ""en"", ""te""),"""")"),"")</f>
        <v/>
      </c>
      <c r="G4467" s="2"/>
      <c r="H4467" s="2" t="str">
        <f>IFERROR(__xludf.DUMMYFUNCTION("IF(G4467&lt;&gt;"""", GOOGLETRANSLATE(G4467, ""en"", ""te""),"""")"),"")</f>
        <v/>
      </c>
      <c r="I4467" s="3"/>
    </row>
    <row r="4468" customHeight="1" spans="1:9">
      <c r="A4468" s="2"/>
      <c r="B4468" s="2" t="str">
        <f>IFERROR(__xludf.DUMMYFUNCTION("IF(A4468&lt;&gt;"""", GOOGLETRANSLATE(A4468, ""en"", ""te""),"""")"),"")</f>
        <v/>
      </c>
      <c r="C4468" s="2"/>
      <c r="D4468" s="2" t="str">
        <f>IFERROR(__xludf.DUMMYFUNCTION("IF(C4468&lt;&gt;"""", GOOGLETRANSLATE(C4468, ""en"", ""te""),"""")"),"")</f>
        <v/>
      </c>
      <c r="E4468" s="2"/>
      <c r="F4468" s="2" t="str">
        <f>IFERROR(__xludf.DUMMYFUNCTION("IF(E4468&lt;&gt;"""", GOOGLETRANSLATE(E4468, ""en"", ""te""),"""")"),"")</f>
        <v/>
      </c>
      <c r="G4468" s="2"/>
      <c r="H4468" s="2" t="str">
        <f>IFERROR(__xludf.DUMMYFUNCTION("IF(G4468&lt;&gt;"""", GOOGLETRANSLATE(G4468, ""en"", ""te""),"""")"),"")</f>
        <v/>
      </c>
      <c r="I4468" s="3"/>
    </row>
    <row r="4469" customHeight="1" spans="1:9">
      <c r="A4469" s="2"/>
      <c r="B4469" s="2" t="str">
        <f>IFERROR(__xludf.DUMMYFUNCTION("IF(A4469&lt;&gt;"""", GOOGLETRANSLATE(A4469, ""en"", ""te""),"""")"),"")</f>
        <v/>
      </c>
      <c r="C4469" s="2"/>
      <c r="D4469" s="2" t="str">
        <f>IFERROR(__xludf.DUMMYFUNCTION("IF(C4469&lt;&gt;"""", GOOGLETRANSLATE(C4469, ""en"", ""te""),"""")"),"")</f>
        <v/>
      </c>
      <c r="E4469" s="2"/>
      <c r="F4469" s="2" t="str">
        <f>IFERROR(__xludf.DUMMYFUNCTION("IF(E4469&lt;&gt;"""", GOOGLETRANSLATE(E4469, ""en"", ""te""),"""")"),"")</f>
        <v/>
      </c>
      <c r="G4469" s="2"/>
      <c r="H4469" s="2" t="str">
        <f>IFERROR(__xludf.DUMMYFUNCTION("IF(G4469&lt;&gt;"""", GOOGLETRANSLATE(G4469, ""en"", ""te""),"""")"),"")</f>
        <v/>
      </c>
      <c r="I4469" s="3"/>
    </row>
    <row r="4470" customHeight="1" spans="1:9">
      <c r="A4470" s="2"/>
      <c r="B4470" s="2" t="str">
        <f>IFERROR(__xludf.DUMMYFUNCTION("IF(A4470&lt;&gt;"""", GOOGLETRANSLATE(A4470, ""en"", ""te""),"""")"),"")</f>
        <v/>
      </c>
      <c r="C4470" s="2"/>
      <c r="D4470" s="2" t="str">
        <f>IFERROR(__xludf.DUMMYFUNCTION("IF(C4470&lt;&gt;"""", GOOGLETRANSLATE(C4470, ""en"", ""te""),"""")"),"")</f>
        <v/>
      </c>
      <c r="E4470" s="2"/>
      <c r="F4470" s="2" t="str">
        <f>IFERROR(__xludf.DUMMYFUNCTION("IF(E4470&lt;&gt;"""", GOOGLETRANSLATE(E4470, ""en"", ""te""),"""")"),"")</f>
        <v/>
      </c>
      <c r="G4470" s="2"/>
      <c r="H4470" s="2" t="str">
        <f>IFERROR(__xludf.DUMMYFUNCTION("IF(G4470&lt;&gt;"""", GOOGLETRANSLATE(G4470, ""en"", ""te""),"""")"),"")</f>
        <v/>
      </c>
      <c r="I4470" s="3"/>
    </row>
    <row r="4471" customHeight="1" spans="1:9">
      <c r="A4471" s="2"/>
      <c r="B4471" s="2" t="str">
        <f>IFERROR(__xludf.DUMMYFUNCTION("IF(A4471&lt;&gt;"""", GOOGLETRANSLATE(A4471, ""en"", ""te""),"""")"),"")</f>
        <v/>
      </c>
      <c r="C4471" s="2"/>
      <c r="D4471" s="2" t="str">
        <f>IFERROR(__xludf.DUMMYFUNCTION("IF(C4471&lt;&gt;"""", GOOGLETRANSLATE(C4471, ""en"", ""te""),"""")"),"")</f>
        <v/>
      </c>
      <c r="E4471" s="2"/>
      <c r="F4471" s="2" t="str">
        <f>IFERROR(__xludf.DUMMYFUNCTION("IF(E4471&lt;&gt;"""", GOOGLETRANSLATE(E4471, ""en"", ""te""),"""")"),"")</f>
        <v/>
      </c>
      <c r="G4471" s="2"/>
      <c r="H4471" s="2" t="str">
        <f>IFERROR(__xludf.DUMMYFUNCTION("IF(G4471&lt;&gt;"""", GOOGLETRANSLATE(G4471, ""en"", ""te""),"""")"),"")</f>
        <v/>
      </c>
      <c r="I4471" s="3"/>
    </row>
    <row r="4472" customHeight="1" spans="1:9">
      <c r="A4472" s="2"/>
      <c r="B4472" s="2" t="str">
        <f>IFERROR(__xludf.DUMMYFUNCTION("IF(A4472&lt;&gt;"""", GOOGLETRANSLATE(A4472, ""en"", ""te""),"""")"),"")</f>
        <v/>
      </c>
      <c r="C4472" s="2"/>
      <c r="D4472" s="2" t="str">
        <f>IFERROR(__xludf.DUMMYFUNCTION("IF(C4472&lt;&gt;"""", GOOGLETRANSLATE(C4472, ""en"", ""te""),"""")"),"")</f>
        <v/>
      </c>
      <c r="E4472" s="2"/>
      <c r="F4472" s="2" t="str">
        <f>IFERROR(__xludf.DUMMYFUNCTION("IF(E4472&lt;&gt;"""", GOOGLETRANSLATE(E4472, ""en"", ""te""),"""")"),"")</f>
        <v/>
      </c>
      <c r="G4472" s="2"/>
      <c r="H4472" s="2" t="str">
        <f>IFERROR(__xludf.DUMMYFUNCTION("IF(G4472&lt;&gt;"""", GOOGLETRANSLATE(G4472, ""en"", ""te""),"""")"),"")</f>
        <v/>
      </c>
      <c r="I4472" s="3"/>
    </row>
    <row r="4473" customHeight="1" spans="1:9">
      <c r="A4473" s="2"/>
      <c r="B4473" s="2" t="str">
        <f>IFERROR(__xludf.DUMMYFUNCTION("IF(A4473&lt;&gt;"""", GOOGLETRANSLATE(A4473, ""en"", ""te""),"""")"),"")</f>
        <v/>
      </c>
      <c r="C4473" s="2"/>
      <c r="D4473" s="2" t="str">
        <f>IFERROR(__xludf.DUMMYFUNCTION("IF(C4473&lt;&gt;"""", GOOGLETRANSLATE(C4473, ""en"", ""te""),"""")"),"")</f>
        <v/>
      </c>
      <c r="E4473" s="2"/>
      <c r="F4473" s="2" t="str">
        <f>IFERROR(__xludf.DUMMYFUNCTION("IF(E4473&lt;&gt;"""", GOOGLETRANSLATE(E4473, ""en"", ""te""),"""")"),"")</f>
        <v/>
      </c>
      <c r="G4473" s="2"/>
      <c r="H4473" s="2" t="str">
        <f>IFERROR(__xludf.DUMMYFUNCTION("IF(G4473&lt;&gt;"""", GOOGLETRANSLATE(G4473, ""en"", ""te""),"""")"),"")</f>
        <v/>
      </c>
      <c r="I4473" s="3"/>
    </row>
    <row r="4474" customHeight="1" spans="1:9">
      <c r="A4474" s="2"/>
      <c r="B4474" s="2" t="str">
        <f>IFERROR(__xludf.DUMMYFUNCTION("IF(A4474&lt;&gt;"""", GOOGLETRANSLATE(A4474, ""en"", ""te""),"""")"),"")</f>
        <v/>
      </c>
      <c r="C4474" s="2"/>
      <c r="D4474" s="2" t="str">
        <f>IFERROR(__xludf.DUMMYFUNCTION("IF(C4474&lt;&gt;"""", GOOGLETRANSLATE(C4474, ""en"", ""te""),"""")"),"")</f>
        <v/>
      </c>
      <c r="E4474" s="2"/>
      <c r="F4474" s="2" t="str">
        <f>IFERROR(__xludf.DUMMYFUNCTION("IF(E4474&lt;&gt;"""", GOOGLETRANSLATE(E4474, ""en"", ""te""),"""")"),"")</f>
        <v/>
      </c>
      <c r="G4474" s="2"/>
      <c r="H4474" s="2" t="str">
        <f>IFERROR(__xludf.DUMMYFUNCTION("IF(G4474&lt;&gt;"""", GOOGLETRANSLATE(G4474, ""en"", ""te""),"""")"),"")</f>
        <v/>
      </c>
      <c r="I4474" s="3"/>
    </row>
    <row r="4475" customHeight="1" spans="1:9">
      <c r="A4475" s="2"/>
      <c r="B4475" s="2" t="str">
        <f>IFERROR(__xludf.DUMMYFUNCTION("IF(A4475&lt;&gt;"""", GOOGLETRANSLATE(A4475, ""en"", ""te""),"""")"),"")</f>
        <v/>
      </c>
      <c r="C4475" s="2"/>
      <c r="D4475" s="2" t="str">
        <f>IFERROR(__xludf.DUMMYFUNCTION("IF(C4475&lt;&gt;"""", GOOGLETRANSLATE(C4475, ""en"", ""te""),"""")"),"")</f>
        <v/>
      </c>
      <c r="E4475" s="2"/>
      <c r="F4475" s="2" t="str">
        <f>IFERROR(__xludf.DUMMYFUNCTION("IF(E4475&lt;&gt;"""", GOOGLETRANSLATE(E4475, ""en"", ""te""),"""")"),"")</f>
        <v/>
      </c>
      <c r="G4475" s="2"/>
      <c r="H4475" s="2" t="str">
        <f>IFERROR(__xludf.DUMMYFUNCTION("IF(G4475&lt;&gt;"""", GOOGLETRANSLATE(G4475, ""en"", ""te""),"""")"),"")</f>
        <v/>
      </c>
      <c r="I4475" s="3"/>
    </row>
    <row r="4476" customHeight="1" spans="1:9">
      <c r="A4476" s="2"/>
      <c r="B4476" s="2" t="str">
        <f>IFERROR(__xludf.DUMMYFUNCTION("IF(A4476&lt;&gt;"""", GOOGLETRANSLATE(A4476, ""en"", ""te""),"""")"),"")</f>
        <v/>
      </c>
      <c r="C4476" s="2"/>
      <c r="D4476" s="2" t="str">
        <f>IFERROR(__xludf.DUMMYFUNCTION("IF(C4476&lt;&gt;"""", GOOGLETRANSLATE(C4476, ""en"", ""te""),"""")"),"")</f>
        <v/>
      </c>
      <c r="E4476" s="2"/>
      <c r="F4476" s="2" t="str">
        <f>IFERROR(__xludf.DUMMYFUNCTION("IF(E4476&lt;&gt;"""", GOOGLETRANSLATE(E4476, ""en"", ""te""),"""")"),"")</f>
        <v/>
      </c>
      <c r="G4476" s="2"/>
      <c r="H4476" s="2" t="str">
        <f>IFERROR(__xludf.DUMMYFUNCTION("IF(G4476&lt;&gt;"""", GOOGLETRANSLATE(G4476, ""en"", ""te""),"""")"),"")</f>
        <v/>
      </c>
      <c r="I4476" s="3"/>
    </row>
    <row r="4477" customHeight="1" spans="1:9">
      <c r="A4477" s="2"/>
      <c r="B4477" s="2" t="str">
        <f>IFERROR(__xludf.DUMMYFUNCTION("IF(A4477&lt;&gt;"""", GOOGLETRANSLATE(A4477, ""en"", ""te""),"""")"),"")</f>
        <v/>
      </c>
      <c r="C4477" s="2"/>
      <c r="D4477" s="2" t="str">
        <f>IFERROR(__xludf.DUMMYFUNCTION("IF(C4477&lt;&gt;"""", GOOGLETRANSLATE(C4477, ""en"", ""te""),"""")"),"")</f>
        <v/>
      </c>
      <c r="E4477" s="2"/>
      <c r="F4477" s="2" t="str">
        <f>IFERROR(__xludf.DUMMYFUNCTION("IF(E4477&lt;&gt;"""", GOOGLETRANSLATE(E4477, ""en"", ""te""),"""")"),"")</f>
        <v/>
      </c>
      <c r="G4477" s="2"/>
      <c r="H4477" s="2" t="str">
        <f>IFERROR(__xludf.DUMMYFUNCTION("IF(G4477&lt;&gt;"""", GOOGLETRANSLATE(G4477, ""en"", ""te""),"""")"),"")</f>
        <v/>
      </c>
      <c r="I4477" s="3"/>
    </row>
    <row r="4478" customHeight="1" spans="1:9">
      <c r="A4478" s="2"/>
      <c r="B4478" s="2" t="str">
        <f>IFERROR(__xludf.DUMMYFUNCTION("IF(A4478&lt;&gt;"""", GOOGLETRANSLATE(A4478, ""en"", ""te""),"""")"),"")</f>
        <v/>
      </c>
      <c r="C4478" s="2"/>
      <c r="D4478" s="2" t="str">
        <f>IFERROR(__xludf.DUMMYFUNCTION("IF(C4478&lt;&gt;"""", GOOGLETRANSLATE(C4478, ""en"", ""te""),"""")"),"")</f>
        <v/>
      </c>
      <c r="E4478" s="2"/>
      <c r="F4478" s="2" t="str">
        <f>IFERROR(__xludf.DUMMYFUNCTION("IF(E4478&lt;&gt;"""", GOOGLETRANSLATE(E4478, ""en"", ""te""),"""")"),"")</f>
        <v/>
      </c>
      <c r="G4478" s="2"/>
      <c r="H4478" s="2" t="str">
        <f>IFERROR(__xludf.DUMMYFUNCTION("IF(G4478&lt;&gt;"""", GOOGLETRANSLATE(G4478, ""en"", ""te""),"""")"),"")</f>
        <v/>
      </c>
      <c r="I4478" s="3"/>
    </row>
    <row r="4479" customHeight="1" spans="1:9">
      <c r="A4479" s="2"/>
      <c r="B4479" s="2" t="str">
        <f>IFERROR(__xludf.DUMMYFUNCTION("IF(A4479&lt;&gt;"""", GOOGLETRANSLATE(A4479, ""en"", ""te""),"""")"),"")</f>
        <v/>
      </c>
      <c r="C4479" s="2"/>
      <c r="D4479" s="2" t="str">
        <f>IFERROR(__xludf.DUMMYFUNCTION("IF(C4479&lt;&gt;"""", GOOGLETRANSLATE(C4479, ""en"", ""te""),"""")"),"")</f>
        <v/>
      </c>
      <c r="E4479" s="2"/>
      <c r="F4479" s="2" t="str">
        <f>IFERROR(__xludf.DUMMYFUNCTION("IF(E4479&lt;&gt;"""", GOOGLETRANSLATE(E4479, ""en"", ""te""),"""")"),"")</f>
        <v/>
      </c>
      <c r="G4479" s="2"/>
      <c r="H4479" s="2" t="str">
        <f>IFERROR(__xludf.DUMMYFUNCTION("IF(G4479&lt;&gt;"""", GOOGLETRANSLATE(G4479, ""en"", ""te""),"""")"),"")</f>
        <v/>
      </c>
      <c r="I4479" s="3"/>
    </row>
    <row r="4480" customHeight="1" spans="1:9">
      <c r="A4480" s="2"/>
      <c r="B4480" s="2" t="str">
        <f>IFERROR(__xludf.DUMMYFUNCTION("IF(A4480&lt;&gt;"""", GOOGLETRANSLATE(A4480, ""en"", ""te""),"""")"),"")</f>
        <v/>
      </c>
      <c r="C4480" s="2"/>
      <c r="D4480" s="2" t="str">
        <f>IFERROR(__xludf.DUMMYFUNCTION("IF(C4480&lt;&gt;"""", GOOGLETRANSLATE(C4480, ""en"", ""te""),"""")"),"")</f>
        <v/>
      </c>
      <c r="E4480" s="2"/>
      <c r="F4480" s="2" t="str">
        <f>IFERROR(__xludf.DUMMYFUNCTION("IF(E4480&lt;&gt;"""", GOOGLETRANSLATE(E4480, ""en"", ""te""),"""")"),"")</f>
        <v/>
      </c>
      <c r="G4480" s="2"/>
      <c r="H4480" s="2" t="str">
        <f>IFERROR(__xludf.DUMMYFUNCTION("IF(G4480&lt;&gt;"""", GOOGLETRANSLATE(G4480, ""en"", ""te""),"""")"),"")</f>
        <v/>
      </c>
      <c r="I4480" s="3"/>
    </row>
    <row r="4481" customHeight="1" spans="1:9">
      <c r="A4481" s="2"/>
      <c r="B4481" s="2" t="str">
        <f>IFERROR(__xludf.DUMMYFUNCTION("IF(A4481&lt;&gt;"""", GOOGLETRANSLATE(A4481, ""en"", ""te""),"""")"),"")</f>
        <v/>
      </c>
      <c r="C4481" s="2"/>
      <c r="D4481" s="2" t="str">
        <f>IFERROR(__xludf.DUMMYFUNCTION("IF(C4481&lt;&gt;"""", GOOGLETRANSLATE(C4481, ""en"", ""te""),"""")"),"")</f>
        <v/>
      </c>
      <c r="E4481" s="2"/>
      <c r="F4481" s="2" t="str">
        <f>IFERROR(__xludf.DUMMYFUNCTION("IF(E4481&lt;&gt;"""", GOOGLETRANSLATE(E4481, ""en"", ""te""),"""")"),"")</f>
        <v/>
      </c>
      <c r="G4481" s="2"/>
      <c r="H4481" s="2" t="str">
        <f>IFERROR(__xludf.DUMMYFUNCTION("IF(G4481&lt;&gt;"""", GOOGLETRANSLATE(G4481, ""en"", ""te""),"""")"),"")</f>
        <v/>
      </c>
      <c r="I4481" s="3"/>
    </row>
    <row r="4482" customHeight="1" spans="1:9">
      <c r="A4482" s="2" t="s">
        <v>3215</v>
      </c>
      <c r="B4482" s="2" t="str">
        <f>IFERROR(__xludf.DUMMYFUNCTION("IF(A4482&lt;&gt;"""", GOOGLETRANSLATE(A4482, ""en"", ""te""),"""")"),"[ '1st వరుస బాతులు (5)', '1st ఒక ఇన్నింగ్స్ లోని బెస్ట్ ఫిగర్స్ ఉన్నప్పుడు పరాజయం వైపు (6)', '6 వ బౌలర్ / బ్యాట్స్ కలయికలు (10)', '50 వికెట్లు (23) 2 వ వేగవంతమైన', '1000 పరుగులు మరియు 100 వికెట్లు', '1000 పరుగులు, 50 వికెట్లు, 50 క్యాచ్లు', '1 వ వరుస బా"&amp;"తులు (5)']")</f>
        <v>[ '1st వరుస బాతులు (5)', '1st ఒక ఇన్నింగ్స్ లోని బెస్ట్ ఫిగర్స్ ఉన్నప్పుడు పరాజయం వైపు (6)', '6 వ బౌలర్ / బ్యాట్స్ కలయికలు (10)', '50 వికెట్లు (23) 2 వ వేగవంతమైన', '1000 పరుగులు మరియు 100 వికెట్లు', '1000 పరుగులు, 50 వికెట్లు, 50 క్యాచ్లు', '1 వ వరుస బాతులు (5)']</v>
      </c>
      <c r="C4482" s="2" t="s">
        <v>3216</v>
      </c>
      <c r="D4482" s="2" t="str">
        <f>IFERROR(__xludf.DUMMYFUNCTION("IF(C4482&lt;&gt;"""", GOOGLETRANSLATE(C4482, ""en"", ""te""),"""")"),"[ 'వరుస 2nd అత్యంత బాతులు (5)', '1 వ వరుస బాతులు (5)', 'కెరీర్ (3) 7 వ అత్యంత జతల']")</f>
        <v>[ 'వరుస 2nd అత్యంత బాతులు (5)', '1 వ వరుస బాతులు (5)', 'కెరీర్ (3) 7 వ అత్యంత జతల']</v>
      </c>
      <c r="E4482" s="2" t="s">
        <v>3217</v>
      </c>
      <c r="F4482" s="2" t="str">
        <f>IFERROR(__xludf.DUMMYFUNCTION("IF(E4482&lt;&gt;"""", GOOGLETRANSLATE(E4482, ""en"", ""te""),"""")"),"[ '44 వ అత్యధిక ఇన్నింగ్స్ లో సమ్మె రేటు (268.00)', '15 వ కెరీర్ లో అత్యధిక వికెట్లు (288)', '9 వ ఒక క్యాలెండర్ సంవత్సరంలో అత్యధిక వికెట్లు (58)', '1st ఒక ఇన్నింగ్స్ లోని బెస్ట్ ఫిగర్స్ కోల్పోకుండా వైపు ఉన్నప్పుడు (6) ',' 43 వ అత్యంత ఐదు-వికెట్ల లో-ఒక-ఇన"&amp;"్నింగ్స్ కెరీర్లో (2) ',' 16 వ అత్యంత నాలుగు వికెట్లు-ఇన్-ఒక-ఇన్నింగ్స్ కెరీర్లో (12) ',' 26 వ అధిక బంతులను బౌలింగ్ చేశాడు కెరీర్లో (9484) ',' 20 వ కెరీర్ లో సాధించిన అత్యధిక పరుగులు (8021) ',' 6 వ బౌలర్ / బ్యాట్స్ కలయికలు (10) ',' 18 వ అత్యధిక వికెట్లు త"&amp;"ీసుకున్న బౌల్డ్ (71) ',' 16 వ అత్యధిక వికెట్లు ఆకర్షించింది తీసుకున్న (179) (11) ',' 20 వ అత్యధిక వికెట్లు ఒక ఫీల్డర్ (125) ',' 16 వ అత్యధిక వికెట్లు తీసుకున్న వికెట్ కీపర్ చే కాట్ (54) ',' 22 వ అత్యధిక వికెట్లు తీసుకున్న ఎల్బిడబ్ల్యు (పట్టుకుంటే తీసుకోకూ"&amp;"డదు ',' 25th అత్యధిక వికెట్లు ఆకర్షించింది తీసుకున్న మరియు బౌల్డ్ 38) ',' 2 వ వేగవంతమైన 50 వికెట్లు (23) ',' 34 వ వేగంగా 100 వికెట్లు (67) ',' 17 వ 150 వికెట్లు (వేగంగా 97) ',' 10th 200 వికెట్లు (133) ',' 8 వ వేగవంతమైన వేగవంతమైన 250 వికెట్లు (163) ']")</f>
        <v>[ '44 వ అత్యధిక ఇన్నింగ్స్ లో సమ్మె రేటు (268.00)', '15 వ కెరీర్ లో అత్యధిక వికెట్లు (288)', '9 వ ఒక క్యాలెండర్ సంవత్సరంలో అత్యధిక వికెట్లు (58)', '1st ఒక ఇన్నింగ్స్ లోని బెస్ట్ ఫిగర్స్ కోల్పోకుండా వైపు ఉన్నప్పుడు (6) ',' 43 వ అత్యంత ఐదు-వికెట్ల లో-ఒక-ఇన్నింగ్స్ కెరీర్లో (2) ',' 16 వ అత్యంత నాలుగు వికెట్లు-ఇన్-ఒక-ఇన్నింగ్స్ కెరీర్లో (12) ',' 26 వ అధిక బంతులను బౌలింగ్ చేశాడు కెరీర్లో (9484) ',' 20 వ కెరీర్ లో సాధించిన అత్యధిక పరుగులు (8021) ',' 6 వ బౌలర్ / బ్యాట్స్ కలయికలు (10) ',' 18 వ అత్యధిక వికెట్లు తీసుకున్న బౌల్డ్ (71) ',' 16 వ అత్యధిక వికెట్లు ఆకర్షించింది తీసుకున్న (179) (11) ',' 20 వ అత్యధిక వికెట్లు ఒక ఫీల్డర్ (125) ',' 16 వ అత్యధిక వికెట్లు తీసుకున్న వికెట్ కీపర్ చే కాట్ (54) ',' 22 వ అత్యధిక వికెట్లు తీసుకున్న ఎల్బిడబ్ల్యు (పట్టుకుంటే తీసుకోకూడదు ',' 25th అత్యధిక వికెట్లు ఆకర్షించింది తీసుకున్న మరియు బౌల్డ్ 38) ',' 2 వ వేగవంతమైన 50 వికెట్లు (23) ',' 34 వ వేగంగా 100 వికెట్లు (67) ',' 17 వ 150 వికెట్లు (వేగంగా 97) ',' 10th 200 వికెట్లు (133) ',' 8 వ వేగవంతమైన వేగవంతమైన 250 వికెట్లు (163) ']</v>
      </c>
      <c r="G4482" s="2"/>
      <c r="H4482" s="2" t="str">
        <f>IFERROR(__xludf.DUMMYFUNCTION("IF(G4482&lt;&gt;"""", GOOGLETRANSLATE(G4482, ""en"", ""te""),"""")"),"")</f>
        <v/>
      </c>
      <c r="I4482" s="3"/>
    </row>
    <row r="4483" customHeight="1" spans="1:9">
      <c r="A4483" s="2"/>
      <c r="B4483" s="2" t="str">
        <f>IFERROR(__xludf.DUMMYFUNCTION("IF(A4483&lt;&gt;"""", GOOGLETRANSLATE(A4483, ""en"", ""te""),"""")"),"")</f>
        <v/>
      </c>
      <c r="C4483" s="2"/>
      <c r="D4483" s="2" t="str">
        <f>IFERROR(__xludf.DUMMYFUNCTION("IF(C4483&lt;&gt;"""", GOOGLETRANSLATE(C4483, ""en"", ""te""),"""")"),"")</f>
        <v/>
      </c>
      <c r="E4483" s="2"/>
      <c r="F4483" s="2" t="str">
        <f>IFERROR(__xludf.DUMMYFUNCTION("IF(E4483&lt;&gt;"""", GOOGLETRANSLATE(E4483, ""en"", ""te""),"""")"),"")</f>
        <v/>
      </c>
      <c r="G4483" s="2"/>
      <c r="H4483" s="2" t="str">
        <f>IFERROR(__xludf.DUMMYFUNCTION("IF(G4483&lt;&gt;"""", GOOGLETRANSLATE(G4483, ""en"", ""te""),"""")"),"")</f>
        <v/>
      </c>
      <c r="I4483" s="3"/>
    </row>
    <row r="4484" customHeight="1" spans="1:9">
      <c r="A4484" s="2"/>
      <c r="B4484" s="2" t="str">
        <f>IFERROR(__xludf.DUMMYFUNCTION("IF(A4484&lt;&gt;"""", GOOGLETRANSLATE(A4484, ""en"", ""te""),"""")"),"")</f>
        <v/>
      </c>
      <c r="C4484" s="2"/>
      <c r="D4484" s="2" t="str">
        <f>IFERROR(__xludf.DUMMYFUNCTION("IF(C4484&lt;&gt;"""", GOOGLETRANSLATE(C4484, ""en"", ""te""),"""")"),"")</f>
        <v/>
      </c>
      <c r="E4484" s="2"/>
      <c r="F4484" s="2" t="str">
        <f>IFERROR(__xludf.DUMMYFUNCTION("IF(E4484&lt;&gt;"""", GOOGLETRANSLATE(E4484, ""en"", ""te""),"""")"),"")</f>
        <v/>
      </c>
      <c r="G4484" s="2"/>
      <c r="H4484" s="2" t="str">
        <f>IFERROR(__xludf.DUMMYFUNCTION("IF(G4484&lt;&gt;"""", GOOGLETRANSLATE(G4484, ""en"", ""te""),"""")"),"")</f>
        <v/>
      </c>
      <c r="I4484" s="3"/>
    </row>
    <row r="4485" customHeight="1" spans="1:9">
      <c r="A4485" s="2"/>
      <c r="B4485" s="2" t="str">
        <f>IFERROR(__xludf.DUMMYFUNCTION("IF(A4485&lt;&gt;"""", GOOGLETRANSLATE(A4485, ""en"", ""te""),"""")"),"")</f>
        <v/>
      </c>
      <c r="C4485" s="2"/>
      <c r="D4485" s="2" t="str">
        <f>IFERROR(__xludf.DUMMYFUNCTION("IF(C4485&lt;&gt;"""", GOOGLETRANSLATE(C4485, ""en"", ""te""),"""")"),"")</f>
        <v/>
      </c>
      <c r="E4485" s="2"/>
      <c r="F4485" s="2" t="str">
        <f>IFERROR(__xludf.DUMMYFUNCTION("IF(E4485&lt;&gt;"""", GOOGLETRANSLATE(E4485, ""en"", ""te""),"""")"),"")</f>
        <v/>
      </c>
      <c r="G4485" s="2"/>
      <c r="H4485" s="2" t="str">
        <f>IFERROR(__xludf.DUMMYFUNCTION("IF(G4485&lt;&gt;"""", GOOGLETRANSLATE(G4485, ""en"", ""te""),"""")"),"")</f>
        <v/>
      </c>
      <c r="I4485" s="3"/>
    </row>
    <row r="4486" customHeight="1" spans="1:9">
      <c r="A4486" s="2"/>
      <c r="B4486" s="2" t="str">
        <f>IFERROR(__xludf.DUMMYFUNCTION("IF(A4486&lt;&gt;"""", GOOGLETRANSLATE(A4486, ""en"", ""te""),"""")"),"")</f>
        <v/>
      </c>
      <c r="C4486" s="2"/>
      <c r="D4486" s="2" t="str">
        <f>IFERROR(__xludf.DUMMYFUNCTION("IF(C4486&lt;&gt;"""", GOOGLETRANSLATE(C4486, ""en"", ""te""),"""")"),"")</f>
        <v/>
      </c>
      <c r="E4486" s="2"/>
      <c r="F4486" s="2" t="str">
        <f>IFERROR(__xludf.DUMMYFUNCTION("IF(E4486&lt;&gt;"""", GOOGLETRANSLATE(E4486, ""en"", ""te""),"""")"),"")</f>
        <v/>
      </c>
      <c r="G4486" s="2"/>
      <c r="H4486" s="2" t="str">
        <f>IFERROR(__xludf.DUMMYFUNCTION("IF(G4486&lt;&gt;"""", GOOGLETRANSLATE(G4486, ""en"", ""te""),"""")"),"")</f>
        <v/>
      </c>
      <c r="I4486" s="3"/>
    </row>
    <row r="4487" customHeight="1" spans="1:9">
      <c r="A4487" s="2" t="s">
        <v>1098</v>
      </c>
      <c r="B4487" s="2" t="str">
        <f>IFERROR(__xludf.DUMMYFUNCTION("IF(A4487&lt;&gt;"""", GOOGLETRANSLATE(A4487, ""en"", ""te""),"""")"),"[ 'ప్రవేశం (103) పై వంద']")</f>
        <v>[ 'ప్రవేశం (103) పై వంద']</v>
      </c>
      <c r="C4487" s="2"/>
      <c r="D4487" s="2" t="str">
        <f>IFERROR(__xludf.DUMMYFUNCTION("IF(C4487&lt;&gt;"""", GOOGLETRANSLATE(C4487, ""en"", ""te""),"""")"),"")</f>
        <v/>
      </c>
      <c r="E4487" s="2"/>
      <c r="F4487" s="2" t="str">
        <f>IFERROR(__xludf.DUMMYFUNCTION("IF(E4487&lt;&gt;"""", GOOGLETRANSLATE(E4487, ""en"", ""te""),"""")"),"")</f>
        <v/>
      </c>
      <c r="G4487" s="2"/>
      <c r="H4487" s="2" t="str">
        <f>IFERROR(__xludf.DUMMYFUNCTION("IF(G4487&lt;&gt;"""", GOOGLETRANSLATE(G4487, ""en"", ""te""),"""")"),"")</f>
        <v/>
      </c>
      <c r="I4487" s="3"/>
    </row>
    <row r="4488" customHeight="1" spans="1:9">
      <c r="A4488" s="2"/>
      <c r="B4488" s="2" t="str">
        <f>IFERROR(__xludf.DUMMYFUNCTION("IF(A4488&lt;&gt;"""", GOOGLETRANSLATE(A4488, ""en"", ""te""),"""")"),"")</f>
        <v/>
      </c>
      <c r="C4488" s="2"/>
      <c r="D4488" s="2" t="str">
        <f>IFERROR(__xludf.DUMMYFUNCTION("IF(C4488&lt;&gt;"""", GOOGLETRANSLATE(C4488, ""en"", ""te""),"""")"),"")</f>
        <v/>
      </c>
      <c r="E4488" s="2"/>
      <c r="F4488" s="2" t="str">
        <f>IFERROR(__xludf.DUMMYFUNCTION("IF(E4488&lt;&gt;"""", GOOGLETRANSLATE(E4488, ""en"", ""te""),"""")"),"")</f>
        <v/>
      </c>
      <c r="G4488" s="2"/>
      <c r="H4488" s="2" t="str">
        <f>IFERROR(__xludf.DUMMYFUNCTION("IF(G4488&lt;&gt;"""", GOOGLETRANSLATE(G4488, ""en"", ""te""),"""")"),"")</f>
        <v/>
      </c>
      <c r="I4488" s="3"/>
    </row>
    <row r="4489" customHeight="1" spans="1:9">
      <c r="A4489" s="2"/>
      <c r="B4489" s="2" t="str">
        <f>IFERROR(__xludf.DUMMYFUNCTION("IF(A4489&lt;&gt;"""", GOOGLETRANSLATE(A4489, ""en"", ""te""),"""")"),"")</f>
        <v/>
      </c>
      <c r="C4489" s="2"/>
      <c r="D4489" s="2" t="str">
        <f>IFERROR(__xludf.DUMMYFUNCTION("IF(C4489&lt;&gt;"""", GOOGLETRANSLATE(C4489, ""en"", ""te""),"""")"),"")</f>
        <v/>
      </c>
      <c r="E4489" s="2"/>
      <c r="F4489" s="2" t="str">
        <f>IFERROR(__xludf.DUMMYFUNCTION("IF(E4489&lt;&gt;"""", GOOGLETRANSLATE(E4489, ""en"", ""te""),"""")"),"")</f>
        <v/>
      </c>
      <c r="G4489" s="2"/>
      <c r="H4489" s="2" t="str">
        <f>IFERROR(__xludf.DUMMYFUNCTION("IF(G4489&lt;&gt;"""", GOOGLETRANSLATE(G4489, ""en"", ""te""),"""")"),"")</f>
        <v/>
      </c>
      <c r="I4489" s="3"/>
    </row>
    <row r="4490" customHeight="1" spans="1:9">
      <c r="A4490" s="2"/>
      <c r="B4490" s="2" t="str">
        <f>IFERROR(__xludf.DUMMYFUNCTION("IF(A4490&lt;&gt;"""", GOOGLETRANSLATE(A4490, ""en"", ""te""),"""")"),"")</f>
        <v/>
      </c>
      <c r="C4490" s="2"/>
      <c r="D4490" s="2" t="str">
        <f>IFERROR(__xludf.DUMMYFUNCTION("IF(C4490&lt;&gt;"""", GOOGLETRANSLATE(C4490, ""en"", ""te""),"""")"),"")</f>
        <v/>
      </c>
      <c r="E4490" s="2"/>
      <c r="F4490" s="2" t="str">
        <f>IFERROR(__xludf.DUMMYFUNCTION("IF(E4490&lt;&gt;"""", GOOGLETRANSLATE(E4490, ""en"", ""te""),"""")"),"")</f>
        <v/>
      </c>
      <c r="G4490" s="2"/>
      <c r="H4490" s="2" t="str">
        <f>IFERROR(__xludf.DUMMYFUNCTION("IF(G4490&lt;&gt;"""", GOOGLETRANSLATE(G4490, ""en"", ""te""),"""")"),"")</f>
        <v/>
      </c>
      <c r="I4490" s="3"/>
    </row>
    <row r="4491" customHeight="1" spans="1:9">
      <c r="A4491" s="2"/>
      <c r="B4491" s="2" t="str">
        <f>IFERROR(__xludf.DUMMYFUNCTION("IF(A4491&lt;&gt;"""", GOOGLETRANSLATE(A4491, ""en"", ""te""),"""")"),"")</f>
        <v/>
      </c>
      <c r="C4491" s="2"/>
      <c r="D4491" s="2" t="str">
        <f>IFERROR(__xludf.DUMMYFUNCTION("IF(C4491&lt;&gt;"""", GOOGLETRANSLATE(C4491, ""en"", ""te""),"""")"),"")</f>
        <v/>
      </c>
      <c r="E4491" s="2"/>
      <c r="F4491" s="2" t="str">
        <f>IFERROR(__xludf.DUMMYFUNCTION("IF(E4491&lt;&gt;"""", GOOGLETRANSLATE(E4491, ""en"", ""te""),"""")"),"")</f>
        <v/>
      </c>
      <c r="G4491" s="2"/>
      <c r="H4491" s="2" t="str">
        <f>IFERROR(__xludf.DUMMYFUNCTION("IF(G4491&lt;&gt;"""", GOOGLETRANSLATE(G4491, ""en"", ""te""),"""")"),"")</f>
        <v/>
      </c>
      <c r="I4491" s="3"/>
    </row>
    <row r="4492" customHeight="1" spans="1:9">
      <c r="A4492" s="2"/>
      <c r="B4492" s="2" t="str">
        <f>IFERROR(__xludf.DUMMYFUNCTION("IF(A4492&lt;&gt;"""", GOOGLETRANSLATE(A4492, ""en"", ""te""),"""")"),"")</f>
        <v/>
      </c>
      <c r="C4492" s="2"/>
      <c r="D4492" s="2" t="str">
        <f>IFERROR(__xludf.DUMMYFUNCTION("IF(C4492&lt;&gt;"""", GOOGLETRANSLATE(C4492, ""en"", ""te""),"""")"),"")</f>
        <v/>
      </c>
      <c r="E4492" s="2"/>
      <c r="F4492" s="2" t="str">
        <f>IFERROR(__xludf.DUMMYFUNCTION("IF(E4492&lt;&gt;"""", GOOGLETRANSLATE(E4492, ""en"", ""te""),"""")"),"")</f>
        <v/>
      </c>
      <c r="G4492" s="2"/>
      <c r="H4492" s="2" t="str">
        <f>IFERROR(__xludf.DUMMYFUNCTION("IF(G4492&lt;&gt;"""", GOOGLETRANSLATE(G4492, ""en"", ""te""),"""")"),"")</f>
        <v/>
      </c>
      <c r="I4492" s="3"/>
    </row>
    <row r="4493" customHeight="1" spans="1:9">
      <c r="A4493" s="2"/>
      <c r="B4493" s="2" t="str">
        <f>IFERROR(__xludf.DUMMYFUNCTION("IF(A4493&lt;&gt;"""", GOOGLETRANSLATE(A4493, ""en"", ""te""),"""")"),"")</f>
        <v/>
      </c>
      <c r="C4493" s="2"/>
      <c r="D4493" s="2" t="str">
        <f>IFERROR(__xludf.DUMMYFUNCTION("IF(C4493&lt;&gt;"""", GOOGLETRANSLATE(C4493, ""en"", ""te""),"""")"),"")</f>
        <v/>
      </c>
      <c r="E4493" s="2"/>
      <c r="F4493" s="2" t="str">
        <f>IFERROR(__xludf.DUMMYFUNCTION("IF(E4493&lt;&gt;"""", GOOGLETRANSLATE(E4493, ""en"", ""te""),"""")"),"")</f>
        <v/>
      </c>
      <c r="G4493" s="2"/>
      <c r="H4493" s="2" t="str">
        <f>IFERROR(__xludf.DUMMYFUNCTION("IF(G4493&lt;&gt;"""", GOOGLETRANSLATE(G4493, ""en"", ""te""),"""")"),"")</f>
        <v/>
      </c>
      <c r="I4493" s="3"/>
    </row>
    <row r="4494" customHeight="1" spans="1:9">
      <c r="A4494" s="2" t="s">
        <v>3218</v>
      </c>
      <c r="B4494" s="2" t="str">
        <f>IFERROR(__xludf.DUMMYFUNCTION("IF(A4494&lt;&gt;"""", GOOGLETRANSLATE(A4494, ""en"", ""te""),"""")"),"[ '3 వ అత్యంత ప్లేయర్ ఆఫ్ ది సిరీస్ అవార్డులు (8)', '6 వ అత్యంత పది వికెట్లు లో ఒక మ్యాచ్ ఒక వృత్తిలో (7)', '1st 350 వికెట్లు (66) వేగంగా', 'ఎ ఒక ఇన్నింగ్స్ లో ఒక ఇన్నింగ్స్ ',' 9 వ అత్యధిక పరుగులు (బ్యాటింగ్ స్థానంలో ప్రకారం) (31 *) లో నూట ఐదు వికెట్లు '"&amp;",' 9 వ అత్యుత్తమ బౌలింగ్ ఇన్నింగ్స్ (4/8) ',' 3 వ బౌలర్ / ఫీల్డర్ కాంబినేషన్ లో విశ్లేషించడం (10 ) ',' 10 వ అత్యంత ఐదు-వికెట్ల లో-ఒక-ఇన్నింగ్స్ కెరీర్లో (30) ']")</f>
        <v>[ '3 వ అత్యంత ప్లేయర్ ఆఫ్ ది సిరీస్ అవార్డులు (8)', '6 వ అత్యంత పది వికెట్లు లో ఒక మ్యాచ్ ఒక వృత్తిలో (7)', '1st 350 వికెట్లు (66) వేగంగా', 'ఎ ఒక ఇన్నింగ్స్ లో ఒక ఇన్నింగ్స్ ',' 9 వ అత్యధిక పరుగులు (బ్యాటింగ్ స్థానంలో ప్రకారం) (31 *) లో నూట ఐదు వికెట్లు ',' 9 వ అత్యుత్తమ బౌలింగ్ ఇన్నింగ్స్ (4/8) ',' 3 వ బౌలర్ / ఫీల్డర్ కాంబినేషన్ లో విశ్లేషించడం (10 ) ',' 10 వ అత్యంత ఐదు-వికెట్ల లో-ఒక-ఇన్నింగ్స్ కెరీర్లో (30) ']</v>
      </c>
      <c r="C4494" s="2" t="s">
        <v>3219</v>
      </c>
      <c r="D4494" s="2" t="str">
        <f>IFERROR(__xludf.DUMMYFUNCTION("IF(C4494&lt;&gt;"""", GOOGLETRANSLATE(C4494, ""en"", ""te""),"""")"),"[ '15 వ కెరీర్ లో అత్యధిక వికెట్లు (409)', '25 వ మ్యాచ్ లో బెస్ట్ ఫిగర్స్ (13)', '44th ఒక సిరీస్లో అత్యధిక వికెట్లు (32)', '13 వ ఒక క్యాలెండర్ సంవత్సరంలో అత్యధిక వికెట్లు (72)', ' ఒక మ్యాచ్లో 40 వ బెస్ట్ ఫిగర్స్ ఉన్నప్పుడు పరాజయం వైపు (10) ',' 22 వ ఉత్తమ"&amp;" తొలి ఇన్నింగ్స్లో గణాంకాలు (6) ',' 17 వ తొలి (9) ',' 6 వ అత్యంత ఐదు-వికెట్ల ఒక మ్యాచ్లో ఉత్తమ బొమ్మలు ఒక వృత్తిలో -ఇన్-ఒక-ఇన్నింగ్స్ (30) ',' 6 వ అత్యంత పది వికెట్లు లో ఒక మ్యాచ్ ఒక వృత్తిలో (7) ',' 22 వ కెరీర్ లో బౌల్డ్ చాలా బంతుల్లో (21520) ',' 17 వ అత"&amp;"్యధిక పరుగులు కెరీర్లో సాధించిన (10099) ',' 44 వ ఇన్నింగ్స్ లో సాధించిన అత్యధిక పరుగులు (194) ',' 27 వ మ్యాచ్ లో సాధించిన పరుగులు (267) ',' 32 వ బౌలర్ / బ్యాటర్ కలయికలు (11) ',' 17 వ అత్యధిక వికెట్లు తీసుకున్న బౌల్డ్ (86) ',' 20 వ అత్యధిక వికెట్లు తీసుకున"&amp;"్న ఆకర్షించింది (228) ',' 11 వ అత్యధిక వికెట్లు ఆకర్షించింది తీసుకున్న మరియు బౌల్డ్ (12) ',' 12 వ అత్యధిక వికెట్లు ఒక ఫీల్డర్ చేత క్యాచ్ తీసుకున్న (190) ',' 13 వ అత్యధిక వికెట్లు తీసుకున్న LBW (86) ',' 8 వ వేగవంతమైన 50 వికెట్లు (9) ',' 6 వ 100 వికెట్లు ("&amp;"18) 150 వికెట్లు (29) ',' 3 వ 200 వికెట్లు వేగంగా (37) ',' కు ',' 5 వ వేగవంతమైన వేగంగా 1 వ F astest 250 వికెట్లు (45) ',' ఫాస్టెస్ట్ 300 వికెట్లు 1st (54) ',' 350 వికెట్లు వేగంగా 1st (66) ',' 2 వ వేగవంతమైన 400 వికెట్లు (77) ',' ఆరవ వికెట్కు 37 వ అత్యధిక"&amp;" భాగస్వామ్యం (213) ',' 41 వ అత్యంత ప్లేయర్ ఆఫ్ ది మ్యాచ్ అవార్డులు (8) ',' 3 వ అత్యంత ప్లేయర్ ఆఫ్ ది సిరీస్ అవార్డులు (8) ']")</f>
        <v>[ '15 వ కెరీర్ లో అత్యధిక వికెట్లు (409)', '25 వ మ్యాచ్ లో బెస్ట్ ఫిగర్స్ (13)', '44th ఒక సిరీస్లో అత్యధిక వికెట్లు (32)', '13 వ ఒక క్యాలెండర్ సంవత్సరంలో అత్యధిక వికెట్లు (72)', ' ఒక మ్యాచ్లో 40 వ బెస్ట్ ఫిగర్స్ ఉన్నప్పుడు పరాజయం వైపు (10) ',' 22 వ ఉత్తమ తొలి ఇన్నింగ్స్లో గణాంకాలు (6) ',' 17 వ తొలి (9) ',' 6 వ అత్యంత ఐదు-వికెట్ల ఒక మ్యాచ్లో ఉత్తమ బొమ్మలు ఒక వృత్తిలో -ఇన్-ఒక-ఇన్నింగ్స్ (30) ',' 6 వ అత్యంత పది వికెట్లు లో ఒక మ్యాచ్ ఒక వృత్తిలో (7) ',' 22 వ కెరీర్ లో బౌల్డ్ చాలా బంతుల్లో (21520) ',' 17 వ అత్యధిక పరుగులు కెరీర్లో సాధించిన (10099) ',' 44 వ ఇన్నింగ్స్ లో సాధించిన అత్యధిక పరుగులు (194) ',' 27 వ మ్యాచ్ లో సాధించిన పరుగులు (267) ',' 32 వ బౌలర్ / బ్యాటర్ కలయికలు (11) ',' 17 వ అత్యధిక వికెట్లు తీసుకున్న బౌల్డ్ (86) ',' 20 వ అత్యధిక వికెట్లు తీసుకున్న ఆకర్షించింది (228) ',' 11 వ అత్యధిక వికెట్లు ఆకర్షించింది తీసుకున్న మరియు బౌల్డ్ (12) ',' 12 వ అత్యధిక వికెట్లు ఒక ఫీల్డర్ చేత క్యాచ్ తీసుకున్న (190) ',' 13 వ అత్యధిక వికెట్లు తీసుకున్న LBW (86) ',' 8 వ వేగవంతమైన 50 వికెట్లు (9) ',' 6 వ 100 వికెట్లు (18) 150 వికెట్లు (29) ',' 3 వ 200 వికెట్లు వేగంగా (37) ',' కు ',' 5 వ వేగవంతమైన వేగంగా 1 వ F astest 250 వికెట్లు (45) ',' ఫాస్టెస్ట్ 300 వికెట్లు 1st (54) ',' 350 వికెట్లు వేగంగా 1st (66) ',' 2 వ వేగవంతమైన 400 వికెట్లు (77) ',' ఆరవ వికెట్కు 37 వ అత్యధిక భాగస్వామ్యం (213) ',' 41 వ అత్యంత ప్లేయర్ ఆఫ్ ది మ్యాచ్ అవార్డులు (8) ',' 3 వ అత్యంత ప్లేయర్ ఆఫ్ ది సిరీస్ అవార్డులు (8) ']</v>
      </c>
      <c r="E4494" s="2" t="s">
        <v>3220</v>
      </c>
      <c r="F4494" s="2" t="str">
        <f>IFERROR(__xludf.DUMMYFUNCTION("IF(E4494&lt;&gt;"""", GOOGLETRANSLATE(E4494, ""en"", ""te""),"""")"),"[ '36 వ వేగంగా 150 వికెట్లు (111) కు' '18 వ అత్యధిక వికెట్లు స్టంప్ (17) తీసుకున్న']")</f>
        <v>[ '36 వ వేగంగా 150 వికెట్లు (111) కు' '18 వ అత్యధిక వికెట్లు స్టంప్ (17) తీసుకున్న']</v>
      </c>
      <c r="G4494" s="2" t="s">
        <v>3221</v>
      </c>
      <c r="H4494" s="2" t="str">
        <f>IFERROR(__xludf.DUMMYFUNCTION("IF(G4494&lt;&gt;"""", GOOGLETRANSLATE(G4494, ""en"", ""te""),"""")"),"[ 'ఇన్నింగ్స్ లో 9 వ అత్యధిక పరుగులు (31 *) (బ్యాటింగ్ స్థానం)', 'కెరీర్లో 33 వ అత్యధిక వికెట్లు (52)', 'ఒక క్యాలెండర్ సంవత్సరంలో 17 వ అత్యధిక వికెట్లు (23)', '9 వ అత్యుత్తమ బౌలింగ్ ఒక విశ్లేషణలలో ఇన్నింగ్స్ (4/8) ',' ఒకే మైదానంలో 18 వ అత్యధిక వికెట్లు ("&amp;"15) ',' 41 వ ఉత్తమ కెరీర్ ఆర్థిక రేటు (6.97) ',' 16 వ అత్యంత నాలుగు వికెట్లు-ఇన్-ఒక-ఇన్నింగ్స్ కెరీర్లో (2) ',' 32 వ కెరీర్ (1026) లో బౌల్డ్ చాలా బంతుల్లో ',' 32 వ అత్యధిక కెరీర్ లో ',' సాధించిన పరుగులు (1193) 17 వ బౌలర్ / బ్యాట్స్ కలయికలు (3) ',' 3 వ బౌల"&amp;"ర్ / ఫీల్డర్ కలయికలు (10) ',' 34 వ ఎక్కువ వికెట్లు 50 చిక్కుకున్నాయి (34) ', '21 వ అత్యధిక వికెట్లు ఒక ఫీల్డర్ చేత క్యాచ్ తీసుకున్న (33)', '24 వ అత్యధిక వికెట్లు తీసుకున్న ఎల్బిడబ్ల్యు (6)', '17 వ అత్యధిక వికెట్లు తీసుకున్న స్టంప్ (5)', '18 వ వేగంగా తీసుక"&amp;"ున్న వికెట్లు (42) ',' తొమ్మిదవ వికెట్కు 37 వ అత్యధిక భాగస్వామ్యం (28) ']")</f>
        <v>[ 'ఇన్నింగ్స్ లో 9 వ అత్యధిక పరుగులు (31 *) (బ్యాటింగ్ స్థానం)', 'కెరీర్లో 33 వ అత్యధిక వికెట్లు (52)', 'ఒక క్యాలెండర్ సంవత్సరంలో 17 వ అత్యధిక వికెట్లు (23)', '9 వ అత్యుత్తమ బౌలింగ్ ఒక విశ్లేషణలలో ఇన్నింగ్స్ (4/8) ',' ఒకే మైదానంలో 18 వ అత్యధిక వికెట్లు (15) ',' 41 వ ఉత్తమ కెరీర్ ఆర్థిక రేటు (6.97) ',' 16 వ అత్యంత నాలుగు వికెట్లు-ఇన్-ఒక-ఇన్నింగ్స్ కెరీర్లో (2) ',' 32 వ కెరీర్ (1026) లో బౌల్డ్ చాలా బంతుల్లో ',' 32 వ అత్యధిక కెరీర్ లో ',' సాధించిన పరుగులు (1193) 17 వ బౌలర్ / బ్యాట్స్ కలయికలు (3) ',' 3 వ బౌలర్ / ఫీల్డర్ కలయికలు (10) ',' 34 వ ఎక్కువ వికెట్లు 50 చిక్కుకున్నాయి (34) ', '21 వ అత్యధిక వికెట్లు ఒక ఫీల్డర్ చేత క్యాచ్ తీసుకున్న (33)', '24 వ అత్యధిక వికెట్లు తీసుకున్న ఎల్బిడబ్ల్యు (6)', '17 వ అత్యధిక వికెట్లు తీసుకున్న స్టంప్ (5)', '18 వ వేగంగా తీసుకున్న వికెట్లు (42) ',' తొమ్మిదవ వికెట్కు 37 వ అత్యధిక భాగస్వామ్యం (28) ']</v>
      </c>
      <c r="I4494" s="3"/>
    </row>
    <row r="4495" customHeight="1" spans="1:9">
      <c r="A4495" s="2"/>
      <c r="B4495" s="2" t="str">
        <f>IFERROR(__xludf.DUMMYFUNCTION("IF(A4495&lt;&gt;"""", GOOGLETRANSLATE(A4495, ""en"", ""te""),"""")"),"")</f>
        <v/>
      </c>
      <c r="C4495" s="2"/>
      <c r="D4495" s="2" t="str">
        <f>IFERROR(__xludf.DUMMYFUNCTION("IF(C4495&lt;&gt;"""", GOOGLETRANSLATE(C4495, ""en"", ""te""),"""")"),"")</f>
        <v/>
      </c>
      <c r="E4495" s="2"/>
      <c r="F4495" s="2" t="str">
        <f>IFERROR(__xludf.DUMMYFUNCTION("IF(E4495&lt;&gt;"""", GOOGLETRANSLATE(E4495, ""en"", ""te""),"""")"),"")</f>
        <v/>
      </c>
      <c r="G4495" s="2"/>
      <c r="H4495" s="2" t="str">
        <f>IFERROR(__xludf.DUMMYFUNCTION("IF(G4495&lt;&gt;"""", GOOGLETRANSLATE(G4495, ""en"", ""te""),"""")"),"")</f>
        <v/>
      </c>
      <c r="I4495" s="3"/>
    </row>
    <row r="4496" customHeight="1" spans="1:9">
      <c r="A4496" s="2"/>
      <c r="B4496" s="2" t="str">
        <f>IFERROR(__xludf.DUMMYFUNCTION("IF(A4496&lt;&gt;"""", GOOGLETRANSLATE(A4496, ""en"", ""te""),"""")"),"")</f>
        <v/>
      </c>
      <c r="C4496" s="2"/>
      <c r="D4496" s="2" t="str">
        <f>IFERROR(__xludf.DUMMYFUNCTION("IF(C4496&lt;&gt;"""", GOOGLETRANSLATE(C4496, ""en"", ""te""),"""")"),"")</f>
        <v/>
      </c>
      <c r="E4496" s="2"/>
      <c r="F4496" s="2" t="str">
        <f>IFERROR(__xludf.DUMMYFUNCTION("IF(E4496&lt;&gt;"""", GOOGLETRANSLATE(E4496, ""en"", ""te""),"""")"),"")</f>
        <v/>
      </c>
      <c r="G4496" s="2"/>
      <c r="H4496" s="2" t="str">
        <f>IFERROR(__xludf.DUMMYFUNCTION("IF(G4496&lt;&gt;"""", GOOGLETRANSLATE(G4496, ""en"", ""te""),"""")"),"")</f>
        <v/>
      </c>
      <c r="I4496" s="3"/>
    </row>
    <row r="4497" customHeight="1" spans="1:9">
      <c r="A4497" s="2"/>
      <c r="B4497" s="2" t="str">
        <f>IFERROR(__xludf.DUMMYFUNCTION("IF(A4497&lt;&gt;"""", GOOGLETRANSLATE(A4497, ""en"", ""te""),"""")"),"")</f>
        <v/>
      </c>
      <c r="C4497" s="2"/>
      <c r="D4497" s="2" t="str">
        <f>IFERROR(__xludf.DUMMYFUNCTION("IF(C4497&lt;&gt;"""", GOOGLETRANSLATE(C4497, ""en"", ""te""),"""")"),"")</f>
        <v/>
      </c>
      <c r="E4497" s="2"/>
      <c r="F4497" s="2" t="str">
        <f>IFERROR(__xludf.DUMMYFUNCTION("IF(E4497&lt;&gt;"""", GOOGLETRANSLATE(E4497, ""en"", ""te""),"""")"),"")</f>
        <v/>
      </c>
      <c r="G4497" s="2"/>
      <c r="H4497" s="2" t="str">
        <f>IFERROR(__xludf.DUMMYFUNCTION("IF(G4497&lt;&gt;"""", GOOGLETRANSLATE(G4497, ""en"", ""te""),"""")"),"")</f>
        <v/>
      </c>
      <c r="I4497" s="3"/>
    </row>
    <row r="4498" customHeight="1" spans="1:9">
      <c r="A4498" s="2"/>
      <c r="B4498" s="2" t="str">
        <f>IFERROR(__xludf.DUMMYFUNCTION("IF(A4498&lt;&gt;"""", GOOGLETRANSLATE(A4498, ""en"", ""te""),"""")"),"")</f>
        <v/>
      </c>
      <c r="C4498" s="2"/>
      <c r="D4498" s="2" t="str">
        <f>IFERROR(__xludf.DUMMYFUNCTION("IF(C4498&lt;&gt;"""", GOOGLETRANSLATE(C4498, ""en"", ""te""),"""")"),"")</f>
        <v/>
      </c>
      <c r="E4498" s="2"/>
      <c r="F4498" s="2" t="str">
        <f>IFERROR(__xludf.DUMMYFUNCTION("IF(E4498&lt;&gt;"""", GOOGLETRANSLATE(E4498, ""en"", ""te""),"""")"),"")</f>
        <v/>
      </c>
      <c r="G4498" s="2"/>
      <c r="H4498" s="2" t="str">
        <f>IFERROR(__xludf.DUMMYFUNCTION("IF(G4498&lt;&gt;"""", GOOGLETRANSLATE(G4498, ""en"", ""te""),"""")"),"")</f>
        <v/>
      </c>
      <c r="I4498" s="3"/>
    </row>
    <row r="4499" customHeight="1" spans="1:9">
      <c r="A4499" s="2"/>
      <c r="B4499" s="2" t="str">
        <f>IFERROR(__xludf.DUMMYFUNCTION("IF(A4499&lt;&gt;"""", GOOGLETRANSLATE(A4499, ""en"", ""te""),"""")"),"")</f>
        <v/>
      </c>
      <c r="C4499" s="2"/>
      <c r="D4499" s="2" t="str">
        <f>IFERROR(__xludf.DUMMYFUNCTION("IF(C4499&lt;&gt;"""", GOOGLETRANSLATE(C4499, ""en"", ""te""),"""")"),"")</f>
        <v/>
      </c>
      <c r="E4499" s="2"/>
      <c r="F4499" s="2" t="str">
        <f>IFERROR(__xludf.DUMMYFUNCTION("IF(E4499&lt;&gt;"""", GOOGLETRANSLATE(E4499, ""en"", ""te""),"""")"),"")</f>
        <v/>
      </c>
      <c r="G4499" s="2"/>
      <c r="H4499" s="2" t="str">
        <f>IFERROR(__xludf.DUMMYFUNCTION("IF(G4499&lt;&gt;"""", GOOGLETRANSLATE(G4499, ""en"", ""te""),"""")"),"")</f>
        <v/>
      </c>
      <c r="I4499" s="3"/>
    </row>
    <row r="4500" customHeight="1" spans="1:9">
      <c r="A4500" s="2"/>
      <c r="B4500" s="2" t="str">
        <f>IFERROR(__xludf.DUMMYFUNCTION("IF(A4500&lt;&gt;"""", GOOGLETRANSLATE(A4500, ""en"", ""te""),"""")"),"")</f>
        <v/>
      </c>
      <c r="C4500" s="2"/>
      <c r="D4500" s="2" t="str">
        <f>IFERROR(__xludf.DUMMYFUNCTION("IF(C4500&lt;&gt;"""", GOOGLETRANSLATE(C4500, ""en"", ""te""),"""")"),"")</f>
        <v/>
      </c>
      <c r="E4500" s="2"/>
      <c r="F4500" s="2" t="str">
        <f>IFERROR(__xludf.DUMMYFUNCTION("IF(E4500&lt;&gt;"""", GOOGLETRANSLATE(E4500, ""en"", ""te""),"""")"),"")</f>
        <v/>
      </c>
      <c r="G4500" s="2"/>
      <c r="H4500" s="2" t="str">
        <f>IFERROR(__xludf.DUMMYFUNCTION("IF(G4500&lt;&gt;"""", GOOGLETRANSLATE(G4500, ""en"", ""te""),"""")"),"")</f>
        <v/>
      </c>
      <c r="I4500" s="3"/>
    </row>
    <row r="4501" customHeight="1" spans="1:9">
      <c r="A4501" s="2"/>
      <c r="B4501" s="2" t="str">
        <f>IFERROR(__xludf.DUMMYFUNCTION("IF(A4501&lt;&gt;"""", GOOGLETRANSLATE(A4501, ""en"", ""te""),"""")"),"")</f>
        <v/>
      </c>
      <c r="C4501" s="2"/>
      <c r="D4501" s="2" t="str">
        <f>IFERROR(__xludf.DUMMYFUNCTION("IF(C4501&lt;&gt;"""", GOOGLETRANSLATE(C4501, ""en"", ""te""),"""")"),"")</f>
        <v/>
      </c>
      <c r="E4501" s="2"/>
      <c r="F4501" s="2" t="str">
        <f>IFERROR(__xludf.DUMMYFUNCTION("IF(E4501&lt;&gt;"""", GOOGLETRANSLATE(E4501, ""en"", ""te""),"""")"),"")</f>
        <v/>
      </c>
      <c r="G4501" s="2"/>
      <c r="H4501" s="2" t="str">
        <f>IFERROR(__xludf.DUMMYFUNCTION("IF(G4501&lt;&gt;"""", GOOGLETRANSLATE(G4501, ""en"", ""te""),"""")"),"")</f>
        <v/>
      </c>
      <c r="I4501" s="3"/>
    </row>
    <row r="4502" customHeight="1" spans="1:9">
      <c r="A4502" s="2"/>
      <c r="B4502" s="2" t="str">
        <f>IFERROR(__xludf.DUMMYFUNCTION("IF(A4502&lt;&gt;"""", GOOGLETRANSLATE(A4502, ""en"", ""te""),"""")"),"")</f>
        <v/>
      </c>
      <c r="C4502" s="2"/>
      <c r="D4502" s="2" t="str">
        <f>IFERROR(__xludf.DUMMYFUNCTION("IF(C4502&lt;&gt;"""", GOOGLETRANSLATE(C4502, ""en"", ""te""),"""")"),"")</f>
        <v/>
      </c>
      <c r="E4502" s="2"/>
      <c r="F4502" s="2" t="str">
        <f>IFERROR(__xludf.DUMMYFUNCTION("IF(E4502&lt;&gt;"""", GOOGLETRANSLATE(E4502, ""en"", ""te""),"""")"),"")</f>
        <v/>
      </c>
      <c r="G4502" s="2"/>
      <c r="H4502" s="2" t="str">
        <f>IFERROR(__xludf.DUMMYFUNCTION("IF(G4502&lt;&gt;"""", GOOGLETRANSLATE(G4502, ""en"", ""te""),"""")"),"")</f>
        <v/>
      </c>
      <c r="I4502" s="3"/>
    </row>
    <row r="4503" customHeight="1" spans="1:9">
      <c r="A4503" s="2"/>
      <c r="B4503" s="2" t="str">
        <f>IFERROR(__xludf.DUMMYFUNCTION("IF(A4503&lt;&gt;"""", GOOGLETRANSLATE(A4503, ""en"", ""te""),"""")"),"")</f>
        <v/>
      </c>
      <c r="C4503" s="2"/>
      <c r="D4503" s="2" t="str">
        <f>IFERROR(__xludf.DUMMYFUNCTION("IF(C4503&lt;&gt;"""", GOOGLETRANSLATE(C4503, ""en"", ""te""),"""")"),"")</f>
        <v/>
      </c>
      <c r="E4503" s="2"/>
      <c r="F4503" s="2" t="str">
        <f>IFERROR(__xludf.DUMMYFUNCTION("IF(E4503&lt;&gt;"""", GOOGLETRANSLATE(E4503, ""en"", ""te""),"""")"),"")</f>
        <v/>
      </c>
      <c r="G4503" s="2"/>
      <c r="H4503" s="2" t="str">
        <f>IFERROR(__xludf.DUMMYFUNCTION("IF(G4503&lt;&gt;"""", GOOGLETRANSLATE(G4503, ""en"", ""te""),"""")"),"")</f>
        <v/>
      </c>
      <c r="I4503" s="3"/>
    </row>
    <row r="4504" customHeight="1" spans="1:9">
      <c r="A4504" s="2"/>
      <c r="B4504" s="2" t="str">
        <f>IFERROR(__xludf.DUMMYFUNCTION("IF(A4504&lt;&gt;"""", GOOGLETRANSLATE(A4504, ""en"", ""te""),"""")"),"")</f>
        <v/>
      </c>
      <c r="C4504" s="2"/>
      <c r="D4504" s="2" t="str">
        <f>IFERROR(__xludf.DUMMYFUNCTION("IF(C4504&lt;&gt;"""", GOOGLETRANSLATE(C4504, ""en"", ""te""),"""")"),"")</f>
        <v/>
      </c>
      <c r="E4504" s="2"/>
      <c r="F4504" s="2" t="str">
        <f>IFERROR(__xludf.DUMMYFUNCTION("IF(E4504&lt;&gt;"""", GOOGLETRANSLATE(E4504, ""en"", ""te""),"""")"),"")</f>
        <v/>
      </c>
      <c r="G4504" s="2"/>
      <c r="H4504" s="2" t="str">
        <f>IFERROR(__xludf.DUMMYFUNCTION("IF(G4504&lt;&gt;"""", GOOGLETRANSLATE(G4504, ""en"", ""te""),"""")"),"")</f>
        <v/>
      </c>
      <c r="I4504" s="3"/>
    </row>
    <row r="4505" customHeight="1" spans="1:9">
      <c r="A4505" s="2"/>
      <c r="B4505" s="2" t="str">
        <f>IFERROR(__xludf.DUMMYFUNCTION("IF(A4505&lt;&gt;"""", GOOGLETRANSLATE(A4505, ""en"", ""te""),"""")"),"")</f>
        <v/>
      </c>
      <c r="C4505" s="2"/>
      <c r="D4505" s="2" t="str">
        <f>IFERROR(__xludf.DUMMYFUNCTION("IF(C4505&lt;&gt;"""", GOOGLETRANSLATE(C4505, ""en"", ""te""),"""")"),"")</f>
        <v/>
      </c>
      <c r="E4505" s="2"/>
      <c r="F4505" s="2" t="str">
        <f>IFERROR(__xludf.DUMMYFUNCTION("IF(E4505&lt;&gt;"""", GOOGLETRANSLATE(E4505, ""en"", ""te""),"""")"),"")</f>
        <v/>
      </c>
      <c r="G4505" s="2"/>
      <c r="H4505" s="2" t="str">
        <f>IFERROR(__xludf.DUMMYFUNCTION("IF(G4505&lt;&gt;"""", GOOGLETRANSLATE(G4505, ""en"", ""te""),"""")"),"")</f>
        <v/>
      </c>
      <c r="I4505" s="3"/>
    </row>
    <row r="4506" customHeight="1" spans="1:9">
      <c r="A4506" s="2"/>
      <c r="B4506" s="2" t="str">
        <f>IFERROR(__xludf.DUMMYFUNCTION("IF(A4506&lt;&gt;"""", GOOGLETRANSLATE(A4506, ""en"", ""te""),"""")"),"")</f>
        <v/>
      </c>
      <c r="C4506" s="2"/>
      <c r="D4506" s="2" t="str">
        <f>IFERROR(__xludf.DUMMYFUNCTION("IF(C4506&lt;&gt;"""", GOOGLETRANSLATE(C4506, ""en"", ""te""),"""")"),"")</f>
        <v/>
      </c>
      <c r="E4506" s="2"/>
      <c r="F4506" s="2" t="str">
        <f>IFERROR(__xludf.DUMMYFUNCTION("IF(E4506&lt;&gt;"""", GOOGLETRANSLATE(E4506, ""en"", ""te""),"""")"),"")</f>
        <v/>
      </c>
      <c r="G4506" s="2"/>
      <c r="H4506" s="2" t="str">
        <f>IFERROR(__xludf.DUMMYFUNCTION("IF(G4506&lt;&gt;"""", GOOGLETRANSLATE(G4506, ""en"", ""te""),"""")"),"")</f>
        <v/>
      </c>
      <c r="I4506" s="3"/>
    </row>
    <row r="4507" customHeight="1" spans="1:9">
      <c r="A4507" s="2"/>
      <c r="B4507" s="2" t="str">
        <f>IFERROR(__xludf.DUMMYFUNCTION("IF(A4507&lt;&gt;"""", GOOGLETRANSLATE(A4507, ""en"", ""te""),"""")"),"")</f>
        <v/>
      </c>
      <c r="C4507" s="2"/>
      <c r="D4507" s="2" t="str">
        <f>IFERROR(__xludf.DUMMYFUNCTION("IF(C4507&lt;&gt;"""", GOOGLETRANSLATE(C4507, ""en"", ""te""),"""")"),"")</f>
        <v/>
      </c>
      <c r="E4507" s="2"/>
      <c r="F4507" s="2" t="str">
        <f>IFERROR(__xludf.DUMMYFUNCTION("IF(E4507&lt;&gt;"""", GOOGLETRANSLATE(E4507, ""en"", ""te""),"""")"),"")</f>
        <v/>
      </c>
      <c r="G4507" s="2"/>
      <c r="H4507" s="2" t="str">
        <f>IFERROR(__xludf.DUMMYFUNCTION("IF(G4507&lt;&gt;"""", GOOGLETRANSLATE(G4507, ""en"", ""te""),"""")"),"")</f>
        <v/>
      </c>
      <c r="I4507" s="3"/>
    </row>
    <row r="4508" customHeight="1" spans="1:9">
      <c r="A4508" s="2"/>
      <c r="B4508" s="2" t="str">
        <f>IFERROR(__xludf.DUMMYFUNCTION("IF(A4508&lt;&gt;"""", GOOGLETRANSLATE(A4508, ""en"", ""te""),"""")"),"")</f>
        <v/>
      </c>
      <c r="C4508" s="2"/>
      <c r="D4508" s="2" t="str">
        <f>IFERROR(__xludf.DUMMYFUNCTION("IF(C4508&lt;&gt;"""", GOOGLETRANSLATE(C4508, ""en"", ""te""),"""")"),"")</f>
        <v/>
      </c>
      <c r="E4508" s="2"/>
      <c r="F4508" s="2" t="str">
        <f>IFERROR(__xludf.DUMMYFUNCTION("IF(E4508&lt;&gt;"""", GOOGLETRANSLATE(E4508, ""en"", ""te""),"""")"),"")</f>
        <v/>
      </c>
      <c r="G4508" s="2"/>
      <c r="H4508" s="2" t="str">
        <f>IFERROR(__xludf.DUMMYFUNCTION("IF(G4508&lt;&gt;"""", GOOGLETRANSLATE(G4508, ""en"", ""te""),"""")"),"")</f>
        <v/>
      </c>
      <c r="I4508" s="3"/>
    </row>
    <row r="4509" customHeight="1" spans="1:9">
      <c r="A4509" s="2"/>
      <c r="B4509" s="2" t="str">
        <f>IFERROR(__xludf.DUMMYFUNCTION("IF(A4509&lt;&gt;"""", GOOGLETRANSLATE(A4509, ""en"", ""te""),"""")"),"")</f>
        <v/>
      </c>
      <c r="C4509" s="2"/>
      <c r="D4509" s="2" t="str">
        <f>IFERROR(__xludf.DUMMYFUNCTION("IF(C4509&lt;&gt;"""", GOOGLETRANSLATE(C4509, ""en"", ""te""),"""")"),"")</f>
        <v/>
      </c>
      <c r="E4509" s="2"/>
      <c r="F4509" s="2" t="str">
        <f>IFERROR(__xludf.DUMMYFUNCTION("IF(E4509&lt;&gt;"""", GOOGLETRANSLATE(E4509, ""en"", ""te""),"""")"),"")</f>
        <v/>
      </c>
      <c r="G4509" s="2"/>
      <c r="H4509" s="2" t="str">
        <f>IFERROR(__xludf.DUMMYFUNCTION("IF(G4509&lt;&gt;"""", GOOGLETRANSLATE(G4509, ""en"", ""te""),"""")"),"")</f>
        <v/>
      </c>
      <c r="I4509" s="3"/>
    </row>
    <row r="4510" customHeight="1" spans="1:9">
      <c r="A4510" s="2"/>
      <c r="B4510" s="2" t="str">
        <f>IFERROR(__xludf.DUMMYFUNCTION("IF(A4510&lt;&gt;"""", GOOGLETRANSLATE(A4510, ""en"", ""te""),"""")"),"")</f>
        <v/>
      </c>
      <c r="C4510" s="2"/>
      <c r="D4510" s="2" t="str">
        <f>IFERROR(__xludf.DUMMYFUNCTION("IF(C4510&lt;&gt;"""", GOOGLETRANSLATE(C4510, ""en"", ""te""),"""")"),"")</f>
        <v/>
      </c>
      <c r="E4510" s="2"/>
      <c r="F4510" s="2" t="str">
        <f>IFERROR(__xludf.DUMMYFUNCTION("IF(E4510&lt;&gt;"""", GOOGLETRANSLATE(E4510, ""en"", ""te""),"""")"),"")</f>
        <v/>
      </c>
      <c r="G4510" s="2"/>
      <c r="H4510" s="2" t="str">
        <f>IFERROR(__xludf.DUMMYFUNCTION("IF(G4510&lt;&gt;"""", GOOGLETRANSLATE(G4510, ""en"", ""te""),"""")"),"")</f>
        <v/>
      </c>
      <c r="I4510" s="3"/>
    </row>
    <row r="4511" customHeight="1" spans="1:9">
      <c r="A4511" s="2"/>
      <c r="B4511" s="2" t="str">
        <f>IFERROR(__xludf.DUMMYFUNCTION("IF(A4511&lt;&gt;"""", GOOGLETRANSLATE(A4511, ""en"", ""te""),"""")"),"")</f>
        <v/>
      </c>
      <c r="C4511" s="2"/>
      <c r="D4511" s="2" t="str">
        <f>IFERROR(__xludf.DUMMYFUNCTION("IF(C4511&lt;&gt;"""", GOOGLETRANSLATE(C4511, ""en"", ""te""),"""")"),"")</f>
        <v/>
      </c>
      <c r="E4511" s="2"/>
      <c r="F4511" s="2" t="str">
        <f>IFERROR(__xludf.DUMMYFUNCTION("IF(E4511&lt;&gt;"""", GOOGLETRANSLATE(E4511, ""en"", ""te""),"""")"),"")</f>
        <v/>
      </c>
      <c r="G4511" s="2"/>
      <c r="H4511" s="2" t="str">
        <f>IFERROR(__xludf.DUMMYFUNCTION("IF(G4511&lt;&gt;"""", GOOGLETRANSLATE(G4511, ""en"", ""te""),"""")"),"")</f>
        <v/>
      </c>
      <c r="I4511" s="3"/>
    </row>
    <row r="4512" customHeight="1" spans="1:9">
      <c r="A4512" s="2"/>
      <c r="B4512" s="2" t="str">
        <f>IFERROR(__xludf.DUMMYFUNCTION("IF(A4512&lt;&gt;"""", GOOGLETRANSLATE(A4512, ""en"", ""te""),"""")"),"")</f>
        <v/>
      </c>
      <c r="C4512" s="2"/>
      <c r="D4512" s="2" t="str">
        <f>IFERROR(__xludf.DUMMYFUNCTION("IF(C4512&lt;&gt;"""", GOOGLETRANSLATE(C4512, ""en"", ""te""),"""")"),"")</f>
        <v/>
      </c>
      <c r="E4512" s="2"/>
      <c r="F4512" s="2" t="str">
        <f>IFERROR(__xludf.DUMMYFUNCTION("IF(E4512&lt;&gt;"""", GOOGLETRANSLATE(E4512, ""en"", ""te""),"""")"),"")</f>
        <v/>
      </c>
      <c r="G4512" s="2"/>
      <c r="H4512" s="2" t="str">
        <f>IFERROR(__xludf.DUMMYFUNCTION("IF(G4512&lt;&gt;"""", GOOGLETRANSLATE(G4512, ""en"", ""te""),"""")"),"")</f>
        <v/>
      </c>
      <c r="I4512" s="3"/>
    </row>
    <row r="4513" customHeight="1" spans="1:9">
      <c r="A4513" s="2"/>
      <c r="B4513" s="2" t="str">
        <f>IFERROR(__xludf.DUMMYFUNCTION("IF(A4513&lt;&gt;"""", GOOGLETRANSLATE(A4513, ""en"", ""te""),"""")"),"")</f>
        <v/>
      </c>
      <c r="C4513" s="2"/>
      <c r="D4513" s="2" t="str">
        <f>IFERROR(__xludf.DUMMYFUNCTION("IF(C4513&lt;&gt;"""", GOOGLETRANSLATE(C4513, ""en"", ""te""),"""")"),"")</f>
        <v/>
      </c>
      <c r="E4513" s="2"/>
      <c r="F4513" s="2" t="str">
        <f>IFERROR(__xludf.DUMMYFUNCTION("IF(E4513&lt;&gt;"""", GOOGLETRANSLATE(E4513, ""en"", ""te""),"""")"),"")</f>
        <v/>
      </c>
      <c r="G4513" s="2"/>
      <c r="H4513" s="2" t="str">
        <f>IFERROR(__xludf.DUMMYFUNCTION("IF(G4513&lt;&gt;"""", GOOGLETRANSLATE(G4513, ""en"", ""te""),"""")"),"")</f>
        <v/>
      </c>
      <c r="I4513" s="3"/>
    </row>
    <row r="4514" customHeight="1" spans="1:9">
      <c r="A4514" s="2"/>
      <c r="B4514" s="2" t="str">
        <f>IFERROR(__xludf.DUMMYFUNCTION("IF(A4514&lt;&gt;"""", GOOGLETRANSLATE(A4514, ""en"", ""te""),"""")"),"")</f>
        <v/>
      </c>
      <c r="C4514" s="2"/>
      <c r="D4514" s="2" t="str">
        <f>IFERROR(__xludf.DUMMYFUNCTION("IF(C4514&lt;&gt;"""", GOOGLETRANSLATE(C4514, ""en"", ""te""),"""")"),"")</f>
        <v/>
      </c>
      <c r="E4514" s="2"/>
      <c r="F4514" s="2" t="str">
        <f>IFERROR(__xludf.DUMMYFUNCTION("IF(E4514&lt;&gt;"""", GOOGLETRANSLATE(E4514, ""en"", ""te""),"""")"),"")</f>
        <v/>
      </c>
      <c r="G4514" s="2"/>
      <c r="H4514" s="2" t="str">
        <f>IFERROR(__xludf.DUMMYFUNCTION("IF(G4514&lt;&gt;"""", GOOGLETRANSLATE(G4514, ""en"", ""te""),"""")"),"")</f>
        <v/>
      </c>
      <c r="I4514" s="3"/>
    </row>
    <row r="4515" customHeight="1" spans="1:9">
      <c r="A4515" s="2"/>
      <c r="B4515" s="2" t="str">
        <f>IFERROR(__xludf.DUMMYFUNCTION("IF(A4515&lt;&gt;"""", GOOGLETRANSLATE(A4515, ""en"", ""te""),"""")"),"")</f>
        <v/>
      </c>
      <c r="C4515" s="2"/>
      <c r="D4515" s="2" t="str">
        <f>IFERROR(__xludf.DUMMYFUNCTION("IF(C4515&lt;&gt;"""", GOOGLETRANSLATE(C4515, ""en"", ""te""),"""")"),"")</f>
        <v/>
      </c>
      <c r="E4515" s="2"/>
      <c r="F4515" s="2" t="str">
        <f>IFERROR(__xludf.DUMMYFUNCTION("IF(E4515&lt;&gt;"""", GOOGLETRANSLATE(E4515, ""en"", ""te""),"""")"),"")</f>
        <v/>
      </c>
      <c r="G4515" s="2"/>
      <c r="H4515" s="2" t="str">
        <f>IFERROR(__xludf.DUMMYFUNCTION("IF(G4515&lt;&gt;"""", GOOGLETRANSLATE(G4515, ""en"", ""te""),"""")"),"")</f>
        <v/>
      </c>
      <c r="I4515" s="3"/>
    </row>
    <row r="4516" customHeight="1" spans="1:9">
      <c r="A4516" s="2"/>
      <c r="B4516" s="2" t="str">
        <f>IFERROR(__xludf.DUMMYFUNCTION("IF(A4516&lt;&gt;"""", GOOGLETRANSLATE(A4516, ""en"", ""te""),"""")"),"")</f>
        <v/>
      </c>
      <c r="C4516" s="2"/>
      <c r="D4516" s="2" t="str">
        <f>IFERROR(__xludf.DUMMYFUNCTION("IF(C4516&lt;&gt;"""", GOOGLETRANSLATE(C4516, ""en"", ""te""),"""")"),"")</f>
        <v/>
      </c>
      <c r="E4516" s="2"/>
      <c r="F4516" s="2" t="str">
        <f>IFERROR(__xludf.DUMMYFUNCTION("IF(E4516&lt;&gt;"""", GOOGLETRANSLATE(E4516, ""en"", ""te""),"""")"),"")</f>
        <v/>
      </c>
      <c r="G4516" s="2"/>
      <c r="H4516" s="2" t="str">
        <f>IFERROR(__xludf.DUMMYFUNCTION("IF(G4516&lt;&gt;"""", GOOGLETRANSLATE(G4516, ""en"", ""te""),"""")"),"")</f>
        <v/>
      </c>
      <c r="I4516" s="3"/>
    </row>
    <row r="4517" customHeight="1" spans="1:9">
      <c r="A4517" s="2"/>
      <c r="B4517" s="2" t="str">
        <f>IFERROR(__xludf.DUMMYFUNCTION("IF(A4517&lt;&gt;"""", GOOGLETRANSLATE(A4517, ""en"", ""te""),"""")"),"")</f>
        <v/>
      </c>
      <c r="C4517" s="2"/>
      <c r="D4517" s="2" t="str">
        <f>IFERROR(__xludf.DUMMYFUNCTION("IF(C4517&lt;&gt;"""", GOOGLETRANSLATE(C4517, ""en"", ""te""),"""")"),"")</f>
        <v/>
      </c>
      <c r="E4517" s="2"/>
      <c r="F4517" s="2" t="str">
        <f>IFERROR(__xludf.DUMMYFUNCTION("IF(E4517&lt;&gt;"""", GOOGLETRANSLATE(E4517, ""en"", ""te""),"""")"),"")</f>
        <v/>
      </c>
      <c r="G4517" s="2"/>
      <c r="H4517" s="2" t="str">
        <f>IFERROR(__xludf.DUMMYFUNCTION("IF(G4517&lt;&gt;"""", GOOGLETRANSLATE(G4517, ""en"", ""te""),"""")"),"")</f>
        <v/>
      </c>
      <c r="I4517" s="3"/>
    </row>
    <row r="4518" customHeight="1" spans="1:9">
      <c r="A4518" s="2"/>
      <c r="B4518" s="2" t="str">
        <f>IFERROR(__xludf.DUMMYFUNCTION("IF(A4518&lt;&gt;"""", GOOGLETRANSLATE(A4518, ""en"", ""te""),"""")"),"")</f>
        <v/>
      </c>
      <c r="C4518" s="2"/>
      <c r="D4518" s="2" t="str">
        <f>IFERROR(__xludf.DUMMYFUNCTION("IF(C4518&lt;&gt;"""", GOOGLETRANSLATE(C4518, ""en"", ""te""),"""")"),"")</f>
        <v/>
      </c>
      <c r="E4518" s="2"/>
      <c r="F4518" s="2" t="str">
        <f>IFERROR(__xludf.DUMMYFUNCTION("IF(E4518&lt;&gt;"""", GOOGLETRANSLATE(E4518, ""en"", ""te""),"""")"),"")</f>
        <v/>
      </c>
      <c r="G4518" s="2"/>
      <c r="H4518" s="2" t="str">
        <f>IFERROR(__xludf.DUMMYFUNCTION("IF(G4518&lt;&gt;"""", GOOGLETRANSLATE(G4518, ""en"", ""te""),"""")"),"")</f>
        <v/>
      </c>
      <c r="I4518" s="3"/>
    </row>
    <row r="4519" customHeight="1" spans="1:9">
      <c r="A4519" s="2"/>
      <c r="B4519" s="2" t="str">
        <f>IFERROR(__xludf.DUMMYFUNCTION("IF(A4519&lt;&gt;"""", GOOGLETRANSLATE(A4519, ""en"", ""te""),"""")"),"")</f>
        <v/>
      </c>
      <c r="C4519" s="2"/>
      <c r="D4519" s="2" t="str">
        <f>IFERROR(__xludf.DUMMYFUNCTION("IF(C4519&lt;&gt;"""", GOOGLETRANSLATE(C4519, ""en"", ""te""),"""")"),"")</f>
        <v/>
      </c>
      <c r="E4519" s="2"/>
      <c r="F4519" s="2" t="str">
        <f>IFERROR(__xludf.DUMMYFUNCTION("IF(E4519&lt;&gt;"""", GOOGLETRANSLATE(E4519, ""en"", ""te""),"""")"),"")</f>
        <v/>
      </c>
      <c r="G4519" s="2"/>
      <c r="H4519" s="2" t="str">
        <f>IFERROR(__xludf.DUMMYFUNCTION("IF(G4519&lt;&gt;"""", GOOGLETRANSLATE(G4519, ""en"", ""te""),"""")"),"")</f>
        <v/>
      </c>
      <c r="I4519" s="3"/>
    </row>
    <row r="4520" customHeight="1" spans="1:9">
      <c r="A4520" s="2"/>
      <c r="B4520" s="2" t="str">
        <f>IFERROR(__xludf.DUMMYFUNCTION("IF(A4520&lt;&gt;"""", GOOGLETRANSLATE(A4520, ""en"", ""te""),"""")"),"")</f>
        <v/>
      </c>
      <c r="C4520" s="2"/>
      <c r="D4520" s="2" t="str">
        <f>IFERROR(__xludf.DUMMYFUNCTION("IF(C4520&lt;&gt;"""", GOOGLETRANSLATE(C4520, ""en"", ""te""),"""")"),"")</f>
        <v/>
      </c>
      <c r="E4520" s="2"/>
      <c r="F4520" s="2" t="str">
        <f>IFERROR(__xludf.DUMMYFUNCTION("IF(E4520&lt;&gt;"""", GOOGLETRANSLATE(E4520, ""en"", ""te""),"""")"),"")</f>
        <v/>
      </c>
      <c r="G4520" s="2"/>
      <c r="H4520" s="2" t="str">
        <f>IFERROR(__xludf.DUMMYFUNCTION("IF(G4520&lt;&gt;"""", GOOGLETRANSLATE(G4520, ""en"", ""te""),"""")"),"")</f>
        <v/>
      </c>
      <c r="I4520" s="3"/>
    </row>
    <row r="4521" customHeight="1" spans="1:9">
      <c r="A4521" s="2"/>
      <c r="B4521" s="2" t="str">
        <f>IFERROR(__xludf.DUMMYFUNCTION("IF(A4521&lt;&gt;"""", GOOGLETRANSLATE(A4521, ""en"", ""te""),"""")"),"")</f>
        <v/>
      </c>
      <c r="C4521" s="2"/>
      <c r="D4521" s="2" t="str">
        <f>IFERROR(__xludf.DUMMYFUNCTION("IF(C4521&lt;&gt;"""", GOOGLETRANSLATE(C4521, ""en"", ""te""),"""")"),"")</f>
        <v/>
      </c>
      <c r="E4521" s="2"/>
      <c r="F4521" s="2" t="str">
        <f>IFERROR(__xludf.DUMMYFUNCTION("IF(E4521&lt;&gt;"""", GOOGLETRANSLATE(E4521, ""en"", ""te""),"""")"),"")</f>
        <v/>
      </c>
      <c r="G4521" s="2"/>
      <c r="H4521" s="2" t="str">
        <f>IFERROR(__xludf.DUMMYFUNCTION("IF(G4521&lt;&gt;"""", GOOGLETRANSLATE(G4521, ""en"", ""te""),"""")"),"")</f>
        <v/>
      </c>
      <c r="I4521" s="3"/>
    </row>
    <row r="4522" customHeight="1" spans="1:9">
      <c r="A4522" s="2"/>
      <c r="B4522" s="2" t="str">
        <f>IFERROR(__xludf.DUMMYFUNCTION("IF(A4522&lt;&gt;"""", GOOGLETRANSLATE(A4522, ""en"", ""te""),"""")"),"")</f>
        <v/>
      </c>
      <c r="C4522" s="2"/>
      <c r="D4522" s="2" t="str">
        <f>IFERROR(__xludf.DUMMYFUNCTION("IF(C4522&lt;&gt;"""", GOOGLETRANSLATE(C4522, ""en"", ""te""),"""")"),"")</f>
        <v/>
      </c>
      <c r="E4522" s="2" t="s">
        <v>1649</v>
      </c>
      <c r="F4522" s="2" t="str">
        <f>IFERROR(__xludf.DUMMYFUNCTION("IF(E4522&lt;&gt;"""", GOOGLETRANSLATE(E4522, ""en"", ""te""),"""")"),"[ '50 వ వరుస మ్యాచ్లు ఆడి మధ్య జట్టు (118) కోసం తప్పిన']")</f>
        <v>[ '50 వ వరుస మ్యాచ్లు ఆడి మధ్య జట్టు (118) కోసం తప్పిన']</v>
      </c>
      <c r="G4522" s="2"/>
      <c r="H4522" s="2" t="str">
        <f>IFERROR(__xludf.DUMMYFUNCTION("IF(G4522&lt;&gt;"""", GOOGLETRANSLATE(G4522, ""en"", ""te""),"""")"),"")</f>
        <v/>
      </c>
      <c r="I4522" s="3"/>
    </row>
    <row r="4523" customHeight="1" spans="1:9">
      <c r="A4523" s="2"/>
      <c r="B4523" s="2" t="str">
        <f>IFERROR(__xludf.DUMMYFUNCTION("IF(A4523&lt;&gt;"""", GOOGLETRANSLATE(A4523, ""en"", ""te""),"""")"),"")</f>
        <v/>
      </c>
      <c r="C4523" s="2"/>
      <c r="D4523" s="2" t="str">
        <f>IFERROR(__xludf.DUMMYFUNCTION("IF(C4523&lt;&gt;"""", GOOGLETRANSLATE(C4523, ""en"", ""te""),"""")"),"")</f>
        <v/>
      </c>
      <c r="E4523" s="2"/>
      <c r="F4523" s="2" t="str">
        <f>IFERROR(__xludf.DUMMYFUNCTION("IF(E4523&lt;&gt;"""", GOOGLETRANSLATE(E4523, ""en"", ""te""),"""")"),"")</f>
        <v/>
      </c>
      <c r="G4523" s="2"/>
      <c r="H4523" s="2" t="str">
        <f>IFERROR(__xludf.DUMMYFUNCTION("IF(G4523&lt;&gt;"""", GOOGLETRANSLATE(G4523, ""en"", ""te""),"""")"),"")</f>
        <v/>
      </c>
      <c r="I4523" s="3"/>
    </row>
    <row r="4524" customHeight="1" spans="1:9">
      <c r="A4524" s="2"/>
      <c r="B4524" s="2" t="str">
        <f>IFERROR(__xludf.DUMMYFUNCTION("IF(A4524&lt;&gt;"""", GOOGLETRANSLATE(A4524, ""en"", ""te""),"""")"),"")</f>
        <v/>
      </c>
      <c r="C4524" s="2"/>
      <c r="D4524" s="2" t="str">
        <f>IFERROR(__xludf.DUMMYFUNCTION("IF(C4524&lt;&gt;"""", GOOGLETRANSLATE(C4524, ""en"", ""te""),"""")"),"")</f>
        <v/>
      </c>
      <c r="E4524" s="2"/>
      <c r="F4524" s="2" t="str">
        <f>IFERROR(__xludf.DUMMYFUNCTION("IF(E4524&lt;&gt;"""", GOOGLETRANSLATE(E4524, ""en"", ""te""),"""")"),"")</f>
        <v/>
      </c>
      <c r="G4524" s="2"/>
      <c r="H4524" s="2" t="str">
        <f>IFERROR(__xludf.DUMMYFUNCTION("IF(G4524&lt;&gt;"""", GOOGLETRANSLATE(G4524, ""en"", ""te""),"""")"),"")</f>
        <v/>
      </c>
      <c r="I4524" s="3"/>
    </row>
    <row r="4525" customHeight="1" spans="1:9">
      <c r="A4525" s="2"/>
      <c r="B4525" s="2" t="str">
        <f>IFERROR(__xludf.DUMMYFUNCTION("IF(A4525&lt;&gt;"""", GOOGLETRANSLATE(A4525, ""en"", ""te""),"""")"),"")</f>
        <v/>
      </c>
      <c r="C4525" s="2"/>
      <c r="D4525" s="2" t="str">
        <f>IFERROR(__xludf.DUMMYFUNCTION("IF(C4525&lt;&gt;"""", GOOGLETRANSLATE(C4525, ""en"", ""te""),"""")"),"")</f>
        <v/>
      </c>
      <c r="E4525" s="2"/>
      <c r="F4525" s="2" t="str">
        <f>IFERROR(__xludf.DUMMYFUNCTION("IF(E4525&lt;&gt;"""", GOOGLETRANSLATE(E4525, ""en"", ""te""),"""")"),"")</f>
        <v/>
      </c>
      <c r="G4525" s="2"/>
      <c r="H4525" s="2" t="str">
        <f>IFERROR(__xludf.DUMMYFUNCTION("IF(G4525&lt;&gt;"""", GOOGLETRANSLATE(G4525, ""en"", ""te""),"""")"),"")</f>
        <v/>
      </c>
      <c r="I4525" s="3"/>
    </row>
    <row r="4526" customHeight="1" spans="1:9">
      <c r="A4526" s="2"/>
      <c r="B4526" s="2" t="str">
        <f>IFERROR(__xludf.DUMMYFUNCTION("IF(A4526&lt;&gt;"""", GOOGLETRANSLATE(A4526, ""en"", ""te""),"""")"),"")</f>
        <v/>
      </c>
      <c r="C4526" s="2"/>
      <c r="D4526" s="2" t="str">
        <f>IFERROR(__xludf.DUMMYFUNCTION("IF(C4526&lt;&gt;"""", GOOGLETRANSLATE(C4526, ""en"", ""te""),"""")"),"")</f>
        <v/>
      </c>
      <c r="E4526" s="2"/>
      <c r="F4526" s="2" t="str">
        <f>IFERROR(__xludf.DUMMYFUNCTION("IF(E4526&lt;&gt;"""", GOOGLETRANSLATE(E4526, ""en"", ""te""),"""")"),"")</f>
        <v/>
      </c>
      <c r="G4526" s="2"/>
      <c r="H4526" s="2" t="str">
        <f>IFERROR(__xludf.DUMMYFUNCTION("IF(G4526&lt;&gt;"""", GOOGLETRANSLATE(G4526, ""en"", ""te""),"""")"),"")</f>
        <v/>
      </c>
      <c r="I4526" s="3"/>
    </row>
    <row r="4527" customHeight="1" spans="1:9">
      <c r="A4527" s="2" t="s">
        <v>3222</v>
      </c>
      <c r="B4527" s="2" t="str">
        <f>IFERROR(__xludf.DUMMYFUNCTION("IF(A4527&lt;&gt;"""", GOOGLETRANSLATE(A4527, ""en"", ""te""),"""")"),"[ 'ప్రవేశం (112) పై వంద']")</f>
        <v>[ 'ప్రవేశం (112) పై వంద']</v>
      </c>
      <c r="C4527" s="2" t="s">
        <v>3223</v>
      </c>
      <c r="D4527" s="2" t="str">
        <f>IFERROR(__xludf.DUMMYFUNCTION("IF(C4527&lt;&gt;"""", GOOGLETRANSLATE(C4527, ""en"", ""te""),"""")"),"[ '33 వ పిన్న ఆటగాడు వంద (20y 126d) స్కోర్']")</f>
        <v>[ '33 వ పిన్న ఆటగాడు వంద (20y 126d) స్కోర్']</v>
      </c>
      <c r="E4527" s="2"/>
      <c r="F4527" s="2" t="str">
        <f>IFERROR(__xludf.DUMMYFUNCTION("IF(E4527&lt;&gt;"""", GOOGLETRANSLATE(E4527, ""en"", ""te""),"""")"),"")</f>
        <v/>
      </c>
      <c r="G4527" s="2"/>
      <c r="H4527" s="2" t="str">
        <f>IFERROR(__xludf.DUMMYFUNCTION("IF(G4527&lt;&gt;"""", GOOGLETRANSLATE(G4527, ""en"", ""te""),"""")"),"")</f>
        <v/>
      </c>
      <c r="I4527" s="3"/>
    </row>
    <row r="4528" customHeight="1" spans="1:9">
      <c r="A4528" s="2"/>
      <c r="B4528" s="2" t="str">
        <f>IFERROR(__xludf.DUMMYFUNCTION("IF(A4528&lt;&gt;"""", GOOGLETRANSLATE(A4528, ""en"", ""te""),"""")"),"")</f>
        <v/>
      </c>
      <c r="C4528" s="2"/>
      <c r="D4528" s="2" t="str">
        <f>IFERROR(__xludf.DUMMYFUNCTION("IF(C4528&lt;&gt;"""", GOOGLETRANSLATE(C4528, ""en"", ""te""),"""")"),"")</f>
        <v/>
      </c>
      <c r="E4528" s="2"/>
      <c r="F4528" s="2" t="str">
        <f>IFERROR(__xludf.DUMMYFUNCTION("IF(E4528&lt;&gt;"""", GOOGLETRANSLATE(E4528, ""en"", ""te""),"""")"),"")</f>
        <v/>
      </c>
      <c r="G4528" s="2"/>
      <c r="H4528" s="2" t="str">
        <f>IFERROR(__xludf.DUMMYFUNCTION("IF(G4528&lt;&gt;"""", GOOGLETRANSLATE(G4528, ""en"", ""te""),"""")"),"")</f>
        <v/>
      </c>
      <c r="I4528" s="3"/>
    </row>
    <row r="4529" customHeight="1" spans="1:9">
      <c r="A4529" s="2"/>
      <c r="B4529" s="2" t="str">
        <f>IFERROR(__xludf.DUMMYFUNCTION("IF(A4529&lt;&gt;"""", GOOGLETRANSLATE(A4529, ""en"", ""te""),"""")"),"")</f>
        <v/>
      </c>
      <c r="C4529" s="2"/>
      <c r="D4529" s="2" t="str">
        <f>IFERROR(__xludf.DUMMYFUNCTION("IF(C4529&lt;&gt;"""", GOOGLETRANSLATE(C4529, ""en"", ""te""),"""")"),"")</f>
        <v/>
      </c>
      <c r="E4529" s="2" t="s">
        <v>3224</v>
      </c>
      <c r="F4529" s="2" t="str">
        <f>IFERROR(__xludf.DUMMYFUNCTION("IF(E4529&lt;&gt;"""", GOOGLETRANSLATE(E4529, ""en"", ""te""),"""")"),"[ 'ఏడవ వికెట్ (102) 43 వ అత్యధిక భాగస్వామ్యం']")</f>
        <v>[ 'ఏడవ వికెట్ (102) 43 వ అత్యధిక భాగస్వామ్యం']</v>
      </c>
      <c r="G4529" s="2"/>
      <c r="H4529" s="2" t="str">
        <f>IFERROR(__xludf.DUMMYFUNCTION("IF(G4529&lt;&gt;"""", GOOGLETRANSLATE(G4529, ""en"", ""te""),"""")"),"")</f>
        <v/>
      </c>
      <c r="I4529" s="3"/>
    </row>
    <row r="4530" customHeight="1" spans="1:9">
      <c r="A4530" s="2"/>
      <c r="B4530" s="2" t="str">
        <f>IFERROR(__xludf.DUMMYFUNCTION("IF(A4530&lt;&gt;"""", GOOGLETRANSLATE(A4530, ""en"", ""te""),"""")"),"")</f>
        <v/>
      </c>
      <c r="C4530" s="2"/>
      <c r="D4530" s="2" t="str">
        <f>IFERROR(__xludf.DUMMYFUNCTION("IF(C4530&lt;&gt;"""", GOOGLETRANSLATE(C4530, ""en"", ""te""),"""")"),"")</f>
        <v/>
      </c>
      <c r="E4530" s="2"/>
      <c r="F4530" s="2" t="str">
        <f>IFERROR(__xludf.DUMMYFUNCTION("IF(E4530&lt;&gt;"""", GOOGLETRANSLATE(E4530, ""en"", ""te""),"""")"),"")</f>
        <v/>
      </c>
      <c r="G4530" s="2"/>
      <c r="H4530" s="2" t="str">
        <f>IFERROR(__xludf.DUMMYFUNCTION("IF(G4530&lt;&gt;"""", GOOGLETRANSLATE(G4530, ""en"", ""te""),"""")"),"")</f>
        <v/>
      </c>
      <c r="I4530" s="3"/>
    </row>
    <row r="4531" customHeight="1" spans="1:9">
      <c r="A4531" s="2"/>
      <c r="B4531" s="2" t="str">
        <f>IFERROR(__xludf.DUMMYFUNCTION("IF(A4531&lt;&gt;"""", GOOGLETRANSLATE(A4531, ""en"", ""te""),"""")"),"")</f>
        <v/>
      </c>
      <c r="C4531" s="2"/>
      <c r="D4531" s="2" t="str">
        <f>IFERROR(__xludf.DUMMYFUNCTION("IF(C4531&lt;&gt;"""", GOOGLETRANSLATE(C4531, ""en"", ""te""),"""")"),"")</f>
        <v/>
      </c>
      <c r="E4531" s="2"/>
      <c r="F4531" s="2" t="str">
        <f>IFERROR(__xludf.DUMMYFUNCTION("IF(E4531&lt;&gt;"""", GOOGLETRANSLATE(E4531, ""en"", ""te""),"""")"),"")</f>
        <v/>
      </c>
      <c r="G4531" s="2"/>
      <c r="H4531" s="2" t="str">
        <f>IFERROR(__xludf.DUMMYFUNCTION("IF(G4531&lt;&gt;"""", GOOGLETRANSLATE(G4531, ""en"", ""te""),"""")"),"")</f>
        <v/>
      </c>
      <c r="I4531" s="3"/>
    </row>
    <row r="4532" customHeight="1" spans="1:9">
      <c r="A4532" s="2" t="s">
        <v>3225</v>
      </c>
      <c r="B4532" s="2" t="str">
        <f>IFERROR(__xludf.DUMMYFUNCTION("IF(A4532&lt;&gt;"""", GOOGLETRANSLATE(A4532, ""en"", ""te""),"""")"),"[ '1st అత్యుత్తమ బౌలింగ్ ఇన్నింగ్స్ లో విశ్లేషించడం (6/4)', 'ఇన్నింగ్స్ లో 6 వ ఉత్తమ సమ్మె రేటు (4.6)']")</f>
        <v>[ '1st అత్యుత్తమ బౌలింగ్ ఇన్నింగ్స్ లో విశ్లేషించడం (6/4)', 'ఇన్నింగ్స్ లో 6 వ ఉత్తమ సమ్మె రేటు (4.6)']</v>
      </c>
      <c r="C4532" s="2"/>
      <c r="D4532" s="2" t="str">
        <f>IFERROR(__xludf.DUMMYFUNCTION("IF(C4532&lt;&gt;"""", GOOGLETRANSLATE(C4532, ""en"", ""te""),"""")"),"")</f>
        <v/>
      </c>
      <c r="E4532" s="2" t="s">
        <v>3226</v>
      </c>
      <c r="F4532" s="2" t="str">
        <f>IFERROR(__xludf.DUMMYFUNCTION("IF(E4532&lt;&gt;"""", GOOGLETRANSLATE(E4532, ""en"", ""te""),"""")"),"[ '13 వ ఇన్నింగ్స్ లో బెస్ట్ ఫిగర్స్ (6/4)', '1 వ అత్యుత్తమ బౌలింగ్ ఇన్నింగ్స్ లో విశ్లేషించడం (6/4)', 'ఇన్నింగ్స్ లో 6 వ ఉత్తమ సమ్మె రేటు (4.6)']")</f>
        <v>[ '13 వ ఇన్నింగ్స్ లో బెస్ట్ ఫిగర్స్ (6/4)', '1 వ అత్యుత్తమ బౌలింగ్ ఇన్నింగ్స్ లో విశ్లేషించడం (6/4)', 'ఇన్నింగ్స్ లో 6 వ ఉత్తమ సమ్మె రేటు (4.6)']</v>
      </c>
      <c r="G4532" s="2"/>
      <c r="H4532" s="2" t="str">
        <f>IFERROR(__xludf.DUMMYFUNCTION("IF(G4532&lt;&gt;"""", GOOGLETRANSLATE(G4532, ""en"", ""te""),"""")"),"")</f>
        <v/>
      </c>
      <c r="I4532" s="3"/>
    </row>
    <row r="4533" customHeight="1" spans="1:9">
      <c r="A4533" s="2"/>
      <c r="B4533" s="2" t="str">
        <f>IFERROR(__xludf.DUMMYFUNCTION("IF(A4533&lt;&gt;"""", GOOGLETRANSLATE(A4533, ""en"", ""te""),"""")"),"")</f>
        <v/>
      </c>
      <c r="C4533" s="2"/>
      <c r="D4533" s="2" t="str">
        <f>IFERROR(__xludf.DUMMYFUNCTION("IF(C4533&lt;&gt;"""", GOOGLETRANSLATE(C4533, ""en"", ""te""),"""")"),"")</f>
        <v/>
      </c>
      <c r="E4533" s="2"/>
      <c r="F4533" s="2" t="str">
        <f>IFERROR(__xludf.DUMMYFUNCTION("IF(E4533&lt;&gt;"""", GOOGLETRANSLATE(E4533, ""en"", ""te""),"""")"),"")</f>
        <v/>
      </c>
      <c r="G4533" s="2"/>
      <c r="H4533" s="2" t="str">
        <f>IFERROR(__xludf.DUMMYFUNCTION("IF(G4533&lt;&gt;"""", GOOGLETRANSLATE(G4533, ""en"", ""te""),"""")"),"")</f>
        <v/>
      </c>
      <c r="I4533" s="3"/>
    </row>
    <row r="4534" customHeight="1" spans="1:9">
      <c r="A4534" s="2"/>
      <c r="B4534" s="2" t="str">
        <f>IFERROR(__xludf.DUMMYFUNCTION("IF(A4534&lt;&gt;"""", GOOGLETRANSLATE(A4534, ""en"", ""te""),"""")"),"")</f>
        <v/>
      </c>
      <c r="C4534" s="2"/>
      <c r="D4534" s="2" t="str">
        <f>IFERROR(__xludf.DUMMYFUNCTION("IF(C4534&lt;&gt;"""", GOOGLETRANSLATE(C4534, ""en"", ""te""),"""")"),"")</f>
        <v/>
      </c>
      <c r="E4534" s="2"/>
      <c r="F4534" s="2" t="str">
        <f>IFERROR(__xludf.DUMMYFUNCTION("IF(E4534&lt;&gt;"""", GOOGLETRANSLATE(E4534, ""en"", ""te""),"""")"),"")</f>
        <v/>
      </c>
      <c r="G4534" s="2" t="s">
        <v>3227</v>
      </c>
      <c r="H4534" s="2" t="str">
        <f>IFERROR(__xludf.DUMMYFUNCTION("IF(G4534&lt;&gt;"""", GOOGLETRANSLATE(G4534, ""en"", ""te""),"""")"),"[ 'ఐదవ వికెట్కు 37 వ అత్యధిక భాగస్వామ్యం (71)']")</f>
        <v>[ 'ఐదవ వికెట్కు 37 వ అత్యధిక భాగస్వామ్యం (71)']</v>
      </c>
      <c r="I4534" s="3"/>
    </row>
    <row r="4535" customHeight="1" spans="1:9">
      <c r="A4535" s="2"/>
      <c r="B4535" s="2" t="str">
        <f>IFERROR(__xludf.DUMMYFUNCTION("IF(A4535&lt;&gt;"""", GOOGLETRANSLATE(A4535, ""en"", ""te""),"""")"),"")</f>
        <v/>
      </c>
      <c r="C4535" s="2"/>
      <c r="D4535" s="2" t="str">
        <f>IFERROR(__xludf.DUMMYFUNCTION("IF(C4535&lt;&gt;"""", GOOGLETRANSLATE(C4535, ""en"", ""te""),"""")"),"")</f>
        <v/>
      </c>
      <c r="E4535" s="2"/>
      <c r="F4535" s="2" t="str">
        <f>IFERROR(__xludf.DUMMYFUNCTION("IF(E4535&lt;&gt;"""", GOOGLETRANSLATE(E4535, ""en"", ""te""),"""")"),"")</f>
        <v/>
      </c>
      <c r="G4535" s="2"/>
      <c r="H4535" s="2" t="str">
        <f>IFERROR(__xludf.DUMMYFUNCTION("IF(G4535&lt;&gt;"""", GOOGLETRANSLATE(G4535, ""en"", ""te""),"""")"),"")</f>
        <v/>
      </c>
      <c r="I4535" s="3"/>
    </row>
    <row r="4536" customHeight="1" spans="1:9">
      <c r="A4536" s="2"/>
      <c r="B4536" s="2" t="str">
        <f>IFERROR(__xludf.DUMMYFUNCTION("IF(A4536&lt;&gt;"""", GOOGLETRANSLATE(A4536, ""en"", ""te""),"""")"),"")</f>
        <v/>
      </c>
      <c r="C4536" s="2"/>
      <c r="D4536" s="2" t="str">
        <f>IFERROR(__xludf.DUMMYFUNCTION("IF(C4536&lt;&gt;"""", GOOGLETRANSLATE(C4536, ""en"", ""te""),"""")"),"")</f>
        <v/>
      </c>
      <c r="E4536" s="2"/>
      <c r="F4536" s="2" t="str">
        <f>IFERROR(__xludf.DUMMYFUNCTION("IF(E4536&lt;&gt;"""", GOOGLETRANSLATE(E4536, ""en"", ""te""),"""")"),"")</f>
        <v/>
      </c>
      <c r="G4536" s="2"/>
      <c r="H4536" s="2" t="str">
        <f>IFERROR(__xludf.DUMMYFUNCTION("IF(G4536&lt;&gt;"""", GOOGLETRANSLATE(G4536, ""en"", ""te""),"""")"),"")</f>
        <v/>
      </c>
      <c r="I4536" s="3"/>
    </row>
    <row r="4537" customHeight="1" spans="1:9">
      <c r="A4537" s="2"/>
      <c r="B4537" s="2" t="str">
        <f>IFERROR(__xludf.DUMMYFUNCTION("IF(A4537&lt;&gt;"""", GOOGLETRANSLATE(A4537, ""en"", ""te""),"""")"),"")</f>
        <v/>
      </c>
      <c r="C4537" s="2"/>
      <c r="D4537" s="2" t="str">
        <f>IFERROR(__xludf.DUMMYFUNCTION("IF(C4537&lt;&gt;"""", GOOGLETRANSLATE(C4537, ""en"", ""te""),"""")"),"")</f>
        <v/>
      </c>
      <c r="E4537" s="2"/>
      <c r="F4537" s="2" t="str">
        <f>IFERROR(__xludf.DUMMYFUNCTION("IF(E4537&lt;&gt;"""", GOOGLETRANSLATE(E4537, ""en"", ""te""),"""")"),"")</f>
        <v/>
      </c>
      <c r="G4537" s="2"/>
      <c r="H4537" s="2" t="str">
        <f>IFERROR(__xludf.DUMMYFUNCTION("IF(G4537&lt;&gt;"""", GOOGLETRANSLATE(G4537, ""en"", ""te""),"""")"),"")</f>
        <v/>
      </c>
      <c r="I4537" s="3"/>
    </row>
    <row r="4538" customHeight="1" spans="1:9">
      <c r="A4538" s="2"/>
      <c r="B4538" s="2" t="str">
        <f>IFERROR(__xludf.DUMMYFUNCTION("IF(A4538&lt;&gt;"""", GOOGLETRANSLATE(A4538, ""en"", ""te""),"""")"),"")</f>
        <v/>
      </c>
      <c r="C4538" s="2"/>
      <c r="D4538" s="2" t="str">
        <f>IFERROR(__xludf.DUMMYFUNCTION("IF(C4538&lt;&gt;"""", GOOGLETRANSLATE(C4538, ""en"", ""te""),"""")"),"")</f>
        <v/>
      </c>
      <c r="E4538" s="2"/>
      <c r="F4538" s="2" t="str">
        <f>IFERROR(__xludf.DUMMYFUNCTION("IF(E4538&lt;&gt;"""", GOOGLETRANSLATE(E4538, ""en"", ""te""),"""")"),"")</f>
        <v/>
      </c>
      <c r="G4538" s="2"/>
      <c r="H4538" s="2" t="str">
        <f>IFERROR(__xludf.DUMMYFUNCTION("IF(G4538&lt;&gt;"""", GOOGLETRANSLATE(G4538, ""en"", ""te""),"""")"),"")</f>
        <v/>
      </c>
      <c r="I4538" s="3"/>
    </row>
    <row r="4539" customHeight="1" spans="1:9">
      <c r="A4539" s="2"/>
      <c r="B4539" s="2" t="str">
        <f>IFERROR(__xludf.DUMMYFUNCTION("IF(A4539&lt;&gt;"""", GOOGLETRANSLATE(A4539, ""en"", ""te""),"""")"),"")</f>
        <v/>
      </c>
      <c r="C4539" s="2" t="s">
        <v>3228</v>
      </c>
      <c r="D4539" s="2" t="str">
        <f>IFERROR(__xludf.DUMMYFUNCTION("IF(C4539&lt;&gt;"""", GOOGLETRANSLATE(C4539, ""en"", ""te""),"""")"),"[ 'తొలి 45 వ ఓల్డెస్ట్ క్రీడాకారులు (37y 124d)']")</f>
        <v>[ 'తొలి 45 వ ఓల్డెస్ట్ క్రీడాకారులు (37y 124d)']</v>
      </c>
      <c r="E4539" s="2"/>
      <c r="F4539" s="2" t="str">
        <f>IFERROR(__xludf.DUMMYFUNCTION("IF(E4539&lt;&gt;"""", GOOGLETRANSLATE(E4539, ""en"", ""te""),"""")"),"")</f>
        <v/>
      </c>
      <c r="G4539" s="2"/>
      <c r="H4539" s="2" t="str">
        <f>IFERROR(__xludf.DUMMYFUNCTION("IF(G4539&lt;&gt;"""", GOOGLETRANSLATE(G4539, ""en"", ""te""),"""")"),"")</f>
        <v/>
      </c>
      <c r="I4539" s="3"/>
    </row>
    <row r="4540" customHeight="1" spans="1:9">
      <c r="A4540" s="2" t="s">
        <v>1202</v>
      </c>
      <c r="B4540" s="2" t="str">
        <f>IFERROR(__xludf.DUMMYFUNCTION("IF(A4540&lt;&gt;"""", GOOGLETRANSLATE(A4540, ""en"", ""te""),"""")"),"[ 'హండ్రెడ్ మరియు ఒక మ్యాచ్లో తొంభై']")</f>
        <v>[ 'హండ్రెడ్ మరియు ఒక మ్యాచ్లో తొంభై']</v>
      </c>
      <c r="C4540" s="2" t="s">
        <v>3229</v>
      </c>
      <c r="D4540" s="2" t="str">
        <f>IFERROR(__xludf.DUMMYFUNCTION("IF(C4540&lt;&gt;"""", GOOGLETRANSLATE(C4540, ""en"", ""te""),"""")"),"[ '43 వ చెత్త కెరీర్లో సమ్మె రేటు (109.5)', '41 వ పురాతన దేశం ఆటగాళ్ళు (86y 315d)']")</f>
        <v>[ '43 వ చెత్త కెరీర్లో సమ్మె రేటు (109.5)', '41 వ పురాతన దేశం ఆటగాళ్ళు (86y 315d)']</v>
      </c>
      <c r="E4540" s="2"/>
      <c r="F4540" s="2" t="str">
        <f>IFERROR(__xludf.DUMMYFUNCTION("IF(E4540&lt;&gt;"""", GOOGLETRANSLATE(E4540, ""en"", ""te""),"""")"),"")</f>
        <v/>
      </c>
      <c r="G4540" s="2"/>
      <c r="H4540" s="2" t="str">
        <f>IFERROR(__xludf.DUMMYFUNCTION("IF(G4540&lt;&gt;"""", GOOGLETRANSLATE(G4540, ""en"", ""te""),"""")"),"")</f>
        <v/>
      </c>
      <c r="I4540" s="3"/>
    </row>
    <row r="4541" customHeight="1" spans="1:9">
      <c r="A4541" s="2"/>
      <c r="B4541" s="2" t="str">
        <f>IFERROR(__xludf.DUMMYFUNCTION("IF(A4541&lt;&gt;"""", GOOGLETRANSLATE(A4541, ""en"", ""te""),"""")"),"")</f>
        <v/>
      </c>
      <c r="C4541" s="2"/>
      <c r="D4541" s="2" t="str">
        <f>IFERROR(__xludf.DUMMYFUNCTION("IF(C4541&lt;&gt;"""", GOOGLETRANSLATE(C4541, ""en"", ""te""),"""")"),"")</f>
        <v/>
      </c>
      <c r="E4541" s="2"/>
      <c r="F4541" s="2" t="str">
        <f>IFERROR(__xludf.DUMMYFUNCTION("IF(E4541&lt;&gt;"""", GOOGLETRANSLATE(E4541, ""en"", ""te""),"""")"),"")</f>
        <v/>
      </c>
      <c r="G4541" s="2"/>
      <c r="H4541" s="2" t="str">
        <f>IFERROR(__xludf.DUMMYFUNCTION("IF(G4541&lt;&gt;"""", GOOGLETRANSLATE(G4541, ""en"", ""te""),"""")"),"")</f>
        <v/>
      </c>
      <c r="I4541" s="3"/>
    </row>
    <row r="4542" customHeight="1" spans="1:9">
      <c r="A4542" s="2"/>
      <c r="B4542" s="2" t="str">
        <f>IFERROR(__xludf.DUMMYFUNCTION("IF(A4542&lt;&gt;"""", GOOGLETRANSLATE(A4542, ""en"", ""te""),"""")"),"")</f>
        <v/>
      </c>
      <c r="C4542" s="2"/>
      <c r="D4542" s="2" t="str">
        <f>IFERROR(__xludf.DUMMYFUNCTION("IF(C4542&lt;&gt;"""", GOOGLETRANSLATE(C4542, ""en"", ""te""),"""")"),"")</f>
        <v/>
      </c>
      <c r="E4542" s="2"/>
      <c r="F4542" s="2" t="str">
        <f>IFERROR(__xludf.DUMMYFUNCTION("IF(E4542&lt;&gt;"""", GOOGLETRANSLATE(E4542, ""en"", ""te""),"""")"),"")</f>
        <v/>
      </c>
      <c r="G4542" s="2"/>
      <c r="H4542" s="2" t="str">
        <f>IFERROR(__xludf.DUMMYFUNCTION("IF(G4542&lt;&gt;"""", GOOGLETRANSLATE(G4542, ""en"", ""te""),"""")"),"")</f>
        <v/>
      </c>
      <c r="I4542" s="3"/>
    </row>
    <row r="4543" customHeight="1" spans="1:9">
      <c r="A4543" s="2" t="s">
        <v>3230</v>
      </c>
      <c r="B4543" s="2" t="str">
        <f>IFERROR(__xludf.DUMMYFUNCTION("IF(A4543&lt;&gt;"""", GOOGLETRANSLATE(A4543, ""en"", ""te""),"""")"),"[ 'ఇన్నింగ్స్ లో 7 వ అత్యుత్తమ బౌలింగ్ విశ్లేషణలు (5/8)', '4 వ అత్యంత వృద్ధ ఆటగాడు ఒక ఐదు మైడెన్-వికెట్ల లో-ఒక-ఇన్నింగ్స్ (31y 11d) తీసుకోవాలని' 'స్టంప్ 3 వ అత్యధిక వికెట్లు తీసిన (18)', 'ఒక ఇన్నింగ్స్ లో 5 వ ఉత్తమ గణాంకాలు పరాజయం వైపు (4) ఉన్నప్పుడు', "&amp;"'8 వ ఉత్తమ కెరీర్ బౌలింగ్ సరాసరి (14.71)']")</f>
        <v>[ 'ఇన్నింగ్స్ లో 7 వ అత్యుత్తమ బౌలింగ్ విశ్లేషణలు (5/8)', '4 వ అత్యంత వృద్ధ ఆటగాడు ఒక ఐదు మైడెన్-వికెట్ల లో-ఒక-ఇన్నింగ్స్ (31y 11d) తీసుకోవాలని' 'స్టంప్ 3 వ అత్యధిక వికెట్లు తీసిన (18)', 'ఒక ఇన్నింగ్స్ లో 5 వ ఉత్తమ గణాంకాలు పరాజయం వైపు (4) ఉన్నప్పుడు', '8 వ ఉత్తమ కెరీర్ బౌలింగ్ సరాసరి (14.71)']</v>
      </c>
      <c r="C4543" s="2" t="s">
        <v>3231</v>
      </c>
      <c r="D4543" s="2" t="str">
        <f>IFERROR(__xludf.DUMMYFUNCTION("IF(C4543&lt;&gt;"""", GOOGLETRANSLATE(C4543, ""en"", ""te""),"""")"),"[ '44 వ ఉత్తమ కెరీర్ బౌలింగ్ సరాసరి (అర్హత లేకుండా) (14.66)']")</f>
        <v>[ '44 వ ఉత్తమ కెరీర్ బౌలింగ్ సరాసరి (అర్హత లేకుండా) (14.66)']</v>
      </c>
      <c r="E4543" s="2" t="s">
        <v>3232</v>
      </c>
      <c r="F4543" s="2" t="str">
        <f>IFERROR(__xludf.DUMMYFUNCTION("IF(E4543&lt;&gt;"""", GOOGLETRANSLATE(E4543, ""en"", ""te""),"""")"),"[ 'ఇన్నింగ్స్ లో 24 వ బెస్ట్ ఫిగర్స్ (5/8)' '24 వ అత్యంత కెరీర్లో వికెట్లు (96)', 'మొదటి డక్ (23) ముందు 16 వ ఇన్నింగ్స్' 'ఒక క్యాలెండర్ సంవత్సరంలో 8 వ అత్యధిక వికెట్లు (29)' '7 వ అత్యుత్తమ బౌలింగ్ ఇన్నింగ్స్ లో విశ్లేషించడం (5/8)', '24th ఒకే మైదానంలో అత్"&amp;"యధిక వికెట్లు (13)', '30 వ ఉత్తమ కెరీర్ సమ్మె రేటు (34.2)', '7 వ అత్యంత ఐదు-వికెట్ల లో-ఒక ఒక వృత్తిలో -innings (2) ',' 38 వ అత్యంత నాలుగు వికెట్లు-ఇన్-ఒక-ఇన్నింగ్స్ కెరీర్లో (3) ',' ఐదు వికెట్ల లో-ఒక-ఇన్నింగ్స్ తీసుకోవాలని 7 వ అత్యంత వృద్ధ ఆటగాడు (31y 144"&amp;"d) ' , '29th కెరీర్ (3291) లో బౌల్డ్ చాలా బంతుల్లో', '36 వ కెరీర్ లో సాధించిన అత్యధిక పరుగులు (2023)', '31' అయిదు వికెట్లు-ఇన్-ఒక-ఇన్నింగ్స్ (31y 11d) కన్య తీసుకోవాలని 4 వ అత్యంత వృద్ధ ఆటగాడు ' బౌలర్ / బ్యాట్స్ కలయికలు (5) ',' 24 వ అత్యధిక వికెట్లు తీసుకు"&amp;"న్న బౌల్డ్ (23) ',' 45 వ అత్యధిక వికెట్లు తీసుకున్న ఆకర్షించింది (40) ',' 38 వ అత్యధిక వికెట్లు ఒక ఫీల్డర్ చేత క్యాచ్ తీసుకున్న (34) ',' 25 వ అత్యధిక వికెట్లు తీసుకున్న LBW (15) ',' 3 వ అత్యంత వరుస (6) లో 'తీసుకోబడిన వికెట్ల స్టంప్ (18)', '47 వ అత్యధిక క్"&amp;"యాచ్లు]")</f>
        <v>[ 'ఇన్నింగ్స్ లో 24 వ బెస్ట్ ఫిగర్స్ (5/8)' '24 వ అత్యంత కెరీర్లో వికెట్లు (96)', 'మొదటి డక్ (23) ముందు 16 వ ఇన్నింగ్స్' 'ఒక క్యాలెండర్ సంవత్సరంలో 8 వ అత్యధిక వికెట్లు (29)' '7 వ అత్యుత్తమ బౌలింగ్ ఇన్నింగ్స్ లో విశ్లేషించడం (5/8)', '24th ఒకే మైదానంలో అత్యధిక వికెట్లు (13)', '30 వ ఉత్తమ కెరీర్ సమ్మె రేటు (34.2)', '7 వ అత్యంత ఐదు-వికెట్ల లో-ఒక ఒక వృత్తిలో -innings (2) ',' 38 వ అత్యంత నాలుగు వికెట్లు-ఇన్-ఒక-ఇన్నింగ్స్ కెరీర్లో (3) ',' ఐదు వికెట్ల లో-ఒక-ఇన్నింగ్స్ తీసుకోవాలని 7 వ అత్యంత వృద్ధ ఆటగాడు (31y 144d) ' , '29th కెరీర్ (3291) లో బౌల్డ్ చాలా బంతుల్లో', '36 వ కెరీర్ లో సాధించిన అత్యధిక పరుగులు (2023)', '31' అయిదు వికెట్లు-ఇన్-ఒక-ఇన్నింగ్స్ (31y 11d) కన్య తీసుకోవాలని 4 వ అత్యంత వృద్ధ ఆటగాడు ' బౌలర్ / బ్యాట్స్ కలయికలు (5) ',' 24 వ అత్యధిక వికెట్లు తీసుకున్న బౌల్డ్ (23) ',' 45 వ అత్యధిక వికెట్లు తీసుకున్న ఆకర్షించింది (40) ',' 38 వ అత్యధిక వికెట్లు ఒక ఫీల్డర్ చేత క్యాచ్ తీసుకున్న (34) ',' 25 వ అత్యధిక వికెట్లు తీసుకున్న LBW (15) ',' 3 వ అత్యంత వరుస (6) లో 'తీసుకోబడిన వికెట్ల స్టంప్ (18)', '47 వ అత్యధిక క్యాచ్లు]</v>
      </c>
      <c r="G4543" s="2" t="s">
        <v>3233</v>
      </c>
      <c r="H4543" s="2" t="str">
        <f>IFERROR(__xludf.DUMMYFUNCTION("IF(G4543&lt;&gt;"""", GOOGLETRANSLATE(G4543, ""en"", ""te""),"""")"),"[ '34 వ కెరీర్ లో అత్యధిక వికెట్లు (53)', '(23) 11 వ ఒక క్యాలెండర్ సంవత్సరంలో అత్యధిక వికెట్లు', 'ఇన్నింగ్స్ లో 27 అత్యుత్తమ బౌలింగ్ విశ్లేషణలు (1/2)', '5 వ ఒక ఇన్నింగ్స్ లోని బెస్ట్ ఫిగర్స్ ఉన్నప్పుడు వైపు (4) ఓడిపోయింది ',' 8 వ ఉత్తమ కెరీర్ సగటు (14.71"&amp;") ',' 16 వ ఉత్తమ కెరీర్ ఎకానమీ రేట్ బౌలింగ్ (5.30) ',' 12 వ ఉత్తమ కెరీర్ సమ్మె రేటు (16.6) ',' 48 వ కెరీర్ లో బౌల్డ్ చాలా బంతుల్లో (883) ''21 వ బౌలర్ / ఫీల్డర్ కలయికలు (9)', '38 వ అత్యధిక వికెట్లు తీసుకున్న బౌల్డ్ (11)', '11 వ అత్యధిక వికెట్లు తీసుకున్న ఎ"&amp;"ల్బిడబ్ల్యు (10)', '12 వ అత్యధిక వికెట్లు తీసుకున్న స్టంప్ (10)', '41 వ అత్యంత పనికత్తెలయొద్ద కెరీర్లో (5) ']")</f>
        <v>[ '34 వ కెరీర్ లో అత్యధిక వికెట్లు (53)', '(23) 11 వ ఒక క్యాలెండర్ సంవత్సరంలో అత్యధిక వికెట్లు', 'ఇన్నింగ్స్ లో 27 అత్యుత్తమ బౌలింగ్ విశ్లేషణలు (1/2)', '5 వ ఒక ఇన్నింగ్స్ లోని బెస్ట్ ఫిగర్స్ ఉన్నప్పుడు వైపు (4) ఓడిపోయింది ',' 8 వ ఉత్తమ కెరీర్ సగటు (14.71) ',' 16 వ ఉత్తమ కెరీర్ ఎకానమీ రేట్ బౌలింగ్ (5.30) ',' 12 వ ఉత్తమ కెరీర్ సమ్మె రేటు (16.6) ',' 48 వ కెరీర్ లో బౌల్డ్ చాలా బంతుల్లో (883) ''21 వ బౌలర్ / ఫీల్డర్ కలయికలు (9)', '38 వ అత్యధిక వికెట్లు తీసుకున్న బౌల్డ్ (11)', '11 వ అత్యధిక వికెట్లు తీసుకున్న ఎల్బిడబ్ల్యు (10)', '12 వ అత్యధిక వికెట్లు తీసుకున్న స్టంప్ (10)', '41 వ అత్యంత పనికత్తెలయొద్ద కెరీర్లో (5) ']</v>
      </c>
      <c r="I4543" s="3"/>
    </row>
    <row r="4544" customHeight="1" spans="1:9">
      <c r="A4544" s="2" t="s">
        <v>3234</v>
      </c>
      <c r="B4544" s="2" t="str">
        <f>IFERROR(__xludf.DUMMYFUNCTION("IF(A4544&lt;&gt;"""", GOOGLETRANSLATE(A4544, ""en"", ""te""),"""")"),"[ 'వరుస 1st చాలా బాతులు (5)']")</f>
        <v>[ 'వరుస 1st చాలా బాతులు (5)']</v>
      </c>
      <c r="C4544" s="2"/>
      <c r="D4544" s="2" t="str">
        <f>IFERROR(__xludf.DUMMYFUNCTION("IF(C4544&lt;&gt;"""", GOOGLETRANSLATE(C4544, ""en"", ""te""),"""")"),"")</f>
        <v/>
      </c>
      <c r="E4544" s="2" t="s">
        <v>3234</v>
      </c>
      <c r="F4544" s="2" t="str">
        <f>IFERROR(__xludf.DUMMYFUNCTION("IF(E4544&lt;&gt;"""", GOOGLETRANSLATE(E4544, ""en"", ""te""),"""")"),"[ 'వరుస 1st చాలా బాతులు (5)']")</f>
        <v>[ 'వరుస 1st చాలా బాతులు (5)']</v>
      </c>
      <c r="G4544" s="2"/>
      <c r="H4544" s="2" t="str">
        <f>IFERROR(__xludf.DUMMYFUNCTION("IF(G4544&lt;&gt;"""", GOOGLETRANSLATE(G4544, ""en"", ""te""),"""")"),"")</f>
        <v/>
      </c>
      <c r="I4544" s="3"/>
    </row>
    <row r="4545" customHeight="1" spans="1:9">
      <c r="A4545" s="2"/>
      <c r="B4545" s="2" t="str">
        <f>IFERROR(__xludf.DUMMYFUNCTION("IF(A4545&lt;&gt;"""", GOOGLETRANSLATE(A4545, ""en"", ""te""),"""")"),"")</f>
        <v/>
      </c>
      <c r="C4545" s="2"/>
      <c r="D4545" s="2" t="str">
        <f>IFERROR(__xludf.DUMMYFUNCTION("IF(C4545&lt;&gt;"""", GOOGLETRANSLATE(C4545, ""en"", ""te""),"""")"),"")</f>
        <v/>
      </c>
      <c r="E4545" s="2"/>
      <c r="F4545" s="2" t="str">
        <f>IFERROR(__xludf.DUMMYFUNCTION("IF(E4545&lt;&gt;"""", GOOGLETRANSLATE(E4545, ""en"", ""te""),"""")"),"")</f>
        <v/>
      </c>
      <c r="G4545" s="2"/>
      <c r="H4545" s="2" t="str">
        <f>IFERROR(__xludf.DUMMYFUNCTION("IF(G4545&lt;&gt;"""", GOOGLETRANSLATE(G4545, ""en"", ""te""),"""")"),"")</f>
        <v/>
      </c>
      <c r="I4545" s="3"/>
    </row>
    <row r="4546" customHeight="1" spans="1:9">
      <c r="A4546" s="2"/>
      <c r="B4546" s="2" t="str">
        <f>IFERROR(__xludf.DUMMYFUNCTION("IF(A4546&lt;&gt;"""", GOOGLETRANSLATE(A4546, ""en"", ""te""),"""")"),"")</f>
        <v/>
      </c>
      <c r="C4546" s="2"/>
      <c r="D4546" s="2" t="str">
        <f>IFERROR(__xludf.DUMMYFUNCTION("IF(C4546&lt;&gt;"""", GOOGLETRANSLATE(C4546, ""en"", ""te""),"""")"),"")</f>
        <v/>
      </c>
      <c r="E4546" s="2"/>
      <c r="F4546" s="2" t="str">
        <f>IFERROR(__xludf.DUMMYFUNCTION("IF(E4546&lt;&gt;"""", GOOGLETRANSLATE(E4546, ""en"", ""te""),"""")"),"")</f>
        <v/>
      </c>
      <c r="G4546" s="2"/>
      <c r="H4546" s="2" t="str">
        <f>IFERROR(__xludf.DUMMYFUNCTION("IF(G4546&lt;&gt;"""", GOOGLETRANSLATE(G4546, ""en"", ""te""),"""")"),"")</f>
        <v/>
      </c>
      <c r="I4546" s="3"/>
    </row>
    <row r="4547" customHeight="1" spans="1:9">
      <c r="A4547" s="2"/>
      <c r="B4547" s="2" t="str">
        <f>IFERROR(__xludf.DUMMYFUNCTION("IF(A4547&lt;&gt;"""", GOOGLETRANSLATE(A4547, ""en"", ""te""),"""")"),"")</f>
        <v/>
      </c>
      <c r="C4547" s="2"/>
      <c r="D4547" s="2" t="str">
        <f>IFERROR(__xludf.DUMMYFUNCTION("IF(C4547&lt;&gt;"""", GOOGLETRANSLATE(C4547, ""en"", ""te""),"""")"),"")</f>
        <v/>
      </c>
      <c r="E4547" s="2"/>
      <c r="F4547" s="2" t="str">
        <f>IFERROR(__xludf.DUMMYFUNCTION("IF(E4547&lt;&gt;"""", GOOGLETRANSLATE(E4547, ""en"", ""te""),"""")"),"")</f>
        <v/>
      </c>
      <c r="G4547" s="2"/>
      <c r="H4547" s="2" t="str">
        <f>IFERROR(__xludf.DUMMYFUNCTION("IF(G4547&lt;&gt;"""", GOOGLETRANSLATE(G4547, ""en"", ""te""),"""")"),"")</f>
        <v/>
      </c>
      <c r="I4547" s="3"/>
    </row>
    <row r="4548" customHeight="1" spans="1:9">
      <c r="A4548" s="2"/>
      <c r="B4548" s="2" t="str">
        <f>IFERROR(__xludf.DUMMYFUNCTION("IF(A4548&lt;&gt;"""", GOOGLETRANSLATE(A4548, ""en"", ""te""),"""")"),"")</f>
        <v/>
      </c>
      <c r="C4548" s="2"/>
      <c r="D4548" s="2" t="str">
        <f>IFERROR(__xludf.DUMMYFUNCTION("IF(C4548&lt;&gt;"""", GOOGLETRANSLATE(C4548, ""en"", ""te""),"""")"),"")</f>
        <v/>
      </c>
      <c r="E4548" s="2"/>
      <c r="F4548" s="2" t="str">
        <f>IFERROR(__xludf.DUMMYFUNCTION("IF(E4548&lt;&gt;"""", GOOGLETRANSLATE(E4548, ""en"", ""te""),"""")"),"")</f>
        <v/>
      </c>
      <c r="G4548" s="2"/>
      <c r="H4548" s="2" t="str">
        <f>IFERROR(__xludf.DUMMYFUNCTION("IF(G4548&lt;&gt;"""", GOOGLETRANSLATE(G4548, ""en"", ""te""),"""")"),"")</f>
        <v/>
      </c>
      <c r="I4548" s="3"/>
    </row>
    <row r="4549" customHeight="1" spans="1:9">
      <c r="A4549" s="2" t="s">
        <v>3235</v>
      </c>
      <c r="B4549" s="2" t="str">
        <f>IFERROR(__xludf.DUMMYFUNCTION("IF(A4549&lt;&gt;"""", GOOGLETRANSLATE(A4549, ""en"", ""te""),"""")"),"[ 'వంద (614) లేకుండా ఒక వృత్తిలో 1st అత్యధిక పరుగులు', 'కెరీర్లో 4 వ లేవు బాతులు (22)', '1 వ అత్యుత్తమ బౌలింగ్ ఇన్నింగ్స్ లో విశ్లేషించడం (6/9)', '2 వ ఉత్తమ సమ్మె ఇన్నింగ్స్ లో రేటు (9.6) ',' 2 వ అత్యధిక వికెట్లు తీసిన హిట్ వికెట్ (1) ',' ఇన్నింగ్స్ లో 8 "&amp;"వ పిన్న క్రీడాకారులు (14y 165d) ',' 4 వ అత్యధిక క్యాచ్లు (3) ',' బ్యాటింగ్ తెరవడం మరియు అదే మ్యాచ్ లో బౌలింగ్ ' ]")</f>
        <v>[ 'వంద (614) లేకుండా ఒక వృత్తిలో 1st అత్యధిక పరుగులు', 'కెరీర్లో 4 వ లేవు బాతులు (22)', '1 వ అత్యుత్తమ బౌలింగ్ ఇన్నింగ్స్ లో విశ్లేషించడం (6/9)', '2 వ ఉత్తమ సమ్మె ఇన్నింగ్స్ లో రేటు (9.6) ',' 2 వ అత్యధిక వికెట్లు తీసిన హిట్ వికెట్ (1) ',' ఇన్నింగ్స్ లో 8 వ పిన్న క్రీడాకారులు (14y 165d) ',' 4 వ అత్యధిక క్యాచ్లు (3) ',' బ్యాటింగ్ తెరవడం మరియు అదే మ్యాచ్ లో బౌలింగ్ ' ]</v>
      </c>
      <c r="C4549" s="2" t="s">
        <v>3236</v>
      </c>
      <c r="D4549" s="2" t="str">
        <f>IFERROR(__xludf.DUMMYFUNCTION("IF(C4549&lt;&gt;"""", GOOGLETRANSLATE(C4549, ""en"", ""te""),"""")"),"[ '26 కెరీర్లో అత్యధిక పరుగులు (614)', 'వంద (614) లేకుండా ఒక వృత్తిలో 1st అత్యధిక పరుగులు' '14 వ కెరీర్ అర్ధ (6)', 'కెరీర్లో 4 వ లేవు బాతులు (22)', ' 6 వ అత్యంత డకౌట్ లేకుండా వరుసగా ఇన్నింగ్స్ (22 *) ',' 12 వ ఇన్నింగ్స్ లో బెస్ట్ ఫిగర్స్ (6/9) ',' 1 వ అత్"&amp;"యుత్తమ బౌలింగ్ (6/9) ',' 2 వ ఉత్తమ సమ్మె ఇన్నింగ్స్ లో రేటు ఇన్నింగ్స్ విశ్లేషణలలో (9.6) ',' ఐదు వికెట్ల లో-ఒక-ఇన్నింగ్స్ (21y 230d) ',' 2 వ అత్యంత తీసుకోబడిన వికెట్ల హిట్ వికెట్ (1) తీసుకోవాలని 11 వ పిన్న ఆటగాడు ']")</f>
        <v>[ '26 కెరీర్లో అత్యధిక పరుగులు (614)', 'వంద (614) లేకుండా ఒక వృత్తిలో 1st అత్యధిక పరుగులు' '14 వ కెరీర్ అర్ధ (6)', 'కెరీర్లో 4 వ లేవు బాతులు (22)', ' 6 వ అత్యంత డకౌట్ లేకుండా వరుసగా ఇన్నింగ్స్ (22 *) ',' 12 వ ఇన్నింగ్స్ లో బెస్ట్ ఫిగర్స్ (6/9) ',' 1 వ అత్యుత్తమ బౌలింగ్ (6/9) ',' 2 వ ఉత్తమ సమ్మె ఇన్నింగ్స్ లో రేటు ఇన్నింగ్స్ విశ్లేషణలలో (9.6) ',' ఐదు వికెట్ల లో-ఒక-ఇన్నింగ్స్ (21y 230d) ',' 2 వ అత్యంత తీసుకోబడిన వికెట్ల హిట్ వికెట్ (1) తీసుకోవాలని 11 వ పిన్న ఆటగాడు ']</v>
      </c>
      <c r="E4549" s="2" t="s">
        <v>3237</v>
      </c>
      <c r="F4549" s="2" t="str">
        <f>IFERROR(__xludf.DUMMYFUNCTION("IF(E4549&lt;&gt;"""", GOOGLETRANSLATE(E4549, ""en"", ""te""),"""")"),"[ '22 వ అతి తక్కువ కెరీర్ లో బాతులు (26)', 'మొదటి డక్ (15) ముందు 40 వ అత్యంత ఇన్నింగ్స్' ఇన్నింగ్స్ లో 4 వ అత్యధిక క్యాచ్లు (3) ',' 8 వ పిన్న క్రీడాకారులు (14y 165d) ']")</f>
        <v>[ '22 వ అతి తక్కువ కెరీర్ లో బాతులు (26)', 'మొదటి డక్ (15) ముందు 40 వ అత్యంత ఇన్నింగ్స్' ఇన్నింగ్స్ లో 4 వ అత్యధిక క్యాచ్లు (3) ',' 8 వ పిన్న క్రీడాకారులు (14y 165d) ']</v>
      </c>
      <c r="G4549" s="2"/>
      <c r="H4549" s="2" t="str">
        <f>IFERROR(__xludf.DUMMYFUNCTION("IF(G4549&lt;&gt;"""", GOOGLETRANSLATE(G4549, ""en"", ""te""),"""")"),"")</f>
        <v/>
      </c>
      <c r="I4549" s="3"/>
    </row>
    <row r="4550" customHeight="1" spans="1:9">
      <c r="A4550" s="2"/>
      <c r="B4550" s="2" t="str">
        <f>IFERROR(__xludf.DUMMYFUNCTION("IF(A4550&lt;&gt;"""", GOOGLETRANSLATE(A4550, ""en"", ""te""),"""")"),"")</f>
        <v/>
      </c>
      <c r="C4550" s="2"/>
      <c r="D4550" s="2" t="str">
        <f>IFERROR(__xludf.DUMMYFUNCTION("IF(C4550&lt;&gt;"""", GOOGLETRANSLATE(C4550, ""en"", ""te""),"""")"),"")</f>
        <v/>
      </c>
      <c r="E4550" s="2"/>
      <c r="F4550" s="2" t="str">
        <f>IFERROR(__xludf.DUMMYFUNCTION("IF(E4550&lt;&gt;"""", GOOGLETRANSLATE(E4550, ""en"", ""te""),"""")"),"")</f>
        <v/>
      </c>
      <c r="G4550" s="2"/>
      <c r="H4550" s="2" t="str">
        <f>IFERROR(__xludf.DUMMYFUNCTION("IF(G4550&lt;&gt;"""", GOOGLETRANSLATE(G4550, ""en"", ""te""),"""")"),"")</f>
        <v/>
      </c>
      <c r="I4550" s="3"/>
    </row>
    <row r="4551" customHeight="1" spans="1:9">
      <c r="A4551" s="2"/>
      <c r="B4551" s="2" t="str">
        <f>IFERROR(__xludf.DUMMYFUNCTION("IF(A4551&lt;&gt;"""", GOOGLETRANSLATE(A4551, ""en"", ""te""),"""")"),"")</f>
        <v/>
      </c>
      <c r="C4551" s="2" t="s">
        <v>3238</v>
      </c>
      <c r="D4551" s="2" t="str">
        <f>IFERROR(__xludf.DUMMYFUNCTION("IF(C4551&lt;&gt;"""", GOOGLETRANSLATE(C4551, ""en"", ""te""),"""")"),"[ '31 ఉత్తమ కెరీర్ బౌలింగ్ సరాసరి (అర్హత లేకుండా) (12.00)']")</f>
        <v>[ '31 ఉత్తమ కెరీర్ బౌలింగ్ సరాసరి (అర్హత లేకుండా) (12.00)']</v>
      </c>
      <c r="E4551" s="2"/>
      <c r="F4551" s="2" t="str">
        <f>IFERROR(__xludf.DUMMYFUNCTION("IF(E4551&lt;&gt;"""", GOOGLETRANSLATE(E4551, ""en"", ""te""),"""")"),"")</f>
        <v/>
      </c>
      <c r="G4551" s="2"/>
      <c r="H4551" s="2" t="str">
        <f>IFERROR(__xludf.DUMMYFUNCTION("IF(G4551&lt;&gt;"""", GOOGLETRANSLATE(G4551, ""en"", ""te""),"""")"),"")</f>
        <v/>
      </c>
      <c r="I4551" s="3"/>
    </row>
    <row r="4552" customHeight="1" spans="1:9">
      <c r="A4552" s="2"/>
      <c r="B4552" s="2" t="str">
        <f>IFERROR(__xludf.DUMMYFUNCTION("IF(A4552&lt;&gt;"""", GOOGLETRANSLATE(A4552, ""en"", ""te""),"""")"),"")</f>
        <v/>
      </c>
      <c r="C4552" s="2"/>
      <c r="D4552" s="2" t="str">
        <f>IFERROR(__xludf.DUMMYFUNCTION("IF(C4552&lt;&gt;"""", GOOGLETRANSLATE(C4552, ""en"", ""te""),"""")"),"")</f>
        <v/>
      </c>
      <c r="E4552" s="2"/>
      <c r="F4552" s="2" t="str">
        <f>IFERROR(__xludf.DUMMYFUNCTION("IF(E4552&lt;&gt;"""", GOOGLETRANSLATE(E4552, ""en"", ""te""),"""")"),"")</f>
        <v/>
      </c>
      <c r="G4552" s="2"/>
      <c r="H4552" s="2" t="str">
        <f>IFERROR(__xludf.DUMMYFUNCTION("IF(G4552&lt;&gt;"""", GOOGLETRANSLATE(G4552, ""en"", ""te""),"""")"),"")</f>
        <v/>
      </c>
      <c r="I4552" s="3"/>
    </row>
    <row r="4553" customHeight="1" spans="1:9">
      <c r="A4553" s="2"/>
      <c r="B4553" s="2" t="str">
        <f>IFERROR(__xludf.DUMMYFUNCTION("IF(A4553&lt;&gt;"""", GOOGLETRANSLATE(A4553, ""en"", ""te""),"""")"),"")</f>
        <v/>
      </c>
      <c r="C4553" s="2"/>
      <c r="D4553" s="2" t="str">
        <f>IFERROR(__xludf.DUMMYFUNCTION("IF(C4553&lt;&gt;"""", GOOGLETRANSLATE(C4553, ""en"", ""te""),"""")"),"")</f>
        <v/>
      </c>
      <c r="E4553" s="2"/>
      <c r="F4553" s="2" t="str">
        <f>IFERROR(__xludf.DUMMYFUNCTION("IF(E4553&lt;&gt;"""", GOOGLETRANSLATE(E4553, ""en"", ""te""),"""")"),"")</f>
        <v/>
      </c>
      <c r="G4553" s="2"/>
      <c r="H4553" s="2" t="str">
        <f>IFERROR(__xludf.DUMMYFUNCTION("IF(G4553&lt;&gt;"""", GOOGLETRANSLATE(G4553, ""en"", ""te""),"""")"),"")</f>
        <v/>
      </c>
      <c r="I4553" s="3"/>
    </row>
    <row r="4554" customHeight="1" spans="1:9">
      <c r="A4554" s="2"/>
      <c r="B4554" s="2" t="str">
        <f>IFERROR(__xludf.DUMMYFUNCTION("IF(A4554&lt;&gt;"""", GOOGLETRANSLATE(A4554, ""en"", ""te""),"""")"),"")</f>
        <v/>
      </c>
      <c r="C4554" s="2"/>
      <c r="D4554" s="2" t="str">
        <f>IFERROR(__xludf.DUMMYFUNCTION("IF(C4554&lt;&gt;"""", GOOGLETRANSLATE(C4554, ""en"", ""te""),"""")"),"")</f>
        <v/>
      </c>
      <c r="E4554" s="2"/>
      <c r="F4554" s="2" t="str">
        <f>IFERROR(__xludf.DUMMYFUNCTION("IF(E4554&lt;&gt;"""", GOOGLETRANSLATE(E4554, ""en"", ""te""),"""")"),"")</f>
        <v/>
      </c>
      <c r="G4554" s="2"/>
      <c r="H4554" s="2" t="str">
        <f>IFERROR(__xludf.DUMMYFUNCTION("IF(G4554&lt;&gt;"""", GOOGLETRANSLATE(G4554, ""en"", ""te""),"""")"),"")</f>
        <v/>
      </c>
      <c r="I4554" s="3"/>
    </row>
    <row r="4555" customHeight="1" spans="1:9">
      <c r="A4555" s="2"/>
      <c r="B4555" s="2" t="str">
        <f>IFERROR(__xludf.DUMMYFUNCTION("IF(A4555&lt;&gt;"""", GOOGLETRANSLATE(A4555, ""en"", ""te""),"""")"),"")</f>
        <v/>
      </c>
      <c r="C4555" s="2"/>
      <c r="D4555" s="2" t="str">
        <f>IFERROR(__xludf.DUMMYFUNCTION("IF(C4555&lt;&gt;"""", GOOGLETRANSLATE(C4555, ""en"", ""te""),"""")"),"")</f>
        <v/>
      </c>
      <c r="E4555" s="2" t="s">
        <v>3239</v>
      </c>
      <c r="F4555" s="2" t="str">
        <f>IFERROR(__xludf.DUMMYFUNCTION("IF(E4555&lt;&gt;"""", GOOGLETRANSLATE(E4555, ""en"", ""te""),"""")"),"[ '17 వ లాంగెస్ట్ క్రీడాకారులు నివసించారు (71y 98d)']")</f>
        <v>[ '17 వ లాంగెస్ట్ క్రీడాకారులు నివసించారు (71y 98d)']</v>
      </c>
      <c r="G4555" s="2"/>
      <c r="H4555" s="2" t="str">
        <f>IFERROR(__xludf.DUMMYFUNCTION("IF(G4555&lt;&gt;"""", GOOGLETRANSLATE(G4555, ""en"", ""te""),"""")"),"")</f>
        <v/>
      </c>
      <c r="I4555" s="3"/>
    </row>
    <row r="4556" customHeight="1" spans="1:9">
      <c r="A4556" s="2" t="s">
        <v>352</v>
      </c>
      <c r="B4556" s="2" t="str">
        <f>IFERROR(__xludf.DUMMYFUNCTION("IF(A4556&lt;&gt;"""", GOOGLETRANSLATE(A4556, ""en"", ""te""),"""")"),"[ 'బ్యాటింగ్ ప్రారంభించుటకు మరియు అదే మ్యాచ్ లో బౌలింగ్']")</f>
        <v>[ 'బ్యాటింగ్ ప్రారంభించుటకు మరియు అదే మ్యాచ్ లో బౌలింగ్']</v>
      </c>
      <c r="C4556" s="2"/>
      <c r="D4556" s="2" t="str">
        <f>IFERROR(__xludf.DUMMYFUNCTION("IF(C4556&lt;&gt;"""", GOOGLETRANSLATE(C4556, ""en"", ""te""),"""")"),"")</f>
        <v/>
      </c>
      <c r="E4556" s="2"/>
      <c r="F4556" s="2" t="str">
        <f>IFERROR(__xludf.DUMMYFUNCTION("IF(E4556&lt;&gt;"""", GOOGLETRANSLATE(E4556, ""en"", ""te""),"""")"),"")</f>
        <v/>
      </c>
      <c r="G4556" s="2"/>
      <c r="H4556" s="2" t="str">
        <f>IFERROR(__xludf.DUMMYFUNCTION("IF(G4556&lt;&gt;"""", GOOGLETRANSLATE(G4556, ""en"", ""te""),"""")"),"")</f>
        <v/>
      </c>
      <c r="I4556" s="3"/>
    </row>
    <row r="4557" customHeight="1" spans="1:9">
      <c r="A4557" s="2"/>
      <c r="B4557" s="2" t="str">
        <f>IFERROR(__xludf.DUMMYFUNCTION("IF(A4557&lt;&gt;"""", GOOGLETRANSLATE(A4557, ""en"", ""te""),"""")"),"")</f>
        <v/>
      </c>
      <c r="C4557" s="2"/>
      <c r="D4557" s="2" t="str">
        <f>IFERROR(__xludf.DUMMYFUNCTION("IF(C4557&lt;&gt;"""", GOOGLETRANSLATE(C4557, ""en"", ""te""),"""")"),"")</f>
        <v/>
      </c>
      <c r="E4557" s="2"/>
      <c r="F4557" s="2" t="str">
        <f>IFERROR(__xludf.DUMMYFUNCTION("IF(E4557&lt;&gt;"""", GOOGLETRANSLATE(E4557, ""en"", ""te""),"""")"),"")</f>
        <v/>
      </c>
      <c r="G4557" s="2"/>
      <c r="H4557" s="2" t="str">
        <f>IFERROR(__xludf.DUMMYFUNCTION("IF(G4557&lt;&gt;"""", GOOGLETRANSLATE(G4557, ""en"", ""te""),"""")"),"")</f>
        <v/>
      </c>
      <c r="I4557" s="3"/>
    </row>
    <row r="4558" customHeight="1" spans="1:9">
      <c r="A4558" s="2"/>
      <c r="B4558" s="2" t="str">
        <f>IFERROR(__xludf.DUMMYFUNCTION("IF(A4558&lt;&gt;"""", GOOGLETRANSLATE(A4558, ""en"", ""te""),"""")"),"")</f>
        <v/>
      </c>
      <c r="C4558" s="2"/>
      <c r="D4558" s="2" t="str">
        <f>IFERROR(__xludf.DUMMYFUNCTION("IF(C4558&lt;&gt;"""", GOOGLETRANSLATE(C4558, ""en"", ""te""),"""")"),"")</f>
        <v/>
      </c>
      <c r="E4558" s="2"/>
      <c r="F4558" s="2" t="str">
        <f>IFERROR(__xludf.DUMMYFUNCTION("IF(E4558&lt;&gt;"""", GOOGLETRANSLATE(E4558, ""en"", ""te""),"""")"),"")</f>
        <v/>
      </c>
      <c r="G4558" s="2"/>
      <c r="H4558" s="2" t="str">
        <f>IFERROR(__xludf.DUMMYFUNCTION("IF(G4558&lt;&gt;"""", GOOGLETRANSLATE(G4558, ""en"", ""te""),"""")"),"")</f>
        <v/>
      </c>
      <c r="I4558" s="3"/>
    </row>
    <row r="4559" customHeight="1" spans="1:9">
      <c r="A4559" s="2"/>
      <c r="B4559" s="2" t="str">
        <f>IFERROR(__xludf.DUMMYFUNCTION("IF(A4559&lt;&gt;"""", GOOGLETRANSLATE(A4559, ""en"", ""te""),"""")"),"")</f>
        <v/>
      </c>
      <c r="C4559" s="2"/>
      <c r="D4559" s="2" t="str">
        <f>IFERROR(__xludf.DUMMYFUNCTION("IF(C4559&lt;&gt;"""", GOOGLETRANSLATE(C4559, ""en"", ""te""),"""")"),"")</f>
        <v/>
      </c>
      <c r="E4559" s="2"/>
      <c r="F4559" s="2" t="str">
        <f>IFERROR(__xludf.DUMMYFUNCTION("IF(E4559&lt;&gt;"""", GOOGLETRANSLATE(E4559, ""en"", ""te""),"""")"),"")</f>
        <v/>
      </c>
      <c r="G4559" s="2"/>
      <c r="H4559" s="2" t="str">
        <f>IFERROR(__xludf.DUMMYFUNCTION("IF(G4559&lt;&gt;"""", GOOGLETRANSLATE(G4559, ""en"", ""te""),"""")"),"")</f>
        <v/>
      </c>
      <c r="I4559" s="3"/>
    </row>
    <row r="4560" customHeight="1" spans="1:9">
      <c r="A4560" s="2"/>
      <c r="B4560" s="2" t="str">
        <f>IFERROR(__xludf.DUMMYFUNCTION("IF(A4560&lt;&gt;"""", GOOGLETRANSLATE(A4560, ""en"", ""te""),"""")"),"")</f>
        <v/>
      </c>
      <c r="C4560" s="2"/>
      <c r="D4560" s="2" t="str">
        <f>IFERROR(__xludf.DUMMYFUNCTION("IF(C4560&lt;&gt;"""", GOOGLETRANSLATE(C4560, ""en"", ""te""),"""")"),"")</f>
        <v/>
      </c>
      <c r="E4560" s="2"/>
      <c r="F4560" s="2" t="str">
        <f>IFERROR(__xludf.DUMMYFUNCTION("IF(E4560&lt;&gt;"""", GOOGLETRANSLATE(E4560, ""en"", ""te""),"""")"),"")</f>
        <v/>
      </c>
      <c r="G4560" s="2"/>
      <c r="H4560" s="2" t="str">
        <f>IFERROR(__xludf.DUMMYFUNCTION("IF(G4560&lt;&gt;"""", GOOGLETRANSLATE(G4560, ""en"", ""te""),"""")"),"")</f>
        <v/>
      </c>
      <c r="I4560" s="3"/>
    </row>
    <row r="4561" customHeight="1" spans="1:9">
      <c r="A4561" s="2" t="s">
        <v>3240</v>
      </c>
      <c r="B4561" s="2" t="str">
        <f>IFERROR(__xludf.DUMMYFUNCTION("IF(A4561&lt;&gt;"""", GOOGLETRANSLATE(A4561, ""en"", ""te""),"""")"),"[ 'ఒక కెప్టెన్తో ఒక ఇన్నింగ్స్ లో 9 వ బెస్ట్ ఫిగర్స్ (4)']")</f>
        <v>[ 'ఒక కెప్టెన్తో ఒక ఇన్నింగ్స్ లో 9 వ బెస్ట్ ఫిగర్స్ (4)']</v>
      </c>
      <c r="C4561" s="2" t="s">
        <v>3241</v>
      </c>
      <c r="D4561" s="2" t="str">
        <f>IFERROR(__xludf.DUMMYFUNCTION("IF(C4561&lt;&gt;"""", GOOGLETRANSLATE(C4561, ""en"", ""te""),"""")"),"[ '22 చెత్త కెరీర్ సగటు (34.77) బౌలింగ్', '11 వ ఉత్తమ కెప్టెన్ (5) తేడాతో లో బొమ్మల' 16 వ చెత్త కెరీర్లో సమ్మె రేటు (112.8) ']")</f>
        <v>[ '22 చెత్త కెరీర్ సగటు (34.77) బౌలింగ్', '11 వ ఉత్తమ కెప్టెన్ (5) తేడాతో లో బొమ్మల' 16 వ చెత్త కెరీర్లో సమ్మె రేటు (112.8) ']</v>
      </c>
      <c r="E4561" s="2" t="s">
        <v>3242</v>
      </c>
      <c r="F4561" s="2" t="str">
        <f>IFERROR(__xludf.DUMMYFUNCTION("IF(E4561&lt;&gt;"""", GOOGLETRANSLATE(E4561, ""en"", ""te""),"""")"),"[ '33 వ ఉత్తమ కెరీర్ సగటు (18.92) బౌలింగ్', '30 వ ఉత్తమ కెరీర్ ఆర్థిక రేటు (2.74)' 'కెప్టెన్ (4) ఒక ఇన్నింగ్స్ లో 9 వ బెస్ట్ ఫిగర్స్']")</f>
        <v>[ '33 వ ఉత్తమ కెరీర్ సగటు (18.92) బౌలింగ్', '30 వ ఉత్తమ కెరీర్ ఆర్థిక రేటు (2.74)' 'కెప్టెన్ (4) ఒక ఇన్నింగ్స్ లో 9 వ బెస్ట్ ఫిగర్స్']</v>
      </c>
      <c r="G4561" s="2"/>
      <c r="H4561" s="2" t="str">
        <f>IFERROR(__xludf.DUMMYFUNCTION("IF(G4561&lt;&gt;"""", GOOGLETRANSLATE(G4561, ""en"", ""te""),"""")"),"")</f>
        <v/>
      </c>
      <c r="I4561" s="3"/>
    </row>
    <row r="4562" customHeight="1" spans="1:9">
      <c r="A4562" s="2"/>
      <c r="B4562" s="2" t="str">
        <f>IFERROR(__xludf.DUMMYFUNCTION("IF(A4562&lt;&gt;"""", GOOGLETRANSLATE(A4562, ""en"", ""te""),"""")"),"")</f>
        <v/>
      </c>
      <c r="C4562" s="2"/>
      <c r="D4562" s="2" t="str">
        <f>IFERROR(__xludf.DUMMYFUNCTION("IF(C4562&lt;&gt;"""", GOOGLETRANSLATE(C4562, ""en"", ""te""),"""")"),"")</f>
        <v/>
      </c>
      <c r="E4562" s="2"/>
      <c r="F4562" s="2" t="str">
        <f>IFERROR(__xludf.DUMMYFUNCTION("IF(E4562&lt;&gt;"""", GOOGLETRANSLATE(E4562, ""en"", ""te""),"""")"),"")</f>
        <v/>
      </c>
      <c r="G4562" s="2"/>
      <c r="H4562" s="2" t="str">
        <f>IFERROR(__xludf.DUMMYFUNCTION("IF(G4562&lt;&gt;"""", GOOGLETRANSLATE(G4562, ""en"", ""te""),"""")"),"")</f>
        <v/>
      </c>
      <c r="I4562" s="3"/>
    </row>
    <row r="4563" customHeight="1" spans="1:9">
      <c r="A4563" s="2"/>
      <c r="B4563" s="2" t="str">
        <f>IFERROR(__xludf.DUMMYFUNCTION("IF(A4563&lt;&gt;"""", GOOGLETRANSLATE(A4563, ""en"", ""te""),"""")"),"")</f>
        <v/>
      </c>
      <c r="C4563" s="2"/>
      <c r="D4563" s="2" t="str">
        <f>IFERROR(__xludf.DUMMYFUNCTION("IF(C4563&lt;&gt;"""", GOOGLETRANSLATE(C4563, ""en"", ""te""),"""")"),"")</f>
        <v/>
      </c>
      <c r="E4563" s="2"/>
      <c r="F4563" s="2" t="str">
        <f>IFERROR(__xludf.DUMMYFUNCTION("IF(E4563&lt;&gt;"""", GOOGLETRANSLATE(E4563, ""en"", ""te""),"""")"),"")</f>
        <v/>
      </c>
      <c r="G4563" s="2"/>
      <c r="H4563" s="2" t="str">
        <f>IFERROR(__xludf.DUMMYFUNCTION("IF(G4563&lt;&gt;"""", GOOGLETRANSLATE(G4563, ""en"", ""te""),"""")"),"")</f>
        <v/>
      </c>
      <c r="I4563" s="3"/>
    </row>
    <row r="4564" customHeight="1" spans="1:9">
      <c r="A4564" s="2" t="s">
        <v>3243</v>
      </c>
      <c r="B4564" s="2" t="str">
        <f>IFERROR(__xludf.DUMMYFUNCTION("IF(A4564&lt;&gt;"""", GOOGLETRANSLATE(A4564, ""en"", ""te""),"""")"),"[ '6 వ వరుస మ్యాచ్లు ఆడి మధ్య జట్టు (196) కోసం తప్పిన']")</f>
        <v>[ '6 వ వరుస మ్యాచ్లు ఆడి మధ్య జట్టు (196) కోసం తప్పిన']</v>
      </c>
      <c r="C4564" s="2"/>
      <c r="D4564" s="2" t="str">
        <f>IFERROR(__xludf.DUMMYFUNCTION("IF(C4564&lt;&gt;"""", GOOGLETRANSLATE(C4564, ""en"", ""te""),"""")"),"")</f>
        <v/>
      </c>
      <c r="E4564" s="2" t="s">
        <v>3244</v>
      </c>
      <c r="F4564" s="2" t="str">
        <f>IFERROR(__xludf.DUMMYFUNCTION("IF(E4564&lt;&gt;"""", GOOGLETRANSLATE(E4564, ""en"", ""te""),"""")"),"[ '6 వ వరుస మ్యాచ్లు ప్రదర్శనల మధ్య (196) ఒక జట్టు తప్పిన' '20 వ చెత్త కెరీర్ సగటు (141.50) (అర్హత లేకుండా) బౌలింగ్',]")</f>
        <v>[ '6 వ వరుస మ్యాచ్లు ప్రదర్శనల మధ్య (196) ఒక జట్టు తప్పిన' '20 వ చెత్త కెరీర్ సగటు (141.50) (అర్హత లేకుండా) బౌలింగ్',]</v>
      </c>
      <c r="G4564" s="2"/>
      <c r="H4564" s="2" t="str">
        <f>IFERROR(__xludf.DUMMYFUNCTION("IF(G4564&lt;&gt;"""", GOOGLETRANSLATE(G4564, ""en"", ""te""),"""")"),"")</f>
        <v/>
      </c>
      <c r="I4564" s="3"/>
    </row>
    <row r="4565" customHeight="1" spans="1:9">
      <c r="A4565" s="2"/>
      <c r="B4565" s="2" t="str">
        <f>IFERROR(__xludf.DUMMYFUNCTION("IF(A4565&lt;&gt;"""", GOOGLETRANSLATE(A4565, ""en"", ""te""),"""")"),"")</f>
        <v/>
      </c>
      <c r="C4565" s="2"/>
      <c r="D4565" s="2" t="str">
        <f>IFERROR(__xludf.DUMMYFUNCTION("IF(C4565&lt;&gt;"""", GOOGLETRANSLATE(C4565, ""en"", ""te""),"""")"),"")</f>
        <v/>
      </c>
      <c r="E4565" s="2"/>
      <c r="F4565" s="2" t="str">
        <f>IFERROR(__xludf.DUMMYFUNCTION("IF(E4565&lt;&gt;"""", GOOGLETRANSLATE(E4565, ""en"", ""te""),"""")"),"")</f>
        <v/>
      </c>
      <c r="G4565" s="2"/>
      <c r="H4565" s="2" t="str">
        <f>IFERROR(__xludf.DUMMYFUNCTION("IF(G4565&lt;&gt;"""", GOOGLETRANSLATE(G4565, ""en"", ""te""),"""")"),"")</f>
        <v/>
      </c>
      <c r="I4565" s="3"/>
    </row>
    <row r="4566" customHeight="1" spans="1:9">
      <c r="A4566" s="2" t="s">
        <v>3245</v>
      </c>
      <c r="B4566" s="2" t="str">
        <f>IFERROR(__xludf.DUMMYFUNCTION("IF(A4566&lt;&gt;"""", GOOGLETRANSLATE(A4566, ""en"", ""te""),"""")"),"[ 'వరుస 9 వ అత్యధిక క్యాచ్లు (11)', '5 వ కెరీర్ లో అత్యధిక వికెట్లు (67)', '8 వ కెరీర్లో అత్యధిక క్యాచ్లు (23)', 'కెరీర్ (44) లో 3 వ అత్యంత స్టంపింగ్లు']")</f>
        <v>[ 'వరుస 9 వ అత్యధిక క్యాచ్లు (11)', '5 వ కెరీర్ లో అత్యధిక వికెట్లు (67)', '8 వ కెరీర్లో అత్యధిక క్యాచ్లు (23)', 'కెరీర్ (44) లో 3 వ అత్యంత స్టంపింగ్లు']</v>
      </c>
      <c r="C4566" s="2"/>
      <c r="D4566" s="2" t="str">
        <f>IFERROR(__xludf.DUMMYFUNCTION("IF(C4566&lt;&gt;"""", GOOGLETRANSLATE(C4566, ""en"", ""te""),"""")"),"")</f>
        <v/>
      </c>
      <c r="E4566" s="2" t="s">
        <v>3246</v>
      </c>
      <c r="F4566" s="2" t="str">
        <f>IFERROR(__xludf.DUMMYFUNCTION("IF(E4566&lt;&gt;"""", GOOGLETRANSLATE(E4566, ""en"", ""te""),"""")"),"[ '11 వ ఒక సిరీస్లో అత్యధిక వికెట్లు (16)', '30 వ అత్యధిక క్యాచ్లు కెరీర్లో (14)', '9 వ ఒక సిరీస్లో అత్యధిక క్యాచ్లు (11)', '35 వ అత్యంత' 31 కెరీర్లో (22) అత్యధిక వికెట్లు ' కెరీర్లో స్టంపింగ్లు (8) ',' 22 వ ఒక సిరీస్లో అత్యధిక స్టంపింగ్లు (5) ']")</f>
        <v>[ '11 వ ఒక సిరీస్లో అత్యధిక వికెట్లు (16)', '30 వ అత్యధిక క్యాచ్లు కెరీర్లో (14)', '9 వ ఒక సిరీస్లో అత్యధిక క్యాచ్లు (11)', '35 వ అత్యంత' 31 కెరీర్లో (22) అత్యధిక వికెట్లు ' కెరీర్లో స్టంపింగ్లు (8) ',' 22 వ ఒక సిరీస్లో అత్యధిక స్టంపింగ్లు (5) ']</v>
      </c>
      <c r="G4566" s="2" t="s">
        <v>3247</v>
      </c>
      <c r="H4566" s="2" t="str">
        <f>IFERROR(__xludf.DUMMYFUNCTION("IF(G4566&lt;&gt;"""", GOOGLETRANSLATE(G4566, ""en"", ""te""),"""")"),"[ 'ఐదవ వికెట్కు 16 అత్యధిక భాగస్వామ్యం (67)', '15 వ వరుస జట్టు మ్యాచ్లు (50)', 'మొదటి డక్ (13) ముందు 37 వ అత్యంత ఇన్నింగ్స్' 'కెరీర్లో 5 వ అత్యధిక వికెట్లు (67)', 'ఇన్నింగ్స్ లో 6 వ అత్యధిక వికెట్లు (4)', '8 వ కెరీర్లో అత్యధిక క్యాచ్లు (23)', '3 వ అత్యంత "&amp;"స్టంపింగ్లు కెరీర్లో (44)', '9 వ ఇన్నింగ్స్ లో వచ్చిన ఎక్కువ స్టంపింగ్లు (3)']")</f>
        <v>[ 'ఐదవ వికెట్కు 16 అత్యధిక భాగస్వామ్యం (67)', '15 వ వరుస జట్టు మ్యాచ్లు (50)', 'మొదటి డక్ (13) ముందు 37 వ అత్యంత ఇన్నింగ్స్' 'కెరీర్లో 5 వ అత్యధిక వికెట్లు (67)', 'ఇన్నింగ్స్ లో 6 వ అత్యధిక వికెట్లు (4)', '8 వ కెరీర్లో అత్యధిక క్యాచ్లు (23)', '3 వ అత్యంత స్టంపింగ్లు కెరీర్లో (44)', '9 వ ఇన్నింగ్స్ లో వచ్చిన ఎక్కువ స్టంపింగ్లు (3)']</v>
      </c>
      <c r="I4566" s="3"/>
    </row>
    <row r="4567" customHeight="1" spans="1:9">
      <c r="A4567" s="2"/>
      <c r="B4567" s="2" t="str">
        <f>IFERROR(__xludf.DUMMYFUNCTION("IF(A4567&lt;&gt;"""", GOOGLETRANSLATE(A4567, ""en"", ""te""),"""")"),"")</f>
        <v/>
      </c>
      <c r="C4567" s="2"/>
      <c r="D4567" s="2" t="str">
        <f>IFERROR(__xludf.DUMMYFUNCTION("IF(C4567&lt;&gt;"""", GOOGLETRANSLATE(C4567, ""en"", ""te""),"""")"),"")</f>
        <v/>
      </c>
      <c r="E4567" s="2"/>
      <c r="F4567" s="2" t="str">
        <f>IFERROR(__xludf.DUMMYFUNCTION("IF(E4567&lt;&gt;"""", GOOGLETRANSLATE(E4567, ""en"", ""te""),"""")"),"")</f>
        <v/>
      </c>
      <c r="G4567" s="2"/>
      <c r="H4567" s="2" t="str">
        <f>IFERROR(__xludf.DUMMYFUNCTION("IF(G4567&lt;&gt;"""", GOOGLETRANSLATE(G4567, ""en"", ""te""),"""")"),"")</f>
        <v/>
      </c>
      <c r="I4567" s="3"/>
    </row>
    <row r="4568" customHeight="1" spans="1:9">
      <c r="A4568" s="2"/>
      <c r="B4568" s="2" t="str">
        <f>IFERROR(__xludf.DUMMYFUNCTION("IF(A4568&lt;&gt;"""", GOOGLETRANSLATE(A4568, ""en"", ""te""),"""")"),"")</f>
        <v/>
      </c>
      <c r="C4568" s="2"/>
      <c r="D4568" s="2" t="str">
        <f>IFERROR(__xludf.DUMMYFUNCTION("IF(C4568&lt;&gt;"""", GOOGLETRANSLATE(C4568, ""en"", ""te""),"""")"),"")</f>
        <v/>
      </c>
      <c r="E4568" s="2"/>
      <c r="F4568" s="2" t="str">
        <f>IFERROR(__xludf.DUMMYFUNCTION("IF(E4568&lt;&gt;"""", GOOGLETRANSLATE(E4568, ""en"", ""te""),"""")"),"")</f>
        <v/>
      </c>
      <c r="G4568" s="2"/>
      <c r="H4568" s="2" t="str">
        <f>IFERROR(__xludf.DUMMYFUNCTION("IF(G4568&lt;&gt;"""", GOOGLETRANSLATE(G4568, ""en"", ""te""),"""")"),"")</f>
        <v/>
      </c>
      <c r="I4568" s="3"/>
    </row>
    <row r="4569" customHeight="1" spans="1:9">
      <c r="A4569" s="2" t="s">
        <v>3248</v>
      </c>
      <c r="B4569" s="2" t="str">
        <f>IFERROR(__xludf.DUMMYFUNCTION("IF(A4569&lt;&gt;"""", GOOGLETRANSLATE(A4569, ""en"", ""te""),"""")"),"[ 'ప్రదర్శనల మధ్య 9 వ లాంగెస్ట్ వ్యవధిలో (8y 118d)']")</f>
        <v>[ 'ప్రదర్శనల మధ్య 9 వ లాంగెస్ట్ వ్యవధిలో (8y 118d)']</v>
      </c>
      <c r="C4569" s="2"/>
      <c r="D4569" s="2" t="str">
        <f>IFERROR(__xludf.DUMMYFUNCTION("IF(C4569&lt;&gt;"""", GOOGLETRANSLATE(C4569, ""en"", ""te""),"""")"),"")</f>
        <v/>
      </c>
      <c r="E4569" s="2" t="s">
        <v>3249</v>
      </c>
      <c r="F4569" s="2" t="str">
        <f>IFERROR(__xludf.DUMMYFUNCTION("IF(E4569&lt;&gt;"""", GOOGLETRANSLATE(E4569, ""en"", ""te""),"""")"),"[ '11 వ ఒక ఇన్నింగ్స్ లోని బెస్ట్ ఫిగర్స్ ఉన్నప్పుడు పరాజయం వైపు (4)', 'ప్రదర్శనల మధ్య 9 వ లాంగెస్ట్ వ్యవధిలో (8y 118d)']")</f>
        <v>[ '11 వ ఒక ఇన్నింగ్స్ లోని బెస్ట్ ఫిగర్స్ ఉన్నప్పుడు పరాజయం వైపు (4)', 'ప్రదర్శనల మధ్య 9 వ లాంగెస్ట్ వ్యవధిలో (8y 118d)']</v>
      </c>
      <c r="G4569" s="2"/>
      <c r="H4569" s="2" t="str">
        <f>IFERROR(__xludf.DUMMYFUNCTION("IF(G4569&lt;&gt;"""", GOOGLETRANSLATE(G4569, ""en"", ""te""),"""")"),"")</f>
        <v/>
      </c>
      <c r="I4569" s="3"/>
    </row>
    <row r="4570" customHeight="1" spans="1:9">
      <c r="A4570" s="2"/>
      <c r="B4570" s="2" t="str">
        <f>IFERROR(__xludf.DUMMYFUNCTION("IF(A4570&lt;&gt;"""", GOOGLETRANSLATE(A4570, ""en"", ""te""),"""")"),"")</f>
        <v/>
      </c>
      <c r="C4570" s="2"/>
      <c r="D4570" s="2" t="str">
        <f>IFERROR(__xludf.DUMMYFUNCTION("IF(C4570&lt;&gt;"""", GOOGLETRANSLATE(C4570, ""en"", ""te""),"""")"),"")</f>
        <v/>
      </c>
      <c r="E4570" s="2"/>
      <c r="F4570" s="2" t="str">
        <f>IFERROR(__xludf.DUMMYFUNCTION("IF(E4570&lt;&gt;"""", GOOGLETRANSLATE(E4570, ""en"", ""te""),"""")"),"")</f>
        <v/>
      </c>
      <c r="G4570" s="2"/>
      <c r="H4570" s="2" t="str">
        <f>IFERROR(__xludf.DUMMYFUNCTION("IF(G4570&lt;&gt;"""", GOOGLETRANSLATE(G4570, ""en"", ""te""),"""")"),"")</f>
        <v/>
      </c>
      <c r="I4570" s="3"/>
    </row>
    <row r="4571" customHeight="1" spans="1:9">
      <c r="A4571" s="2"/>
      <c r="B4571" s="2" t="str">
        <f>IFERROR(__xludf.DUMMYFUNCTION("IF(A4571&lt;&gt;"""", GOOGLETRANSLATE(A4571, ""en"", ""te""),"""")"),"")</f>
        <v/>
      </c>
      <c r="C4571" s="2"/>
      <c r="D4571" s="2" t="str">
        <f>IFERROR(__xludf.DUMMYFUNCTION("IF(C4571&lt;&gt;"""", GOOGLETRANSLATE(C4571, ""en"", ""te""),"""")"),"")</f>
        <v/>
      </c>
      <c r="E4571" s="2"/>
      <c r="F4571" s="2" t="str">
        <f>IFERROR(__xludf.DUMMYFUNCTION("IF(E4571&lt;&gt;"""", GOOGLETRANSLATE(E4571, ""en"", ""te""),"""")"),"")</f>
        <v/>
      </c>
      <c r="G4571" s="2"/>
      <c r="H4571" s="2" t="str">
        <f>IFERROR(__xludf.DUMMYFUNCTION("IF(G4571&lt;&gt;"""", GOOGLETRANSLATE(G4571, ""en"", ""te""),"""")"),"")</f>
        <v/>
      </c>
      <c r="I4571" s="3"/>
    </row>
    <row r="4572" customHeight="1" spans="1:9">
      <c r="A4572" s="2"/>
      <c r="B4572" s="2" t="str">
        <f>IFERROR(__xludf.DUMMYFUNCTION("IF(A4572&lt;&gt;"""", GOOGLETRANSLATE(A4572, ""en"", ""te""),"""")"),"")</f>
        <v/>
      </c>
      <c r="C4572" s="2"/>
      <c r="D4572" s="2" t="str">
        <f>IFERROR(__xludf.DUMMYFUNCTION("IF(C4572&lt;&gt;"""", GOOGLETRANSLATE(C4572, ""en"", ""te""),"""")"),"")</f>
        <v/>
      </c>
      <c r="E4572" s="2"/>
      <c r="F4572" s="2" t="str">
        <f>IFERROR(__xludf.DUMMYFUNCTION("IF(E4572&lt;&gt;"""", GOOGLETRANSLATE(E4572, ""en"", ""te""),"""")"),"")</f>
        <v/>
      </c>
      <c r="G4572" s="2"/>
      <c r="H4572" s="2" t="str">
        <f>IFERROR(__xludf.DUMMYFUNCTION("IF(G4572&lt;&gt;"""", GOOGLETRANSLATE(G4572, ""en"", ""te""),"""")"),"")</f>
        <v/>
      </c>
      <c r="I4572" s="3"/>
    </row>
    <row r="4573" customHeight="1" spans="1:9">
      <c r="A4573" s="2"/>
      <c r="B4573" s="2" t="str">
        <f>IFERROR(__xludf.DUMMYFUNCTION("IF(A4573&lt;&gt;"""", GOOGLETRANSLATE(A4573, ""en"", ""te""),"""")"),"")</f>
        <v/>
      </c>
      <c r="C4573" s="2"/>
      <c r="D4573" s="2" t="str">
        <f>IFERROR(__xludf.DUMMYFUNCTION("IF(C4573&lt;&gt;"""", GOOGLETRANSLATE(C4573, ""en"", ""te""),"""")"),"")</f>
        <v/>
      </c>
      <c r="E4573" s="2"/>
      <c r="F4573" s="2" t="str">
        <f>IFERROR(__xludf.DUMMYFUNCTION("IF(E4573&lt;&gt;"""", GOOGLETRANSLATE(E4573, ""en"", ""te""),"""")"),"")</f>
        <v/>
      </c>
      <c r="G4573" s="2"/>
      <c r="H4573" s="2" t="str">
        <f>IFERROR(__xludf.DUMMYFUNCTION("IF(G4573&lt;&gt;"""", GOOGLETRANSLATE(G4573, ""en"", ""te""),"""")"),"")</f>
        <v/>
      </c>
      <c r="I4573" s="3"/>
    </row>
    <row r="4574" customHeight="1" spans="1:9">
      <c r="A4574" s="2"/>
      <c r="B4574" s="2" t="str">
        <f>IFERROR(__xludf.DUMMYFUNCTION("IF(A4574&lt;&gt;"""", GOOGLETRANSLATE(A4574, ""en"", ""te""),"""")"),"")</f>
        <v/>
      </c>
      <c r="C4574" s="2"/>
      <c r="D4574" s="2" t="str">
        <f>IFERROR(__xludf.DUMMYFUNCTION("IF(C4574&lt;&gt;"""", GOOGLETRANSLATE(C4574, ""en"", ""te""),"""")"),"")</f>
        <v/>
      </c>
      <c r="E4574" s="2"/>
      <c r="F4574" s="2" t="str">
        <f>IFERROR(__xludf.DUMMYFUNCTION("IF(E4574&lt;&gt;"""", GOOGLETRANSLATE(E4574, ""en"", ""te""),"""")"),"")</f>
        <v/>
      </c>
      <c r="G4574" s="2"/>
      <c r="H4574" s="2" t="str">
        <f>IFERROR(__xludf.DUMMYFUNCTION("IF(G4574&lt;&gt;"""", GOOGLETRANSLATE(G4574, ""en"", ""te""),"""")"),"")</f>
        <v/>
      </c>
      <c r="I4574" s="3"/>
    </row>
    <row r="4575" customHeight="1" spans="1:9">
      <c r="A4575" s="2"/>
      <c r="B4575" s="2" t="str">
        <f>IFERROR(__xludf.DUMMYFUNCTION("IF(A4575&lt;&gt;"""", GOOGLETRANSLATE(A4575, ""en"", ""te""),"""")"),"")</f>
        <v/>
      </c>
      <c r="C4575" s="2"/>
      <c r="D4575" s="2" t="str">
        <f>IFERROR(__xludf.DUMMYFUNCTION("IF(C4575&lt;&gt;"""", GOOGLETRANSLATE(C4575, ""en"", ""te""),"""")"),"")</f>
        <v/>
      </c>
      <c r="E4575" s="2"/>
      <c r="F4575" s="2" t="str">
        <f>IFERROR(__xludf.DUMMYFUNCTION("IF(E4575&lt;&gt;"""", GOOGLETRANSLATE(E4575, ""en"", ""te""),"""")"),"")</f>
        <v/>
      </c>
      <c r="G4575" s="2"/>
      <c r="H4575" s="2" t="str">
        <f>IFERROR(__xludf.DUMMYFUNCTION("IF(G4575&lt;&gt;"""", GOOGLETRANSLATE(G4575, ""en"", ""te""),"""")"),"")</f>
        <v/>
      </c>
      <c r="I4575" s="3"/>
    </row>
    <row r="4576" customHeight="1" spans="1:9">
      <c r="A4576" s="2"/>
      <c r="B4576" s="2" t="str">
        <f>IFERROR(__xludf.DUMMYFUNCTION("IF(A4576&lt;&gt;"""", GOOGLETRANSLATE(A4576, ""en"", ""te""),"""")"),"")</f>
        <v/>
      </c>
      <c r="C4576" s="2"/>
      <c r="D4576" s="2" t="str">
        <f>IFERROR(__xludf.DUMMYFUNCTION("IF(C4576&lt;&gt;"""", GOOGLETRANSLATE(C4576, ""en"", ""te""),"""")"),"")</f>
        <v/>
      </c>
      <c r="E4576" s="2"/>
      <c r="F4576" s="2" t="str">
        <f>IFERROR(__xludf.DUMMYFUNCTION("IF(E4576&lt;&gt;"""", GOOGLETRANSLATE(E4576, ""en"", ""te""),"""")"),"")</f>
        <v/>
      </c>
      <c r="G4576" s="2"/>
      <c r="H4576" s="2" t="str">
        <f>IFERROR(__xludf.DUMMYFUNCTION("IF(G4576&lt;&gt;"""", GOOGLETRANSLATE(G4576, ""en"", ""te""),"""")"),"")</f>
        <v/>
      </c>
      <c r="I4576" s="3"/>
    </row>
    <row r="4577" customHeight="1" spans="1:9">
      <c r="A4577" s="2"/>
      <c r="B4577" s="2" t="str">
        <f>IFERROR(__xludf.DUMMYFUNCTION("IF(A4577&lt;&gt;"""", GOOGLETRANSLATE(A4577, ""en"", ""te""),"""")"),"")</f>
        <v/>
      </c>
      <c r="C4577" s="2"/>
      <c r="D4577" s="2" t="str">
        <f>IFERROR(__xludf.DUMMYFUNCTION("IF(C4577&lt;&gt;"""", GOOGLETRANSLATE(C4577, ""en"", ""te""),"""")"),"")</f>
        <v/>
      </c>
      <c r="E4577" s="2"/>
      <c r="F4577" s="2" t="str">
        <f>IFERROR(__xludf.DUMMYFUNCTION("IF(E4577&lt;&gt;"""", GOOGLETRANSLATE(E4577, ""en"", ""te""),"""")"),"")</f>
        <v/>
      </c>
      <c r="G4577" s="2"/>
      <c r="H4577" s="2" t="str">
        <f>IFERROR(__xludf.DUMMYFUNCTION("IF(G4577&lt;&gt;"""", GOOGLETRANSLATE(G4577, ""en"", ""te""),"""")"),"")</f>
        <v/>
      </c>
      <c r="I4577" s="3"/>
    </row>
    <row r="4578" customHeight="1" spans="1:9">
      <c r="A4578" s="2"/>
      <c r="B4578" s="2" t="str">
        <f>IFERROR(__xludf.DUMMYFUNCTION("IF(A4578&lt;&gt;"""", GOOGLETRANSLATE(A4578, ""en"", ""te""),"""")"),"")</f>
        <v/>
      </c>
      <c r="C4578" s="2"/>
      <c r="D4578" s="2" t="str">
        <f>IFERROR(__xludf.DUMMYFUNCTION("IF(C4578&lt;&gt;"""", GOOGLETRANSLATE(C4578, ""en"", ""te""),"""")"),"")</f>
        <v/>
      </c>
      <c r="E4578" s="2"/>
      <c r="F4578" s="2" t="str">
        <f>IFERROR(__xludf.DUMMYFUNCTION("IF(E4578&lt;&gt;"""", GOOGLETRANSLATE(E4578, ""en"", ""te""),"""")"),"")</f>
        <v/>
      </c>
      <c r="G4578" s="2"/>
      <c r="H4578" s="2" t="str">
        <f>IFERROR(__xludf.DUMMYFUNCTION("IF(G4578&lt;&gt;"""", GOOGLETRANSLATE(G4578, ""en"", ""te""),"""")"),"")</f>
        <v/>
      </c>
      <c r="I4578" s="3"/>
    </row>
    <row r="4579" customHeight="1" spans="1:9">
      <c r="A4579" s="2"/>
      <c r="B4579" s="2" t="str">
        <f>IFERROR(__xludf.DUMMYFUNCTION("IF(A4579&lt;&gt;"""", GOOGLETRANSLATE(A4579, ""en"", ""te""),"""")"),"")</f>
        <v/>
      </c>
      <c r="C4579" s="2"/>
      <c r="D4579" s="2" t="str">
        <f>IFERROR(__xludf.DUMMYFUNCTION("IF(C4579&lt;&gt;"""", GOOGLETRANSLATE(C4579, ""en"", ""te""),"""")"),"")</f>
        <v/>
      </c>
      <c r="E4579" s="2"/>
      <c r="F4579" s="2" t="str">
        <f>IFERROR(__xludf.DUMMYFUNCTION("IF(E4579&lt;&gt;"""", GOOGLETRANSLATE(E4579, ""en"", ""te""),"""")"),"")</f>
        <v/>
      </c>
      <c r="G4579" s="2"/>
      <c r="H4579" s="2" t="str">
        <f>IFERROR(__xludf.DUMMYFUNCTION("IF(G4579&lt;&gt;"""", GOOGLETRANSLATE(G4579, ""en"", ""te""),"""")"),"")</f>
        <v/>
      </c>
      <c r="I4579" s="3"/>
    </row>
    <row r="4580" customHeight="1" spans="1:9">
      <c r="A4580" s="2"/>
      <c r="B4580" s="2" t="str">
        <f>IFERROR(__xludf.DUMMYFUNCTION("IF(A4580&lt;&gt;"""", GOOGLETRANSLATE(A4580, ""en"", ""te""),"""")"),"")</f>
        <v/>
      </c>
      <c r="C4580" s="2" t="s">
        <v>3250</v>
      </c>
      <c r="D4580" s="2" t="str">
        <f>IFERROR(__xludf.DUMMYFUNCTION("IF(C4580&lt;&gt;"""", GOOGLETRANSLATE(C4580, ""en"", ""te""),"""")"),"[ '24 షార్టేస్ట్ నివసించారు క్రీడాకారులు (29y 347d)']")</f>
        <v>[ '24 షార్టేస్ట్ నివసించారు క్రీడాకారులు (29y 347d)']</v>
      </c>
      <c r="E4580" s="2"/>
      <c r="F4580" s="2" t="str">
        <f>IFERROR(__xludf.DUMMYFUNCTION("IF(E4580&lt;&gt;"""", GOOGLETRANSLATE(E4580, ""en"", ""te""),"""")"),"")</f>
        <v/>
      </c>
      <c r="G4580" s="2"/>
      <c r="H4580" s="2" t="str">
        <f>IFERROR(__xludf.DUMMYFUNCTION("IF(G4580&lt;&gt;"""", GOOGLETRANSLATE(G4580, ""en"", ""te""),"""")"),"")</f>
        <v/>
      </c>
      <c r="I4580" s="3"/>
    </row>
    <row r="4581" customHeight="1" spans="1:9">
      <c r="A4581" s="2"/>
      <c r="B4581" s="2" t="str">
        <f>IFERROR(__xludf.DUMMYFUNCTION("IF(A4581&lt;&gt;"""", GOOGLETRANSLATE(A4581, ""en"", ""te""),"""")"),"")</f>
        <v/>
      </c>
      <c r="C4581" s="2"/>
      <c r="D4581" s="2" t="str">
        <f>IFERROR(__xludf.DUMMYFUNCTION("IF(C4581&lt;&gt;"""", GOOGLETRANSLATE(C4581, ""en"", ""te""),"""")"),"")</f>
        <v/>
      </c>
      <c r="E4581" s="2"/>
      <c r="F4581" s="2" t="str">
        <f>IFERROR(__xludf.DUMMYFUNCTION("IF(E4581&lt;&gt;"""", GOOGLETRANSLATE(E4581, ""en"", ""te""),"""")"),"")</f>
        <v/>
      </c>
      <c r="G4581" s="2"/>
      <c r="H4581" s="2" t="str">
        <f>IFERROR(__xludf.DUMMYFUNCTION("IF(G4581&lt;&gt;"""", GOOGLETRANSLATE(G4581, ""en"", ""te""),"""")"),"")</f>
        <v/>
      </c>
      <c r="I4581" s="3"/>
    </row>
    <row r="4582" customHeight="1" spans="1:9">
      <c r="A4582" s="2"/>
      <c r="B4582" s="2" t="str">
        <f>IFERROR(__xludf.DUMMYFUNCTION("IF(A4582&lt;&gt;"""", GOOGLETRANSLATE(A4582, ""en"", ""te""),"""")"),"")</f>
        <v/>
      </c>
      <c r="C4582" s="2"/>
      <c r="D4582" s="2" t="str">
        <f>IFERROR(__xludf.DUMMYFUNCTION("IF(C4582&lt;&gt;"""", GOOGLETRANSLATE(C4582, ""en"", ""te""),"""")"),"")</f>
        <v/>
      </c>
      <c r="E4582" s="2"/>
      <c r="F4582" s="2" t="str">
        <f>IFERROR(__xludf.DUMMYFUNCTION("IF(E4582&lt;&gt;"""", GOOGLETRANSLATE(E4582, ""en"", ""te""),"""")"),"")</f>
        <v/>
      </c>
      <c r="G4582" s="2"/>
      <c r="H4582" s="2" t="str">
        <f>IFERROR(__xludf.DUMMYFUNCTION("IF(G4582&lt;&gt;"""", GOOGLETRANSLATE(G4582, ""en"", ""te""),"""")"),"")</f>
        <v/>
      </c>
      <c r="I4582" s="3"/>
    </row>
    <row r="4583" customHeight="1" spans="1:9">
      <c r="A4583" s="2"/>
      <c r="B4583" s="2" t="str">
        <f>IFERROR(__xludf.DUMMYFUNCTION("IF(A4583&lt;&gt;"""", GOOGLETRANSLATE(A4583, ""en"", ""te""),"""")"),"")</f>
        <v/>
      </c>
      <c r="C4583" s="2"/>
      <c r="D4583" s="2" t="str">
        <f>IFERROR(__xludf.DUMMYFUNCTION("IF(C4583&lt;&gt;"""", GOOGLETRANSLATE(C4583, ""en"", ""te""),"""")"),"")</f>
        <v/>
      </c>
      <c r="E4583" s="2"/>
      <c r="F4583" s="2" t="str">
        <f>IFERROR(__xludf.DUMMYFUNCTION("IF(E4583&lt;&gt;"""", GOOGLETRANSLATE(E4583, ""en"", ""te""),"""")"),"")</f>
        <v/>
      </c>
      <c r="G4583" s="2"/>
      <c r="H4583" s="2" t="str">
        <f>IFERROR(__xludf.DUMMYFUNCTION("IF(G4583&lt;&gt;"""", GOOGLETRANSLATE(G4583, ""en"", ""te""),"""")"),"")</f>
        <v/>
      </c>
      <c r="I4583" s="3"/>
    </row>
    <row r="4584" customHeight="1" spans="1:9">
      <c r="A4584" s="2"/>
      <c r="B4584" s="2" t="str">
        <f>IFERROR(__xludf.DUMMYFUNCTION("IF(A4584&lt;&gt;"""", GOOGLETRANSLATE(A4584, ""en"", ""te""),"""")"),"")</f>
        <v/>
      </c>
      <c r="C4584" s="2"/>
      <c r="D4584" s="2" t="str">
        <f>IFERROR(__xludf.DUMMYFUNCTION("IF(C4584&lt;&gt;"""", GOOGLETRANSLATE(C4584, ""en"", ""te""),"""")"),"")</f>
        <v/>
      </c>
      <c r="E4584" s="2"/>
      <c r="F4584" s="2" t="str">
        <f>IFERROR(__xludf.DUMMYFUNCTION("IF(E4584&lt;&gt;"""", GOOGLETRANSLATE(E4584, ""en"", ""te""),"""")"),"")</f>
        <v/>
      </c>
      <c r="G4584" s="2"/>
      <c r="H4584" s="2" t="str">
        <f>IFERROR(__xludf.DUMMYFUNCTION("IF(G4584&lt;&gt;"""", GOOGLETRANSLATE(G4584, ""en"", ""te""),"""")"),"")</f>
        <v/>
      </c>
      <c r="I4584" s="3"/>
    </row>
    <row r="4585" customHeight="1" spans="1:9">
      <c r="A4585" s="2"/>
      <c r="B4585" s="2" t="str">
        <f>IFERROR(__xludf.DUMMYFUNCTION("IF(A4585&lt;&gt;"""", GOOGLETRANSLATE(A4585, ""en"", ""te""),"""")"),"")</f>
        <v/>
      </c>
      <c r="C4585" s="2"/>
      <c r="D4585" s="2" t="str">
        <f>IFERROR(__xludf.DUMMYFUNCTION("IF(C4585&lt;&gt;"""", GOOGLETRANSLATE(C4585, ""en"", ""te""),"""")"),"")</f>
        <v/>
      </c>
      <c r="E4585" s="2"/>
      <c r="F4585" s="2" t="str">
        <f>IFERROR(__xludf.DUMMYFUNCTION("IF(E4585&lt;&gt;"""", GOOGLETRANSLATE(E4585, ""en"", ""te""),"""")"),"")</f>
        <v/>
      </c>
      <c r="G4585" s="2"/>
      <c r="H4585" s="2" t="str">
        <f>IFERROR(__xludf.DUMMYFUNCTION("IF(G4585&lt;&gt;"""", GOOGLETRANSLATE(G4585, ""en"", ""te""),"""")"),"")</f>
        <v/>
      </c>
      <c r="I4585" s="3"/>
    </row>
    <row r="4586" customHeight="1" spans="1:9">
      <c r="A4586" s="2"/>
      <c r="B4586" s="2" t="str">
        <f>IFERROR(__xludf.DUMMYFUNCTION("IF(A4586&lt;&gt;"""", GOOGLETRANSLATE(A4586, ""en"", ""te""),"""")"),"")</f>
        <v/>
      </c>
      <c r="C4586" s="2"/>
      <c r="D4586" s="2" t="str">
        <f>IFERROR(__xludf.DUMMYFUNCTION("IF(C4586&lt;&gt;"""", GOOGLETRANSLATE(C4586, ""en"", ""te""),"""")"),"")</f>
        <v/>
      </c>
      <c r="E4586" s="2"/>
      <c r="F4586" s="2" t="str">
        <f>IFERROR(__xludf.DUMMYFUNCTION("IF(E4586&lt;&gt;"""", GOOGLETRANSLATE(E4586, ""en"", ""te""),"""")"),"")</f>
        <v/>
      </c>
      <c r="G4586" s="2"/>
      <c r="H4586" s="2" t="str">
        <f>IFERROR(__xludf.DUMMYFUNCTION("IF(G4586&lt;&gt;"""", GOOGLETRANSLATE(G4586, ""en"", ""te""),"""")"),"")</f>
        <v/>
      </c>
      <c r="I4586" s="3"/>
    </row>
    <row r="4587" customHeight="1" spans="1:9">
      <c r="A4587" s="2"/>
      <c r="B4587" s="2" t="str">
        <f>IFERROR(__xludf.DUMMYFUNCTION("IF(A4587&lt;&gt;"""", GOOGLETRANSLATE(A4587, ""en"", ""te""),"""")"),"")</f>
        <v/>
      </c>
      <c r="C4587" s="2"/>
      <c r="D4587" s="2" t="str">
        <f>IFERROR(__xludf.DUMMYFUNCTION("IF(C4587&lt;&gt;"""", GOOGLETRANSLATE(C4587, ""en"", ""te""),"""")"),"")</f>
        <v/>
      </c>
      <c r="E4587" s="2"/>
      <c r="F4587" s="2" t="str">
        <f>IFERROR(__xludf.DUMMYFUNCTION("IF(E4587&lt;&gt;"""", GOOGLETRANSLATE(E4587, ""en"", ""te""),"""")"),"")</f>
        <v/>
      </c>
      <c r="G4587" s="2"/>
      <c r="H4587" s="2" t="str">
        <f>IFERROR(__xludf.DUMMYFUNCTION("IF(G4587&lt;&gt;"""", GOOGLETRANSLATE(G4587, ""en"", ""te""),"""")"),"")</f>
        <v/>
      </c>
      <c r="I4587" s="3"/>
    </row>
    <row r="4588" customHeight="1" spans="1:9">
      <c r="A4588" s="2"/>
      <c r="B4588" s="2" t="str">
        <f>IFERROR(__xludf.DUMMYFUNCTION("IF(A4588&lt;&gt;"""", GOOGLETRANSLATE(A4588, ""en"", ""te""),"""")"),"")</f>
        <v/>
      </c>
      <c r="C4588" s="2"/>
      <c r="D4588" s="2" t="str">
        <f>IFERROR(__xludf.DUMMYFUNCTION("IF(C4588&lt;&gt;"""", GOOGLETRANSLATE(C4588, ""en"", ""te""),"""")"),"")</f>
        <v/>
      </c>
      <c r="E4588" s="2"/>
      <c r="F4588" s="2" t="str">
        <f>IFERROR(__xludf.DUMMYFUNCTION("IF(E4588&lt;&gt;"""", GOOGLETRANSLATE(E4588, ""en"", ""te""),"""")"),"")</f>
        <v/>
      </c>
      <c r="G4588" s="2"/>
      <c r="H4588" s="2" t="str">
        <f>IFERROR(__xludf.DUMMYFUNCTION("IF(G4588&lt;&gt;"""", GOOGLETRANSLATE(G4588, ""en"", ""te""),"""")"),"")</f>
        <v/>
      </c>
      <c r="I4588" s="3"/>
    </row>
    <row r="4589" customHeight="1" spans="1:9">
      <c r="A4589" s="2"/>
      <c r="B4589" s="2" t="str">
        <f>IFERROR(__xludf.DUMMYFUNCTION("IF(A4589&lt;&gt;"""", GOOGLETRANSLATE(A4589, ""en"", ""te""),"""")"),"")</f>
        <v/>
      </c>
      <c r="C4589" s="2"/>
      <c r="D4589" s="2" t="str">
        <f>IFERROR(__xludf.DUMMYFUNCTION("IF(C4589&lt;&gt;"""", GOOGLETRANSLATE(C4589, ""en"", ""te""),"""")"),"")</f>
        <v/>
      </c>
      <c r="E4589" s="2"/>
      <c r="F4589" s="2" t="str">
        <f>IFERROR(__xludf.DUMMYFUNCTION("IF(E4589&lt;&gt;"""", GOOGLETRANSLATE(E4589, ""en"", ""te""),"""")"),"")</f>
        <v/>
      </c>
      <c r="G4589" s="2"/>
      <c r="H4589" s="2" t="str">
        <f>IFERROR(__xludf.DUMMYFUNCTION("IF(G4589&lt;&gt;"""", GOOGLETRANSLATE(G4589, ""en"", ""te""),"""")"),"")</f>
        <v/>
      </c>
      <c r="I4589" s="3"/>
    </row>
    <row r="4590" customHeight="1" spans="1:9">
      <c r="A4590" s="2" t="s">
        <v>352</v>
      </c>
      <c r="B4590" s="2" t="str">
        <f>IFERROR(__xludf.DUMMYFUNCTION("IF(A4590&lt;&gt;"""", GOOGLETRANSLATE(A4590, ""en"", ""te""),"""")"),"[ 'బ్యాటింగ్ ప్రారంభించుటకు మరియు అదే మ్యాచ్ లో బౌలింగ్']")</f>
        <v>[ 'బ్యాటింగ్ ప్రారంభించుటకు మరియు అదే మ్యాచ్ లో బౌలింగ్']</v>
      </c>
      <c r="C4590" s="2" t="s">
        <v>3251</v>
      </c>
      <c r="D4590" s="2" t="str">
        <f>IFERROR(__xludf.DUMMYFUNCTION("IF(C4590&lt;&gt;"""", GOOGLETRANSLATE(C4590, ""en"", ""te""),"""")"),"[ 'తొమ్మిదవ వికెట్ (117) 30 వ అత్యధిక భాగస్వామ్యం']")</f>
        <v>[ 'తొమ్మిదవ వికెట్ (117) 30 వ అత్యధిక భాగస్వామ్యం']</v>
      </c>
      <c r="E4590" s="2" t="s">
        <v>1904</v>
      </c>
      <c r="F4590" s="2" t="str">
        <f>IFERROR(__xludf.DUMMYFUNCTION("IF(E4590&lt;&gt;"""", GOOGLETRANSLATE(E4590, ""en"", ""te""),"""")"),"[ '42 వ ఒక సిరీస్లో అత్యధిక వికెట్లు (18)']")</f>
        <v>[ '42 వ ఒక సిరీస్లో అత్యధిక వికెట్లు (18)']</v>
      </c>
      <c r="G4590" s="2"/>
      <c r="H4590" s="2" t="str">
        <f>IFERROR(__xludf.DUMMYFUNCTION("IF(G4590&lt;&gt;"""", GOOGLETRANSLATE(G4590, ""en"", ""te""),"""")"),"")</f>
        <v/>
      </c>
      <c r="I4590" s="3"/>
    </row>
    <row r="4591" customHeight="1" spans="1:9">
      <c r="A4591" s="2"/>
      <c r="B4591" s="2" t="str">
        <f>IFERROR(__xludf.DUMMYFUNCTION("IF(A4591&lt;&gt;"""", GOOGLETRANSLATE(A4591, ""en"", ""te""),"""")"),"")</f>
        <v/>
      </c>
      <c r="C4591" s="2"/>
      <c r="D4591" s="2" t="str">
        <f>IFERROR(__xludf.DUMMYFUNCTION("IF(C4591&lt;&gt;"""", GOOGLETRANSLATE(C4591, ""en"", ""te""),"""")"),"")</f>
        <v/>
      </c>
      <c r="E4591" s="2"/>
      <c r="F4591" s="2" t="str">
        <f>IFERROR(__xludf.DUMMYFUNCTION("IF(E4591&lt;&gt;"""", GOOGLETRANSLATE(E4591, ""en"", ""te""),"""")"),"")</f>
        <v/>
      </c>
      <c r="G4591" s="2"/>
      <c r="H4591" s="2" t="str">
        <f>IFERROR(__xludf.DUMMYFUNCTION("IF(G4591&lt;&gt;"""", GOOGLETRANSLATE(G4591, ""en"", ""te""),"""")"),"")</f>
        <v/>
      </c>
      <c r="I4591" s="3"/>
    </row>
    <row r="4592" customHeight="1" spans="1:9">
      <c r="A4592" s="2" t="s">
        <v>3252</v>
      </c>
      <c r="B4592" s="2" t="str">
        <f>IFERROR(__xludf.DUMMYFUNCTION("IF(A4592&lt;&gt;"""", GOOGLETRANSLATE(A4592, ""en"", ""te""),"""")"),"[ '7th వరుస మ్యాచ్లు ఆడి మధ్య జట్టు (7) కోసం తప్పిన']")</f>
        <v>[ '7th వరుస మ్యాచ్లు ఆడి మధ్య జట్టు (7) కోసం తప్పిన']</v>
      </c>
      <c r="C4592" s="2" t="s">
        <v>3253</v>
      </c>
      <c r="D4592" s="2" t="str">
        <f>IFERROR(__xludf.DUMMYFUNCTION("IF(C4592&lt;&gt;"""", GOOGLETRANSLATE(C4592, ""en"", ""te""),"""")"),"[ 'ప్రదర్శనల మధ్య 16 వ లాంగెస్ట్ వ్యవధిలో (8y 92d)', '7 వ వరుస మ్యాచ్లు ఆడి మధ్య జట్టు (7) కోసం తప్పిన']")</f>
        <v>[ 'ప్రదర్శనల మధ్య 16 వ లాంగెస్ట్ వ్యవధిలో (8y 92d)', '7 వ వరుస మ్యాచ్లు ఆడి మధ్య జట్టు (7) కోసం తప్పిన']</v>
      </c>
      <c r="E4592" s="2" t="s">
        <v>3254</v>
      </c>
      <c r="F4592" s="2" t="str">
        <f>IFERROR(__xludf.DUMMYFUNCTION("IF(E4592&lt;&gt;"""", GOOGLETRANSLATE(E4592, ""en"", ""te""),"""")"),"[ 'ప్రదర్శనల మధ్య 27 లాంగెస్ట్ వ్యవధిలో (6y 20D)']")</f>
        <v>[ 'ప్రదర్శనల మధ్య 27 లాంగెస్ట్ వ్యవధిలో (6y 20D)']</v>
      </c>
      <c r="G4592" s="2"/>
      <c r="H4592" s="2" t="str">
        <f>IFERROR(__xludf.DUMMYFUNCTION("IF(G4592&lt;&gt;"""", GOOGLETRANSLATE(G4592, ""en"", ""te""),"""")"),"")</f>
        <v/>
      </c>
      <c r="I4592" s="3"/>
    </row>
    <row r="4593" customHeight="1" spans="1:9">
      <c r="A4593" s="2"/>
      <c r="B4593" s="2" t="str">
        <f>IFERROR(__xludf.DUMMYFUNCTION("IF(A4593&lt;&gt;"""", GOOGLETRANSLATE(A4593, ""en"", ""te""),"""")"),"")</f>
        <v/>
      </c>
      <c r="C4593" s="2"/>
      <c r="D4593" s="2" t="str">
        <f>IFERROR(__xludf.DUMMYFUNCTION("IF(C4593&lt;&gt;"""", GOOGLETRANSLATE(C4593, ""en"", ""te""),"""")"),"")</f>
        <v/>
      </c>
      <c r="E4593" s="2"/>
      <c r="F4593" s="2" t="str">
        <f>IFERROR(__xludf.DUMMYFUNCTION("IF(E4593&lt;&gt;"""", GOOGLETRANSLATE(E4593, ""en"", ""te""),"""")"),"")</f>
        <v/>
      </c>
      <c r="G4593" s="2"/>
      <c r="H4593" s="2" t="str">
        <f>IFERROR(__xludf.DUMMYFUNCTION("IF(G4593&lt;&gt;"""", GOOGLETRANSLATE(G4593, ""en"", ""te""),"""")"),"")</f>
        <v/>
      </c>
      <c r="I4593" s="3"/>
    </row>
    <row r="4594" customHeight="1" spans="1:9">
      <c r="A4594" s="2"/>
      <c r="B4594" s="2" t="str">
        <f>IFERROR(__xludf.DUMMYFUNCTION("IF(A4594&lt;&gt;"""", GOOGLETRANSLATE(A4594, ""en"", ""te""),"""")"),"")</f>
        <v/>
      </c>
      <c r="C4594" s="2"/>
      <c r="D4594" s="2" t="str">
        <f>IFERROR(__xludf.DUMMYFUNCTION("IF(C4594&lt;&gt;"""", GOOGLETRANSLATE(C4594, ""en"", ""te""),"""")"),"")</f>
        <v/>
      </c>
      <c r="E4594" s="2"/>
      <c r="F4594" s="2" t="str">
        <f>IFERROR(__xludf.DUMMYFUNCTION("IF(E4594&lt;&gt;"""", GOOGLETRANSLATE(E4594, ""en"", ""te""),"""")"),"")</f>
        <v/>
      </c>
      <c r="G4594" s="2"/>
      <c r="H4594" s="2" t="str">
        <f>IFERROR(__xludf.DUMMYFUNCTION("IF(G4594&lt;&gt;"""", GOOGLETRANSLATE(G4594, ""en"", ""te""),"""")"),"")</f>
        <v/>
      </c>
      <c r="I4594" s="3"/>
    </row>
    <row r="4595" customHeight="1" spans="1:9">
      <c r="A4595" s="2"/>
      <c r="B4595" s="2" t="str">
        <f>IFERROR(__xludf.DUMMYFUNCTION("IF(A4595&lt;&gt;"""", GOOGLETRANSLATE(A4595, ""en"", ""te""),"""")"),"")</f>
        <v/>
      </c>
      <c r="C4595" s="2"/>
      <c r="D4595" s="2" t="str">
        <f>IFERROR(__xludf.DUMMYFUNCTION("IF(C4595&lt;&gt;"""", GOOGLETRANSLATE(C4595, ""en"", ""te""),"""")"),"")</f>
        <v/>
      </c>
      <c r="E4595" s="2"/>
      <c r="F4595" s="2" t="str">
        <f>IFERROR(__xludf.DUMMYFUNCTION("IF(E4595&lt;&gt;"""", GOOGLETRANSLATE(E4595, ""en"", ""te""),"""")"),"")</f>
        <v/>
      </c>
      <c r="G4595" s="2"/>
      <c r="H4595" s="2" t="str">
        <f>IFERROR(__xludf.DUMMYFUNCTION("IF(G4595&lt;&gt;"""", GOOGLETRANSLATE(G4595, ""en"", ""te""),"""")"),"")</f>
        <v/>
      </c>
      <c r="I4595" s="3"/>
    </row>
    <row r="4596" customHeight="1" spans="1:9">
      <c r="A4596" s="2"/>
      <c r="B4596" s="2" t="str">
        <f>IFERROR(__xludf.DUMMYFUNCTION("IF(A4596&lt;&gt;"""", GOOGLETRANSLATE(A4596, ""en"", ""te""),"""")"),"")</f>
        <v/>
      </c>
      <c r="C4596" s="2"/>
      <c r="D4596" s="2" t="str">
        <f>IFERROR(__xludf.DUMMYFUNCTION("IF(C4596&lt;&gt;"""", GOOGLETRANSLATE(C4596, ""en"", ""te""),"""")"),"")</f>
        <v/>
      </c>
      <c r="E4596" s="2"/>
      <c r="F4596" s="2" t="str">
        <f>IFERROR(__xludf.DUMMYFUNCTION("IF(E4596&lt;&gt;"""", GOOGLETRANSLATE(E4596, ""en"", ""te""),"""")"),"")</f>
        <v/>
      </c>
      <c r="G4596" s="2"/>
      <c r="H4596" s="2" t="str">
        <f>IFERROR(__xludf.DUMMYFUNCTION("IF(G4596&lt;&gt;"""", GOOGLETRANSLATE(G4596, ""en"", ""te""),"""")"),"")</f>
        <v/>
      </c>
      <c r="I4596" s="3"/>
    </row>
    <row r="4597" customHeight="1" spans="1:9">
      <c r="A4597" s="2"/>
      <c r="B4597" s="2" t="str">
        <f>IFERROR(__xludf.DUMMYFUNCTION("IF(A4597&lt;&gt;"""", GOOGLETRANSLATE(A4597, ""en"", ""te""),"""")"),"")</f>
        <v/>
      </c>
      <c r="C4597" s="2"/>
      <c r="D4597" s="2" t="str">
        <f>IFERROR(__xludf.DUMMYFUNCTION("IF(C4597&lt;&gt;"""", GOOGLETRANSLATE(C4597, ""en"", ""te""),"""")"),"")</f>
        <v/>
      </c>
      <c r="E4597" s="2"/>
      <c r="F4597" s="2" t="str">
        <f>IFERROR(__xludf.DUMMYFUNCTION("IF(E4597&lt;&gt;"""", GOOGLETRANSLATE(E4597, ""en"", ""te""),"""")"),"")</f>
        <v/>
      </c>
      <c r="G4597" s="2"/>
      <c r="H4597" s="2" t="str">
        <f>IFERROR(__xludf.DUMMYFUNCTION("IF(G4597&lt;&gt;"""", GOOGLETRANSLATE(G4597, ""en"", ""te""),"""")"),"")</f>
        <v/>
      </c>
      <c r="I4597" s="3"/>
    </row>
    <row r="4598" customHeight="1" spans="1:9">
      <c r="A4598" s="2"/>
      <c r="B4598" s="2" t="str">
        <f>IFERROR(__xludf.DUMMYFUNCTION("IF(A4598&lt;&gt;"""", GOOGLETRANSLATE(A4598, ""en"", ""te""),"""")"),"")</f>
        <v/>
      </c>
      <c r="C4598" s="2"/>
      <c r="D4598" s="2" t="str">
        <f>IFERROR(__xludf.DUMMYFUNCTION("IF(C4598&lt;&gt;"""", GOOGLETRANSLATE(C4598, ""en"", ""te""),"""")"),"")</f>
        <v/>
      </c>
      <c r="E4598" s="2"/>
      <c r="F4598" s="2" t="str">
        <f>IFERROR(__xludf.DUMMYFUNCTION("IF(E4598&lt;&gt;"""", GOOGLETRANSLATE(E4598, ""en"", ""te""),"""")"),"")</f>
        <v/>
      </c>
      <c r="G4598" s="2"/>
      <c r="H4598" s="2" t="str">
        <f>IFERROR(__xludf.DUMMYFUNCTION("IF(G4598&lt;&gt;"""", GOOGLETRANSLATE(G4598, ""en"", ""te""),"""")"),"")</f>
        <v/>
      </c>
      <c r="I4598" s="3"/>
    </row>
    <row r="4599" customHeight="1" spans="1:9">
      <c r="A4599" s="2"/>
      <c r="B4599" s="2" t="str">
        <f>IFERROR(__xludf.DUMMYFUNCTION("IF(A4599&lt;&gt;"""", GOOGLETRANSLATE(A4599, ""en"", ""te""),"""")"),"")</f>
        <v/>
      </c>
      <c r="C4599" s="2"/>
      <c r="D4599" s="2" t="str">
        <f>IFERROR(__xludf.DUMMYFUNCTION("IF(C4599&lt;&gt;"""", GOOGLETRANSLATE(C4599, ""en"", ""te""),"""")"),"")</f>
        <v/>
      </c>
      <c r="E4599" s="2"/>
      <c r="F4599" s="2" t="str">
        <f>IFERROR(__xludf.DUMMYFUNCTION("IF(E4599&lt;&gt;"""", GOOGLETRANSLATE(E4599, ""en"", ""te""),"""")"),"")</f>
        <v/>
      </c>
      <c r="G4599" s="2"/>
      <c r="H4599" s="2" t="str">
        <f>IFERROR(__xludf.DUMMYFUNCTION("IF(G4599&lt;&gt;"""", GOOGLETRANSLATE(G4599, ""en"", ""te""),"""")"),"")</f>
        <v/>
      </c>
      <c r="I4599" s="3"/>
    </row>
    <row r="4600" customHeight="1" spans="1:9">
      <c r="A4600" s="2"/>
      <c r="B4600" s="2" t="str">
        <f>IFERROR(__xludf.DUMMYFUNCTION("IF(A4600&lt;&gt;"""", GOOGLETRANSLATE(A4600, ""en"", ""te""),"""")"),"")</f>
        <v/>
      </c>
      <c r="C4600" s="2"/>
      <c r="D4600" s="2" t="str">
        <f>IFERROR(__xludf.DUMMYFUNCTION("IF(C4600&lt;&gt;"""", GOOGLETRANSLATE(C4600, ""en"", ""te""),"""")"),"")</f>
        <v/>
      </c>
      <c r="E4600" s="2"/>
      <c r="F4600" s="2" t="str">
        <f>IFERROR(__xludf.DUMMYFUNCTION("IF(E4600&lt;&gt;"""", GOOGLETRANSLATE(E4600, ""en"", ""te""),"""")"),"")</f>
        <v/>
      </c>
      <c r="G4600" s="2"/>
      <c r="H4600" s="2" t="str">
        <f>IFERROR(__xludf.DUMMYFUNCTION("IF(G4600&lt;&gt;"""", GOOGLETRANSLATE(G4600, ""en"", ""te""),"""")"),"")</f>
        <v/>
      </c>
      <c r="I4600" s="3"/>
    </row>
    <row r="4601" customHeight="1" spans="1:9">
      <c r="A4601" s="2"/>
      <c r="B4601" s="2" t="str">
        <f>IFERROR(__xludf.DUMMYFUNCTION("IF(A4601&lt;&gt;"""", GOOGLETRANSLATE(A4601, ""en"", ""te""),"""")"),"")</f>
        <v/>
      </c>
      <c r="C4601" s="2"/>
      <c r="D4601" s="2" t="str">
        <f>IFERROR(__xludf.DUMMYFUNCTION("IF(C4601&lt;&gt;"""", GOOGLETRANSLATE(C4601, ""en"", ""te""),"""")"),"")</f>
        <v/>
      </c>
      <c r="E4601" s="2"/>
      <c r="F4601" s="2" t="str">
        <f>IFERROR(__xludf.DUMMYFUNCTION("IF(E4601&lt;&gt;"""", GOOGLETRANSLATE(E4601, ""en"", ""te""),"""")"),"")</f>
        <v/>
      </c>
      <c r="G4601" s="2"/>
      <c r="H4601" s="2" t="str">
        <f>IFERROR(__xludf.DUMMYFUNCTION("IF(G4601&lt;&gt;"""", GOOGLETRANSLATE(G4601, ""en"", ""te""),"""")"),"")</f>
        <v/>
      </c>
      <c r="I4601" s="3"/>
    </row>
    <row r="4602" customHeight="1" spans="1:9">
      <c r="A4602" s="2"/>
      <c r="B4602" s="2" t="str">
        <f>IFERROR(__xludf.DUMMYFUNCTION("IF(A4602&lt;&gt;"""", GOOGLETRANSLATE(A4602, ""en"", ""te""),"""")"),"")</f>
        <v/>
      </c>
      <c r="C4602" s="2"/>
      <c r="D4602" s="2" t="str">
        <f>IFERROR(__xludf.DUMMYFUNCTION("IF(C4602&lt;&gt;"""", GOOGLETRANSLATE(C4602, ""en"", ""te""),"""")"),"")</f>
        <v/>
      </c>
      <c r="E4602" s="2"/>
      <c r="F4602" s="2" t="str">
        <f>IFERROR(__xludf.DUMMYFUNCTION("IF(E4602&lt;&gt;"""", GOOGLETRANSLATE(E4602, ""en"", ""te""),"""")"),"")</f>
        <v/>
      </c>
      <c r="G4602" s="2"/>
      <c r="H4602" s="2" t="str">
        <f>IFERROR(__xludf.DUMMYFUNCTION("IF(G4602&lt;&gt;"""", GOOGLETRANSLATE(G4602, ""en"", ""te""),"""")"),"")</f>
        <v/>
      </c>
      <c r="I4602" s="3"/>
    </row>
    <row r="4603" customHeight="1" spans="1:9">
      <c r="A4603" s="2"/>
      <c r="B4603" s="2" t="str">
        <f>IFERROR(__xludf.DUMMYFUNCTION("IF(A4603&lt;&gt;"""", GOOGLETRANSLATE(A4603, ""en"", ""te""),"""")"),"")</f>
        <v/>
      </c>
      <c r="C4603" s="2"/>
      <c r="D4603" s="2" t="str">
        <f>IFERROR(__xludf.DUMMYFUNCTION("IF(C4603&lt;&gt;"""", GOOGLETRANSLATE(C4603, ""en"", ""te""),"""")"),"")</f>
        <v/>
      </c>
      <c r="E4603" s="2"/>
      <c r="F4603" s="2" t="str">
        <f>IFERROR(__xludf.DUMMYFUNCTION("IF(E4603&lt;&gt;"""", GOOGLETRANSLATE(E4603, ""en"", ""te""),"""")"),"")</f>
        <v/>
      </c>
      <c r="G4603" s="2"/>
      <c r="H4603" s="2" t="str">
        <f>IFERROR(__xludf.DUMMYFUNCTION("IF(G4603&lt;&gt;"""", GOOGLETRANSLATE(G4603, ""en"", ""te""),"""")"),"")</f>
        <v/>
      </c>
      <c r="I4603" s="3"/>
    </row>
    <row r="4604" customHeight="1" spans="1:9">
      <c r="A4604" s="2"/>
      <c r="B4604" s="2" t="str">
        <f>IFERROR(__xludf.DUMMYFUNCTION("IF(A4604&lt;&gt;"""", GOOGLETRANSLATE(A4604, ""en"", ""te""),"""")"),"")</f>
        <v/>
      </c>
      <c r="C4604" s="2"/>
      <c r="D4604" s="2" t="str">
        <f>IFERROR(__xludf.DUMMYFUNCTION("IF(C4604&lt;&gt;"""", GOOGLETRANSLATE(C4604, ""en"", ""te""),"""")"),"")</f>
        <v/>
      </c>
      <c r="E4604" s="2"/>
      <c r="F4604" s="2" t="str">
        <f>IFERROR(__xludf.DUMMYFUNCTION("IF(E4604&lt;&gt;"""", GOOGLETRANSLATE(E4604, ""en"", ""te""),"""")"),"")</f>
        <v/>
      </c>
      <c r="G4604" s="2"/>
      <c r="H4604" s="2" t="str">
        <f>IFERROR(__xludf.DUMMYFUNCTION("IF(G4604&lt;&gt;"""", GOOGLETRANSLATE(G4604, ""en"", ""te""),"""")"),"")</f>
        <v/>
      </c>
      <c r="I4604" s="3"/>
    </row>
    <row r="4605" customHeight="1" spans="1:9">
      <c r="A4605" s="2"/>
      <c r="B4605" s="2" t="str">
        <f>IFERROR(__xludf.DUMMYFUNCTION("IF(A4605&lt;&gt;"""", GOOGLETRANSLATE(A4605, ""en"", ""te""),"""")"),"")</f>
        <v/>
      </c>
      <c r="C4605" s="2"/>
      <c r="D4605" s="2" t="str">
        <f>IFERROR(__xludf.DUMMYFUNCTION("IF(C4605&lt;&gt;"""", GOOGLETRANSLATE(C4605, ""en"", ""te""),"""")"),"")</f>
        <v/>
      </c>
      <c r="E4605" s="2"/>
      <c r="F4605" s="2" t="str">
        <f>IFERROR(__xludf.DUMMYFUNCTION("IF(E4605&lt;&gt;"""", GOOGLETRANSLATE(E4605, ""en"", ""te""),"""")"),"")</f>
        <v/>
      </c>
      <c r="G4605" s="2"/>
      <c r="H4605" s="2" t="str">
        <f>IFERROR(__xludf.DUMMYFUNCTION("IF(G4605&lt;&gt;"""", GOOGLETRANSLATE(G4605, ""en"", ""te""),"""")"),"")</f>
        <v/>
      </c>
      <c r="I4605" s="3"/>
    </row>
    <row r="4606" customHeight="1" spans="1:9">
      <c r="A4606" s="2"/>
      <c r="B4606" s="2" t="str">
        <f>IFERROR(__xludf.DUMMYFUNCTION("IF(A4606&lt;&gt;"""", GOOGLETRANSLATE(A4606, ""en"", ""te""),"""")"),"")</f>
        <v/>
      </c>
      <c r="C4606" s="2"/>
      <c r="D4606" s="2" t="str">
        <f>IFERROR(__xludf.DUMMYFUNCTION("IF(C4606&lt;&gt;"""", GOOGLETRANSLATE(C4606, ""en"", ""te""),"""")"),"")</f>
        <v/>
      </c>
      <c r="E4606" s="2"/>
      <c r="F4606" s="2" t="str">
        <f>IFERROR(__xludf.DUMMYFUNCTION("IF(E4606&lt;&gt;"""", GOOGLETRANSLATE(E4606, ""en"", ""te""),"""")"),"")</f>
        <v/>
      </c>
      <c r="G4606" s="2"/>
      <c r="H4606" s="2" t="str">
        <f>IFERROR(__xludf.DUMMYFUNCTION("IF(G4606&lt;&gt;"""", GOOGLETRANSLATE(G4606, ""en"", ""te""),"""")"),"")</f>
        <v/>
      </c>
      <c r="I4606" s="3"/>
    </row>
    <row r="4607" customHeight="1" spans="1:9">
      <c r="A4607" s="2"/>
      <c r="B4607" s="2" t="str">
        <f>IFERROR(__xludf.DUMMYFUNCTION("IF(A4607&lt;&gt;"""", GOOGLETRANSLATE(A4607, ""en"", ""te""),"""")"),"")</f>
        <v/>
      </c>
      <c r="C4607" s="2"/>
      <c r="D4607" s="2" t="str">
        <f>IFERROR(__xludf.DUMMYFUNCTION("IF(C4607&lt;&gt;"""", GOOGLETRANSLATE(C4607, ""en"", ""te""),"""")"),"")</f>
        <v/>
      </c>
      <c r="E4607" s="2"/>
      <c r="F4607" s="2" t="str">
        <f>IFERROR(__xludf.DUMMYFUNCTION("IF(E4607&lt;&gt;"""", GOOGLETRANSLATE(E4607, ""en"", ""te""),"""")"),"")</f>
        <v/>
      </c>
      <c r="G4607" s="2"/>
      <c r="H4607" s="2" t="str">
        <f>IFERROR(__xludf.DUMMYFUNCTION("IF(G4607&lt;&gt;"""", GOOGLETRANSLATE(G4607, ""en"", ""te""),"""")"),"")</f>
        <v/>
      </c>
      <c r="I4607" s="3"/>
    </row>
    <row r="4608" customHeight="1" spans="1:9">
      <c r="A4608" s="2"/>
      <c r="B4608" s="2" t="str">
        <f>IFERROR(__xludf.DUMMYFUNCTION("IF(A4608&lt;&gt;"""", GOOGLETRANSLATE(A4608, ""en"", ""te""),"""")"),"")</f>
        <v/>
      </c>
      <c r="C4608" s="2"/>
      <c r="D4608" s="2" t="str">
        <f>IFERROR(__xludf.DUMMYFUNCTION("IF(C4608&lt;&gt;"""", GOOGLETRANSLATE(C4608, ""en"", ""te""),"""")"),"")</f>
        <v/>
      </c>
      <c r="E4608" s="2"/>
      <c r="F4608" s="2" t="str">
        <f>IFERROR(__xludf.DUMMYFUNCTION("IF(E4608&lt;&gt;"""", GOOGLETRANSLATE(E4608, ""en"", ""te""),"""")"),"")</f>
        <v/>
      </c>
      <c r="G4608" s="2"/>
      <c r="H4608" s="2" t="str">
        <f>IFERROR(__xludf.DUMMYFUNCTION("IF(G4608&lt;&gt;"""", GOOGLETRANSLATE(G4608, ""en"", ""te""),"""")"),"")</f>
        <v/>
      </c>
      <c r="I4608" s="3"/>
    </row>
    <row r="4609" customHeight="1" spans="1:9">
      <c r="A4609" s="2"/>
      <c r="B4609" s="2" t="str">
        <f>IFERROR(__xludf.DUMMYFUNCTION("IF(A4609&lt;&gt;"""", GOOGLETRANSLATE(A4609, ""en"", ""te""),"""")"),"")</f>
        <v/>
      </c>
      <c r="C4609" s="2"/>
      <c r="D4609" s="2" t="str">
        <f>IFERROR(__xludf.DUMMYFUNCTION("IF(C4609&lt;&gt;"""", GOOGLETRANSLATE(C4609, ""en"", ""te""),"""")"),"")</f>
        <v/>
      </c>
      <c r="E4609" s="2"/>
      <c r="F4609" s="2" t="str">
        <f>IFERROR(__xludf.DUMMYFUNCTION("IF(E4609&lt;&gt;"""", GOOGLETRANSLATE(E4609, ""en"", ""te""),"""")"),"")</f>
        <v/>
      </c>
      <c r="G4609" s="2"/>
      <c r="H4609" s="2" t="str">
        <f>IFERROR(__xludf.DUMMYFUNCTION("IF(G4609&lt;&gt;"""", GOOGLETRANSLATE(G4609, ""en"", ""te""),"""")"),"")</f>
        <v/>
      </c>
      <c r="I4609" s="3"/>
    </row>
    <row r="4610" customHeight="1" spans="1:9">
      <c r="A4610" s="2" t="s">
        <v>3255</v>
      </c>
      <c r="B4610" s="2" t="str">
        <f>IFERROR(__xludf.DUMMYFUNCTION("IF(A4610&lt;&gt;"""", GOOGLETRANSLATE(A4610, ""en"", ""te""),"""")"),"[ 'ఒక కెప్టెన్తో పెయిర్', 'ఇన్నింగ్స్ లో 9 వ చెత్త సమ్మె రేటు (426.0)', '8 వ అత్యధిక వికెట్లు స్టంప్ తీసుకోకూడదు (18)', 'ఇన్నింగ్స్ లో 3 వ ఉత్తమ ఆర్థిక రేటు (0.50)', '4 వ అత్యధిక వరుస బాతులు (4) ']")</f>
        <v>[ 'ఒక కెప్టెన్తో పెయిర్', 'ఇన్నింగ్స్ లో 9 వ చెత్త సమ్మె రేటు (426.0)', '8 వ అత్యధిక వికెట్లు స్టంప్ తీసుకోకూడదు (18)', 'ఇన్నింగ్స్ లో 3 వ ఉత్తమ ఆర్థిక రేటు (0.50)', '4 వ అత్యధిక వరుస బాతులు (4) ']</v>
      </c>
      <c r="C4610" s="2" t="s">
        <v>3256</v>
      </c>
      <c r="D4610" s="2" t="str">
        <f>IFERROR(__xludf.DUMMYFUNCTION("IF(C4610&lt;&gt;"""", GOOGLETRANSLATE(C4610, ""en"", ""te""),"""")"),"[ '23 వ కెరీర్ బాతులు (20)', '11 వ ఒక సిరీస్లో అత్యధిక బాతులు (4)', 'కెరీర్ లో 7 వ అత్యంత జతల (3)', '40 వ కెరీర్ లో అత్యధిక వికెట్లు (266)', '16 వ బెస్ట్ ఫిగర్స్ ఒక కెప్టెన్తో ఒక ఇన్నింగ్స్ లో (6) ',' ఒక కెప్టెన్తో ఒక మ్యాచ్లో 14 వ బెస్ట్ ఫిగర్స్ (10) ','"&amp;" 24th ఒక ఇన్నింగ్స్ లోని బెస్ట్ ఫిగర్స్ ఉన్నప్పుడు పరాజయం వైపు (7) ',' 40 వ మ్యాచ్ లో బెస్ట్ ఫిగర్స్ పరాజయం వైపు (10) ',' ఇన్నింగ్స్ లో 9 వ చెత్త సమ్మె రేటు (426.0) ',' 41 వ అత్యంత ఐదు-వికెట్ల లో-ఒక-ఇన్నింగ్స్ కెరీర్లో (14) ',' 23 వ బంతుల్లో కెరీర్లో అత"&amp;"్యుత్తమంగా బౌల్ చేసి (21364) ',' 45 వ ఇన్నింగ్స్ (426) ',' 43 వ కెరీర్ లో సాధించిన అత్యధిక పరుగులు (7637) ',' 11 వ అత్యధిక పరుగులు ఇన్నింగ్స్ లో అంగీకరించి బౌల్డ్ చాలా బంతుల్లో (226) ',' 37 వ అత్యధిక వికెట్లు ఆకర్షించింది తీసుకున్న ( 182) ',' 20 వ అత్యధిక"&amp;" వికెట్లు ఒక ఫీల్డర్ (156) ',' 8 వ అత్యధిక వికెట్లు తీసుకున్న స్టంప్ పట్టుకుంటే తీసుకోకూడదు (18) ',' 43 వ 200 వికెట్లు (వేగంగా 51) ',' 22 వ 250 వికెట్లు (60) వేగంగా ' 'ఒక జట్టు కెప్టెన్గా 44 వ వరుస మ్యాచ్లు (22)', '23 వ వరుస (3) లో అన్ని టాస్ గెలిచి']")</f>
        <v>[ '23 వ కెరీర్ బాతులు (20)', '11 వ ఒక సిరీస్లో అత్యధిక బాతులు (4)', 'కెరీర్ లో 7 వ అత్యంత జతల (3)', '40 వ కెరీర్ లో అత్యధిక వికెట్లు (266)', '16 వ బెస్ట్ ఫిగర్స్ ఒక కెప్టెన్తో ఒక ఇన్నింగ్స్ లో (6) ',' ఒక కెప్టెన్తో ఒక మ్యాచ్లో 14 వ బెస్ట్ ఫిగర్స్ (10) ',' 24th ఒక ఇన్నింగ్స్ లోని బెస్ట్ ఫిగర్స్ ఉన్నప్పుడు పరాజయం వైపు (7) ',' 40 వ మ్యాచ్ లో బెస్ట్ ఫిగర్స్ పరాజయం వైపు (10) ',' ఇన్నింగ్స్ లో 9 వ చెత్త సమ్మె రేటు (426.0) ',' 41 వ అత్యంత ఐదు-వికెట్ల లో-ఒక-ఇన్నింగ్స్ కెరీర్లో (14) ',' 23 వ బంతుల్లో కెరీర్లో అత్యుత్తమంగా బౌల్ చేసి (21364) ',' 45 వ ఇన్నింగ్స్ (426) ',' 43 వ కెరీర్ లో సాధించిన అత్యధిక పరుగులు (7637) ',' 11 వ అత్యధిక పరుగులు ఇన్నింగ్స్ లో అంగీకరించి బౌల్డ్ చాలా బంతుల్లో (226) ',' 37 వ అత్యధిక వికెట్లు ఆకర్షించింది తీసుకున్న ( 182) ',' 20 వ అత్యధిక వికెట్లు ఒక ఫీల్డర్ (156) ',' 8 వ అత్యధిక వికెట్లు తీసుకున్న స్టంప్ పట్టుకుంటే తీసుకోకూడదు (18) ',' 43 వ 200 వికెట్లు (వేగంగా 51) ',' 22 వ 250 వికెట్లు (60) వేగంగా ' 'ఒక జట్టు కెప్టెన్గా 44 వ వరుస మ్యాచ్లు (22)', '23 వ వరుస (3) లో అన్ని టాస్ గెలిచి']</v>
      </c>
      <c r="E4610" s="2" t="s">
        <v>3257</v>
      </c>
      <c r="F4610" s="2" t="str">
        <f>IFERROR(__xludf.DUMMYFUNCTION("IF(E4610&lt;&gt;"""", GOOGLETRANSLATE(E4610, ""en"", ""te""),"""")"),"[ '3 వ ఉత్తమ ఆర్థిక వ్యవస్థ ఇన్నింగ్స్లో రేటు (0.50)']")</f>
        <v>[ '3 వ ఉత్తమ ఆర్థిక వ్యవస్థ ఇన్నింగ్స్లో రేటు (0.50)']</v>
      </c>
      <c r="G4610" s="2"/>
      <c r="H4610" s="2" t="str">
        <f>IFERROR(__xludf.DUMMYFUNCTION("IF(G4610&lt;&gt;"""", GOOGLETRANSLATE(G4610, ""en"", ""te""),"""")"),"")</f>
        <v/>
      </c>
      <c r="I4610" s="3"/>
    </row>
    <row r="4611" customHeight="1" spans="1:9">
      <c r="A4611" s="2" t="s">
        <v>3258</v>
      </c>
      <c r="B4611" s="2" t="str">
        <f>IFERROR(__xludf.DUMMYFUNCTION("IF(A4611&lt;&gt;"""", GOOGLETRANSLATE(A4611, ""en"", ""te""),"""")"),"[ '3 వ అత్యుత్తమ బౌలింగ్ ఇన్నింగ్స్ లో విశ్లేషించడం (5/7)', '6 వ అత్యధిక వరుస బాతులు (3)', '9 వ 100 వికెట్లు (57) వేగంగా', 'ఒక క్యాలెండర్ సంవత్సరంలో 2 వ అత్యధిక వికెట్లు (28)', 'ఇన్నింగ్స్ లో 1 వ అత్యంత పనికత్తెలయొద్ద (2)', '5 వ అత్యధిక వికెట్లు బౌల్డ్ తీ"&amp;"సుకోకూడదు (24)']")</f>
        <v>[ '3 వ అత్యుత్తమ బౌలింగ్ ఇన్నింగ్స్ లో విశ్లేషించడం (5/7)', '6 వ అత్యధిక వరుస బాతులు (3)', '9 వ 100 వికెట్లు (57) వేగంగా', 'ఒక క్యాలెండర్ సంవత్సరంలో 2 వ అత్యధిక వికెట్లు (28)', 'ఇన్నింగ్స్ లో 1 వ అత్యంత పనికత్తెలయొద్ద (2)', '5 వ అత్యధిక వికెట్లు బౌల్డ్ తీసుకోకూడదు (24)']</v>
      </c>
      <c r="C4611" s="2" t="s">
        <v>3259</v>
      </c>
      <c r="D4611" s="2" t="str">
        <f>IFERROR(__xludf.DUMMYFUNCTION("IF(C4611&lt;&gt;"""", GOOGLETRANSLATE(C4611, ""en"", ""te""),"""")"),"[50 వికెట్లు 41 వ వేగవంతమైన (11) '' 3 వ అత్యుత్తమ ఇన్నింగ్స్ లో విశ్లేషణలు బౌలింగ్ (5/7) ',' 35 వ ఉత్తమ కెరీర్ సగటు (22.10) బౌలింగ్ ',' 30 వ ఉత్తమ కెరీర్ సమ్మె రేటు (49.0) ',]")</f>
        <v>[50 వికెట్లు 41 వ వేగవంతమైన (11) '' 3 వ అత్యుత్తమ ఇన్నింగ్స్ లో విశ్లేషణలు బౌలింగ్ (5/7) ',' 35 వ ఉత్తమ కెరీర్ సగటు (22.10) బౌలింగ్ ',' 30 వ ఉత్తమ కెరీర్ సమ్మె రేటు (49.0) ',]</v>
      </c>
      <c r="E4611" s="2" t="s">
        <v>3260</v>
      </c>
      <c r="F4611" s="2" t="str">
        <f>IFERROR(__xludf.DUMMYFUNCTION("IF(E4611&lt;&gt;"""", GOOGLETRANSLATE(E4611, ""en"", ""te""),"""")"),"[ '6 వ అత్యధిక వరుస బాతులు (3)', '42 వ అత్యధిక వికెట్లు వరుస (18)', '13 వ వరుస నాలుగు వికెట్లు-ఇన్-ఒక-ఇన్నింగ్స్ (2)', '24 వ 50 వికెట్లు వేగంగా (28) ',' 100 వికెట్లు వేగవంతమైన 9 వ (57) ']")</f>
        <v>[ '6 వ అత్యధిక వరుస బాతులు (3)', '42 వ అత్యధిక వికెట్లు వరుస (18)', '13 వ వరుస నాలుగు వికెట్లు-ఇన్-ఒక-ఇన్నింగ్స్ (2)', '24 వ 50 వికెట్లు వేగంగా (28) ',' 100 వికెట్లు వేగవంతమైన 9 వ (57) ']</v>
      </c>
      <c r="G4611" s="2" t="s">
        <v>3261</v>
      </c>
      <c r="H4611" s="2" t="str">
        <f>IFERROR(__xludf.DUMMYFUNCTION("IF(G4611&lt;&gt;"""", GOOGLETRANSLATE(G4611, ""en"", ""te""),"""")"),"[ '20 వ అత్యంత కెరీర్లో వికెట్లు (59)', 'ఒక క్యాలెండర్ సంవత్సరంలో 2 వ అత్యధిక వికెట్లు (28)', '30 వ ఉత్తమ కెరీర్ బౌలింగ్ సరాసరి (20.25)', '21 వ ఉత్తమ కెరీర్ ఆర్థిక రేటు (6,66) ',' 26 వ అధిక కెరీర్లో బౌల్ చేయబడిన బంతులలో (1075) ',' 31 కెరీర్లో సాధించిన అత్"&amp;"యధిక పరుగులు (1195) ',' 45 వ బౌలర్ / ఫీల్డర్ కలయికలు (6) ',' 5 వ అత్యధిక వికెట్లు తీసుకున్న బౌల్డ్ (24) ',' 13 వ అత్యధిక వికెట్లు పట్టుకుంటే తీసుకున్న వికెట్కీపర్గా (8) ',' 32 వ అత్యధిక వికెట్లు తీసుకున్న ఎల్బిడబ్ల్యు (5) ',' 14 వ 50 వికెట్లు కెరీర్లో (41"&amp;") ',' 1 వ అత్యంత పనికత్తెలయొద్ద వేగంగా (7) ',' 1 వ అత్యంత పనికత్తెలయొద్ద ఇన్నింగ్స్ (2) ']")</f>
        <v>[ '20 వ అత్యంత కెరీర్లో వికెట్లు (59)', 'ఒక క్యాలెండర్ సంవత్సరంలో 2 వ అత్యధిక వికెట్లు (28)', '30 వ ఉత్తమ కెరీర్ బౌలింగ్ సరాసరి (20.25)', '21 వ ఉత్తమ కెరీర్ ఆర్థిక రేటు (6,66) ',' 26 వ అధిక కెరీర్లో బౌల్ చేయబడిన బంతులలో (1075) ',' 31 కెరీర్లో సాధించిన అత్యధిక పరుగులు (1195) ',' 45 వ బౌలర్ / ఫీల్డర్ కలయికలు (6) ',' 5 వ అత్యధిక వికెట్లు తీసుకున్న బౌల్డ్ (24) ',' 13 వ అత్యధిక వికెట్లు పట్టుకుంటే తీసుకున్న వికెట్కీపర్గా (8) ',' 32 వ అత్యధిక వికెట్లు తీసుకున్న ఎల్బిడబ్ల్యు (5) ',' 14 వ 50 వికెట్లు కెరీర్లో (41) ',' 1 వ అత్యంత పనికత్తెలయొద్ద వేగంగా (7) ',' 1 వ అత్యంత పనికత్తెలయొద్ద ఇన్నింగ్స్ (2) ']</v>
      </c>
      <c r="I4611" s="3"/>
    </row>
    <row r="4612" customHeight="1" spans="1:9">
      <c r="A4612" s="2"/>
      <c r="B4612" s="2" t="str">
        <f>IFERROR(__xludf.DUMMYFUNCTION("IF(A4612&lt;&gt;"""", GOOGLETRANSLATE(A4612, ""en"", ""te""),"""")"),"")</f>
        <v/>
      </c>
      <c r="C4612" s="2"/>
      <c r="D4612" s="2" t="str">
        <f>IFERROR(__xludf.DUMMYFUNCTION("IF(C4612&lt;&gt;"""", GOOGLETRANSLATE(C4612, ""en"", ""te""),"""")"),"")</f>
        <v/>
      </c>
      <c r="E4612" s="2"/>
      <c r="F4612" s="2" t="str">
        <f>IFERROR(__xludf.DUMMYFUNCTION("IF(E4612&lt;&gt;"""", GOOGLETRANSLATE(E4612, ""en"", ""te""),"""")"),"")</f>
        <v/>
      </c>
      <c r="G4612" s="2"/>
      <c r="H4612" s="2" t="str">
        <f>IFERROR(__xludf.DUMMYFUNCTION("IF(G4612&lt;&gt;"""", GOOGLETRANSLATE(G4612, ""en"", ""te""),"""")"),"")</f>
        <v/>
      </c>
      <c r="I4612" s="3"/>
    </row>
    <row r="4613" customHeight="1" spans="1:9">
      <c r="A4613" s="2"/>
      <c r="B4613" s="2" t="str">
        <f>IFERROR(__xludf.DUMMYFUNCTION("IF(A4613&lt;&gt;"""", GOOGLETRANSLATE(A4613, ""en"", ""te""),"""")"),"")</f>
        <v/>
      </c>
      <c r="C4613" s="2"/>
      <c r="D4613" s="2" t="str">
        <f>IFERROR(__xludf.DUMMYFUNCTION("IF(C4613&lt;&gt;"""", GOOGLETRANSLATE(C4613, ""en"", ""te""),"""")"),"")</f>
        <v/>
      </c>
      <c r="E4613" s="2"/>
      <c r="F4613" s="2" t="str">
        <f>IFERROR(__xludf.DUMMYFUNCTION("IF(E4613&lt;&gt;"""", GOOGLETRANSLATE(E4613, ""en"", ""te""),"""")"),"")</f>
        <v/>
      </c>
      <c r="G4613" s="2"/>
      <c r="H4613" s="2" t="str">
        <f>IFERROR(__xludf.DUMMYFUNCTION("IF(G4613&lt;&gt;"""", GOOGLETRANSLATE(G4613, ""en"", ""te""),"""")"),"")</f>
        <v/>
      </c>
      <c r="I4613" s="3"/>
    </row>
    <row r="4614" customHeight="1" spans="1:9">
      <c r="A4614" s="2"/>
      <c r="B4614" s="2" t="str">
        <f>IFERROR(__xludf.DUMMYFUNCTION("IF(A4614&lt;&gt;"""", GOOGLETRANSLATE(A4614, ""en"", ""te""),"""")"),"")</f>
        <v/>
      </c>
      <c r="C4614" s="2"/>
      <c r="D4614" s="2" t="str">
        <f>IFERROR(__xludf.DUMMYFUNCTION("IF(C4614&lt;&gt;"""", GOOGLETRANSLATE(C4614, ""en"", ""te""),"""")"),"")</f>
        <v/>
      </c>
      <c r="E4614" s="2"/>
      <c r="F4614" s="2" t="str">
        <f>IFERROR(__xludf.DUMMYFUNCTION("IF(E4614&lt;&gt;"""", GOOGLETRANSLATE(E4614, ""en"", ""te""),"""")"),"")</f>
        <v/>
      </c>
      <c r="G4614" s="2"/>
      <c r="H4614" s="2" t="str">
        <f>IFERROR(__xludf.DUMMYFUNCTION("IF(G4614&lt;&gt;"""", GOOGLETRANSLATE(G4614, ""en"", ""te""),"""")"),"")</f>
        <v/>
      </c>
      <c r="I4614" s="3"/>
    </row>
    <row r="4615" customHeight="1" spans="1:9">
      <c r="A4615" s="2"/>
      <c r="B4615" s="2" t="str">
        <f>IFERROR(__xludf.DUMMYFUNCTION("IF(A4615&lt;&gt;"""", GOOGLETRANSLATE(A4615, ""en"", ""te""),"""")"),"")</f>
        <v/>
      </c>
      <c r="C4615" s="2"/>
      <c r="D4615" s="2" t="str">
        <f>IFERROR(__xludf.DUMMYFUNCTION("IF(C4615&lt;&gt;"""", GOOGLETRANSLATE(C4615, ""en"", ""te""),"""")"),"")</f>
        <v/>
      </c>
      <c r="E4615" s="2"/>
      <c r="F4615" s="2" t="str">
        <f>IFERROR(__xludf.DUMMYFUNCTION("IF(E4615&lt;&gt;"""", GOOGLETRANSLATE(E4615, ""en"", ""te""),"""")"),"")</f>
        <v/>
      </c>
      <c r="G4615" s="2"/>
      <c r="H4615" s="2" t="str">
        <f>IFERROR(__xludf.DUMMYFUNCTION("IF(G4615&lt;&gt;"""", GOOGLETRANSLATE(G4615, ""en"", ""te""),"""")"),"")</f>
        <v/>
      </c>
      <c r="I4615" s="3"/>
    </row>
    <row r="4616" customHeight="1" spans="1:9">
      <c r="A4616" s="2"/>
      <c r="B4616" s="2" t="str">
        <f>IFERROR(__xludf.DUMMYFUNCTION("IF(A4616&lt;&gt;"""", GOOGLETRANSLATE(A4616, ""en"", ""te""),"""")"),"")</f>
        <v/>
      </c>
      <c r="C4616" s="2"/>
      <c r="D4616" s="2" t="str">
        <f>IFERROR(__xludf.DUMMYFUNCTION("IF(C4616&lt;&gt;"""", GOOGLETRANSLATE(C4616, ""en"", ""te""),"""")"),"")</f>
        <v/>
      </c>
      <c r="E4616" s="2"/>
      <c r="F4616" s="2" t="str">
        <f>IFERROR(__xludf.DUMMYFUNCTION("IF(E4616&lt;&gt;"""", GOOGLETRANSLATE(E4616, ""en"", ""te""),"""")"),"")</f>
        <v/>
      </c>
      <c r="G4616" s="2"/>
      <c r="H4616" s="2" t="str">
        <f>IFERROR(__xludf.DUMMYFUNCTION("IF(G4616&lt;&gt;"""", GOOGLETRANSLATE(G4616, ""en"", ""te""),"""")"),"")</f>
        <v/>
      </c>
      <c r="I4616" s="3"/>
    </row>
    <row r="4617" customHeight="1" spans="1:9">
      <c r="A4617" s="2"/>
      <c r="B4617" s="2" t="str">
        <f>IFERROR(__xludf.DUMMYFUNCTION("IF(A4617&lt;&gt;"""", GOOGLETRANSLATE(A4617, ""en"", ""te""),"""")"),"")</f>
        <v/>
      </c>
      <c r="C4617" s="2"/>
      <c r="D4617" s="2" t="str">
        <f>IFERROR(__xludf.DUMMYFUNCTION("IF(C4617&lt;&gt;"""", GOOGLETRANSLATE(C4617, ""en"", ""te""),"""")"),"")</f>
        <v/>
      </c>
      <c r="E4617" s="2"/>
      <c r="F4617" s="2" t="str">
        <f>IFERROR(__xludf.DUMMYFUNCTION("IF(E4617&lt;&gt;"""", GOOGLETRANSLATE(E4617, ""en"", ""te""),"""")"),"")</f>
        <v/>
      </c>
      <c r="G4617" s="2"/>
      <c r="H4617" s="2" t="str">
        <f>IFERROR(__xludf.DUMMYFUNCTION("IF(G4617&lt;&gt;"""", GOOGLETRANSLATE(G4617, ""en"", ""te""),"""")"),"")</f>
        <v/>
      </c>
      <c r="I4617" s="3"/>
    </row>
    <row r="4618" customHeight="1" spans="1:9">
      <c r="A4618" s="2"/>
      <c r="B4618" s="2" t="str">
        <f>IFERROR(__xludf.DUMMYFUNCTION("IF(A4618&lt;&gt;"""", GOOGLETRANSLATE(A4618, ""en"", ""te""),"""")"),"")</f>
        <v/>
      </c>
      <c r="C4618" s="2"/>
      <c r="D4618" s="2" t="str">
        <f>IFERROR(__xludf.DUMMYFUNCTION("IF(C4618&lt;&gt;"""", GOOGLETRANSLATE(C4618, ""en"", ""te""),"""")"),"")</f>
        <v/>
      </c>
      <c r="E4618" s="2"/>
      <c r="F4618" s="2" t="str">
        <f>IFERROR(__xludf.DUMMYFUNCTION("IF(E4618&lt;&gt;"""", GOOGLETRANSLATE(E4618, ""en"", ""te""),"""")"),"")</f>
        <v/>
      </c>
      <c r="G4618" s="2"/>
      <c r="H4618" s="2" t="str">
        <f>IFERROR(__xludf.DUMMYFUNCTION("IF(G4618&lt;&gt;"""", GOOGLETRANSLATE(G4618, ""en"", ""te""),"""")"),"")</f>
        <v/>
      </c>
      <c r="I4618" s="3"/>
    </row>
    <row r="4619" customHeight="1" spans="1:9">
      <c r="A4619" s="2" t="s">
        <v>3262</v>
      </c>
      <c r="B4619" s="2" t="str">
        <f>IFERROR(__xludf.DUMMYFUNCTION("IF(A4619&lt;&gt;"""", GOOGLETRANSLATE(A4619, ""en"", ""te""),"""")"),"[ 'ఇన్నింగ్స్ లో 6 వ అత్యధిక పరుగులు (బ్యాటింగ్ స్థానంలో ప్రకారం) (26)', '1 వ వరుస బాతులు (3)']")</f>
        <v>[ 'ఇన్నింగ్స్ లో 6 వ అత్యధిక పరుగులు (బ్యాటింగ్ స్థానంలో ప్రకారం) (26)', '1 వ వరుస బాతులు (3)']</v>
      </c>
      <c r="C4619" s="2" t="s">
        <v>3263</v>
      </c>
      <c r="D4619" s="2" t="str">
        <f>IFERROR(__xludf.DUMMYFUNCTION("IF(C4619&lt;&gt;"""", GOOGLETRANSLATE(C4619, ""en"", ""te""),"""")"),"[ 'ఇన్నింగ్స్ లో 6 వ అత్యధిక పరుగులు (బ్యాటింగ్ స్థానంలో ప్రకారం) (26)', '6 వ కెరీర్ బాతులు (4)', '1 వ వరుస బాతులు (3)', '2 వ కెరీర్ జతల (1)', 18 వ ఒక సిరీస్లో అత్యధిక వికెట్లు (16) ',' 19 ఒక క్యాలెండర్ సంవత్సరంలో అత్యధిక వికెట్లు (16) ',' ఇన్నింగ్స్ లో 1"&amp;"1 వ అత్యుత్తమ బౌలింగ్ విశ్లేషణలు (5/25) ',' 33 వ ఉత్తమ కెరీర్ బౌలింగ్ సరాసరి (22.10) ' '20 వ ఉత్తమ కెరీర్ సమ్మె రేటు (62.9)', 'ఇన్నింగ్స్ లో 24 వ ఉత్తమ సమ్మె రేటు (18.0)', '12 వ బౌలర్ / బ్యాట్స్ కలయికలు (4)']")</f>
        <v>[ 'ఇన్నింగ్స్ లో 6 వ అత్యధిక పరుగులు (బ్యాటింగ్ స్థానంలో ప్రకారం) (26)', '6 వ కెరీర్ బాతులు (4)', '1 వ వరుస బాతులు (3)', '2 వ కెరీర్ జతల (1)', 18 వ ఒక సిరీస్లో అత్యధిక వికెట్లు (16) ',' 19 ఒక క్యాలెండర్ సంవత్సరంలో అత్యధిక వికెట్లు (16) ',' ఇన్నింగ్స్ లో 11 వ అత్యుత్తమ బౌలింగ్ విశ్లేషణలు (5/25) ',' 33 వ ఉత్తమ కెరీర్ బౌలింగ్ సరాసరి (22.10) ' '20 వ ఉత్తమ కెరీర్ సమ్మె రేటు (62.9)', 'ఇన్నింగ్స్ లో 24 వ ఉత్తమ సమ్మె రేటు (18.0)', '12 వ బౌలర్ / బ్యాట్స్ కలయికలు (4)']</v>
      </c>
      <c r="E4619" s="2" t="s">
        <v>1079</v>
      </c>
      <c r="F4619" s="2" t="str">
        <f>IFERROR(__xludf.DUMMYFUNCTION("IF(E4619&lt;&gt;"""", GOOGLETRANSLATE(E4619, ""en"", ""te""),"""")"),"[ '41 వ ఒక సిరీస్లో అత్యధిక వికెట్లు (17)']")</f>
        <v>[ '41 వ ఒక సిరీస్లో అత్యధిక వికెట్లు (17)']</v>
      </c>
      <c r="G4619" s="2"/>
      <c r="H4619" s="2" t="str">
        <f>IFERROR(__xludf.DUMMYFUNCTION("IF(G4619&lt;&gt;"""", GOOGLETRANSLATE(G4619, ""en"", ""te""),"""")"),"")</f>
        <v/>
      </c>
      <c r="I4619" s="3"/>
    </row>
    <row r="4620" customHeight="1" spans="1:9">
      <c r="A4620" s="2"/>
      <c r="B4620" s="2" t="str">
        <f>IFERROR(__xludf.DUMMYFUNCTION("IF(A4620&lt;&gt;"""", GOOGLETRANSLATE(A4620, ""en"", ""te""),"""")"),"")</f>
        <v/>
      </c>
      <c r="C4620" s="2"/>
      <c r="D4620" s="2" t="str">
        <f>IFERROR(__xludf.DUMMYFUNCTION("IF(C4620&lt;&gt;"""", GOOGLETRANSLATE(C4620, ""en"", ""te""),"""")"),"")</f>
        <v/>
      </c>
      <c r="E4620" s="2"/>
      <c r="F4620" s="2" t="str">
        <f>IFERROR(__xludf.DUMMYFUNCTION("IF(E4620&lt;&gt;"""", GOOGLETRANSLATE(E4620, ""en"", ""te""),"""")"),"")</f>
        <v/>
      </c>
      <c r="G4620" s="2"/>
      <c r="H4620" s="2" t="str">
        <f>IFERROR(__xludf.DUMMYFUNCTION("IF(G4620&lt;&gt;"""", GOOGLETRANSLATE(G4620, ""en"", ""te""),"""")"),"")</f>
        <v/>
      </c>
      <c r="I4620" s="3"/>
    </row>
    <row r="4621" customHeight="1" spans="1:9">
      <c r="A4621" s="2"/>
      <c r="B4621" s="2" t="str">
        <f>IFERROR(__xludf.DUMMYFUNCTION("IF(A4621&lt;&gt;"""", GOOGLETRANSLATE(A4621, ""en"", ""te""),"""")"),"")</f>
        <v/>
      </c>
      <c r="C4621" s="2"/>
      <c r="D4621" s="2" t="str">
        <f>IFERROR(__xludf.DUMMYFUNCTION("IF(C4621&lt;&gt;"""", GOOGLETRANSLATE(C4621, ""en"", ""te""),"""")"),"")</f>
        <v/>
      </c>
      <c r="E4621" s="2"/>
      <c r="F4621" s="2" t="str">
        <f>IFERROR(__xludf.DUMMYFUNCTION("IF(E4621&lt;&gt;"""", GOOGLETRANSLATE(E4621, ""en"", ""te""),"""")"),"")</f>
        <v/>
      </c>
      <c r="G4621" s="2"/>
      <c r="H4621" s="2" t="str">
        <f>IFERROR(__xludf.DUMMYFUNCTION("IF(G4621&lt;&gt;"""", GOOGLETRANSLATE(G4621, ""en"", ""te""),"""")"),"")</f>
        <v/>
      </c>
      <c r="I4621" s="3"/>
    </row>
    <row r="4622" customHeight="1" spans="1:9">
      <c r="A4622" s="2"/>
      <c r="B4622" s="2" t="str">
        <f>IFERROR(__xludf.DUMMYFUNCTION("IF(A4622&lt;&gt;"""", GOOGLETRANSLATE(A4622, ""en"", ""te""),"""")"),"")</f>
        <v/>
      </c>
      <c r="C4622" s="2"/>
      <c r="D4622" s="2" t="str">
        <f>IFERROR(__xludf.DUMMYFUNCTION("IF(C4622&lt;&gt;"""", GOOGLETRANSLATE(C4622, ""en"", ""te""),"""")"),"")</f>
        <v/>
      </c>
      <c r="E4622" s="2"/>
      <c r="F4622" s="2" t="str">
        <f>IFERROR(__xludf.DUMMYFUNCTION("IF(E4622&lt;&gt;"""", GOOGLETRANSLATE(E4622, ""en"", ""te""),"""")"),"")</f>
        <v/>
      </c>
      <c r="G4622" s="2"/>
      <c r="H4622" s="2" t="str">
        <f>IFERROR(__xludf.DUMMYFUNCTION("IF(G4622&lt;&gt;"""", GOOGLETRANSLATE(G4622, ""en"", ""te""),"""")"),"")</f>
        <v/>
      </c>
      <c r="I4622" s="3"/>
    </row>
    <row r="4623" customHeight="1" spans="1:9">
      <c r="A4623" s="2"/>
      <c r="B4623" s="2" t="str">
        <f>IFERROR(__xludf.DUMMYFUNCTION("IF(A4623&lt;&gt;"""", GOOGLETRANSLATE(A4623, ""en"", ""te""),"""")"),"")</f>
        <v/>
      </c>
      <c r="C4623" s="2"/>
      <c r="D4623" s="2" t="str">
        <f>IFERROR(__xludf.DUMMYFUNCTION("IF(C4623&lt;&gt;"""", GOOGLETRANSLATE(C4623, ""en"", ""te""),"""")"),"")</f>
        <v/>
      </c>
      <c r="E4623" s="2"/>
      <c r="F4623" s="2" t="str">
        <f>IFERROR(__xludf.DUMMYFUNCTION("IF(E4623&lt;&gt;"""", GOOGLETRANSLATE(E4623, ""en"", ""te""),"""")"),"")</f>
        <v/>
      </c>
      <c r="G4623" s="2"/>
      <c r="H4623" s="2" t="str">
        <f>IFERROR(__xludf.DUMMYFUNCTION("IF(G4623&lt;&gt;"""", GOOGLETRANSLATE(G4623, ""en"", ""te""),"""")"),"")</f>
        <v/>
      </c>
      <c r="I4623" s="3"/>
    </row>
    <row r="4624" customHeight="1" spans="1:9">
      <c r="A4624" s="2"/>
      <c r="B4624" s="2" t="str">
        <f>IFERROR(__xludf.DUMMYFUNCTION("IF(A4624&lt;&gt;"""", GOOGLETRANSLATE(A4624, ""en"", ""te""),"""")"),"")</f>
        <v/>
      </c>
      <c r="C4624" s="2"/>
      <c r="D4624" s="2" t="str">
        <f>IFERROR(__xludf.DUMMYFUNCTION("IF(C4624&lt;&gt;"""", GOOGLETRANSLATE(C4624, ""en"", ""te""),"""")"),"")</f>
        <v/>
      </c>
      <c r="E4624" s="2"/>
      <c r="F4624" s="2" t="str">
        <f>IFERROR(__xludf.DUMMYFUNCTION("IF(E4624&lt;&gt;"""", GOOGLETRANSLATE(E4624, ""en"", ""te""),"""")"),"")</f>
        <v/>
      </c>
      <c r="G4624" s="2"/>
      <c r="H4624" s="2" t="str">
        <f>IFERROR(__xludf.DUMMYFUNCTION("IF(G4624&lt;&gt;"""", GOOGLETRANSLATE(G4624, ""en"", ""te""),"""")"),"")</f>
        <v/>
      </c>
      <c r="I4624" s="3"/>
    </row>
    <row r="4625" customHeight="1" spans="1:9">
      <c r="A4625" s="2"/>
      <c r="B4625" s="2" t="str">
        <f>IFERROR(__xludf.DUMMYFUNCTION("IF(A4625&lt;&gt;"""", GOOGLETRANSLATE(A4625, ""en"", ""te""),"""")"),"")</f>
        <v/>
      </c>
      <c r="C4625" s="2"/>
      <c r="D4625" s="2" t="str">
        <f>IFERROR(__xludf.DUMMYFUNCTION("IF(C4625&lt;&gt;"""", GOOGLETRANSLATE(C4625, ""en"", ""te""),"""")"),"")</f>
        <v/>
      </c>
      <c r="E4625" s="2"/>
      <c r="F4625" s="2" t="str">
        <f>IFERROR(__xludf.DUMMYFUNCTION("IF(E4625&lt;&gt;"""", GOOGLETRANSLATE(E4625, ""en"", ""te""),"""")"),"")</f>
        <v/>
      </c>
      <c r="G4625" s="2"/>
      <c r="H4625" s="2" t="str">
        <f>IFERROR(__xludf.DUMMYFUNCTION("IF(G4625&lt;&gt;"""", GOOGLETRANSLATE(G4625, ""en"", ""te""),"""")"),"")</f>
        <v/>
      </c>
      <c r="I4625" s="3"/>
    </row>
    <row r="4626" customHeight="1" spans="1:9">
      <c r="A4626" s="2"/>
      <c r="B4626" s="2" t="str">
        <f>IFERROR(__xludf.DUMMYFUNCTION("IF(A4626&lt;&gt;"""", GOOGLETRANSLATE(A4626, ""en"", ""te""),"""")"),"")</f>
        <v/>
      </c>
      <c r="C4626" s="2"/>
      <c r="D4626" s="2" t="str">
        <f>IFERROR(__xludf.DUMMYFUNCTION("IF(C4626&lt;&gt;"""", GOOGLETRANSLATE(C4626, ""en"", ""te""),"""")"),"")</f>
        <v/>
      </c>
      <c r="E4626" s="2"/>
      <c r="F4626" s="2" t="str">
        <f>IFERROR(__xludf.DUMMYFUNCTION("IF(E4626&lt;&gt;"""", GOOGLETRANSLATE(E4626, ""en"", ""te""),"""")"),"")</f>
        <v/>
      </c>
      <c r="G4626" s="2"/>
      <c r="H4626" s="2" t="str">
        <f>IFERROR(__xludf.DUMMYFUNCTION("IF(G4626&lt;&gt;"""", GOOGLETRANSLATE(G4626, ""en"", ""te""),"""")"),"")</f>
        <v/>
      </c>
      <c r="I4626" s="3"/>
    </row>
    <row r="4627" customHeight="1" spans="1:9">
      <c r="A4627" s="2"/>
      <c r="B4627" s="2" t="str">
        <f>IFERROR(__xludf.DUMMYFUNCTION("IF(A4627&lt;&gt;"""", GOOGLETRANSLATE(A4627, ""en"", ""te""),"""")"),"")</f>
        <v/>
      </c>
      <c r="C4627" s="2"/>
      <c r="D4627" s="2" t="str">
        <f>IFERROR(__xludf.DUMMYFUNCTION("IF(C4627&lt;&gt;"""", GOOGLETRANSLATE(C4627, ""en"", ""te""),"""")"),"")</f>
        <v/>
      </c>
      <c r="E4627" s="2"/>
      <c r="F4627" s="2" t="str">
        <f>IFERROR(__xludf.DUMMYFUNCTION("IF(E4627&lt;&gt;"""", GOOGLETRANSLATE(E4627, ""en"", ""te""),"""")"),"")</f>
        <v/>
      </c>
      <c r="G4627" s="2"/>
      <c r="H4627" s="2" t="str">
        <f>IFERROR(__xludf.DUMMYFUNCTION("IF(G4627&lt;&gt;"""", GOOGLETRANSLATE(G4627, ""en"", ""te""),"""")"),"")</f>
        <v/>
      </c>
      <c r="I4627" s="3"/>
    </row>
    <row r="4628" customHeight="1" spans="1:9">
      <c r="A4628" s="2"/>
      <c r="B4628" s="2" t="str">
        <f>IFERROR(__xludf.DUMMYFUNCTION("IF(A4628&lt;&gt;"""", GOOGLETRANSLATE(A4628, ""en"", ""te""),"""")"),"")</f>
        <v/>
      </c>
      <c r="C4628" s="2"/>
      <c r="D4628" s="2" t="str">
        <f>IFERROR(__xludf.DUMMYFUNCTION("IF(C4628&lt;&gt;"""", GOOGLETRANSLATE(C4628, ""en"", ""te""),"""")"),"")</f>
        <v/>
      </c>
      <c r="E4628" s="2"/>
      <c r="F4628" s="2" t="str">
        <f>IFERROR(__xludf.DUMMYFUNCTION("IF(E4628&lt;&gt;"""", GOOGLETRANSLATE(E4628, ""en"", ""te""),"""")"),"")</f>
        <v/>
      </c>
      <c r="G4628" s="2"/>
      <c r="H4628" s="2" t="str">
        <f>IFERROR(__xludf.DUMMYFUNCTION("IF(G4628&lt;&gt;"""", GOOGLETRANSLATE(G4628, ""en"", ""te""),"""")"),"")</f>
        <v/>
      </c>
      <c r="I4628" s="3"/>
    </row>
    <row r="4629" customHeight="1" spans="1:9">
      <c r="A4629" s="2"/>
      <c r="B4629" s="2" t="str">
        <f>IFERROR(__xludf.DUMMYFUNCTION("IF(A4629&lt;&gt;"""", GOOGLETRANSLATE(A4629, ""en"", ""te""),"""")"),"")</f>
        <v/>
      </c>
      <c r="C4629" s="2"/>
      <c r="D4629" s="2" t="str">
        <f>IFERROR(__xludf.DUMMYFUNCTION("IF(C4629&lt;&gt;"""", GOOGLETRANSLATE(C4629, ""en"", ""te""),"""")"),"")</f>
        <v/>
      </c>
      <c r="E4629" s="2"/>
      <c r="F4629" s="2" t="str">
        <f>IFERROR(__xludf.DUMMYFUNCTION("IF(E4629&lt;&gt;"""", GOOGLETRANSLATE(E4629, ""en"", ""te""),"""")"),"")</f>
        <v/>
      </c>
      <c r="G4629" s="2"/>
      <c r="H4629" s="2" t="str">
        <f>IFERROR(__xludf.DUMMYFUNCTION("IF(G4629&lt;&gt;"""", GOOGLETRANSLATE(G4629, ""en"", ""te""),"""")"),"")</f>
        <v/>
      </c>
      <c r="I4629" s="3"/>
    </row>
    <row r="4630" customHeight="1" spans="1:9">
      <c r="A4630" s="2"/>
      <c r="B4630" s="2" t="str">
        <f>IFERROR(__xludf.DUMMYFUNCTION("IF(A4630&lt;&gt;"""", GOOGLETRANSLATE(A4630, ""en"", ""te""),"""")"),"")</f>
        <v/>
      </c>
      <c r="C4630" s="2"/>
      <c r="D4630" s="2" t="str">
        <f>IFERROR(__xludf.DUMMYFUNCTION("IF(C4630&lt;&gt;"""", GOOGLETRANSLATE(C4630, ""en"", ""te""),"""")"),"")</f>
        <v/>
      </c>
      <c r="E4630" s="2"/>
      <c r="F4630" s="2" t="str">
        <f>IFERROR(__xludf.DUMMYFUNCTION("IF(E4630&lt;&gt;"""", GOOGLETRANSLATE(E4630, ""en"", ""te""),"""")"),"")</f>
        <v/>
      </c>
      <c r="G4630" s="2"/>
      <c r="H4630" s="2" t="str">
        <f>IFERROR(__xludf.DUMMYFUNCTION("IF(G4630&lt;&gt;"""", GOOGLETRANSLATE(G4630, ""en"", ""te""),"""")"),"")</f>
        <v/>
      </c>
      <c r="I4630" s="3"/>
    </row>
    <row r="4631" customHeight="1" spans="1:9">
      <c r="A4631" s="2"/>
      <c r="B4631" s="2" t="str">
        <f>IFERROR(__xludf.DUMMYFUNCTION("IF(A4631&lt;&gt;"""", GOOGLETRANSLATE(A4631, ""en"", ""te""),"""")"),"")</f>
        <v/>
      </c>
      <c r="C4631" s="2"/>
      <c r="D4631" s="2" t="str">
        <f>IFERROR(__xludf.DUMMYFUNCTION("IF(C4631&lt;&gt;"""", GOOGLETRANSLATE(C4631, ""en"", ""te""),"""")"),"")</f>
        <v/>
      </c>
      <c r="E4631" s="2"/>
      <c r="F4631" s="2" t="str">
        <f>IFERROR(__xludf.DUMMYFUNCTION("IF(E4631&lt;&gt;"""", GOOGLETRANSLATE(E4631, ""en"", ""te""),"""")"),"")</f>
        <v/>
      </c>
      <c r="G4631" s="2"/>
      <c r="H4631" s="2" t="str">
        <f>IFERROR(__xludf.DUMMYFUNCTION("IF(G4631&lt;&gt;"""", GOOGLETRANSLATE(G4631, ""en"", ""te""),"""")"),"")</f>
        <v/>
      </c>
      <c r="I4631" s="3"/>
    </row>
    <row r="4632" customHeight="1" spans="1:9">
      <c r="A4632" s="2"/>
      <c r="B4632" s="2" t="str">
        <f>IFERROR(__xludf.DUMMYFUNCTION("IF(A4632&lt;&gt;"""", GOOGLETRANSLATE(A4632, ""en"", ""te""),"""")"),"")</f>
        <v/>
      </c>
      <c r="C4632" s="2"/>
      <c r="D4632" s="2" t="str">
        <f>IFERROR(__xludf.DUMMYFUNCTION("IF(C4632&lt;&gt;"""", GOOGLETRANSLATE(C4632, ""en"", ""te""),"""")"),"")</f>
        <v/>
      </c>
      <c r="E4632" s="2"/>
      <c r="F4632" s="2" t="str">
        <f>IFERROR(__xludf.DUMMYFUNCTION("IF(E4632&lt;&gt;"""", GOOGLETRANSLATE(E4632, ""en"", ""te""),"""")"),"")</f>
        <v/>
      </c>
      <c r="G4632" s="2"/>
      <c r="H4632" s="2" t="str">
        <f>IFERROR(__xludf.DUMMYFUNCTION("IF(G4632&lt;&gt;"""", GOOGLETRANSLATE(G4632, ""en"", ""te""),"""")"),"")</f>
        <v/>
      </c>
      <c r="I4632" s="3"/>
    </row>
    <row r="4633" customHeight="1" spans="1:9">
      <c r="A4633" s="2"/>
      <c r="B4633" s="2" t="str">
        <f>IFERROR(__xludf.DUMMYFUNCTION("IF(A4633&lt;&gt;"""", GOOGLETRANSLATE(A4633, ""en"", ""te""),"""")"),"")</f>
        <v/>
      </c>
      <c r="C4633" s="2"/>
      <c r="D4633" s="2" t="str">
        <f>IFERROR(__xludf.DUMMYFUNCTION("IF(C4633&lt;&gt;"""", GOOGLETRANSLATE(C4633, ""en"", ""te""),"""")"),"")</f>
        <v/>
      </c>
      <c r="E4633" s="2"/>
      <c r="F4633" s="2" t="str">
        <f>IFERROR(__xludf.DUMMYFUNCTION("IF(E4633&lt;&gt;"""", GOOGLETRANSLATE(E4633, ""en"", ""te""),"""")"),"")</f>
        <v/>
      </c>
      <c r="G4633" s="2"/>
      <c r="H4633" s="2" t="str">
        <f>IFERROR(__xludf.DUMMYFUNCTION("IF(G4633&lt;&gt;"""", GOOGLETRANSLATE(G4633, ""en"", ""te""),"""")"),"")</f>
        <v/>
      </c>
      <c r="I4633" s="3"/>
    </row>
    <row r="4634" customHeight="1" spans="1:9">
      <c r="A4634" s="2"/>
      <c r="B4634" s="2" t="str">
        <f>IFERROR(__xludf.DUMMYFUNCTION("IF(A4634&lt;&gt;"""", GOOGLETRANSLATE(A4634, ""en"", ""te""),"""")"),"")</f>
        <v/>
      </c>
      <c r="C4634" s="2"/>
      <c r="D4634" s="2" t="str">
        <f>IFERROR(__xludf.DUMMYFUNCTION("IF(C4634&lt;&gt;"""", GOOGLETRANSLATE(C4634, ""en"", ""te""),"""")"),"")</f>
        <v/>
      </c>
      <c r="E4634" s="2"/>
      <c r="F4634" s="2" t="str">
        <f>IFERROR(__xludf.DUMMYFUNCTION("IF(E4634&lt;&gt;"""", GOOGLETRANSLATE(E4634, ""en"", ""te""),"""")"),"")</f>
        <v/>
      </c>
      <c r="G4634" s="2"/>
      <c r="H4634" s="2" t="str">
        <f>IFERROR(__xludf.DUMMYFUNCTION("IF(G4634&lt;&gt;"""", GOOGLETRANSLATE(G4634, ""en"", ""te""),"""")"),"")</f>
        <v/>
      </c>
      <c r="I4634" s="3"/>
    </row>
    <row r="4635" customHeight="1" spans="1:9">
      <c r="A4635" s="2"/>
      <c r="B4635" s="2" t="str">
        <f>IFERROR(__xludf.DUMMYFUNCTION("IF(A4635&lt;&gt;"""", GOOGLETRANSLATE(A4635, ""en"", ""te""),"""")"),"")</f>
        <v/>
      </c>
      <c r="C4635" s="2"/>
      <c r="D4635" s="2" t="str">
        <f>IFERROR(__xludf.DUMMYFUNCTION("IF(C4635&lt;&gt;"""", GOOGLETRANSLATE(C4635, ""en"", ""te""),"""")"),"")</f>
        <v/>
      </c>
      <c r="E4635" s="2"/>
      <c r="F4635" s="2" t="str">
        <f>IFERROR(__xludf.DUMMYFUNCTION("IF(E4635&lt;&gt;"""", GOOGLETRANSLATE(E4635, ""en"", ""te""),"""")"),"")</f>
        <v/>
      </c>
      <c r="G4635" s="2"/>
      <c r="H4635" s="2" t="str">
        <f>IFERROR(__xludf.DUMMYFUNCTION("IF(G4635&lt;&gt;"""", GOOGLETRANSLATE(G4635, ""en"", ""te""),"""")"),"")</f>
        <v/>
      </c>
      <c r="I4635" s="3"/>
    </row>
    <row r="4636" customHeight="1" spans="1:9">
      <c r="A4636" s="2"/>
      <c r="B4636" s="2" t="str">
        <f>IFERROR(__xludf.DUMMYFUNCTION("IF(A4636&lt;&gt;"""", GOOGLETRANSLATE(A4636, ""en"", ""te""),"""")"),"")</f>
        <v/>
      </c>
      <c r="C4636" s="2"/>
      <c r="D4636" s="2" t="str">
        <f>IFERROR(__xludf.DUMMYFUNCTION("IF(C4636&lt;&gt;"""", GOOGLETRANSLATE(C4636, ""en"", ""te""),"""")"),"")</f>
        <v/>
      </c>
      <c r="E4636" s="2"/>
      <c r="F4636" s="2" t="str">
        <f>IFERROR(__xludf.DUMMYFUNCTION("IF(E4636&lt;&gt;"""", GOOGLETRANSLATE(E4636, ""en"", ""te""),"""")"),"")</f>
        <v/>
      </c>
      <c r="G4636" s="2"/>
      <c r="H4636" s="2" t="str">
        <f>IFERROR(__xludf.DUMMYFUNCTION("IF(G4636&lt;&gt;"""", GOOGLETRANSLATE(G4636, ""en"", ""te""),"""")"),"")</f>
        <v/>
      </c>
      <c r="I4636" s="3"/>
    </row>
    <row r="4637" customHeight="1" spans="1:9">
      <c r="A4637" s="2"/>
      <c r="B4637" s="2" t="str">
        <f>IFERROR(__xludf.DUMMYFUNCTION("IF(A4637&lt;&gt;"""", GOOGLETRANSLATE(A4637, ""en"", ""te""),"""")"),"")</f>
        <v/>
      </c>
      <c r="C4637" s="2"/>
      <c r="D4637" s="2" t="str">
        <f>IFERROR(__xludf.DUMMYFUNCTION("IF(C4637&lt;&gt;"""", GOOGLETRANSLATE(C4637, ""en"", ""te""),"""")"),"")</f>
        <v/>
      </c>
      <c r="E4637" s="2"/>
      <c r="F4637" s="2" t="str">
        <f>IFERROR(__xludf.DUMMYFUNCTION("IF(E4637&lt;&gt;"""", GOOGLETRANSLATE(E4637, ""en"", ""te""),"""")"),"")</f>
        <v/>
      </c>
      <c r="G4637" s="2"/>
      <c r="H4637" s="2" t="str">
        <f>IFERROR(__xludf.DUMMYFUNCTION("IF(G4637&lt;&gt;"""", GOOGLETRANSLATE(G4637, ""en"", ""te""),"""")"),"")</f>
        <v/>
      </c>
      <c r="I4637" s="3"/>
    </row>
    <row r="4638" customHeight="1" spans="1:9">
      <c r="A4638" s="2"/>
      <c r="B4638" s="2" t="str">
        <f>IFERROR(__xludf.DUMMYFUNCTION("IF(A4638&lt;&gt;"""", GOOGLETRANSLATE(A4638, ""en"", ""te""),"""")"),"")</f>
        <v/>
      </c>
      <c r="C4638" s="2"/>
      <c r="D4638" s="2" t="str">
        <f>IFERROR(__xludf.DUMMYFUNCTION("IF(C4638&lt;&gt;"""", GOOGLETRANSLATE(C4638, ""en"", ""te""),"""")"),"")</f>
        <v/>
      </c>
      <c r="E4638" s="2"/>
      <c r="F4638" s="2" t="str">
        <f>IFERROR(__xludf.DUMMYFUNCTION("IF(E4638&lt;&gt;"""", GOOGLETRANSLATE(E4638, ""en"", ""te""),"""")"),"")</f>
        <v/>
      </c>
      <c r="G4638" s="2"/>
      <c r="H4638" s="2" t="str">
        <f>IFERROR(__xludf.DUMMYFUNCTION("IF(G4638&lt;&gt;"""", GOOGLETRANSLATE(G4638, ""en"", ""te""),"""")"),"")</f>
        <v/>
      </c>
      <c r="I4638" s="3"/>
    </row>
    <row r="4639" customHeight="1" spans="1:9">
      <c r="A4639" s="2" t="s">
        <v>3264</v>
      </c>
      <c r="B4639" s="2" t="str">
        <f>IFERROR(__xludf.DUMMYFUNCTION("IF(A4639&lt;&gt;"""", GOOGLETRANSLATE(A4639, ""en"", ""te""),"""")"),"[ '6 వ అత్యంత వంద (548) లేకుండా ఒక వృత్తిలో పరుగులు', 'బ్యాటింగ్ తెరవడం మరియు అదే మ్యాచ్ లో బౌలింగ్', '1 వ ఇన్నింగ్స్ (3) లో అత్యధిక క్యాచ్లు' 'కెరీర్ (127) లో 10 వ అత్యధిక మ్యాచ్లు' '9 వ కెరీర్ (16) వెనుదిరిగాడు']")</f>
        <v>[ '6 వ అత్యంత వంద (548) లేకుండా ఒక వృత్తిలో పరుగులు', 'బ్యాటింగ్ తెరవడం మరియు అదే మ్యాచ్ లో బౌలింగ్', '1 వ ఇన్నింగ్స్ (3) లో అత్యధిక క్యాచ్లు' 'కెరీర్ (127) లో 10 వ అత్యధిక మ్యాచ్లు' '9 వ కెరీర్ (16) వెనుదిరిగాడు']</v>
      </c>
      <c r="C4639" s="2" t="s">
        <v>3265</v>
      </c>
      <c r="D4639" s="2" t="str">
        <f>IFERROR(__xludf.DUMMYFUNCTION("IF(C4639&lt;&gt;"""", GOOGLETRANSLATE(C4639, ""en"", ""te""),"""")"),"[ '33 వ కెరీర్ లో అత్యధిక పరుగులు (548)', 'ఒక కెప్టెన్తో ఇన్నింగ్స్ లో 30 వ అత్యధిక పరుగులు (80)', '50 వ అత్యధిక కెరీర్ బ్యాటింగ్ సగటు వంద (548) లేకుండా ఒక వృత్తిలో 6 వ అత్యధిక పరుగులు' (30.44 ) ',' కెరీర్లో 29 వ అతి తక్కువ బాతులు (10) ',' 7 వ కెరీర్లో అత"&amp;"్యధిక క్యాచ్లు (13) ',' ఒక మ్యాచ్లో ఇన్నింగ్స్ (3) ',' 2 వ అత్యధిక క్యాచ్లు లో 1 వ అత్యధిక క్యాచ్లు (4) ',' ఒక సిరీస్లో 6 వ అత్యధిక క్యాచ్లు (7) ',' ఒక జట్టుకు 23 వ వరుస మ్యాచ్లు (12) ',' 14 వ పిన్న కాప్టెన్ (24y 239d) ']")</f>
        <v>[ '33 వ కెరీర్ లో అత్యధిక పరుగులు (548)', 'ఒక కెప్టెన్తో ఇన్నింగ్స్ లో 30 వ అత్యధిక పరుగులు (80)', '50 వ అత్యధిక కెరీర్ బ్యాటింగ్ సగటు వంద (548) లేకుండా ఒక వృత్తిలో 6 వ అత్యధిక పరుగులు' (30.44 ) ',' కెరీర్లో 29 వ అతి తక్కువ బాతులు (10) ',' 7 వ కెరీర్లో అత్యధిక క్యాచ్లు (13) ',' ఒక మ్యాచ్లో ఇన్నింగ్స్ (3) ',' 2 వ అత్యధిక క్యాచ్లు లో 1 వ అత్యధిక క్యాచ్లు (4) ',' ఒక సిరీస్లో 6 వ అత్యధిక క్యాచ్లు (7) ',' ఒక జట్టుకు 23 వ వరుస మ్యాచ్లు (12) ',' 14 వ పిన్న కాప్టెన్ (24y 239d) ']</v>
      </c>
      <c r="E4639" s="2" t="s">
        <v>3266</v>
      </c>
      <c r="F4639" s="2" t="str">
        <f>IFERROR(__xludf.DUMMYFUNCTION("IF(E4639&lt;&gt;"""", GOOGLETRANSLATE(E4639, ""en"", ""te""),"""")"),"[18 వ కెరీర్ లో అత్యధిక పరుగులు (2856) ',' 47 వ అత్యధిక కెరీర్ బ్యాటింగ్ సగటు (31.38) ', '21 వ అత్యంత అర్ధ కెరీర్లో (19)', '40 వ' 17 వ పిన్న ఆటగాడు వంద (50D 22y) స్కోర్ ' అత్యంత ఇన్నింగ్స్ తొలి డక్ ముందు (15) ',' 40 వ అత్యంత బాతులు కెరీర్లో (8) ',' 32 వ అ"&amp;"త్యధిక క్యాచ్లు కెరీర్లో (33) ',' మూడో వికెట్కు 18 అత్యధిక భాగస్వామ్యం (151) ',' 32 వ అత్యధిక కొరకు చేసిన భాగస్వామ్యం నాలుగో వికెట్కు (106 *) ఎనిమిదో వికెట్కు ',' 15 వ అత్యధిక భాగస్వామ్యం (56) ',' 10 వ కెరీర్ లో అత్యధిక మ్యాచ్లు (127) ',' ఒక జట్టుకు 40 వ "&amp;"వరుస మ్యాచ్లు (40) ',' 13 వ లాంగెస్ట్ కెరీర్లు (17y 33d) ',' 25 వ కెప్టెన్గా అత్యధిక మ్యాచ్లు (28) ',' ఒక జట్టు కెప్టెన్గా 28 వరుస మ్యాచ్లు (22) ',' 41 వ పిన్న కాప్టెన్ (24y 231d) ']")</f>
        <v>[18 వ కెరీర్ లో అత్యధిక పరుగులు (2856) ',' 47 వ అత్యధిక కెరీర్ బ్యాటింగ్ సగటు (31.38) ', '21 వ అత్యంత అర్ధ కెరీర్లో (19)', '40 వ' 17 వ పిన్న ఆటగాడు వంద (50D 22y) స్కోర్ ' అత్యంత ఇన్నింగ్స్ తొలి డక్ ముందు (15) ',' 40 వ అత్యంత బాతులు కెరీర్లో (8) ',' 32 వ అత్యధిక క్యాచ్లు కెరీర్లో (33) ',' మూడో వికెట్కు 18 అత్యధిక భాగస్వామ్యం (151) ',' 32 వ అత్యధిక కొరకు చేసిన భాగస్వామ్యం నాలుగో వికెట్కు (106 *) ఎనిమిదో వికెట్కు ',' 15 వ అత్యధిక భాగస్వామ్యం (56) ',' 10 వ కెరీర్ లో అత్యధిక మ్యాచ్లు (127) ',' ఒక జట్టుకు 40 వ వరుస మ్యాచ్లు (40) ',' 13 వ లాంగెస్ట్ కెరీర్లు (17y 33d) ',' 25 వ కెప్టెన్గా అత్యధిక మ్యాచ్లు (28) ',' ఒక జట్టు కెప్టెన్గా 28 వరుస మ్యాచ్లు (22) ',' 41 వ పిన్న కాప్టెన్ (24y 231d) ']</v>
      </c>
      <c r="G4639" s="2" t="s">
        <v>3267</v>
      </c>
      <c r="H4639" s="2" t="str">
        <f>IFERROR(__xludf.DUMMYFUNCTION("IF(G4639&lt;&gt;"""", GOOGLETRANSLATE(G4639, ""en"", ""te""),"""")"),"[ '9 వ కెరీర్ లో బాతులు (16)', '43 వ అత్యధిక మ్యాచ్లు కెప్టెన్గా (10)', '13 వ ఓల్డెస్ట్ కాప్టెన్ (34y 308d)', 'కెప్టెన్సీ తొలి 11 వ ఓల్డెస్ట్ కాప్టెన్ (34y 274d)']")</f>
        <v>[ '9 వ కెరీర్ లో బాతులు (16)', '43 వ అత్యధిక మ్యాచ్లు కెప్టెన్గా (10)', '13 వ ఓల్డెస్ట్ కాప్టెన్ (34y 308d)', 'కెప్టెన్సీ తొలి 11 వ ఓల్డెస్ట్ కాప్టెన్ (34y 274d)']</v>
      </c>
      <c r="I4639" s="3"/>
    </row>
    <row r="4640" customHeight="1" spans="1:9">
      <c r="A4640" s="2"/>
      <c r="B4640" s="2" t="str">
        <f>IFERROR(__xludf.DUMMYFUNCTION("IF(A4640&lt;&gt;"""", GOOGLETRANSLATE(A4640, ""en"", ""te""),"""")"),"")</f>
        <v/>
      </c>
      <c r="C4640" s="2"/>
      <c r="D4640" s="2" t="str">
        <f>IFERROR(__xludf.DUMMYFUNCTION("IF(C4640&lt;&gt;"""", GOOGLETRANSLATE(C4640, ""en"", ""te""),"""")"),"")</f>
        <v/>
      </c>
      <c r="E4640" s="2"/>
      <c r="F4640" s="2" t="str">
        <f>IFERROR(__xludf.DUMMYFUNCTION("IF(E4640&lt;&gt;"""", GOOGLETRANSLATE(E4640, ""en"", ""te""),"""")"),"")</f>
        <v/>
      </c>
      <c r="G4640" s="2"/>
      <c r="H4640" s="2" t="str">
        <f>IFERROR(__xludf.DUMMYFUNCTION("IF(G4640&lt;&gt;"""", GOOGLETRANSLATE(G4640, ""en"", ""te""),"""")"),"")</f>
        <v/>
      </c>
      <c r="I4640" s="3"/>
    </row>
    <row r="4641" customHeight="1" spans="1:9">
      <c r="A4641" s="2" t="s">
        <v>3268</v>
      </c>
      <c r="B4641" s="2" t="str">
        <f>IFERROR(__xludf.DUMMYFUNCTION("IF(A4641&lt;&gt;"""", GOOGLETRANSLATE(A4641, ""en"", ""te""),"""")"),"[ 'కెరీర్లో 2 వ అత్యంత జతల (4)', '5 వ ఒక ఇన్నింగ్స్ లోని బెస్ట్ ఫిగర్స్ ఉన్నప్పుడు పరాజయం వైపు (8)']")</f>
        <v>[ 'కెరీర్లో 2 వ అత్యంత జతల (4)', '5 వ ఒక ఇన్నింగ్స్ లోని బెస్ట్ ఫిగర్స్ ఉన్నప్పుడు పరాజయం వైపు (8)']</v>
      </c>
      <c r="C4641" s="2" t="s">
        <v>3269</v>
      </c>
      <c r="D4641" s="2" t="str">
        <f>IFERROR(__xludf.DUMMYFUNCTION("IF(C4641&lt;&gt;"""", GOOGLETRANSLATE(C4641, ""en"", ""te""),"""")"),"[ '14 వ కెరీర్ బాతులు (23)', '11 వ ఒక సిరీస్లో అత్యధిక బాతులు (4)', 'కెరీర్ లో 2 వ పెద్ద జతల (4)', '19 వ ఒక సిరీస్లో అత్యధిక వికెట్లు (35)', '5 వ ఉత్తమ ఒక ఇన్నింగ్స్ లో సంఖ్యలు ఉన్నప్పుడు పరాజయం వైపు (8) ',' 15 మ్యాచ్లో ఉత్తమ సంఖ్యలు ఉన్నప్పుడు పరాజయం వె"&amp;"ౖపు (11) ',' 32 వ అత్యంత ఐదు-వికెట్ల లో-ఒక-ఇన్నింగ్స్ కెరీర్లో (16) ' 'పది వికెట్ల లో ఒక మ్యాచ్ పడుతుంది 24 పిన్న ఆటగాడు (21y 210d)', '49 వ కెరీర్ లో సాధించిన అత్యధిక పరుగులు (7199)', '32 వ అత్యధిక వికెట్లు' 44 వ కెరీర్ లో (15963) బౌల్డ్ చాలా బంతుల్లో ' త"&amp;"ీసుకోకూడదు బౌల్డ్ (64) ',' 40 వ అత్యధిక వికెట్లు ఒక ఫీల్డర్ (114) ',' ఫాస్టెస్ట్ 27 ద్వారా 100 వికెట్లు (22) ',' 36 వ వేగంగా 150 వికెట్లు (36) ',' 32 వ 200 వికెట్లు వేగవంతమైన (చిక్కుకున్నాయి తీసుకున్న 48) ']")</f>
        <v>[ '14 వ కెరీర్ బాతులు (23)', '11 వ ఒక సిరీస్లో అత్యధిక బాతులు (4)', 'కెరీర్ లో 2 వ పెద్ద జతల (4)', '19 వ ఒక సిరీస్లో అత్యధిక వికెట్లు (35)', '5 వ ఉత్తమ ఒక ఇన్నింగ్స్ లో సంఖ్యలు ఉన్నప్పుడు పరాజయం వైపు (8) ',' 15 మ్యాచ్లో ఉత్తమ సంఖ్యలు ఉన్నప్పుడు పరాజయం వైపు (11) ',' 32 వ అత్యంత ఐదు-వికెట్ల లో-ఒక-ఇన్నింగ్స్ కెరీర్లో (16) ' 'పది వికెట్ల లో ఒక మ్యాచ్ పడుతుంది 24 పిన్న ఆటగాడు (21y 210d)', '49 వ కెరీర్ లో సాధించిన అత్యధిక పరుగులు (7199)', '32 వ అత్యధిక వికెట్లు' 44 వ కెరీర్ లో (15963) బౌల్డ్ చాలా బంతుల్లో ' తీసుకోకూడదు బౌల్డ్ (64) ',' 40 వ అత్యధిక వికెట్లు ఒక ఫీల్డర్ (114) ',' ఫాస్టెస్ట్ 27 ద్వారా 100 వికెట్లు (22) ',' 36 వ వేగంగా 150 వికెట్లు (36) ',' 32 వ 200 వికెట్లు వేగవంతమైన (చిక్కుకున్నాయి తీసుకున్న 48) ']</v>
      </c>
      <c r="E4641" s="2" t="s">
        <v>3270</v>
      </c>
      <c r="F4641" s="2" t="str">
        <f>IFERROR(__xludf.DUMMYFUNCTION("IF(E4641&lt;&gt;"""", GOOGLETRANSLATE(E4641, ""en"", ""te""),"""")"),"[ '36 వ ఉత్తమ కెరీర్ బౌలింగ్ సరాసరి (అర్హత లేకుండా) (12.00)']")</f>
        <v>[ '36 వ ఉత్తమ కెరీర్ బౌలింగ్ సరాసరి (అర్హత లేకుండా) (12.00)']</v>
      </c>
      <c r="G4641" s="2"/>
      <c r="H4641" s="2" t="str">
        <f>IFERROR(__xludf.DUMMYFUNCTION("IF(G4641&lt;&gt;"""", GOOGLETRANSLATE(G4641, ""en"", ""te""),"""")"),"")</f>
        <v/>
      </c>
      <c r="I4641" s="3"/>
    </row>
    <row r="4642" customHeight="1" spans="1:9">
      <c r="A4642" s="2"/>
      <c r="B4642" s="2" t="str">
        <f>IFERROR(__xludf.DUMMYFUNCTION("IF(A4642&lt;&gt;"""", GOOGLETRANSLATE(A4642, ""en"", ""te""),"""")"),"")</f>
        <v/>
      </c>
      <c r="C4642" s="2"/>
      <c r="D4642" s="2" t="str">
        <f>IFERROR(__xludf.DUMMYFUNCTION("IF(C4642&lt;&gt;"""", GOOGLETRANSLATE(C4642, ""en"", ""te""),"""")"),"")</f>
        <v/>
      </c>
      <c r="E4642" s="2"/>
      <c r="F4642" s="2" t="str">
        <f>IFERROR(__xludf.DUMMYFUNCTION("IF(E4642&lt;&gt;"""", GOOGLETRANSLATE(E4642, ""en"", ""te""),"""")"),"")</f>
        <v/>
      </c>
      <c r="G4642" s="2"/>
      <c r="H4642" s="2" t="str">
        <f>IFERROR(__xludf.DUMMYFUNCTION("IF(G4642&lt;&gt;"""", GOOGLETRANSLATE(G4642, ""en"", ""te""),"""")"),"")</f>
        <v/>
      </c>
      <c r="I4642" s="3"/>
    </row>
    <row r="4643" customHeight="1" spans="1:9">
      <c r="A4643" s="2"/>
      <c r="B4643" s="2" t="str">
        <f>IFERROR(__xludf.DUMMYFUNCTION("IF(A4643&lt;&gt;"""", GOOGLETRANSLATE(A4643, ""en"", ""te""),"""")"),"")</f>
        <v/>
      </c>
      <c r="C4643" s="2"/>
      <c r="D4643" s="2" t="str">
        <f>IFERROR(__xludf.DUMMYFUNCTION("IF(C4643&lt;&gt;"""", GOOGLETRANSLATE(C4643, ""en"", ""te""),"""")"),"")</f>
        <v/>
      </c>
      <c r="E4643" s="2"/>
      <c r="F4643" s="2" t="str">
        <f>IFERROR(__xludf.DUMMYFUNCTION("IF(E4643&lt;&gt;"""", GOOGLETRANSLATE(E4643, ""en"", ""te""),"""")"),"")</f>
        <v/>
      </c>
      <c r="G4643" s="2"/>
      <c r="H4643" s="2" t="str">
        <f>IFERROR(__xludf.DUMMYFUNCTION("IF(G4643&lt;&gt;"""", GOOGLETRANSLATE(G4643, ""en"", ""te""),"""")"),"")</f>
        <v/>
      </c>
      <c r="I4643" s="3"/>
    </row>
    <row r="4644" customHeight="1" spans="1:9">
      <c r="A4644" s="2"/>
      <c r="B4644" s="2" t="str">
        <f>IFERROR(__xludf.DUMMYFUNCTION("IF(A4644&lt;&gt;"""", GOOGLETRANSLATE(A4644, ""en"", ""te""),"""")"),"")</f>
        <v/>
      </c>
      <c r="C4644" s="2"/>
      <c r="D4644" s="2" t="str">
        <f>IFERROR(__xludf.DUMMYFUNCTION("IF(C4644&lt;&gt;"""", GOOGLETRANSLATE(C4644, ""en"", ""te""),"""")"),"")</f>
        <v/>
      </c>
      <c r="E4644" s="2"/>
      <c r="F4644" s="2" t="str">
        <f>IFERROR(__xludf.DUMMYFUNCTION("IF(E4644&lt;&gt;"""", GOOGLETRANSLATE(E4644, ""en"", ""te""),"""")"),"")</f>
        <v/>
      </c>
      <c r="G4644" s="2"/>
      <c r="H4644" s="2" t="str">
        <f>IFERROR(__xludf.DUMMYFUNCTION("IF(G4644&lt;&gt;"""", GOOGLETRANSLATE(G4644, ""en"", ""te""),"""")"),"")</f>
        <v/>
      </c>
      <c r="I4644" s="3"/>
    </row>
    <row r="4645" customHeight="1" spans="1:9">
      <c r="A4645" s="2"/>
      <c r="B4645" s="2" t="str">
        <f>IFERROR(__xludf.DUMMYFUNCTION("IF(A4645&lt;&gt;"""", GOOGLETRANSLATE(A4645, ""en"", ""te""),"""")"),"")</f>
        <v/>
      </c>
      <c r="C4645" s="2"/>
      <c r="D4645" s="2" t="str">
        <f>IFERROR(__xludf.DUMMYFUNCTION("IF(C4645&lt;&gt;"""", GOOGLETRANSLATE(C4645, ""en"", ""te""),"""")"),"")</f>
        <v/>
      </c>
      <c r="E4645" s="2"/>
      <c r="F4645" s="2" t="str">
        <f>IFERROR(__xludf.DUMMYFUNCTION("IF(E4645&lt;&gt;"""", GOOGLETRANSLATE(E4645, ""en"", ""te""),"""")"),"")</f>
        <v/>
      </c>
      <c r="G4645" s="2"/>
      <c r="H4645" s="2" t="str">
        <f>IFERROR(__xludf.DUMMYFUNCTION("IF(G4645&lt;&gt;"""", GOOGLETRANSLATE(G4645, ""en"", ""te""),"""")"),"")</f>
        <v/>
      </c>
      <c r="I4645" s="3"/>
    </row>
    <row r="4646" customHeight="1" spans="1:9">
      <c r="A4646" s="2" t="s">
        <v>3271</v>
      </c>
      <c r="B4646" s="2" t="str">
        <f>IFERROR(__xludf.DUMMYFUNCTION("IF(A4646&lt;&gt;"""", GOOGLETRANSLATE(A4646, ""en"", ""te""),"""")"),"[ '3 వ అత్యంత వంద (2084) లేకుండా ఒక వృత్తిలో నడుస్తుంది']")</f>
        <v>[ '3 వ అత్యంత వంద (2084) లేకుండా ఒక వృత్తిలో నడుస్తుంది']</v>
      </c>
      <c r="C4646" s="2" t="s">
        <v>3271</v>
      </c>
      <c r="D4646" s="2" t="str">
        <f>IFERROR(__xludf.DUMMYFUNCTION("IF(C4646&lt;&gt;"""", GOOGLETRANSLATE(C4646, ""en"", ""te""),"""")"),"[ '3 వ అత్యంత వంద (2084) లేకుండా ఒక వృత్తిలో నడుస్తుంది']")</f>
        <v>[ '3 వ అత్యంత వంద (2084) లేకుండా ఒక వృత్తిలో నడుస్తుంది']</v>
      </c>
      <c r="E4646" s="2" t="s">
        <v>3272</v>
      </c>
      <c r="F4646" s="2" t="str">
        <f>IFERROR(__xludf.DUMMYFUNCTION("IF(E4646&lt;&gt;"""", GOOGLETRANSLATE(E4646, ""en"", ""te""),"""")"),"[ '13 వ లాంగెస్ట్ క్రీడాకారులు నివసించారు (73y 26d)']")</f>
        <v>[ '13 వ లాంగెస్ట్ క్రీడాకారులు నివసించారు (73y 26d)']</v>
      </c>
      <c r="G4646" s="2"/>
      <c r="H4646" s="2" t="str">
        <f>IFERROR(__xludf.DUMMYFUNCTION("IF(G4646&lt;&gt;"""", GOOGLETRANSLATE(G4646, ""en"", ""te""),"""")"),"")</f>
        <v/>
      </c>
      <c r="I4646" s="3"/>
    </row>
    <row r="4647" customHeight="1" spans="1:9">
      <c r="A4647" s="2"/>
      <c r="B4647" s="2" t="str">
        <f>IFERROR(__xludf.DUMMYFUNCTION("IF(A4647&lt;&gt;"""", GOOGLETRANSLATE(A4647, ""en"", ""te""),"""")"),"")</f>
        <v/>
      </c>
      <c r="C4647" s="2"/>
      <c r="D4647" s="2" t="str">
        <f>IFERROR(__xludf.DUMMYFUNCTION("IF(C4647&lt;&gt;"""", GOOGLETRANSLATE(C4647, ""en"", ""te""),"""")"),"")</f>
        <v/>
      </c>
      <c r="E4647" s="2"/>
      <c r="F4647" s="2" t="str">
        <f>IFERROR(__xludf.DUMMYFUNCTION("IF(E4647&lt;&gt;"""", GOOGLETRANSLATE(E4647, ""en"", ""te""),"""")"),"")</f>
        <v/>
      </c>
      <c r="G4647" s="2"/>
      <c r="H4647" s="2" t="str">
        <f>IFERROR(__xludf.DUMMYFUNCTION("IF(G4647&lt;&gt;"""", GOOGLETRANSLATE(G4647, ""en"", ""te""),"""")"),"")</f>
        <v/>
      </c>
      <c r="I4647" s="3"/>
    </row>
    <row r="4648" customHeight="1" spans="1:9">
      <c r="A4648" s="2"/>
      <c r="B4648" s="2" t="str">
        <f>IFERROR(__xludf.DUMMYFUNCTION("IF(A4648&lt;&gt;"""", GOOGLETRANSLATE(A4648, ""en"", ""te""),"""")"),"")</f>
        <v/>
      </c>
      <c r="C4648" s="2"/>
      <c r="D4648" s="2" t="str">
        <f>IFERROR(__xludf.DUMMYFUNCTION("IF(C4648&lt;&gt;"""", GOOGLETRANSLATE(C4648, ""en"", ""te""),"""")"),"")</f>
        <v/>
      </c>
      <c r="E4648" s="2"/>
      <c r="F4648" s="2" t="str">
        <f>IFERROR(__xludf.DUMMYFUNCTION("IF(E4648&lt;&gt;"""", GOOGLETRANSLATE(E4648, ""en"", ""te""),"""")"),"")</f>
        <v/>
      </c>
      <c r="G4648" s="2"/>
      <c r="H4648" s="2" t="str">
        <f>IFERROR(__xludf.DUMMYFUNCTION("IF(G4648&lt;&gt;"""", GOOGLETRANSLATE(G4648, ""en"", ""te""),"""")"),"")</f>
        <v/>
      </c>
      <c r="I4648" s="3"/>
    </row>
    <row r="4649" customHeight="1" spans="1:9">
      <c r="A4649" s="2"/>
      <c r="B4649" s="2" t="str">
        <f>IFERROR(__xludf.DUMMYFUNCTION("IF(A4649&lt;&gt;"""", GOOGLETRANSLATE(A4649, ""en"", ""te""),"""")"),"")</f>
        <v/>
      </c>
      <c r="C4649" s="2"/>
      <c r="D4649" s="2" t="str">
        <f>IFERROR(__xludf.DUMMYFUNCTION("IF(C4649&lt;&gt;"""", GOOGLETRANSLATE(C4649, ""en"", ""te""),"""")"),"")</f>
        <v/>
      </c>
      <c r="E4649" s="2"/>
      <c r="F4649" s="2" t="str">
        <f>IFERROR(__xludf.DUMMYFUNCTION("IF(E4649&lt;&gt;"""", GOOGLETRANSLATE(E4649, ""en"", ""te""),"""")"),"")</f>
        <v/>
      </c>
      <c r="G4649" s="2"/>
      <c r="H4649" s="2" t="str">
        <f>IFERROR(__xludf.DUMMYFUNCTION("IF(G4649&lt;&gt;"""", GOOGLETRANSLATE(G4649, ""en"", ""te""),"""")"),"")</f>
        <v/>
      </c>
      <c r="I4649" s="3"/>
    </row>
    <row r="4650" customHeight="1" spans="1:9">
      <c r="A4650" s="2"/>
      <c r="B4650" s="2" t="str">
        <f>IFERROR(__xludf.DUMMYFUNCTION("IF(A4650&lt;&gt;"""", GOOGLETRANSLATE(A4650, ""en"", ""te""),"""")"),"")</f>
        <v/>
      </c>
      <c r="C4650" s="2"/>
      <c r="D4650" s="2" t="str">
        <f>IFERROR(__xludf.DUMMYFUNCTION("IF(C4650&lt;&gt;"""", GOOGLETRANSLATE(C4650, ""en"", ""te""),"""")"),"")</f>
        <v/>
      </c>
      <c r="E4650" s="2"/>
      <c r="F4650" s="2" t="str">
        <f>IFERROR(__xludf.DUMMYFUNCTION("IF(E4650&lt;&gt;"""", GOOGLETRANSLATE(E4650, ""en"", ""te""),"""")"),"")</f>
        <v/>
      </c>
      <c r="G4650" s="2"/>
      <c r="H4650" s="2" t="str">
        <f>IFERROR(__xludf.DUMMYFUNCTION("IF(G4650&lt;&gt;"""", GOOGLETRANSLATE(G4650, ""en"", ""te""),"""")"),"")</f>
        <v/>
      </c>
      <c r="I4650" s="3"/>
    </row>
    <row r="4651" customHeight="1" spans="1:9">
      <c r="A4651" s="2" t="s">
        <v>3273</v>
      </c>
      <c r="B4651" s="2" t="str">
        <f>IFERROR(__xludf.DUMMYFUNCTION("IF(A4651&lt;&gt;"""", GOOGLETRANSLATE(A4651, ""en"", ""te""),"""")"),"[ '1st అత్యుత్తమ ఇన్నింగ్స్ (6/7) విశ్లేషణలలో బౌలింగ్']")</f>
        <v>[ '1st అత్యుత్తమ ఇన్నింగ్స్ (6/7) విశ్లేషణలలో బౌలింగ్']</v>
      </c>
      <c r="C4651" s="2"/>
      <c r="D4651" s="2" t="str">
        <f>IFERROR(__xludf.DUMMYFUNCTION("IF(C4651&lt;&gt;"""", GOOGLETRANSLATE(C4651, ""en"", ""te""),"""")"),"")</f>
        <v/>
      </c>
      <c r="E4651" s="2"/>
      <c r="F4651" s="2" t="str">
        <f>IFERROR(__xludf.DUMMYFUNCTION("IF(E4651&lt;&gt;"""", GOOGLETRANSLATE(E4651, ""en"", ""te""),"""")"),"")</f>
        <v/>
      </c>
      <c r="G4651" s="2" t="s">
        <v>3274</v>
      </c>
      <c r="H4651" s="2" t="str">
        <f>IFERROR(__xludf.DUMMYFUNCTION("IF(G4651&lt;&gt;"""", GOOGLETRANSLATE(G4651, ""en"", ""te""),"""")"),"[ '1st ఒక ఇన్నింగ్స్ లోని బెస్ట్ ఫిగర్స్ (6/7)', '1 వ అత్యుత్తమ బౌలింగ్ ఇన్నింగ్స్ లో విశ్లేషించడం (6/7)', 'ఇన్నింగ్స్ లో 12 వ ఉత్తమ సమ్మె రేటు (3.3)', '43 వ అత్యంత పరుగులు సాధించింది ఇన్నింగ్స్ (56) ']")</f>
        <v>[ '1st ఒక ఇన్నింగ్స్ లోని బెస్ట్ ఫిగర్స్ (6/7)', '1 వ అత్యుత్తమ బౌలింగ్ ఇన్నింగ్స్ లో విశ్లేషించడం (6/7)', 'ఇన్నింగ్స్ లో 12 వ ఉత్తమ సమ్మె రేటు (3.3)', '43 వ అత్యంత పరుగులు సాధించింది ఇన్నింగ్స్ (56) ']</v>
      </c>
      <c r="I4651" s="3"/>
    </row>
    <row r="4652" customHeight="1" spans="1:9">
      <c r="A4652" s="2" t="s">
        <v>3275</v>
      </c>
      <c r="B4652" s="2" t="str">
        <f>IFERROR(__xludf.DUMMYFUNCTION("IF(A4652&lt;&gt;"""", GOOGLETRANSLATE(A4652, ""en"", ""te""),"""")"),"[ '8 వ చెత్త కెరీర్ బౌలింగ్ సరాసరి (అర్హత లేకుండా) (205.00)']")</f>
        <v>[ '8 వ చెత్త కెరీర్ బౌలింగ్ సరాసరి (అర్హత లేకుండా) (205.00)']</v>
      </c>
      <c r="C4652" s="2" t="s">
        <v>3275</v>
      </c>
      <c r="D4652" s="2" t="str">
        <f>IFERROR(__xludf.DUMMYFUNCTION("IF(C4652&lt;&gt;"""", GOOGLETRANSLATE(C4652, ""en"", ""te""),"""")"),"[ '8 వ చెత్త కెరీర్ బౌలింగ్ సరాసరి (అర్హత లేకుండా) (205.00)']")</f>
        <v>[ '8 వ చెత్త కెరీర్ బౌలింగ్ సరాసరి (అర్హత లేకుండా) (205.00)']</v>
      </c>
      <c r="E4652" s="2"/>
      <c r="F4652" s="2" t="str">
        <f>IFERROR(__xludf.DUMMYFUNCTION("IF(E4652&lt;&gt;"""", GOOGLETRANSLATE(E4652, ""en"", ""te""),"""")"),"")</f>
        <v/>
      </c>
      <c r="G4652" s="2"/>
      <c r="H4652" s="2" t="str">
        <f>IFERROR(__xludf.DUMMYFUNCTION("IF(G4652&lt;&gt;"""", GOOGLETRANSLATE(G4652, ""en"", ""te""),"""")"),"")</f>
        <v/>
      </c>
      <c r="I4652" s="3"/>
    </row>
    <row r="4653" customHeight="1" spans="1:9">
      <c r="A4653" s="2"/>
      <c r="B4653" s="2" t="str">
        <f>IFERROR(__xludf.DUMMYFUNCTION("IF(A4653&lt;&gt;"""", GOOGLETRANSLATE(A4653, ""en"", ""te""),"""")"),"")</f>
        <v/>
      </c>
      <c r="C4653" s="2"/>
      <c r="D4653" s="2" t="str">
        <f>IFERROR(__xludf.DUMMYFUNCTION("IF(C4653&lt;&gt;"""", GOOGLETRANSLATE(C4653, ""en"", ""te""),"""")"),"")</f>
        <v/>
      </c>
      <c r="E4653" s="2"/>
      <c r="F4653" s="2" t="str">
        <f>IFERROR(__xludf.DUMMYFUNCTION("IF(E4653&lt;&gt;"""", GOOGLETRANSLATE(E4653, ""en"", ""te""),"""")"),"")</f>
        <v/>
      </c>
      <c r="G4653" s="2"/>
      <c r="H4653" s="2" t="str">
        <f>IFERROR(__xludf.DUMMYFUNCTION("IF(G4653&lt;&gt;"""", GOOGLETRANSLATE(G4653, ""en"", ""te""),"""")"),"")</f>
        <v/>
      </c>
      <c r="I4653" s="3"/>
    </row>
    <row r="4654" customHeight="1" spans="1:9">
      <c r="A4654" s="2"/>
      <c r="B4654" s="2" t="str">
        <f>IFERROR(__xludf.DUMMYFUNCTION("IF(A4654&lt;&gt;"""", GOOGLETRANSLATE(A4654, ""en"", ""te""),"""")"),"")</f>
        <v/>
      </c>
      <c r="C4654" s="2"/>
      <c r="D4654" s="2" t="str">
        <f>IFERROR(__xludf.DUMMYFUNCTION("IF(C4654&lt;&gt;"""", GOOGLETRANSLATE(C4654, ""en"", ""te""),"""")"),"")</f>
        <v/>
      </c>
      <c r="E4654" s="2"/>
      <c r="F4654" s="2" t="str">
        <f>IFERROR(__xludf.DUMMYFUNCTION("IF(E4654&lt;&gt;"""", GOOGLETRANSLATE(E4654, ""en"", ""te""),"""")"),"")</f>
        <v/>
      </c>
      <c r="G4654" s="2"/>
      <c r="H4654" s="2" t="str">
        <f>IFERROR(__xludf.DUMMYFUNCTION("IF(G4654&lt;&gt;"""", GOOGLETRANSLATE(G4654, ""en"", ""te""),"""")"),"")</f>
        <v/>
      </c>
      <c r="I4654" s="3"/>
    </row>
    <row r="4655" customHeight="1" spans="1:9">
      <c r="A4655" s="2"/>
      <c r="B4655" s="2" t="str">
        <f>IFERROR(__xludf.DUMMYFUNCTION("IF(A4655&lt;&gt;"""", GOOGLETRANSLATE(A4655, ""en"", ""te""),"""")"),"")</f>
        <v/>
      </c>
      <c r="C4655" s="2"/>
      <c r="D4655" s="2" t="str">
        <f>IFERROR(__xludf.DUMMYFUNCTION("IF(C4655&lt;&gt;"""", GOOGLETRANSLATE(C4655, ""en"", ""te""),"""")"),"")</f>
        <v/>
      </c>
      <c r="E4655" s="2"/>
      <c r="F4655" s="2" t="str">
        <f>IFERROR(__xludf.DUMMYFUNCTION("IF(E4655&lt;&gt;"""", GOOGLETRANSLATE(E4655, ""en"", ""te""),"""")"),"")</f>
        <v/>
      </c>
      <c r="G4655" s="2"/>
      <c r="H4655" s="2" t="str">
        <f>IFERROR(__xludf.DUMMYFUNCTION("IF(G4655&lt;&gt;"""", GOOGLETRANSLATE(G4655, ""en"", ""te""),"""")"),"")</f>
        <v/>
      </c>
      <c r="I4655" s="3"/>
    </row>
    <row r="4656" customHeight="1" spans="1:9">
      <c r="A4656" s="2"/>
      <c r="B4656" s="2" t="str">
        <f>IFERROR(__xludf.DUMMYFUNCTION("IF(A4656&lt;&gt;"""", GOOGLETRANSLATE(A4656, ""en"", ""te""),"""")"),"")</f>
        <v/>
      </c>
      <c r="C4656" s="2"/>
      <c r="D4656" s="2" t="str">
        <f>IFERROR(__xludf.DUMMYFUNCTION("IF(C4656&lt;&gt;"""", GOOGLETRANSLATE(C4656, ""en"", ""te""),"""")"),"")</f>
        <v/>
      </c>
      <c r="E4656" s="2"/>
      <c r="F4656" s="2" t="str">
        <f>IFERROR(__xludf.DUMMYFUNCTION("IF(E4656&lt;&gt;"""", GOOGLETRANSLATE(E4656, ""en"", ""te""),"""")"),"")</f>
        <v/>
      </c>
      <c r="G4656" s="2"/>
      <c r="H4656" s="2" t="str">
        <f>IFERROR(__xludf.DUMMYFUNCTION("IF(G4656&lt;&gt;"""", GOOGLETRANSLATE(G4656, ""en"", ""te""),"""")"),"")</f>
        <v/>
      </c>
      <c r="I4656" s="3"/>
    </row>
    <row r="4657" customHeight="1" spans="1:9">
      <c r="A4657" s="2"/>
      <c r="B4657" s="2" t="str">
        <f>IFERROR(__xludf.DUMMYFUNCTION("IF(A4657&lt;&gt;"""", GOOGLETRANSLATE(A4657, ""en"", ""te""),"""")"),"")</f>
        <v/>
      </c>
      <c r="C4657" s="2" t="s">
        <v>3276</v>
      </c>
      <c r="D4657" s="2" t="str">
        <f>IFERROR(__xludf.DUMMYFUNCTION("IF(C4657&lt;&gt;"""", GOOGLETRANSLATE(C4657, ""en"", ""te""),"""")"),"[ 'కెరీర్లో 42 వ అతి తక్కువ బాతులు (26)', '36 వ పురాతన దేశం ఆటగాళ్ళు (87y 86d)']")</f>
        <v>[ 'కెరీర్లో 42 వ అతి తక్కువ బాతులు (26)', '36 వ పురాతన దేశం ఆటగాళ్ళు (87y 86d)']</v>
      </c>
      <c r="E4657" s="2"/>
      <c r="F4657" s="2" t="str">
        <f>IFERROR(__xludf.DUMMYFUNCTION("IF(E4657&lt;&gt;"""", GOOGLETRANSLATE(E4657, ""en"", ""te""),"""")"),"")</f>
        <v/>
      </c>
      <c r="G4657" s="2"/>
      <c r="H4657" s="2" t="str">
        <f>IFERROR(__xludf.DUMMYFUNCTION("IF(G4657&lt;&gt;"""", GOOGLETRANSLATE(G4657, ""en"", ""te""),"""")"),"")</f>
        <v/>
      </c>
      <c r="I4657" s="3"/>
    </row>
    <row r="4658" customHeight="1" spans="1:9">
      <c r="A4658" s="2"/>
      <c r="B4658" s="2" t="str">
        <f>IFERROR(__xludf.DUMMYFUNCTION("IF(A4658&lt;&gt;"""", GOOGLETRANSLATE(A4658, ""en"", ""te""),"""")"),"")</f>
        <v/>
      </c>
      <c r="C4658" s="2"/>
      <c r="D4658" s="2" t="str">
        <f>IFERROR(__xludf.DUMMYFUNCTION("IF(C4658&lt;&gt;"""", GOOGLETRANSLATE(C4658, ""en"", ""te""),"""")"),"")</f>
        <v/>
      </c>
      <c r="E4658" s="2"/>
      <c r="F4658" s="2" t="str">
        <f>IFERROR(__xludf.DUMMYFUNCTION("IF(E4658&lt;&gt;"""", GOOGLETRANSLATE(E4658, ""en"", ""te""),"""")"),"")</f>
        <v/>
      </c>
      <c r="G4658" s="2"/>
      <c r="H4658" s="2" t="str">
        <f>IFERROR(__xludf.DUMMYFUNCTION("IF(G4658&lt;&gt;"""", GOOGLETRANSLATE(G4658, ""en"", ""te""),"""")"),"")</f>
        <v/>
      </c>
      <c r="I4658" s="3"/>
    </row>
    <row r="4659" customHeight="1" spans="1:9">
      <c r="A4659" s="2"/>
      <c r="B4659" s="2" t="str">
        <f>IFERROR(__xludf.DUMMYFUNCTION("IF(A4659&lt;&gt;"""", GOOGLETRANSLATE(A4659, ""en"", ""te""),"""")"),"")</f>
        <v/>
      </c>
      <c r="C4659" s="2"/>
      <c r="D4659" s="2" t="str">
        <f>IFERROR(__xludf.DUMMYFUNCTION("IF(C4659&lt;&gt;"""", GOOGLETRANSLATE(C4659, ""en"", ""te""),"""")"),"")</f>
        <v/>
      </c>
      <c r="E4659" s="2"/>
      <c r="F4659" s="2" t="str">
        <f>IFERROR(__xludf.DUMMYFUNCTION("IF(E4659&lt;&gt;"""", GOOGLETRANSLATE(E4659, ""en"", ""te""),"""")"),"")</f>
        <v/>
      </c>
      <c r="G4659" s="2"/>
      <c r="H4659" s="2" t="str">
        <f>IFERROR(__xludf.DUMMYFUNCTION("IF(G4659&lt;&gt;"""", GOOGLETRANSLATE(G4659, ""en"", ""te""),"""")"),"")</f>
        <v/>
      </c>
      <c r="I4659" s="3"/>
    </row>
    <row r="4660" customHeight="1" spans="1:9">
      <c r="A4660" s="2"/>
      <c r="B4660" s="2" t="str">
        <f>IFERROR(__xludf.DUMMYFUNCTION("IF(A4660&lt;&gt;"""", GOOGLETRANSLATE(A4660, ""en"", ""te""),"""")"),"")</f>
        <v/>
      </c>
      <c r="C4660" s="2"/>
      <c r="D4660" s="2" t="str">
        <f>IFERROR(__xludf.DUMMYFUNCTION("IF(C4660&lt;&gt;"""", GOOGLETRANSLATE(C4660, ""en"", ""te""),"""")"),"")</f>
        <v/>
      </c>
      <c r="E4660" s="2"/>
      <c r="F4660" s="2" t="str">
        <f>IFERROR(__xludf.DUMMYFUNCTION("IF(E4660&lt;&gt;"""", GOOGLETRANSLATE(E4660, ""en"", ""te""),"""")"),"")</f>
        <v/>
      </c>
      <c r="G4660" s="2"/>
      <c r="H4660" s="2" t="str">
        <f>IFERROR(__xludf.DUMMYFUNCTION("IF(G4660&lt;&gt;"""", GOOGLETRANSLATE(G4660, ""en"", ""te""),"""")"),"")</f>
        <v/>
      </c>
      <c r="I4660" s="3"/>
    </row>
    <row r="4661" customHeight="1" spans="1:9">
      <c r="A4661" s="2"/>
      <c r="B4661" s="2" t="str">
        <f>IFERROR(__xludf.DUMMYFUNCTION("IF(A4661&lt;&gt;"""", GOOGLETRANSLATE(A4661, ""en"", ""te""),"""")"),"")</f>
        <v/>
      </c>
      <c r="C4661" s="2"/>
      <c r="D4661" s="2" t="str">
        <f>IFERROR(__xludf.DUMMYFUNCTION("IF(C4661&lt;&gt;"""", GOOGLETRANSLATE(C4661, ""en"", ""te""),"""")"),"")</f>
        <v/>
      </c>
      <c r="E4661" s="2"/>
      <c r="F4661" s="2" t="str">
        <f>IFERROR(__xludf.DUMMYFUNCTION("IF(E4661&lt;&gt;"""", GOOGLETRANSLATE(E4661, ""en"", ""te""),"""")"),"")</f>
        <v/>
      </c>
      <c r="G4661" s="2"/>
      <c r="H4661" s="2" t="str">
        <f>IFERROR(__xludf.DUMMYFUNCTION("IF(G4661&lt;&gt;"""", GOOGLETRANSLATE(G4661, ""en"", ""te""),"""")"),"")</f>
        <v/>
      </c>
      <c r="I4661" s="3"/>
    </row>
    <row r="4662" customHeight="1" spans="1:9">
      <c r="A4662" s="2"/>
      <c r="B4662" s="2" t="str">
        <f>IFERROR(__xludf.DUMMYFUNCTION("IF(A4662&lt;&gt;"""", GOOGLETRANSLATE(A4662, ""en"", ""te""),"""")"),"")</f>
        <v/>
      </c>
      <c r="C4662" s="2"/>
      <c r="D4662" s="2" t="str">
        <f>IFERROR(__xludf.DUMMYFUNCTION("IF(C4662&lt;&gt;"""", GOOGLETRANSLATE(C4662, ""en"", ""te""),"""")"),"")</f>
        <v/>
      </c>
      <c r="E4662" s="2"/>
      <c r="F4662" s="2" t="str">
        <f>IFERROR(__xludf.DUMMYFUNCTION("IF(E4662&lt;&gt;"""", GOOGLETRANSLATE(E4662, ""en"", ""te""),"""")"),"")</f>
        <v/>
      </c>
      <c r="G4662" s="2"/>
      <c r="H4662" s="2" t="str">
        <f>IFERROR(__xludf.DUMMYFUNCTION("IF(G4662&lt;&gt;"""", GOOGLETRANSLATE(G4662, ""en"", ""te""),"""")"),"")</f>
        <v/>
      </c>
      <c r="I4662" s="3"/>
    </row>
    <row r="4663" customHeight="1" spans="1:9">
      <c r="A4663" s="2"/>
      <c r="B4663" s="2" t="str">
        <f>IFERROR(__xludf.DUMMYFUNCTION("IF(A4663&lt;&gt;"""", GOOGLETRANSLATE(A4663, ""en"", ""te""),"""")"),"")</f>
        <v/>
      </c>
      <c r="C4663" s="2"/>
      <c r="D4663" s="2" t="str">
        <f>IFERROR(__xludf.DUMMYFUNCTION("IF(C4663&lt;&gt;"""", GOOGLETRANSLATE(C4663, ""en"", ""te""),"""")"),"")</f>
        <v/>
      </c>
      <c r="E4663" s="2"/>
      <c r="F4663" s="2" t="str">
        <f>IFERROR(__xludf.DUMMYFUNCTION("IF(E4663&lt;&gt;"""", GOOGLETRANSLATE(E4663, ""en"", ""te""),"""")"),"")</f>
        <v/>
      </c>
      <c r="G4663" s="2"/>
      <c r="H4663" s="2" t="str">
        <f>IFERROR(__xludf.DUMMYFUNCTION("IF(G4663&lt;&gt;"""", GOOGLETRANSLATE(G4663, ""en"", ""te""),"""")"),"")</f>
        <v/>
      </c>
      <c r="I4663" s="3"/>
    </row>
    <row r="4664" customHeight="1" spans="1:9">
      <c r="A4664" s="2"/>
      <c r="B4664" s="2" t="str">
        <f>IFERROR(__xludf.DUMMYFUNCTION("IF(A4664&lt;&gt;"""", GOOGLETRANSLATE(A4664, ""en"", ""te""),"""")"),"")</f>
        <v/>
      </c>
      <c r="C4664" s="2"/>
      <c r="D4664" s="2" t="str">
        <f>IFERROR(__xludf.DUMMYFUNCTION("IF(C4664&lt;&gt;"""", GOOGLETRANSLATE(C4664, ""en"", ""te""),"""")"),"")</f>
        <v/>
      </c>
      <c r="E4664" s="2"/>
      <c r="F4664" s="2" t="str">
        <f>IFERROR(__xludf.DUMMYFUNCTION("IF(E4664&lt;&gt;"""", GOOGLETRANSLATE(E4664, ""en"", ""te""),"""")"),"")</f>
        <v/>
      </c>
      <c r="G4664" s="2"/>
      <c r="H4664" s="2" t="str">
        <f>IFERROR(__xludf.DUMMYFUNCTION("IF(G4664&lt;&gt;"""", GOOGLETRANSLATE(G4664, ""en"", ""te""),"""")"),"")</f>
        <v/>
      </c>
      <c r="I4664" s="3"/>
    </row>
    <row r="4665" customHeight="1" spans="1:9">
      <c r="A4665" s="2"/>
      <c r="B4665" s="2" t="str">
        <f>IFERROR(__xludf.DUMMYFUNCTION("IF(A4665&lt;&gt;"""", GOOGLETRANSLATE(A4665, ""en"", ""te""),"""")"),"")</f>
        <v/>
      </c>
      <c r="C4665" s="2"/>
      <c r="D4665" s="2" t="str">
        <f>IFERROR(__xludf.DUMMYFUNCTION("IF(C4665&lt;&gt;"""", GOOGLETRANSLATE(C4665, ""en"", ""te""),"""")"),"")</f>
        <v/>
      </c>
      <c r="E4665" s="2"/>
      <c r="F4665" s="2" t="str">
        <f>IFERROR(__xludf.DUMMYFUNCTION("IF(E4665&lt;&gt;"""", GOOGLETRANSLATE(E4665, ""en"", ""te""),"""")"),"")</f>
        <v/>
      </c>
      <c r="G4665" s="2"/>
      <c r="H4665" s="2" t="str">
        <f>IFERROR(__xludf.DUMMYFUNCTION("IF(G4665&lt;&gt;"""", GOOGLETRANSLATE(G4665, ""en"", ""te""),"""")"),"")</f>
        <v/>
      </c>
      <c r="I4665" s="3"/>
    </row>
    <row r="4666" customHeight="1" spans="1:9">
      <c r="A4666" s="2"/>
      <c r="B4666" s="2" t="str">
        <f>IFERROR(__xludf.DUMMYFUNCTION("IF(A4666&lt;&gt;"""", GOOGLETRANSLATE(A4666, ""en"", ""te""),"""")"),"")</f>
        <v/>
      </c>
      <c r="C4666" s="2"/>
      <c r="D4666" s="2" t="str">
        <f>IFERROR(__xludf.DUMMYFUNCTION("IF(C4666&lt;&gt;"""", GOOGLETRANSLATE(C4666, ""en"", ""te""),"""")"),"")</f>
        <v/>
      </c>
      <c r="E4666" s="2"/>
      <c r="F4666" s="2" t="str">
        <f>IFERROR(__xludf.DUMMYFUNCTION("IF(E4666&lt;&gt;"""", GOOGLETRANSLATE(E4666, ""en"", ""te""),"""")"),"")</f>
        <v/>
      </c>
      <c r="G4666" s="2"/>
      <c r="H4666" s="2" t="str">
        <f>IFERROR(__xludf.DUMMYFUNCTION("IF(G4666&lt;&gt;"""", GOOGLETRANSLATE(G4666, ""en"", ""te""),"""")"),"")</f>
        <v/>
      </c>
      <c r="I4666" s="3"/>
    </row>
    <row r="4667" customHeight="1" spans="1:9">
      <c r="A4667" s="2" t="s">
        <v>3277</v>
      </c>
      <c r="B4667" s="2" t="str">
        <f>IFERROR(__xludf.DUMMYFUNCTION("IF(A4667&lt;&gt;"""", GOOGLETRANSLATE(A4667, ""en"", ""te""),"""")"),"[ 'ఇన్నింగ్స్ లో 2 వ చెత్త సమ్మె రేటు (468.0)', '2 వ అత్యంత ఇన్నింగ్స్ లో సాధించిన పరుగులు (276)']")</f>
        <v>[ 'ఇన్నింగ్స్ లో 2 వ చెత్త సమ్మె రేటు (468.0)', '2 వ అత్యంత ఇన్నింగ్స్ లో సాధించిన పరుగులు (276)']</v>
      </c>
      <c r="C4667" s="2" t="s">
        <v>3278</v>
      </c>
      <c r="D4667" s="2" t="str">
        <f>IFERROR(__xludf.DUMMYFUNCTION("IF(C4667&lt;&gt;"""", GOOGLETRANSLATE(C4667, ""en"", ""te""),"""")"),"[ '12 వ అత్యుత్తమ ఇన్నింగ్స్ లో విశ్లేషణలు బౌలింగ్ (3/8)', 'ఇన్నింగ్స్ లో 2 వ చెత్త సమ్మె రేటు (468.0)', '2 వ అత్యంత ఇన్నింగ్స్ లో ఇవ్వబడిన పరుగులలో' 17 వ ఇన్నింగ్స్ (468) లో బౌల్డ్ చాలా బంతుల్లో ' (276) ',' 17 వ అత్యధిక పరుగులు ఒక మ్యాచ్ (276) లో సాధించి"&amp;"న]")</f>
        <v>[ '12 వ అత్యుత్తమ ఇన్నింగ్స్ లో విశ్లేషణలు బౌలింగ్ (3/8)', 'ఇన్నింగ్స్ లో 2 వ చెత్త సమ్మె రేటు (468.0)', '2 వ అత్యంత ఇన్నింగ్స్ లో ఇవ్వబడిన పరుగులలో' 17 వ ఇన్నింగ్స్ (468) లో బౌల్డ్ చాలా బంతుల్లో ' (276) ',' 17 వ అత్యధిక పరుగులు ఒక మ్యాచ్ (276) లో సాధించిన]</v>
      </c>
      <c r="E4667" s="2"/>
      <c r="F4667" s="2" t="str">
        <f>IFERROR(__xludf.DUMMYFUNCTION("IF(E4667&lt;&gt;"""", GOOGLETRANSLATE(E4667, ""en"", ""te""),"""")"),"")</f>
        <v/>
      </c>
      <c r="G4667" s="2"/>
      <c r="H4667" s="2" t="str">
        <f>IFERROR(__xludf.DUMMYFUNCTION("IF(G4667&lt;&gt;"""", GOOGLETRANSLATE(G4667, ""en"", ""te""),"""")"),"")</f>
        <v/>
      </c>
      <c r="I4667" s="3"/>
    </row>
    <row r="4668" customHeight="1" spans="1:9">
      <c r="A4668" s="2" t="s">
        <v>3279</v>
      </c>
      <c r="B4668" s="2" t="str">
        <f>IFERROR(__xludf.DUMMYFUNCTION("IF(A4668&lt;&gt;"""", GOOGLETRANSLATE(A4668, ""en"", ""te""),"""")"),"[ 'ఇన్నింగ్స్ లో 4 వ అత్యుత్తమ బౌలింగ్ విశ్లేషణలు (6/25)' '8 వ చెత్త ఆర్థిక వ్యవస్థ ఇన్నింగ్స్లో రేటు (12.36)', '1st నాలుగు వికెట్లు-ఇన్-ఒక-ఇన్నింగ్స్ అత్యధిక వరుస (2)', 'చాలా 5 వ ఒక ఇన్నింగ్స్ లో సాధించిన పరుగులు (64) ',' 6 వ అత్యధిక వికెట్లు స్టంప్ తీసు"&amp;"కోకూడదు (9) ',' 5 వ 50 వికెట్లు (34) వేగంగా ']")</f>
        <v>[ 'ఇన్నింగ్స్ లో 4 వ అత్యుత్తమ బౌలింగ్ విశ్లేషణలు (6/25)' '8 వ చెత్త ఆర్థిక వ్యవస్థ ఇన్నింగ్స్లో రేటు (12.36)', '1st నాలుగు వికెట్లు-ఇన్-ఒక-ఇన్నింగ్స్ అత్యధిక వరుస (2)', 'చాలా 5 వ ఒక ఇన్నింగ్స్ లో సాధించిన పరుగులు (64) ',' 6 వ అత్యధిక వికెట్లు స్టంప్ తీసుకోకూడదు (9) ',' 5 వ 50 వికెట్లు (34) వేగంగా ']</v>
      </c>
      <c r="C4668" s="2"/>
      <c r="D4668" s="2" t="str">
        <f>IFERROR(__xludf.DUMMYFUNCTION("IF(C4668&lt;&gt;"""", GOOGLETRANSLATE(C4668, ""en"", ""te""),"""")"),"")</f>
        <v/>
      </c>
      <c r="E4668" s="2" t="s">
        <v>3280</v>
      </c>
      <c r="F4668" s="2" t="str">
        <f>IFERROR(__xludf.DUMMYFUNCTION("IF(E4668&lt;&gt;"""", GOOGLETRANSLATE(E4668, ""en"", ""te""),"""")"),"[ '42 వ ఉత్తమ కెరీర్ సమ్మె రేటు (31.4)', 'ఇన్నింగ్స్ లో 8 వ చెత్త ఆర్థిక రేటు (12.36)', '43 వ అత్యంత ఐదు-వికెట్ల లో-ఒక-ఇన్నింగ్స్ కెరీర్లో (2)', '13 వ అత్యంత వరుసగా నాలుగు -wickets-ఇన్-ఒక-ఇన్నింగ్స్ (2) ',' 40 వ అత్యధిక వికెట్లు స్టంప్ (10) ',' ఫాస్టెస్ట్"&amp;" 42 వ 50 వికెట్లు (30) '] తీసుకోవాలి")</f>
        <v>[ '42 వ ఉత్తమ కెరీర్ సమ్మె రేటు (31.4)', 'ఇన్నింగ్స్ లో 8 వ చెత్త ఆర్థిక రేటు (12.36)', '43 వ అత్యంత ఐదు-వికెట్ల లో-ఒక-ఇన్నింగ్స్ కెరీర్లో (2)', '13 వ అత్యంత వరుసగా నాలుగు -wickets-ఇన్-ఒక-ఇన్నింగ్స్ (2) ',' 40 వ అత్యధిక వికెట్లు స్టంప్ (10) ',' ఫాస్టెస్ట్ 42 వ 50 వికెట్లు (30) '] తీసుకోవాలి</v>
      </c>
      <c r="G4668" s="2" t="s">
        <v>3281</v>
      </c>
      <c r="H4668" s="2" t="str">
        <f>IFERROR(__xludf.DUMMYFUNCTION("IF(G4668&lt;&gt;"""", GOOGLETRANSLATE(G4668, ""en"", ""te""),"""")"),"[ '17 వ కెరీర్ లో అత్యధిక వికెట్లు (62)', '4 వ ఇన్నింగ్స్ లో బెస్ట్ ఫిగర్స్ (6/25)', '17 వ ఒక క్యాలెండర్ సంవత్సరంలో అత్యధిక వికెట్లు (23)', '4 వ అత్యుత్తమ బౌలింగ్ ఇన్నింగ్స్ లో విశ్లేషించడం (6 / 25) ',' ఒకే మైదానంలో 43 వ అత్యధిక వికెట్లు (11) ',' 50 వ ఉత"&amp;"్తమ కెరీర్ సమ్మె రేటు (18.1) ',' ఇన్నింగ్స్ లో 20 వ ఉత్తమ సమ్మె రేటు (4.0) ',' 18 వ చెత్త కెరీర్లో ఆర్థిక రేటు (8.40) ',' 7 వ అత్యంత నాలుగు వికెట్లు-ఇన్-ఒక-ఇన్నింగ్స్ కెరీర్లో (3) ',' 1 వ వరుస నాలుగు వికెట్లు-ఇన్-ఒక-ఇన్నింగ్స్ (2) ',' 20 వ కెరీర్ లో బౌల్డ"&amp;"్ చాలా బంతుల్లో (1125) ',' 11 వ కెరీర్ లో సాధించిన అత్యధిక పరుగులు (1575) ',' 5 వ అత్యధిక పరుగులు ఇన్నింగ్స్ లో సాధించిన (64) ',' 17 వ బౌలర్ / బ్యాట్స్ కలయికలు (3) ',' 6 వ బౌలర్ / ఫీల్డర్ కలయికలు (9) ',' 20 వ అత్యంత బౌల్డ్ వికెట్లు తీసుకున్నారు (14) ',' 3"&amp;"4 వ అత్యధిక వికెట్లు తీసుకున్న ఆకర్షించింది (34) ', '21 వ అత్యధిక వికెట్లు ఒక ఫీల్డర్ చేత క్యాచ్ తీసుకున్న (33)', '32 వ అత్యధిక వికెట్లు తీసుకున్న ఎల్బిడబ్ల్యు (5)', '6 వ అత్యధిక వికెట్లు తీసుకున్న స్టంప్ (9) ',' ఫాస్టెస్ట్ 50 వికెట్లు 5 వ (34) ']")</f>
        <v>[ '17 వ కెరీర్ లో అత్యధిక వికెట్లు (62)', '4 వ ఇన్నింగ్స్ లో బెస్ట్ ఫిగర్స్ (6/25)', '17 వ ఒక క్యాలెండర్ సంవత్సరంలో అత్యధిక వికెట్లు (23)', '4 వ అత్యుత్తమ బౌలింగ్ ఇన్నింగ్స్ లో విశ్లేషించడం (6 / 25) ',' ఒకే మైదానంలో 43 వ అత్యధిక వికెట్లు (11) ',' 50 వ ఉత్తమ కెరీర్ సమ్మె రేటు (18.1) ',' ఇన్నింగ్స్ లో 20 వ ఉత్తమ సమ్మె రేటు (4.0) ',' 18 వ చెత్త కెరీర్లో ఆర్థిక రేటు (8.40) ',' 7 వ అత్యంత నాలుగు వికెట్లు-ఇన్-ఒక-ఇన్నింగ్స్ కెరీర్లో (3) ',' 1 వ వరుస నాలుగు వికెట్లు-ఇన్-ఒక-ఇన్నింగ్స్ (2) ',' 20 వ కెరీర్ లో బౌల్డ్ చాలా బంతుల్లో (1125) ',' 11 వ కెరీర్ లో సాధించిన అత్యధిక పరుగులు (1575) ',' 5 వ అత్యధిక పరుగులు ఇన్నింగ్స్ లో సాధించిన (64) ',' 17 వ బౌలర్ / బ్యాట్స్ కలయికలు (3) ',' 6 వ బౌలర్ / ఫీల్డర్ కలయికలు (9) ',' 20 వ అత్యంత బౌల్డ్ వికెట్లు తీసుకున్నారు (14) ',' 34 వ అత్యధిక వికెట్లు తీసుకున్న ఆకర్షించింది (34) ', '21 వ అత్యధిక వికెట్లు ఒక ఫీల్డర్ చేత క్యాచ్ తీసుకున్న (33)', '32 వ అత్యధిక వికెట్లు తీసుకున్న ఎల్బిడబ్ల్యు (5)', '6 వ అత్యధిక వికెట్లు తీసుకున్న స్టంప్ (9) ',' ఫాస్టెస్ట్ 50 వికెట్లు 5 వ (34) ']</v>
      </c>
      <c r="I4668" s="3"/>
    </row>
    <row r="4669" customHeight="1" spans="1:9">
      <c r="A4669" s="2"/>
      <c r="B4669" s="2" t="str">
        <f>IFERROR(__xludf.DUMMYFUNCTION("IF(A4669&lt;&gt;"""", GOOGLETRANSLATE(A4669, ""en"", ""te""),"""")"),"")</f>
        <v/>
      </c>
      <c r="C4669" s="2"/>
      <c r="D4669" s="2" t="str">
        <f>IFERROR(__xludf.DUMMYFUNCTION("IF(C4669&lt;&gt;"""", GOOGLETRANSLATE(C4669, ""en"", ""te""),"""")"),"")</f>
        <v/>
      </c>
      <c r="E4669" s="2"/>
      <c r="F4669" s="2" t="str">
        <f>IFERROR(__xludf.DUMMYFUNCTION("IF(E4669&lt;&gt;"""", GOOGLETRANSLATE(E4669, ""en"", ""te""),"""")"),"")</f>
        <v/>
      </c>
      <c r="G4669" s="2"/>
      <c r="H4669" s="2" t="str">
        <f>IFERROR(__xludf.DUMMYFUNCTION("IF(G4669&lt;&gt;"""", GOOGLETRANSLATE(G4669, ""en"", ""te""),"""")"),"")</f>
        <v/>
      </c>
      <c r="I4669" s="3"/>
    </row>
    <row r="4670" customHeight="1" spans="1:9">
      <c r="A4670" s="2"/>
      <c r="B4670" s="2" t="str">
        <f>IFERROR(__xludf.DUMMYFUNCTION("IF(A4670&lt;&gt;"""", GOOGLETRANSLATE(A4670, ""en"", ""te""),"""")"),"")</f>
        <v/>
      </c>
      <c r="C4670" s="2"/>
      <c r="D4670" s="2" t="str">
        <f>IFERROR(__xludf.DUMMYFUNCTION("IF(C4670&lt;&gt;"""", GOOGLETRANSLATE(C4670, ""en"", ""te""),"""")"),"")</f>
        <v/>
      </c>
      <c r="E4670" s="2"/>
      <c r="F4670" s="2" t="str">
        <f>IFERROR(__xludf.DUMMYFUNCTION("IF(E4670&lt;&gt;"""", GOOGLETRANSLATE(E4670, ""en"", ""te""),"""")"),"")</f>
        <v/>
      </c>
      <c r="G4670" s="2"/>
      <c r="H4670" s="2" t="str">
        <f>IFERROR(__xludf.DUMMYFUNCTION("IF(G4670&lt;&gt;"""", GOOGLETRANSLATE(G4670, ""en"", ""te""),"""")"),"")</f>
        <v/>
      </c>
      <c r="I4670" s="3"/>
    </row>
    <row r="4671" customHeight="1" spans="1:9">
      <c r="A4671" s="2"/>
      <c r="B4671" s="2" t="str">
        <f>IFERROR(__xludf.DUMMYFUNCTION("IF(A4671&lt;&gt;"""", GOOGLETRANSLATE(A4671, ""en"", ""te""),"""")"),"")</f>
        <v/>
      </c>
      <c r="C4671" s="2"/>
      <c r="D4671" s="2" t="str">
        <f>IFERROR(__xludf.DUMMYFUNCTION("IF(C4671&lt;&gt;"""", GOOGLETRANSLATE(C4671, ""en"", ""te""),"""")"),"")</f>
        <v/>
      </c>
      <c r="E4671" s="2"/>
      <c r="F4671" s="2" t="str">
        <f>IFERROR(__xludf.DUMMYFUNCTION("IF(E4671&lt;&gt;"""", GOOGLETRANSLATE(E4671, ""en"", ""te""),"""")"),"")</f>
        <v/>
      </c>
      <c r="G4671" s="2"/>
      <c r="H4671" s="2" t="str">
        <f>IFERROR(__xludf.DUMMYFUNCTION("IF(G4671&lt;&gt;"""", GOOGLETRANSLATE(G4671, ""en"", ""te""),"""")"),"")</f>
        <v/>
      </c>
      <c r="I4671" s="3"/>
    </row>
    <row r="4672" customHeight="1" spans="1:9">
      <c r="A4672" s="2"/>
      <c r="B4672" s="2" t="str">
        <f>IFERROR(__xludf.DUMMYFUNCTION("IF(A4672&lt;&gt;"""", GOOGLETRANSLATE(A4672, ""en"", ""te""),"""")"),"")</f>
        <v/>
      </c>
      <c r="C4672" s="2"/>
      <c r="D4672" s="2" t="str">
        <f>IFERROR(__xludf.DUMMYFUNCTION("IF(C4672&lt;&gt;"""", GOOGLETRANSLATE(C4672, ""en"", ""te""),"""")"),"")</f>
        <v/>
      </c>
      <c r="E4672" s="2"/>
      <c r="F4672" s="2" t="str">
        <f>IFERROR(__xludf.DUMMYFUNCTION("IF(E4672&lt;&gt;"""", GOOGLETRANSLATE(E4672, ""en"", ""te""),"""")"),"")</f>
        <v/>
      </c>
      <c r="G4672" s="2"/>
      <c r="H4672" s="2" t="str">
        <f>IFERROR(__xludf.DUMMYFUNCTION("IF(G4672&lt;&gt;"""", GOOGLETRANSLATE(G4672, ""en"", ""te""),"""")"),"")</f>
        <v/>
      </c>
      <c r="I4672" s="3"/>
    </row>
    <row r="4673" customHeight="1" spans="1:9">
      <c r="A4673" s="2"/>
      <c r="B4673" s="2" t="str">
        <f>IFERROR(__xludf.DUMMYFUNCTION("IF(A4673&lt;&gt;"""", GOOGLETRANSLATE(A4673, ""en"", ""te""),"""")"),"")</f>
        <v/>
      </c>
      <c r="C4673" s="2"/>
      <c r="D4673" s="2" t="str">
        <f>IFERROR(__xludf.DUMMYFUNCTION("IF(C4673&lt;&gt;"""", GOOGLETRANSLATE(C4673, ""en"", ""te""),"""")"),"")</f>
        <v/>
      </c>
      <c r="E4673" s="2"/>
      <c r="F4673" s="2" t="str">
        <f>IFERROR(__xludf.DUMMYFUNCTION("IF(E4673&lt;&gt;"""", GOOGLETRANSLATE(E4673, ""en"", ""te""),"""")"),"")</f>
        <v/>
      </c>
      <c r="G4673" s="2"/>
      <c r="H4673" s="2" t="str">
        <f>IFERROR(__xludf.DUMMYFUNCTION("IF(G4673&lt;&gt;"""", GOOGLETRANSLATE(G4673, ""en"", ""te""),"""")"),"")</f>
        <v/>
      </c>
      <c r="I4673" s="3"/>
    </row>
    <row r="4674" customHeight="1" spans="1:9">
      <c r="A4674" s="2"/>
      <c r="B4674" s="2" t="str">
        <f>IFERROR(__xludf.DUMMYFUNCTION("IF(A4674&lt;&gt;"""", GOOGLETRANSLATE(A4674, ""en"", ""te""),"""")"),"")</f>
        <v/>
      </c>
      <c r="C4674" s="2"/>
      <c r="D4674" s="2" t="str">
        <f>IFERROR(__xludf.DUMMYFUNCTION("IF(C4674&lt;&gt;"""", GOOGLETRANSLATE(C4674, ""en"", ""te""),"""")"),"")</f>
        <v/>
      </c>
      <c r="E4674" s="2"/>
      <c r="F4674" s="2" t="str">
        <f>IFERROR(__xludf.DUMMYFUNCTION("IF(E4674&lt;&gt;"""", GOOGLETRANSLATE(E4674, ""en"", ""te""),"""")"),"")</f>
        <v/>
      </c>
      <c r="G4674" s="2"/>
      <c r="H4674" s="2" t="str">
        <f>IFERROR(__xludf.DUMMYFUNCTION("IF(G4674&lt;&gt;"""", GOOGLETRANSLATE(G4674, ""en"", ""te""),"""")"),"")</f>
        <v/>
      </c>
      <c r="I4674" s="3"/>
    </row>
    <row r="4675" customHeight="1" spans="1:9">
      <c r="A4675" s="2"/>
      <c r="B4675" s="2" t="str">
        <f>IFERROR(__xludf.DUMMYFUNCTION("IF(A4675&lt;&gt;"""", GOOGLETRANSLATE(A4675, ""en"", ""te""),"""")"),"")</f>
        <v/>
      </c>
      <c r="C4675" s="2"/>
      <c r="D4675" s="2" t="str">
        <f>IFERROR(__xludf.DUMMYFUNCTION("IF(C4675&lt;&gt;"""", GOOGLETRANSLATE(C4675, ""en"", ""te""),"""")"),"")</f>
        <v/>
      </c>
      <c r="E4675" s="2"/>
      <c r="F4675" s="2" t="str">
        <f>IFERROR(__xludf.DUMMYFUNCTION("IF(E4675&lt;&gt;"""", GOOGLETRANSLATE(E4675, ""en"", ""te""),"""")"),"")</f>
        <v/>
      </c>
      <c r="G4675" s="2"/>
      <c r="H4675" s="2" t="str">
        <f>IFERROR(__xludf.DUMMYFUNCTION("IF(G4675&lt;&gt;"""", GOOGLETRANSLATE(G4675, ""en"", ""te""),"""")"),"")</f>
        <v/>
      </c>
      <c r="I4675" s="3"/>
    </row>
    <row r="4676" customHeight="1" spans="1:9">
      <c r="A4676" s="2"/>
      <c r="B4676" s="2" t="str">
        <f>IFERROR(__xludf.DUMMYFUNCTION("IF(A4676&lt;&gt;"""", GOOGLETRANSLATE(A4676, ""en"", ""te""),"""")"),"")</f>
        <v/>
      </c>
      <c r="C4676" s="2"/>
      <c r="D4676" s="2" t="str">
        <f>IFERROR(__xludf.DUMMYFUNCTION("IF(C4676&lt;&gt;"""", GOOGLETRANSLATE(C4676, ""en"", ""te""),"""")"),"")</f>
        <v/>
      </c>
      <c r="E4676" s="2"/>
      <c r="F4676" s="2" t="str">
        <f>IFERROR(__xludf.DUMMYFUNCTION("IF(E4676&lt;&gt;"""", GOOGLETRANSLATE(E4676, ""en"", ""te""),"""")"),"")</f>
        <v/>
      </c>
      <c r="G4676" s="2"/>
      <c r="H4676" s="2" t="str">
        <f>IFERROR(__xludf.DUMMYFUNCTION("IF(G4676&lt;&gt;"""", GOOGLETRANSLATE(G4676, ""en"", ""te""),"""")"),"")</f>
        <v/>
      </c>
      <c r="I4676" s="3"/>
    </row>
    <row r="4677" customHeight="1" spans="1:9">
      <c r="A4677" s="2"/>
      <c r="B4677" s="2" t="str">
        <f>IFERROR(__xludf.DUMMYFUNCTION("IF(A4677&lt;&gt;"""", GOOGLETRANSLATE(A4677, ""en"", ""te""),"""")"),"")</f>
        <v/>
      </c>
      <c r="C4677" s="2"/>
      <c r="D4677" s="2" t="str">
        <f>IFERROR(__xludf.DUMMYFUNCTION("IF(C4677&lt;&gt;"""", GOOGLETRANSLATE(C4677, ""en"", ""te""),"""")"),"")</f>
        <v/>
      </c>
      <c r="E4677" s="2"/>
      <c r="F4677" s="2" t="str">
        <f>IFERROR(__xludf.DUMMYFUNCTION("IF(E4677&lt;&gt;"""", GOOGLETRANSLATE(E4677, ""en"", ""te""),"""")"),"")</f>
        <v/>
      </c>
      <c r="G4677" s="2" t="s">
        <v>522</v>
      </c>
      <c r="H4677" s="2" t="str">
        <f>IFERROR(__xludf.DUMMYFUNCTION("IF(G4677&lt;&gt;"""", GOOGLETRANSLATE(G4677, ""en"", ""te""),"""")"),"[ 'తొలి ఇన్నింగ్స్ 12 వ బెస్ట్ ఫిగర్స్ (3)']")</f>
        <v>[ 'తొలి ఇన్నింగ్స్ 12 వ బెస్ట్ ఫిగర్స్ (3)']</v>
      </c>
      <c r="I4677" s="3"/>
    </row>
    <row r="4678" customHeight="1" spans="1:9">
      <c r="A4678" s="2"/>
      <c r="B4678" s="2" t="str">
        <f>IFERROR(__xludf.DUMMYFUNCTION("IF(A4678&lt;&gt;"""", GOOGLETRANSLATE(A4678, ""en"", ""te""),"""")"),"")</f>
        <v/>
      </c>
      <c r="C4678" s="2"/>
      <c r="D4678" s="2" t="str">
        <f>IFERROR(__xludf.DUMMYFUNCTION("IF(C4678&lt;&gt;"""", GOOGLETRANSLATE(C4678, ""en"", ""te""),"""")"),"")</f>
        <v/>
      </c>
      <c r="E4678" s="2"/>
      <c r="F4678" s="2" t="str">
        <f>IFERROR(__xludf.DUMMYFUNCTION("IF(E4678&lt;&gt;"""", GOOGLETRANSLATE(E4678, ""en"", ""te""),"""")"),"")</f>
        <v/>
      </c>
      <c r="G4678" s="2"/>
      <c r="H4678" s="2" t="str">
        <f>IFERROR(__xludf.DUMMYFUNCTION("IF(G4678&lt;&gt;"""", GOOGLETRANSLATE(G4678, ""en"", ""te""),"""")"),"")</f>
        <v/>
      </c>
      <c r="I4678" s="3"/>
    </row>
    <row r="4679" customHeight="1" spans="1:9">
      <c r="A4679" s="2"/>
      <c r="B4679" s="2" t="str">
        <f>IFERROR(__xludf.DUMMYFUNCTION("IF(A4679&lt;&gt;"""", GOOGLETRANSLATE(A4679, ""en"", ""te""),"""")"),"")</f>
        <v/>
      </c>
      <c r="C4679" s="2"/>
      <c r="D4679" s="2" t="str">
        <f>IFERROR(__xludf.DUMMYFUNCTION("IF(C4679&lt;&gt;"""", GOOGLETRANSLATE(C4679, ""en"", ""te""),"""")"),"")</f>
        <v/>
      </c>
      <c r="E4679" s="2"/>
      <c r="F4679" s="2" t="str">
        <f>IFERROR(__xludf.DUMMYFUNCTION("IF(E4679&lt;&gt;"""", GOOGLETRANSLATE(E4679, ""en"", ""te""),"""")"),"")</f>
        <v/>
      </c>
      <c r="G4679" s="2"/>
      <c r="H4679" s="2" t="str">
        <f>IFERROR(__xludf.DUMMYFUNCTION("IF(G4679&lt;&gt;"""", GOOGLETRANSLATE(G4679, ""en"", ""te""),"""")"),"")</f>
        <v/>
      </c>
      <c r="I4679" s="3"/>
    </row>
    <row r="4680" customHeight="1" spans="1:9">
      <c r="A4680" s="2"/>
      <c r="B4680" s="2" t="str">
        <f>IFERROR(__xludf.DUMMYFUNCTION("IF(A4680&lt;&gt;"""", GOOGLETRANSLATE(A4680, ""en"", ""te""),"""")"),"")</f>
        <v/>
      </c>
      <c r="C4680" s="2"/>
      <c r="D4680" s="2" t="str">
        <f>IFERROR(__xludf.DUMMYFUNCTION("IF(C4680&lt;&gt;"""", GOOGLETRANSLATE(C4680, ""en"", ""te""),"""")"),"")</f>
        <v/>
      </c>
      <c r="E4680" s="2"/>
      <c r="F4680" s="2" t="str">
        <f>IFERROR(__xludf.DUMMYFUNCTION("IF(E4680&lt;&gt;"""", GOOGLETRANSLATE(E4680, ""en"", ""te""),"""")"),"")</f>
        <v/>
      </c>
      <c r="G4680" s="2"/>
      <c r="H4680" s="2" t="str">
        <f>IFERROR(__xludf.DUMMYFUNCTION("IF(G4680&lt;&gt;"""", GOOGLETRANSLATE(G4680, ""en"", ""te""),"""")"),"")</f>
        <v/>
      </c>
      <c r="I4680" s="3"/>
    </row>
    <row r="4681" customHeight="1" spans="1:9">
      <c r="A4681" s="2"/>
      <c r="B4681" s="2" t="str">
        <f>IFERROR(__xludf.DUMMYFUNCTION("IF(A4681&lt;&gt;"""", GOOGLETRANSLATE(A4681, ""en"", ""te""),"""")"),"")</f>
        <v/>
      </c>
      <c r="C4681" s="2"/>
      <c r="D4681" s="2" t="str">
        <f>IFERROR(__xludf.DUMMYFUNCTION("IF(C4681&lt;&gt;"""", GOOGLETRANSLATE(C4681, ""en"", ""te""),"""")"),"")</f>
        <v/>
      </c>
      <c r="E4681" s="2"/>
      <c r="F4681" s="2" t="str">
        <f>IFERROR(__xludf.DUMMYFUNCTION("IF(E4681&lt;&gt;"""", GOOGLETRANSLATE(E4681, ""en"", ""te""),"""")"),"")</f>
        <v/>
      </c>
      <c r="G4681" s="2"/>
      <c r="H4681" s="2" t="str">
        <f>IFERROR(__xludf.DUMMYFUNCTION("IF(G4681&lt;&gt;"""", GOOGLETRANSLATE(G4681, ""en"", ""te""),"""")"),"")</f>
        <v/>
      </c>
      <c r="I4681" s="3"/>
    </row>
    <row r="4682" customHeight="1" spans="1:9">
      <c r="A4682" s="2"/>
      <c r="B4682" s="2" t="str">
        <f>IFERROR(__xludf.DUMMYFUNCTION("IF(A4682&lt;&gt;"""", GOOGLETRANSLATE(A4682, ""en"", ""te""),"""")"),"")</f>
        <v/>
      </c>
      <c r="C4682" s="2"/>
      <c r="D4682" s="2" t="str">
        <f>IFERROR(__xludf.DUMMYFUNCTION("IF(C4682&lt;&gt;"""", GOOGLETRANSLATE(C4682, ""en"", ""te""),"""")"),"")</f>
        <v/>
      </c>
      <c r="E4682" s="2"/>
      <c r="F4682" s="2" t="str">
        <f>IFERROR(__xludf.DUMMYFUNCTION("IF(E4682&lt;&gt;"""", GOOGLETRANSLATE(E4682, ""en"", ""te""),"""")"),"")</f>
        <v/>
      </c>
      <c r="G4682" s="2"/>
      <c r="H4682" s="2" t="str">
        <f>IFERROR(__xludf.DUMMYFUNCTION("IF(G4682&lt;&gt;"""", GOOGLETRANSLATE(G4682, ""en"", ""te""),"""")"),"")</f>
        <v/>
      </c>
      <c r="I4682" s="3"/>
    </row>
    <row r="4683" customHeight="1" spans="1:9">
      <c r="A4683" s="2"/>
      <c r="B4683" s="2" t="str">
        <f>IFERROR(__xludf.DUMMYFUNCTION("IF(A4683&lt;&gt;"""", GOOGLETRANSLATE(A4683, ""en"", ""te""),"""")"),"")</f>
        <v/>
      </c>
      <c r="C4683" s="2"/>
      <c r="D4683" s="2" t="str">
        <f>IFERROR(__xludf.DUMMYFUNCTION("IF(C4683&lt;&gt;"""", GOOGLETRANSLATE(C4683, ""en"", ""te""),"""")"),"")</f>
        <v/>
      </c>
      <c r="E4683" s="2"/>
      <c r="F4683" s="2" t="str">
        <f>IFERROR(__xludf.DUMMYFUNCTION("IF(E4683&lt;&gt;"""", GOOGLETRANSLATE(E4683, ""en"", ""te""),"""")"),"")</f>
        <v/>
      </c>
      <c r="G4683" s="2"/>
      <c r="H4683" s="2" t="str">
        <f>IFERROR(__xludf.DUMMYFUNCTION("IF(G4683&lt;&gt;"""", GOOGLETRANSLATE(G4683, ""en"", ""te""),"""")"),"")</f>
        <v/>
      </c>
      <c r="I4683" s="3"/>
    </row>
    <row r="4684" customHeight="1" spans="1:9">
      <c r="A4684" s="2"/>
      <c r="B4684" s="2" t="str">
        <f>IFERROR(__xludf.DUMMYFUNCTION("IF(A4684&lt;&gt;"""", GOOGLETRANSLATE(A4684, ""en"", ""te""),"""")"),"")</f>
        <v/>
      </c>
      <c r="C4684" s="2"/>
      <c r="D4684" s="2" t="str">
        <f>IFERROR(__xludf.DUMMYFUNCTION("IF(C4684&lt;&gt;"""", GOOGLETRANSLATE(C4684, ""en"", ""te""),"""")"),"")</f>
        <v/>
      </c>
      <c r="E4684" s="2"/>
      <c r="F4684" s="2" t="str">
        <f>IFERROR(__xludf.DUMMYFUNCTION("IF(E4684&lt;&gt;"""", GOOGLETRANSLATE(E4684, ""en"", ""te""),"""")"),"")</f>
        <v/>
      </c>
      <c r="G4684" s="2"/>
      <c r="H4684" s="2" t="str">
        <f>IFERROR(__xludf.DUMMYFUNCTION("IF(G4684&lt;&gt;"""", GOOGLETRANSLATE(G4684, ""en"", ""te""),"""")"),"")</f>
        <v/>
      </c>
      <c r="I4684" s="3"/>
    </row>
    <row r="4685" customHeight="1" spans="1:9">
      <c r="A4685" s="2"/>
      <c r="B4685" s="2" t="str">
        <f>IFERROR(__xludf.DUMMYFUNCTION("IF(A4685&lt;&gt;"""", GOOGLETRANSLATE(A4685, ""en"", ""te""),"""")"),"")</f>
        <v/>
      </c>
      <c r="C4685" s="2"/>
      <c r="D4685" s="2" t="str">
        <f>IFERROR(__xludf.DUMMYFUNCTION("IF(C4685&lt;&gt;"""", GOOGLETRANSLATE(C4685, ""en"", ""te""),"""")"),"")</f>
        <v/>
      </c>
      <c r="E4685" s="2"/>
      <c r="F4685" s="2" t="str">
        <f>IFERROR(__xludf.DUMMYFUNCTION("IF(E4685&lt;&gt;"""", GOOGLETRANSLATE(E4685, ""en"", ""te""),"""")"),"")</f>
        <v/>
      </c>
      <c r="G4685" s="2"/>
      <c r="H4685" s="2" t="str">
        <f>IFERROR(__xludf.DUMMYFUNCTION("IF(G4685&lt;&gt;"""", GOOGLETRANSLATE(G4685, ""en"", ""te""),"""")"),"")</f>
        <v/>
      </c>
      <c r="I4685" s="3"/>
    </row>
    <row r="4686" customHeight="1" spans="1:9">
      <c r="A4686" s="2"/>
      <c r="B4686" s="2" t="str">
        <f>IFERROR(__xludf.DUMMYFUNCTION("IF(A4686&lt;&gt;"""", GOOGLETRANSLATE(A4686, ""en"", ""te""),"""")"),"")</f>
        <v/>
      </c>
      <c r="C4686" s="2"/>
      <c r="D4686" s="2" t="str">
        <f>IFERROR(__xludf.DUMMYFUNCTION("IF(C4686&lt;&gt;"""", GOOGLETRANSLATE(C4686, ""en"", ""te""),"""")"),"")</f>
        <v/>
      </c>
      <c r="E4686" s="2"/>
      <c r="F4686" s="2" t="str">
        <f>IFERROR(__xludf.DUMMYFUNCTION("IF(E4686&lt;&gt;"""", GOOGLETRANSLATE(E4686, ""en"", ""te""),"""")"),"")</f>
        <v/>
      </c>
      <c r="G4686" s="2"/>
      <c r="H4686" s="2" t="str">
        <f>IFERROR(__xludf.DUMMYFUNCTION("IF(G4686&lt;&gt;"""", GOOGLETRANSLATE(G4686, ""en"", ""te""),"""")"),"")</f>
        <v/>
      </c>
      <c r="I4686" s="3"/>
    </row>
    <row r="4687" customHeight="1" spans="1:9">
      <c r="A4687" s="2"/>
      <c r="B4687" s="2" t="str">
        <f>IFERROR(__xludf.DUMMYFUNCTION("IF(A4687&lt;&gt;"""", GOOGLETRANSLATE(A4687, ""en"", ""te""),"""")"),"")</f>
        <v/>
      </c>
      <c r="C4687" s="2"/>
      <c r="D4687" s="2" t="str">
        <f>IFERROR(__xludf.DUMMYFUNCTION("IF(C4687&lt;&gt;"""", GOOGLETRANSLATE(C4687, ""en"", ""te""),"""")"),"")</f>
        <v/>
      </c>
      <c r="E4687" s="2"/>
      <c r="F4687" s="2" t="str">
        <f>IFERROR(__xludf.DUMMYFUNCTION("IF(E4687&lt;&gt;"""", GOOGLETRANSLATE(E4687, ""en"", ""te""),"""")"),"")</f>
        <v/>
      </c>
      <c r="G4687" s="2"/>
      <c r="H4687" s="2" t="str">
        <f>IFERROR(__xludf.DUMMYFUNCTION("IF(G4687&lt;&gt;"""", GOOGLETRANSLATE(G4687, ""en"", ""te""),"""")"),"")</f>
        <v/>
      </c>
      <c r="I4687" s="3"/>
    </row>
    <row r="4688" customHeight="1" spans="1:9">
      <c r="A4688" s="2"/>
      <c r="B4688" s="2" t="str">
        <f>IFERROR(__xludf.DUMMYFUNCTION("IF(A4688&lt;&gt;"""", GOOGLETRANSLATE(A4688, ""en"", ""te""),"""")"),"")</f>
        <v/>
      </c>
      <c r="C4688" s="2"/>
      <c r="D4688" s="2" t="str">
        <f>IFERROR(__xludf.DUMMYFUNCTION("IF(C4688&lt;&gt;"""", GOOGLETRANSLATE(C4688, ""en"", ""te""),"""")"),"")</f>
        <v/>
      </c>
      <c r="E4688" s="2"/>
      <c r="F4688" s="2" t="str">
        <f>IFERROR(__xludf.DUMMYFUNCTION("IF(E4688&lt;&gt;"""", GOOGLETRANSLATE(E4688, ""en"", ""te""),"""")"),"")</f>
        <v/>
      </c>
      <c r="G4688" s="2"/>
      <c r="H4688" s="2" t="str">
        <f>IFERROR(__xludf.DUMMYFUNCTION("IF(G4688&lt;&gt;"""", GOOGLETRANSLATE(G4688, ""en"", ""te""),"""")"),"")</f>
        <v/>
      </c>
      <c r="I4688" s="3"/>
    </row>
    <row r="4689" customHeight="1" spans="1:9">
      <c r="A4689" s="2"/>
      <c r="B4689" s="2" t="str">
        <f>IFERROR(__xludf.DUMMYFUNCTION("IF(A4689&lt;&gt;"""", GOOGLETRANSLATE(A4689, ""en"", ""te""),"""")"),"")</f>
        <v/>
      </c>
      <c r="C4689" s="2"/>
      <c r="D4689" s="2" t="str">
        <f>IFERROR(__xludf.DUMMYFUNCTION("IF(C4689&lt;&gt;"""", GOOGLETRANSLATE(C4689, ""en"", ""te""),"""")"),"")</f>
        <v/>
      </c>
      <c r="E4689" s="2" t="s">
        <v>3282</v>
      </c>
      <c r="F4689" s="2" t="str">
        <f>IFERROR(__xludf.DUMMYFUNCTION("IF(E4689&lt;&gt;"""", GOOGLETRANSLATE(E4689, ""en"", ""te""),"""")"),"[ '13 వ చెత్త కెరీర్ బౌలింగ్ సరాసరి (అర్హత లేకుండా) (160.00)']")</f>
        <v>[ '13 వ చెత్త కెరీర్ బౌలింగ్ సరాసరి (అర్హత లేకుండా) (160.00)']</v>
      </c>
      <c r="G4689" s="2"/>
      <c r="H4689" s="2" t="str">
        <f>IFERROR(__xludf.DUMMYFUNCTION("IF(G4689&lt;&gt;"""", GOOGLETRANSLATE(G4689, ""en"", ""te""),"""")"),"")</f>
        <v/>
      </c>
      <c r="I4689" s="3"/>
    </row>
    <row r="4690" customHeight="1" spans="1:9">
      <c r="A4690" s="2"/>
      <c r="B4690" s="2" t="str">
        <f>IFERROR(__xludf.DUMMYFUNCTION("IF(A4690&lt;&gt;"""", GOOGLETRANSLATE(A4690, ""en"", ""te""),"""")"),"")</f>
        <v/>
      </c>
      <c r="C4690" s="2"/>
      <c r="D4690" s="2" t="str">
        <f>IFERROR(__xludf.DUMMYFUNCTION("IF(C4690&lt;&gt;"""", GOOGLETRANSLATE(C4690, ""en"", ""te""),"""")"),"")</f>
        <v/>
      </c>
      <c r="E4690" s="2"/>
      <c r="F4690" s="2" t="str">
        <f>IFERROR(__xludf.DUMMYFUNCTION("IF(E4690&lt;&gt;"""", GOOGLETRANSLATE(E4690, ""en"", ""te""),"""")"),"")</f>
        <v/>
      </c>
      <c r="G4690" s="2"/>
      <c r="H4690" s="2" t="str">
        <f>IFERROR(__xludf.DUMMYFUNCTION("IF(G4690&lt;&gt;"""", GOOGLETRANSLATE(G4690, ""en"", ""te""),"""")"),"")</f>
        <v/>
      </c>
      <c r="I4690" s="3"/>
    </row>
    <row r="4691" customHeight="1" spans="1:9">
      <c r="A4691" s="2"/>
      <c r="B4691" s="2" t="str">
        <f>IFERROR(__xludf.DUMMYFUNCTION("IF(A4691&lt;&gt;"""", GOOGLETRANSLATE(A4691, ""en"", ""te""),"""")"),"")</f>
        <v/>
      </c>
      <c r="C4691" s="2"/>
      <c r="D4691" s="2" t="str">
        <f>IFERROR(__xludf.DUMMYFUNCTION("IF(C4691&lt;&gt;"""", GOOGLETRANSLATE(C4691, ""en"", ""te""),"""")"),"")</f>
        <v/>
      </c>
      <c r="E4691" s="2"/>
      <c r="F4691" s="2" t="str">
        <f>IFERROR(__xludf.DUMMYFUNCTION("IF(E4691&lt;&gt;"""", GOOGLETRANSLATE(E4691, ""en"", ""te""),"""")"),"")</f>
        <v/>
      </c>
      <c r="G4691" s="2"/>
      <c r="H4691" s="2" t="str">
        <f>IFERROR(__xludf.DUMMYFUNCTION("IF(G4691&lt;&gt;"""", GOOGLETRANSLATE(G4691, ""en"", ""te""),"""")"),"")</f>
        <v/>
      </c>
      <c r="I4691" s="3"/>
    </row>
    <row r="4692" customHeight="1" spans="1:9">
      <c r="A4692" s="2"/>
      <c r="B4692" s="2" t="str">
        <f>IFERROR(__xludf.DUMMYFUNCTION("IF(A4692&lt;&gt;"""", GOOGLETRANSLATE(A4692, ""en"", ""te""),"""")"),"")</f>
        <v/>
      </c>
      <c r="C4692" s="2"/>
      <c r="D4692" s="2" t="str">
        <f>IFERROR(__xludf.DUMMYFUNCTION("IF(C4692&lt;&gt;"""", GOOGLETRANSLATE(C4692, ""en"", ""te""),"""")"),"")</f>
        <v/>
      </c>
      <c r="E4692" s="2"/>
      <c r="F4692" s="2" t="str">
        <f>IFERROR(__xludf.DUMMYFUNCTION("IF(E4692&lt;&gt;"""", GOOGLETRANSLATE(E4692, ""en"", ""te""),"""")"),"")</f>
        <v/>
      </c>
      <c r="G4692" s="2"/>
      <c r="H4692" s="2" t="str">
        <f>IFERROR(__xludf.DUMMYFUNCTION("IF(G4692&lt;&gt;"""", GOOGLETRANSLATE(G4692, ""en"", ""te""),"""")"),"")</f>
        <v/>
      </c>
      <c r="I4692" s="3"/>
    </row>
    <row r="4693" customHeight="1" spans="1:9">
      <c r="A4693" s="2"/>
      <c r="B4693" s="2" t="str">
        <f>IFERROR(__xludf.DUMMYFUNCTION("IF(A4693&lt;&gt;"""", GOOGLETRANSLATE(A4693, ""en"", ""te""),"""")"),"")</f>
        <v/>
      </c>
      <c r="C4693" s="2"/>
      <c r="D4693" s="2" t="str">
        <f>IFERROR(__xludf.DUMMYFUNCTION("IF(C4693&lt;&gt;"""", GOOGLETRANSLATE(C4693, ""en"", ""te""),"""")"),"")</f>
        <v/>
      </c>
      <c r="E4693" s="2"/>
      <c r="F4693" s="2" t="str">
        <f>IFERROR(__xludf.DUMMYFUNCTION("IF(E4693&lt;&gt;"""", GOOGLETRANSLATE(E4693, ""en"", ""te""),"""")"),"")</f>
        <v/>
      </c>
      <c r="G4693" s="2"/>
      <c r="H4693" s="2" t="str">
        <f>IFERROR(__xludf.DUMMYFUNCTION("IF(G4693&lt;&gt;"""", GOOGLETRANSLATE(G4693, ""en"", ""te""),"""")"),"")</f>
        <v/>
      </c>
      <c r="I4693" s="3"/>
    </row>
    <row r="4694" customHeight="1" spans="1:9">
      <c r="A4694" s="2"/>
      <c r="B4694" s="2" t="str">
        <f>IFERROR(__xludf.DUMMYFUNCTION("IF(A4694&lt;&gt;"""", GOOGLETRANSLATE(A4694, ""en"", ""te""),"""")"),"")</f>
        <v/>
      </c>
      <c r="C4694" s="2"/>
      <c r="D4694" s="2" t="str">
        <f>IFERROR(__xludf.DUMMYFUNCTION("IF(C4694&lt;&gt;"""", GOOGLETRANSLATE(C4694, ""en"", ""te""),"""")"),"")</f>
        <v/>
      </c>
      <c r="E4694" s="2"/>
      <c r="F4694" s="2" t="str">
        <f>IFERROR(__xludf.DUMMYFUNCTION("IF(E4694&lt;&gt;"""", GOOGLETRANSLATE(E4694, ""en"", ""te""),"""")"),"")</f>
        <v/>
      </c>
      <c r="G4694" s="2"/>
      <c r="H4694" s="2" t="str">
        <f>IFERROR(__xludf.DUMMYFUNCTION("IF(G4694&lt;&gt;"""", GOOGLETRANSLATE(G4694, ""en"", ""te""),"""")"),"")</f>
        <v/>
      </c>
      <c r="I4694" s="3"/>
    </row>
    <row r="4695" customHeight="1" spans="1:9">
      <c r="A4695" s="2"/>
      <c r="B4695" s="2" t="str">
        <f>IFERROR(__xludf.DUMMYFUNCTION("IF(A4695&lt;&gt;"""", GOOGLETRANSLATE(A4695, ""en"", ""te""),"""")"),"")</f>
        <v/>
      </c>
      <c r="C4695" s="2"/>
      <c r="D4695" s="2" t="str">
        <f>IFERROR(__xludf.DUMMYFUNCTION("IF(C4695&lt;&gt;"""", GOOGLETRANSLATE(C4695, ""en"", ""te""),"""")"),"")</f>
        <v/>
      </c>
      <c r="E4695" s="2"/>
      <c r="F4695" s="2" t="str">
        <f>IFERROR(__xludf.DUMMYFUNCTION("IF(E4695&lt;&gt;"""", GOOGLETRANSLATE(E4695, ""en"", ""te""),"""")"),"")</f>
        <v/>
      </c>
      <c r="G4695" s="2"/>
      <c r="H4695" s="2" t="str">
        <f>IFERROR(__xludf.DUMMYFUNCTION("IF(G4695&lt;&gt;"""", GOOGLETRANSLATE(G4695, ""en"", ""te""),"""")"),"")</f>
        <v/>
      </c>
      <c r="I4695" s="3"/>
    </row>
    <row r="4696" customHeight="1" spans="1:9">
      <c r="A4696" s="2"/>
      <c r="B4696" s="2" t="str">
        <f>IFERROR(__xludf.DUMMYFUNCTION("IF(A4696&lt;&gt;"""", GOOGLETRANSLATE(A4696, ""en"", ""te""),"""")"),"")</f>
        <v/>
      </c>
      <c r="C4696" s="2"/>
      <c r="D4696" s="2" t="str">
        <f>IFERROR(__xludf.DUMMYFUNCTION("IF(C4696&lt;&gt;"""", GOOGLETRANSLATE(C4696, ""en"", ""te""),"""")"),"")</f>
        <v/>
      </c>
      <c r="E4696" s="2"/>
      <c r="F4696" s="2" t="str">
        <f>IFERROR(__xludf.DUMMYFUNCTION("IF(E4696&lt;&gt;"""", GOOGLETRANSLATE(E4696, ""en"", ""te""),"""")"),"")</f>
        <v/>
      </c>
      <c r="G4696" s="2"/>
      <c r="H4696" s="2" t="str">
        <f>IFERROR(__xludf.DUMMYFUNCTION("IF(G4696&lt;&gt;"""", GOOGLETRANSLATE(G4696, ""en"", ""te""),"""")"),"")</f>
        <v/>
      </c>
      <c r="I4696" s="3"/>
    </row>
    <row r="4697" customHeight="1" spans="1:9">
      <c r="A4697" s="2"/>
      <c r="B4697" s="2" t="str">
        <f>IFERROR(__xludf.DUMMYFUNCTION("IF(A4697&lt;&gt;"""", GOOGLETRANSLATE(A4697, ""en"", ""te""),"""")"),"")</f>
        <v/>
      </c>
      <c r="C4697" s="2"/>
      <c r="D4697" s="2" t="str">
        <f>IFERROR(__xludf.DUMMYFUNCTION("IF(C4697&lt;&gt;"""", GOOGLETRANSLATE(C4697, ""en"", ""te""),"""")"),"")</f>
        <v/>
      </c>
      <c r="E4697" s="2"/>
      <c r="F4697" s="2" t="str">
        <f>IFERROR(__xludf.DUMMYFUNCTION("IF(E4697&lt;&gt;"""", GOOGLETRANSLATE(E4697, ""en"", ""te""),"""")"),"")</f>
        <v/>
      </c>
      <c r="G4697" s="2"/>
      <c r="H4697" s="2" t="str">
        <f>IFERROR(__xludf.DUMMYFUNCTION("IF(G4697&lt;&gt;"""", GOOGLETRANSLATE(G4697, ""en"", ""te""),"""")"),"")</f>
        <v/>
      </c>
      <c r="I4697" s="3"/>
    </row>
    <row r="4698" customHeight="1" spans="1:9">
      <c r="A4698" s="2"/>
      <c r="B4698" s="2" t="str">
        <f>IFERROR(__xludf.DUMMYFUNCTION("IF(A4698&lt;&gt;"""", GOOGLETRANSLATE(A4698, ""en"", ""te""),"""")"),"")</f>
        <v/>
      </c>
      <c r="C4698" s="2"/>
      <c r="D4698" s="2" t="str">
        <f>IFERROR(__xludf.DUMMYFUNCTION("IF(C4698&lt;&gt;"""", GOOGLETRANSLATE(C4698, ""en"", ""te""),"""")"),"")</f>
        <v/>
      </c>
      <c r="E4698" s="2"/>
      <c r="F4698" s="2" t="str">
        <f>IFERROR(__xludf.DUMMYFUNCTION("IF(E4698&lt;&gt;"""", GOOGLETRANSLATE(E4698, ""en"", ""te""),"""")"),"")</f>
        <v/>
      </c>
      <c r="G4698" s="2"/>
      <c r="H4698" s="2" t="str">
        <f>IFERROR(__xludf.DUMMYFUNCTION("IF(G4698&lt;&gt;"""", GOOGLETRANSLATE(G4698, ""en"", ""te""),"""")"),"")</f>
        <v/>
      </c>
      <c r="I4698" s="3"/>
    </row>
    <row r="4699" customHeight="1" spans="1:9">
      <c r="A4699" s="2"/>
      <c r="B4699" s="2" t="str">
        <f>IFERROR(__xludf.DUMMYFUNCTION("IF(A4699&lt;&gt;"""", GOOGLETRANSLATE(A4699, ""en"", ""te""),"""")"),"")</f>
        <v/>
      </c>
      <c r="C4699" s="2"/>
      <c r="D4699" s="2" t="str">
        <f>IFERROR(__xludf.DUMMYFUNCTION("IF(C4699&lt;&gt;"""", GOOGLETRANSLATE(C4699, ""en"", ""te""),"""")"),"")</f>
        <v/>
      </c>
      <c r="E4699" s="2"/>
      <c r="F4699" s="2" t="str">
        <f>IFERROR(__xludf.DUMMYFUNCTION("IF(E4699&lt;&gt;"""", GOOGLETRANSLATE(E4699, ""en"", ""te""),"""")"),"")</f>
        <v/>
      </c>
      <c r="G4699" s="2"/>
      <c r="H4699" s="2" t="str">
        <f>IFERROR(__xludf.DUMMYFUNCTION("IF(G4699&lt;&gt;"""", GOOGLETRANSLATE(G4699, ""en"", ""te""),"""")"),"")</f>
        <v/>
      </c>
      <c r="I4699" s="3"/>
    </row>
    <row r="4700" customHeight="1" spans="1:9">
      <c r="A4700" s="2"/>
      <c r="B4700" s="2" t="str">
        <f>IFERROR(__xludf.DUMMYFUNCTION("IF(A4700&lt;&gt;"""", GOOGLETRANSLATE(A4700, ""en"", ""te""),"""")"),"")</f>
        <v/>
      </c>
      <c r="C4700" s="2"/>
      <c r="D4700" s="2" t="str">
        <f>IFERROR(__xludf.DUMMYFUNCTION("IF(C4700&lt;&gt;"""", GOOGLETRANSLATE(C4700, ""en"", ""te""),"""")"),"")</f>
        <v/>
      </c>
      <c r="E4700" s="2"/>
      <c r="F4700" s="2" t="str">
        <f>IFERROR(__xludf.DUMMYFUNCTION("IF(E4700&lt;&gt;"""", GOOGLETRANSLATE(E4700, ""en"", ""te""),"""")"),"")</f>
        <v/>
      </c>
      <c r="G4700" s="2"/>
      <c r="H4700" s="2" t="str">
        <f>IFERROR(__xludf.DUMMYFUNCTION("IF(G4700&lt;&gt;"""", GOOGLETRANSLATE(G4700, ""en"", ""te""),"""")"),"")</f>
        <v/>
      </c>
      <c r="I4700" s="3"/>
    </row>
    <row r="4701" customHeight="1" spans="1:9">
      <c r="A4701" s="2"/>
      <c r="B4701" s="2" t="str">
        <f>IFERROR(__xludf.DUMMYFUNCTION("IF(A4701&lt;&gt;"""", GOOGLETRANSLATE(A4701, ""en"", ""te""),"""")"),"")</f>
        <v/>
      </c>
      <c r="C4701" s="2"/>
      <c r="D4701" s="2" t="str">
        <f>IFERROR(__xludf.DUMMYFUNCTION("IF(C4701&lt;&gt;"""", GOOGLETRANSLATE(C4701, ""en"", ""te""),"""")"),"")</f>
        <v/>
      </c>
      <c r="E4701" s="2"/>
      <c r="F4701" s="2" t="str">
        <f>IFERROR(__xludf.DUMMYFUNCTION("IF(E4701&lt;&gt;"""", GOOGLETRANSLATE(E4701, ""en"", ""te""),"""")"),"")</f>
        <v/>
      </c>
      <c r="G4701" s="2"/>
      <c r="H4701" s="2" t="str">
        <f>IFERROR(__xludf.DUMMYFUNCTION("IF(G4701&lt;&gt;"""", GOOGLETRANSLATE(G4701, ""en"", ""te""),"""")"),"")</f>
        <v/>
      </c>
      <c r="I4701" s="3"/>
    </row>
    <row r="4702" customHeight="1" spans="1:9">
      <c r="A4702" s="2" t="s">
        <v>3283</v>
      </c>
      <c r="B4702" s="2" t="str">
        <f>IFERROR(__xludf.DUMMYFUNCTION("IF(A4702&lt;&gt;"""", GOOGLETRANSLATE(A4702, ""en"", ""te""),"""")"),"[ '1st ఒక మ్యాచ్లో బెస్ట్ ఫిగర్స్ పరాజయం వైపు (9) ఉన్నప్పుడు', '3 వ బెస్ట్ ఫిగర్స్ ఒక ఇన్నింగ్స్ పరాజయం ఉన్నప్పుడు' 4 వ పిన్న ఆటగాడు ఐదు వికెట్ల లో-ఒక-ఇన్నింగ్స్ (18y 84d) తీసుకోవాలని ' వైపు (5) ',' 3 వ వరుస నాలుగు వికెట్లు-ఇన్-ఒక-ఇన్నింగ్స్ (2) ',' 1 వ"&amp;" అత్యధిక వికెట్లు తీసుకున్న స్టంప్ (32) ']")</f>
        <v>[ '1st ఒక మ్యాచ్లో బెస్ట్ ఫిగర్స్ పరాజయం వైపు (9) ఉన్నప్పుడు', '3 వ బెస్ట్ ఫిగర్స్ ఒక ఇన్నింగ్స్ పరాజయం ఉన్నప్పుడు' 4 వ పిన్న ఆటగాడు ఐదు వికెట్ల లో-ఒక-ఇన్నింగ్స్ (18y 84d) తీసుకోవాలని ' వైపు (5) ',' 3 వ వరుస నాలుగు వికెట్లు-ఇన్-ఒక-ఇన్నింగ్స్ (2) ',' 1 వ అత్యధిక వికెట్లు తీసుకున్న స్టంప్ (32) ']</v>
      </c>
      <c r="C4702" s="2" t="s">
        <v>3284</v>
      </c>
      <c r="D4702" s="2" t="str">
        <f>IFERROR(__xludf.DUMMYFUNCTION("IF(C4702&lt;&gt;"""", GOOGLETRANSLATE(C4702, ""en"", ""te""),"""")"),"[ '11 వ కెరీర్ లో అత్యధిక వికెట్లు (41)', '1 వ ఉత్తమ ఇన్నింగ్స్ లో సంఖ్యలు (8/53)', 'ఒక మ్యాచ్లో 11 వ బెస్ట్ ఫిగర్స్ (9)', '1 వ అత్యుత్తమ బౌలింగ్ ఇన్నింగ్స్ లో విశ్లేషించడం (8/53 ) ',' 1st ఒక ఇన్నింగ్స్ లోని బెస్ట్ ఫిగర్స్ ఉన్నప్పుడు పరాజయం వైపు (8) ',' "&amp;"1st ఒక మ్యాచ్లో ఉత్తమ సంఖ్యలు ఉన్నప్పుడు పరాజయం వైపు (9) ',' 19 వ ఉత్తమ కెరీర్ సగటు (18.90) ',' 35 వ బౌలింగ్ ఉత్తమ కెరీర్ ఆర్థిక రేటు (1.74) ', '21 వ ఉత్తమ కెరీర్ సమ్మె రేటు (64.9)', '14 వ అరంగేట్రంలోనే ఇన్నింగ్స్ లోని బెస్ట్ ఫిగర్స్ (4)', 'ఐదు వికెట్ల ల"&amp;"ో-ఒక-ఇన్నింగ్స్ (తీసుకోవాలని 4 వ పిన్న ఆటగాడు 18y 84d) ',' 15 వ కెరీర్ లో బౌల్డ్ చాలా బంతుల్లో (2662) ',' 12 వ ఇన్నింగ్స్ లో బౌల్డ్ చాలా బంతుల్లో (306) ',' 19 వ అత్యంత బంతుల్లో ఒక మ్యాచ్లో బౌల్డ్ (413) ', '21 వ అత్యధిక పరుగులు కెరీర్లో సాధించిన (775) ',' "&amp;"15 వ అత్యధిక పరుగులు ఒక మ్యాచ్లో సాధించిన (141) ',' 12 వ అత్యధిక వికెట్లు తీసుకున్న బౌల్డ్ (13) ',' 14 వ అత్యధిక వికెట్లు తీసుకున్న ఆకర్షించింది (21) ',' 14 వ అత్యధిక వికెట్లు ఒక ఫీల్డర్ చేత క్యాచ్ తీసుకున్న ( 16) ',' 14 వ అత్యధిక వికెట్లు ఒక వికెట్ కీపర్"&amp;" చే కాట్ తీసుకోకూడదు (5) ',' 20 వ పిన్న క్రీడాకారులు (17y 159d) ']")</f>
        <v>[ '11 వ కెరీర్ లో అత్యధిక వికెట్లు (41)', '1 వ ఉత్తమ ఇన్నింగ్స్ లో సంఖ్యలు (8/53)', 'ఒక మ్యాచ్లో 11 వ బెస్ట్ ఫిగర్స్ (9)', '1 వ అత్యుత్తమ బౌలింగ్ ఇన్నింగ్స్ లో విశ్లేషించడం (8/53 ) ',' 1st ఒక ఇన్నింగ్స్ లోని బెస్ట్ ఫిగర్స్ ఉన్నప్పుడు పరాజయం వైపు (8) ',' 1st ఒక మ్యాచ్లో ఉత్తమ సంఖ్యలు ఉన్నప్పుడు పరాజయం వైపు (9) ',' 19 వ ఉత్తమ కెరీర్ సగటు (18.90) ',' 35 వ బౌలింగ్ ఉత్తమ కెరీర్ ఆర్థిక రేటు (1.74) ', '21 వ ఉత్తమ కెరీర్ సమ్మె రేటు (64.9)', '14 వ అరంగేట్రంలోనే ఇన్నింగ్స్ లోని బెస్ట్ ఫిగర్స్ (4)', 'ఐదు వికెట్ల లో-ఒక-ఇన్నింగ్స్ (తీసుకోవాలని 4 వ పిన్న ఆటగాడు 18y 84d) ',' 15 వ కెరీర్ లో బౌల్డ్ చాలా బంతుల్లో (2662) ',' 12 వ ఇన్నింగ్స్ లో బౌల్డ్ చాలా బంతుల్లో (306) ',' 19 వ అత్యంత బంతుల్లో ఒక మ్యాచ్లో బౌల్డ్ (413) ', '21 వ అత్యధిక పరుగులు కెరీర్లో సాధించిన (775) ',' 15 వ అత్యధిక పరుగులు ఒక మ్యాచ్లో సాధించిన (141) ',' 12 వ అత్యధిక వికెట్లు తీసుకున్న బౌల్డ్ (13) ',' 14 వ అత్యధిక వికెట్లు తీసుకున్న ఆకర్షించింది (21) ',' 14 వ అత్యధిక వికెట్లు ఒక ఫీల్డర్ చేత క్యాచ్ తీసుకున్న ( 16) ',' 14 వ అత్యధిక వికెట్లు ఒక వికెట్ కీపర్ చే కాట్ తీసుకోకూడదు (5) ',' 20 వ పిన్న క్రీడాకారులు (17y 159d) ']</v>
      </c>
      <c r="E4702" s="2" t="s">
        <v>3285</v>
      </c>
      <c r="F4702" s="2" t="str">
        <f>IFERROR(__xludf.DUMMYFUNCTION("IF(E4702&lt;&gt;"""", GOOGLETRANSLATE(E4702, ""en"", ""te""),"""")"),"[ 'ఒక క్యాలెండర్ సంవత్సరంలో 4 వ అత్యధిక వికెట్లు (33)' 'వరుస 30 వ అత్యధిక వికెట్లు (20)' '10 వ అత్యధిక కెరీర్ వికెట్లు (141)', 'ఒకే మైదానంలో 19 వ అత్యధిక వికెట్లు (14)', 'పరాజయం వైపు ఉన్నప్పుడు ఒక ఇన్నింగ్స్ లో 3 వ ఉత్తమ బొమ్మలు (5)', '11 వ ఉత్తమ కెరీర్"&amp;" బౌలింగ్ సరాసరి (16.34)', '38 వ ఉత్తమ కెరీర్ ఆర్థిక రేటు (2.82)', '34 వ ఉత్తమ కెరీర్ సమ్మె రేటు (34.6)', '7 వ అత్యంత ఐదు-వికెట్ల లో-ఒక-ఇన్నింగ్స్ కెరీర్ (2) లో', '9 వ అత్యంత నాలుగు వికెట్లు-ఇన్-ఒక-ఇన్నింగ్స్ కెరీర్లో (6)', '3 వ వరుస నాలుగు వికెట్ల in- ఒక-"&amp;"ఇన్నింగ్స్ (2) ',' 15 వ కెరీర్ లో బౌల్డ్ చాలా బంతుల్లో (4892) ',' 26th కెరీర్లో సాధించిన అత్యధిక పరుగులు (2305) ',' 31 బౌలర్ / బ్యాట్స్ కలయికలు (5) ',' 2 వ బౌలర్ / ఫీల్డర్ కలయికలు ( 25) ',' 13 వ అత్యధిక వికెట్లు బౌల్డ్ తీసుకున్న (29) ',' 18 వ అత్యధిక వికె"&amp;"ట్లు తీసుకున్న ఆకర్షించింది (60) ',' 10 వ అత్యధిక వికెట్లు ఆకర్షించింది తీసుకున్న మరియు బౌల్డ్ (8) ',' 12 వ అత్యధిక వికెట్లు ఫీల్డర్ చేత (ఆకర్షించింది తీసుకున్న 50 ) ',' 32 వ అత్యధిక వికెట్లు ఆకర్షించింది అత్యధిక వికెట్లు తీసిన (10) ',' 11 వ అత్యధిక వికెట"&amp;"్లు తీసుకున్న ఎల్బిడబ్ల్యు (20) ',' 1 వ అత్యధిక వికెట్లు తీసుకున్న స్టంప్ (32) ',' 45 వ మో స్టంప్ కెరీర్లో పోటీలు (97) ',' 47 వ లాంగెస్ట్ కెరీర్లు (13y 208d) ']")</f>
        <v>[ 'ఒక క్యాలెండర్ సంవత్సరంలో 4 వ అత్యధిక వికెట్లు (33)' 'వరుస 30 వ అత్యధిక వికెట్లు (20)' '10 వ అత్యధిక కెరీర్ వికెట్లు (141)', 'ఒకే మైదానంలో 19 వ అత్యధిక వికెట్లు (14)', 'పరాజయం వైపు ఉన్నప్పుడు ఒక ఇన్నింగ్స్ లో 3 వ ఉత్తమ బొమ్మలు (5)', '11 వ ఉత్తమ కెరీర్ బౌలింగ్ సరాసరి (16.34)', '38 వ ఉత్తమ కెరీర్ ఆర్థిక రేటు (2.82)', '34 వ ఉత్తమ కెరీర్ సమ్మె రేటు (34.6)', '7 వ అత్యంత ఐదు-వికెట్ల లో-ఒక-ఇన్నింగ్స్ కెరీర్ (2) లో', '9 వ అత్యంత నాలుగు వికెట్లు-ఇన్-ఒక-ఇన్నింగ్స్ కెరీర్లో (6)', '3 వ వరుస నాలుగు వికెట్ల in- ఒక-ఇన్నింగ్స్ (2) ',' 15 వ కెరీర్ లో బౌల్డ్ చాలా బంతుల్లో (4892) ',' 26th కెరీర్లో సాధించిన అత్యధిక పరుగులు (2305) ',' 31 బౌలర్ / బ్యాట్స్ కలయికలు (5) ',' 2 వ బౌలర్ / ఫీల్డర్ కలయికలు ( 25) ',' 13 వ అత్యధిక వికెట్లు బౌల్డ్ తీసుకున్న (29) ',' 18 వ అత్యధిక వికెట్లు తీసుకున్న ఆకర్షించింది (60) ',' 10 వ అత్యధిక వికెట్లు ఆకర్షించింది తీసుకున్న మరియు బౌల్డ్ (8) ',' 12 వ అత్యధిక వికెట్లు ఫీల్డర్ చేత (ఆకర్షించింది తీసుకున్న 50 ) ',' 32 వ అత్యధిక వికెట్లు ఆకర్షించింది అత్యధిక వికెట్లు తీసిన (10) ',' 11 వ అత్యధిక వికెట్లు తీసుకున్న ఎల్బిడబ్ల్యు (20) ',' 1 వ అత్యధిక వికెట్లు తీసుకున్న స్టంప్ (32) ',' 45 వ మో స్టంప్ కెరీర్లో పోటీలు (97) ',' 47 వ లాంగెస్ట్ కెరీర్లు (13y 208d) ']</v>
      </c>
      <c r="G4702" s="2"/>
      <c r="H4702" s="2" t="str">
        <f>IFERROR(__xludf.DUMMYFUNCTION("IF(G4702&lt;&gt;"""", GOOGLETRANSLATE(G4702, ""en"", ""te""),"""")"),"")</f>
        <v/>
      </c>
      <c r="I4702" s="3"/>
    </row>
    <row r="4703" customHeight="1" spans="1:9">
      <c r="A4703" s="2"/>
      <c r="B4703" s="2" t="str">
        <f>IFERROR(__xludf.DUMMYFUNCTION("IF(A4703&lt;&gt;"""", GOOGLETRANSLATE(A4703, ""en"", ""te""),"""")"),"")</f>
        <v/>
      </c>
      <c r="C4703" s="2"/>
      <c r="D4703" s="2" t="str">
        <f>IFERROR(__xludf.DUMMYFUNCTION("IF(C4703&lt;&gt;"""", GOOGLETRANSLATE(C4703, ""en"", ""te""),"""")"),"")</f>
        <v/>
      </c>
      <c r="E4703" s="2"/>
      <c r="F4703" s="2" t="str">
        <f>IFERROR(__xludf.DUMMYFUNCTION("IF(E4703&lt;&gt;"""", GOOGLETRANSLATE(E4703, ""en"", ""te""),"""")"),"")</f>
        <v/>
      </c>
      <c r="G4703" s="2"/>
      <c r="H4703" s="2" t="str">
        <f>IFERROR(__xludf.DUMMYFUNCTION("IF(G4703&lt;&gt;"""", GOOGLETRANSLATE(G4703, ""en"", ""te""),"""")"),"")</f>
        <v/>
      </c>
      <c r="I4703" s="3"/>
    </row>
    <row r="4704" customHeight="1" spans="1:9">
      <c r="A4704" s="2"/>
      <c r="B4704" s="2" t="str">
        <f>IFERROR(__xludf.DUMMYFUNCTION("IF(A4704&lt;&gt;"""", GOOGLETRANSLATE(A4704, ""en"", ""te""),"""")"),"")</f>
        <v/>
      </c>
      <c r="C4704" s="2"/>
      <c r="D4704" s="2" t="str">
        <f>IFERROR(__xludf.DUMMYFUNCTION("IF(C4704&lt;&gt;"""", GOOGLETRANSLATE(C4704, ""en"", ""te""),"""")"),"")</f>
        <v/>
      </c>
      <c r="E4704" s="2"/>
      <c r="F4704" s="2" t="str">
        <f>IFERROR(__xludf.DUMMYFUNCTION("IF(E4704&lt;&gt;"""", GOOGLETRANSLATE(E4704, ""en"", ""te""),"""")"),"")</f>
        <v/>
      </c>
      <c r="G4704" s="2"/>
      <c r="H4704" s="2" t="str">
        <f>IFERROR(__xludf.DUMMYFUNCTION("IF(G4704&lt;&gt;"""", GOOGLETRANSLATE(G4704, ""en"", ""te""),"""")"),"")</f>
        <v/>
      </c>
      <c r="I4704" s="3"/>
    </row>
    <row r="4705" customHeight="1" spans="1:9">
      <c r="A4705" s="2" t="s">
        <v>3286</v>
      </c>
      <c r="B4705" s="2" t="str">
        <f>IFERROR(__xludf.DUMMYFUNCTION("IF(A4705&lt;&gt;"""", GOOGLETRANSLATE(A4705, ""en"", ""te""),"""")"),"[ '(4) ఒక ఇన్నింగ్స్ లో 3 వ అత్యధిక క్యాచ్లు' 'ఇన్నింగ్స్ లో 6 వ అత్యంత స్టంపింగ్లు (3)', '6 వ అత్యంత ఇన్నింగ్స్ లో సాధించిన బైస్ (8)']")</f>
        <v>[ '(4) ఒక ఇన్నింగ్స్ లో 3 వ అత్యధిక క్యాచ్లు' 'ఇన్నింగ్స్ లో 6 వ అత్యంత స్టంపింగ్లు (3)', '6 వ అత్యంత ఇన్నింగ్స్ లో సాధించిన బైస్ (8)']</v>
      </c>
      <c r="C4705" s="2"/>
      <c r="D4705" s="2" t="str">
        <f>IFERROR(__xludf.DUMMYFUNCTION("IF(C4705&lt;&gt;"""", GOOGLETRANSLATE(C4705, ""en"", ""te""),"""")"),"")</f>
        <v/>
      </c>
      <c r="E4705" s="2" t="s">
        <v>3287</v>
      </c>
      <c r="F4705" s="2" t="str">
        <f>IFERROR(__xludf.DUMMYFUNCTION("IF(E4705&lt;&gt;"""", GOOGLETRANSLATE(E4705, ""en"", ""te""),"""")"),"[ '26 కెరీర్లో అత్యధిక వికెట్లు (30)', '17 వ ఇన్నింగ్స్ లో అత్యధిక వికెట్లు (4)', '34 వ అత్యధిక క్యాచ్లు కెరీర్లో (11)', 'ఇన్నింగ్స్ లో 3 వ అత్యధిక క్యాచ్లు (4)', '16 వ వరుస కెరీర్లో స్టంపింగ్లు (19) ',' 6 వ ఇన్నింగ్స్ లో వచ్చిన ఎక్కువ స్టంపింగ్లు (3) ','"&amp;" 17 వ అత్యంత స్టంపింగ్లు (6) ']")</f>
        <v>[ '26 కెరీర్లో అత్యధిక వికెట్లు (30)', '17 వ ఇన్నింగ్స్ లో అత్యధిక వికెట్లు (4)', '34 వ అత్యధిక క్యాచ్లు కెరీర్లో (11)', 'ఇన్నింగ్స్ లో 3 వ అత్యధిక క్యాచ్లు (4)', '16 వ వరుస కెరీర్లో స్టంపింగ్లు (19) ',' 6 వ ఇన్నింగ్స్ లో వచ్చిన ఎక్కువ స్టంపింగ్లు (3) ',' 17 వ అత్యంత స్టంపింగ్లు (6) ']</v>
      </c>
      <c r="G4705" s="2" t="s">
        <v>3288</v>
      </c>
      <c r="H4705" s="2" t="str">
        <f>IFERROR(__xludf.DUMMYFUNCTION("IF(G4705&lt;&gt;"""", GOOGLETRANSLATE(G4705, ""en"", ""te""),"""")"),"[ '6 వ అత్యంత ఇన్నింగ్స్ లో సాధించిన బైస్ (8)']")</f>
        <v>[ '6 వ అత్యంత ఇన్నింగ్స్ లో సాధించిన బైస్ (8)']</v>
      </c>
      <c r="I4705" s="3"/>
    </row>
    <row r="4706" customHeight="1" spans="1:9">
      <c r="A4706" s="2"/>
      <c r="B4706" s="2" t="str">
        <f>IFERROR(__xludf.DUMMYFUNCTION("IF(A4706&lt;&gt;"""", GOOGLETRANSLATE(A4706, ""en"", ""te""),"""")"),"")</f>
        <v/>
      </c>
      <c r="C4706" s="2"/>
      <c r="D4706" s="2" t="str">
        <f>IFERROR(__xludf.DUMMYFUNCTION("IF(C4706&lt;&gt;"""", GOOGLETRANSLATE(C4706, ""en"", ""te""),"""")"),"")</f>
        <v/>
      </c>
      <c r="E4706" s="2"/>
      <c r="F4706" s="2" t="str">
        <f>IFERROR(__xludf.DUMMYFUNCTION("IF(E4706&lt;&gt;"""", GOOGLETRANSLATE(E4706, ""en"", ""te""),"""")"),"")</f>
        <v/>
      </c>
      <c r="G4706" s="2"/>
      <c r="H4706" s="2" t="str">
        <f>IFERROR(__xludf.DUMMYFUNCTION("IF(G4706&lt;&gt;"""", GOOGLETRANSLATE(G4706, ""en"", ""te""),"""")"),"")</f>
        <v/>
      </c>
      <c r="I4706" s="3"/>
    </row>
    <row r="4707" customHeight="1" spans="1:9">
      <c r="A4707" s="2"/>
      <c r="B4707" s="2" t="str">
        <f>IFERROR(__xludf.DUMMYFUNCTION("IF(A4707&lt;&gt;"""", GOOGLETRANSLATE(A4707, ""en"", ""te""),"""")"),"")</f>
        <v/>
      </c>
      <c r="C4707" s="2"/>
      <c r="D4707" s="2" t="str">
        <f>IFERROR(__xludf.DUMMYFUNCTION("IF(C4707&lt;&gt;"""", GOOGLETRANSLATE(C4707, ""en"", ""te""),"""")"),"")</f>
        <v/>
      </c>
      <c r="E4707" s="2"/>
      <c r="F4707" s="2" t="str">
        <f>IFERROR(__xludf.DUMMYFUNCTION("IF(E4707&lt;&gt;"""", GOOGLETRANSLATE(E4707, ""en"", ""te""),"""")"),"")</f>
        <v/>
      </c>
      <c r="G4707" s="2"/>
      <c r="H4707" s="2" t="str">
        <f>IFERROR(__xludf.DUMMYFUNCTION("IF(G4707&lt;&gt;"""", GOOGLETRANSLATE(G4707, ""en"", ""te""),"""")"),"")</f>
        <v/>
      </c>
      <c r="I4707" s="3"/>
    </row>
    <row r="4708" customHeight="1" spans="1:9">
      <c r="A4708" s="2" t="s">
        <v>3289</v>
      </c>
      <c r="B4708" s="2" t="str">
        <f>IFERROR(__xludf.DUMMYFUNCTION("IF(A4708&lt;&gt;"""", GOOGLETRANSLATE(A4708, ""en"", ""te""),"""")"),"[ 'కెరీర్లో 5 వ అత్యధిక మ్యాచ్లు (164)', '4 వ కెరీర్ లో అత్యధిక పరుగులు (13288)', 'హండ్రెడ్ ఒక మ్యాచ్లో ప్రతి ఇన్నింగ్స్లో', '1 వ కెరీర్ తొంభైల (10)', 'రెండు అజేయంగా ఒక అర్ధ సెంచరీలు కెరీర్లో మ్యాచ్ ',' హండ్రెడ్ మరియు ఒక మ్యాచ్లో ఒక డక్ ',' 2 వ అత్యంత ఫో"&amp;"ర్లు (1654) ',' ఒక ఇన్నింగ్స్లో ద్వారా బ్యాట్ నిదర్శన (146 *) ',' 2nd 9000 వేగవంతమైన పరుగులు (176) ',' 1st కెరీర్లో అత్యధిక క్యాచ్లు (210) ',' 5000 పరుగులు మరియు 50 ఫీల్డింగ్ వికెట్లు ',' 5 వ అత్యంత ఇన్నింగ్స్ (16) ',' 3 వ అత్యంత ఒక క్యాలెండర్ ఏడాది (176"&amp;"1) లో నడుస్తుంది సాధించింది బైస్ ',' 5 వ ఒక లో అత్యధిక వందలు క్యాలెండర్ ఏడాది (6) ',' 1 వ 99 (199, 299 etc) (99) అవుటయ్యాడు ',' కెరీర్లో 8 వ అత్యంత అర్ధ (95) ',' ఒక డక్ లేకుండా 1st వరుస ఇన్నింగ్స్ (120) ',' 9 వ వేగవంతమైన వరకు 10000 పరుగులు (287) ',' ఇన్"&amp;"నింగ్స్ లో 2 వ అత్యధిక క్యాచ్లు (4) ',' 200 పరుగులు మరియు ఒక సిరీస్లో 10 వికెట్కీపింగ్ తొలగింపులకు ',' 5000 పరుగులు మరియు 50 ఫీల్డింగ్ వికెట్లు ',' 6 వ మూడో వికెట్కు అత్యధిక భాగస్వామ్యం (237 *) ',' కెరీర్లో 9 వ అత్యధిక మ్యాచ్లు (509) ',' 6 వ కెరీర్ లో అత్"&amp;"యధిక పరుగులు (24208) ',' చాలా 5 వ hund ఒక క్యాలెండర్ సంవత్సరంలో రెడ్స్ (10) ',' కెరీర్ లో 2 వ పెద్ద తొంభైల (14) ',' వరుస ఇన్నింగ్స్లో 2 వ యాభైల్లో (7) ',' ఒక డక్ లేకుండా 1st వరుస ఇన్నింగ్స్ (173) ',' 5 వ అత్యంత ఫోర్లు కెరీర్ (2604) ',' కెరీర్ లో 5 వ అత్"&amp;"యధిక క్యాచ్లు (334) ']")</f>
        <v>[ 'కెరీర్లో 5 వ అత్యధిక మ్యాచ్లు (164)', '4 వ కెరీర్ లో అత్యధిక పరుగులు (13288)', 'హండ్రెడ్ ఒక మ్యాచ్లో ప్రతి ఇన్నింగ్స్లో', '1 వ కెరీర్ తొంభైల (10)', 'రెండు అజేయంగా ఒక అర్ధ సెంచరీలు కెరీర్లో మ్యాచ్ ',' హండ్రెడ్ మరియు ఒక మ్యాచ్లో ఒక డక్ ',' 2 వ అత్యంత ఫోర్లు (1654) ',' ఒక ఇన్నింగ్స్లో ద్వారా బ్యాట్ నిదర్శన (146 *) ',' 2nd 9000 వేగవంతమైన పరుగులు (176) ',' 1st కెరీర్లో అత్యధిక క్యాచ్లు (210) ',' 5000 పరుగులు మరియు 50 ఫీల్డింగ్ వికెట్లు ',' 5 వ అత్యంత ఇన్నింగ్స్ (16) ',' 3 వ అత్యంత ఒక క్యాలెండర్ ఏడాది (1761) లో నడుస్తుంది సాధించింది బైస్ ',' 5 వ ఒక లో అత్యధిక వందలు క్యాలెండర్ ఏడాది (6) ',' 1 వ 99 (199, 299 etc) (99) అవుటయ్యాడు ',' కెరీర్లో 8 వ అత్యంత అర్ధ (95) ',' ఒక డక్ లేకుండా 1st వరుస ఇన్నింగ్స్ (120) ',' 9 వ వేగవంతమైన వరకు 10000 పరుగులు (287) ',' ఇన్నింగ్స్ లో 2 వ అత్యధిక క్యాచ్లు (4) ',' 200 పరుగులు మరియు ఒక సిరీస్లో 10 వికెట్కీపింగ్ తొలగింపులకు ',' 5000 పరుగులు మరియు 50 ఫీల్డింగ్ వికెట్లు ',' 6 వ మూడో వికెట్కు అత్యధిక భాగస్వామ్యం (237 *) ',' కెరీర్లో 9 వ అత్యధిక మ్యాచ్లు (509) ',' 6 వ కెరీర్ లో అత్యధిక పరుగులు (24208) ',' చాలా 5 వ hund ఒక క్యాలెండర్ సంవత్సరంలో రెడ్స్ (10) ',' కెరీర్ లో 2 వ పెద్ద తొంభైల (14) ',' వరుస ఇన్నింగ్స్లో 2 వ యాభైల్లో (7) ',' ఒక డక్ లేకుండా 1st వరుస ఇన్నింగ్స్ (173) ',' 5 వ అత్యంత ఫోర్లు కెరీర్ (2604) ',' కెరీర్ లో 5 వ అత్యధిక క్యాచ్లు (334) ']</v>
      </c>
      <c r="C4708" s="2" t="s">
        <v>3290</v>
      </c>
      <c r="D4708" s="2" t="str">
        <f>IFERROR(__xludf.DUMMYFUNCTION("IF(C4708&lt;&gt;"""", GOOGLETRANSLATE(C4708, ""en"", ""te""),"""")"),"[ '4 వ అత్యధిక కెరీర్ లో నడుస్తుంది (13288)', '47 వ మ్యాచ్ లో అత్యధిక పరుగులు (305)', '25 వ ఒక క్యాలెండర్ సంవత్సరంలో అత్యధిక పరుగులు (1357)', '15 వ ఇన్నింగ్స్ లో అత్యధిక పరుగులు (బ్యాటింగ్ స్థానంలో ప్రకారం) ( 180) ',' 28th అత్యధిక కెరీర్ బ్యాటింగ్ సగటు (5"&amp;"2.31) ',' 5 వ అత్యధిక వందలు ఒక వృత్తిలో (36) ',' 13 వ అధిక రెండొందల పరుగులు ఒక వృత్తిలో (5) ',' 19 ఒక క్యాలెండర్ సంవత్సరంలో అత్యధిక వందలు (5 ) ',' 33 వ ఒక జట్టు వ్యతిరేకంగా అత్యధిక వందలు (7) ',' వరుస ఇన్నింగ్స్లో 2 వ వందల (4) ',' వరుస మ్యాచ్లలో 5 వ వందల ("&amp;"4) ',' 1 వ అత్యంత తొంభైల కెరీర్లో (10) ',' 25 వ తొలి తొంభై (95) ',' కెరీర్లో 4 వ అత్యంత అర్ధ (99) ',' వరుస ఇన్నింగ్స్లో 7 వ యాభైల్లో (6) ',' వరుస మ్యాచ్లు మొదటి డక్ ముందు (7) ',' 26 వ అధిక ఇన్నింగ్స్లో 26 యాభైల్లో (37 ) ',' ఒక డక్ లేకుండా 14 వరుస ఇన్న"&amp;"ింగ్స్ (కెరీర్లో 72) ',' 17 వ అతి తక్కువ బాతులు (35.75) ',' కెరీర్ లో 2 వ పెద్ద ఫోర్లు (1654) ',' 16 వ లాంగెస్ట్ వ్యక్తిగత ఇన్నింగ్స్ (నిమిషాలు) (740) ',' ఫాస్టెస్ట్ 2000 పరుగులు 3000 పరుగులు 4000 పరుగులు 17 (40) ',' 34 వ వేగంగా (67) ',' 17 వ వేగంగా (84) "&amp;"',' 24th Fas పరీక్షకు 5000 పరుగులు (108) ',' 14 వ 7000 పరుగులు (141) ',' 8000 పరుగులు (158) 4 వేగవంతమైన ',' 9000 పరుగులు 2 వ వేగవంతమైన వరకు 6000 పరుగులు (125) ',' 11 వ వేగంగా వేగంగా (176 ) ',' 5 వ 10000 పరుగులు (206) ',' 11000 పరుగులు (234) ',' 5 వ వేగవ"&amp;"ంతమైన 5 వ వేగవంతమైన 12000 పరుగులు (255) ',' 4 వ వేగవంతమైన వరకు 13000 పరుగులు (277) ',' 1st మాత్రం వేగంగా కెరీర్లో క్యాచ్లు (210) ',' ఒక సిరీస్లో 4 అత్యధిక క్యాచ్లు (13) ',' ఐదవ వికెట్కు 11 వ అత్యధిక భాగస్వామ్యం (303) ',' ఆరవ వికెట్కు 28 అత్యధిక భాగస్వా"&amp;"మ్యం (224) ',' 29th అత్యధిక భాగస్వామ్యం ఎనిమిదవ వికెట్కు కెరీర్లో (144) ',' 5 వ అత్యధిక మ్యాచ్లు (164) ',' ఒక జట్టు 8 వ వరుస మ్యాచ్లు (93) ',' 15 వ అత్యంత ప్లేయర్ ఆఫ్ ది మ్యాచ్ అవార్డులు (11) ',' 24 వ అత్యంత ప్లేయర్ ఆఫ్ ది సిరీస్ అవార్డులు (4) ']")</f>
        <v>[ '4 వ అత్యధిక కెరీర్ లో నడుస్తుంది (13288)', '47 వ మ్యాచ్ లో అత్యధిక పరుగులు (305)', '25 వ ఒక క్యాలెండర్ సంవత్సరంలో అత్యధిక పరుగులు (1357)', '15 వ ఇన్నింగ్స్ లో అత్యధిక పరుగులు (బ్యాటింగ్ స్థానంలో ప్రకారం) ( 180) ',' 28th అత్యధిక కెరీర్ బ్యాటింగ్ సగటు (52.31) ',' 5 వ అత్యధిక వందలు ఒక వృత్తిలో (36) ',' 13 వ అధిక రెండొందల పరుగులు ఒక వృత్తిలో (5) ',' 19 ఒక క్యాలెండర్ సంవత్సరంలో అత్యధిక వందలు (5 ) ',' 33 వ ఒక జట్టు వ్యతిరేకంగా అత్యధిక వందలు (7) ',' వరుస ఇన్నింగ్స్లో 2 వ వందల (4) ',' వరుస మ్యాచ్లలో 5 వ వందల (4) ',' 1 వ అత్యంత తొంభైల కెరీర్లో (10) ',' 25 వ తొలి తొంభై (95) ',' కెరీర్లో 4 వ అత్యంత అర్ధ (99) ',' వరుస ఇన్నింగ్స్లో 7 వ యాభైల్లో (6) ',' వరుస మ్యాచ్లు మొదటి డక్ ముందు (7) ',' 26 వ అధిక ఇన్నింగ్స్లో 26 యాభైల్లో (37 ) ',' ఒక డక్ లేకుండా 14 వరుస ఇన్నింగ్స్ (కెరీర్లో 72) ',' 17 వ అతి తక్కువ బాతులు (35.75) ',' కెరీర్ లో 2 వ పెద్ద ఫోర్లు (1654) ',' 16 వ లాంగెస్ట్ వ్యక్తిగత ఇన్నింగ్స్ (నిమిషాలు) (740) ',' ఫాస్టెస్ట్ 2000 పరుగులు 3000 పరుగులు 4000 పరుగులు 17 (40) ',' 34 వ వేగంగా (67) ',' 17 వ వేగంగా (84) ',' 24th Fas పరీక్షకు 5000 పరుగులు (108) ',' 14 వ 7000 పరుగులు (141) ',' 8000 పరుగులు (158) 4 వేగవంతమైన ',' 9000 పరుగులు 2 వ వేగవంతమైన వరకు 6000 పరుగులు (125) ',' 11 వ వేగంగా వేగంగా (176 ) ',' 5 వ 10000 పరుగులు (206) ',' 11000 పరుగులు (234) ',' 5 వ వేగవంతమైన 5 వ వేగవంతమైన 12000 పరుగులు (255) ',' 4 వ వేగవంతమైన వరకు 13000 పరుగులు (277) ',' 1st మాత్రం వేగంగా కెరీర్లో క్యాచ్లు (210) ',' ఒక సిరీస్లో 4 అత్యధిక క్యాచ్లు (13) ',' ఐదవ వికెట్కు 11 వ అత్యధిక భాగస్వామ్యం (303) ',' ఆరవ వికెట్కు 28 అత్యధిక భాగస్వామ్యం (224) ',' 29th అత్యధిక భాగస్వామ్యం ఎనిమిదవ వికెట్కు కెరీర్లో (144) ',' 5 వ అత్యధిక మ్యాచ్లు (164) ',' ఒక జట్టు 8 వ వరుస మ్యాచ్లు (93) ',' 15 వ అత్యంత ప్లేయర్ ఆఫ్ ది మ్యాచ్ అవార్డులు (11) ',' 24 వ అత్యంత ప్లేయర్ ఆఫ్ ది సిరీస్ అవార్డులు (4) ']</v>
      </c>
      <c r="E4708" s="2" t="s">
        <v>3291</v>
      </c>
      <c r="F4708" s="2" t="str">
        <f>IFERROR(__xludf.DUMMYFUNCTION("IF(E4708&lt;&gt;"""", GOOGLETRANSLATE(E4708, ""en"", ""te""),"""")"),"[ '10 వ కెరీర్ లో అత్యధిక పరుగులు (10889)', '18 వ ఇన్నింగ్స్ లో అత్యధిక పరుగులు (బ్యాటింగ్ స్థానంలో ప్రకారం) (153)', '39 వ ఒక సిరీస్లో అత్యధిక పరుగులతో' 3 వ భాగం ఒక క్యాలెండర్ సంవత్సరంలో (1761) నడుస్తుంది ' వికెట్కీపర్గా (318) ',' అత్యధిక వికెట్లు ఇన్నింగ"&amp;"్స్ లో 17 వ అత్యధిక పరుగులు (145) ',' 37 వ ఒక వృత్తిలో అత్యధిక వందలు (12) ',' 5 వ ఒక క్యాలెండర్ సంవత్సరంలో అత్యధిక వందలు (6) ',' 34 వ అత్యంత కెరీర్లో తొంభైల (4) ',' 1st కెరీర్లో 99 (199, 299 etc) (99) అవుటయ్యాడు ',' 8 వ అత్యంత అర్ధ (95) ',' వరుస ఇన్నింగ్"&amp;"స్లో 11 వ యాభైల్లో (5) ',' 1st చాలా ఒక డక్ లేకుండా వరుసగా ఇన్నింగ్స్ (120) ',' 14 వ కెరీర్ ఫోర్లు (950) ',' 44 వ వేగవంతమైన 3000 పరుగులు (89) ',' 41 వ వేగవంతమైన 5000 పరుగులు (4000 పరుగులు (117) ',' 39 వ వేగంగా 148) ',' 25 వ 6000 పరుగులు (171) ',' 18 వ వ"&amp;"ేగంగా వేగంగా 7000 పరుగులు (204) ',' 17 వ 8000 పరుగులు (228) ',' 11 వ వేగంగా 9000 పరుగులు (259) ',' 9 వ వేగంగా వేగవంతమైన వరకు 10000 పరుగులు (287) ',' 13 వ కెరీర్ లో అత్యధిక క్యాచ్లు (124) ',' ఇన్నింగ్స్ ఏ వికెట్కు (237 *) (4) ',' 38 వ అత్యధిక భాగస్వామ్య 2"&amp;" వ అత్యధిక క్యాచ్లు ',' 6 వ అత్యధిక మూడో వికెట్కు భాగస్వామ్యం (237 *) ',' ఆరవ వికెట్ (132 *) 30 వ అత్యధిక భాగస్వామ్యం ',' 11 వ కెరీర్ లో అత్యధిక మ్యాచ్లు (344) ',' 47 వ లాంగెస్ట్ కెరీర్లు (15y 166d) ',' 31 అత్యధిక మ్యాచ్లు కెప్టెన్గా (79) ',' వికెట్ను కాప"&amp;"ాడుకున్నాడు చేసిన 23 కెప్టెన్ల (5) ',' 36 వ కెరీర్ లో అత్యధిక వికెట్లు (86) ',' 25 వ ఒక సిరీస్లో అత్యధిక వికెట్లు (16) ',' 36 వ కెరీర్ లో అత్యధిక క్యాచ్లు (72 ) ',' 24th ఒక సిరీస్లో అత్యధిక క్యాచ్లు (15) ',' 28th చాలా స్టంపింగ్లు కెరీర్లో (14) ',' చాలా 5 "&amp;"వ ఇన్నింగ్స్ లో (సాధించిన బైస్ 16) ']")</f>
        <v>[ '10 వ కెరీర్ లో అత్యధిక పరుగులు (10889)', '18 వ ఇన్నింగ్స్ లో అత్యధిక పరుగులు (బ్యాటింగ్ స్థానంలో ప్రకారం) (153)', '39 వ ఒక సిరీస్లో అత్యధిక పరుగులతో' 3 వ భాగం ఒక క్యాలెండర్ సంవత్సరంలో (1761) నడుస్తుంది ' వికెట్కీపర్గా (318) ',' అత్యధిక వికెట్లు ఇన్నింగ్స్ లో 17 వ అత్యధిక పరుగులు (145) ',' 37 వ ఒక వృత్తిలో అత్యధిక వందలు (12) ',' 5 వ ఒక క్యాలెండర్ సంవత్సరంలో అత్యధిక వందలు (6) ',' 34 వ అత్యంత కెరీర్లో తొంభైల (4) ',' 1st కెరీర్లో 99 (199, 299 etc) (99) అవుటయ్యాడు ',' 8 వ అత్యంత అర్ధ (95) ',' వరుస ఇన్నింగ్స్లో 11 వ యాభైల్లో (5) ',' 1st చాలా ఒక డక్ లేకుండా వరుసగా ఇన్నింగ్స్ (120) ',' 14 వ కెరీర్ ఫోర్లు (950) ',' 44 వ వేగవంతమైన 3000 పరుగులు (89) ',' 41 వ వేగవంతమైన 5000 పరుగులు (4000 పరుగులు (117) ',' 39 వ వేగంగా 148) ',' 25 వ 6000 పరుగులు (171) ',' 18 వ వేగంగా వేగంగా 7000 పరుగులు (204) ',' 17 వ 8000 పరుగులు (228) ',' 11 వ వేగంగా 9000 పరుగులు (259) ',' 9 వ వేగంగా వేగవంతమైన వరకు 10000 పరుగులు (287) ',' 13 వ కెరీర్ లో అత్యధిక క్యాచ్లు (124) ',' ఇన్నింగ్స్ ఏ వికెట్కు (237 *) (4) ',' 38 వ అత్యధిక భాగస్వామ్య 2 వ అత్యధిక క్యాచ్లు ',' 6 వ అత్యధిక మూడో వికెట్కు భాగస్వామ్యం (237 *) ',' ఆరవ వికెట్ (132 *) 30 వ అత్యధిక భాగస్వామ్యం ',' 11 వ కెరీర్ లో అత్యధిక మ్యాచ్లు (344) ',' 47 వ లాంగెస్ట్ కెరీర్లు (15y 166d) ',' 31 అత్యధిక మ్యాచ్లు కెప్టెన్గా (79) ',' వికెట్ను కాపాడుకున్నాడు చేసిన 23 కెప్టెన్ల (5) ',' 36 వ కెరీర్ లో అత్యధిక వికెట్లు (86) ',' 25 వ ఒక సిరీస్లో అత్యధిక వికెట్లు (16) ',' 36 వ కెరీర్ లో అత్యధిక క్యాచ్లు (72 ) ',' 24th ఒక సిరీస్లో అత్యధిక క్యాచ్లు (15) ',' 28th చాలా స్టంపింగ్లు కెరీర్లో (14) ',' చాలా 5 వ ఇన్నింగ్స్ లో (సాధించిన బైస్ 16) ']</v>
      </c>
      <c r="G4708" s="2" t="s">
        <v>3292</v>
      </c>
      <c r="H4708" s="2" t="str">
        <f>IFERROR(__xludf.DUMMYFUNCTION("IF(G4708&lt;&gt;"""", GOOGLETRANSLATE(G4708, ""en"", ""te""),"""")"),"[ '43 వ పురాతన దేశం ఆటగాళ్ళు (48y 63d)']")</f>
        <v>[ '43 వ పురాతన దేశం ఆటగాళ్ళు (48y 63d)']</v>
      </c>
      <c r="I4708" s="3"/>
    </row>
    <row r="4709" customHeight="1" spans="1:9">
      <c r="A4709" s="2"/>
      <c r="B4709" s="2" t="str">
        <f>IFERROR(__xludf.DUMMYFUNCTION("IF(A4709&lt;&gt;"""", GOOGLETRANSLATE(A4709, ""en"", ""te""),"""")"),"")</f>
        <v/>
      </c>
      <c r="C4709" s="2"/>
      <c r="D4709" s="2" t="str">
        <f>IFERROR(__xludf.DUMMYFUNCTION("IF(C4709&lt;&gt;"""", GOOGLETRANSLATE(C4709, ""en"", ""te""),"""")"),"")</f>
        <v/>
      </c>
      <c r="E4709" s="2"/>
      <c r="F4709" s="2" t="str">
        <f>IFERROR(__xludf.DUMMYFUNCTION("IF(E4709&lt;&gt;"""", GOOGLETRANSLATE(E4709, ""en"", ""te""),"""")"),"")</f>
        <v/>
      </c>
      <c r="G4709" s="2"/>
      <c r="H4709" s="2" t="str">
        <f>IFERROR(__xludf.DUMMYFUNCTION("IF(G4709&lt;&gt;"""", GOOGLETRANSLATE(G4709, ""en"", ""te""),"""")"),"")</f>
        <v/>
      </c>
      <c r="I4709" s="3"/>
    </row>
    <row r="4710" customHeight="1" spans="1:9">
      <c r="A4710" s="2"/>
      <c r="B4710" s="2" t="str">
        <f>IFERROR(__xludf.DUMMYFUNCTION("IF(A4710&lt;&gt;"""", GOOGLETRANSLATE(A4710, ""en"", ""te""),"""")"),"")</f>
        <v/>
      </c>
      <c r="C4710" s="2"/>
      <c r="D4710" s="2" t="str">
        <f>IFERROR(__xludf.DUMMYFUNCTION("IF(C4710&lt;&gt;"""", GOOGLETRANSLATE(C4710, ""en"", ""te""),"""")"),"")</f>
        <v/>
      </c>
      <c r="E4710" s="2"/>
      <c r="F4710" s="2" t="str">
        <f>IFERROR(__xludf.DUMMYFUNCTION("IF(E4710&lt;&gt;"""", GOOGLETRANSLATE(E4710, ""en"", ""te""),"""")"),"")</f>
        <v/>
      </c>
      <c r="G4710" s="2"/>
      <c r="H4710" s="2" t="str">
        <f>IFERROR(__xludf.DUMMYFUNCTION("IF(G4710&lt;&gt;"""", GOOGLETRANSLATE(G4710, ""en"", ""te""),"""")"),"")</f>
        <v/>
      </c>
      <c r="I4710" s="3"/>
    </row>
    <row r="4711" customHeight="1" spans="1:9">
      <c r="A4711" s="2"/>
      <c r="B4711" s="2" t="str">
        <f>IFERROR(__xludf.DUMMYFUNCTION("IF(A4711&lt;&gt;"""", GOOGLETRANSLATE(A4711, ""en"", ""te""),"""")"),"")</f>
        <v/>
      </c>
      <c r="C4711" s="2"/>
      <c r="D4711" s="2" t="str">
        <f>IFERROR(__xludf.DUMMYFUNCTION("IF(C4711&lt;&gt;"""", GOOGLETRANSLATE(C4711, ""en"", ""te""),"""")"),"")</f>
        <v/>
      </c>
      <c r="E4711" s="2"/>
      <c r="F4711" s="2" t="str">
        <f>IFERROR(__xludf.DUMMYFUNCTION("IF(E4711&lt;&gt;"""", GOOGLETRANSLATE(E4711, ""en"", ""te""),"""")"),"")</f>
        <v/>
      </c>
      <c r="G4711" s="2"/>
      <c r="H4711" s="2" t="str">
        <f>IFERROR(__xludf.DUMMYFUNCTION("IF(G4711&lt;&gt;"""", GOOGLETRANSLATE(G4711, ""en"", ""te""),"""")"),"")</f>
        <v/>
      </c>
      <c r="I4711" s="3"/>
    </row>
    <row r="4712" customHeight="1" spans="1:9">
      <c r="A4712" s="2"/>
      <c r="B4712" s="2" t="str">
        <f>IFERROR(__xludf.DUMMYFUNCTION("IF(A4712&lt;&gt;"""", GOOGLETRANSLATE(A4712, ""en"", ""te""),"""")"),"")</f>
        <v/>
      </c>
      <c r="C4712" s="2"/>
      <c r="D4712" s="2" t="str">
        <f>IFERROR(__xludf.DUMMYFUNCTION("IF(C4712&lt;&gt;"""", GOOGLETRANSLATE(C4712, ""en"", ""te""),"""")"),"")</f>
        <v/>
      </c>
      <c r="E4712" s="2"/>
      <c r="F4712" s="2" t="str">
        <f>IFERROR(__xludf.DUMMYFUNCTION("IF(E4712&lt;&gt;"""", GOOGLETRANSLATE(E4712, ""en"", ""te""),"""")"),"")</f>
        <v/>
      </c>
      <c r="G4712" s="2" t="s">
        <v>3293</v>
      </c>
      <c r="H4712" s="2" t="str">
        <f>IFERROR(__xludf.DUMMYFUNCTION("IF(G4712&lt;&gt;"""", GOOGLETRANSLATE(G4712, ""en"", ""te""),"""")"),"[ '31 ఉత్తమ ఇన్నింగ్స్ లో సమ్మె రేటు (4.5)', 'ఎనిమిదవ వికెట్కు 31 అత్యధిక భాగస్వామ్యం (38)']")</f>
        <v>[ '31 ఉత్తమ ఇన్నింగ్స్ లో సమ్మె రేటు (4.5)', 'ఎనిమిదవ వికెట్కు 31 అత్యధిక భాగస్వామ్యం (38)']</v>
      </c>
      <c r="I4712" s="3"/>
    </row>
    <row r="4713" customHeight="1" spans="1:9">
      <c r="A4713" s="2"/>
      <c r="B4713" s="2" t="str">
        <f>IFERROR(__xludf.DUMMYFUNCTION("IF(A4713&lt;&gt;"""", GOOGLETRANSLATE(A4713, ""en"", ""te""),"""")"),"")</f>
        <v/>
      </c>
      <c r="C4713" s="2"/>
      <c r="D4713" s="2" t="str">
        <f>IFERROR(__xludf.DUMMYFUNCTION("IF(C4713&lt;&gt;"""", GOOGLETRANSLATE(C4713, ""en"", ""te""),"""")"),"")</f>
        <v/>
      </c>
      <c r="E4713" s="2"/>
      <c r="F4713" s="2" t="str">
        <f>IFERROR(__xludf.DUMMYFUNCTION("IF(E4713&lt;&gt;"""", GOOGLETRANSLATE(E4713, ""en"", ""te""),"""")"),"")</f>
        <v/>
      </c>
      <c r="G4713" s="2"/>
      <c r="H4713" s="2" t="str">
        <f>IFERROR(__xludf.DUMMYFUNCTION("IF(G4713&lt;&gt;"""", GOOGLETRANSLATE(G4713, ""en"", ""te""),"""")"),"")</f>
        <v/>
      </c>
      <c r="I4713" s="3"/>
    </row>
    <row r="4714" customHeight="1" spans="1:9">
      <c r="A4714" s="2"/>
      <c r="B4714" s="2" t="str">
        <f>IFERROR(__xludf.DUMMYFUNCTION("IF(A4714&lt;&gt;"""", GOOGLETRANSLATE(A4714, ""en"", ""te""),"""")"),"")</f>
        <v/>
      </c>
      <c r="C4714" s="2"/>
      <c r="D4714" s="2" t="str">
        <f>IFERROR(__xludf.DUMMYFUNCTION("IF(C4714&lt;&gt;"""", GOOGLETRANSLATE(C4714, ""en"", ""te""),"""")"),"")</f>
        <v/>
      </c>
      <c r="E4714" s="2"/>
      <c r="F4714" s="2" t="str">
        <f>IFERROR(__xludf.DUMMYFUNCTION("IF(E4714&lt;&gt;"""", GOOGLETRANSLATE(E4714, ""en"", ""te""),"""")"),"")</f>
        <v/>
      </c>
      <c r="G4714" s="2"/>
      <c r="H4714" s="2" t="str">
        <f>IFERROR(__xludf.DUMMYFUNCTION("IF(G4714&lt;&gt;"""", GOOGLETRANSLATE(G4714, ""en"", ""te""),"""")"),"")</f>
        <v/>
      </c>
      <c r="I4714" s="3"/>
    </row>
    <row r="4715" customHeight="1" spans="1:9">
      <c r="A4715" s="2"/>
      <c r="B4715" s="2" t="str">
        <f>IFERROR(__xludf.DUMMYFUNCTION("IF(A4715&lt;&gt;"""", GOOGLETRANSLATE(A4715, ""en"", ""te""),"""")"),"")</f>
        <v/>
      </c>
      <c r="C4715" s="2"/>
      <c r="D4715" s="2" t="str">
        <f>IFERROR(__xludf.DUMMYFUNCTION("IF(C4715&lt;&gt;"""", GOOGLETRANSLATE(C4715, ""en"", ""te""),"""")"),"")</f>
        <v/>
      </c>
      <c r="E4715" s="2"/>
      <c r="F4715" s="2" t="str">
        <f>IFERROR(__xludf.DUMMYFUNCTION("IF(E4715&lt;&gt;"""", GOOGLETRANSLATE(E4715, ""en"", ""te""),"""")"),"")</f>
        <v/>
      </c>
      <c r="G4715" s="2"/>
      <c r="H4715" s="2" t="str">
        <f>IFERROR(__xludf.DUMMYFUNCTION("IF(G4715&lt;&gt;"""", GOOGLETRANSLATE(G4715, ""en"", ""te""),"""")"),"")</f>
        <v/>
      </c>
      <c r="I4715" s="3"/>
    </row>
    <row r="4716" customHeight="1" spans="1:9">
      <c r="A4716" s="2"/>
      <c r="B4716" s="2" t="str">
        <f>IFERROR(__xludf.DUMMYFUNCTION("IF(A4716&lt;&gt;"""", GOOGLETRANSLATE(A4716, ""en"", ""te""),"""")"),"")</f>
        <v/>
      </c>
      <c r="C4716" s="2"/>
      <c r="D4716" s="2" t="str">
        <f>IFERROR(__xludf.DUMMYFUNCTION("IF(C4716&lt;&gt;"""", GOOGLETRANSLATE(C4716, ""en"", ""te""),"""")"),"")</f>
        <v/>
      </c>
      <c r="E4716" s="2"/>
      <c r="F4716" s="2" t="str">
        <f>IFERROR(__xludf.DUMMYFUNCTION("IF(E4716&lt;&gt;"""", GOOGLETRANSLATE(E4716, ""en"", ""te""),"""")"),"")</f>
        <v/>
      </c>
      <c r="G4716" s="2"/>
      <c r="H4716" s="2" t="str">
        <f>IFERROR(__xludf.DUMMYFUNCTION("IF(G4716&lt;&gt;"""", GOOGLETRANSLATE(G4716, ""en"", ""te""),"""")"),"")</f>
        <v/>
      </c>
      <c r="I4716" s="3"/>
    </row>
    <row r="4717" customHeight="1" spans="1:9">
      <c r="A4717" s="2"/>
      <c r="B4717" s="2" t="str">
        <f>IFERROR(__xludf.DUMMYFUNCTION("IF(A4717&lt;&gt;"""", GOOGLETRANSLATE(A4717, ""en"", ""te""),"""")"),"")</f>
        <v/>
      </c>
      <c r="C4717" s="2"/>
      <c r="D4717" s="2" t="str">
        <f>IFERROR(__xludf.DUMMYFUNCTION("IF(C4717&lt;&gt;"""", GOOGLETRANSLATE(C4717, ""en"", ""te""),"""")"),"")</f>
        <v/>
      </c>
      <c r="E4717" s="2"/>
      <c r="F4717" s="2" t="str">
        <f>IFERROR(__xludf.DUMMYFUNCTION("IF(E4717&lt;&gt;"""", GOOGLETRANSLATE(E4717, ""en"", ""te""),"""")"),"")</f>
        <v/>
      </c>
      <c r="G4717" s="2"/>
      <c r="H4717" s="2" t="str">
        <f>IFERROR(__xludf.DUMMYFUNCTION("IF(G4717&lt;&gt;"""", GOOGLETRANSLATE(G4717, ""en"", ""te""),"""")"),"")</f>
        <v/>
      </c>
      <c r="I4717" s="3"/>
    </row>
    <row r="4718" customHeight="1" spans="1:9">
      <c r="A4718" s="2"/>
      <c r="B4718" s="2" t="str">
        <f>IFERROR(__xludf.DUMMYFUNCTION("IF(A4718&lt;&gt;"""", GOOGLETRANSLATE(A4718, ""en"", ""te""),"""")"),"")</f>
        <v/>
      </c>
      <c r="C4718" s="2"/>
      <c r="D4718" s="2" t="str">
        <f>IFERROR(__xludf.DUMMYFUNCTION("IF(C4718&lt;&gt;"""", GOOGLETRANSLATE(C4718, ""en"", ""te""),"""")"),"")</f>
        <v/>
      </c>
      <c r="E4718" s="2"/>
      <c r="F4718" s="2" t="str">
        <f>IFERROR(__xludf.DUMMYFUNCTION("IF(E4718&lt;&gt;"""", GOOGLETRANSLATE(E4718, ""en"", ""te""),"""")"),"")</f>
        <v/>
      </c>
      <c r="G4718" s="2"/>
      <c r="H4718" s="2" t="str">
        <f>IFERROR(__xludf.DUMMYFUNCTION("IF(G4718&lt;&gt;"""", GOOGLETRANSLATE(G4718, ""en"", ""te""),"""")"),"")</f>
        <v/>
      </c>
      <c r="I4718" s="3"/>
    </row>
    <row r="4719" customHeight="1" spans="1:9">
      <c r="A4719" s="2" t="s">
        <v>3294</v>
      </c>
      <c r="B4719" s="2" t="str">
        <f>IFERROR(__xludf.DUMMYFUNCTION("IF(A4719&lt;&gt;"""", GOOGLETRANSLATE(A4719, ""en"", ""te""),"""")"),"[ 'హండ్రెడ్ తొలి (187)', 'హండ్రెడ్ మరియు ఒక మ్యాచ్లో ఒక డక్', '9 వ హండ్రెడ్ వందవ మ్యాచ్లో (109)', '8 వ కెరీర్ తొంభైల (6)', 'ఫాస్టెస్ట్ 3000 పరుగులు 5 వ (72 ) ',' 2 వ ఇన్నింగ్స్ లో అత్యధిక క్యాచ్లు (4) ',' 5000 పరుగులు మరియు 50 ఫీల్డింగ్ వికెట్లు ఒక క్యాల"&amp;"ెండర్ సంవత్సరంలో ',' 4 వ అత్యధిక పరుగులు (689) ',' 7 వ అతి తక్కువ బాతులు కెరీర్ లో (63) ',' 8 వ మూడో వికెట్కు అత్యధిక భాగస్వామ్యం (130) ',' వరుస ఇన్నింగ్స్లో 6 వ వందల (3) ']")</f>
        <v>[ 'హండ్రెడ్ తొలి (187)', 'హండ్రెడ్ మరియు ఒక మ్యాచ్లో ఒక డక్', '9 వ హండ్రెడ్ వందవ మ్యాచ్లో (109)', '8 వ కెరీర్ తొంభైల (6)', 'ఫాస్టెస్ట్ 3000 పరుగులు 5 వ (72 ) ',' 2 వ ఇన్నింగ్స్ లో అత్యధిక క్యాచ్లు (4) ',' 5000 పరుగులు మరియు 50 ఫీల్డింగ్ వికెట్లు ఒక క్యాలెండర్ సంవత్సరంలో ',' 4 వ అత్యధిక పరుగులు (689) ',' 7 వ అతి తక్కువ బాతులు కెరీర్ లో (63) ',' 8 వ మూడో వికెట్కు అత్యధిక భాగస్వామ్యం (130) ',' వరుస ఇన్నింగ్స్లో 6 వ వందల (3) ']</v>
      </c>
      <c r="C4719" s="2" t="s">
        <v>3295</v>
      </c>
      <c r="D4719" s="2" t="str">
        <f>IFERROR(__xludf.DUMMYFUNCTION("IF(C4719&lt;&gt;"""", GOOGLETRANSLATE(C4719, ""en"", ""te""),"""")"),"[ '19 తొలి మ్యాచ్లో అత్యధిక పరుగులు (187)', 'రెండవ వికెట్ (253) కోసం 47 వ అత్యధిక భాగస్వామ్యం']")</f>
        <v>[ '19 తొలి మ్యాచ్లో అత్యధిక పరుగులు (187)', 'రెండవ వికెట్ (253) కోసం 47 వ అత్యధిక భాగస్వామ్యం']</v>
      </c>
      <c r="E4719" s="2" t="s">
        <v>3296</v>
      </c>
      <c r="F4719" s="2" t="str">
        <f>IFERROR(__xludf.DUMMYFUNCTION("IF(E4719&lt;&gt;"""", GOOGLETRANSLATE(E4719, ""en"", ""te""),"""")"),"[ '25 వ పరాజయం వైపు ఒక మ్యాచ్లో అత్యధిక పరుగులు (143)', '29th అత్యధిక కెరీర్ బ్యాటింగ్ సగటు (45.28)', '19 ఒక వృత్తిలో అత్యధిక వందలు (17)', '11 వ ఒక క్యాలెండర్ సంవత్సరంలో అత్యధిక వందలు (5 ) ',' 39 వ ఒక జట్టు (వ్యతిరేకంగా అత్యధిక వందలు 4) ',' వందవ మ్యాచ్లో"&amp;" 9 వ హండ్రెడ్ (ఒక డక్ లేకుండా 109) ',' 8 వ కెరీర్ తొంభైల (6) ',' 46 వ వరుస ఇన్నింగ్స్ (62) ', 'కెరీర్ లో 46 వ అతి తక్కువ బాతులు (27.8)', '29 వ అత్యధిక ఫోర్లు కెరీర్లో (748)', 'ఇన్నింగ్స్ లో 25 వ అత్యంత ఫోర్లు (20)', '11 వ 1000 పరుగులు (24) వేగంగా', '2000"&amp;" వరకు వేగంగా 7th పరుగులు (48) ',' 5 వ 3000 వేగవంతమైన పరుగులు (72) ',' 7 వ ఇన్నింగ్స్ లో 4000 పరుగులు (95) 5000 పరుగులు (118) కు ',' 7 వ వేగవంతమైన ',' 2 వ అత్యధిక క్యాచ్లు వేగంగా (4) ' 'రెండవ వికెట్కు 28 అత్యధిక భాగస్వామ్యం (212)', 'ఐదవ వికెట్కు 19 అత్యధ"&amp;"ిక భాగస్వామ్యం (167)', '45 వ అత్యంత ప్లేయర్ ఆఫ్ ది సిరీస్ అవార్డులు (3)']")</f>
        <v>[ '25 వ పరాజయం వైపు ఒక మ్యాచ్లో అత్యధిక పరుగులు (143)', '29th అత్యధిక కెరీర్ బ్యాటింగ్ సగటు (45.28)', '19 ఒక వృత్తిలో అత్యధిక వందలు (17)', '11 వ ఒక క్యాలెండర్ సంవత్సరంలో అత్యధిక వందలు (5 ) ',' 39 వ ఒక జట్టు (వ్యతిరేకంగా అత్యధిక వందలు 4) ',' వందవ మ్యాచ్లో 9 వ హండ్రెడ్ (ఒక డక్ లేకుండా 109) ',' 8 వ కెరీర్ తొంభైల (6) ',' 46 వ వరుస ఇన్నింగ్స్ (62) ', 'కెరీర్ లో 46 వ అతి తక్కువ బాతులు (27.8)', '29 వ అత్యధిక ఫోర్లు కెరీర్లో (748)', 'ఇన్నింగ్స్ లో 25 వ అత్యంత ఫోర్లు (20)', '11 వ 1000 పరుగులు (24) వేగంగా', '2000 వరకు వేగంగా 7th పరుగులు (48) ',' 5 వ 3000 వేగవంతమైన పరుగులు (72) ',' 7 వ ఇన్నింగ్స్ లో 4000 పరుగులు (95) 5000 పరుగులు (118) కు ',' 7 వ వేగవంతమైన ',' 2 వ అత్యధిక క్యాచ్లు వేగంగా (4) ' 'రెండవ వికెట్కు 28 అత్యధిక భాగస్వామ్యం (212)', 'ఐదవ వికెట్కు 19 అత్యధిక భాగస్వామ్యం (167)', '45 వ అత్యంత ప్లేయర్ ఆఫ్ ది సిరీస్ అవార్డులు (3)']</v>
      </c>
      <c r="G4719" s="2" t="s">
        <v>3297</v>
      </c>
      <c r="H4719" s="2" t="str">
        <f>IFERROR(__xludf.DUMMYFUNCTION("IF(G4719&lt;&gt;"""", GOOGLETRANSLATE(G4719, ""en"", ""te""),"""")"),"[ '22 వ కెరీర్ లో అత్యధిక పరుగులు (1673)', 'ఒక క్యాలెండర్ సంవత్సరంలో 4 వ అత్యధిక పరుగులు (689)', '16 వ పరాజయం వైపు ఒక మ్యాచ్లో అత్యధిక పరుగులు (90)', ఒక ఇన్నింగ్స్ లో '31 అత్యధిక స్ట్రైక్ రేట్ ( 288.88) ',' 20 వ అత్యంత అర్ధ కెరీర్లో (11) ',' ఒక డక్ లేకు"&amp;"ండా 8 వ వరుస ఇన్నింగ్స్ (59 *) ',' కెరీర్ లో 7 వ అతి తక్కువ బాతులు (63) ',' 42 వ ఎక్కువ సిక్స్ కెరీర్లో (49) ' '14 వ అత్యంత ఫోర్లు కెరీర్లో (182)', '36 వ లాంగెస్ట్ వ్యక్తిగత ఇన్నింగ్స్ (బంతులతో) (62)', '32 వ 1000 పరుగులు (42) వేగంగా', 'ఏ వికెట్కు 50 వ అత్"&amp;"యధిక భాగస్వామ్యాల (130)', ' మూడో వికెట్కు 8 వ అత్యధిక భాగస్వామ్యం (130) ',' 43 వ కెరీర్ లో అత్యధిక మ్యాచ్లు (65) ']")</f>
        <v>[ '22 వ కెరీర్ లో అత్యధిక పరుగులు (1673)', 'ఒక క్యాలెండర్ సంవత్సరంలో 4 వ అత్యధిక పరుగులు (689)', '16 వ పరాజయం వైపు ఒక మ్యాచ్లో అత్యధిక పరుగులు (90)', ఒక ఇన్నింగ్స్ లో '31 అత్యధిక స్ట్రైక్ రేట్ ( 288.88) ',' 20 వ అత్యంత అర్ధ కెరీర్లో (11) ',' ఒక డక్ లేకుండా 8 వ వరుస ఇన్నింగ్స్ (59 *) ',' కెరీర్ లో 7 వ అతి తక్కువ బాతులు (63) ',' 42 వ ఎక్కువ సిక్స్ కెరీర్లో (49) ' '14 వ అత్యంత ఫోర్లు కెరీర్లో (182)', '36 వ లాంగెస్ట్ వ్యక్తిగత ఇన్నింగ్స్ (బంతులతో) (62)', '32 వ 1000 పరుగులు (42) వేగంగా', 'ఏ వికెట్కు 50 వ అత్యధిక భాగస్వామ్యాల (130)', ' మూడో వికెట్కు 8 వ అత్యధిక భాగస్వామ్యం (130) ',' 43 వ కెరీర్ లో అత్యధిక మ్యాచ్లు (65) ']</v>
      </c>
      <c r="I4719" s="3"/>
    </row>
    <row r="4720" customHeight="1" spans="1:9">
      <c r="A4720" s="2"/>
      <c r="B4720" s="2" t="str">
        <f>IFERROR(__xludf.DUMMYFUNCTION("IF(A4720&lt;&gt;"""", GOOGLETRANSLATE(A4720, ""en"", ""te""),"""")"),"")</f>
        <v/>
      </c>
      <c r="C4720" s="2"/>
      <c r="D4720" s="2" t="str">
        <f>IFERROR(__xludf.DUMMYFUNCTION("IF(C4720&lt;&gt;"""", GOOGLETRANSLATE(C4720, ""en"", ""te""),"""")"),"")</f>
        <v/>
      </c>
      <c r="E4720" s="2"/>
      <c r="F4720" s="2" t="str">
        <f>IFERROR(__xludf.DUMMYFUNCTION("IF(E4720&lt;&gt;"""", GOOGLETRANSLATE(E4720, ""en"", ""te""),"""")"),"")</f>
        <v/>
      </c>
      <c r="G4720" s="2"/>
      <c r="H4720" s="2" t="str">
        <f>IFERROR(__xludf.DUMMYFUNCTION("IF(G4720&lt;&gt;"""", GOOGLETRANSLATE(G4720, ""en"", ""te""),"""")"),"")</f>
        <v/>
      </c>
      <c r="I4720" s="3"/>
    </row>
    <row r="4721" customHeight="1" spans="1:9">
      <c r="A4721" s="2"/>
      <c r="B4721" s="2" t="str">
        <f>IFERROR(__xludf.DUMMYFUNCTION("IF(A4721&lt;&gt;"""", GOOGLETRANSLATE(A4721, ""en"", ""te""),"""")"),"")</f>
        <v/>
      </c>
      <c r="C4721" s="2"/>
      <c r="D4721" s="2" t="str">
        <f>IFERROR(__xludf.DUMMYFUNCTION("IF(C4721&lt;&gt;"""", GOOGLETRANSLATE(C4721, ""en"", ""te""),"""")"),"")</f>
        <v/>
      </c>
      <c r="E4721" s="2"/>
      <c r="F4721" s="2" t="str">
        <f>IFERROR(__xludf.DUMMYFUNCTION("IF(E4721&lt;&gt;"""", GOOGLETRANSLATE(E4721, ""en"", ""te""),"""")"),"")</f>
        <v/>
      </c>
      <c r="G4721" s="2"/>
      <c r="H4721" s="2" t="str">
        <f>IFERROR(__xludf.DUMMYFUNCTION("IF(G4721&lt;&gt;"""", GOOGLETRANSLATE(G4721, ""en"", ""te""),"""")"),"")</f>
        <v/>
      </c>
      <c r="I4721" s="3"/>
    </row>
    <row r="4722" customHeight="1" spans="1:9">
      <c r="A4722" s="2"/>
      <c r="B4722" s="2" t="str">
        <f>IFERROR(__xludf.DUMMYFUNCTION("IF(A4722&lt;&gt;"""", GOOGLETRANSLATE(A4722, ""en"", ""te""),"""")"),"")</f>
        <v/>
      </c>
      <c r="C4722" s="2"/>
      <c r="D4722" s="2" t="str">
        <f>IFERROR(__xludf.DUMMYFUNCTION("IF(C4722&lt;&gt;"""", GOOGLETRANSLATE(C4722, ""en"", ""te""),"""")"),"")</f>
        <v/>
      </c>
      <c r="E4722" s="2"/>
      <c r="F4722" s="2" t="str">
        <f>IFERROR(__xludf.DUMMYFUNCTION("IF(E4722&lt;&gt;"""", GOOGLETRANSLATE(E4722, ""en"", ""te""),"""")"),"")</f>
        <v/>
      </c>
      <c r="G4722" s="2"/>
      <c r="H4722" s="2" t="str">
        <f>IFERROR(__xludf.DUMMYFUNCTION("IF(G4722&lt;&gt;"""", GOOGLETRANSLATE(G4722, ""en"", ""te""),"""")"),"")</f>
        <v/>
      </c>
      <c r="I4722" s="3"/>
    </row>
    <row r="4723" customHeight="1" spans="1:9">
      <c r="A4723" s="2"/>
      <c r="B4723" s="2" t="str">
        <f>IFERROR(__xludf.DUMMYFUNCTION("IF(A4723&lt;&gt;"""", GOOGLETRANSLATE(A4723, ""en"", ""te""),"""")"),"")</f>
        <v/>
      </c>
      <c r="C4723" s="2"/>
      <c r="D4723" s="2" t="str">
        <f>IFERROR(__xludf.DUMMYFUNCTION("IF(C4723&lt;&gt;"""", GOOGLETRANSLATE(C4723, ""en"", ""te""),"""")"),"")</f>
        <v/>
      </c>
      <c r="E4723" s="2"/>
      <c r="F4723" s="2" t="str">
        <f>IFERROR(__xludf.DUMMYFUNCTION("IF(E4723&lt;&gt;"""", GOOGLETRANSLATE(E4723, ""en"", ""te""),"""")"),"")</f>
        <v/>
      </c>
      <c r="G4723" s="2"/>
      <c r="H4723" s="2" t="str">
        <f>IFERROR(__xludf.DUMMYFUNCTION("IF(G4723&lt;&gt;"""", GOOGLETRANSLATE(G4723, ""en"", ""te""),"""")"),"")</f>
        <v/>
      </c>
      <c r="I4723" s="3"/>
    </row>
    <row r="4724" customHeight="1" spans="1:9">
      <c r="A4724" s="2"/>
      <c r="B4724" s="2" t="str">
        <f>IFERROR(__xludf.DUMMYFUNCTION("IF(A4724&lt;&gt;"""", GOOGLETRANSLATE(A4724, ""en"", ""te""),"""")"),"")</f>
        <v/>
      </c>
      <c r="C4724" s="2"/>
      <c r="D4724" s="2" t="str">
        <f>IFERROR(__xludf.DUMMYFUNCTION("IF(C4724&lt;&gt;"""", GOOGLETRANSLATE(C4724, ""en"", ""te""),"""")"),"")</f>
        <v/>
      </c>
      <c r="E4724" s="2"/>
      <c r="F4724" s="2" t="str">
        <f>IFERROR(__xludf.DUMMYFUNCTION("IF(E4724&lt;&gt;"""", GOOGLETRANSLATE(E4724, ""en"", ""te""),"""")"),"")</f>
        <v/>
      </c>
      <c r="G4724" s="2"/>
      <c r="H4724" s="2" t="str">
        <f>IFERROR(__xludf.DUMMYFUNCTION("IF(G4724&lt;&gt;"""", GOOGLETRANSLATE(G4724, ""en"", ""te""),"""")"),"")</f>
        <v/>
      </c>
      <c r="I4724" s="3"/>
    </row>
    <row r="4725" customHeight="1" spans="1:9">
      <c r="A4725" s="2"/>
      <c r="B4725" s="2" t="str">
        <f>IFERROR(__xludf.DUMMYFUNCTION("IF(A4725&lt;&gt;"""", GOOGLETRANSLATE(A4725, ""en"", ""te""),"""")"),"")</f>
        <v/>
      </c>
      <c r="C4725" s="2"/>
      <c r="D4725" s="2" t="str">
        <f>IFERROR(__xludf.DUMMYFUNCTION("IF(C4725&lt;&gt;"""", GOOGLETRANSLATE(C4725, ""en"", ""te""),"""")"),"")</f>
        <v/>
      </c>
      <c r="E4725" s="2"/>
      <c r="F4725" s="2" t="str">
        <f>IFERROR(__xludf.DUMMYFUNCTION("IF(E4725&lt;&gt;"""", GOOGLETRANSLATE(E4725, ""en"", ""te""),"""")"),"")</f>
        <v/>
      </c>
      <c r="G4725" s="2"/>
      <c r="H4725" s="2" t="str">
        <f>IFERROR(__xludf.DUMMYFUNCTION("IF(G4725&lt;&gt;"""", GOOGLETRANSLATE(G4725, ""en"", ""te""),"""")"),"")</f>
        <v/>
      </c>
      <c r="I4725" s="3"/>
    </row>
    <row r="4726" customHeight="1" spans="1:9">
      <c r="A4726" s="2"/>
      <c r="B4726" s="2" t="str">
        <f>IFERROR(__xludf.DUMMYFUNCTION("IF(A4726&lt;&gt;"""", GOOGLETRANSLATE(A4726, ""en"", ""te""),"""")"),"")</f>
        <v/>
      </c>
      <c r="C4726" s="2"/>
      <c r="D4726" s="2" t="str">
        <f>IFERROR(__xludf.DUMMYFUNCTION("IF(C4726&lt;&gt;"""", GOOGLETRANSLATE(C4726, ""en"", ""te""),"""")"),"")</f>
        <v/>
      </c>
      <c r="E4726" s="2"/>
      <c r="F4726" s="2" t="str">
        <f>IFERROR(__xludf.DUMMYFUNCTION("IF(E4726&lt;&gt;"""", GOOGLETRANSLATE(E4726, ""en"", ""te""),"""")"),"")</f>
        <v/>
      </c>
      <c r="G4726" s="2"/>
      <c r="H4726" s="2" t="str">
        <f>IFERROR(__xludf.DUMMYFUNCTION("IF(G4726&lt;&gt;"""", GOOGLETRANSLATE(G4726, ""en"", ""te""),"""")"),"")</f>
        <v/>
      </c>
      <c r="I4726" s="3"/>
    </row>
    <row r="4727" customHeight="1" spans="1:9">
      <c r="A4727" s="2"/>
      <c r="B4727" s="2" t="str">
        <f>IFERROR(__xludf.DUMMYFUNCTION("IF(A4727&lt;&gt;"""", GOOGLETRANSLATE(A4727, ""en"", ""te""),"""")"),"")</f>
        <v/>
      </c>
      <c r="C4727" s="2"/>
      <c r="D4727" s="2" t="str">
        <f>IFERROR(__xludf.DUMMYFUNCTION("IF(C4727&lt;&gt;"""", GOOGLETRANSLATE(C4727, ""en"", ""te""),"""")"),"")</f>
        <v/>
      </c>
      <c r="E4727" s="2"/>
      <c r="F4727" s="2" t="str">
        <f>IFERROR(__xludf.DUMMYFUNCTION("IF(E4727&lt;&gt;"""", GOOGLETRANSLATE(E4727, ""en"", ""te""),"""")"),"")</f>
        <v/>
      </c>
      <c r="G4727" s="2"/>
      <c r="H4727" s="2" t="str">
        <f>IFERROR(__xludf.DUMMYFUNCTION("IF(G4727&lt;&gt;"""", GOOGLETRANSLATE(G4727, ""en"", ""te""),"""")"),"")</f>
        <v/>
      </c>
      <c r="I4727" s="3"/>
    </row>
    <row r="4728" customHeight="1" spans="1:9">
      <c r="A4728" s="2"/>
      <c r="B4728" s="2" t="str">
        <f>IFERROR(__xludf.DUMMYFUNCTION("IF(A4728&lt;&gt;"""", GOOGLETRANSLATE(A4728, ""en"", ""te""),"""")"),"")</f>
        <v/>
      </c>
      <c r="C4728" s="2"/>
      <c r="D4728" s="2" t="str">
        <f>IFERROR(__xludf.DUMMYFUNCTION("IF(C4728&lt;&gt;"""", GOOGLETRANSLATE(C4728, ""en"", ""te""),"""")"),"")</f>
        <v/>
      </c>
      <c r="E4728" s="2"/>
      <c r="F4728" s="2" t="str">
        <f>IFERROR(__xludf.DUMMYFUNCTION("IF(E4728&lt;&gt;"""", GOOGLETRANSLATE(E4728, ""en"", ""te""),"""")"),"")</f>
        <v/>
      </c>
      <c r="G4728" s="2"/>
      <c r="H4728" s="2" t="str">
        <f>IFERROR(__xludf.DUMMYFUNCTION("IF(G4728&lt;&gt;"""", GOOGLETRANSLATE(G4728, ""en"", ""te""),"""")"),"")</f>
        <v/>
      </c>
      <c r="I4728" s="3"/>
    </row>
    <row r="4729" customHeight="1" spans="1:9">
      <c r="A4729" s="2"/>
      <c r="B4729" s="2" t="str">
        <f>IFERROR(__xludf.DUMMYFUNCTION("IF(A4729&lt;&gt;"""", GOOGLETRANSLATE(A4729, ""en"", ""te""),"""")"),"")</f>
        <v/>
      </c>
      <c r="C4729" s="2"/>
      <c r="D4729" s="2" t="str">
        <f>IFERROR(__xludf.DUMMYFUNCTION("IF(C4729&lt;&gt;"""", GOOGLETRANSLATE(C4729, ""en"", ""te""),"""")"),"")</f>
        <v/>
      </c>
      <c r="E4729" s="2"/>
      <c r="F4729" s="2" t="str">
        <f>IFERROR(__xludf.DUMMYFUNCTION("IF(E4729&lt;&gt;"""", GOOGLETRANSLATE(E4729, ""en"", ""te""),"""")"),"")</f>
        <v/>
      </c>
      <c r="G4729" s="2"/>
      <c r="H4729" s="2" t="str">
        <f>IFERROR(__xludf.DUMMYFUNCTION("IF(G4729&lt;&gt;"""", GOOGLETRANSLATE(G4729, ""en"", ""te""),"""")"),"")</f>
        <v/>
      </c>
      <c r="I4729" s="3"/>
    </row>
    <row r="4730" customHeight="1" spans="1:9">
      <c r="A4730" s="2"/>
      <c r="B4730" s="2" t="str">
        <f>IFERROR(__xludf.DUMMYFUNCTION("IF(A4730&lt;&gt;"""", GOOGLETRANSLATE(A4730, ""en"", ""te""),"""")"),"")</f>
        <v/>
      </c>
      <c r="C4730" s="2" t="s">
        <v>3298</v>
      </c>
      <c r="D4730" s="2" t="str">
        <f>IFERROR(__xludf.DUMMYFUNCTION("IF(C4730&lt;&gt;"""", GOOGLETRANSLATE(C4730, ""en"", ""te""),"""")"),"['21 వ ప్రవేశం (5) ఒక మ్యాచ్లో బెస్ట్ ఫిగర్స్ ']")</f>
        <v>['21 వ ప్రవేశం (5) ఒక మ్యాచ్లో బెస్ట్ ఫిగర్స్ ']</v>
      </c>
      <c r="E4730" s="2"/>
      <c r="F4730" s="2" t="str">
        <f>IFERROR(__xludf.DUMMYFUNCTION("IF(E4730&lt;&gt;"""", GOOGLETRANSLATE(E4730, ""en"", ""te""),"""")"),"")</f>
        <v/>
      </c>
      <c r="G4730" s="2"/>
      <c r="H4730" s="2" t="str">
        <f>IFERROR(__xludf.DUMMYFUNCTION("IF(G4730&lt;&gt;"""", GOOGLETRANSLATE(G4730, ""en"", ""te""),"""")"),"")</f>
        <v/>
      </c>
      <c r="I4730" s="3"/>
    </row>
    <row r="4731" customHeight="1" spans="1:9">
      <c r="A4731" s="2" t="s">
        <v>3299</v>
      </c>
      <c r="B4731" s="2" t="str">
        <f>IFERROR(__xludf.DUMMYFUNCTION("IF(A4731&lt;&gt;"""", GOOGLETRANSLATE(A4731, ""en"", ""te""),"""")"),"[ 'ఇన్నింగ్స్ లో 5 వ అత్యధిక వికెట్లు (6)', 'వికెట్ను కాపాడుకున్నాడు చేసిన 1st కెప్టెన్ల (60)', '5 వ ఇన్నింగ్స్ లో అత్యధిక క్యాచ్లు (6)', 'కెప్టెన్ 6 వ అత్యధిక మ్యాచ్లు (60)', '7th కెరీర్లో అత్యధిక క్యాచ్లు (256) ',' 3 వ అత్యంత స్టంపింగ్లు కెరీర్లో (38) '"&amp;",' 3 వ అత్యంత అత్యధిక వికెట్లు ఇన్నింగ్స్ లో నడుస్తుంది (224) ',' 300 పరుగులు మరియు ఒక సిరీస్లో 15 వికెట్కీపింగ్ తొలగింపులకు ',' 1 వ అత్యంత ఒక ఇన్నింగ్స్ లో వికెట్లు (6) ',' 6 వ అత్యంత ప్లేయర్ ఆఫ్ ది సిరీస్ అవార్డులు (7) ',' వికెట్ను కాపాడుకున్నాడు చేసిన "&amp;"1st కెప్టెన్ల (200) ',' 4 వ అత్యధిక క్యాచ్లు కెరీర్లో (321) ',' 7th ఒక జట్టు కెప్టెన్గా వరుస మ్యాచ్లు (69) ',' 1 వ ఇన్నింగ్స్ లో వచ్చిన ఎక్కువ స్టంపింగ్లు (3) ',' అత్యధిక వికెట్లు ఇన్నింగ్స్ లో 1 వ అత్యధిక పరుగులు (183 *) ',' 9 వ అత్యధిక కెరీర్ బ్యాటింగ్ "&amp;"సగటు (50.57) ',' కెరీర్లో 8 వ అత్యంత తొంభైల (6) ',' 5 వ కెరీర్ లో వచ్చిన ఎక్కువ సిక్స్ (229) ',' 6 వ 10000 పరుగులు (273) ',' నూట ఇన్నింగ్స్ లో నాలుగు తొలగింపులకు ',' 6 వ అత్యధిక భాగస్వామ్యం వేగంగా తొమ్మిదవ వికెట్కు (101) ',' 1 వ ఇన్నింగ్స్ కెరీర్లో (5) '"&amp;",' 8 వ అత్యధిక మ్యాచ్లు లో అత్యధిక వికెట్లు (98) ',' 1st చాలా ఒక ఇన్నింగ్స్ లో క్యాచ్లు (5) ',' వికెట్ను కాపాడుకున్నాడు చేసిన 1st కెప్టెన్ల (72) ',' ఇన్నింగ్స్ లో 3 వ అత్యధిక క్యాచ్లు (4) ',' ఒక జట్టు కెప్టెన్గా 7 వ వరుస మ్యాచ్లు (69) ',' 1st ఒక డక్ లేకుం"&amp;"డా జీవితంలో అత్యధిక స్టంపింగ్లు (34) ',' 1 వ వరుస ఇన్నింగ్స్ (84 *) ',' కెరీర్ లో 3 వ అత్యధిక వికెట్లు (829) ',' 6 వ కెరీర్లో అత్యధిక మ్యాచ్లు (538) ',' 1st వంటి అత్యధిక మ్యాచ్లు కెప్టెన్ (332) ',' కెరీర్ లో 3 వ అత్యధిక క్యాచ్లు (634) ',' 1 వ కెరీర్ స్టంప"&amp;"ింగ్లు (195) ',' 8 వ కెరీర్ తొంభైల (11) ',' 5 వ కెరీర్ (359) లో వచ్చిన ఎక్కువ సిక్స్ ']")</f>
        <v>[ 'ఇన్నింగ్స్ లో 5 వ అత్యధిక వికెట్లు (6)', 'వికెట్ను కాపాడుకున్నాడు చేసిన 1st కెప్టెన్ల (60)', '5 వ ఇన్నింగ్స్ లో అత్యధిక క్యాచ్లు (6)', 'కెప్టెన్ 6 వ అత్యధిక మ్యాచ్లు (60)', '7th కెరీర్లో అత్యధిక క్యాచ్లు (256) ',' 3 వ అత్యంత స్టంపింగ్లు కెరీర్లో (38) ',' 3 వ అత్యంత అత్యధిక వికెట్లు ఇన్నింగ్స్ లో నడుస్తుంది (224) ',' 300 పరుగులు మరియు ఒక సిరీస్లో 15 వికెట్కీపింగ్ తొలగింపులకు ',' 1 వ అత్యంత ఒక ఇన్నింగ్స్ లో వికెట్లు (6) ',' 6 వ అత్యంత ప్లేయర్ ఆఫ్ ది సిరీస్ అవార్డులు (7) ',' వికెట్ను కాపాడుకున్నాడు చేసిన 1st కెప్టెన్ల (200) ',' 4 వ అత్యధిక క్యాచ్లు కెరీర్లో (321) ',' 7th ఒక జట్టు కెప్టెన్గా వరుస మ్యాచ్లు (69) ',' 1 వ ఇన్నింగ్స్ లో వచ్చిన ఎక్కువ స్టంపింగ్లు (3) ',' అత్యధిక వికెట్లు ఇన్నింగ్స్ లో 1 వ అత్యధిక పరుగులు (183 *) ',' 9 వ అత్యధిక కెరీర్ బ్యాటింగ్ సగటు (50.57) ',' కెరీర్లో 8 వ అత్యంత తొంభైల (6) ',' 5 వ కెరీర్ లో వచ్చిన ఎక్కువ సిక్స్ (229) ',' 6 వ 10000 పరుగులు (273) ',' నూట ఇన్నింగ్స్ లో నాలుగు తొలగింపులకు ',' 6 వ అత్యధిక భాగస్వామ్యం వేగంగా తొమ్మిదవ వికెట్కు (101) ',' 1 వ ఇన్నింగ్స్ కెరీర్లో (5) ',' 8 వ అత్యధిక మ్యాచ్లు లో అత్యధిక వికెట్లు (98) ',' 1st చాలా ఒక ఇన్నింగ్స్ లో క్యాచ్లు (5) ',' వికెట్ను కాపాడుకున్నాడు చేసిన 1st కెప్టెన్ల (72) ',' ఇన్నింగ్స్ లో 3 వ అత్యధిక క్యాచ్లు (4) ',' ఒక జట్టు కెప్టెన్గా 7 వ వరుస మ్యాచ్లు (69) ',' 1st ఒక డక్ లేకుండా జీవితంలో అత్యధిక స్టంపింగ్లు (34) ',' 1 వ వరుస ఇన్నింగ్స్ (84 *) ',' కెరీర్ లో 3 వ అత్యధిక వికెట్లు (829) ',' 6 వ కెరీర్లో అత్యధిక మ్యాచ్లు (538) ',' 1st వంటి అత్యధిక మ్యాచ్లు కెప్టెన్ (332) ',' కెరీర్ లో 3 వ అత్యధిక క్యాచ్లు (634) ',' 1 వ కెరీర్ స్టంపింగ్లు (195) ',' 8 వ కెరీర్ తొంభైల (11) ',' 5 వ కెరీర్ (359) లో వచ్చిన ఎక్కువ సిక్స్ ']</v>
      </c>
      <c r="C4731" s="2" t="s">
        <v>3300</v>
      </c>
      <c r="D4731" s="2" t="str">
        <f>IFERROR(__xludf.DUMMYFUNCTION("IF(C4731&lt;&gt;"""", GOOGLETRANSLATE(C4731, ""en"", ""te""),"""")"),"[ 'ఇన్నింగ్స్ లో 4 వ అత్యధిక పరుగులు (బ్యాటింగ్ స్థానంలో ప్రకారం) (224)', 'ఒక రోజు లో 32 వ అత్యధిక పరుగులు (206)', 'ఒక కెప్టెన్తో ఇన్నింగ్స్ లో 41 వ అత్యధిక పరుగులు (224)', '30 వ అత్యంత పరుగులు ఒక వికెట్ కీపర్ సిరీస్ (349) ',' 3 వ అత్యంత ఒక ఇన్నింగ్స్ లో "&amp;"ఒక వికెట్ (224) ',' 20 వ అత్యంత తొంభైల కెరీర్లో (5) ',' 14 వ ఎక్కువ సిక్స్ కెరీర్లో (78) ',' 36 వ అత్యంత ద్వారా నడుస్తుంది ఇన్నింగ్స్ (6) ఆరవ వికెట్కు ',' 40 వ అత్యధిక భాగస్వామ్యం (210) ',' తొమ్మిదవ వికెట్కు 15 అత్యధిక భాగస్వామ్యం (140) ',' 6 వ అత్యధిక మ"&amp;"్యాచ్లు కెప్టెన్గా (60) ',' 29th వరుస లో సిక్సర్లు ఒక జట్టు కెప్టెన్గా మ్యాచ్లు (27) ',' వికెట్ (60) ఉంచింది చేసిన 1st కెప్టెన్ల ',' కెరీర్ లో 5 వ అత్యధిక వికెట్లు (294) ',' 5 వ ఇన్నింగ్స్ లో అత్యధిక వికెట్లు (6) ',' 8 వ అత్యధిక వికెట్లు ఒక మ్యాచ్లో కెరీర"&amp;"్లో (9) ',' 7 వ అత్యధిక క్యాచ్లు (256) ',' చాలా 5 వ ఒక మ్యాచ్లో ఇన్నింగ్స్ (6) ',' 26th అత్యధిక క్యాచ్లు లో క్యాచ్లు (8) ',' 3 వ కెరీర్ స్టంపింగ్లు ( 38) ',' 12 వ మ్యాచ్ లో అత్యంత స్టంపింగ్లు (3) ',' 18 వ ఒక సిరీస్లో అత్యధిక స్టంపింగ్లు (5) ',' 25 వ అత్యధ"&amp;"ిక ఇన్నింగ్స్ బై గూడా ఇవ్వకుండా మొత్తం (581) ',' 16 వ అత్యంత బైలు ఇన్నింగ్స్ (28) సాధించిన]")</f>
        <v>[ 'ఇన్నింగ్స్ లో 4 వ అత్యధిక పరుగులు (బ్యాటింగ్ స్థానంలో ప్రకారం) (224)', 'ఒక రోజు లో 32 వ అత్యధిక పరుగులు (206)', 'ఒక కెప్టెన్తో ఇన్నింగ్స్ లో 41 వ అత్యధిక పరుగులు (224)', '30 వ అత్యంత పరుగులు ఒక వికెట్ కీపర్ సిరీస్ (349) ',' 3 వ అత్యంత ఒక ఇన్నింగ్స్ లో ఒక వికెట్ (224) ',' 20 వ అత్యంత తొంభైల కెరీర్లో (5) ',' 14 వ ఎక్కువ సిక్స్ కెరీర్లో (78) ',' 36 వ అత్యంత ద్వారా నడుస్తుంది ఇన్నింగ్స్ (6) ఆరవ వికెట్కు ',' 40 వ అత్యధిక భాగస్వామ్యం (210) ',' తొమ్మిదవ వికెట్కు 15 అత్యధిక భాగస్వామ్యం (140) ',' 6 వ అత్యధిక మ్యాచ్లు కెప్టెన్గా (60) ',' 29th వరుస లో సిక్సర్లు ఒక జట్టు కెప్టెన్గా మ్యాచ్లు (27) ',' వికెట్ (60) ఉంచింది చేసిన 1st కెప్టెన్ల ',' కెరీర్ లో 5 వ అత్యధిక వికెట్లు (294) ',' 5 వ ఇన్నింగ్స్ లో అత్యధిక వికెట్లు (6) ',' 8 వ అత్యధిక వికెట్లు ఒక మ్యాచ్లో కెరీర్లో (9) ',' 7 వ అత్యధిక క్యాచ్లు (256) ',' చాలా 5 వ ఒక మ్యాచ్లో ఇన్నింగ్స్ (6) ',' 26th అత్యధిక క్యాచ్లు లో క్యాచ్లు (8) ',' 3 వ కెరీర్ స్టంపింగ్లు ( 38) ',' 12 వ మ్యాచ్ లో అత్యంత స్టంపింగ్లు (3) ',' 18 వ ఒక సిరీస్లో అత్యధిక స్టంపింగ్లు (5) ',' 25 వ అత్యధిక ఇన్నింగ్స్ బై గూడా ఇవ్వకుండా మొత్తం (581) ',' 16 వ అత్యంత బైలు ఇన్నింగ్స్ (28) సాధించిన]</v>
      </c>
      <c r="E4731" s="2" t="s">
        <v>3301</v>
      </c>
      <c r="F4731" s="2" t="str">
        <f>IFERROR(__xludf.DUMMYFUNCTION("IF(E4731&lt;&gt;"""", GOOGLETRANSLATE(E4731, ""en"", ""te""),"""")"),"[ '11 వ కెరీర్ లో అత్యధిక పరుగులు (10773)', '19 వ ఇన్నింగ్స్ లో అత్యధిక పరుగులు (183 *)', '3 వ భాగం (బ్యాటింగ్ స్థానంలో ద్వారా) ఒక ఇన్నింగ్స్ లో నడుస్తుంది (139 *)', '40 వ మ్యాచ్ లో అత్యధిక పరుగులు పరాజయం వైపు (139 *) ',' 40 వ అత్యధిక పరుగులు ఒక సిరీస్లో"&amp;" ఒక కెప్టెన్ ద్వారా (347) ',' వరుస ఒక ద్వారా ఒక నాయకుడు ఒక ఇన్నింగ్స్ లో 30 వ అత్యధిక పరుగులు (139 *) ',' 24 వ అత్యధిక పరుగులు వికెట్కీపర్గా (347) ',' అత్యధిక వికెట్లు ఇన్నింగ్స్ లో 1 వ అత్యధిక పరుగులు (183 *) ',' 9 వ అత్యధిక కెరీర్ బ్యాటింగ్ సగటు (50.57)"&amp;" ',' 18 వ అత్యధిక తొలి వంద (148) ',' 39 వ అత్యంత వృద్ధ ఆటగాడు ఒక స్కోర్ వందల (35y 196d) ',' 8 వ కెరీర్ తొంభైల (6) ',' 11 వ కెరీర్ అర్ధ (83) ',' వరుస ఇన్నింగ్స్లో 44 వ యాభైల్లో (4) ',' ఒక డక్ లేకుండా 12 వ వరుస ఇన్నింగ్స్ (85 ) ',' కెరీర్లో 35 వ అతి తక్కు"&amp;"వ బాతులు (29.7) ',' 5 వ ఎక్కువ సిక్స్ కెరీర్లో (229) ', '21 వ అత్యంత ఫోర్లు కెరీర్లో (826)', '22 వ ఇన్నింగ్స్ లో వచ్చిన ఎక్కువ సిక్స్ (10)', '16 వ 1000 పరుగుల ఇన్నింగ్స్ లో ఫోర్లు, సిక్సర్లు నుండి అత్యధిక పరుగులు (120) ',' ఒక ఇన్నింగ్స్లో పరుగుల 24 అత్యధి"&amp;"క శాతం (58.03) ',' 45 వ వేగంగా లు (29) ',' 47 వ 3000 పరుగులు (90) ',' ఫాస్టెస్ట్ 34 వ 4000 పరుగులు వేగంగా (114) ',' 19 వ 5000 పరుగులు (135) ',' 16 వ వేగవంతమైన 6000 పరుగులు (166) 'వేగంగా, '10th 7000 పరుగులు (189) వేగంగా', '43 వ అత్యధిక భాగస్వామ్యం' 10000 "&amp;"పరుగులు (273) 6 వ వేగవంతమైన ',' 9000 పరుగులు (244) కు 9 వ వేగవంతమైన ',' 8000 పరుగులు (214) వేగంగా 9 ' నాలుగో వికెట్కు (166) ఆరవ వికెట్కు (127 *) కోసం ',' 39 వ అత్యధిక భాగస్వామ్యం ',' ఏడవ వికెట్ (125 *) ',' ఎనిమిదవ వికెట్కు 8 వ అత్యధిక భాగస్వామ్యం (100 *"&amp;") 6 వ అత్యధిక భాగస్వామ్యం ',' తొమ్మిదవ వికెట్కు 6 వ అత్యధిక భాగస్వామ్యం (101) ',' 9 వ కెరీర్లో అత్యధిక మ్యాచ్లు (350) ',' ఒక జట్టుకు 36 వ వరుస మ్యాచ్లు (79) ',' 28 వ అతి ప్లేయర్ ఆఫ్ ది మ్యాచ్ అవార్డులు (21) ',' 6 వ అత్యంత ప్లేయర్ ఆఫ్ ది సిరీస్ అవార్డులు ("&amp;"7) ',' 3 వ అత్యంత కెప్టెన్గా పోటీలు (200) ',' ఒక జట్టు కెప్టెన్గా 7 వ వరుస మ్యాచ్లు (69) ',' 33 వ ఓల్డెస్ట్ కాప్టెన్ (37y 80D) ',' వికెట్ను కాపాడుకున్నాడు చేసిన 1st కెప్టెన్ల (200) ',' కెరీర్ లో 3 వ అత్యధిక వికెట్లు (444) ',' 1 వ ఇన్నింగ్స్ లో అత్యధిక విక"&amp;"ెట్లు (6) ',' 4 వ అత్యంత వరుస తొలగింపులకు కెరీర్లో (21) ',' 4 వ అత్యధిక క్యాచ్లు (321) ',' 11 వ అత్యంత ఇన్నింగ్స్ (5) ',' 7 వ అత్యధిక క్యాచ్లు లో వరుస క్యాచ్లు (19) ',' 1 వ అత్యధిక కెరీర్ లో స్టంపింగ్లు (123) ',' వరుస ఇన్నింగ్స్ (3) ',' 2 వ అత్యంత స్టంపిం"&amp;"గ్లు లో 1 వ అత్యంత స్టంపింగ్లు (6) ']")</f>
        <v>[ '11 వ కెరీర్ లో అత్యధిక పరుగులు (10773)', '19 వ ఇన్నింగ్స్ లో అత్యధిక పరుగులు (183 *)', '3 వ భాగం (బ్యాటింగ్ స్థానంలో ద్వారా) ఒక ఇన్నింగ్స్ లో నడుస్తుంది (139 *)', '40 వ మ్యాచ్ లో అత్యధిక పరుగులు పరాజయం వైపు (139 *) ',' 40 వ అత్యధిక పరుగులు ఒక సిరీస్లో ఒక కెప్టెన్ ద్వారా (347) ',' వరుస ఒక ద్వారా ఒక నాయకుడు ఒక ఇన్నింగ్స్ లో 30 వ అత్యధిక పరుగులు (139 *) ',' 24 వ అత్యధిక పరుగులు వికెట్కీపర్గా (347) ',' అత్యధిక వికెట్లు ఇన్నింగ్స్ లో 1 వ అత్యధిక పరుగులు (183 *) ',' 9 వ అత్యధిక కెరీర్ బ్యాటింగ్ సగటు (50.57) ',' 18 వ అత్యధిక తొలి వంద (148) ',' 39 వ అత్యంత వృద్ధ ఆటగాడు ఒక స్కోర్ వందల (35y 196d) ',' 8 వ కెరీర్ తొంభైల (6) ',' 11 వ కెరీర్ అర్ధ (83) ',' వరుస ఇన్నింగ్స్లో 44 వ యాభైల్లో (4) ',' ఒక డక్ లేకుండా 12 వ వరుస ఇన్నింగ్స్ (85 ) ',' కెరీర్లో 35 వ అతి తక్కువ బాతులు (29.7) ',' 5 వ ఎక్కువ సిక్స్ కెరీర్లో (229) ', '21 వ అత్యంత ఫోర్లు కెరీర్లో (826)', '22 వ ఇన్నింగ్స్ లో వచ్చిన ఎక్కువ సిక్స్ (10)', '16 వ 1000 పరుగుల ఇన్నింగ్స్ లో ఫోర్లు, సిక్సర్లు నుండి అత్యధిక పరుగులు (120) ',' ఒక ఇన్నింగ్స్లో పరుగుల 24 అత్యధిక శాతం (58.03) ',' 45 వ వేగంగా లు (29) ',' 47 వ 3000 పరుగులు (90) ',' ఫాస్టెస్ట్ 34 వ 4000 పరుగులు వేగంగా (114) ',' 19 వ 5000 పరుగులు (135) ',' 16 వ వేగవంతమైన 6000 పరుగులు (166) 'వేగంగా, '10th 7000 పరుగులు (189) వేగంగా', '43 వ అత్యధిక భాగస్వామ్యం' 10000 పరుగులు (273) 6 వ వేగవంతమైన ',' 9000 పరుగులు (244) కు 9 వ వేగవంతమైన ',' 8000 పరుగులు (214) వేగంగా 9 ' నాలుగో వికెట్కు (166) ఆరవ వికెట్కు (127 *) కోసం ',' 39 వ అత్యధిక భాగస్వామ్యం ',' ఏడవ వికెట్ (125 *) ',' ఎనిమిదవ వికెట్కు 8 వ అత్యధిక భాగస్వామ్యం (100 *) 6 వ అత్యధిక భాగస్వామ్యం ',' తొమ్మిదవ వికెట్కు 6 వ అత్యధిక భాగస్వామ్యం (101) ',' 9 వ కెరీర్లో అత్యధిక మ్యాచ్లు (350) ',' ఒక జట్టుకు 36 వ వరుస మ్యాచ్లు (79) ',' 28 వ అతి ప్లేయర్ ఆఫ్ ది మ్యాచ్ అవార్డులు (21) ',' 6 వ అత్యంత ప్లేయర్ ఆఫ్ ది సిరీస్ అవార్డులు (7) ',' 3 వ అత్యంత కెప్టెన్గా పోటీలు (200) ',' ఒక జట్టు కెప్టెన్గా 7 వ వరుస మ్యాచ్లు (69) ',' 33 వ ఓల్డెస్ట్ కాప్టెన్ (37y 80D) ',' వికెట్ను కాపాడుకున్నాడు చేసిన 1st కెప్టెన్ల (200) ',' కెరీర్ లో 3 వ అత్యధిక వికెట్లు (444) ',' 1 వ ఇన్నింగ్స్ లో అత్యధిక వికెట్లు (6) ',' 4 వ అత్యంత వరుస తొలగింపులకు కెరీర్లో (21) ',' 4 వ అత్యధిక క్యాచ్లు (321) ',' 11 వ అత్యంత ఇన్నింగ్స్ (5) ',' 7 వ అత్యధిక క్యాచ్లు లో వరుస క్యాచ్లు (19) ',' 1 వ అత్యధిక కెరీర్ లో స్టంపింగ్లు (123) ',' వరుస ఇన్నింగ్స్ (3) ',' 2 వ అత్యంత స్టంపింగ్లు లో 1 వ అత్యంత స్టంపింగ్లు (6) ']</v>
      </c>
      <c r="G4731" s="2" t="s">
        <v>3302</v>
      </c>
      <c r="H4731" s="2" t="str">
        <f>IFERROR(__xludf.DUMMYFUNCTION("IF(G4731&lt;&gt;"""", GOOGLETRANSLATE(G4731, ""en"", ""te""),"""")"),"[డకౌట్ లేకుండా '28 అత్యధిక కెరీర్ లో పరుగులు (1617)', '35 వ ఇన్నింగ్స్ లో అత్యధిక పరుగులు (బ్యాటింగ్ స్థానంలో ప్రకారం) (52 *)', '12 వ అత్యధిక కెరీర్ బ్యాటింగ్ సగటు (37.60)', '1 వ వరుస ఇన్నింగ్స్ ( 84 *) ',' కెరీర్ లో 2 వ అతి తక్కువ బాతులు (85) ',' 39 వ కె"&amp;"రీర్ లో వచ్చిన ఎక్కువ సిక్స్ (52) ',' 45 వ కెరీర్ ఫోర్లు (116) ',' ఆరవ వికెట్కు 40 వ అత్యధిక భాగస్వామ్యం (63 *) ',' ఏడవ వికెట్ (59 *) తొమ్మిదవ వికెట్కు ',' 33 వ అత్యధిక భాగస్వామ్యం (29) ',' కెరీర్లో 8 వ అత్యధిక మ్యాచ్లు (98) ',' ఒక జట్టుకు 20 వ వరుస మ్యాచ"&amp;"్లు కోసం 17 అత్యధిక భాగస్వామ్యం (39 ) ',' 29th లాంగెస్ట్ కెరీర్లు (12y 88D) ',' 1 వ కెప్టెన్గా అత్యధిక మ్యాచ్లు (72) ',' వికెట్ (72 ఉంచింది చేసిన 1st కెప్టెన్ల) ',' 7 వ వరుస మ్యాచ్లు ఒక జట్టు కెప్టెన్గా (69) ' 'కెరీర్లో 1st అత్యధిక వికెట్లు (91)' 'ఇన్నింగ"&amp;"్స్ లో 1 వ అత్యధిక వికెట్లు (5)' 'కెరీర్లో 1st అత్యధిక క్యాచ్లు (57)' '10 వ వరుస ఒక జట్టు కెప్టెన్గా మ్యాచ్లు (24)',,,, 'ఇన్నింగ్స్ లో 1 వ అత్యధిక క్యాచ్లు (5)', 'కెరీర్ (34) లో 1 వ అత్యంత స్టంపింగ్లు']")</f>
        <v>[డకౌట్ లేకుండా '28 అత్యధిక కెరీర్ లో పరుగులు (1617)', '35 వ ఇన్నింగ్స్ లో అత్యధిక పరుగులు (బ్యాటింగ్ స్థానంలో ప్రకారం) (52 *)', '12 వ అత్యధిక కెరీర్ బ్యాటింగ్ సగటు (37.60)', '1 వ వరుస ఇన్నింగ్స్ ( 84 *) ',' కెరీర్ లో 2 వ అతి తక్కువ బాతులు (85) ',' 39 వ కెరీర్ లో వచ్చిన ఎక్కువ సిక్స్ (52) ',' 45 వ కెరీర్ ఫోర్లు (116) ',' ఆరవ వికెట్కు 40 వ అత్యధిక భాగస్వామ్యం (63 *) ',' ఏడవ వికెట్ (59 *) తొమ్మిదవ వికెట్కు ',' 33 వ అత్యధిక భాగస్వామ్యం (29) ',' కెరీర్లో 8 వ అత్యధిక మ్యాచ్లు (98) ',' ఒక జట్టుకు 20 వ వరుస మ్యాచ్లు కోసం 17 అత్యధిక భాగస్వామ్యం (39 ) ',' 29th లాంగెస్ట్ కెరీర్లు (12y 88D) ',' 1 వ కెప్టెన్గా అత్యధిక మ్యాచ్లు (72) ',' వికెట్ (72 ఉంచింది చేసిన 1st కెప్టెన్ల) ',' 7 వ వరుస మ్యాచ్లు ఒక జట్టు కెప్టెన్గా (69) ' 'కెరీర్లో 1st అత్యధిక వికెట్లు (91)' 'ఇన్నింగ్స్ లో 1 వ అత్యధిక వికెట్లు (5)' 'కెరీర్లో 1st అత్యధిక క్యాచ్లు (57)' '10 వ వరుస ఒక జట్టు కెప్టెన్గా మ్యాచ్లు (24)',,,, 'ఇన్నింగ్స్ లో 1 వ అత్యధిక క్యాచ్లు (5)', 'కెరీర్ (34) లో 1 వ అత్యంత స్టంపింగ్లు']</v>
      </c>
      <c r="I4731" s="3"/>
    </row>
    <row r="4732" customHeight="1" spans="1:9">
      <c r="A4732" s="2"/>
      <c r="B4732" s="2" t="str">
        <f>IFERROR(__xludf.DUMMYFUNCTION("IF(A4732&lt;&gt;"""", GOOGLETRANSLATE(A4732, ""en"", ""te""),"""")"),"")</f>
        <v/>
      </c>
      <c r="C4732" s="2"/>
      <c r="D4732" s="2" t="str">
        <f>IFERROR(__xludf.DUMMYFUNCTION("IF(C4732&lt;&gt;"""", GOOGLETRANSLATE(C4732, ""en"", ""te""),"""")"),"")</f>
        <v/>
      </c>
      <c r="E4732" s="2"/>
      <c r="F4732" s="2" t="str">
        <f>IFERROR(__xludf.DUMMYFUNCTION("IF(E4732&lt;&gt;"""", GOOGLETRANSLATE(E4732, ""en"", ""te""),"""")"),"")</f>
        <v/>
      </c>
      <c r="G4732" s="2"/>
      <c r="H4732" s="2" t="str">
        <f>IFERROR(__xludf.DUMMYFUNCTION("IF(G4732&lt;&gt;"""", GOOGLETRANSLATE(G4732, ""en"", ""te""),"""")"),"")</f>
        <v/>
      </c>
      <c r="I4732" s="3"/>
    </row>
    <row r="4733" customHeight="1" spans="1:9">
      <c r="A4733" s="2"/>
      <c r="B4733" s="2" t="str">
        <f>IFERROR(__xludf.DUMMYFUNCTION("IF(A4733&lt;&gt;"""", GOOGLETRANSLATE(A4733, ""en"", ""te""),"""")"),"")</f>
        <v/>
      </c>
      <c r="C4733" s="2"/>
      <c r="D4733" s="2" t="str">
        <f>IFERROR(__xludf.DUMMYFUNCTION("IF(C4733&lt;&gt;"""", GOOGLETRANSLATE(C4733, ""en"", ""te""),"""")"),"")</f>
        <v/>
      </c>
      <c r="E4733" s="2"/>
      <c r="F4733" s="2" t="str">
        <f>IFERROR(__xludf.DUMMYFUNCTION("IF(E4733&lt;&gt;"""", GOOGLETRANSLATE(E4733, ""en"", ""te""),"""")"),"")</f>
        <v/>
      </c>
      <c r="G4733" s="2"/>
      <c r="H4733" s="2" t="str">
        <f>IFERROR(__xludf.DUMMYFUNCTION("IF(G4733&lt;&gt;"""", GOOGLETRANSLATE(G4733, ""en"", ""te""),"""")"),"")</f>
        <v/>
      </c>
      <c r="I4733" s="3"/>
    </row>
    <row r="4734" customHeight="1" spans="1:9">
      <c r="A4734" s="2"/>
      <c r="B4734" s="2" t="str">
        <f>IFERROR(__xludf.DUMMYFUNCTION("IF(A4734&lt;&gt;"""", GOOGLETRANSLATE(A4734, ""en"", ""te""),"""")"),"")</f>
        <v/>
      </c>
      <c r="C4734" s="2"/>
      <c r="D4734" s="2" t="str">
        <f>IFERROR(__xludf.DUMMYFUNCTION("IF(C4734&lt;&gt;"""", GOOGLETRANSLATE(C4734, ""en"", ""te""),"""")"),"")</f>
        <v/>
      </c>
      <c r="E4734" s="2"/>
      <c r="F4734" s="2" t="str">
        <f>IFERROR(__xludf.DUMMYFUNCTION("IF(E4734&lt;&gt;"""", GOOGLETRANSLATE(E4734, ""en"", ""te""),"""")"),"")</f>
        <v/>
      </c>
      <c r="G4734" s="2"/>
      <c r="H4734" s="2" t="str">
        <f>IFERROR(__xludf.DUMMYFUNCTION("IF(G4734&lt;&gt;"""", GOOGLETRANSLATE(G4734, ""en"", ""te""),"""")"),"")</f>
        <v/>
      </c>
      <c r="I4734" s="3"/>
    </row>
    <row r="4735" customHeight="1" spans="1:9">
      <c r="A4735" s="2"/>
      <c r="B4735" s="2" t="str">
        <f>IFERROR(__xludf.DUMMYFUNCTION("IF(A4735&lt;&gt;"""", GOOGLETRANSLATE(A4735, ""en"", ""te""),"""")"),"")</f>
        <v/>
      </c>
      <c r="C4735" s="2"/>
      <c r="D4735" s="2" t="str">
        <f>IFERROR(__xludf.DUMMYFUNCTION("IF(C4735&lt;&gt;"""", GOOGLETRANSLATE(C4735, ""en"", ""te""),"""")"),"")</f>
        <v/>
      </c>
      <c r="E4735" s="2"/>
      <c r="F4735" s="2" t="str">
        <f>IFERROR(__xludf.DUMMYFUNCTION("IF(E4735&lt;&gt;"""", GOOGLETRANSLATE(E4735, ""en"", ""te""),"""")"),"")</f>
        <v/>
      </c>
      <c r="G4735" s="2"/>
      <c r="H4735" s="2" t="str">
        <f>IFERROR(__xludf.DUMMYFUNCTION("IF(G4735&lt;&gt;"""", GOOGLETRANSLATE(G4735, ""en"", ""te""),"""")"),"")</f>
        <v/>
      </c>
      <c r="I4735" s="3"/>
    </row>
    <row r="4736" customHeight="1" spans="1:9">
      <c r="A4736" s="2"/>
      <c r="B4736" s="2" t="str">
        <f>IFERROR(__xludf.DUMMYFUNCTION("IF(A4736&lt;&gt;"""", GOOGLETRANSLATE(A4736, ""en"", ""te""),"""")"),"")</f>
        <v/>
      </c>
      <c r="C4736" s="2"/>
      <c r="D4736" s="2" t="str">
        <f>IFERROR(__xludf.DUMMYFUNCTION("IF(C4736&lt;&gt;"""", GOOGLETRANSLATE(C4736, ""en"", ""te""),"""")"),"")</f>
        <v/>
      </c>
      <c r="E4736" s="2"/>
      <c r="F4736" s="2" t="str">
        <f>IFERROR(__xludf.DUMMYFUNCTION("IF(E4736&lt;&gt;"""", GOOGLETRANSLATE(E4736, ""en"", ""te""),"""")"),"")</f>
        <v/>
      </c>
      <c r="G4736" s="2"/>
      <c r="H4736" s="2" t="str">
        <f>IFERROR(__xludf.DUMMYFUNCTION("IF(G4736&lt;&gt;"""", GOOGLETRANSLATE(G4736, ""en"", ""te""),"""")"),"")</f>
        <v/>
      </c>
      <c r="I4736" s="3"/>
    </row>
    <row r="4737" customHeight="1" spans="1:9">
      <c r="A4737" s="2"/>
      <c r="B4737" s="2" t="str">
        <f>IFERROR(__xludf.DUMMYFUNCTION("IF(A4737&lt;&gt;"""", GOOGLETRANSLATE(A4737, ""en"", ""te""),"""")"),"")</f>
        <v/>
      </c>
      <c r="C4737" s="2"/>
      <c r="D4737" s="2" t="str">
        <f>IFERROR(__xludf.DUMMYFUNCTION("IF(C4737&lt;&gt;"""", GOOGLETRANSLATE(C4737, ""en"", ""te""),"""")"),"")</f>
        <v/>
      </c>
      <c r="E4737" s="2"/>
      <c r="F4737" s="2" t="str">
        <f>IFERROR(__xludf.DUMMYFUNCTION("IF(E4737&lt;&gt;"""", GOOGLETRANSLATE(E4737, ""en"", ""te""),"""")"),"")</f>
        <v/>
      </c>
      <c r="G4737" s="2"/>
      <c r="H4737" s="2" t="str">
        <f>IFERROR(__xludf.DUMMYFUNCTION("IF(G4737&lt;&gt;"""", GOOGLETRANSLATE(G4737, ""en"", ""te""),"""")"),"")</f>
        <v/>
      </c>
      <c r="I4737" s="3"/>
    </row>
    <row r="4738" customHeight="1" spans="1:9">
      <c r="A4738" s="2"/>
      <c r="B4738" s="2" t="str">
        <f>IFERROR(__xludf.DUMMYFUNCTION("IF(A4738&lt;&gt;"""", GOOGLETRANSLATE(A4738, ""en"", ""te""),"""")"),"")</f>
        <v/>
      </c>
      <c r="C4738" s="2"/>
      <c r="D4738" s="2" t="str">
        <f>IFERROR(__xludf.DUMMYFUNCTION("IF(C4738&lt;&gt;"""", GOOGLETRANSLATE(C4738, ""en"", ""te""),"""")"),"")</f>
        <v/>
      </c>
      <c r="E4738" s="2"/>
      <c r="F4738" s="2" t="str">
        <f>IFERROR(__xludf.DUMMYFUNCTION("IF(E4738&lt;&gt;"""", GOOGLETRANSLATE(E4738, ""en"", ""te""),"""")"),"")</f>
        <v/>
      </c>
      <c r="G4738" s="2"/>
      <c r="H4738" s="2" t="str">
        <f>IFERROR(__xludf.DUMMYFUNCTION("IF(G4738&lt;&gt;"""", GOOGLETRANSLATE(G4738, ""en"", ""te""),"""")"),"")</f>
        <v/>
      </c>
      <c r="I4738" s="3"/>
    </row>
    <row r="4739" customHeight="1" spans="1:9">
      <c r="A4739" s="2"/>
      <c r="B4739" s="2" t="str">
        <f>IFERROR(__xludf.DUMMYFUNCTION("IF(A4739&lt;&gt;"""", GOOGLETRANSLATE(A4739, ""en"", ""te""),"""")"),"")</f>
        <v/>
      </c>
      <c r="C4739" s="2"/>
      <c r="D4739" s="2" t="str">
        <f>IFERROR(__xludf.DUMMYFUNCTION("IF(C4739&lt;&gt;"""", GOOGLETRANSLATE(C4739, ""en"", ""te""),"""")"),"")</f>
        <v/>
      </c>
      <c r="E4739" s="2"/>
      <c r="F4739" s="2" t="str">
        <f>IFERROR(__xludf.DUMMYFUNCTION("IF(E4739&lt;&gt;"""", GOOGLETRANSLATE(E4739, ""en"", ""te""),"""")"),"")</f>
        <v/>
      </c>
      <c r="G4739" s="2"/>
      <c r="H4739" s="2" t="str">
        <f>IFERROR(__xludf.DUMMYFUNCTION("IF(G4739&lt;&gt;"""", GOOGLETRANSLATE(G4739, ""en"", ""te""),"""")"),"")</f>
        <v/>
      </c>
      <c r="I4739" s="3"/>
    </row>
    <row r="4740" customHeight="1" spans="1:9">
      <c r="A4740" s="2"/>
      <c r="B4740" s="2" t="str">
        <f>IFERROR(__xludf.DUMMYFUNCTION("IF(A4740&lt;&gt;"""", GOOGLETRANSLATE(A4740, ""en"", ""te""),"""")"),"")</f>
        <v/>
      </c>
      <c r="C4740" s="2" t="s">
        <v>3303</v>
      </c>
      <c r="D4740" s="2" t="str">
        <f>IFERROR(__xludf.DUMMYFUNCTION("IF(C4740&lt;&gt;"""", GOOGLETRANSLATE(C4740, ""en"", ""te""),"""")"),"[ '13 వ అత్యధిక ఇన్నింగ్స్ బై (610 / 6d) గూడా ఇవ్వకుండా మొత్తం']")</f>
        <v>[ '13 వ అత్యధిక ఇన్నింగ్స్ బై (610 / 6d) గూడా ఇవ్వకుండా మొత్తం']</v>
      </c>
      <c r="E4740" s="2" t="s">
        <v>3304</v>
      </c>
      <c r="F4740" s="2" t="str">
        <f>IFERROR(__xludf.DUMMYFUNCTION("IF(E4740&lt;&gt;"""", GOOGLETRANSLATE(E4740, ""en"", ""te""),"""")"),"[ '23 వ ఇన్నింగ్స్ లో అత్యధిక పరుగులు (బ్యాటింగ్ స్థానంలో ప్రకారం) (94 *)' 'వరుస (4) 21 వ అత్యంత స్టంపింగ్లు', 'తొమ్మిదవ వికెట్కు 48 వ అత్యధిక భాగస్వామ్యం (65 *)',]")</f>
        <v>[ '23 వ ఇన్నింగ్స్ లో అత్యధిక పరుగులు (బ్యాటింగ్ స్థానంలో ప్రకారం) (94 *)' 'వరుస (4) 21 వ అత్యంత స్టంపింగ్లు', 'తొమ్మిదవ వికెట్కు 48 వ అత్యధిక భాగస్వామ్యం (65 *)',]</v>
      </c>
      <c r="G4740" s="2"/>
      <c r="H4740" s="2" t="str">
        <f>IFERROR(__xludf.DUMMYFUNCTION("IF(G4740&lt;&gt;"""", GOOGLETRANSLATE(G4740, ""en"", ""te""),"""")"),"")</f>
        <v/>
      </c>
      <c r="I4740" s="3"/>
    </row>
    <row r="4741" customHeight="1" spans="1:9">
      <c r="A4741" s="2"/>
      <c r="B4741" s="2" t="str">
        <f>IFERROR(__xludf.DUMMYFUNCTION("IF(A4741&lt;&gt;"""", GOOGLETRANSLATE(A4741, ""en"", ""te""),"""")"),"")</f>
        <v/>
      </c>
      <c r="C4741" s="2"/>
      <c r="D4741" s="2" t="str">
        <f>IFERROR(__xludf.DUMMYFUNCTION("IF(C4741&lt;&gt;"""", GOOGLETRANSLATE(C4741, ""en"", ""te""),"""")"),"")</f>
        <v/>
      </c>
      <c r="E4741" s="2"/>
      <c r="F4741" s="2" t="str">
        <f>IFERROR(__xludf.DUMMYFUNCTION("IF(E4741&lt;&gt;"""", GOOGLETRANSLATE(E4741, ""en"", ""te""),"""")"),"")</f>
        <v/>
      </c>
      <c r="G4741" s="2"/>
      <c r="H4741" s="2" t="str">
        <f>IFERROR(__xludf.DUMMYFUNCTION("IF(G4741&lt;&gt;"""", GOOGLETRANSLATE(G4741, ""en"", ""te""),"""")"),"")</f>
        <v/>
      </c>
      <c r="I4741" s="3"/>
    </row>
    <row r="4742" customHeight="1" spans="1:9">
      <c r="A4742" s="2"/>
      <c r="B4742" s="2" t="str">
        <f>IFERROR(__xludf.DUMMYFUNCTION("IF(A4742&lt;&gt;"""", GOOGLETRANSLATE(A4742, ""en"", ""te""),"""")"),"")</f>
        <v/>
      </c>
      <c r="C4742" s="2"/>
      <c r="D4742" s="2" t="str">
        <f>IFERROR(__xludf.DUMMYFUNCTION("IF(C4742&lt;&gt;"""", GOOGLETRANSLATE(C4742, ""en"", ""te""),"""")"),"")</f>
        <v/>
      </c>
      <c r="E4742" s="2"/>
      <c r="F4742" s="2" t="str">
        <f>IFERROR(__xludf.DUMMYFUNCTION("IF(E4742&lt;&gt;"""", GOOGLETRANSLATE(E4742, ""en"", ""te""),"""")"),"")</f>
        <v/>
      </c>
      <c r="G4742" s="2"/>
      <c r="H4742" s="2" t="str">
        <f>IFERROR(__xludf.DUMMYFUNCTION("IF(G4742&lt;&gt;"""", GOOGLETRANSLATE(G4742, ""en"", ""te""),"""")"),"")</f>
        <v/>
      </c>
      <c r="I4742" s="3"/>
    </row>
    <row r="4743" customHeight="1" spans="1:9">
      <c r="A4743" s="2"/>
      <c r="B4743" s="2" t="str">
        <f>IFERROR(__xludf.DUMMYFUNCTION("IF(A4743&lt;&gt;"""", GOOGLETRANSLATE(A4743, ""en"", ""te""),"""")"),"")</f>
        <v/>
      </c>
      <c r="C4743" s="2"/>
      <c r="D4743" s="2" t="str">
        <f>IFERROR(__xludf.DUMMYFUNCTION("IF(C4743&lt;&gt;"""", GOOGLETRANSLATE(C4743, ""en"", ""te""),"""")"),"")</f>
        <v/>
      </c>
      <c r="E4743" s="2"/>
      <c r="F4743" s="2" t="str">
        <f>IFERROR(__xludf.DUMMYFUNCTION("IF(E4743&lt;&gt;"""", GOOGLETRANSLATE(E4743, ""en"", ""te""),"""")"),"")</f>
        <v/>
      </c>
      <c r="G4743" s="2"/>
      <c r="H4743" s="2" t="str">
        <f>IFERROR(__xludf.DUMMYFUNCTION("IF(G4743&lt;&gt;"""", GOOGLETRANSLATE(G4743, ""en"", ""te""),"""")"),"")</f>
        <v/>
      </c>
      <c r="I4743" s="3"/>
    </row>
    <row r="4744" customHeight="1" spans="1:9">
      <c r="A4744" s="2" t="s">
        <v>3305</v>
      </c>
      <c r="B4744" s="2" t="str">
        <f>IFERROR(__xludf.DUMMYFUNCTION("IF(A4744&lt;&gt;"""", GOOGLETRANSLATE(A4744, ""en"", ""te""),"""")"),"[ 'ఇన్నింగ్స్ లో 6 వ అత్యధిక పరుగులు (బ్యాటింగ్ స్థానంలో ప్రకారం) (85)', '4 వ అత్యధిక వరుస బాతులు (4)']")</f>
        <v>[ 'ఇన్నింగ్స్ లో 6 వ అత్యధిక పరుగులు (బ్యాటింగ్ స్థానంలో ప్రకారం) (85)', '4 వ అత్యధిక వరుస బాతులు (4)']</v>
      </c>
      <c r="C4744" s="2" t="s">
        <v>3306</v>
      </c>
      <c r="D4744" s="2" t="str">
        <f>IFERROR(__xludf.DUMMYFUNCTION("IF(C4744&lt;&gt;"""", GOOGLETRANSLATE(C4744, ""en"", ""te""),"""")"),"[ 'ఇన్నింగ్స్ లో 6 వ అత్యధిక పరుగులు (బ్యాటింగ్ స్థానంలో ప్రకారం) (85)', '4 వ అత్యధిక వరుస బాతులు (4)', 'ఐదు వికెట్ల లో-ఒక-ఇన్నింగ్స్ తీసుకోవాలని 33 వ పిన్న వయస్కుడిగా నిలిచాడు (19y 363d)']")</f>
        <v>[ 'ఇన్నింగ్స్ లో 6 వ అత్యధిక పరుగులు (బ్యాటింగ్ స్థానంలో ప్రకారం) (85)', '4 వ అత్యధిక వరుస బాతులు (4)', 'ఐదు వికెట్ల లో-ఒక-ఇన్నింగ్స్ తీసుకోవాలని 33 వ పిన్న వయస్కుడిగా నిలిచాడు (19y 363d)']</v>
      </c>
      <c r="E4744" s="2"/>
      <c r="F4744" s="2" t="str">
        <f>IFERROR(__xludf.DUMMYFUNCTION("IF(E4744&lt;&gt;"""", GOOGLETRANSLATE(E4744, ""en"", ""te""),"""")"),"")</f>
        <v/>
      </c>
      <c r="G4744" s="2"/>
      <c r="H4744" s="2" t="str">
        <f>IFERROR(__xludf.DUMMYFUNCTION("IF(G4744&lt;&gt;"""", GOOGLETRANSLATE(G4744, ""en"", ""te""),"""")"),"")</f>
        <v/>
      </c>
      <c r="I4744" s="3"/>
    </row>
    <row r="4745" customHeight="1" spans="1:9">
      <c r="A4745" s="2"/>
      <c r="B4745" s="2" t="str">
        <f>IFERROR(__xludf.DUMMYFUNCTION("IF(A4745&lt;&gt;"""", GOOGLETRANSLATE(A4745, ""en"", ""te""),"""")"),"")</f>
        <v/>
      </c>
      <c r="C4745" s="2"/>
      <c r="D4745" s="2" t="str">
        <f>IFERROR(__xludf.DUMMYFUNCTION("IF(C4745&lt;&gt;"""", GOOGLETRANSLATE(C4745, ""en"", ""te""),"""")"),"")</f>
        <v/>
      </c>
      <c r="E4745" s="2"/>
      <c r="F4745" s="2" t="str">
        <f>IFERROR(__xludf.DUMMYFUNCTION("IF(E4745&lt;&gt;"""", GOOGLETRANSLATE(E4745, ""en"", ""te""),"""")"),"")</f>
        <v/>
      </c>
      <c r="G4745" s="2"/>
      <c r="H4745" s="2" t="str">
        <f>IFERROR(__xludf.DUMMYFUNCTION("IF(G4745&lt;&gt;"""", GOOGLETRANSLATE(G4745, ""en"", ""te""),"""")"),"")</f>
        <v/>
      </c>
      <c r="I4745" s="3"/>
    </row>
    <row r="4746" customHeight="1" spans="1:9">
      <c r="A4746" s="2"/>
      <c r="B4746" s="2" t="str">
        <f>IFERROR(__xludf.DUMMYFUNCTION("IF(A4746&lt;&gt;"""", GOOGLETRANSLATE(A4746, ""en"", ""te""),"""")"),"")</f>
        <v/>
      </c>
      <c r="C4746" s="2"/>
      <c r="D4746" s="2" t="str">
        <f>IFERROR(__xludf.DUMMYFUNCTION("IF(C4746&lt;&gt;"""", GOOGLETRANSLATE(C4746, ""en"", ""te""),"""")"),"")</f>
        <v/>
      </c>
      <c r="E4746" s="2"/>
      <c r="F4746" s="2" t="str">
        <f>IFERROR(__xludf.DUMMYFUNCTION("IF(E4746&lt;&gt;"""", GOOGLETRANSLATE(E4746, ""en"", ""te""),"""")"),"")</f>
        <v/>
      </c>
      <c r="G4746" s="2"/>
      <c r="H4746" s="2" t="str">
        <f>IFERROR(__xludf.DUMMYFUNCTION("IF(G4746&lt;&gt;"""", GOOGLETRANSLATE(G4746, ""en"", ""te""),"""")"),"")</f>
        <v/>
      </c>
      <c r="I4746" s="3"/>
    </row>
    <row r="4747" customHeight="1" spans="1:9">
      <c r="A4747" s="2"/>
      <c r="B4747" s="2" t="str">
        <f>IFERROR(__xludf.DUMMYFUNCTION("IF(A4747&lt;&gt;"""", GOOGLETRANSLATE(A4747, ""en"", ""te""),"""")"),"")</f>
        <v/>
      </c>
      <c r="C4747" s="2"/>
      <c r="D4747" s="2" t="str">
        <f>IFERROR(__xludf.DUMMYFUNCTION("IF(C4747&lt;&gt;"""", GOOGLETRANSLATE(C4747, ""en"", ""te""),"""")"),"")</f>
        <v/>
      </c>
      <c r="E4747" s="2"/>
      <c r="F4747" s="2" t="str">
        <f>IFERROR(__xludf.DUMMYFUNCTION("IF(E4747&lt;&gt;"""", GOOGLETRANSLATE(E4747, ""en"", ""te""),"""")"),"")</f>
        <v/>
      </c>
      <c r="G4747" s="2"/>
      <c r="H4747" s="2" t="str">
        <f>IFERROR(__xludf.DUMMYFUNCTION("IF(G4747&lt;&gt;"""", GOOGLETRANSLATE(G4747, ""en"", ""te""),"""")"),"")</f>
        <v/>
      </c>
      <c r="I4747" s="3"/>
    </row>
    <row r="4748" customHeight="1" spans="1:9">
      <c r="A4748" s="2"/>
      <c r="B4748" s="2" t="str">
        <f>IFERROR(__xludf.DUMMYFUNCTION("IF(A4748&lt;&gt;"""", GOOGLETRANSLATE(A4748, ""en"", ""te""),"""")"),"")</f>
        <v/>
      </c>
      <c r="C4748" s="2"/>
      <c r="D4748" s="2" t="str">
        <f>IFERROR(__xludf.DUMMYFUNCTION("IF(C4748&lt;&gt;"""", GOOGLETRANSLATE(C4748, ""en"", ""te""),"""")"),"")</f>
        <v/>
      </c>
      <c r="E4748" s="2"/>
      <c r="F4748" s="2" t="str">
        <f>IFERROR(__xludf.DUMMYFUNCTION("IF(E4748&lt;&gt;"""", GOOGLETRANSLATE(E4748, ""en"", ""te""),"""")"),"")</f>
        <v/>
      </c>
      <c r="G4748" s="2"/>
      <c r="H4748" s="2" t="str">
        <f>IFERROR(__xludf.DUMMYFUNCTION("IF(G4748&lt;&gt;"""", GOOGLETRANSLATE(G4748, ""en"", ""te""),"""")"),"")</f>
        <v/>
      </c>
      <c r="I4748" s="3"/>
    </row>
    <row r="4749" customHeight="1" spans="1:9">
      <c r="A4749" s="2" t="s">
        <v>3307</v>
      </c>
      <c r="B4749" s="2" t="str">
        <f>IFERROR(__xludf.DUMMYFUNCTION("IF(A4749&lt;&gt;"""", GOOGLETRANSLATE(A4749, ""en"", ""te""),"""")"),"[ 'ఇన్నింగ్స్ లో 1 వ అత్యధిక క్యాచ్లు (3)' '4 వ అత్యుత్తమ ఇన్నింగ్స్ లో విశ్లేషణలు బౌలింగ్ (3/8)',]")</f>
        <v>[ 'ఇన్నింగ్స్ లో 1 వ అత్యధిక క్యాచ్లు (3)' '4 వ అత్యుత్తమ ఇన్నింగ్స్ లో విశ్లేషణలు బౌలింగ్ (3/8)',]</v>
      </c>
      <c r="C4749" s="2" t="s">
        <v>3308</v>
      </c>
      <c r="D4749" s="2" t="str">
        <f>IFERROR(__xludf.DUMMYFUNCTION("IF(C4749&lt;&gt;"""", GOOGLETRANSLATE(C4749, ""en"", ""te""),"""")"),"[ '22 వ పరాజయం వైపు ఒక మ్యాచ్లో అత్యధిక పరుగులు (85)', '4 వ అత్యుత్తమ బౌలింగ్ ఇన్నింగ్స్ లో విశ్లేషించడం (3/8)', '15 ఇన్నింగ్స్లో ఉత్తమ సంఖ్యలు ఉన్నప్పుడు పరాజయం వైపు (4)', ' ఒక మ్యాచ్లో 17 వ బెస్ట్ ఫిగర్స్ పరాజయం వైపు (5) ',' 38 వ ఉత్తమ కెరీర్లో ఒక ఇన"&amp;"్నింగ్స్ లో బౌలింగ్ సరాసరి (అర్హత లేకుండా) (13.60) ',' 1 వ అత్యధిక క్యాచ్లు ఉన్నప్పుడు ఒక మ్యాచ్లో (3) ',' 2 వ అత్యధిక క్యాచ్లు (4) ',' 12 వ ఒక సిరీస్లో అత్యధిక క్యాచ్లు (6) ',' ఏడవ వికెట్కు 21 అత్యధిక భాగస్వామ్యం (72 *) ']")</f>
        <v>[ '22 వ పరాజయం వైపు ఒక మ్యాచ్లో అత్యధిక పరుగులు (85)', '4 వ అత్యుత్తమ బౌలింగ్ ఇన్నింగ్స్ లో విశ్లేషించడం (3/8)', '15 ఇన్నింగ్స్లో ఉత్తమ సంఖ్యలు ఉన్నప్పుడు పరాజయం వైపు (4)', ' ఒక మ్యాచ్లో 17 వ బెస్ట్ ఫిగర్స్ పరాజయం వైపు (5) ',' 38 వ ఉత్తమ కెరీర్లో ఒక ఇన్నింగ్స్ లో బౌలింగ్ సరాసరి (అర్హత లేకుండా) (13.60) ',' 1 వ అత్యధిక క్యాచ్లు ఉన్నప్పుడు ఒక మ్యాచ్లో (3) ',' 2 వ అత్యధిక క్యాచ్లు (4) ',' 12 వ ఒక సిరీస్లో అత్యధిక క్యాచ్లు (6) ',' ఏడవ వికెట్కు 21 అత్యధిక భాగస్వామ్యం (72 *) ']</v>
      </c>
      <c r="E4749" s="2"/>
      <c r="F4749" s="2" t="str">
        <f>IFERROR(__xludf.DUMMYFUNCTION("IF(E4749&lt;&gt;"""", GOOGLETRANSLATE(E4749, ""en"", ""te""),"""")"),"")</f>
        <v/>
      </c>
      <c r="G4749" s="2"/>
      <c r="H4749" s="2" t="str">
        <f>IFERROR(__xludf.DUMMYFUNCTION("IF(G4749&lt;&gt;"""", GOOGLETRANSLATE(G4749, ""en"", ""te""),"""")"),"")</f>
        <v/>
      </c>
      <c r="I4749" s="3"/>
    </row>
    <row r="4750" customHeight="1" spans="1:9">
      <c r="A4750" s="2"/>
      <c r="B4750" s="2" t="str">
        <f>IFERROR(__xludf.DUMMYFUNCTION("IF(A4750&lt;&gt;"""", GOOGLETRANSLATE(A4750, ""en"", ""te""),"""")"),"")</f>
        <v/>
      </c>
      <c r="C4750" s="2" t="s">
        <v>3309</v>
      </c>
      <c r="D4750" s="2" t="str">
        <f>IFERROR(__xludf.DUMMYFUNCTION("IF(C4750&lt;&gt;"""", GOOGLETRANSLATE(C4750, ""en"", ""te""),"""")"),"[ '47 వ పురాతన దేశం ఆటగాళ్ళు (86y 172d)']")</f>
        <v>[ '47 వ పురాతన దేశం ఆటగాళ్ళు (86y 172d)']</v>
      </c>
      <c r="E4750" s="2"/>
      <c r="F4750" s="2" t="str">
        <f>IFERROR(__xludf.DUMMYFUNCTION("IF(E4750&lt;&gt;"""", GOOGLETRANSLATE(E4750, ""en"", ""te""),"""")"),"")</f>
        <v/>
      </c>
      <c r="G4750" s="2"/>
      <c r="H4750" s="2" t="str">
        <f>IFERROR(__xludf.DUMMYFUNCTION("IF(G4750&lt;&gt;"""", GOOGLETRANSLATE(G4750, ""en"", ""te""),"""")"),"")</f>
        <v/>
      </c>
      <c r="I4750" s="3"/>
    </row>
    <row r="4751" customHeight="1" spans="1:9">
      <c r="A4751" s="2"/>
      <c r="B4751" s="2" t="str">
        <f>IFERROR(__xludf.DUMMYFUNCTION("IF(A4751&lt;&gt;"""", GOOGLETRANSLATE(A4751, ""en"", ""te""),"""")"),"")</f>
        <v/>
      </c>
      <c r="C4751" s="2"/>
      <c r="D4751" s="2" t="str">
        <f>IFERROR(__xludf.DUMMYFUNCTION("IF(C4751&lt;&gt;"""", GOOGLETRANSLATE(C4751, ""en"", ""te""),"""")"),"")</f>
        <v/>
      </c>
      <c r="E4751" s="2"/>
      <c r="F4751" s="2" t="str">
        <f>IFERROR(__xludf.DUMMYFUNCTION("IF(E4751&lt;&gt;"""", GOOGLETRANSLATE(E4751, ""en"", ""te""),"""")"),"")</f>
        <v/>
      </c>
      <c r="G4751" s="2"/>
      <c r="H4751" s="2" t="str">
        <f>IFERROR(__xludf.DUMMYFUNCTION("IF(G4751&lt;&gt;"""", GOOGLETRANSLATE(G4751, ""en"", ""te""),"""")"),"")</f>
        <v/>
      </c>
      <c r="I4751" s="3"/>
    </row>
    <row r="4752" customHeight="1" spans="1:9">
      <c r="A4752" s="2"/>
      <c r="B4752" s="2" t="str">
        <f>IFERROR(__xludf.DUMMYFUNCTION("IF(A4752&lt;&gt;"""", GOOGLETRANSLATE(A4752, ""en"", ""te""),"""")"),"")</f>
        <v/>
      </c>
      <c r="C4752" s="2"/>
      <c r="D4752" s="2" t="str">
        <f>IFERROR(__xludf.DUMMYFUNCTION("IF(C4752&lt;&gt;"""", GOOGLETRANSLATE(C4752, ""en"", ""te""),"""")"),"")</f>
        <v/>
      </c>
      <c r="E4752" s="2"/>
      <c r="F4752" s="2" t="str">
        <f>IFERROR(__xludf.DUMMYFUNCTION("IF(E4752&lt;&gt;"""", GOOGLETRANSLATE(E4752, ""en"", ""te""),"""")"),"")</f>
        <v/>
      </c>
      <c r="G4752" s="2"/>
      <c r="H4752" s="2" t="str">
        <f>IFERROR(__xludf.DUMMYFUNCTION("IF(G4752&lt;&gt;"""", GOOGLETRANSLATE(G4752, ""en"", ""te""),"""")"),"")</f>
        <v/>
      </c>
      <c r="I4752" s="3"/>
    </row>
    <row r="4753" customHeight="1" spans="1:9">
      <c r="A4753" s="2"/>
      <c r="B4753" s="2" t="str">
        <f>IFERROR(__xludf.DUMMYFUNCTION("IF(A4753&lt;&gt;"""", GOOGLETRANSLATE(A4753, ""en"", ""te""),"""")"),"")</f>
        <v/>
      </c>
      <c r="C4753" s="2"/>
      <c r="D4753" s="2" t="str">
        <f>IFERROR(__xludf.DUMMYFUNCTION("IF(C4753&lt;&gt;"""", GOOGLETRANSLATE(C4753, ""en"", ""te""),"""")"),"")</f>
        <v/>
      </c>
      <c r="E4753" s="2"/>
      <c r="F4753" s="2" t="str">
        <f>IFERROR(__xludf.DUMMYFUNCTION("IF(E4753&lt;&gt;"""", GOOGLETRANSLATE(E4753, ""en"", ""te""),"""")"),"")</f>
        <v/>
      </c>
      <c r="G4753" s="2"/>
      <c r="H4753" s="2" t="str">
        <f>IFERROR(__xludf.DUMMYFUNCTION("IF(G4753&lt;&gt;"""", GOOGLETRANSLATE(G4753, ""en"", ""te""),"""")"),"")</f>
        <v/>
      </c>
      <c r="I4753" s="3"/>
    </row>
    <row r="4754" customHeight="1" spans="1:9">
      <c r="A4754" s="2"/>
      <c r="B4754" s="2" t="str">
        <f>IFERROR(__xludf.DUMMYFUNCTION("IF(A4754&lt;&gt;"""", GOOGLETRANSLATE(A4754, ""en"", ""te""),"""")"),"")</f>
        <v/>
      </c>
      <c r="C4754" s="2"/>
      <c r="D4754" s="2" t="str">
        <f>IFERROR(__xludf.DUMMYFUNCTION("IF(C4754&lt;&gt;"""", GOOGLETRANSLATE(C4754, ""en"", ""te""),"""")"),"")</f>
        <v/>
      </c>
      <c r="E4754" s="2"/>
      <c r="F4754" s="2" t="str">
        <f>IFERROR(__xludf.DUMMYFUNCTION("IF(E4754&lt;&gt;"""", GOOGLETRANSLATE(E4754, ""en"", ""te""),"""")"),"")</f>
        <v/>
      </c>
      <c r="G4754" s="2"/>
      <c r="H4754" s="2" t="str">
        <f>IFERROR(__xludf.DUMMYFUNCTION("IF(G4754&lt;&gt;"""", GOOGLETRANSLATE(G4754, ""en"", ""te""),"""")"),"")</f>
        <v/>
      </c>
      <c r="I4754" s="3"/>
    </row>
    <row r="4755" customHeight="1" spans="1:9">
      <c r="A4755" s="2"/>
      <c r="B4755" s="2" t="str">
        <f>IFERROR(__xludf.DUMMYFUNCTION("IF(A4755&lt;&gt;"""", GOOGLETRANSLATE(A4755, ""en"", ""te""),"""")"),"")</f>
        <v/>
      </c>
      <c r="C4755" s="2"/>
      <c r="D4755" s="2" t="str">
        <f>IFERROR(__xludf.DUMMYFUNCTION("IF(C4755&lt;&gt;"""", GOOGLETRANSLATE(C4755, ""en"", ""te""),"""")"),"")</f>
        <v/>
      </c>
      <c r="E4755" s="2"/>
      <c r="F4755" s="2" t="str">
        <f>IFERROR(__xludf.DUMMYFUNCTION("IF(E4755&lt;&gt;"""", GOOGLETRANSLATE(E4755, ""en"", ""te""),"""")"),"")</f>
        <v/>
      </c>
      <c r="G4755" s="2"/>
      <c r="H4755" s="2" t="str">
        <f>IFERROR(__xludf.DUMMYFUNCTION("IF(G4755&lt;&gt;"""", GOOGLETRANSLATE(G4755, ""en"", ""te""),"""")"),"")</f>
        <v/>
      </c>
      <c r="I4755" s="3"/>
    </row>
    <row r="4756" customHeight="1" spans="1:9">
      <c r="A4756" s="2"/>
      <c r="B4756" s="2" t="str">
        <f>IFERROR(__xludf.DUMMYFUNCTION("IF(A4756&lt;&gt;"""", GOOGLETRANSLATE(A4756, ""en"", ""te""),"""")"),"")</f>
        <v/>
      </c>
      <c r="C4756" s="2"/>
      <c r="D4756" s="2" t="str">
        <f>IFERROR(__xludf.DUMMYFUNCTION("IF(C4756&lt;&gt;"""", GOOGLETRANSLATE(C4756, ""en"", ""te""),"""")"),"")</f>
        <v/>
      </c>
      <c r="E4756" s="2"/>
      <c r="F4756" s="2" t="str">
        <f>IFERROR(__xludf.DUMMYFUNCTION("IF(E4756&lt;&gt;"""", GOOGLETRANSLATE(E4756, ""en"", ""te""),"""")"),"")</f>
        <v/>
      </c>
      <c r="G4756" s="2"/>
      <c r="H4756" s="2" t="str">
        <f>IFERROR(__xludf.DUMMYFUNCTION("IF(G4756&lt;&gt;"""", GOOGLETRANSLATE(G4756, ""en"", ""te""),"""")"),"")</f>
        <v/>
      </c>
      <c r="I4756" s="3"/>
    </row>
    <row r="4757" customHeight="1" spans="1:9">
      <c r="A4757" s="2"/>
      <c r="B4757" s="2" t="str">
        <f>IFERROR(__xludf.DUMMYFUNCTION("IF(A4757&lt;&gt;"""", GOOGLETRANSLATE(A4757, ""en"", ""te""),"""")"),"")</f>
        <v/>
      </c>
      <c r="C4757" s="2"/>
      <c r="D4757" s="2" t="str">
        <f>IFERROR(__xludf.DUMMYFUNCTION("IF(C4757&lt;&gt;"""", GOOGLETRANSLATE(C4757, ""en"", ""te""),"""")"),"")</f>
        <v/>
      </c>
      <c r="E4757" s="2"/>
      <c r="F4757" s="2" t="str">
        <f>IFERROR(__xludf.DUMMYFUNCTION("IF(E4757&lt;&gt;"""", GOOGLETRANSLATE(E4757, ""en"", ""te""),"""")"),"")</f>
        <v/>
      </c>
      <c r="G4757" s="2"/>
      <c r="H4757" s="2" t="str">
        <f>IFERROR(__xludf.DUMMYFUNCTION("IF(G4757&lt;&gt;"""", GOOGLETRANSLATE(G4757, ""en"", ""te""),"""")"),"")</f>
        <v/>
      </c>
      <c r="I4757" s="3"/>
    </row>
    <row r="4758" customHeight="1" spans="1:9">
      <c r="A4758" s="2"/>
      <c r="B4758" s="2" t="str">
        <f>IFERROR(__xludf.DUMMYFUNCTION("IF(A4758&lt;&gt;"""", GOOGLETRANSLATE(A4758, ""en"", ""te""),"""")"),"")</f>
        <v/>
      </c>
      <c r="C4758" s="2"/>
      <c r="D4758" s="2" t="str">
        <f>IFERROR(__xludf.DUMMYFUNCTION("IF(C4758&lt;&gt;"""", GOOGLETRANSLATE(C4758, ""en"", ""te""),"""")"),"")</f>
        <v/>
      </c>
      <c r="E4758" s="2"/>
      <c r="F4758" s="2" t="str">
        <f>IFERROR(__xludf.DUMMYFUNCTION("IF(E4758&lt;&gt;"""", GOOGLETRANSLATE(E4758, ""en"", ""te""),"""")"),"")</f>
        <v/>
      </c>
      <c r="G4758" s="2"/>
      <c r="H4758" s="2" t="str">
        <f>IFERROR(__xludf.DUMMYFUNCTION("IF(G4758&lt;&gt;"""", GOOGLETRANSLATE(G4758, ""en"", ""te""),"""")"),"")</f>
        <v/>
      </c>
      <c r="I4758" s="3"/>
    </row>
    <row r="4759" customHeight="1" spans="1:9">
      <c r="A4759" s="2"/>
      <c r="B4759" s="2" t="str">
        <f>IFERROR(__xludf.DUMMYFUNCTION("IF(A4759&lt;&gt;"""", GOOGLETRANSLATE(A4759, ""en"", ""te""),"""")"),"")</f>
        <v/>
      </c>
      <c r="C4759" s="2"/>
      <c r="D4759" s="2" t="str">
        <f>IFERROR(__xludf.DUMMYFUNCTION("IF(C4759&lt;&gt;"""", GOOGLETRANSLATE(C4759, ""en"", ""te""),"""")"),"")</f>
        <v/>
      </c>
      <c r="E4759" s="2"/>
      <c r="F4759" s="2" t="str">
        <f>IFERROR(__xludf.DUMMYFUNCTION("IF(E4759&lt;&gt;"""", GOOGLETRANSLATE(E4759, ""en"", ""te""),"""")"),"")</f>
        <v/>
      </c>
      <c r="G4759" s="2"/>
      <c r="H4759" s="2" t="str">
        <f>IFERROR(__xludf.DUMMYFUNCTION("IF(G4759&lt;&gt;"""", GOOGLETRANSLATE(G4759, ""en"", ""te""),"""")"),"")</f>
        <v/>
      </c>
      <c r="I4759" s="3"/>
    </row>
    <row r="4760" customHeight="1" spans="1:9">
      <c r="A4760" s="2"/>
      <c r="B4760" s="2" t="str">
        <f>IFERROR(__xludf.DUMMYFUNCTION("IF(A4760&lt;&gt;"""", GOOGLETRANSLATE(A4760, ""en"", ""te""),"""")"),"")</f>
        <v/>
      </c>
      <c r="C4760" s="2" t="s">
        <v>3310</v>
      </c>
      <c r="D4760" s="2" t="str">
        <f>IFERROR(__xludf.DUMMYFUNCTION("IF(C4760&lt;&gt;"""", GOOGLETRANSLATE(C4760, ""en"", ""te""),"""")"),"[ 'తొలి ఇన్నింగ్స్లో 22 బెస్ట్ ఫిగర్స్ (6)', '33 వ అరంగేట్రంలోనే మ్యాచ్లో బెస్ట్ ఫిగర్స్ (8)', '21 వ అత్యధిక వికెట్లు తీసుకున్న స్టంప్ (11) ']")</f>
        <v>[ 'తొలి ఇన్నింగ్స్లో 22 బెస్ట్ ఫిగర్స్ (6)', '33 వ అరంగేట్రంలోనే మ్యాచ్లో బెస్ట్ ఫిగర్స్ (8)', '21 వ అత్యధిక వికెట్లు తీసుకున్న స్టంప్ (11) ']</v>
      </c>
      <c r="E4760" s="2"/>
      <c r="F4760" s="2" t="str">
        <f>IFERROR(__xludf.DUMMYFUNCTION("IF(E4760&lt;&gt;"""", GOOGLETRANSLATE(E4760, ""en"", ""te""),"""")"),"")</f>
        <v/>
      </c>
      <c r="G4760" s="2"/>
      <c r="H4760" s="2" t="str">
        <f>IFERROR(__xludf.DUMMYFUNCTION("IF(G4760&lt;&gt;"""", GOOGLETRANSLATE(G4760, ""en"", ""te""),"""")"),"")</f>
        <v/>
      </c>
      <c r="I4760" s="3"/>
    </row>
    <row r="4761" customHeight="1" spans="1:9">
      <c r="A4761" s="2"/>
      <c r="B4761" s="2" t="str">
        <f>IFERROR(__xludf.DUMMYFUNCTION("IF(A4761&lt;&gt;"""", GOOGLETRANSLATE(A4761, ""en"", ""te""),"""")"),"")</f>
        <v/>
      </c>
      <c r="C4761" s="2"/>
      <c r="D4761" s="2" t="str">
        <f>IFERROR(__xludf.DUMMYFUNCTION("IF(C4761&lt;&gt;"""", GOOGLETRANSLATE(C4761, ""en"", ""te""),"""")"),"")</f>
        <v/>
      </c>
      <c r="E4761" s="2"/>
      <c r="F4761" s="2" t="str">
        <f>IFERROR(__xludf.DUMMYFUNCTION("IF(E4761&lt;&gt;"""", GOOGLETRANSLATE(E4761, ""en"", ""te""),"""")"),"")</f>
        <v/>
      </c>
      <c r="G4761" s="2"/>
      <c r="H4761" s="2" t="str">
        <f>IFERROR(__xludf.DUMMYFUNCTION("IF(G4761&lt;&gt;"""", GOOGLETRANSLATE(G4761, ""en"", ""te""),"""")"),"")</f>
        <v/>
      </c>
      <c r="I4761" s="3"/>
    </row>
    <row r="4762" customHeight="1" spans="1:9">
      <c r="A4762" s="2"/>
      <c r="B4762" s="2" t="str">
        <f>IFERROR(__xludf.DUMMYFUNCTION("IF(A4762&lt;&gt;"""", GOOGLETRANSLATE(A4762, ""en"", ""te""),"""")"),"")</f>
        <v/>
      </c>
      <c r="C4762" s="2"/>
      <c r="D4762" s="2" t="str">
        <f>IFERROR(__xludf.DUMMYFUNCTION("IF(C4762&lt;&gt;"""", GOOGLETRANSLATE(C4762, ""en"", ""te""),"""")"),"")</f>
        <v/>
      </c>
      <c r="E4762" s="2"/>
      <c r="F4762" s="2" t="str">
        <f>IFERROR(__xludf.DUMMYFUNCTION("IF(E4762&lt;&gt;"""", GOOGLETRANSLATE(E4762, ""en"", ""te""),"""")"),"")</f>
        <v/>
      </c>
      <c r="G4762" s="2"/>
      <c r="H4762" s="2" t="str">
        <f>IFERROR(__xludf.DUMMYFUNCTION("IF(G4762&lt;&gt;"""", GOOGLETRANSLATE(G4762, ""en"", ""te""),"""")"),"")</f>
        <v/>
      </c>
      <c r="I4762" s="3"/>
    </row>
    <row r="4763" customHeight="1" spans="1:9">
      <c r="A4763" s="2"/>
      <c r="B4763" s="2" t="str">
        <f>IFERROR(__xludf.DUMMYFUNCTION("IF(A4763&lt;&gt;"""", GOOGLETRANSLATE(A4763, ""en"", ""te""),"""")"),"")</f>
        <v/>
      </c>
      <c r="C4763" s="2"/>
      <c r="D4763" s="2" t="str">
        <f>IFERROR(__xludf.DUMMYFUNCTION("IF(C4763&lt;&gt;"""", GOOGLETRANSLATE(C4763, ""en"", ""te""),"""")"),"")</f>
        <v/>
      </c>
      <c r="E4763" s="2"/>
      <c r="F4763" s="2" t="str">
        <f>IFERROR(__xludf.DUMMYFUNCTION("IF(E4763&lt;&gt;"""", GOOGLETRANSLATE(E4763, ""en"", ""te""),"""")"),"")</f>
        <v/>
      </c>
      <c r="G4763" s="2"/>
      <c r="H4763" s="2" t="str">
        <f>IFERROR(__xludf.DUMMYFUNCTION("IF(G4763&lt;&gt;"""", GOOGLETRANSLATE(G4763, ""en"", ""te""),"""")"),"")</f>
        <v/>
      </c>
      <c r="I4763" s="3"/>
    </row>
    <row r="4764" customHeight="1" spans="1:9">
      <c r="A4764" s="2"/>
      <c r="B4764" s="2" t="str">
        <f>IFERROR(__xludf.DUMMYFUNCTION("IF(A4764&lt;&gt;"""", GOOGLETRANSLATE(A4764, ""en"", ""te""),"""")"),"")</f>
        <v/>
      </c>
      <c r="C4764" s="2"/>
      <c r="D4764" s="2" t="str">
        <f>IFERROR(__xludf.DUMMYFUNCTION("IF(C4764&lt;&gt;"""", GOOGLETRANSLATE(C4764, ""en"", ""te""),"""")"),"")</f>
        <v/>
      </c>
      <c r="E4764" s="2"/>
      <c r="F4764" s="2" t="str">
        <f>IFERROR(__xludf.DUMMYFUNCTION("IF(E4764&lt;&gt;"""", GOOGLETRANSLATE(E4764, ""en"", ""te""),"""")"),"")</f>
        <v/>
      </c>
      <c r="G4764" s="2"/>
      <c r="H4764" s="2" t="str">
        <f>IFERROR(__xludf.DUMMYFUNCTION("IF(G4764&lt;&gt;"""", GOOGLETRANSLATE(G4764, ""en"", ""te""),"""")"),"")</f>
        <v/>
      </c>
      <c r="I4764" s="3"/>
    </row>
    <row r="4765" customHeight="1" spans="1:9">
      <c r="A4765" s="2"/>
      <c r="B4765" s="2" t="str">
        <f>IFERROR(__xludf.DUMMYFUNCTION("IF(A4765&lt;&gt;"""", GOOGLETRANSLATE(A4765, ""en"", ""te""),"""")"),"")</f>
        <v/>
      </c>
      <c r="C4765" s="2"/>
      <c r="D4765" s="2" t="str">
        <f>IFERROR(__xludf.DUMMYFUNCTION("IF(C4765&lt;&gt;"""", GOOGLETRANSLATE(C4765, ""en"", ""te""),"""")"),"")</f>
        <v/>
      </c>
      <c r="E4765" s="2"/>
      <c r="F4765" s="2" t="str">
        <f>IFERROR(__xludf.DUMMYFUNCTION("IF(E4765&lt;&gt;"""", GOOGLETRANSLATE(E4765, ""en"", ""te""),"""")"),"")</f>
        <v/>
      </c>
      <c r="G4765" s="2"/>
      <c r="H4765" s="2" t="str">
        <f>IFERROR(__xludf.DUMMYFUNCTION("IF(G4765&lt;&gt;"""", GOOGLETRANSLATE(G4765, ""en"", ""te""),"""")"),"")</f>
        <v/>
      </c>
      <c r="I4765" s="3"/>
    </row>
    <row r="4766" customHeight="1" spans="1:9">
      <c r="A4766" s="2"/>
      <c r="B4766" s="2" t="str">
        <f>IFERROR(__xludf.DUMMYFUNCTION("IF(A4766&lt;&gt;"""", GOOGLETRANSLATE(A4766, ""en"", ""te""),"""")"),"")</f>
        <v/>
      </c>
      <c r="C4766" s="2"/>
      <c r="D4766" s="2" t="str">
        <f>IFERROR(__xludf.DUMMYFUNCTION("IF(C4766&lt;&gt;"""", GOOGLETRANSLATE(C4766, ""en"", ""te""),"""")"),"")</f>
        <v/>
      </c>
      <c r="E4766" s="2"/>
      <c r="F4766" s="2" t="str">
        <f>IFERROR(__xludf.DUMMYFUNCTION("IF(E4766&lt;&gt;"""", GOOGLETRANSLATE(E4766, ""en"", ""te""),"""")"),"")</f>
        <v/>
      </c>
      <c r="G4766" s="2"/>
      <c r="H4766" s="2" t="str">
        <f>IFERROR(__xludf.DUMMYFUNCTION("IF(G4766&lt;&gt;"""", GOOGLETRANSLATE(G4766, ""en"", ""te""),"""")"),"")</f>
        <v/>
      </c>
      <c r="I4766" s="3"/>
    </row>
    <row r="4767" customHeight="1" spans="1:9">
      <c r="A4767" s="2"/>
      <c r="B4767" s="2" t="str">
        <f>IFERROR(__xludf.DUMMYFUNCTION("IF(A4767&lt;&gt;"""", GOOGLETRANSLATE(A4767, ""en"", ""te""),"""")"),"")</f>
        <v/>
      </c>
      <c r="C4767" s="2"/>
      <c r="D4767" s="2" t="str">
        <f>IFERROR(__xludf.DUMMYFUNCTION("IF(C4767&lt;&gt;"""", GOOGLETRANSLATE(C4767, ""en"", ""te""),"""")"),"")</f>
        <v/>
      </c>
      <c r="E4767" s="2"/>
      <c r="F4767" s="2" t="str">
        <f>IFERROR(__xludf.DUMMYFUNCTION("IF(E4767&lt;&gt;"""", GOOGLETRANSLATE(E4767, ""en"", ""te""),"""")"),"")</f>
        <v/>
      </c>
      <c r="G4767" s="2"/>
      <c r="H4767" s="2" t="str">
        <f>IFERROR(__xludf.DUMMYFUNCTION("IF(G4767&lt;&gt;"""", GOOGLETRANSLATE(G4767, ""en"", ""te""),"""")"),"")</f>
        <v/>
      </c>
      <c r="I4767" s="3"/>
    </row>
    <row r="4768" customHeight="1" spans="1:9">
      <c r="A4768" s="2"/>
      <c r="B4768" s="2" t="str">
        <f>IFERROR(__xludf.DUMMYFUNCTION("IF(A4768&lt;&gt;"""", GOOGLETRANSLATE(A4768, ""en"", ""te""),"""")"),"")</f>
        <v/>
      </c>
      <c r="C4768" s="2"/>
      <c r="D4768" s="2" t="str">
        <f>IFERROR(__xludf.DUMMYFUNCTION("IF(C4768&lt;&gt;"""", GOOGLETRANSLATE(C4768, ""en"", ""te""),"""")"),"")</f>
        <v/>
      </c>
      <c r="E4768" s="2"/>
      <c r="F4768" s="2" t="str">
        <f>IFERROR(__xludf.DUMMYFUNCTION("IF(E4768&lt;&gt;"""", GOOGLETRANSLATE(E4768, ""en"", ""te""),"""")"),"")</f>
        <v/>
      </c>
      <c r="G4768" s="2"/>
      <c r="H4768" s="2" t="str">
        <f>IFERROR(__xludf.DUMMYFUNCTION("IF(G4768&lt;&gt;"""", GOOGLETRANSLATE(G4768, ""en"", ""te""),"""")"),"")</f>
        <v/>
      </c>
      <c r="I4768" s="3"/>
    </row>
    <row r="4769" customHeight="1" spans="1:9">
      <c r="A4769" s="2"/>
      <c r="B4769" s="2" t="str">
        <f>IFERROR(__xludf.DUMMYFUNCTION("IF(A4769&lt;&gt;"""", GOOGLETRANSLATE(A4769, ""en"", ""te""),"""")"),"")</f>
        <v/>
      </c>
      <c r="C4769" s="2"/>
      <c r="D4769" s="2" t="str">
        <f>IFERROR(__xludf.DUMMYFUNCTION("IF(C4769&lt;&gt;"""", GOOGLETRANSLATE(C4769, ""en"", ""te""),"""")"),"")</f>
        <v/>
      </c>
      <c r="E4769" s="2"/>
      <c r="F4769" s="2" t="str">
        <f>IFERROR(__xludf.DUMMYFUNCTION("IF(E4769&lt;&gt;"""", GOOGLETRANSLATE(E4769, ""en"", ""te""),"""")"),"")</f>
        <v/>
      </c>
      <c r="G4769" s="2"/>
      <c r="H4769" s="2" t="str">
        <f>IFERROR(__xludf.DUMMYFUNCTION("IF(G4769&lt;&gt;"""", GOOGLETRANSLATE(G4769, ""en"", ""te""),"""")"),"")</f>
        <v/>
      </c>
      <c r="I4769" s="3"/>
    </row>
    <row r="4770" customHeight="1" spans="1:9">
      <c r="A4770" s="2"/>
      <c r="B4770" s="2" t="str">
        <f>IFERROR(__xludf.DUMMYFUNCTION("IF(A4770&lt;&gt;"""", GOOGLETRANSLATE(A4770, ""en"", ""te""),"""")"),"")</f>
        <v/>
      </c>
      <c r="C4770" s="2"/>
      <c r="D4770" s="2" t="str">
        <f>IFERROR(__xludf.DUMMYFUNCTION("IF(C4770&lt;&gt;"""", GOOGLETRANSLATE(C4770, ""en"", ""te""),"""")"),"")</f>
        <v/>
      </c>
      <c r="E4770" s="2"/>
      <c r="F4770" s="2" t="str">
        <f>IFERROR(__xludf.DUMMYFUNCTION("IF(E4770&lt;&gt;"""", GOOGLETRANSLATE(E4770, ""en"", ""te""),"""")"),"")</f>
        <v/>
      </c>
      <c r="G4770" s="2"/>
      <c r="H4770" s="2" t="str">
        <f>IFERROR(__xludf.DUMMYFUNCTION("IF(G4770&lt;&gt;"""", GOOGLETRANSLATE(G4770, ""en"", ""te""),"""")"),"")</f>
        <v/>
      </c>
      <c r="I4770" s="3"/>
    </row>
    <row r="4771" customHeight="1" spans="1:9">
      <c r="A4771" s="2"/>
      <c r="B4771" s="2" t="str">
        <f>IFERROR(__xludf.DUMMYFUNCTION("IF(A4771&lt;&gt;"""", GOOGLETRANSLATE(A4771, ""en"", ""te""),"""")"),"")</f>
        <v/>
      </c>
      <c r="C4771" s="2"/>
      <c r="D4771" s="2" t="str">
        <f>IFERROR(__xludf.DUMMYFUNCTION("IF(C4771&lt;&gt;"""", GOOGLETRANSLATE(C4771, ""en"", ""te""),"""")"),"")</f>
        <v/>
      </c>
      <c r="E4771" s="2"/>
      <c r="F4771" s="2" t="str">
        <f>IFERROR(__xludf.DUMMYFUNCTION("IF(E4771&lt;&gt;"""", GOOGLETRANSLATE(E4771, ""en"", ""te""),"""")"),"")</f>
        <v/>
      </c>
      <c r="G4771" s="2"/>
      <c r="H4771" s="2" t="str">
        <f>IFERROR(__xludf.DUMMYFUNCTION("IF(G4771&lt;&gt;"""", GOOGLETRANSLATE(G4771, ""en"", ""te""),"""")"),"")</f>
        <v/>
      </c>
      <c r="I4771" s="3"/>
    </row>
    <row r="4772" customHeight="1" spans="1:9">
      <c r="A4772" s="2"/>
      <c r="B4772" s="2" t="str">
        <f>IFERROR(__xludf.DUMMYFUNCTION("IF(A4772&lt;&gt;"""", GOOGLETRANSLATE(A4772, ""en"", ""te""),"""")"),"")</f>
        <v/>
      </c>
      <c r="C4772" s="2"/>
      <c r="D4772" s="2" t="str">
        <f>IFERROR(__xludf.DUMMYFUNCTION("IF(C4772&lt;&gt;"""", GOOGLETRANSLATE(C4772, ""en"", ""te""),"""")"),"")</f>
        <v/>
      </c>
      <c r="E4772" s="2"/>
      <c r="F4772" s="2" t="str">
        <f>IFERROR(__xludf.DUMMYFUNCTION("IF(E4772&lt;&gt;"""", GOOGLETRANSLATE(E4772, ""en"", ""te""),"""")"),"")</f>
        <v/>
      </c>
      <c r="G4772" s="2"/>
      <c r="H4772" s="2" t="str">
        <f>IFERROR(__xludf.DUMMYFUNCTION("IF(G4772&lt;&gt;"""", GOOGLETRANSLATE(G4772, ""en"", ""te""),"""")"),"")</f>
        <v/>
      </c>
      <c r="I4772" s="3"/>
    </row>
    <row r="4773" customHeight="1" spans="1:9">
      <c r="A4773" s="2"/>
      <c r="B4773" s="2" t="str">
        <f>IFERROR(__xludf.DUMMYFUNCTION("IF(A4773&lt;&gt;"""", GOOGLETRANSLATE(A4773, ""en"", ""te""),"""")"),"")</f>
        <v/>
      </c>
      <c r="C4773" s="2"/>
      <c r="D4773" s="2" t="str">
        <f>IFERROR(__xludf.DUMMYFUNCTION("IF(C4773&lt;&gt;"""", GOOGLETRANSLATE(C4773, ""en"", ""te""),"""")"),"")</f>
        <v/>
      </c>
      <c r="E4773" s="2"/>
      <c r="F4773" s="2" t="str">
        <f>IFERROR(__xludf.DUMMYFUNCTION("IF(E4773&lt;&gt;"""", GOOGLETRANSLATE(E4773, ""en"", ""te""),"""")"),"")</f>
        <v/>
      </c>
      <c r="G4773" s="2"/>
      <c r="H4773" s="2" t="str">
        <f>IFERROR(__xludf.DUMMYFUNCTION("IF(G4773&lt;&gt;"""", GOOGLETRANSLATE(G4773, ""en"", ""te""),"""")"),"")</f>
        <v/>
      </c>
      <c r="I4773" s="3"/>
    </row>
    <row r="4774" customHeight="1" spans="1:9">
      <c r="A4774" s="2"/>
      <c r="B4774" s="2" t="str">
        <f>IFERROR(__xludf.DUMMYFUNCTION("IF(A4774&lt;&gt;"""", GOOGLETRANSLATE(A4774, ""en"", ""te""),"""")"),"")</f>
        <v/>
      </c>
      <c r="C4774" s="2"/>
      <c r="D4774" s="2" t="str">
        <f>IFERROR(__xludf.DUMMYFUNCTION("IF(C4774&lt;&gt;"""", GOOGLETRANSLATE(C4774, ""en"", ""te""),"""")"),"")</f>
        <v/>
      </c>
      <c r="E4774" s="2"/>
      <c r="F4774" s="2" t="str">
        <f>IFERROR(__xludf.DUMMYFUNCTION("IF(E4774&lt;&gt;"""", GOOGLETRANSLATE(E4774, ""en"", ""te""),"""")"),"")</f>
        <v/>
      </c>
      <c r="G4774" s="2"/>
      <c r="H4774" s="2" t="str">
        <f>IFERROR(__xludf.DUMMYFUNCTION("IF(G4774&lt;&gt;"""", GOOGLETRANSLATE(G4774, ""en"", ""te""),"""")"),"")</f>
        <v/>
      </c>
      <c r="I4774" s="3"/>
    </row>
    <row r="4775" customHeight="1" spans="1:9">
      <c r="A4775" s="2"/>
      <c r="B4775" s="2" t="str">
        <f>IFERROR(__xludf.DUMMYFUNCTION("IF(A4775&lt;&gt;"""", GOOGLETRANSLATE(A4775, ""en"", ""te""),"""")"),"")</f>
        <v/>
      </c>
      <c r="C4775" s="2"/>
      <c r="D4775" s="2" t="str">
        <f>IFERROR(__xludf.DUMMYFUNCTION("IF(C4775&lt;&gt;"""", GOOGLETRANSLATE(C4775, ""en"", ""te""),"""")"),"")</f>
        <v/>
      </c>
      <c r="E4775" s="2"/>
      <c r="F4775" s="2" t="str">
        <f>IFERROR(__xludf.DUMMYFUNCTION("IF(E4775&lt;&gt;"""", GOOGLETRANSLATE(E4775, ""en"", ""te""),"""")"),"")</f>
        <v/>
      </c>
      <c r="G4775" s="2" t="s">
        <v>3311</v>
      </c>
      <c r="H4775" s="2" t="str">
        <f>IFERROR(__xludf.DUMMYFUNCTION("IF(G4775&lt;&gt;"""", GOOGLETRANSLATE(G4775, ""en"", ""te""),"""")"),"[ 'కెరీర్లో 29 వ లేవు బాతులు (10)']")</f>
        <v>[ 'కెరీర్లో 29 వ లేవు బాతులు (10)']</v>
      </c>
      <c r="I4775" s="3"/>
    </row>
    <row r="4776" customHeight="1" spans="1:9">
      <c r="A4776" s="2" t="s">
        <v>3312</v>
      </c>
      <c r="B4776" s="2" t="str">
        <f>IFERROR(__xludf.DUMMYFUNCTION("IF(A4776&lt;&gt;"""", GOOGLETRANSLATE(A4776, ""en"", ""te""),"""")"),"[ 'ఇన్నింగ్స్ లో 7 వ అత్యధిక పరుగులు (92 *) (బ్యాటింగ్ స్థానం)', '6 వ తొలి మ్యాచ్లో అత్యధిక పరుగులు (66 *)']")</f>
        <v>[ 'ఇన్నింగ్స్ లో 7 వ అత్యధిక పరుగులు (92 *) (బ్యాటింగ్ స్థానం)', '6 వ తొలి మ్యాచ్లో అత్యధిక పరుగులు (66 *)']</v>
      </c>
      <c r="C4776" s="2" t="s">
        <v>3313</v>
      </c>
      <c r="D4776" s="2" t="str">
        <f>IFERROR(__xludf.DUMMYFUNCTION("IF(C4776&lt;&gt;"""", GOOGLETRANSLATE(C4776, ""en"", ""te""),"""")"),"[ 'ఏడవ వికెట్కు 15 అత్యధిక భాగస్వామ్యం (77)']")</f>
        <v>[ 'ఏడవ వికెట్కు 15 అత్యధిక భాగస్వామ్యం (77)']</v>
      </c>
      <c r="E4776" s="2" t="s">
        <v>3314</v>
      </c>
      <c r="F4776" s="2" t="str">
        <f>IFERROR(__xludf.DUMMYFUNCTION("IF(E4776&lt;&gt;"""", GOOGLETRANSLATE(E4776, ""en"", ""te""),"""")"),"[ 'ఇన్నింగ్స్ లో 7 వ అత్యధిక పరుగులు (92 *) (బ్యాటింగ్ స్థానం)' 'వంద (961) లేకుండా ఒక వృత్తిలో 39 వ అత్యధిక పరుగులు', 'వరుస ఇన్నింగ్స్లో 28 యాభైల్లో (3)', '40 వ అత్యంత బాతులు కెరీర్ (8) ',' 11 వ ఒక ఇన్నింగ్స్ లోని బెస్ట్ ఫిగర్స్ ఉన్నప్పుడు పరాజయం వైపు ("&amp;"4) ',' 42 వ కెరీర్ (3015) ',' 46 వ కెరీర్ లో సాధించిన అత్యధిక పరుగులు (1725) ',' 27 వ అత్యంత బౌల్డ్ చాలా బంతుల్లో ఒక వికెట్ కీపర్ చే కాట్ తీసుకోబడిన వికెట్ల (11) ',' 29 వ అత్యధిక వికెట్లు తీసుకున్న ఎల్బిడబ్ల్యు (14) ',' 20 వ కెరీర్ లో అత్యధిక క్యాచ్లు (37"&amp;") ',' ఎనిమిదవ వికెట్కు 48 వ అత్యధిక భాగస్వామ్యం (41 *) ',' 46 వ పిన్న కాప్టెన్ (24y 336d) ']")</f>
        <v>[ 'ఇన్నింగ్స్ లో 7 వ అత్యధిక పరుగులు (92 *) (బ్యాటింగ్ స్థానం)' 'వంద (961) లేకుండా ఒక వృత్తిలో 39 వ అత్యధిక పరుగులు', 'వరుస ఇన్నింగ్స్లో 28 యాభైల్లో (3)', '40 వ అత్యంత బాతులు కెరీర్ (8) ',' 11 వ ఒక ఇన్నింగ్స్ లోని బెస్ట్ ఫిగర్స్ ఉన్నప్పుడు పరాజయం వైపు (4) ',' 42 వ కెరీర్ (3015) ',' 46 వ కెరీర్ లో సాధించిన అత్యధిక పరుగులు (1725) ',' 27 వ అత్యంత బౌల్డ్ చాలా బంతుల్లో ఒక వికెట్ కీపర్ చే కాట్ తీసుకోబడిన వికెట్ల (11) ',' 29 వ అత్యధిక వికెట్లు తీసుకున్న ఎల్బిడబ్ల్యు (14) ',' 20 వ కెరీర్ లో అత్యధిక క్యాచ్లు (37) ',' ఎనిమిదవ వికెట్కు 48 వ అత్యధిక భాగస్వామ్యం (41 *) ',' 46 వ పిన్న కాప్టెన్ (24y 336d) ']</v>
      </c>
      <c r="G4776" s="2" t="s">
        <v>3315</v>
      </c>
      <c r="H4776" s="2" t="str">
        <f>IFERROR(__xludf.DUMMYFUNCTION("IF(G4776&lt;&gt;"""", GOOGLETRANSLATE(G4776, ""en"", ""te""),"""")"),"[ 'తొలి మ్యాచ్ (66 *) లో 6 వ అత్యధిక పరుగులు', ఒక ఇన్నింగ్స్ లో, 'రెండవ వికెట్కు 44 వ అత్యధిక భాగస్వామ్యం (87)', '12 వ అత్యంత పనికత్తెలయొద్ద' 44 వ అత్యుత్తమ బౌలింగ్ ఇన్నింగ్స్ (2/4) విశ్లేషణలలో '( 2) ']")</f>
        <v>[ 'తొలి మ్యాచ్ (66 *) లో 6 వ అత్యధిక పరుగులు', ఒక ఇన్నింగ్స్ లో, 'రెండవ వికెట్కు 44 వ అత్యధిక భాగస్వామ్యం (87)', '12 వ అత్యంత పనికత్తెలయొద్ద' 44 వ అత్యుత్తమ బౌలింగ్ ఇన్నింగ్స్ (2/4) విశ్లేషణలలో '( 2) ']</v>
      </c>
      <c r="I4776" s="3"/>
    </row>
    <row r="4777" customHeight="1" spans="1:9">
      <c r="A4777" s="2"/>
      <c r="B4777" s="2" t="str">
        <f>IFERROR(__xludf.DUMMYFUNCTION("IF(A4777&lt;&gt;"""", GOOGLETRANSLATE(A4777, ""en"", ""te""),"""")"),"")</f>
        <v/>
      </c>
      <c r="C4777" s="2"/>
      <c r="D4777" s="2" t="str">
        <f>IFERROR(__xludf.DUMMYFUNCTION("IF(C4777&lt;&gt;"""", GOOGLETRANSLATE(C4777, ""en"", ""te""),"""")"),"")</f>
        <v/>
      </c>
      <c r="E4777" s="2"/>
      <c r="F4777" s="2" t="str">
        <f>IFERROR(__xludf.DUMMYFUNCTION("IF(E4777&lt;&gt;"""", GOOGLETRANSLATE(E4777, ""en"", ""te""),"""")"),"")</f>
        <v/>
      </c>
      <c r="G4777" s="2"/>
      <c r="H4777" s="2" t="str">
        <f>IFERROR(__xludf.DUMMYFUNCTION("IF(G4777&lt;&gt;"""", GOOGLETRANSLATE(G4777, ""en"", ""te""),"""")"),"")</f>
        <v/>
      </c>
      <c r="I4777" s="3"/>
    </row>
    <row r="4778" customHeight="1" spans="1:9">
      <c r="A4778" s="2"/>
      <c r="B4778" s="2" t="str">
        <f>IFERROR(__xludf.DUMMYFUNCTION("IF(A4778&lt;&gt;"""", GOOGLETRANSLATE(A4778, ""en"", ""te""),"""")"),"")</f>
        <v/>
      </c>
      <c r="C4778" s="2"/>
      <c r="D4778" s="2" t="str">
        <f>IFERROR(__xludf.DUMMYFUNCTION("IF(C4778&lt;&gt;"""", GOOGLETRANSLATE(C4778, ""en"", ""te""),"""")"),"")</f>
        <v/>
      </c>
      <c r="E4778" s="2"/>
      <c r="F4778" s="2" t="str">
        <f>IFERROR(__xludf.DUMMYFUNCTION("IF(E4778&lt;&gt;"""", GOOGLETRANSLATE(E4778, ""en"", ""te""),"""")"),"")</f>
        <v/>
      </c>
      <c r="G4778" s="2"/>
      <c r="H4778" s="2" t="str">
        <f>IFERROR(__xludf.DUMMYFUNCTION("IF(G4778&lt;&gt;"""", GOOGLETRANSLATE(G4778, ""en"", ""te""),"""")"),"")</f>
        <v/>
      </c>
      <c r="I4778" s="3"/>
    </row>
    <row r="4779" customHeight="1" spans="1:9">
      <c r="A4779" s="2"/>
      <c r="B4779" s="2" t="str">
        <f>IFERROR(__xludf.DUMMYFUNCTION("IF(A4779&lt;&gt;"""", GOOGLETRANSLATE(A4779, ""en"", ""te""),"""")"),"")</f>
        <v/>
      </c>
      <c r="C4779" s="2"/>
      <c r="D4779" s="2" t="str">
        <f>IFERROR(__xludf.DUMMYFUNCTION("IF(C4779&lt;&gt;"""", GOOGLETRANSLATE(C4779, ""en"", ""te""),"""")"),"")</f>
        <v/>
      </c>
      <c r="E4779" s="2"/>
      <c r="F4779" s="2" t="str">
        <f>IFERROR(__xludf.DUMMYFUNCTION("IF(E4779&lt;&gt;"""", GOOGLETRANSLATE(E4779, ""en"", ""te""),"""")"),"")</f>
        <v/>
      </c>
      <c r="G4779" s="2"/>
      <c r="H4779" s="2" t="str">
        <f>IFERROR(__xludf.DUMMYFUNCTION("IF(G4779&lt;&gt;"""", GOOGLETRANSLATE(G4779, ""en"", ""te""),"""")"),"")</f>
        <v/>
      </c>
      <c r="I4779" s="3"/>
    </row>
    <row r="4780" customHeight="1" spans="1:9">
      <c r="A4780" s="2"/>
      <c r="B4780" s="2" t="str">
        <f>IFERROR(__xludf.DUMMYFUNCTION("IF(A4780&lt;&gt;"""", GOOGLETRANSLATE(A4780, ""en"", ""te""),"""")"),"")</f>
        <v/>
      </c>
      <c r="C4780" s="2"/>
      <c r="D4780" s="2" t="str">
        <f>IFERROR(__xludf.DUMMYFUNCTION("IF(C4780&lt;&gt;"""", GOOGLETRANSLATE(C4780, ""en"", ""te""),"""")"),"")</f>
        <v/>
      </c>
      <c r="E4780" s="2"/>
      <c r="F4780" s="2" t="str">
        <f>IFERROR(__xludf.DUMMYFUNCTION("IF(E4780&lt;&gt;"""", GOOGLETRANSLATE(E4780, ""en"", ""te""),"""")"),"")</f>
        <v/>
      </c>
      <c r="G4780" s="2"/>
      <c r="H4780" s="2" t="str">
        <f>IFERROR(__xludf.DUMMYFUNCTION("IF(G4780&lt;&gt;"""", GOOGLETRANSLATE(G4780, ""en"", ""te""),"""")"),"")</f>
        <v/>
      </c>
      <c r="I4780" s="3"/>
    </row>
    <row r="4781" customHeight="1" spans="1:9">
      <c r="A4781" s="2" t="s">
        <v>3316</v>
      </c>
      <c r="B4781" s="2" t="str">
        <f>IFERROR(__xludf.DUMMYFUNCTION("IF(A4781&lt;&gt;"""", GOOGLETRANSLATE(A4781, ""en"", ""te""),"""")"),"[ 'కెరీర్లో 6 వ అత్యధిక మ్యాచ్లు (20)', '5 వ ఇన్నింగ్స్ లో అత్యధిక పరుగులు (బ్యాటింగ్ స్థానంలో ప్రకారం) (57 *)', 'కెరీర్ లో 3 వ అత్యధిక వికెట్లు (63)', ఒక ఇన్నింగ్స్ లో '6 వ చెత్త సమ్మె రేటు ( 276.0) ',' 1st కెరీర్లో బౌల్డ్ చాలా బంతుల్లో (5098+) ',' 2 వ అ"&amp;"త్యధిక కెరీర్ లో సాధించిన పరుగులు (1624) ',' 4 వ అత్యధిక వికెట్లు తీసుకున్న ఎల్బిడబ్ల్యు (14) ',' ఒక కెప్టెన్తో ఒక ఇన్నింగ్స్ లో 9 వ బెస్ట్ ఫిగర్స్ (4) ',' 4 వ అత్యధిక క్యాచ్లు ఒక ఇన్నింగ్స్ లో (3) ']")</f>
        <v>[ 'కెరీర్లో 6 వ అత్యధిక మ్యాచ్లు (20)', '5 వ ఇన్నింగ్స్ లో అత్యధిక పరుగులు (బ్యాటింగ్ స్థానంలో ప్రకారం) (57 *)', 'కెరీర్ లో 3 వ అత్యధిక వికెట్లు (63)', ఒక ఇన్నింగ్స్ లో '6 వ చెత్త సమ్మె రేటు ( 276.0) ',' 1st కెరీర్లో బౌల్డ్ చాలా బంతుల్లో (5098+) ',' 2 వ అత్యధిక కెరీర్ లో సాధించిన పరుగులు (1624) ',' 4 వ అత్యధిక వికెట్లు తీసుకున్న ఎల్బిడబ్ల్యు (14) ',' ఒక కెప్టెన్తో ఒక ఇన్నింగ్స్ లో 9 వ బెస్ట్ ఫిగర్స్ (4) ',' 4 వ అత్యధిక క్యాచ్లు ఒక ఇన్నింగ్స్ లో (3) ']</v>
      </c>
      <c r="C4781" s="2" t="s">
        <v>3317</v>
      </c>
      <c r="D4781" s="2" t="str">
        <f>IFERROR(__xludf.DUMMYFUNCTION("IF(C4781&lt;&gt;"""", GOOGLETRANSLATE(C4781, ""en"", ""te""),"""")"),"[ 'ఇన్నింగ్స్ లో 5 వ అత్యధిక పరుగులు (బ్యాటింగ్ స్థానంలో ప్రకారం) (57 *)', 'వంద (404) లేకుండా ఒక వృత్తిలో 21 అత్యధిక పరుగులు' '29 వ కెరీర్ లో అతి తక్కువ బాతులు (10)', '3 వ అత్యంత వికెట్లు వరుస ఇన్నింగ్స్ లో కెరీర్ (63) ',' 25 వ బెస్ట్ ఫిగర్స్ (6/64) ',' 1"&amp;"5 వ అత్యధిక వికెట్లు (17) ',' 16 వ ఒక క్యాలెండర్ సంవత్సరంలో అత్యధిక వికెట్లు (17) ',' 10 న అత్యధిక వికెట్లు ఒకే క్రీడా (11) ',' ఒక కెప్టెన్తో ఒక ఇన్నింగ్స్ లో 10 వ బెస్ట్ ఫిగర్స్ (4) ',' ఒక కెప్టెన్తో ఒక మ్యాచ్లో 11 వ బెస్ట్ ఫిగర్స్ (5) ',' 6 వ చెత్త సమ్మ"&amp;"ె ఇన్నింగ్స్ లో రేటు (276.0) ' '1st కెరీర్లో బౌల్డ్ చాలా బంతుల్లో (5098+)', '12 వ అత్యంత బంతుల్లో ఒక మ్యాచ్లో బౌల్డ్ (438)', '2 వ అత్యధిక కెరీర్ (1624) లో ఇవ్వబడిన పరుగులలో', 'చాలా 5 వ ఇన్నింగ్స్ లో సాధించిన (119) పరుగులు ',' 9 వ అత్యధిక పరుగులు ఒక మ్యాచ్"&amp;"లో సాధించిన (152) ',' 4 వ అత్యధిక వికెట్లు తీసుకున్న బౌల్డ్ (21) ',' 12 వ అత్యధిక వికెట్లు తీసుకున్న ఆకర్షించింది (24) ',' 7 వ అత్యధిక వికెట్లు ఒక ఫీల్డర్ చేత క్యాచ్ తీసుకున్న (21) ' , 'కెరీర్ (20) 6 వ అత్యధిక మ్యాచ్లు' '4 వ అత్యధిక వికెట్లు తీసుకున్న ఎల్"&amp;"బిడబ్ల్యు (14)', 'ఒక జట్టు 8 వ వరుస మ్యాచ్లు (15)', '21 వ లాంగెస్ట్ కెరీర్లు (14y 104d) ']")</f>
        <v>[ 'ఇన్నింగ్స్ లో 5 వ అత్యధిక పరుగులు (బ్యాటింగ్ స్థానంలో ప్రకారం) (57 *)', 'వంద (404) లేకుండా ఒక వృత్తిలో 21 అత్యధిక పరుగులు' '29 వ కెరీర్ లో అతి తక్కువ బాతులు (10)', '3 వ అత్యంత వికెట్లు వరుస ఇన్నింగ్స్ లో కెరీర్ (63) ',' 25 వ బెస్ట్ ఫిగర్స్ (6/64) ',' 15 వ అత్యధిక వికెట్లు (17) ',' 16 వ ఒక క్యాలెండర్ సంవత్సరంలో అత్యధిక వికెట్లు (17) ',' 10 న అత్యధిక వికెట్లు ఒకే క్రీడా (11) ',' ఒక కెప్టెన్తో ఒక ఇన్నింగ్స్ లో 10 వ బెస్ట్ ఫిగర్స్ (4) ',' ఒక కెప్టెన్తో ఒక మ్యాచ్లో 11 వ బెస్ట్ ఫిగర్స్ (5) ',' 6 వ చెత్త సమ్మె ఇన్నింగ్స్ లో రేటు (276.0) ' '1st కెరీర్లో బౌల్డ్ చాలా బంతుల్లో (5098+)', '12 వ అత్యంత బంతుల్లో ఒక మ్యాచ్లో బౌల్డ్ (438)', '2 వ అత్యధిక కెరీర్ (1624) లో ఇవ్వబడిన పరుగులలో', 'చాలా 5 వ ఇన్నింగ్స్ లో సాధించిన (119) పరుగులు ',' 9 వ అత్యధిక పరుగులు ఒక మ్యాచ్లో సాధించిన (152) ',' 4 వ అత్యధిక వికెట్లు తీసుకున్న బౌల్డ్ (21) ',' 12 వ అత్యధిక వికెట్లు తీసుకున్న ఆకర్షించింది (24) ',' 7 వ అత్యధిక వికెట్లు ఒక ఫీల్డర్ చేత క్యాచ్ తీసుకున్న (21) ' , 'కెరీర్ (20) 6 వ అత్యధిక మ్యాచ్లు' '4 వ అత్యధిక వికెట్లు తీసుకున్న ఎల్బిడబ్ల్యు (14)', 'ఒక జట్టు 8 వ వరుస మ్యాచ్లు (15)', '21 వ లాంగెస్ట్ కెరీర్లు (14y 104d) ']</v>
      </c>
      <c r="E4781" s="2" t="s">
        <v>3318</v>
      </c>
      <c r="F4781" s="2" t="str">
        <f>IFERROR(__xludf.DUMMYFUNCTION("IF(E4781&lt;&gt;"""", GOOGLETRANSLATE(E4781, ""en"", ""te""),"""")"),"[ 'ఒక కెప్టెన్తో ఒక ఇన్నింగ్స్ లో 9 వ బెస్ట్ ఫిగర్స్ (4)', '11 వ ఒక ఇన్నింగ్స్ లోని బెస్ట్ ఫిగర్స్ ఉన్నప్పుడు పరాజయం వైపు (4)', '17 వ ఉత్తమ కెరీర్ సగటు (16.84) బౌలింగ్', '14 వ ఉత్తమ కెరీర్ ఎకానమీ రేట్ (2.37) ',' 43 వ అత్యధిక వికెట్లు వరుస ఇన్నింగ్స్ (3) "&amp;"',' 47 వ అత్యధిక క్యాచ్లు తీసుకున్న ఎల్బిడబ్ల్యు (11) ',' 4 వ అత్యధిక క్యాచ్లు (6) ',' 22 వ లాంగెస్ట్ కెరీర్లు (15y 209d) ', 'ప్రదర్శనల మధ్య 18 వ లాంగెస్ట్ వ్యవధిలో (6y 358d)', '41 వ అత్యధిక మ్యాచ్లు కెప్టెన్గా (18)', '17 వ పిన్న కాప్టెన్ (21y 340d)', '13"&amp;" వ ఓల్డెస్ట్ కాప్టెన్ (37y 184d)']")</f>
        <v>[ 'ఒక కెప్టెన్తో ఒక ఇన్నింగ్స్ లో 9 వ బెస్ట్ ఫిగర్స్ (4)', '11 వ ఒక ఇన్నింగ్స్ లోని బెస్ట్ ఫిగర్స్ ఉన్నప్పుడు పరాజయం వైపు (4)', '17 వ ఉత్తమ కెరీర్ సగటు (16.84) బౌలింగ్', '14 వ ఉత్తమ కెరీర్ ఎకానమీ రేట్ (2.37) ',' 43 వ అత్యధిక వికెట్లు వరుస ఇన్నింగ్స్ (3) ',' 47 వ అత్యధిక క్యాచ్లు తీసుకున్న ఎల్బిడబ్ల్యు (11) ',' 4 వ అత్యధిక క్యాచ్లు (6) ',' 22 వ లాంగెస్ట్ కెరీర్లు (15y 209d) ', 'ప్రదర్శనల మధ్య 18 వ లాంగెస్ట్ వ్యవధిలో (6y 358d)', '41 వ అత్యధిక మ్యాచ్లు కెప్టెన్గా (18)', '17 వ పిన్న కాప్టెన్ (21y 340d)', '13 వ ఓల్డెస్ట్ కాప్టెన్ (37y 184d)']</v>
      </c>
      <c r="G4781" s="2"/>
      <c r="H4781" s="2" t="str">
        <f>IFERROR(__xludf.DUMMYFUNCTION("IF(G4781&lt;&gt;"""", GOOGLETRANSLATE(G4781, ""en"", ""te""),"""")"),"")</f>
        <v/>
      </c>
      <c r="I4781" s="3"/>
    </row>
    <row r="4782" customHeight="1" spans="1:9">
      <c r="A4782" s="2" t="s">
        <v>3319</v>
      </c>
      <c r="B4782" s="2" t="str">
        <f>IFERROR(__xludf.DUMMYFUNCTION("IF(A4782&lt;&gt;"""", GOOGLETRANSLATE(A4782, ""en"", ""te""),"""")"),"[ '8 వ పురాతన దేశం ఆటగాళ్ళు (83y 96d)']")</f>
        <v>[ '8 వ పురాతన దేశం ఆటగాళ్ళు (83y 96d)']</v>
      </c>
      <c r="C4782" s="2" t="s">
        <v>3320</v>
      </c>
      <c r="D4782" s="2" t="str">
        <f>IFERROR(__xludf.DUMMYFUNCTION("IF(C4782&lt;&gt;"""", GOOGLETRANSLATE(C4782, ""en"", ""te""),"""")"),"[ '11 వ అత్యంత వికెట్కీపర్ శ్రేణిలో పరుగులు (415)', '25 వ కెరీర్ (16) అత్యంత స్టంపింగ్లు']")</f>
        <v>[ '11 వ అత్యంత వికెట్కీపర్ శ్రేణిలో పరుగులు (415)', '25 వ కెరీర్ (16) అత్యంత స్టంపింగ్లు']</v>
      </c>
      <c r="E4782" s="2" t="s">
        <v>3319</v>
      </c>
      <c r="F4782" s="2" t="str">
        <f>IFERROR(__xludf.DUMMYFUNCTION("IF(E4782&lt;&gt;"""", GOOGLETRANSLATE(E4782, ""en"", ""te""),"""")"),"[ '8 వ పురాతన దేశం ఆటగాళ్ళు (83y 96d)']")</f>
        <v>[ '8 వ పురాతన దేశం ఆటగాళ్ళు (83y 96d)']</v>
      </c>
      <c r="G4782" s="2"/>
      <c r="H4782" s="2" t="str">
        <f>IFERROR(__xludf.DUMMYFUNCTION("IF(G4782&lt;&gt;"""", GOOGLETRANSLATE(G4782, ""en"", ""te""),"""")"),"")</f>
        <v/>
      </c>
      <c r="I4782" s="3"/>
    </row>
    <row r="4783" customHeight="1" spans="1:9">
      <c r="A4783" s="2"/>
      <c r="B4783" s="2" t="str">
        <f>IFERROR(__xludf.DUMMYFUNCTION("IF(A4783&lt;&gt;"""", GOOGLETRANSLATE(A4783, ""en"", ""te""),"""")"),"")</f>
        <v/>
      </c>
      <c r="C4783" s="2"/>
      <c r="D4783" s="2" t="str">
        <f>IFERROR(__xludf.DUMMYFUNCTION("IF(C4783&lt;&gt;"""", GOOGLETRANSLATE(C4783, ""en"", ""te""),"""")"),"")</f>
        <v/>
      </c>
      <c r="E4783" s="2"/>
      <c r="F4783" s="2" t="str">
        <f>IFERROR(__xludf.DUMMYFUNCTION("IF(E4783&lt;&gt;"""", GOOGLETRANSLATE(E4783, ""en"", ""te""),"""")"),"")</f>
        <v/>
      </c>
      <c r="G4783" s="2"/>
      <c r="H4783" s="2" t="str">
        <f>IFERROR(__xludf.DUMMYFUNCTION("IF(G4783&lt;&gt;"""", GOOGLETRANSLATE(G4783, ""en"", ""te""),"""")"),"")</f>
        <v/>
      </c>
      <c r="I4783" s="3"/>
    </row>
    <row r="4784" customHeight="1" spans="1:9">
      <c r="A4784" s="2"/>
      <c r="B4784" s="2" t="str">
        <f>IFERROR(__xludf.DUMMYFUNCTION("IF(A4784&lt;&gt;"""", GOOGLETRANSLATE(A4784, ""en"", ""te""),"""")"),"")</f>
        <v/>
      </c>
      <c r="C4784" s="2"/>
      <c r="D4784" s="2" t="str">
        <f>IFERROR(__xludf.DUMMYFUNCTION("IF(C4784&lt;&gt;"""", GOOGLETRANSLATE(C4784, ""en"", ""te""),"""")"),"")</f>
        <v/>
      </c>
      <c r="E4784" s="2"/>
      <c r="F4784" s="2" t="str">
        <f>IFERROR(__xludf.DUMMYFUNCTION("IF(E4784&lt;&gt;"""", GOOGLETRANSLATE(E4784, ""en"", ""te""),"""")"),"")</f>
        <v/>
      </c>
      <c r="G4784" s="2"/>
      <c r="H4784" s="2" t="str">
        <f>IFERROR(__xludf.DUMMYFUNCTION("IF(G4784&lt;&gt;"""", GOOGLETRANSLATE(G4784, ""en"", ""te""),"""")"),"")</f>
        <v/>
      </c>
      <c r="I4784" s="3"/>
    </row>
    <row r="4785" customHeight="1" spans="1:9">
      <c r="A4785" s="2"/>
      <c r="B4785" s="2" t="str">
        <f>IFERROR(__xludf.DUMMYFUNCTION("IF(A4785&lt;&gt;"""", GOOGLETRANSLATE(A4785, ""en"", ""te""),"""")"),"")</f>
        <v/>
      </c>
      <c r="C4785" s="2"/>
      <c r="D4785" s="2" t="str">
        <f>IFERROR(__xludf.DUMMYFUNCTION("IF(C4785&lt;&gt;"""", GOOGLETRANSLATE(C4785, ""en"", ""te""),"""")"),"")</f>
        <v/>
      </c>
      <c r="E4785" s="2"/>
      <c r="F4785" s="2" t="str">
        <f>IFERROR(__xludf.DUMMYFUNCTION("IF(E4785&lt;&gt;"""", GOOGLETRANSLATE(E4785, ""en"", ""te""),"""")"),"")</f>
        <v/>
      </c>
      <c r="G4785" s="2"/>
      <c r="H4785" s="2" t="str">
        <f>IFERROR(__xludf.DUMMYFUNCTION("IF(G4785&lt;&gt;"""", GOOGLETRANSLATE(G4785, ""en"", ""te""),"""")"),"")</f>
        <v/>
      </c>
      <c r="I4785" s="3"/>
    </row>
    <row r="4786" customHeight="1" spans="1:9">
      <c r="A4786" s="2"/>
      <c r="B4786" s="2" t="str">
        <f>IFERROR(__xludf.DUMMYFUNCTION("IF(A4786&lt;&gt;"""", GOOGLETRANSLATE(A4786, ""en"", ""te""),"""")"),"")</f>
        <v/>
      </c>
      <c r="C4786" s="2"/>
      <c r="D4786" s="2" t="str">
        <f>IFERROR(__xludf.DUMMYFUNCTION("IF(C4786&lt;&gt;"""", GOOGLETRANSLATE(C4786, ""en"", ""te""),"""")"),"")</f>
        <v/>
      </c>
      <c r="E4786" s="2"/>
      <c r="F4786" s="2" t="str">
        <f>IFERROR(__xludf.DUMMYFUNCTION("IF(E4786&lt;&gt;"""", GOOGLETRANSLATE(E4786, ""en"", ""te""),"""")"),"")</f>
        <v/>
      </c>
      <c r="G4786" s="2"/>
      <c r="H4786" s="2" t="str">
        <f>IFERROR(__xludf.DUMMYFUNCTION("IF(G4786&lt;&gt;"""", GOOGLETRANSLATE(G4786, ""en"", ""te""),"""")"),"")</f>
        <v/>
      </c>
      <c r="I4786" s="3"/>
    </row>
    <row r="4787" customHeight="1" spans="1:9">
      <c r="A4787" s="2"/>
      <c r="B4787" s="2" t="str">
        <f>IFERROR(__xludf.DUMMYFUNCTION("IF(A4787&lt;&gt;"""", GOOGLETRANSLATE(A4787, ""en"", ""te""),"""")"),"")</f>
        <v/>
      </c>
      <c r="C4787" s="2"/>
      <c r="D4787" s="2" t="str">
        <f>IFERROR(__xludf.DUMMYFUNCTION("IF(C4787&lt;&gt;"""", GOOGLETRANSLATE(C4787, ""en"", ""te""),"""")"),"")</f>
        <v/>
      </c>
      <c r="E4787" s="2"/>
      <c r="F4787" s="2" t="str">
        <f>IFERROR(__xludf.DUMMYFUNCTION("IF(E4787&lt;&gt;"""", GOOGLETRANSLATE(E4787, ""en"", ""te""),"""")"),"")</f>
        <v/>
      </c>
      <c r="G4787" s="2"/>
      <c r="H4787" s="2" t="str">
        <f>IFERROR(__xludf.DUMMYFUNCTION("IF(G4787&lt;&gt;"""", GOOGLETRANSLATE(G4787, ""en"", ""te""),"""")"),"")</f>
        <v/>
      </c>
      <c r="I4787" s="3"/>
    </row>
    <row r="4788" customHeight="1" spans="1:9">
      <c r="A4788" s="2"/>
      <c r="B4788" s="2" t="str">
        <f>IFERROR(__xludf.DUMMYFUNCTION("IF(A4788&lt;&gt;"""", GOOGLETRANSLATE(A4788, ""en"", ""te""),"""")"),"")</f>
        <v/>
      </c>
      <c r="C4788" s="2"/>
      <c r="D4788" s="2" t="str">
        <f>IFERROR(__xludf.DUMMYFUNCTION("IF(C4788&lt;&gt;"""", GOOGLETRANSLATE(C4788, ""en"", ""te""),"""")"),"")</f>
        <v/>
      </c>
      <c r="E4788" s="2"/>
      <c r="F4788" s="2" t="str">
        <f>IFERROR(__xludf.DUMMYFUNCTION("IF(E4788&lt;&gt;"""", GOOGLETRANSLATE(E4788, ""en"", ""te""),"""")"),"")</f>
        <v/>
      </c>
      <c r="G4788" s="2"/>
      <c r="H4788" s="2" t="str">
        <f>IFERROR(__xludf.DUMMYFUNCTION("IF(G4788&lt;&gt;"""", GOOGLETRANSLATE(G4788, ""en"", ""te""),"""")"),"")</f>
        <v/>
      </c>
      <c r="I4788" s="3"/>
    </row>
    <row r="4789" customHeight="1" spans="1:9">
      <c r="A4789" s="2"/>
      <c r="B4789" s="2" t="str">
        <f>IFERROR(__xludf.DUMMYFUNCTION("IF(A4789&lt;&gt;"""", GOOGLETRANSLATE(A4789, ""en"", ""te""),"""")"),"")</f>
        <v/>
      </c>
      <c r="C4789" s="2"/>
      <c r="D4789" s="2" t="str">
        <f>IFERROR(__xludf.DUMMYFUNCTION("IF(C4789&lt;&gt;"""", GOOGLETRANSLATE(C4789, ""en"", ""te""),"""")"),"")</f>
        <v/>
      </c>
      <c r="E4789" s="2"/>
      <c r="F4789" s="2" t="str">
        <f>IFERROR(__xludf.DUMMYFUNCTION("IF(E4789&lt;&gt;"""", GOOGLETRANSLATE(E4789, ""en"", ""te""),"""")"),"")</f>
        <v/>
      </c>
      <c r="G4789" s="2"/>
      <c r="H4789" s="2" t="str">
        <f>IFERROR(__xludf.DUMMYFUNCTION("IF(G4789&lt;&gt;"""", GOOGLETRANSLATE(G4789, ""en"", ""te""),"""")"),"")</f>
        <v/>
      </c>
      <c r="I4789" s="3"/>
    </row>
    <row r="4790" customHeight="1" spans="1:9">
      <c r="A4790" s="2"/>
      <c r="B4790" s="2" t="str">
        <f>IFERROR(__xludf.DUMMYFUNCTION("IF(A4790&lt;&gt;"""", GOOGLETRANSLATE(A4790, ""en"", ""te""),"""")"),"")</f>
        <v/>
      </c>
      <c r="C4790" s="2"/>
      <c r="D4790" s="2" t="str">
        <f>IFERROR(__xludf.DUMMYFUNCTION("IF(C4790&lt;&gt;"""", GOOGLETRANSLATE(C4790, ""en"", ""te""),"""")"),"")</f>
        <v/>
      </c>
      <c r="E4790" s="2"/>
      <c r="F4790" s="2" t="str">
        <f>IFERROR(__xludf.DUMMYFUNCTION("IF(E4790&lt;&gt;"""", GOOGLETRANSLATE(E4790, ""en"", ""te""),"""")"),"")</f>
        <v/>
      </c>
      <c r="G4790" s="2"/>
      <c r="H4790" s="2" t="str">
        <f>IFERROR(__xludf.DUMMYFUNCTION("IF(G4790&lt;&gt;"""", GOOGLETRANSLATE(G4790, ""en"", ""te""),"""")"),"")</f>
        <v/>
      </c>
      <c r="I4790" s="3"/>
    </row>
    <row r="4791" customHeight="1" spans="1:9">
      <c r="A4791" s="2"/>
      <c r="B4791" s="2" t="str">
        <f>IFERROR(__xludf.DUMMYFUNCTION("IF(A4791&lt;&gt;"""", GOOGLETRANSLATE(A4791, ""en"", ""te""),"""")"),"")</f>
        <v/>
      </c>
      <c r="C4791" s="2"/>
      <c r="D4791" s="2" t="str">
        <f>IFERROR(__xludf.DUMMYFUNCTION("IF(C4791&lt;&gt;"""", GOOGLETRANSLATE(C4791, ""en"", ""te""),"""")"),"")</f>
        <v/>
      </c>
      <c r="E4791" s="2"/>
      <c r="F4791" s="2" t="str">
        <f>IFERROR(__xludf.DUMMYFUNCTION("IF(E4791&lt;&gt;"""", GOOGLETRANSLATE(E4791, ""en"", ""te""),"""")"),"")</f>
        <v/>
      </c>
      <c r="G4791" s="2"/>
      <c r="H4791" s="2" t="str">
        <f>IFERROR(__xludf.DUMMYFUNCTION("IF(G4791&lt;&gt;"""", GOOGLETRANSLATE(G4791, ""en"", ""te""),"""")"),"")</f>
        <v/>
      </c>
      <c r="I4791" s="3"/>
    </row>
    <row r="4792" customHeight="1" spans="1:9">
      <c r="A4792" s="2"/>
      <c r="B4792" s="2" t="str">
        <f>IFERROR(__xludf.DUMMYFUNCTION("IF(A4792&lt;&gt;"""", GOOGLETRANSLATE(A4792, ""en"", ""te""),"""")"),"")</f>
        <v/>
      </c>
      <c r="C4792" s="2"/>
      <c r="D4792" s="2" t="str">
        <f>IFERROR(__xludf.DUMMYFUNCTION("IF(C4792&lt;&gt;"""", GOOGLETRANSLATE(C4792, ""en"", ""te""),"""")"),"")</f>
        <v/>
      </c>
      <c r="E4792" s="2"/>
      <c r="F4792" s="2" t="str">
        <f>IFERROR(__xludf.DUMMYFUNCTION("IF(E4792&lt;&gt;"""", GOOGLETRANSLATE(E4792, ""en"", ""te""),"""")"),"")</f>
        <v/>
      </c>
      <c r="G4792" s="2"/>
      <c r="H4792" s="2" t="str">
        <f>IFERROR(__xludf.DUMMYFUNCTION("IF(G4792&lt;&gt;"""", GOOGLETRANSLATE(G4792, ""en"", ""te""),"""")"),"")</f>
        <v/>
      </c>
      <c r="I4792" s="3"/>
    </row>
    <row r="4793" customHeight="1" spans="1:9">
      <c r="A4793" s="2"/>
      <c r="B4793" s="2" t="str">
        <f>IFERROR(__xludf.DUMMYFUNCTION("IF(A4793&lt;&gt;"""", GOOGLETRANSLATE(A4793, ""en"", ""te""),"""")"),"")</f>
        <v/>
      </c>
      <c r="C4793" s="2"/>
      <c r="D4793" s="2" t="str">
        <f>IFERROR(__xludf.DUMMYFUNCTION("IF(C4793&lt;&gt;"""", GOOGLETRANSLATE(C4793, ""en"", ""te""),"""")"),"")</f>
        <v/>
      </c>
      <c r="E4793" s="2"/>
      <c r="F4793" s="2" t="str">
        <f>IFERROR(__xludf.DUMMYFUNCTION("IF(E4793&lt;&gt;"""", GOOGLETRANSLATE(E4793, ""en"", ""te""),"""")"),"")</f>
        <v/>
      </c>
      <c r="G4793" s="2"/>
      <c r="H4793" s="2" t="str">
        <f>IFERROR(__xludf.DUMMYFUNCTION("IF(G4793&lt;&gt;"""", GOOGLETRANSLATE(G4793, ""en"", ""te""),"""")"),"")</f>
        <v/>
      </c>
      <c r="I4793" s="3"/>
    </row>
    <row r="4794" customHeight="1" spans="1:9">
      <c r="A4794" s="2"/>
      <c r="B4794" s="2" t="str">
        <f>IFERROR(__xludf.DUMMYFUNCTION("IF(A4794&lt;&gt;"""", GOOGLETRANSLATE(A4794, ""en"", ""te""),"""")"),"")</f>
        <v/>
      </c>
      <c r="C4794" s="2" t="s">
        <v>3321</v>
      </c>
      <c r="D4794" s="2" t="str">
        <f>IFERROR(__xludf.DUMMYFUNCTION("IF(C4794&lt;&gt;"""", GOOGLETRANSLATE(C4794, ""en"", ""te""),"""")"),"[ 'మొదటి డక్ (41) ముందు 16 వ ఇన్నింగ్స్' '27 వ కెరీర్ లో అతి తక్కువ బాతులు (28.5)']")</f>
        <v>[ 'మొదటి డక్ (41) ముందు 16 వ ఇన్నింగ్స్' '27 వ కెరీర్ లో అతి తక్కువ బాతులు (28.5)']</v>
      </c>
      <c r="E4794" s="2" t="s">
        <v>3322</v>
      </c>
      <c r="F4794" s="2" t="str">
        <f>IFERROR(__xludf.DUMMYFUNCTION("IF(E4794&lt;&gt;"""", GOOGLETRANSLATE(E4794, ""en"", ""te""),"""")"),"[ '43 వ చెత్త కెరీర్ బౌలింగ్ సరాసరి (47.20)', '15 వ చెత్త కెరీర్లో సమ్మె రేటు (68.8)']")</f>
        <v>[ '43 వ చెత్త కెరీర్ బౌలింగ్ సరాసరి (47.20)', '15 వ చెత్త కెరీర్లో సమ్మె రేటు (68.8)']</v>
      </c>
      <c r="G4794" s="2"/>
      <c r="H4794" s="2" t="str">
        <f>IFERROR(__xludf.DUMMYFUNCTION("IF(G4794&lt;&gt;"""", GOOGLETRANSLATE(G4794, ""en"", ""te""),"""")"),"")</f>
        <v/>
      </c>
      <c r="I4794" s="3"/>
    </row>
    <row r="4795" customHeight="1" spans="1:9">
      <c r="A4795" s="2"/>
      <c r="B4795" s="2" t="str">
        <f>IFERROR(__xludf.DUMMYFUNCTION("IF(A4795&lt;&gt;"""", GOOGLETRANSLATE(A4795, ""en"", ""te""),"""")"),"")</f>
        <v/>
      </c>
      <c r="C4795" s="2"/>
      <c r="D4795" s="2" t="str">
        <f>IFERROR(__xludf.DUMMYFUNCTION("IF(C4795&lt;&gt;"""", GOOGLETRANSLATE(C4795, ""en"", ""te""),"""")"),"")</f>
        <v/>
      </c>
      <c r="E4795" s="2"/>
      <c r="F4795" s="2" t="str">
        <f>IFERROR(__xludf.DUMMYFUNCTION("IF(E4795&lt;&gt;"""", GOOGLETRANSLATE(E4795, ""en"", ""te""),"""")"),"")</f>
        <v/>
      </c>
      <c r="G4795" s="2"/>
      <c r="H4795" s="2" t="str">
        <f>IFERROR(__xludf.DUMMYFUNCTION("IF(G4795&lt;&gt;"""", GOOGLETRANSLATE(G4795, ""en"", ""te""),"""")"),"")</f>
        <v/>
      </c>
      <c r="I4795" s="3"/>
    </row>
    <row r="4796" customHeight="1" spans="1:9">
      <c r="A4796" s="2"/>
      <c r="B4796" s="2" t="str">
        <f>IFERROR(__xludf.DUMMYFUNCTION("IF(A4796&lt;&gt;"""", GOOGLETRANSLATE(A4796, ""en"", ""te""),"""")"),"")</f>
        <v/>
      </c>
      <c r="C4796" s="2"/>
      <c r="D4796" s="2" t="str">
        <f>IFERROR(__xludf.DUMMYFUNCTION("IF(C4796&lt;&gt;"""", GOOGLETRANSLATE(C4796, ""en"", ""te""),"""")"),"")</f>
        <v/>
      </c>
      <c r="E4796" s="2"/>
      <c r="F4796" s="2" t="str">
        <f>IFERROR(__xludf.DUMMYFUNCTION("IF(E4796&lt;&gt;"""", GOOGLETRANSLATE(E4796, ""en"", ""te""),"""")"),"")</f>
        <v/>
      </c>
      <c r="G4796" s="2"/>
      <c r="H4796" s="2" t="str">
        <f>IFERROR(__xludf.DUMMYFUNCTION("IF(G4796&lt;&gt;"""", GOOGLETRANSLATE(G4796, ""en"", ""te""),"""")"),"")</f>
        <v/>
      </c>
      <c r="I4796" s="3"/>
    </row>
    <row r="4797" customHeight="1" spans="1:9">
      <c r="A4797" s="2"/>
      <c r="B4797" s="2" t="str">
        <f>IFERROR(__xludf.DUMMYFUNCTION("IF(A4797&lt;&gt;"""", GOOGLETRANSLATE(A4797, ""en"", ""te""),"""")"),"")</f>
        <v/>
      </c>
      <c r="C4797" s="2"/>
      <c r="D4797" s="2" t="str">
        <f>IFERROR(__xludf.DUMMYFUNCTION("IF(C4797&lt;&gt;"""", GOOGLETRANSLATE(C4797, ""en"", ""te""),"""")"),"")</f>
        <v/>
      </c>
      <c r="E4797" s="2"/>
      <c r="F4797" s="2" t="str">
        <f>IFERROR(__xludf.DUMMYFUNCTION("IF(E4797&lt;&gt;"""", GOOGLETRANSLATE(E4797, ""en"", ""te""),"""")"),"")</f>
        <v/>
      </c>
      <c r="G4797" s="2"/>
      <c r="H4797" s="2" t="str">
        <f>IFERROR(__xludf.DUMMYFUNCTION("IF(G4797&lt;&gt;"""", GOOGLETRANSLATE(G4797, ""en"", ""te""),"""")"),"")</f>
        <v/>
      </c>
      <c r="I4797" s="3"/>
    </row>
    <row r="4798" customHeight="1" spans="1:9">
      <c r="A4798" s="2"/>
      <c r="B4798" s="2" t="str">
        <f>IFERROR(__xludf.DUMMYFUNCTION("IF(A4798&lt;&gt;"""", GOOGLETRANSLATE(A4798, ""en"", ""te""),"""")"),"")</f>
        <v/>
      </c>
      <c r="C4798" s="2"/>
      <c r="D4798" s="2" t="str">
        <f>IFERROR(__xludf.DUMMYFUNCTION("IF(C4798&lt;&gt;"""", GOOGLETRANSLATE(C4798, ""en"", ""te""),"""")"),"")</f>
        <v/>
      </c>
      <c r="E4798" s="2"/>
      <c r="F4798" s="2" t="str">
        <f>IFERROR(__xludf.DUMMYFUNCTION("IF(E4798&lt;&gt;"""", GOOGLETRANSLATE(E4798, ""en"", ""te""),"""")"),"")</f>
        <v/>
      </c>
      <c r="G4798" s="2"/>
      <c r="H4798" s="2" t="str">
        <f>IFERROR(__xludf.DUMMYFUNCTION("IF(G4798&lt;&gt;"""", GOOGLETRANSLATE(G4798, ""en"", ""te""),"""")"),"")</f>
        <v/>
      </c>
      <c r="I4798" s="3"/>
    </row>
    <row r="4799" customHeight="1" spans="1:9">
      <c r="A4799" s="2"/>
      <c r="B4799" s="2" t="str">
        <f>IFERROR(__xludf.DUMMYFUNCTION("IF(A4799&lt;&gt;"""", GOOGLETRANSLATE(A4799, ""en"", ""te""),"""")"),"")</f>
        <v/>
      </c>
      <c r="C4799" s="2"/>
      <c r="D4799" s="2" t="str">
        <f>IFERROR(__xludf.DUMMYFUNCTION("IF(C4799&lt;&gt;"""", GOOGLETRANSLATE(C4799, ""en"", ""te""),"""")"),"")</f>
        <v/>
      </c>
      <c r="E4799" s="2"/>
      <c r="F4799" s="2" t="str">
        <f>IFERROR(__xludf.DUMMYFUNCTION("IF(E4799&lt;&gt;"""", GOOGLETRANSLATE(E4799, ""en"", ""te""),"""")"),"")</f>
        <v/>
      </c>
      <c r="G4799" s="2"/>
      <c r="H4799" s="2" t="str">
        <f>IFERROR(__xludf.DUMMYFUNCTION("IF(G4799&lt;&gt;"""", GOOGLETRANSLATE(G4799, ""en"", ""te""),"""")"),"")</f>
        <v/>
      </c>
      <c r="I4799" s="3"/>
    </row>
    <row r="4800" customHeight="1" spans="1:9">
      <c r="A4800" s="2"/>
      <c r="B4800" s="2" t="str">
        <f>IFERROR(__xludf.DUMMYFUNCTION("IF(A4800&lt;&gt;"""", GOOGLETRANSLATE(A4800, ""en"", ""te""),"""")"),"")</f>
        <v/>
      </c>
      <c r="C4800" s="2"/>
      <c r="D4800" s="2" t="str">
        <f>IFERROR(__xludf.DUMMYFUNCTION("IF(C4800&lt;&gt;"""", GOOGLETRANSLATE(C4800, ""en"", ""te""),"""")"),"")</f>
        <v/>
      </c>
      <c r="E4800" s="2"/>
      <c r="F4800" s="2" t="str">
        <f>IFERROR(__xludf.DUMMYFUNCTION("IF(E4800&lt;&gt;"""", GOOGLETRANSLATE(E4800, ""en"", ""te""),"""")"),"")</f>
        <v/>
      </c>
      <c r="G4800" s="2"/>
      <c r="H4800" s="2" t="str">
        <f>IFERROR(__xludf.DUMMYFUNCTION("IF(G4800&lt;&gt;"""", GOOGLETRANSLATE(G4800, ""en"", ""te""),"""")"),"")</f>
        <v/>
      </c>
      <c r="I4800" s="3"/>
    </row>
    <row r="4801" customHeight="1" spans="1:9">
      <c r="A4801" s="2"/>
      <c r="B4801" s="2" t="str">
        <f>IFERROR(__xludf.DUMMYFUNCTION("IF(A4801&lt;&gt;"""", GOOGLETRANSLATE(A4801, ""en"", ""te""),"""")"),"")</f>
        <v/>
      </c>
      <c r="C4801" s="2"/>
      <c r="D4801" s="2" t="str">
        <f>IFERROR(__xludf.DUMMYFUNCTION("IF(C4801&lt;&gt;"""", GOOGLETRANSLATE(C4801, ""en"", ""te""),"""")"),"")</f>
        <v/>
      </c>
      <c r="E4801" s="2"/>
      <c r="F4801" s="2" t="str">
        <f>IFERROR(__xludf.DUMMYFUNCTION("IF(E4801&lt;&gt;"""", GOOGLETRANSLATE(E4801, ""en"", ""te""),"""")"),"")</f>
        <v/>
      </c>
      <c r="G4801" s="2"/>
      <c r="H4801" s="2" t="str">
        <f>IFERROR(__xludf.DUMMYFUNCTION("IF(G4801&lt;&gt;"""", GOOGLETRANSLATE(G4801, ""en"", ""te""),"""")"),"")</f>
        <v/>
      </c>
      <c r="I4801" s="3"/>
    </row>
    <row r="4802" customHeight="1" spans="1:9">
      <c r="A4802" s="2"/>
      <c r="B4802" s="2" t="str">
        <f>IFERROR(__xludf.DUMMYFUNCTION("IF(A4802&lt;&gt;"""", GOOGLETRANSLATE(A4802, ""en"", ""te""),"""")"),"")</f>
        <v/>
      </c>
      <c r="C4802" s="2"/>
      <c r="D4802" s="2" t="str">
        <f>IFERROR(__xludf.DUMMYFUNCTION("IF(C4802&lt;&gt;"""", GOOGLETRANSLATE(C4802, ""en"", ""te""),"""")"),"")</f>
        <v/>
      </c>
      <c r="E4802" s="2"/>
      <c r="F4802" s="2" t="str">
        <f>IFERROR(__xludf.DUMMYFUNCTION("IF(E4802&lt;&gt;"""", GOOGLETRANSLATE(E4802, ""en"", ""te""),"""")"),"")</f>
        <v/>
      </c>
      <c r="G4802" s="2"/>
      <c r="H4802" s="2" t="str">
        <f>IFERROR(__xludf.DUMMYFUNCTION("IF(G4802&lt;&gt;"""", GOOGLETRANSLATE(G4802, ""en"", ""te""),"""")"),"")</f>
        <v/>
      </c>
      <c r="I4802" s="3"/>
    </row>
    <row r="4803" customHeight="1" spans="1:9">
      <c r="A4803" s="2"/>
      <c r="B4803" s="2" t="str">
        <f>IFERROR(__xludf.DUMMYFUNCTION("IF(A4803&lt;&gt;"""", GOOGLETRANSLATE(A4803, ""en"", ""te""),"""")"),"")</f>
        <v/>
      </c>
      <c r="C4803" s="2"/>
      <c r="D4803" s="2" t="str">
        <f>IFERROR(__xludf.DUMMYFUNCTION("IF(C4803&lt;&gt;"""", GOOGLETRANSLATE(C4803, ""en"", ""te""),"""")"),"")</f>
        <v/>
      </c>
      <c r="E4803" s="2"/>
      <c r="F4803" s="2" t="str">
        <f>IFERROR(__xludf.DUMMYFUNCTION("IF(E4803&lt;&gt;"""", GOOGLETRANSLATE(E4803, ""en"", ""te""),"""")"),"")</f>
        <v/>
      </c>
      <c r="G4803" s="2"/>
      <c r="H4803" s="2" t="str">
        <f>IFERROR(__xludf.DUMMYFUNCTION("IF(G4803&lt;&gt;"""", GOOGLETRANSLATE(G4803, ""en"", ""te""),"""")"),"")</f>
        <v/>
      </c>
      <c r="I4803" s="3"/>
    </row>
    <row r="4804" customHeight="1" spans="1:9">
      <c r="A4804" s="2"/>
      <c r="B4804" s="2" t="str">
        <f>IFERROR(__xludf.DUMMYFUNCTION("IF(A4804&lt;&gt;"""", GOOGLETRANSLATE(A4804, ""en"", ""te""),"""")"),"")</f>
        <v/>
      </c>
      <c r="C4804" s="2"/>
      <c r="D4804" s="2" t="str">
        <f>IFERROR(__xludf.DUMMYFUNCTION("IF(C4804&lt;&gt;"""", GOOGLETRANSLATE(C4804, ""en"", ""te""),"""")"),"")</f>
        <v/>
      </c>
      <c r="E4804" s="2"/>
      <c r="F4804" s="2" t="str">
        <f>IFERROR(__xludf.DUMMYFUNCTION("IF(E4804&lt;&gt;"""", GOOGLETRANSLATE(E4804, ""en"", ""te""),"""")"),"")</f>
        <v/>
      </c>
      <c r="G4804" s="2"/>
      <c r="H4804" s="2" t="str">
        <f>IFERROR(__xludf.DUMMYFUNCTION("IF(G4804&lt;&gt;"""", GOOGLETRANSLATE(G4804, ""en"", ""te""),"""")"),"")</f>
        <v/>
      </c>
      <c r="I4804" s="3"/>
    </row>
    <row r="4805" customHeight="1" spans="1:9">
      <c r="A4805" s="2"/>
      <c r="B4805" s="2" t="str">
        <f>IFERROR(__xludf.DUMMYFUNCTION("IF(A4805&lt;&gt;"""", GOOGLETRANSLATE(A4805, ""en"", ""te""),"""")"),"")</f>
        <v/>
      </c>
      <c r="C4805" s="2"/>
      <c r="D4805" s="2" t="str">
        <f>IFERROR(__xludf.DUMMYFUNCTION("IF(C4805&lt;&gt;"""", GOOGLETRANSLATE(C4805, ""en"", ""te""),"""")"),"")</f>
        <v/>
      </c>
      <c r="E4805" s="2"/>
      <c r="F4805" s="2" t="str">
        <f>IFERROR(__xludf.DUMMYFUNCTION("IF(E4805&lt;&gt;"""", GOOGLETRANSLATE(E4805, ""en"", ""te""),"""")"),"")</f>
        <v/>
      </c>
      <c r="G4805" s="2"/>
      <c r="H4805" s="2" t="str">
        <f>IFERROR(__xludf.DUMMYFUNCTION("IF(G4805&lt;&gt;"""", GOOGLETRANSLATE(G4805, ""en"", ""te""),"""")"),"")</f>
        <v/>
      </c>
      <c r="I4805" s="3"/>
    </row>
    <row r="4806" customHeight="1" spans="1:9">
      <c r="A4806" s="2"/>
      <c r="B4806" s="2" t="str">
        <f>IFERROR(__xludf.DUMMYFUNCTION("IF(A4806&lt;&gt;"""", GOOGLETRANSLATE(A4806, ""en"", ""te""),"""")"),"")</f>
        <v/>
      </c>
      <c r="C4806" s="2"/>
      <c r="D4806" s="2" t="str">
        <f>IFERROR(__xludf.DUMMYFUNCTION("IF(C4806&lt;&gt;"""", GOOGLETRANSLATE(C4806, ""en"", ""te""),"""")"),"")</f>
        <v/>
      </c>
      <c r="E4806" s="2"/>
      <c r="F4806" s="2" t="str">
        <f>IFERROR(__xludf.DUMMYFUNCTION("IF(E4806&lt;&gt;"""", GOOGLETRANSLATE(E4806, ""en"", ""te""),"""")"),"")</f>
        <v/>
      </c>
      <c r="G4806" s="2"/>
      <c r="H4806" s="2" t="str">
        <f>IFERROR(__xludf.DUMMYFUNCTION("IF(G4806&lt;&gt;"""", GOOGLETRANSLATE(G4806, ""en"", ""te""),"""")"),"")</f>
        <v/>
      </c>
      <c r="I4806" s="3"/>
    </row>
    <row r="4807" customHeight="1" spans="1:9">
      <c r="A4807" s="2"/>
      <c r="B4807" s="2" t="str">
        <f>IFERROR(__xludf.DUMMYFUNCTION("IF(A4807&lt;&gt;"""", GOOGLETRANSLATE(A4807, ""en"", ""te""),"""")"),"")</f>
        <v/>
      </c>
      <c r="C4807" s="2"/>
      <c r="D4807" s="2" t="str">
        <f>IFERROR(__xludf.DUMMYFUNCTION("IF(C4807&lt;&gt;"""", GOOGLETRANSLATE(C4807, ""en"", ""te""),"""")"),"")</f>
        <v/>
      </c>
      <c r="E4807" s="2"/>
      <c r="F4807" s="2" t="str">
        <f>IFERROR(__xludf.DUMMYFUNCTION("IF(E4807&lt;&gt;"""", GOOGLETRANSLATE(E4807, ""en"", ""te""),"""")"),"")</f>
        <v/>
      </c>
      <c r="G4807" s="2"/>
      <c r="H4807" s="2" t="str">
        <f>IFERROR(__xludf.DUMMYFUNCTION("IF(G4807&lt;&gt;"""", GOOGLETRANSLATE(G4807, ""en"", ""te""),"""")"),"")</f>
        <v/>
      </c>
      <c r="I4807" s="3"/>
    </row>
    <row r="4808" customHeight="1" spans="1:9">
      <c r="A4808" s="2"/>
      <c r="B4808" s="2" t="str">
        <f>IFERROR(__xludf.DUMMYFUNCTION("IF(A4808&lt;&gt;"""", GOOGLETRANSLATE(A4808, ""en"", ""te""),"""")"),"")</f>
        <v/>
      </c>
      <c r="C4808" s="2"/>
      <c r="D4808" s="2" t="str">
        <f>IFERROR(__xludf.DUMMYFUNCTION("IF(C4808&lt;&gt;"""", GOOGLETRANSLATE(C4808, ""en"", ""te""),"""")"),"")</f>
        <v/>
      </c>
      <c r="E4808" s="2"/>
      <c r="F4808" s="2" t="str">
        <f>IFERROR(__xludf.DUMMYFUNCTION("IF(E4808&lt;&gt;"""", GOOGLETRANSLATE(E4808, ""en"", ""te""),"""")"),"")</f>
        <v/>
      </c>
      <c r="G4808" s="2"/>
      <c r="H4808" s="2" t="str">
        <f>IFERROR(__xludf.DUMMYFUNCTION("IF(G4808&lt;&gt;"""", GOOGLETRANSLATE(G4808, ""en"", ""te""),"""")"),"")</f>
        <v/>
      </c>
      <c r="I4808" s="3"/>
    </row>
    <row r="4809" customHeight="1" spans="1:9">
      <c r="A4809" s="2"/>
      <c r="B4809" s="2" t="str">
        <f>IFERROR(__xludf.DUMMYFUNCTION("IF(A4809&lt;&gt;"""", GOOGLETRANSLATE(A4809, ""en"", ""te""),"""")"),"")</f>
        <v/>
      </c>
      <c r="C4809" s="2"/>
      <c r="D4809" s="2" t="str">
        <f>IFERROR(__xludf.DUMMYFUNCTION("IF(C4809&lt;&gt;"""", GOOGLETRANSLATE(C4809, ""en"", ""te""),"""")"),"")</f>
        <v/>
      </c>
      <c r="E4809" s="2"/>
      <c r="F4809" s="2" t="str">
        <f>IFERROR(__xludf.DUMMYFUNCTION("IF(E4809&lt;&gt;"""", GOOGLETRANSLATE(E4809, ""en"", ""te""),"""")"),"")</f>
        <v/>
      </c>
      <c r="G4809" s="2"/>
      <c r="H4809" s="2" t="str">
        <f>IFERROR(__xludf.DUMMYFUNCTION("IF(G4809&lt;&gt;"""", GOOGLETRANSLATE(G4809, ""en"", ""te""),"""")"),"")</f>
        <v/>
      </c>
      <c r="I4809" s="3"/>
    </row>
    <row r="4810" customHeight="1" spans="1:9">
      <c r="A4810" s="2"/>
      <c r="B4810" s="2" t="str">
        <f>IFERROR(__xludf.DUMMYFUNCTION("IF(A4810&lt;&gt;"""", GOOGLETRANSLATE(A4810, ""en"", ""te""),"""")"),"")</f>
        <v/>
      </c>
      <c r="C4810" s="2"/>
      <c r="D4810" s="2" t="str">
        <f>IFERROR(__xludf.DUMMYFUNCTION("IF(C4810&lt;&gt;"""", GOOGLETRANSLATE(C4810, ""en"", ""te""),"""")"),"")</f>
        <v/>
      </c>
      <c r="E4810" s="2"/>
      <c r="F4810" s="2" t="str">
        <f>IFERROR(__xludf.DUMMYFUNCTION("IF(E4810&lt;&gt;"""", GOOGLETRANSLATE(E4810, ""en"", ""te""),"""")"),"")</f>
        <v/>
      </c>
      <c r="G4810" s="2"/>
      <c r="H4810" s="2" t="str">
        <f>IFERROR(__xludf.DUMMYFUNCTION("IF(G4810&lt;&gt;"""", GOOGLETRANSLATE(G4810, ""en"", ""te""),"""")"),"")</f>
        <v/>
      </c>
      <c r="I4810" s="3"/>
    </row>
    <row r="4811" customHeight="1" spans="1:9">
      <c r="A4811" s="2"/>
      <c r="B4811" s="2" t="str">
        <f>IFERROR(__xludf.DUMMYFUNCTION("IF(A4811&lt;&gt;"""", GOOGLETRANSLATE(A4811, ""en"", ""te""),"""")"),"")</f>
        <v/>
      </c>
      <c r="C4811" s="2"/>
      <c r="D4811" s="2" t="str">
        <f>IFERROR(__xludf.DUMMYFUNCTION("IF(C4811&lt;&gt;"""", GOOGLETRANSLATE(C4811, ""en"", ""te""),"""")"),"")</f>
        <v/>
      </c>
      <c r="E4811" s="2"/>
      <c r="F4811" s="2" t="str">
        <f>IFERROR(__xludf.DUMMYFUNCTION("IF(E4811&lt;&gt;"""", GOOGLETRANSLATE(E4811, ""en"", ""te""),"""")"),"")</f>
        <v/>
      </c>
      <c r="G4811" s="2"/>
      <c r="H4811" s="2" t="str">
        <f>IFERROR(__xludf.DUMMYFUNCTION("IF(G4811&lt;&gt;"""", GOOGLETRANSLATE(G4811, ""en"", ""te""),"""")"),"")</f>
        <v/>
      </c>
      <c r="I4811" s="3"/>
    </row>
    <row r="4812" customHeight="1" spans="1:9">
      <c r="A4812" s="2"/>
      <c r="B4812" s="2" t="str">
        <f>IFERROR(__xludf.DUMMYFUNCTION("IF(A4812&lt;&gt;"""", GOOGLETRANSLATE(A4812, ""en"", ""te""),"""")"),"")</f>
        <v/>
      </c>
      <c r="C4812" s="2"/>
      <c r="D4812" s="2" t="str">
        <f>IFERROR(__xludf.DUMMYFUNCTION("IF(C4812&lt;&gt;"""", GOOGLETRANSLATE(C4812, ""en"", ""te""),"""")"),"")</f>
        <v/>
      </c>
      <c r="E4812" s="2"/>
      <c r="F4812" s="2" t="str">
        <f>IFERROR(__xludf.DUMMYFUNCTION("IF(E4812&lt;&gt;"""", GOOGLETRANSLATE(E4812, ""en"", ""te""),"""")"),"")</f>
        <v/>
      </c>
      <c r="G4812" s="2"/>
      <c r="H4812" s="2" t="str">
        <f>IFERROR(__xludf.DUMMYFUNCTION("IF(G4812&lt;&gt;"""", GOOGLETRANSLATE(G4812, ""en"", ""te""),"""")"),"")</f>
        <v/>
      </c>
      <c r="I4812" s="3"/>
    </row>
    <row r="4813" customHeight="1" spans="1:9">
      <c r="A4813" s="2" t="s">
        <v>3323</v>
      </c>
      <c r="B4813" s="2" t="str">
        <f>IFERROR(__xludf.DUMMYFUNCTION("IF(A4813&lt;&gt;"""", GOOGLETRANSLATE(A4813, ""en"", ""te""),"""")"),"[ '10 వ ఇన్నింగ్స్ లో అత్యధిక పరుగులు (బ్యాటింగ్ స్థానంలో ప్రకారం) (48 *)']")</f>
        <v>[ '10 వ ఇన్నింగ్స్ లో అత్యధిక పరుగులు (బ్యాటింగ్ స్థానంలో ప్రకారం) (48 *)']</v>
      </c>
      <c r="C4813" s="2" t="s">
        <v>3324</v>
      </c>
      <c r="D4813" s="2" t="str">
        <f>IFERROR(__xludf.DUMMYFUNCTION("IF(C4813&lt;&gt;"""", GOOGLETRANSLATE(C4813, ""en"", ""te""),"""")"),"[ '10 వ ఇన్నింగ్స్ లో అత్యధిక పరుగులు (బ్యాటింగ్ స్థానంలో ప్రకారం) (48 *)', '13 వ ఒక జీవితంలో అత్యధిక పరుగులు వంద (452) లేకుండా', 'కెరీర్లో 24 వ అతి తక్కువ బాతులు (11)', '32 వ అత్యధిక వికెట్లు కెరీర్ (25) ',' 26 ఒక మ్యాచ్లో బెస్ట్ ఫిగర్స్ (8) ',' 14 వ ఒకే"&amp;" మైదానంలో అత్యధిక వికెట్లు (10) ',' 26 చెత్త కెరీర్ బౌలింగ్ సరాసరి (31.28) ',' 32 వ కెరీర్ లో బౌల్డ్ చాలా బంతుల్లో ( 1962) ',' 20 వ అత్యధిక పరుగులు కెరీర్లో సాధించిన (782) ',' బృందం (13 18 వరుస మ్యాచ్లు) ']")</f>
        <v>[ '10 వ ఇన్నింగ్స్ లో అత్యధిక పరుగులు (బ్యాటింగ్ స్థానంలో ప్రకారం) (48 *)', '13 వ ఒక జీవితంలో అత్యధిక పరుగులు వంద (452) లేకుండా', 'కెరీర్లో 24 వ అతి తక్కువ బాతులు (11)', '32 వ అత్యధిక వికెట్లు కెరీర్ (25) ',' 26 ఒక మ్యాచ్లో బెస్ట్ ఫిగర్స్ (8) ',' 14 వ ఒకే మైదానంలో అత్యధిక వికెట్లు (10) ',' 26 చెత్త కెరీర్ బౌలింగ్ సరాసరి (31.28) ',' 32 వ కెరీర్ లో బౌల్డ్ చాలా బంతుల్లో ( 1962) ',' 20 వ అత్యధిక పరుగులు కెరీర్లో సాధించిన (782) ',' బృందం (13 18 వరుస మ్యాచ్లు) ']</v>
      </c>
      <c r="E4813" s="2" t="s">
        <v>3325</v>
      </c>
      <c r="F4813" s="2" t="str">
        <f>IFERROR(__xludf.DUMMYFUNCTION("IF(E4813&lt;&gt;"""", GOOGLETRANSLATE(E4813, ""en"", ""te""),"""")"),"[ 'ప్రదర్శనల మధ్య 18 వ లాంగెస్ట్ వ్యవధిలో (6y 358d)']")</f>
        <v>[ 'ప్రదర్శనల మధ్య 18 వ లాంగెస్ట్ వ్యవధిలో (6y 358d)']</v>
      </c>
      <c r="G4813" s="2"/>
      <c r="H4813" s="2" t="str">
        <f>IFERROR(__xludf.DUMMYFUNCTION("IF(G4813&lt;&gt;"""", GOOGLETRANSLATE(G4813, ""en"", ""te""),"""")"),"")</f>
        <v/>
      </c>
      <c r="I4813" s="3"/>
    </row>
    <row r="4814" customHeight="1" spans="1:9">
      <c r="A4814" s="2"/>
      <c r="B4814" s="2" t="str">
        <f>IFERROR(__xludf.DUMMYFUNCTION("IF(A4814&lt;&gt;"""", GOOGLETRANSLATE(A4814, ""en"", ""te""),"""")"),"")</f>
        <v/>
      </c>
      <c r="C4814" s="2"/>
      <c r="D4814" s="2" t="str">
        <f>IFERROR(__xludf.DUMMYFUNCTION("IF(C4814&lt;&gt;"""", GOOGLETRANSLATE(C4814, ""en"", ""te""),"""")"),"")</f>
        <v/>
      </c>
      <c r="E4814" s="2"/>
      <c r="F4814" s="2" t="str">
        <f>IFERROR(__xludf.DUMMYFUNCTION("IF(E4814&lt;&gt;"""", GOOGLETRANSLATE(E4814, ""en"", ""te""),"""")"),"")</f>
        <v/>
      </c>
      <c r="G4814" s="2"/>
      <c r="H4814" s="2" t="str">
        <f>IFERROR(__xludf.DUMMYFUNCTION("IF(G4814&lt;&gt;"""", GOOGLETRANSLATE(G4814, ""en"", ""te""),"""")"),"")</f>
        <v/>
      </c>
      <c r="I4814" s="3"/>
    </row>
    <row r="4815" customHeight="1" spans="1:9">
      <c r="A4815" s="2"/>
      <c r="B4815" s="2" t="str">
        <f>IFERROR(__xludf.DUMMYFUNCTION("IF(A4815&lt;&gt;"""", GOOGLETRANSLATE(A4815, ""en"", ""te""),"""")"),"")</f>
        <v/>
      </c>
      <c r="C4815" s="2"/>
      <c r="D4815" s="2" t="str">
        <f>IFERROR(__xludf.DUMMYFUNCTION("IF(C4815&lt;&gt;"""", GOOGLETRANSLATE(C4815, ""en"", ""te""),"""")"),"")</f>
        <v/>
      </c>
      <c r="E4815" s="2"/>
      <c r="F4815" s="2" t="str">
        <f>IFERROR(__xludf.DUMMYFUNCTION("IF(E4815&lt;&gt;"""", GOOGLETRANSLATE(E4815, ""en"", ""te""),"""")"),"")</f>
        <v/>
      </c>
      <c r="G4815" s="2"/>
      <c r="H4815" s="2" t="str">
        <f>IFERROR(__xludf.DUMMYFUNCTION("IF(G4815&lt;&gt;"""", GOOGLETRANSLATE(G4815, ""en"", ""te""),"""")"),"")</f>
        <v/>
      </c>
      <c r="I4815" s="3"/>
    </row>
    <row r="4816" customHeight="1" spans="1:9">
      <c r="A4816" s="2"/>
      <c r="B4816" s="2" t="str">
        <f>IFERROR(__xludf.DUMMYFUNCTION("IF(A4816&lt;&gt;"""", GOOGLETRANSLATE(A4816, ""en"", ""te""),"""")"),"")</f>
        <v/>
      </c>
      <c r="C4816" s="2"/>
      <c r="D4816" s="2" t="str">
        <f>IFERROR(__xludf.DUMMYFUNCTION("IF(C4816&lt;&gt;"""", GOOGLETRANSLATE(C4816, ""en"", ""te""),"""")"),"")</f>
        <v/>
      </c>
      <c r="E4816" s="2"/>
      <c r="F4816" s="2" t="str">
        <f>IFERROR(__xludf.DUMMYFUNCTION("IF(E4816&lt;&gt;"""", GOOGLETRANSLATE(E4816, ""en"", ""te""),"""")"),"")</f>
        <v/>
      </c>
      <c r="G4816" s="2"/>
      <c r="H4816" s="2" t="str">
        <f>IFERROR(__xludf.DUMMYFUNCTION("IF(G4816&lt;&gt;"""", GOOGLETRANSLATE(G4816, ""en"", ""te""),"""")"),"")</f>
        <v/>
      </c>
      <c r="I4816" s="3"/>
    </row>
    <row r="4817" customHeight="1" spans="1:9">
      <c r="A4817" s="2"/>
      <c r="B4817" s="2" t="str">
        <f>IFERROR(__xludf.DUMMYFUNCTION("IF(A4817&lt;&gt;"""", GOOGLETRANSLATE(A4817, ""en"", ""te""),"""")"),"")</f>
        <v/>
      </c>
      <c r="C4817" s="2"/>
      <c r="D4817" s="2" t="str">
        <f>IFERROR(__xludf.DUMMYFUNCTION("IF(C4817&lt;&gt;"""", GOOGLETRANSLATE(C4817, ""en"", ""te""),"""")"),"")</f>
        <v/>
      </c>
      <c r="E4817" s="2"/>
      <c r="F4817" s="2" t="str">
        <f>IFERROR(__xludf.DUMMYFUNCTION("IF(E4817&lt;&gt;"""", GOOGLETRANSLATE(E4817, ""en"", ""te""),"""")"),"")</f>
        <v/>
      </c>
      <c r="G4817" s="2"/>
      <c r="H4817" s="2" t="str">
        <f>IFERROR(__xludf.DUMMYFUNCTION("IF(G4817&lt;&gt;"""", GOOGLETRANSLATE(G4817, ""en"", ""te""),"""")"),"")</f>
        <v/>
      </c>
      <c r="I4817" s="3"/>
    </row>
    <row r="4818" customHeight="1" spans="1:9">
      <c r="A4818" s="2"/>
      <c r="B4818" s="2" t="str">
        <f>IFERROR(__xludf.DUMMYFUNCTION("IF(A4818&lt;&gt;"""", GOOGLETRANSLATE(A4818, ""en"", ""te""),"""")"),"")</f>
        <v/>
      </c>
      <c r="C4818" s="2"/>
      <c r="D4818" s="2" t="str">
        <f>IFERROR(__xludf.DUMMYFUNCTION("IF(C4818&lt;&gt;"""", GOOGLETRANSLATE(C4818, ""en"", ""te""),"""")"),"")</f>
        <v/>
      </c>
      <c r="E4818" s="2"/>
      <c r="F4818" s="2" t="str">
        <f>IFERROR(__xludf.DUMMYFUNCTION("IF(E4818&lt;&gt;"""", GOOGLETRANSLATE(E4818, ""en"", ""te""),"""")"),"")</f>
        <v/>
      </c>
      <c r="G4818" s="2"/>
      <c r="H4818" s="2" t="str">
        <f>IFERROR(__xludf.DUMMYFUNCTION("IF(G4818&lt;&gt;"""", GOOGLETRANSLATE(G4818, ""en"", ""te""),"""")"),"")</f>
        <v/>
      </c>
      <c r="I4818" s="3"/>
    </row>
    <row r="4819" customHeight="1" spans="1:9">
      <c r="A4819" s="2"/>
      <c r="B4819" s="2" t="str">
        <f>IFERROR(__xludf.DUMMYFUNCTION("IF(A4819&lt;&gt;"""", GOOGLETRANSLATE(A4819, ""en"", ""te""),"""")"),"")</f>
        <v/>
      </c>
      <c r="C4819" s="2"/>
      <c r="D4819" s="2" t="str">
        <f>IFERROR(__xludf.DUMMYFUNCTION("IF(C4819&lt;&gt;"""", GOOGLETRANSLATE(C4819, ""en"", ""te""),"""")"),"")</f>
        <v/>
      </c>
      <c r="E4819" s="2"/>
      <c r="F4819" s="2" t="str">
        <f>IFERROR(__xludf.DUMMYFUNCTION("IF(E4819&lt;&gt;"""", GOOGLETRANSLATE(E4819, ""en"", ""te""),"""")"),"")</f>
        <v/>
      </c>
      <c r="G4819" s="2"/>
      <c r="H4819" s="2" t="str">
        <f>IFERROR(__xludf.DUMMYFUNCTION("IF(G4819&lt;&gt;"""", GOOGLETRANSLATE(G4819, ""en"", ""te""),"""")"),"")</f>
        <v/>
      </c>
      <c r="I4819" s="3"/>
    </row>
    <row r="4820" customHeight="1" spans="1:9">
      <c r="A4820" s="2" t="s">
        <v>1671</v>
      </c>
      <c r="B4820" s="2" t="str">
        <f>IFERROR(__xludf.DUMMYFUNCTION("IF(A4820&lt;&gt;"""", GOOGLETRANSLATE(A4820, ""en"", ""te""),"""")"),"[ 'ఒక ఆటలో బదులు ద్వారా 1st అత్యధిక క్యాచ్లు (4)']")</f>
        <v>[ 'ఒక ఆటలో బదులు ద్వారా 1st అత్యధిక క్యాచ్లు (4)']</v>
      </c>
      <c r="C4820" s="2" t="s">
        <v>3326</v>
      </c>
      <c r="D4820" s="2" t="str">
        <f>IFERROR(__xludf.DUMMYFUNCTION("IF(C4820&lt;&gt;"""", GOOGLETRANSLATE(C4820, ""en"", ""te""),"""")"),"[ 'ఒక ఇన్నింగ్స్ లో ఒక ప్రత్యామ్నాయంగా 3 వ అత్యధిక క్యాచ్లు (3)', 'ఒక ఆటలో బదులు ద్వారా 1st అత్యధిక క్యాచ్లు (4)']")</f>
        <v>[ 'ఒక ఇన్నింగ్స్ లో ఒక ప్రత్యామ్నాయంగా 3 వ అత్యధిక క్యాచ్లు (3)', 'ఒక ఆటలో బదులు ద్వారా 1st అత్యధిక క్యాచ్లు (4)']</v>
      </c>
      <c r="E4820" s="2"/>
      <c r="F4820" s="2" t="str">
        <f>IFERROR(__xludf.DUMMYFUNCTION("IF(E4820&lt;&gt;"""", GOOGLETRANSLATE(E4820, ""en"", ""te""),"""")"),"")</f>
        <v/>
      </c>
      <c r="G4820" s="2"/>
      <c r="H4820" s="2" t="str">
        <f>IFERROR(__xludf.DUMMYFUNCTION("IF(G4820&lt;&gt;"""", GOOGLETRANSLATE(G4820, ""en"", ""te""),"""")"),"")</f>
        <v/>
      </c>
      <c r="I4820" s="3"/>
    </row>
    <row r="4821" customHeight="1" spans="1:9">
      <c r="A4821" s="2" t="s">
        <v>3327</v>
      </c>
      <c r="B4821" s="2" t="str">
        <f>IFERROR(__xludf.DUMMYFUNCTION("IF(A4821&lt;&gt;"""", GOOGLETRANSLATE(A4821, ""en"", ""te""),"""")"),"[ '5 వ పురాతన దేశం ఆటగాళ్ళు (92y 217d)']")</f>
        <v>[ '5 వ పురాతన దేశం ఆటగాళ్ళు (92y 217d)']</v>
      </c>
      <c r="C4821" s="2" t="s">
        <v>3327</v>
      </c>
      <c r="D4821" s="2" t="str">
        <f>IFERROR(__xludf.DUMMYFUNCTION("IF(C4821&lt;&gt;"""", GOOGLETRANSLATE(C4821, ""en"", ""te""),"""")"),"[ '5 వ పురాతన దేశం ఆటగాళ్ళు (92y 217d)']")</f>
        <v>[ '5 వ పురాతన దేశం ఆటగాళ్ళు (92y 217d)']</v>
      </c>
      <c r="E4821" s="2"/>
      <c r="F4821" s="2" t="str">
        <f>IFERROR(__xludf.DUMMYFUNCTION("IF(E4821&lt;&gt;"""", GOOGLETRANSLATE(E4821, ""en"", ""te""),"""")"),"")</f>
        <v/>
      </c>
      <c r="G4821" s="2"/>
      <c r="H4821" s="2" t="str">
        <f>IFERROR(__xludf.DUMMYFUNCTION("IF(G4821&lt;&gt;"""", GOOGLETRANSLATE(G4821, ""en"", ""te""),"""")"),"")</f>
        <v/>
      </c>
      <c r="I4821" s="3"/>
    </row>
    <row r="4822" customHeight="1" spans="1:9">
      <c r="A4822" s="2"/>
      <c r="B4822" s="2" t="str">
        <f>IFERROR(__xludf.DUMMYFUNCTION("IF(A4822&lt;&gt;"""", GOOGLETRANSLATE(A4822, ""en"", ""te""),"""")"),"")</f>
        <v/>
      </c>
      <c r="C4822" s="2" t="s">
        <v>3328</v>
      </c>
      <c r="D4822" s="2" t="str">
        <f>IFERROR(__xludf.DUMMYFUNCTION("IF(C4822&lt;&gt;"""", GOOGLETRANSLATE(C4822, ""en"", ""te""),"""")"),"[18 వ ఇన్నింగ్స్ లో అత్యధిక పరుగులు (బ్యాటింగ్ స్థానంలో ప్రకారం) (50) ',' 24th ఒక ఇన్నింగ్స్ లోని బెస్ట్ ఫిగర్స్ ఉన్నప్పుడు పరాజయం వైపు (7) ',' 40 వ మ్యాచ్ లో బెస్ట్ ఫిగర్స్ ఉన్నప్పుడు పరాజయం వైపు (10) ',' పది వికెట్ల లో ఒక మ్యాచ్ పడుతుంది 29 ఓల్డెస్ట్ "&amp;"ఆటగాడు (34y 121d) ']")</f>
        <v>[18 వ ఇన్నింగ్స్ లో అత్యధిక పరుగులు (బ్యాటింగ్ స్థానంలో ప్రకారం) (50) ',' 24th ఒక ఇన్నింగ్స్ లోని బెస్ట్ ఫిగర్స్ ఉన్నప్పుడు పరాజయం వైపు (7) ',' 40 వ మ్యాచ్ లో బెస్ట్ ఫిగర్స్ ఉన్నప్పుడు పరాజయం వైపు (10) ',' పది వికెట్ల లో ఒక మ్యాచ్ పడుతుంది 29 ఓల్డెస్ట్ ఆటగాడు (34y 121d) ']</v>
      </c>
      <c r="E4822" s="2"/>
      <c r="F4822" s="2" t="str">
        <f>IFERROR(__xludf.DUMMYFUNCTION("IF(E4822&lt;&gt;"""", GOOGLETRANSLATE(E4822, ""en"", ""te""),"""")"),"")</f>
        <v/>
      </c>
      <c r="G4822" s="2"/>
      <c r="H4822" s="2" t="str">
        <f>IFERROR(__xludf.DUMMYFUNCTION("IF(G4822&lt;&gt;"""", GOOGLETRANSLATE(G4822, ""en"", ""te""),"""")"),"")</f>
        <v/>
      </c>
      <c r="I4822" s="3"/>
    </row>
    <row r="4823" customHeight="1" spans="1:9">
      <c r="A4823" s="2"/>
      <c r="B4823" s="2" t="str">
        <f>IFERROR(__xludf.DUMMYFUNCTION("IF(A4823&lt;&gt;"""", GOOGLETRANSLATE(A4823, ""en"", ""te""),"""")"),"")</f>
        <v/>
      </c>
      <c r="C4823" s="2"/>
      <c r="D4823" s="2" t="str">
        <f>IFERROR(__xludf.DUMMYFUNCTION("IF(C4823&lt;&gt;"""", GOOGLETRANSLATE(C4823, ""en"", ""te""),"""")"),"")</f>
        <v/>
      </c>
      <c r="E4823" s="2"/>
      <c r="F4823" s="2" t="str">
        <f>IFERROR(__xludf.DUMMYFUNCTION("IF(E4823&lt;&gt;"""", GOOGLETRANSLATE(E4823, ""en"", ""te""),"""")"),"")</f>
        <v/>
      </c>
      <c r="G4823" s="2"/>
      <c r="H4823" s="2" t="str">
        <f>IFERROR(__xludf.DUMMYFUNCTION("IF(G4823&lt;&gt;"""", GOOGLETRANSLATE(G4823, ""en"", ""te""),"""")"),"")</f>
        <v/>
      </c>
      <c r="I4823" s="3"/>
    </row>
    <row r="4824" customHeight="1" spans="1:9">
      <c r="A4824" s="2"/>
      <c r="B4824" s="2" t="str">
        <f>IFERROR(__xludf.DUMMYFUNCTION("IF(A4824&lt;&gt;"""", GOOGLETRANSLATE(A4824, ""en"", ""te""),"""")"),"")</f>
        <v/>
      </c>
      <c r="C4824" s="2"/>
      <c r="D4824" s="2" t="str">
        <f>IFERROR(__xludf.DUMMYFUNCTION("IF(C4824&lt;&gt;"""", GOOGLETRANSLATE(C4824, ""en"", ""te""),"""")"),"")</f>
        <v/>
      </c>
      <c r="E4824" s="2"/>
      <c r="F4824" s="2" t="str">
        <f>IFERROR(__xludf.DUMMYFUNCTION("IF(E4824&lt;&gt;"""", GOOGLETRANSLATE(E4824, ""en"", ""te""),"""")"),"")</f>
        <v/>
      </c>
      <c r="G4824" s="2"/>
      <c r="H4824" s="2" t="str">
        <f>IFERROR(__xludf.DUMMYFUNCTION("IF(G4824&lt;&gt;"""", GOOGLETRANSLATE(G4824, ""en"", ""te""),"""")"),"")</f>
        <v/>
      </c>
      <c r="I4824" s="3"/>
    </row>
    <row r="4825" customHeight="1" spans="1:9">
      <c r="A4825" s="2"/>
      <c r="B4825" s="2" t="str">
        <f>IFERROR(__xludf.DUMMYFUNCTION("IF(A4825&lt;&gt;"""", GOOGLETRANSLATE(A4825, ""en"", ""te""),"""")"),"")</f>
        <v/>
      </c>
      <c r="C4825" s="2"/>
      <c r="D4825" s="2" t="str">
        <f>IFERROR(__xludf.DUMMYFUNCTION("IF(C4825&lt;&gt;"""", GOOGLETRANSLATE(C4825, ""en"", ""te""),"""")"),"")</f>
        <v/>
      </c>
      <c r="E4825" s="2"/>
      <c r="F4825" s="2" t="str">
        <f>IFERROR(__xludf.DUMMYFUNCTION("IF(E4825&lt;&gt;"""", GOOGLETRANSLATE(E4825, ""en"", ""te""),"""")"),"")</f>
        <v/>
      </c>
      <c r="G4825" s="2"/>
      <c r="H4825" s="2" t="str">
        <f>IFERROR(__xludf.DUMMYFUNCTION("IF(G4825&lt;&gt;"""", GOOGLETRANSLATE(G4825, ""en"", ""te""),"""")"),"")</f>
        <v/>
      </c>
      <c r="I4825" s="3"/>
    </row>
    <row r="4826" customHeight="1" spans="1:9">
      <c r="A4826" s="2"/>
      <c r="B4826" s="2" t="str">
        <f>IFERROR(__xludf.DUMMYFUNCTION("IF(A4826&lt;&gt;"""", GOOGLETRANSLATE(A4826, ""en"", ""te""),"""")"),"")</f>
        <v/>
      </c>
      <c r="C4826" s="2"/>
      <c r="D4826" s="2" t="str">
        <f>IFERROR(__xludf.DUMMYFUNCTION("IF(C4826&lt;&gt;"""", GOOGLETRANSLATE(C4826, ""en"", ""te""),"""")"),"")</f>
        <v/>
      </c>
      <c r="E4826" s="2"/>
      <c r="F4826" s="2" t="str">
        <f>IFERROR(__xludf.DUMMYFUNCTION("IF(E4826&lt;&gt;"""", GOOGLETRANSLATE(E4826, ""en"", ""te""),"""")"),"")</f>
        <v/>
      </c>
      <c r="G4826" s="2"/>
      <c r="H4826" s="2" t="str">
        <f>IFERROR(__xludf.DUMMYFUNCTION("IF(G4826&lt;&gt;"""", GOOGLETRANSLATE(G4826, ""en"", ""te""),"""")"),"")</f>
        <v/>
      </c>
      <c r="I4826" s="3"/>
    </row>
    <row r="4827" customHeight="1" spans="1:9">
      <c r="A4827" s="2" t="s">
        <v>3329</v>
      </c>
      <c r="B4827" s="2" t="str">
        <f>IFERROR(__xludf.DUMMYFUNCTION("IF(A4827&lt;&gt;"""", GOOGLETRANSLATE(A4827, ""en"", ""te""),"""")"),"[ '6 వ అత్యుత్తమ ఇన్నింగ్స్ (3/3) విశ్లేషణలలో బౌలింగ్']")</f>
        <v>[ '6 వ అత్యుత్తమ ఇన్నింగ్స్ (3/3) విశ్లేషణలలో బౌలింగ్']</v>
      </c>
      <c r="C4827" s="2" t="s">
        <v>3024</v>
      </c>
      <c r="D4827" s="2" t="str">
        <f>IFERROR(__xludf.DUMMYFUNCTION("IF(C4827&lt;&gt;"""", GOOGLETRANSLATE(C4827, ""en"", ""te""),"""")"),"[18 వ చెత్త ఇన్నింగ్స్ లో సమ్మె రేటు (216.0) ']")</f>
        <v>[18 వ చెత్త ఇన్నింగ్స్ లో సమ్మె రేటు (216.0) ']</v>
      </c>
      <c r="E4827" s="2" t="s">
        <v>3330</v>
      </c>
      <c r="F4827" s="2" t="str">
        <f>IFERROR(__xludf.DUMMYFUNCTION("IF(E4827&lt;&gt;"""", GOOGLETRANSLATE(E4827, ""en"", ""te""),"""")"),"[ '6 వ అత్యుత్తమ ఇన్నింగ్స్ లో బౌలింగ్ విశ్లేషణలు (3/3)', 'ఇన్నింగ్స్ లో 36 వ ఉత్తమ ఆర్థిక రేటు (0.42)']")</f>
        <v>[ '6 వ అత్యుత్తమ ఇన్నింగ్స్ లో బౌలింగ్ విశ్లేషణలు (3/3)', 'ఇన్నింగ్స్ లో 36 వ ఉత్తమ ఆర్థిక రేటు (0.42)']</v>
      </c>
      <c r="G4827" s="2"/>
      <c r="H4827" s="2" t="str">
        <f>IFERROR(__xludf.DUMMYFUNCTION("IF(G4827&lt;&gt;"""", GOOGLETRANSLATE(G4827, ""en"", ""te""),"""")"),"")</f>
        <v/>
      </c>
      <c r="I4827" s="3"/>
    </row>
    <row r="4828" customHeight="1" spans="1:9">
      <c r="A4828" s="2"/>
      <c r="B4828" s="2" t="str">
        <f>IFERROR(__xludf.DUMMYFUNCTION("IF(A4828&lt;&gt;"""", GOOGLETRANSLATE(A4828, ""en"", ""te""),"""")"),"")</f>
        <v/>
      </c>
      <c r="C4828" s="2"/>
      <c r="D4828" s="2" t="str">
        <f>IFERROR(__xludf.DUMMYFUNCTION("IF(C4828&lt;&gt;"""", GOOGLETRANSLATE(C4828, ""en"", ""te""),"""")"),"")</f>
        <v/>
      </c>
      <c r="E4828" s="2"/>
      <c r="F4828" s="2" t="str">
        <f>IFERROR(__xludf.DUMMYFUNCTION("IF(E4828&lt;&gt;"""", GOOGLETRANSLATE(E4828, ""en"", ""te""),"""")"),"")</f>
        <v/>
      </c>
      <c r="G4828" s="2"/>
      <c r="H4828" s="2" t="str">
        <f>IFERROR(__xludf.DUMMYFUNCTION("IF(G4828&lt;&gt;"""", GOOGLETRANSLATE(G4828, ""en"", ""te""),"""")"),"")</f>
        <v/>
      </c>
      <c r="I4828" s="3"/>
    </row>
    <row r="4829" customHeight="1" spans="1:9">
      <c r="A4829" s="2"/>
      <c r="B4829" s="2" t="str">
        <f>IFERROR(__xludf.DUMMYFUNCTION("IF(A4829&lt;&gt;"""", GOOGLETRANSLATE(A4829, ""en"", ""te""),"""")"),"")</f>
        <v/>
      </c>
      <c r="C4829" s="2"/>
      <c r="D4829" s="2" t="str">
        <f>IFERROR(__xludf.DUMMYFUNCTION("IF(C4829&lt;&gt;"""", GOOGLETRANSLATE(C4829, ""en"", ""te""),"""")"),"")</f>
        <v/>
      </c>
      <c r="E4829" s="2"/>
      <c r="F4829" s="2" t="str">
        <f>IFERROR(__xludf.DUMMYFUNCTION("IF(E4829&lt;&gt;"""", GOOGLETRANSLATE(E4829, ""en"", ""te""),"""")"),"")</f>
        <v/>
      </c>
      <c r="G4829" s="2"/>
      <c r="H4829" s="2" t="str">
        <f>IFERROR(__xludf.DUMMYFUNCTION("IF(G4829&lt;&gt;"""", GOOGLETRANSLATE(G4829, ""en"", ""te""),"""")"),"")</f>
        <v/>
      </c>
      <c r="I4829" s="3"/>
    </row>
    <row r="4830" customHeight="1" spans="1:9">
      <c r="A4830" s="2"/>
      <c r="B4830" s="2" t="str">
        <f>IFERROR(__xludf.DUMMYFUNCTION("IF(A4830&lt;&gt;"""", GOOGLETRANSLATE(A4830, ""en"", ""te""),"""")"),"")</f>
        <v/>
      </c>
      <c r="C4830" s="2"/>
      <c r="D4830" s="2" t="str">
        <f>IFERROR(__xludf.DUMMYFUNCTION("IF(C4830&lt;&gt;"""", GOOGLETRANSLATE(C4830, ""en"", ""te""),"""")"),"")</f>
        <v/>
      </c>
      <c r="E4830" s="2"/>
      <c r="F4830" s="2" t="str">
        <f>IFERROR(__xludf.DUMMYFUNCTION("IF(E4830&lt;&gt;"""", GOOGLETRANSLATE(E4830, ""en"", ""te""),"""")"),"")</f>
        <v/>
      </c>
      <c r="G4830" s="2"/>
      <c r="H4830" s="2" t="str">
        <f>IFERROR(__xludf.DUMMYFUNCTION("IF(G4830&lt;&gt;"""", GOOGLETRANSLATE(G4830, ""en"", ""te""),"""")"),"")</f>
        <v/>
      </c>
      <c r="I4830" s="3"/>
    </row>
    <row r="4831" customHeight="1" spans="1:9">
      <c r="A4831" s="2"/>
      <c r="B4831" s="2" t="str">
        <f>IFERROR(__xludf.DUMMYFUNCTION("IF(A4831&lt;&gt;"""", GOOGLETRANSLATE(A4831, ""en"", ""te""),"""")"),"")</f>
        <v/>
      </c>
      <c r="C4831" s="2"/>
      <c r="D4831" s="2" t="str">
        <f>IFERROR(__xludf.DUMMYFUNCTION("IF(C4831&lt;&gt;"""", GOOGLETRANSLATE(C4831, ""en"", ""te""),"""")"),"")</f>
        <v/>
      </c>
      <c r="E4831" s="2"/>
      <c r="F4831" s="2" t="str">
        <f>IFERROR(__xludf.DUMMYFUNCTION("IF(E4831&lt;&gt;"""", GOOGLETRANSLATE(E4831, ""en"", ""te""),"""")"),"")</f>
        <v/>
      </c>
      <c r="G4831" s="2"/>
      <c r="H4831" s="2" t="str">
        <f>IFERROR(__xludf.DUMMYFUNCTION("IF(G4831&lt;&gt;"""", GOOGLETRANSLATE(G4831, ""en"", ""te""),"""")"),"")</f>
        <v/>
      </c>
      <c r="I4831" s="3"/>
    </row>
    <row r="4832" customHeight="1" spans="1:9">
      <c r="A4832" s="2"/>
      <c r="B4832" s="2" t="str">
        <f>IFERROR(__xludf.DUMMYFUNCTION("IF(A4832&lt;&gt;"""", GOOGLETRANSLATE(A4832, ""en"", ""te""),"""")"),"")</f>
        <v/>
      </c>
      <c r="C4832" s="2"/>
      <c r="D4832" s="2" t="str">
        <f>IFERROR(__xludf.DUMMYFUNCTION("IF(C4832&lt;&gt;"""", GOOGLETRANSLATE(C4832, ""en"", ""te""),"""")"),"")</f>
        <v/>
      </c>
      <c r="E4832" s="2"/>
      <c r="F4832" s="2" t="str">
        <f>IFERROR(__xludf.DUMMYFUNCTION("IF(E4832&lt;&gt;"""", GOOGLETRANSLATE(E4832, ""en"", ""te""),"""")"),"")</f>
        <v/>
      </c>
      <c r="G4832" s="2"/>
      <c r="H4832" s="2" t="str">
        <f>IFERROR(__xludf.DUMMYFUNCTION("IF(G4832&lt;&gt;"""", GOOGLETRANSLATE(G4832, ""en"", ""te""),"""")"),"")</f>
        <v/>
      </c>
      <c r="I4832" s="3"/>
    </row>
    <row r="4833" customHeight="1" spans="1:9">
      <c r="A4833" s="2"/>
      <c r="B4833" s="2" t="str">
        <f>IFERROR(__xludf.DUMMYFUNCTION("IF(A4833&lt;&gt;"""", GOOGLETRANSLATE(A4833, ""en"", ""te""),"""")"),"")</f>
        <v/>
      </c>
      <c r="C4833" s="2"/>
      <c r="D4833" s="2" t="str">
        <f>IFERROR(__xludf.DUMMYFUNCTION("IF(C4833&lt;&gt;"""", GOOGLETRANSLATE(C4833, ""en"", ""te""),"""")"),"")</f>
        <v/>
      </c>
      <c r="E4833" s="2"/>
      <c r="F4833" s="2" t="str">
        <f>IFERROR(__xludf.DUMMYFUNCTION("IF(E4833&lt;&gt;"""", GOOGLETRANSLATE(E4833, ""en"", ""te""),"""")"),"")</f>
        <v/>
      </c>
      <c r="G4833" s="2"/>
      <c r="H4833" s="2" t="str">
        <f>IFERROR(__xludf.DUMMYFUNCTION("IF(G4833&lt;&gt;"""", GOOGLETRANSLATE(G4833, ""en"", ""te""),"""")"),"")</f>
        <v/>
      </c>
      <c r="I4833" s="3"/>
    </row>
    <row r="4834" customHeight="1" spans="1:9">
      <c r="A4834" s="2"/>
      <c r="B4834" s="2" t="str">
        <f>IFERROR(__xludf.DUMMYFUNCTION("IF(A4834&lt;&gt;"""", GOOGLETRANSLATE(A4834, ""en"", ""te""),"""")"),"")</f>
        <v/>
      </c>
      <c r="C4834" s="2"/>
      <c r="D4834" s="2" t="str">
        <f>IFERROR(__xludf.DUMMYFUNCTION("IF(C4834&lt;&gt;"""", GOOGLETRANSLATE(C4834, ""en"", ""te""),"""")"),"")</f>
        <v/>
      </c>
      <c r="E4834" s="2"/>
      <c r="F4834" s="2" t="str">
        <f>IFERROR(__xludf.DUMMYFUNCTION("IF(E4834&lt;&gt;"""", GOOGLETRANSLATE(E4834, ""en"", ""te""),"""")"),"")</f>
        <v/>
      </c>
      <c r="G4834" s="2"/>
      <c r="H4834" s="2" t="str">
        <f>IFERROR(__xludf.DUMMYFUNCTION("IF(G4834&lt;&gt;"""", GOOGLETRANSLATE(G4834, ""en"", ""te""),"""")"),"")</f>
        <v/>
      </c>
      <c r="I4834" s="3"/>
    </row>
    <row r="4835" customHeight="1" spans="1:9">
      <c r="A4835" s="2"/>
      <c r="B4835" s="2" t="str">
        <f>IFERROR(__xludf.DUMMYFUNCTION("IF(A4835&lt;&gt;"""", GOOGLETRANSLATE(A4835, ""en"", ""te""),"""")"),"")</f>
        <v/>
      </c>
      <c r="C4835" s="2"/>
      <c r="D4835" s="2" t="str">
        <f>IFERROR(__xludf.DUMMYFUNCTION("IF(C4835&lt;&gt;"""", GOOGLETRANSLATE(C4835, ""en"", ""te""),"""")"),"")</f>
        <v/>
      </c>
      <c r="E4835" s="2"/>
      <c r="F4835" s="2" t="str">
        <f>IFERROR(__xludf.DUMMYFUNCTION("IF(E4835&lt;&gt;"""", GOOGLETRANSLATE(E4835, ""en"", ""te""),"""")"),"")</f>
        <v/>
      </c>
      <c r="G4835" s="2"/>
      <c r="H4835" s="2" t="str">
        <f>IFERROR(__xludf.DUMMYFUNCTION("IF(G4835&lt;&gt;"""", GOOGLETRANSLATE(G4835, ""en"", ""te""),"""")"),"")</f>
        <v/>
      </c>
      <c r="I4835" s="3"/>
    </row>
    <row r="4836" customHeight="1" spans="1:9">
      <c r="A4836" s="2"/>
      <c r="B4836" s="2" t="str">
        <f>IFERROR(__xludf.DUMMYFUNCTION("IF(A4836&lt;&gt;"""", GOOGLETRANSLATE(A4836, ""en"", ""te""),"""")"),"")</f>
        <v/>
      </c>
      <c r="C4836" s="2"/>
      <c r="D4836" s="2" t="str">
        <f>IFERROR(__xludf.DUMMYFUNCTION("IF(C4836&lt;&gt;"""", GOOGLETRANSLATE(C4836, ""en"", ""te""),"""")"),"")</f>
        <v/>
      </c>
      <c r="E4836" s="2"/>
      <c r="F4836" s="2" t="str">
        <f>IFERROR(__xludf.DUMMYFUNCTION("IF(E4836&lt;&gt;"""", GOOGLETRANSLATE(E4836, ""en"", ""te""),"""")"),"")</f>
        <v/>
      </c>
      <c r="G4836" s="2"/>
      <c r="H4836" s="2" t="str">
        <f>IFERROR(__xludf.DUMMYFUNCTION("IF(G4836&lt;&gt;"""", GOOGLETRANSLATE(G4836, ""en"", ""te""),"""")"),"")</f>
        <v/>
      </c>
      <c r="I4836" s="3"/>
    </row>
    <row r="4837" customHeight="1" spans="1:9">
      <c r="A4837" s="2"/>
      <c r="B4837" s="2" t="str">
        <f>IFERROR(__xludf.DUMMYFUNCTION("IF(A4837&lt;&gt;"""", GOOGLETRANSLATE(A4837, ""en"", ""te""),"""")"),"")</f>
        <v/>
      </c>
      <c r="C4837" s="2" t="s">
        <v>3331</v>
      </c>
      <c r="D4837" s="2" t="str">
        <f>IFERROR(__xludf.DUMMYFUNCTION("IF(C4837&lt;&gt;"""", GOOGLETRANSLATE(C4837, ""en"", ""te""),"""")"),"[ '45 వ లాంగెస్ట్ వ్యక్తిగత ఇన్నింగ్స్ (నిమిషాలు) (671)']")</f>
        <v>[ '45 వ లాంగెస్ట్ వ్యక్తిగత ఇన్నింగ్స్ (నిమిషాలు) (671)']</v>
      </c>
      <c r="E4837" s="2"/>
      <c r="F4837" s="2" t="str">
        <f>IFERROR(__xludf.DUMMYFUNCTION("IF(E4837&lt;&gt;"""", GOOGLETRANSLATE(E4837, ""en"", ""te""),"""")"),"")</f>
        <v/>
      </c>
      <c r="G4837" s="2"/>
      <c r="H4837" s="2" t="str">
        <f>IFERROR(__xludf.DUMMYFUNCTION("IF(G4837&lt;&gt;"""", GOOGLETRANSLATE(G4837, ""en"", ""te""),"""")"),"")</f>
        <v/>
      </c>
      <c r="I4837" s="3"/>
    </row>
    <row r="4838" customHeight="1" spans="1:9">
      <c r="A4838" s="2" t="s">
        <v>3332</v>
      </c>
      <c r="B4838" s="2" t="str">
        <f>IFERROR(__xludf.DUMMYFUNCTION("IF(A4838&lt;&gt;"""", GOOGLETRANSLATE(A4838, ""en"", ""te""),"""")"),"[ '5 వ ఉత్తమ సమ్మె ఇన్నింగ్స్ లో రేటు (6.0)']")</f>
        <v>[ '5 వ ఉత్తమ సమ్మె ఇన్నింగ్స్ లో రేటు (6.0)']</v>
      </c>
      <c r="C4838" s="2" t="s">
        <v>3333</v>
      </c>
      <c r="D4838" s="2" t="str">
        <f>IFERROR(__xludf.DUMMYFUNCTION("IF(C4838&lt;&gt;"""", GOOGLETRANSLATE(C4838, ""en"", ""te""),"""")"),"[ '35 వ చెత్త కెరీర్ బౌలింగ్ సరాసరి (అర్హత లేకుండా) (67.60)', 'ఇన్నింగ్స్ లో 23 చెత్త ఆర్థిక రేటు (4.28)']")</f>
        <v>[ '35 వ చెత్త కెరీర్ బౌలింగ్ సరాసరి (అర్హత లేకుండా) (67.60)', 'ఇన్నింగ్స్ లో 23 చెత్త ఆర్థిక రేటు (4.28)']</v>
      </c>
      <c r="E4838" s="2" t="s">
        <v>3334</v>
      </c>
      <c r="F4838" s="2" t="str">
        <f>IFERROR(__xludf.DUMMYFUNCTION("IF(E4838&lt;&gt;"""", GOOGLETRANSLATE(E4838, ""en"", ""te""),"""")"),"[ '11 వ ఇన్నింగ్స్ లో అత్యధిక పరుగులు (బ్యాటింగ్ స్థానంలో ప్రకారం) (45 *)', '11 వ ఒక ఇన్నింగ్స్ లోని బెస్ట్ ఫిగర్స్ ఉన్నప్పుడు పరాజయం వైపు (4)', 'ఇన్నింగ్స్ లో 5 వ ఉత్తమ సమ్మె రేటు (6.0)', ' అరంగేట్రంలోనే ఇన్నింగ్స్లో 15 బెస్ట్ ఫిగర్స్ (3) ',' ఎనిమిదవ వి"&amp;"కెట్కు 12 వ అత్యధిక భాగస్వామ్యం (60 *) ']")</f>
        <v>[ '11 వ ఇన్నింగ్స్ లో అత్యధిక పరుగులు (బ్యాటింగ్ స్థానంలో ప్రకారం) (45 *)', '11 వ ఒక ఇన్నింగ్స్ లోని బెస్ట్ ఫిగర్స్ ఉన్నప్పుడు పరాజయం వైపు (4)', 'ఇన్నింగ్స్ లో 5 వ ఉత్తమ సమ్మె రేటు (6.0)', ' అరంగేట్రంలోనే ఇన్నింగ్స్లో 15 బెస్ట్ ఫిగర్స్ (3) ',' ఎనిమిదవ వికెట్కు 12 వ అత్యధిక భాగస్వామ్యం (60 *) ']</v>
      </c>
      <c r="G4838" s="2"/>
      <c r="H4838" s="2" t="str">
        <f>IFERROR(__xludf.DUMMYFUNCTION("IF(G4838&lt;&gt;"""", GOOGLETRANSLATE(G4838, ""en"", ""te""),"""")"),"")</f>
        <v/>
      </c>
      <c r="I4838" s="3"/>
    </row>
    <row r="4839" customHeight="1" spans="1:9">
      <c r="A4839" s="2"/>
      <c r="B4839" s="2" t="str">
        <f>IFERROR(__xludf.DUMMYFUNCTION("IF(A4839&lt;&gt;"""", GOOGLETRANSLATE(A4839, ""en"", ""te""),"""")"),"")</f>
        <v/>
      </c>
      <c r="C4839" s="2"/>
      <c r="D4839" s="2" t="str">
        <f>IFERROR(__xludf.DUMMYFUNCTION("IF(C4839&lt;&gt;"""", GOOGLETRANSLATE(C4839, ""en"", ""te""),"""")"),"")</f>
        <v/>
      </c>
      <c r="E4839" s="2"/>
      <c r="F4839" s="2" t="str">
        <f>IFERROR(__xludf.DUMMYFUNCTION("IF(E4839&lt;&gt;"""", GOOGLETRANSLATE(E4839, ""en"", ""te""),"""")"),"")</f>
        <v/>
      </c>
      <c r="G4839" s="2"/>
      <c r="H4839" s="2" t="str">
        <f>IFERROR(__xludf.DUMMYFUNCTION("IF(G4839&lt;&gt;"""", GOOGLETRANSLATE(G4839, ""en"", ""te""),"""")"),"")</f>
        <v/>
      </c>
      <c r="I4839" s="3"/>
    </row>
    <row r="4840" customHeight="1" spans="1:9">
      <c r="A4840" s="2"/>
      <c r="B4840" s="2" t="str">
        <f>IFERROR(__xludf.DUMMYFUNCTION("IF(A4840&lt;&gt;"""", GOOGLETRANSLATE(A4840, ""en"", ""te""),"""")"),"")</f>
        <v/>
      </c>
      <c r="C4840" s="2" t="s">
        <v>3335</v>
      </c>
      <c r="D4840" s="2" t="str">
        <f>IFERROR(__xludf.DUMMYFUNCTION("IF(C4840&lt;&gt;"""", GOOGLETRANSLATE(C4840, ""en"", ""te""),"""")"),"[ '32 వ ఉత్తమ కెరీర్ (11.00) (అర్హత లేకుండా) సగటు బౌలింగ్', '12 వ పురాతన దేశం ఆటగాళ్ళు (91y 92d)']")</f>
        <v>[ '32 వ ఉత్తమ కెరీర్ (11.00) (అర్హత లేకుండా) సగటు బౌలింగ్', '12 వ పురాతన దేశం ఆటగాళ్ళు (91y 92d)']</v>
      </c>
      <c r="E4840" s="2"/>
      <c r="F4840" s="2" t="str">
        <f>IFERROR(__xludf.DUMMYFUNCTION("IF(E4840&lt;&gt;"""", GOOGLETRANSLATE(E4840, ""en"", ""te""),"""")"),"")</f>
        <v/>
      </c>
      <c r="G4840" s="2"/>
      <c r="H4840" s="2" t="str">
        <f>IFERROR(__xludf.DUMMYFUNCTION("IF(G4840&lt;&gt;"""", GOOGLETRANSLATE(G4840, ""en"", ""te""),"""")"),"")</f>
        <v/>
      </c>
      <c r="I4840" s="3"/>
    </row>
    <row r="4841" customHeight="1" spans="1:9">
      <c r="A4841" s="2"/>
      <c r="B4841" s="2" t="str">
        <f>IFERROR(__xludf.DUMMYFUNCTION("IF(A4841&lt;&gt;"""", GOOGLETRANSLATE(A4841, ""en"", ""te""),"""")"),"")</f>
        <v/>
      </c>
      <c r="C4841" s="2"/>
      <c r="D4841" s="2" t="str">
        <f>IFERROR(__xludf.DUMMYFUNCTION("IF(C4841&lt;&gt;"""", GOOGLETRANSLATE(C4841, ""en"", ""te""),"""")"),"")</f>
        <v/>
      </c>
      <c r="E4841" s="2"/>
      <c r="F4841" s="2" t="str">
        <f>IFERROR(__xludf.DUMMYFUNCTION("IF(E4841&lt;&gt;"""", GOOGLETRANSLATE(E4841, ""en"", ""te""),"""")"),"")</f>
        <v/>
      </c>
      <c r="G4841" s="2"/>
      <c r="H4841" s="2" t="str">
        <f>IFERROR(__xludf.DUMMYFUNCTION("IF(G4841&lt;&gt;"""", GOOGLETRANSLATE(G4841, ""en"", ""te""),"""")"),"")</f>
        <v/>
      </c>
      <c r="I4841" s="3"/>
    </row>
    <row r="4842" customHeight="1" spans="1:9">
      <c r="A4842" s="2"/>
      <c r="B4842" s="2" t="str">
        <f>IFERROR(__xludf.DUMMYFUNCTION("IF(A4842&lt;&gt;"""", GOOGLETRANSLATE(A4842, ""en"", ""te""),"""")"),"")</f>
        <v/>
      </c>
      <c r="C4842" s="2"/>
      <c r="D4842" s="2" t="str">
        <f>IFERROR(__xludf.DUMMYFUNCTION("IF(C4842&lt;&gt;"""", GOOGLETRANSLATE(C4842, ""en"", ""te""),"""")"),"")</f>
        <v/>
      </c>
      <c r="E4842" s="2"/>
      <c r="F4842" s="2" t="str">
        <f>IFERROR(__xludf.DUMMYFUNCTION("IF(E4842&lt;&gt;"""", GOOGLETRANSLATE(E4842, ""en"", ""te""),"""")"),"")</f>
        <v/>
      </c>
      <c r="G4842" s="2"/>
      <c r="H4842" s="2" t="str">
        <f>IFERROR(__xludf.DUMMYFUNCTION("IF(G4842&lt;&gt;"""", GOOGLETRANSLATE(G4842, ""en"", ""te""),"""")"),"")</f>
        <v/>
      </c>
      <c r="I4842" s="3"/>
    </row>
    <row r="4843" customHeight="1" spans="1:9">
      <c r="A4843" s="2"/>
      <c r="B4843" s="2" t="str">
        <f>IFERROR(__xludf.DUMMYFUNCTION("IF(A4843&lt;&gt;"""", GOOGLETRANSLATE(A4843, ""en"", ""te""),"""")"),"")</f>
        <v/>
      </c>
      <c r="C4843" s="2"/>
      <c r="D4843" s="2" t="str">
        <f>IFERROR(__xludf.DUMMYFUNCTION("IF(C4843&lt;&gt;"""", GOOGLETRANSLATE(C4843, ""en"", ""te""),"""")"),"")</f>
        <v/>
      </c>
      <c r="E4843" s="2"/>
      <c r="F4843" s="2" t="str">
        <f>IFERROR(__xludf.DUMMYFUNCTION("IF(E4843&lt;&gt;"""", GOOGLETRANSLATE(E4843, ""en"", ""te""),"""")"),"")</f>
        <v/>
      </c>
      <c r="G4843" s="2"/>
      <c r="H4843" s="2" t="str">
        <f>IFERROR(__xludf.DUMMYFUNCTION("IF(G4843&lt;&gt;"""", GOOGLETRANSLATE(G4843, ""en"", ""te""),"""")"),"")</f>
        <v/>
      </c>
      <c r="I4843" s="3"/>
    </row>
    <row r="4844" customHeight="1" spans="1:9">
      <c r="A4844" s="2" t="s">
        <v>3336</v>
      </c>
      <c r="B4844" s="2" t="str">
        <f>IFERROR(__xludf.DUMMYFUNCTION("IF(A4844&lt;&gt;"""", GOOGLETRANSLATE(A4844, ""en"", ""te""),"""")"),"[ 'ఇన్నింగ్స్ లో 7 వ అత్యధిక పరుగులు (బ్యాటింగ్ స్థానంలో ప్రకారం) (62)', '5 వ మ్యాచ్ లో బెస్ట్ ఫిగర్స్ (10)', '4 వ ఉత్తమ కెరీర్ సమ్మె రేటు (49.3)', 'పది వికెట్లు తీసుకోవాలని 1st పిన్న ఆటగాడు -ఇన్-ఒక-మ్యాచ్ (23y 277d) ',' 1 వ అత్యధిక వికెట్లు తీసుకున్న ఎల్"&amp;"బిడబ్ల్యు (17) ',' 3 వ లాంగెస్ట్ కెరీర్లు (19y 70d) ',' 4 వ ఇన్నింగ్స్ లో అత్యధిక పరుగులు (బ్యాటింగ్ స్థానంలో ప్రకారం) (43 *) ' 'కెరీర్లో 1st చాలా బాతులు (17)', '1st ఒక ఇన్నింగ్స్ లోని బెస్ట్ ఫిగర్స్ ఉన్నప్పుడు పరాజయం వైపు (6)', '3 వ అత్యంత నాలుగు వికెట్"&amp;"లు-ఇన్-ఒక-ఇన్నింగ్స్ కెరీర్లో (9)', ' కెరీర్ (9069) లో బౌల్డ్ 1st చాలా బంతుల్లో ',' 1 వ అత్యధిక కెరీర్ లో సాధించిన పరుగులు (4972) ',' 1 వ అత్యధిక వికెట్లు తీసుకున్న ఎల్బిడబ్ల్యు (52) ',' కెరీర్ లో 2 వ అత్యధిక క్యాచ్లు (64) ',' 1000 పరుగులు మరియు 100 వికెట"&amp;"్స్ ',' 1000 పరుగులు, 50 వికెట్లు, 50 క్యాచ్లు ',' ఇన్నింగ్స్ లో 2 వ అత్యధిక పరుగులు (బ్యాటింగ్ స్థానంలో ప్రకారం) (37 *) ',' 3 వ అత్యంత పనికత్తెలయొద్ద కెరీర్లో (14) ',' 5 వ అత్యధిక వికెట్లు బౌల్డ్ తీసుకున్న ( 26) ']")</f>
        <v>[ 'ఇన్నింగ్స్ లో 7 వ అత్యధిక పరుగులు (బ్యాటింగ్ స్థానంలో ప్రకారం) (62)', '5 వ మ్యాచ్ లో బెస్ట్ ఫిగర్స్ (10)', '4 వ ఉత్తమ కెరీర్ సమ్మె రేటు (49.3)', 'పది వికెట్లు తీసుకోవాలని 1st పిన్న ఆటగాడు -ఇన్-ఒక-మ్యాచ్ (23y 277d) ',' 1 వ అత్యధిక వికెట్లు తీసుకున్న ఎల్బిడబ్ల్యు (17) ',' 3 వ లాంగెస్ట్ కెరీర్లు (19y 70d) ',' 4 వ ఇన్నింగ్స్ లో అత్యధిక పరుగులు (బ్యాటింగ్ స్థానంలో ప్రకారం) (43 *) ' 'కెరీర్లో 1st చాలా బాతులు (17)', '1st ఒక ఇన్నింగ్స్ లోని బెస్ట్ ఫిగర్స్ ఉన్నప్పుడు పరాజయం వైపు (6)', '3 వ అత్యంత నాలుగు వికెట్లు-ఇన్-ఒక-ఇన్నింగ్స్ కెరీర్లో (9)', ' కెరీర్ (9069) లో బౌల్డ్ 1st చాలా బంతుల్లో ',' 1 వ అత్యధిక కెరీర్ లో సాధించిన పరుగులు (4972) ',' 1 వ అత్యధిక వికెట్లు తీసుకున్న ఎల్బిడబ్ల్యు (52) ',' కెరీర్ లో 2 వ అత్యధిక క్యాచ్లు (64) ',' 1000 పరుగులు మరియు 100 వికెట్స్ ',' 1000 పరుగులు, 50 వికెట్లు, 50 క్యాచ్లు ',' ఇన్నింగ్స్ లో 2 వ అత్యధిక పరుగులు (బ్యాటింగ్ స్థానంలో ప్రకారం) (37 *) ',' 3 వ అత్యంత పనికత్తెలయొద్ద కెరీర్లో (14) ',' 5 వ అత్యధిక వికెట్లు బౌల్డ్ తీసుకున్న ( 26) ']</v>
      </c>
      <c r="C4844" s="2" t="s">
        <v>3337</v>
      </c>
      <c r="D4844" s="2" t="str">
        <f>IFERROR(__xludf.DUMMYFUNCTION("IF(C4844&lt;&gt;"""", GOOGLETRANSLATE(C4844, ""en"", ""te""),"""")"),"[ 'ఇన్నింగ్స్ లో 7 వ అత్యధిక పరుగులు (బ్యాటింగ్ స్థానంలో ప్రకారం) (62)', '14 వ కెరీర్ లో అత్యధిక వికెట్లు (40)', '5 వ మ్యాచ్ లో బెస్ట్ ఫిగర్స్ (10)', '27 ఒక సిరీస్లో అత్యధిక వికెట్లు (15 ) ',' 11 వ ఒక క్యాలెండర్ సంవత్సరంలో అత్యధిక వికెట్లు (19) ',' 11 వ అ"&amp;"త్యుత్తమ బౌలింగ్ ఇన్నింగ్స్ లో ఒకే క్రీడా విశ్లేషణలను (5/25) ',' 7 వ అత్యధిక వికెట్లు (13) ',' 15 వ ఉత్తమ ఒక లో సంఖ్యలు ఇన్నింగ్స్ ఉన్నప్పుడు పరాజయం వైపు (4) ',' 9 వ ఉత్తమ కెరీర్ బౌలింగ్ సరాసరి (16.62) ',' 4 వ ఉత్తమ కెరీర్ సమ్మె రేటు (49.3) ',' ఇన్నింగ్స"&amp;"్ లో 17 వ ఉత్తమ సమ్మె రేటు (15.6) ',' 5 వ అత్యంత ఐదు -wickets-ఇన్-ఒక-ఇన్నింగ్స్ కెరీర్లో (3) ',' 2 వ అత్యంత పది వికెట్లు లో ఒక మ్యాచ్ ఒక వృత్తిలో (1) ',' 2 వ వరుస ఐదు వికెట్ల లో-ఒక-ఇన్నింగ్స్ ( 2) ',' ఐదు వికెట్ల లో-ఒక-ఇన్నింగ్స్ తీసుకోవాలని 15 వ పిన్న వయ"&amp;"స్కుడిగా నిలిచాడు (22y 361d) ',' పది వికెట్ల లో ఒక మ్యాచ్ పడుతుంది 1st పిన్న ఆటగాడు (23y 277d) ',' 31 మోస్ట్ బంతుల్లో కెరీర్లో బౌల్డ్ (1972) ',' 2 వ బౌలర్ / బ్యాట్స్ కలయికలు (5) ',' 3 వ భాగం ఒక వికెట్ కీపర్ చే కాట్ తీసుకోబడిన వికెట్ల (10) ',' 1 వ అత్యధిక "&amp;"వికెట్లు తీసుకున్న ఎల్బిడబ్ల్యు (17) ',' 33 వ లాంగెస్ట్ కెరీర్లు (12y 309d) ']")</f>
        <v>[ 'ఇన్నింగ్స్ లో 7 వ అత్యధిక పరుగులు (బ్యాటింగ్ స్థానంలో ప్రకారం) (62)', '14 వ కెరీర్ లో అత్యధిక వికెట్లు (40)', '5 వ మ్యాచ్ లో బెస్ట్ ఫిగర్స్ (10)', '27 ఒక సిరీస్లో అత్యధిక వికెట్లు (15 ) ',' 11 వ ఒక క్యాలెండర్ సంవత్సరంలో అత్యధిక వికెట్లు (19) ',' 11 వ అత్యుత్తమ బౌలింగ్ ఇన్నింగ్స్ లో ఒకే క్రీడా విశ్లేషణలను (5/25) ',' 7 వ అత్యధిక వికెట్లు (13) ',' 15 వ ఉత్తమ ఒక లో సంఖ్యలు ఇన్నింగ్స్ ఉన్నప్పుడు పరాజయం వైపు (4) ',' 9 వ ఉత్తమ కెరీర్ బౌలింగ్ సరాసరి (16.62) ',' 4 వ ఉత్తమ కెరీర్ సమ్మె రేటు (49.3) ',' ఇన్నింగ్స్ లో 17 వ ఉత్తమ సమ్మె రేటు (15.6) ',' 5 వ అత్యంత ఐదు -wickets-ఇన్-ఒక-ఇన్నింగ్స్ కెరీర్లో (3) ',' 2 వ అత్యంత పది వికెట్లు లో ఒక మ్యాచ్ ఒక వృత్తిలో (1) ',' 2 వ వరుస ఐదు వికెట్ల లో-ఒక-ఇన్నింగ్స్ ( 2) ',' ఐదు వికెట్ల లో-ఒక-ఇన్నింగ్స్ తీసుకోవాలని 15 వ పిన్న వయస్కుడిగా నిలిచాడు (22y 361d) ',' పది వికెట్ల లో ఒక మ్యాచ్ పడుతుంది 1st పిన్న ఆటగాడు (23y 277d) ',' 31 మోస్ట్ బంతుల్లో కెరీర్లో బౌల్డ్ (1972) ',' 2 వ బౌలర్ / బ్యాట్స్ కలయికలు (5) ',' 3 వ భాగం ఒక వికెట్ కీపర్ చే కాట్ తీసుకోబడిన వికెట్ల (10) ',' 1 వ అత్యధిక వికెట్లు తీసుకున్న ఎల్బిడబ్ల్యు (17) ',' 33 వ లాంగెస్ట్ కెరీర్లు (12y 309d) ']</v>
      </c>
      <c r="E4844" s="2" t="s">
        <v>3338</v>
      </c>
      <c r="F4844" s="2" t="str">
        <f>IFERROR(__xludf.DUMMYFUNCTION("IF(E4844&lt;&gt;"""", GOOGLETRANSLATE(E4844, ""en"", ""te""),"""")"),"[ '4 వ అత్యంత ఇన్నింగ్స్ లో నడుస్తుంది (బ్యాటింగ్ స్థానం) (43 *)' 'కెరీర్లో 1st చాలా బాతులు (17)', 'వంద (1085) లేకుండా ఒక కెరీర్లో 27 వ అత్యధిక పరుగులు', '1st ఇందులో అత్యంత వికెట్లు వరుస ఇన్నింగ్స్ లో కెరీర్ (233) ',' 12 వ బెస్ట్ ఫిగర్స్ (6/31) ',' 11 వ అ"&amp;"త్యధిక వికెట్లు (24) ', '21 వ ఒక క్యాలెండర్ సంవత్సరంలో అత్యధిక వికెట్లు (24)', '7 వ అత్యుత్తమ బౌలింగ్ విశ్లేషణలు ఒక ఇన్నింగ్స్ లో (6/31) ',' 10th ఒకే మైదానంలో అత్యధిక వికెట్లు (16) ',' ఒక కెప్టెన్తో ఒక ఇన్నింగ్స్ లో 1 వ బెస్ట్ ఫిగర్స్ (6) ',' 1st ఒక ఇన్న"&amp;"ింగ్స్ లోని బెస్ట్ ఫిగర్స్ కోల్పోకుండా వైపు ఉన్నప్పుడు (6) ',' 7 వ అత్యంత ఐదు-వికెట్ల లో-ఒక-ఇన్నింగ్స్ కెరీర్లో (2) ',' 3 వ అత్యంత నాలుగు వికెట్లు-ఇన్-ఒక-ఇన్నింగ్స్ కెరీర్లో (9) ',' 28th పిన్న ఆటగాడు ఐదు వికెట్ల తేడాతో-ఒక-ఇన్నింగ్స్ లో పడుతుంది (23y 12D)"&amp;" ',' 1st చాలా బంతుల్లో కెరీర్లో బౌల్డ్ (9069) ',' 1st కెరీర్లో సాధించిన అత్యధిక పరుగులు (4972) ',' 5 వ బౌలర్ / బ్యాట్స్ కలయికలు (7) ' '33 వ బౌలర్ / ఫీల్డర్ కలయికలు (11)', '1 వ అత్యధిక వికెట్లు బౌల్డ్ తీసుకున్న (89)', '4 వ అత్యధిక వికెట్లు తీసుకున్న ఆకర్షి"&amp;"ంచింది (91)', '7 వ అత్యధిక వికెట్లు ఒక ఫీల్డర్ చేత క్యాచ్ తీసుకున్న (58)', '1st మో స్టంప్ ఒక వికెట్ కీపర్ చే కాట్ తీసుకోబడిన వికెట్ల (33) ',' 1 వ అత్యధిక వికెట్లు తీసుకున్న ఎల్బిడబ్ల్యు (52) ',' కెరీర్ లో 2 వ అత్యధిక క్యాచ్లు (64) ',' 4 వ అత్యధిక క్యాచ్లు"&amp;" ఇన్నింగ్స్ (3) ',' 26th అత్యధిక క్యాచ్లు లో వరుస (7) ',' ఏడవ వికెట్కు 22 అత్యధిక భాగస్వామ్యం (65) ',' తొమ్మిదవ వికెట్ (43 *) కోసం 14 అత్యధిక భాగస్వామ్యం ',' పదవ వికెట్కు 28 అత్యధిక భాగస్వామ్యం (29) ',' 3 వ స్థానంలో కెరీర్లో అత్యధిక మ్యాచ్లు (186) ',' 35 "&amp;"వ ఓల్డెస్ట్ క్రీడాకారులు (38y 112d) ',' 3 వ లాంగెస్ట్ కెరీర్లు (19y 70d) ',' 31 అత్యధిక మ్యాచ్లు కెప్టెన్ గా జట్టు కెప్టెన్గా (25) ',' 29th వరుస మ్యాచ్లు (21) ']")</f>
        <v>[ '4 వ అత్యంత ఇన్నింగ్స్ లో నడుస్తుంది (బ్యాటింగ్ స్థానం) (43 *)' 'కెరీర్లో 1st చాలా బాతులు (17)', 'వంద (1085) లేకుండా ఒక కెరీర్లో 27 వ అత్యధిక పరుగులు', '1st ఇందులో అత్యంత వికెట్లు వరుస ఇన్నింగ్స్ లో కెరీర్ (233) ',' 12 వ బెస్ట్ ఫిగర్స్ (6/31) ',' 11 వ అత్యధిక వికెట్లు (24) ', '21 వ ఒక క్యాలెండర్ సంవత్సరంలో అత్యధిక వికెట్లు (24)', '7 వ అత్యుత్తమ బౌలింగ్ విశ్లేషణలు ఒక ఇన్నింగ్స్ లో (6/31) ',' 10th ఒకే మైదానంలో అత్యధిక వికెట్లు (16) ',' ఒక కెప్టెన్తో ఒక ఇన్నింగ్స్ లో 1 వ బెస్ట్ ఫిగర్స్ (6) ',' 1st ఒక ఇన్నింగ్స్ లోని బెస్ట్ ఫిగర్స్ కోల్పోకుండా వైపు ఉన్నప్పుడు (6) ',' 7 వ అత్యంత ఐదు-వికెట్ల లో-ఒక-ఇన్నింగ్స్ కెరీర్లో (2) ',' 3 వ అత్యంత నాలుగు వికెట్లు-ఇన్-ఒక-ఇన్నింగ్స్ కెరీర్లో (9) ',' 28th పిన్న ఆటగాడు ఐదు వికెట్ల తేడాతో-ఒక-ఇన్నింగ్స్ లో పడుతుంది (23y 12D) ',' 1st చాలా బంతుల్లో కెరీర్లో బౌల్డ్ (9069) ',' 1st కెరీర్లో సాధించిన అత్యధిక పరుగులు (4972) ',' 5 వ బౌలర్ / బ్యాట్స్ కలయికలు (7) ' '33 వ బౌలర్ / ఫీల్డర్ కలయికలు (11)', '1 వ అత్యధిక వికెట్లు బౌల్డ్ తీసుకున్న (89)', '4 వ అత్యధిక వికెట్లు తీసుకున్న ఆకర్షించింది (91)', '7 వ అత్యధిక వికెట్లు ఒక ఫీల్డర్ చేత క్యాచ్ తీసుకున్న (58)', '1st మో స్టంప్ ఒక వికెట్ కీపర్ చే కాట్ తీసుకోబడిన వికెట్ల (33) ',' 1 వ అత్యధిక వికెట్లు తీసుకున్న ఎల్బిడబ్ల్యు (52) ',' కెరీర్ లో 2 వ అత్యధిక క్యాచ్లు (64) ',' 4 వ అత్యధిక క్యాచ్లు ఇన్నింగ్స్ (3) ',' 26th అత్యధిక క్యాచ్లు లో వరుస (7) ',' ఏడవ వికెట్కు 22 అత్యధిక భాగస్వామ్యం (65) ',' తొమ్మిదవ వికెట్ (43 *) కోసం 14 అత్యధిక భాగస్వామ్యం ',' పదవ వికెట్కు 28 అత్యధిక భాగస్వామ్యం (29) ',' 3 వ స్థానంలో కెరీర్లో అత్యధిక మ్యాచ్లు (186) ',' 35 వ ఓల్డెస్ట్ క్రీడాకారులు (38y 112d) ',' 3 వ లాంగెస్ట్ కెరీర్లు (19y 70d) ',' 31 అత్యధిక మ్యాచ్లు కెప్టెన్ గా జట్టు కెప్టెన్గా (25) ',' 29th వరుస మ్యాచ్లు (21) ']</v>
      </c>
      <c r="G4844" s="2" t="s">
        <v>3339</v>
      </c>
      <c r="H4844" s="2" t="str">
        <f>IFERROR(__xludf.DUMMYFUNCTION("IF(G4844&lt;&gt;"""", GOOGLETRANSLATE(G4844, ""en"", ""te""),"""")"),"[ '2nd అత్యంత ఇన్నింగ్స్ లో నడుస్తుంది (బ్యాటింగ్ స్థానం) (37 *)', 'కెరీర్లో 46 వ అతి తక్కువ బాతులు (15.33)', '29th కెరీర్లో అత్యధిక వికెట్లు (56)', '21 వ ఇన్నింగ్స్ లో బెస్ట్ ఫిగర్స్ (5 / 11) ',' ఇన్నింగ్స్ లో 15 వ అత్యుత్తమ బౌలింగ్ విశ్లేషణలు (5/11) ','"&amp;" ఒక కెప్టెన్తో ఒక ఇన్నింగ్స్ లో 21 వ బెస్ట్ ఫిగర్స్ (3) ',' 25 వ ఉత్తమ కెరీర్ ఆర్థిక రేటు (5.45) ',' 23 వ చెత్త వృత్తి సమ్మె రేటు (24.1) ',' 22 వ కెరీర్ లో బౌల్డ్ చాలా బంతుల్లో (1351) ', '21 వ కెరీర్ (1229) లో సాధించిన అత్యధిక పరుగులు', '5 వ అత్యధిక వికెట"&amp;"్లు బౌల్డ్ తీసుకోకూడదు (26)', '46 వ అత్యధిక వికెట్లు ఆకర్షించింది (25 తీసుకున్న ) ',' 10 వ అత్యధిక వికెట్లు ఆకర్షించింది అత్యధిక వికెట్లు తీసిన (8) ',' 34 వ కెరీర్ లో అత్యధిక క్యాచ్లు (23) ',' ఎనిమిదవ వికెట్ (23 *) కోసం 35 వ అత్యధిక భాగస్వామ్యం ',' 25 వ క"&amp;"ెప్టెన్గా అత్యధిక మ్యాచ్లు (18 ) ',' 3 వ అత్యధిక కెరీర్ లో పనికత్తెలయొద్ద (14) ',' 12 వ ఇన్నింగ్స్ లో వచ్చిన ఎక్కువ పనికత్తెలయొద్ద (2) ']")</f>
        <v>[ '2nd అత్యంత ఇన్నింగ్స్ లో నడుస్తుంది (బ్యాటింగ్ స్థానం) (37 *)', 'కెరీర్లో 46 వ అతి తక్కువ బాతులు (15.33)', '29th కెరీర్లో అత్యధిక వికెట్లు (56)', '21 వ ఇన్నింగ్స్ లో బెస్ట్ ఫిగర్స్ (5 / 11) ',' ఇన్నింగ్స్ లో 15 వ అత్యుత్తమ బౌలింగ్ విశ్లేషణలు (5/11) ',' ఒక కెప్టెన్తో ఒక ఇన్నింగ్స్ లో 21 వ బెస్ట్ ఫిగర్స్ (3) ',' 25 వ ఉత్తమ కెరీర్ ఆర్థిక రేటు (5.45) ',' 23 వ చెత్త వృత్తి సమ్మె రేటు (24.1) ',' 22 వ కెరీర్ లో బౌల్డ్ చాలా బంతుల్లో (1351) ', '21 వ కెరీర్ (1229) లో సాధించిన అత్యధిక పరుగులు', '5 వ అత్యధిక వికెట్లు బౌల్డ్ తీసుకోకూడదు (26)', '46 వ అత్యధిక వికెట్లు ఆకర్షించింది (25 తీసుకున్న ) ',' 10 వ అత్యధిక వికెట్లు ఆకర్షించింది అత్యధిక వికెట్లు తీసిన (8) ',' 34 వ కెరీర్ లో అత్యధిక క్యాచ్లు (23) ',' ఎనిమిదవ వికెట్ (23 *) కోసం 35 వ అత్యధిక భాగస్వామ్యం ',' 25 వ కెప్టెన్గా అత్యధిక మ్యాచ్లు (18 ) ',' 3 వ అత్యధిక కెరీర్ లో పనికత్తెలయొద్ద (14) ',' 12 వ ఇన్నింగ్స్ లో వచ్చిన ఎక్కువ పనికత్తెలయొద్ద (2) ']</v>
      </c>
      <c r="I4844" s="3"/>
    </row>
    <row r="4845" customHeight="1" spans="1:9">
      <c r="A4845" s="2"/>
      <c r="B4845" s="2" t="str">
        <f>IFERROR(__xludf.DUMMYFUNCTION("IF(A4845&lt;&gt;"""", GOOGLETRANSLATE(A4845, ""en"", ""te""),"""")"),"")</f>
        <v/>
      </c>
      <c r="C4845" s="2"/>
      <c r="D4845" s="2" t="str">
        <f>IFERROR(__xludf.DUMMYFUNCTION("IF(C4845&lt;&gt;"""", GOOGLETRANSLATE(C4845, ""en"", ""te""),"""")"),"")</f>
        <v/>
      </c>
      <c r="E4845" s="2"/>
      <c r="F4845" s="2" t="str">
        <f>IFERROR(__xludf.DUMMYFUNCTION("IF(E4845&lt;&gt;"""", GOOGLETRANSLATE(E4845, ""en"", ""te""),"""")"),"")</f>
        <v/>
      </c>
      <c r="G4845" s="2"/>
      <c r="H4845" s="2" t="str">
        <f>IFERROR(__xludf.DUMMYFUNCTION("IF(G4845&lt;&gt;"""", GOOGLETRANSLATE(G4845, ""en"", ""te""),"""")"),"")</f>
        <v/>
      </c>
      <c r="I4845" s="3"/>
    </row>
    <row r="4846" customHeight="1" spans="1:9">
      <c r="A4846" s="2"/>
      <c r="B4846" s="2" t="str">
        <f>IFERROR(__xludf.DUMMYFUNCTION("IF(A4846&lt;&gt;"""", GOOGLETRANSLATE(A4846, ""en"", ""te""),"""")"),"")</f>
        <v/>
      </c>
      <c r="C4846" s="2"/>
      <c r="D4846" s="2" t="str">
        <f>IFERROR(__xludf.DUMMYFUNCTION("IF(C4846&lt;&gt;"""", GOOGLETRANSLATE(C4846, ""en"", ""te""),"""")"),"")</f>
        <v/>
      </c>
      <c r="E4846" s="2"/>
      <c r="F4846" s="2" t="str">
        <f>IFERROR(__xludf.DUMMYFUNCTION("IF(E4846&lt;&gt;"""", GOOGLETRANSLATE(E4846, ""en"", ""te""),"""")"),"")</f>
        <v/>
      </c>
      <c r="G4846" s="2"/>
      <c r="H4846" s="2" t="str">
        <f>IFERROR(__xludf.DUMMYFUNCTION("IF(G4846&lt;&gt;"""", GOOGLETRANSLATE(G4846, ""en"", ""te""),"""")"),"")</f>
        <v/>
      </c>
      <c r="I4846" s="3"/>
    </row>
    <row r="4847" customHeight="1" spans="1:9">
      <c r="A4847" s="2"/>
      <c r="B4847" s="2" t="str">
        <f>IFERROR(__xludf.DUMMYFUNCTION("IF(A4847&lt;&gt;"""", GOOGLETRANSLATE(A4847, ""en"", ""te""),"""")"),"")</f>
        <v/>
      </c>
      <c r="C4847" s="2"/>
      <c r="D4847" s="2" t="str">
        <f>IFERROR(__xludf.DUMMYFUNCTION("IF(C4847&lt;&gt;"""", GOOGLETRANSLATE(C4847, ""en"", ""te""),"""")"),"")</f>
        <v/>
      </c>
      <c r="E4847" s="2"/>
      <c r="F4847" s="2" t="str">
        <f>IFERROR(__xludf.DUMMYFUNCTION("IF(E4847&lt;&gt;"""", GOOGLETRANSLATE(E4847, ""en"", ""te""),"""")"),"")</f>
        <v/>
      </c>
      <c r="G4847" s="2"/>
      <c r="H4847" s="2" t="str">
        <f>IFERROR(__xludf.DUMMYFUNCTION("IF(G4847&lt;&gt;"""", GOOGLETRANSLATE(G4847, ""en"", ""te""),"""")"),"")</f>
        <v/>
      </c>
      <c r="I4847" s="3"/>
    </row>
    <row r="4848" customHeight="1" spans="1:9">
      <c r="A4848" s="2"/>
      <c r="B4848" s="2" t="str">
        <f>IFERROR(__xludf.DUMMYFUNCTION("IF(A4848&lt;&gt;"""", GOOGLETRANSLATE(A4848, ""en"", ""te""),"""")"),"")</f>
        <v/>
      </c>
      <c r="C4848" s="2" t="s">
        <v>3340</v>
      </c>
      <c r="D4848" s="2" t="str">
        <f>IFERROR(__xludf.DUMMYFUNCTION("IF(C4848&lt;&gt;"""", GOOGLETRANSLATE(C4848, ""en"", ""te""),"""")"),"[ '14 వ లాంగెస్ట్ నివసించారు క్రీడాకారులు (94y 198d)']")</f>
        <v>[ '14 వ లాంగెస్ట్ నివసించారు క్రీడాకారులు (94y 198d)']</v>
      </c>
      <c r="E4848" s="2"/>
      <c r="F4848" s="2" t="str">
        <f>IFERROR(__xludf.DUMMYFUNCTION("IF(E4848&lt;&gt;"""", GOOGLETRANSLATE(E4848, ""en"", ""te""),"""")"),"")</f>
        <v/>
      </c>
      <c r="G4848" s="2"/>
      <c r="H4848" s="2" t="str">
        <f>IFERROR(__xludf.DUMMYFUNCTION("IF(G4848&lt;&gt;"""", GOOGLETRANSLATE(G4848, ""en"", ""te""),"""")"),"")</f>
        <v/>
      </c>
      <c r="I4848" s="3"/>
    </row>
    <row r="4849" customHeight="1" spans="1:9">
      <c r="A4849" s="2"/>
      <c r="B4849" s="2" t="str">
        <f>IFERROR(__xludf.DUMMYFUNCTION("IF(A4849&lt;&gt;"""", GOOGLETRANSLATE(A4849, ""en"", ""te""),"""")"),"")</f>
        <v/>
      </c>
      <c r="C4849" s="2"/>
      <c r="D4849" s="2" t="str">
        <f>IFERROR(__xludf.DUMMYFUNCTION("IF(C4849&lt;&gt;"""", GOOGLETRANSLATE(C4849, ""en"", ""te""),"""")"),"")</f>
        <v/>
      </c>
      <c r="E4849" s="2"/>
      <c r="F4849" s="2" t="str">
        <f>IFERROR(__xludf.DUMMYFUNCTION("IF(E4849&lt;&gt;"""", GOOGLETRANSLATE(E4849, ""en"", ""te""),"""")"),"")</f>
        <v/>
      </c>
      <c r="G4849" s="2"/>
      <c r="H4849" s="2" t="str">
        <f>IFERROR(__xludf.DUMMYFUNCTION("IF(G4849&lt;&gt;"""", GOOGLETRANSLATE(G4849, ""en"", ""te""),"""")"),"")</f>
        <v/>
      </c>
      <c r="I4849" s="3"/>
    </row>
    <row r="4850" customHeight="1" spans="1:9">
      <c r="A4850" s="2"/>
      <c r="B4850" s="2" t="str">
        <f>IFERROR(__xludf.DUMMYFUNCTION("IF(A4850&lt;&gt;"""", GOOGLETRANSLATE(A4850, ""en"", ""te""),"""")"),"")</f>
        <v/>
      </c>
      <c r="C4850" s="2"/>
      <c r="D4850" s="2" t="str">
        <f>IFERROR(__xludf.DUMMYFUNCTION("IF(C4850&lt;&gt;"""", GOOGLETRANSLATE(C4850, ""en"", ""te""),"""")"),"")</f>
        <v/>
      </c>
      <c r="E4850" s="2"/>
      <c r="F4850" s="2" t="str">
        <f>IFERROR(__xludf.DUMMYFUNCTION("IF(E4850&lt;&gt;"""", GOOGLETRANSLATE(E4850, ""en"", ""te""),"""")"),"")</f>
        <v/>
      </c>
      <c r="G4850" s="2"/>
      <c r="H4850" s="2" t="str">
        <f>IFERROR(__xludf.DUMMYFUNCTION("IF(G4850&lt;&gt;"""", GOOGLETRANSLATE(G4850, ""en"", ""te""),"""")"),"")</f>
        <v/>
      </c>
      <c r="I4850" s="3"/>
    </row>
    <row r="4851" customHeight="1" spans="1:9">
      <c r="A4851" s="2"/>
      <c r="B4851" s="2" t="str">
        <f>IFERROR(__xludf.DUMMYFUNCTION("IF(A4851&lt;&gt;"""", GOOGLETRANSLATE(A4851, ""en"", ""te""),"""")"),"")</f>
        <v/>
      </c>
      <c r="C4851" s="2"/>
      <c r="D4851" s="2" t="str">
        <f>IFERROR(__xludf.DUMMYFUNCTION("IF(C4851&lt;&gt;"""", GOOGLETRANSLATE(C4851, ""en"", ""te""),"""")"),"")</f>
        <v/>
      </c>
      <c r="E4851" s="2"/>
      <c r="F4851" s="2" t="str">
        <f>IFERROR(__xludf.DUMMYFUNCTION("IF(E4851&lt;&gt;"""", GOOGLETRANSLATE(E4851, ""en"", ""te""),"""")"),"")</f>
        <v/>
      </c>
      <c r="G4851" s="2"/>
      <c r="H4851" s="2" t="str">
        <f>IFERROR(__xludf.DUMMYFUNCTION("IF(G4851&lt;&gt;"""", GOOGLETRANSLATE(G4851, ""en"", ""te""),"""")"),"")</f>
        <v/>
      </c>
      <c r="I4851" s="3"/>
    </row>
    <row r="4852" customHeight="1" spans="1:9">
      <c r="A4852" s="2" t="s">
        <v>3341</v>
      </c>
      <c r="B4852" s="2" t="str">
        <f>IFERROR(__xludf.DUMMYFUNCTION("IF(A4852&lt;&gt;"""", GOOGLETRANSLATE(A4852, ""en"", ""te""),"""")"),"[ 'హండ్రెడ్ తొలి (131)', 'తొలి నుండి వరుస మ్యాచ్లలో 2 వ వందల (2)', 'హండ్రెడ్ మరియు ఒక మ్యాచ్లో తొంభై', '5000 పరుగులు మరియు 50 ఫీల్డింగ్ వికెట్లు', '6 వ అత్యంత ప్లేయర్ ఆఫ్ -series అవార్డులు (7) ',' 8 వ అత్యంత కెప్టెన్ గా క్యాలెండర్ సంవత్సరంలో మ్యాచ్లు (14"&amp;"7) ',' ఒక క్యాలెండర్ ఏడాది (1767) లో 2 వ అత్యధిక పరుగులు ',' 2 వ అత్యధిక వందలు (7) ',' 8 వ అత్యంత తొంభైల కెరీర్ (6) ',' కెరీర్లో 9 వ అత్యంత అర్ధ (94) ',' 9 వ కెరీర్ ఫోర్లు (1122) ',' 10000 పరుగులు (263) ',' ఒక కెప్టెన్తో ఒక ఇన్నింగ్స్ లో 6 వ ఉత్తమ బొమ్మల"&amp;"ు (3 వ వేగవంతమైన 5) ',' 7 వ చెత్త ఆర్థిక వ్యవస్థ ఇన్నింగ్స్లో రేటు (12.40) ',' ఎ ఏబది ఒక ఇన్నింగ్స్ లో ఐదు వికెట్లు ',' 1000 పరుగులు, 50 వికెట్లు, 50 క్యాచ్లు ',' 5000 పరుగులు మరియు 50 ఫీల్డింగ్ వికెట్లు ',' 3 వ రెండవ వికెట్కు అత్యధిక భాగస్వామ్యం (318) '"&amp;",' 9 వ అత్యంత కెప్టెన్ (196) వంటి ఆటలకు]")</f>
        <v>[ 'హండ్రెడ్ తొలి (131)', 'తొలి నుండి వరుస మ్యాచ్లలో 2 వ వందల (2)', 'హండ్రెడ్ మరియు ఒక మ్యాచ్లో తొంభై', '5000 పరుగులు మరియు 50 ఫీల్డింగ్ వికెట్లు', '6 వ అత్యంత ప్లేయర్ ఆఫ్ -series అవార్డులు (7) ',' 8 వ అత్యంత కెప్టెన్ గా క్యాలెండర్ సంవత్సరంలో మ్యాచ్లు (147) ',' ఒక క్యాలెండర్ ఏడాది (1767) లో 2 వ అత్యధిక పరుగులు ',' 2 వ అత్యధిక వందలు (7) ',' 8 వ అత్యంత తొంభైల కెరీర్ (6) ',' కెరీర్లో 9 వ అత్యంత అర్ధ (94) ',' 9 వ కెరీర్ ఫోర్లు (1122) ',' 10000 పరుగులు (263) ',' ఒక కెప్టెన్తో ఒక ఇన్నింగ్స్ లో 6 వ ఉత్తమ బొమ్మలు (3 వ వేగవంతమైన 5) ',' 7 వ చెత్త ఆర్థిక వ్యవస్థ ఇన్నింగ్స్లో రేటు (12.40) ',' ఎ ఏబది ఒక ఇన్నింగ్స్ లో ఐదు వికెట్లు ',' 1000 పరుగులు, 50 వికెట్లు, 50 క్యాచ్లు ',' 5000 పరుగులు మరియు 50 ఫీల్డింగ్ వికెట్లు ',' 3 వ రెండవ వికెట్కు అత్యధిక భాగస్వామ్యం (318) ',' 9 వ అత్యంత కెప్టెన్ (196) వంటి ఆటలకు]</v>
      </c>
      <c r="C4852" s="2" t="s">
        <v>3342</v>
      </c>
      <c r="D4852" s="2" t="str">
        <f>IFERROR(__xludf.DUMMYFUNCTION("IF(C4852&lt;&gt;"""", GOOGLETRANSLATE(C4852, ""en"", ""te""),"""")"),"[ 'తొలి నుండి వరుస మ్యాచ్లలో 2 వ వందల (2)', '29 వ అత్యధిక సిక్సర్లు కెరీర్లో (57)', '36 వ' ఒక మ్యాచ్ (330) లో 26 వ అత్యధిక పరుగులు ',' 49 వ కెరీర్ (7212) లో అత్యధిక పరుగులు ' జీవితంలో అత్యధిక ఫోర్లు (900) ',' 2000 పరుగులు (45) ',' మూడో వికెట్కు సగటు (52.5"&amp;"3) ',' 45 వ అత్యధిక భాగస్వామ్యం బౌలింగ్ 33 వ చెత్త కెరీర్ (255) ',' 41 వ అత్యధిక కోసం భాగస్వామ్యానికి వేగంగా 41 వ నాలుగో వికెట్కు (256) ఐదో వికెట్కు ',' 13 వ అత్యధిక భాగస్వామ్యం (300) ఏడవ వికెట్కు ',' 31 అత్యధిక భాగస్వామ్యం (178) ',' 41 వ కెరీర్ లో అత్యధి"&amp;"క మ్యాచ్లు (113) ',' 44 వ వరుస మ్యాచ్లు ఒక జట్టు (56) ',' 44 వ అత్యంత ప్లేయర్ ఆఫ్ ది సిరీస్ అవార్డులు (3) ',' 19 వ అత్యధిక మ్యాచ్లు కెప్టెన్గా (49) ',' 16 వ వరుస మ్యాచ్లు బృందం (33) కెప్టెన్ గా ']")</f>
        <v>[ 'తొలి నుండి వరుస మ్యాచ్లలో 2 వ వందల (2)', '29 వ అత్యధిక సిక్సర్లు కెరీర్లో (57)', '36 వ' ఒక మ్యాచ్ (330) లో 26 వ అత్యధిక పరుగులు ',' 49 వ కెరీర్ (7212) లో అత్యధిక పరుగులు ' జీవితంలో అత్యధిక ఫోర్లు (900) ',' 2000 పరుగులు (45) ',' మూడో వికెట్కు సగటు (52.53) ',' 45 వ అత్యధిక భాగస్వామ్యం బౌలింగ్ 33 వ చెత్త కెరీర్ (255) ',' 41 వ అత్యధిక కోసం భాగస్వామ్యానికి వేగంగా 41 వ నాలుగో వికెట్కు (256) ఐదో వికెట్కు ',' 13 వ అత్యధిక భాగస్వామ్యం (300) ఏడవ వికెట్కు ',' 31 అత్యధిక భాగస్వామ్యం (178) ',' 41 వ కెరీర్ లో అత్యధిక మ్యాచ్లు (113) ',' 44 వ వరుస మ్యాచ్లు ఒక జట్టు (56) ',' 44 వ అత్యంత ప్లేయర్ ఆఫ్ ది సిరీస్ అవార్డులు (3) ',' 19 వ అత్యధిక మ్యాచ్లు కెప్టెన్గా (49) ',' 16 వ వరుస మ్యాచ్లు బృందం (33) కెప్టెన్ గా ']</v>
      </c>
      <c r="E4852" s="2" t="s">
        <v>3343</v>
      </c>
      <c r="F4852" s="2" t="str">
        <f>IFERROR(__xludf.DUMMYFUNCTION("IF(E4852&lt;&gt;"""", GOOGLETRANSLATE(E4852, ""en"", ""te""),"""")"),"[ 'కెరీర్లో 9 వ అత్యధిక పరుగులు (11363)', '20 వ ఇన్నింగ్స్ లో అత్యధిక పరుగులు (183)', 'ఒక క్యాలెండర్ సంవత్సరంలో 2 వ అత్యధిక పరుగులు (1767)', '16 వ ఇన్నింగ్స్ లో అత్యధిక పరుగులు (బ్యాటింగ్ స్థానంలో ప్రకారం) ( 183) ',' ఒక కెప్టెన్ ద్వారా ఒక సిరీస్లో 10 వ అత"&amp;"్యధిక పరుగులు (465) ',' ఒక కెప్టెన్తో ఇన్నింగ్స్ 24 వ అత్యధిక పరుగులు (144) ',' 10th ఒక వృత్తిలో అత్యధిక వందలు (22) ',' 3 వ అత్యధిక వందలు వరుస ఒక క్యాలెండర్ సంవత్సరంలో (3) ',' 2 వ అత్యధిక వందలు (7) ',' (4) ',' 8 వ అత్యంత తొంభైల కెరీర్లో 39 వ ఒక జట్టు వ్య"&amp;"తిరేకంగా అత్యధిక వందలు (6) ',' 9 వ అత్యంత అర్ధ కెరీర్లో (94) ',' ఒక డక్ లేకుండా వరుసగా ఇన్నింగ్స్ (4) ',' 25 వ వరుస ఇన్నింగ్స్లో 44 వ యాభైల్లో (72) ',' 37 వ కెరీర్ బాతులు (16) ',' 10 వ కెరీర్ లో వచ్చిన ఎక్కువ సిక్స్ (190) ' 'కెరీర్లో 9 వ అత్యంత ఫోర్లు (1"&amp;"122)', 'ఇన్నింగ్స్ లో ఫోర్లు, సిక్సర్లు నుండి 28 అత్యధిక పరుగులు (110)', '35 వ లాంగెస్ట్ వ్యక్తిగత ఇన్నింగ్స్ (బంతులతో) (160)' ఒక పరుగులు, '20th అత్యధిక శాతం పూర్తి ఇన్నింగ్స్ (58.62) ',' ఫాస్టెస్ట్ 2000 పరుగులు 15 న (52) ',' 3000 పరుగులు వేగంగా 25 (82) '"&amp;",' 13 వ వేగవంతమైన 4000 పరుగులు (105) ',' 13 వ Fas పరీక్షకు 5000 పరుగులు (126) ',' 5 వ 6000 వేగంగా పరుగులు (147) ',' 7000 పరుగులు (174) ',' 4 వ వేగవంతమైన 8000 పరుగులు (200) ',' 4 వ వేగవంతమైన 9000 పరుగులు 4 వ వేగవంతమైన (228 ) ',' 3 వ ఒక కెప్టెన్తో 10000"&amp;" పరుగులు (263) ',' ఒక ఇన్నింగ్స్ లో 11000 పరుగులు (288) ',' 6 వ ఉత్తమ లెక్కల 4 వ వేగవంతమైన వేగంగా (5) ',' ఇన్నింగ్స్ లో 12 వ ఉత్తమ సమ్మె రేటు (6.0 ) ',' ఇన్నింగ్స్ లో 7 వ చెత్త ఆర్థిక రేటు (12.40) ',' 43 వ అత్యంత ఐదు-వికెట్ల లో-ఒక-ఇన్నింగ్స్ కెరీర్లో (2)"&amp;" ',' 31 అత్యధిక క్యాచ్లు కెరీర్లో (100) ',' అత్యధిక 4 వ ఏ వికెట్కు (318) ',' మొదటి వికెట్కు 10 వ అత్యధిక భాగస్వామ్యం (258) ',' రెండవ వికెట్కు 3 వ అత్యధిక భాగస్వామ్యం (318) ',' ఏడవ వికెట్కు 48 వ అత్యధిక భాగస్వామ్యం (100) ',' 17 భాగస్వామ్యాలు కెరీర్లో అత్యధ"&amp;"ిక మ్యాచ్లు (311) ',' 7 వ అత్యంత ప్లేయర్ ఆఫ్ ది మ్యాచ్ అవార్డులు (31) ',' 6 వ అత్యంత ప్లేయర్ ఆఫ్ ది సిరీస్ అవార్డులు (7) ',' 43 వ లాంగెస్ట్ కెరీర్లు (15y 308d) ' 'కెప్టెన్గా 8 వ అత్యధిక మ్యాచ్లు (147)', '42 వ వరుస అన్ని టాస్ గెలిచిన (5)']")</f>
        <v>[ 'కెరీర్లో 9 వ అత్యధిక పరుగులు (11363)', '20 వ ఇన్నింగ్స్ లో అత్యధిక పరుగులు (183)', 'ఒక క్యాలెండర్ సంవత్సరంలో 2 వ అత్యధిక పరుగులు (1767)', '16 వ ఇన్నింగ్స్ లో అత్యధిక పరుగులు (బ్యాటింగ్ స్థానంలో ప్రకారం) ( 183) ',' ఒక కెప్టెన్ ద్వారా ఒక సిరీస్లో 10 వ అత్యధిక పరుగులు (465) ',' ఒక కెప్టెన్తో ఇన్నింగ్స్ 24 వ అత్యధిక పరుగులు (144) ',' 10th ఒక వృత్తిలో అత్యధిక వందలు (22) ',' 3 వ అత్యధిక వందలు వరుస ఒక క్యాలెండర్ సంవత్సరంలో (3) ',' 2 వ అత్యధిక వందలు (7) ',' (4) ',' 8 వ అత్యంత తొంభైల కెరీర్లో 39 వ ఒక జట్టు వ్యతిరేకంగా అత్యధిక వందలు (6) ',' 9 వ అత్యంత అర్ధ కెరీర్లో (94) ',' ఒక డక్ లేకుండా వరుసగా ఇన్నింగ్స్ (4) ',' 25 వ వరుస ఇన్నింగ్స్లో 44 వ యాభైల్లో (72) ',' 37 వ కెరీర్ బాతులు (16) ',' 10 వ కెరీర్ లో వచ్చిన ఎక్కువ సిక్స్ (190) ' 'కెరీర్లో 9 వ అత్యంత ఫోర్లు (1122)', 'ఇన్నింగ్స్ లో ఫోర్లు, సిక్సర్లు నుండి 28 అత్యధిక పరుగులు (110)', '35 వ లాంగెస్ట్ వ్యక్తిగత ఇన్నింగ్స్ (బంతులతో) (160)' ఒక పరుగులు, '20th అత్యధిక శాతం పూర్తి ఇన్నింగ్స్ (58.62) ',' ఫాస్టెస్ట్ 2000 పరుగులు 15 న (52) ',' 3000 పరుగులు వేగంగా 25 (82) ',' 13 వ వేగవంతమైన 4000 పరుగులు (105) ',' 13 వ Fas పరీక్షకు 5000 పరుగులు (126) ',' 5 వ 6000 వేగంగా పరుగులు (147) ',' 7000 పరుగులు (174) ',' 4 వ వేగవంతమైన 8000 పరుగులు (200) ',' 4 వ వేగవంతమైన 9000 పరుగులు 4 వ వేగవంతమైన (228 ) ',' 3 వ ఒక కెప్టెన్తో 10000 పరుగులు (263) ',' ఒక ఇన్నింగ్స్ లో 11000 పరుగులు (288) ',' 6 వ ఉత్తమ లెక్కల 4 వ వేగవంతమైన వేగంగా (5) ',' ఇన్నింగ్స్ లో 12 వ ఉత్తమ సమ్మె రేటు (6.0 ) ',' ఇన్నింగ్స్ లో 7 వ చెత్త ఆర్థిక రేటు (12.40) ',' 43 వ అత్యంత ఐదు-వికెట్ల లో-ఒక-ఇన్నింగ్స్ కెరీర్లో (2) ',' 31 అత్యధిక క్యాచ్లు కెరీర్లో (100) ',' అత్యధిక 4 వ ఏ వికెట్కు (318) ',' మొదటి వికెట్కు 10 వ అత్యధిక భాగస్వామ్యం (258) ',' రెండవ వికెట్కు 3 వ అత్యధిక భాగస్వామ్యం (318) ',' ఏడవ వికెట్కు 48 వ అత్యధిక భాగస్వామ్యం (100) ',' 17 భాగస్వామ్యాలు కెరీర్లో అత్యధిక మ్యాచ్లు (311) ',' 7 వ అత్యంత ప్లేయర్ ఆఫ్ ది మ్యాచ్ అవార్డులు (31) ',' 6 వ అత్యంత ప్లేయర్ ఆఫ్ ది సిరీస్ అవార్డులు (7) ',' 43 వ లాంగెస్ట్ కెరీర్లు (15y 308d) ' 'కెప్టెన్గా 8 వ అత్యధిక మ్యాచ్లు (147)', '42 వ వరుస అన్ని టాస్ గెలిచిన (5)']</v>
      </c>
      <c r="G4852" s="2"/>
      <c r="H4852" s="2" t="str">
        <f>IFERROR(__xludf.DUMMYFUNCTION("IF(G4852&lt;&gt;"""", GOOGLETRANSLATE(G4852, ""en"", ""te""),"""")"),"")</f>
        <v/>
      </c>
      <c r="I4852" s="3"/>
    </row>
    <row r="4853" customHeight="1" spans="1:9">
      <c r="A4853" s="2"/>
      <c r="B4853" s="2" t="str">
        <f>IFERROR(__xludf.DUMMYFUNCTION("IF(A4853&lt;&gt;"""", GOOGLETRANSLATE(A4853, ""en"", ""te""),"""")"),"")</f>
        <v/>
      </c>
      <c r="C4853" s="2"/>
      <c r="D4853" s="2" t="str">
        <f>IFERROR(__xludf.DUMMYFUNCTION("IF(C4853&lt;&gt;"""", GOOGLETRANSLATE(C4853, ""en"", ""te""),"""")"),"")</f>
        <v/>
      </c>
      <c r="E4853" s="2"/>
      <c r="F4853" s="2" t="str">
        <f>IFERROR(__xludf.DUMMYFUNCTION("IF(E4853&lt;&gt;"""", GOOGLETRANSLATE(E4853, ""en"", ""te""),"""")"),"")</f>
        <v/>
      </c>
      <c r="G4853" s="2"/>
      <c r="H4853" s="2" t="str">
        <f>IFERROR(__xludf.DUMMYFUNCTION("IF(G4853&lt;&gt;"""", GOOGLETRANSLATE(G4853, ""en"", ""te""),"""")"),"")</f>
        <v/>
      </c>
      <c r="I4853" s="3"/>
    </row>
    <row r="4854" customHeight="1" spans="1:9">
      <c r="A4854" s="2" t="s">
        <v>3344</v>
      </c>
      <c r="B4854" s="2" t="str">
        <f>IFERROR(__xludf.DUMMYFUNCTION("IF(A4854&lt;&gt;"""", GOOGLETRANSLATE(A4854, ""en"", ""te""),"""")"),"[ '1st ఒక ఇన్నింగ్స్ లోని బెస్ట్ ఫిగర్స్ పరాజయం వైపు (9) ఉన్నప్పుడు', '6 వ అత్యధిక వికెట్లు తీసుకున్న స్టంప్ (20)']")</f>
        <v>[ '1st ఒక ఇన్నింగ్స్ లోని బెస్ట్ ఫిగర్స్ పరాజయం వైపు (9) ఉన్నప్పుడు', '6 వ అత్యధిక వికెట్లు తీసుకున్న స్టంప్ (20)']</v>
      </c>
      <c r="C4854" s="2" t="s">
        <v>3345</v>
      </c>
      <c r="D4854" s="2" t="str">
        <f>IFERROR(__xludf.DUMMYFUNCTION("IF(C4854&lt;&gt;"""", GOOGLETRANSLATE(C4854, ""en"", ""te""),"""")"),"[ 'ఇన్నింగ్స్ లో 14 వ బెస్ట్ ఫిగర్స్ (9/102)', 'వరుస 22 వ అత్యధిక వికెట్లు (34)', '1st ఒక ఇన్నింగ్స్ లోని బెస్ట్ ఫిగర్స్ ఉన్నప్పుడు పరాజయం వైపు (9)', '40 వ ఒక ఉత్తమ బొమ్మలు పరాజయం వైపు ఉన్నప్పుడు మ్యాచ్ (10) ',' ఇన్నింగ్స్ లో 20 వ ఉత్తమ సమ్మె రేటు (7.2)"&amp;" ',' ఇన్నింగ్స్ లో బౌల్డ్ ఇన్నింగ్స్ (348.0) ',' 20 వ అత్యంత బంతుల్లో 36 వ చెత్త సమ్మె రేటు (460) ', '17 వ అత్యంత బంతుల్లో ఒక మ్యాచ్లో బౌల్డ్ (662)', 'ఫాస్టెస్ట్ 27 100 వికెట్లు (22) కు'] '6 వ అత్యధిక వికెట్లు స్టంప్ (20) తీసుకున్న'")</f>
        <v>[ 'ఇన్నింగ్స్ లో 14 వ బెస్ట్ ఫిగర్స్ (9/102)', 'వరుస 22 వ అత్యధిక వికెట్లు (34)', '1st ఒక ఇన్నింగ్స్ లోని బెస్ట్ ఫిగర్స్ ఉన్నప్పుడు పరాజయం వైపు (9)', '40 వ ఒక ఉత్తమ బొమ్మలు పరాజయం వైపు ఉన్నప్పుడు మ్యాచ్ (10) ',' ఇన్నింగ్స్ లో 20 వ ఉత్తమ సమ్మె రేటు (7.2) ',' ఇన్నింగ్స్ లో బౌల్డ్ ఇన్నింగ్స్ (348.0) ',' 20 వ అత్యంత బంతుల్లో 36 వ చెత్త సమ్మె రేటు (460) ', '17 వ అత్యంత బంతుల్లో ఒక మ్యాచ్లో బౌల్డ్ (662)', 'ఫాస్టెస్ట్ 27 100 వికెట్లు (22) కు'] '6 వ అత్యధిక వికెట్లు స్టంప్ (20) తీసుకున్న'</v>
      </c>
      <c r="E4854" s="2"/>
      <c r="F4854" s="2" t="str">
        <f>IFERROR(__xludf.DUMMYFUNCTION("IF(E4854&lt;&gt;"""", GOOGLETRANSLATE(E4854, ""en"", ""te""),"""")"),"")</f>
        <v/>
      </c>
      <c r="G4854" s="2"/>
      <c r="H4854" s="2" t="str">
        <f>IFERROR(__xludf.DUMMYFUNCTION("IF(G4854&lt;&gt;"""", GOOGLETRANSLATE(G4854, ""en"", ""te""),"""")"),"")</f>
        <v/>
      </c>
      <c r="I4854" s="3"/>
    </row>
    <row r="4855" customHeight="1" spans="1:9">
      <c r="A4855" s="2"/>
      <c r="B4855" s="2" t="str">
        <f>IFERROR(__xludf.DUMMYFUNCTION("IF(A4855&lt;&gt;"""", GOOGLETRANSLATE(A4855, ""en"", ""te""),"""")"),"")</f>
        <v/>
      </c>
      <c r="C4855" s="2"/>
      <c r="D4855" s="2" t="str">
        <f>IFERROR(__xludf.DUMMYFUNCTION("IF(C4855&lt;&gt;"""", GOOGLETRANSLATE(C4855, ""en"", ""te""),"""")"),"")</f>
        <v/>
      </c>
      <c r="E4855" s="2"/>
      <c r="F4855" s="2" t="str">
        <f>IFERROR(__xludf.DUMMYFUNCTION("IF(E4855&lt;&gt;"""", GOOGLETRANSLATE(E4855, ""en"", ""te""),"""")"),"")</f>
        <v/>
      </c>
      <c r="G4855" s="2"/>
      <c r="H4855" s="2" t="str">
        <f>IFERROR(__xludf.DUMMYFUNCTION("IF(G4855&lt;&gt;"""", GOOGLETRANSLATE(G4855, ""en"", ""te""),"""")"),"")</f>
        <v/>
      </c>
      <c r="I4855" s="3"/>
    </row>
    <row r="4856" customHeight="1" spans="1:9">
      <c r="A4856" s="2" t="s">
        <v>3346</v>
      </c>
      <c r="B4856" s="2" t="str">
        <f>IFERROR(__xludf.DUMMYFUNCTION("IF(A4856&lt;&gt;"""", GOOGLETRANSLATE(A4856, ""en"", ""te""),"""")"),"[ 'వరుస మ్యాచ్లలో 2 వ వందల (5)', 'హండ్రెడ్ మరియు ఒక మ్యాచ్లో తొంభై', 'వరుస మ్యాచ్లలో 3 వ యాభైల్లో (11)', 'ఒక జట్టుతో 10 వ అత్యధిక వందలు (6)', '10 వ అత్యధిక కొరకు చేసిన భాగస్వామ్యం ఐదో వికెట్కు (184 *) ']")</f>
        <v>[ 'వరుస మ్యాచ్లలో 2 వ వందల (5)', 'హండ్రెడ్ మరియు ఒక మ్యాచ్లో తొంభై', 'వరుస మ్యాచ్లలో 3 వ యాభైల్లో (11)', 'ఒక జట్టుతో 10 వ అత్యధిక వందలు (6)', '10 వ అత్యధిక కొరకు చేసిన భాగస్వామ్యం ఐదో వికెట్కు (184 *) ']</v>
      </c>
      <c r="C4856" s="2" t="s">
        <v>3347</v>
      </c>
      <c r="D4856" s="2" t="str">
        <f>IFERROR(__xludf.DUMMYFUNCTION("IF(C4856&lt;&gt;"""", GOOGLETRANSLATE(C4856, ""en"", ""te""),"""")"),"[ 'వరుస మ్యాచ్లలో 2 వ వందల (5)', 'వరుస మ్యాచ్లలో 3 వ యాభైల్లో (11)', '29th వేగవంతమైన 2000 పరుగులు (43)', '30th 3000 పరుగులు (66) వేగంగా', '45 వ అత్యధిక కొరకు చేసిన భాగస్వామ్యం తొలి వికెట్కు (233) ',' రెండవ వికెట్కు 15 అత్యధిక భాగస్వామ్యం (314) నాలుగవ వి"&amp;"కెట్కు ',' 27 వ అత్యధిక భాగస్వామ్యం (278) ']")</f>
        <v>[ 'వరుస మ్యాచ్లలో 2 వ వందల (5)', 'వరుస మ్యాచ్లలో 3 వ యాభైల్లో (11)', '29th వేగవంతమైన 2000 పరుగులు (43)', '30th 3000 పరుగులు (66) వేగంగా', '45 వ అత్యధిక కొరకు చేసిన భాగస్వామ్యం తొలి వికెట్కు (233) ',' రెండవ వికెట్కు 15 అత్యధిక భాగస్వామ్యం (314) నాలుగవ వికెట్కు ',' 27 వ అత్యధిక భాగస్వామ్యం (278) ']</v>
      </c>
      <c r="E4856" s="2" t="s">
        <v>3348</v>
      </c>
      <c r="F4856" s="2" t="str">
        <f>IFERROR(__xludf.DUMMYFUNCTION("IF(E4856&lt;&gt;"""", GOOGLETRANSLATE(E4856, ""en"", ""te""),"""")"),"[ '19 ఇన్నింగ్స్ లో అత్యధిక పరుగులు (బ్యాటింగ్ స్థానంలో ప్రకారం) (150 *)', '35 వ ఇన్నింగ్స్ లో అత్యధిక పరుగులు ఒక కెప్టెన్తో (138 *)', '41 వ అత్యధిక వందలు ఒక వృత్తిలో (11)', '10 వ అత్యంత ఒక జట్టు వ్యతిరేకంగా వందల (6) ',' 34 వ అత్యంత 3000 పరుగులు కెరీర్ (4"&amp;") ',' 36 వ అత్యంత వేగంగా తొంభైల (87) ',' 5000 పరుగులు 4000 పరుగులు (110) ',' 19 వ వేగంగా వేగంగా 21 (135 ) ',' మొదటి వికెట్కు 41 వ అత్యధిక భాగస్వామ్యం (201 *) రెండవ వికెట్కు ',' 33 వ అత్యధిక భాగస్వామ్యం (205) ',' మూడో వికెట్కు 11 వ అత్యధిక భాగస్వామ్యం (22"&amp;"4) ఐదో ',' 10 వ అత్యధిక భాగస్వామ్యం వికెట్ (184 *) ']")</f>
        <v>[ '19 ఇన్నింగ్స్ లో అత్యధిక పరుగులు (బ్యాటింగ్ స్థానంలో ప్రకారం) (150 *)', '35 వ ఇన్నింగ్స్ లో అత్యధిక పరుగులు ఒక కెప్టెన్తో (138 *)', '41 వ అత్యధిక వందలు ఒక వృత్తిలో (11)', '10 వ అత్యంత ఒక జట్టు వ్యతిరేకంగా వందల (6) ',' 34 వ అత్యంత 3000 పరుగులు కెరీర్ (4) ',' 36 వ అత్యంత వేగంగా తొంభైల (87) ',' 5000 పరుగులు 4000 పరుగులు (110) ',' 19 వ వేగంగా వేగంగా 21 (135 ) ',' మొదటి వికెట్కు 41 వ అత్యధిక భాగస్వామ్యం (201 *) రెండవ వికెట్కు ',' 33 వ అత్యధిక భాగస్వామ్యం (205) ',' మూడో వికెట్కు 11 వ అత్యధిక భాగస్వామ్యం (224) ఐదో ',' 10 వ అత్యధిక భాగస్వామ్యం వికెట్ (184 *) ']</v>
      </c>
      <c r="G4856" s="2" t="s">
        <v>3349</v>
      </c>
      <c r="H4856" s="2" t="str">
        <f>IFERROR(__xludf.DUMMYFUNCTION("IF(G4856&lt;&gt;"""", GOOGLETRANSLATE(G4856, ""en"", ""te""),"""")"),"[ '41 వ కెరీర్ అర్ధ (7)', '31 మోస్ట్ ఇన్నింగ్స్ లో ఫోర్లు (11)', 'ఏ వికెట్కు 33 వ అత్యధిక భాగస్వామ్యాల (136)', 'తొలి వికెట్కు (136) కోసం 17 అత్యధిక భాగస్వామ్యం']")</f>
        <v>[ '41 వ కెరీర్ అర్ధ (7)', '31 మోస్ట్ ఇన్నింగ్స్ లో ఫోర్లు (11)', 'ఏ వికెట్కు 33 వ అత్యధిక భాగస్వామ్యాల (136)', 'తొలి వికెట్కు (136) కోసం 17 అత్యధిక భాగస్వామ్యం']</v>
      </c>
      <c r="I4856" s="3"/>
    </row>
    <row r="4857" customHeight="1" spans="1:9">
      <c r="A4857" s="2"/>
      <c r="B4857" s="2" t="str">
        <f>IFERROR(__xludf.DUMMYFUNCTION("IF(A4857&lt;&gt;"""", GOOGLETRANSLATE(A4857, ""en"", ""te""),"""")"),"")</f>
        <v/>
      </c>
      <c r="C4857" s="2"/>
      <c r="D4857" s="2" t="str">
        <f>IFERROR(__xludf.DUMMYFUNCTION("IF(C4857&lt;&gt;"""", GOOGLETRANSLATE(C4857, ""en"", ""te""),"""")"),"")</f>
        <v/>
      </c>
      <c r="E4857" s="2"/>
      <c r="F4857" s="2" t="str">
        <f>IFERROR(__xludf.DUMMYFUNCTION("IF(E4857&lt;&gt;"""", GOOGLETRANSLATE(E4857, ""en"", ""te""),"""")"),"")</f>
        <v/>
      </c>
      <c r="G4857" s="2"/>
      <c r="H4857" s="2" t="str">
        <f>IFERROR(__xludf.DUMMYFUNCTION("IF(G4857&lt;&gt;"""", GOOGLETRANSLATE(G4857, ""en"", ""te""),"""")"),"")</f>
        <v/>
      </c>
      <c r="I4857" s="3"/>
    </row>
    <row r="4858" customHeight="1" spans="1:9">
      <c r="A4858" s="2"/>
      <c r="B4858" s="2" t="str">
        <f>IFERROR(__xludf.DUMMYFUNCTION("IF(A4858&lt;&gt;"""", GOOGLETRANSLATE(A4858, ""en"", ""te""),"""")"),"")</f>
        <v/>
      </c>
      <c r="C4858" s="2"/>
      <c r="D4858" s="2" t="str">
        <f>IFERROR(__xludf.DUMMYFUNCTION("IF(C4858&lt;&gt;"""", GOOGLETRANSLATE(C4858, ""en"", ""te""),"""")"),"")</f>
        <v/>
      </c>
      <c r="E4858" s="2"/>
      <c r="F4858" s="2" t="str">
        <f>IFERROR(__xludf.DUMMYFUNCTION("IF(E4858&lt;&gt;"""", GOOGLETRANSLATE(E4858, ""en"", ""te""),"""")"),"")</f>
        <v/>
      </c>
      <c r="G4858" s="2"/>
      <c r="H4858" s="2" t="str">
        <f>IFERROR(__xludf.DUMMYFUNCTION("IF(G4858&lt;&gt;"""", GOOGLETRANSLATE(G4858, ""en"", ""te""),"""")"),"")</f>
        <v/>
      </c>
      <c r="I4858" s="3"/>
    </row>
    <row r="4859" customHeight="1" spans="1:9">
      <c r="A4859" s="2"/>
      <c r="B4859" s="2" t="str">
        <f>IFERROR(__xludf.DUMMYFUNCTION("IF(A4859&lt;&gt;"""", GOOGLETRANSLATE(A4859, ""en"", ""te""),"""")"),"")</f>
        <v/>
      </c>
      <c r="C4859" s="2"/>
      <c r="D4859" s="2" t="str">
        <f>IFERROR(__xludf.DUMMYFUNCTION("IF(C4859&lt;&gt;"""", GOOGLETRANSLATE(C4859, ""en"", ""te""),"""")"),"")</f>
        <v/>
      </c>
      <c r="E4859" s="2"/>
      <c r="F4859" s="2" t="str">
        <f>IFERROR(__xludf.DUMMYFUNCTION("IF(E4859&lt;&gt;"""", GOOGLETRANSLATE(E4859, ""en"", ""te""),"""")"),"")</f>
        <v/>
      </c>
      <c r="G4859" s="2"/>
      <c r="H4859" s="2" t="str">
        <f>IFERROR(__xludf.DUMMYFUNCTION("IF(G4859&lt;&gt;"""", GOOGLETRANSLATE(G4859, ""en"", ""te""),"""")"),"")</f>
        <v/>
      </c>
      <c r="I4859" s="3"/>
    </row>
    <row r="4860" customHeight="1" spans="1:9">
      <c r="A4860" s="2" t="s">
        <v>3350</v>
      </c>
      <c r="B4860" s="2" t="str">
        <f>IFERROR(__xludf.DUMMYFUNCTION("IF(A4860&lt;&gt;"""", GOOGLETRANSLATE(A4860, ""en"", ""te""),"""")"),"[ 'జట్టు 4 వ వరుస మ్యాచ్లు (106)', '3 వ చాల వరకు ఒక సిరీస్లో ఒక కెప్టెన్తో పరుగులు (732)', 'హండ్రెడ్ ఒక మ్యాచ్లో ప్రతి ఇన్నింగ్స్లో', 'హండ్రెడ్ మరియు ఒక మ్యాచ్లో ఒక డక్', ' ఒక ఇన్నింగ్స్లో ద్వారా బ్యాట్ నిదర్శన (127 *) ',' ఫాస్టెస్ట్ 5000 పరుగులు (95) ','"&amp;" 7 వ చెత్త కెరీర్ (206.00) (అర్హత లేకుండా) సగటు బౌలింగ్ ',' బ్యాటింగ్ తెరవడం మరియు అదే మ్యాచ్ లో బౌలింగ్ '3 వ, '5000 పరుగులు మరియు 50 ఫీల్డింగ్ వికెట్లు', 'రెండవ వికెట్కు 10 వ అత్యధిక భాగస్వామ్యం (344 *)', '4 వ అత్యంత వృద్ధ ఆటగాడు తొలి వంద (38y 113d) స్కో"&amp;"ర్', '4 వ లాంగెస్ట్ వ్యక్తిగత ఇన్నింగ్స్ (బంతులతో) (174) ',' ఇన్నింగ్స్ లో 2 వ అత్యధిక క్యాచ్లు (4) ',' వరుస మ్యాచ్లలో 4 వ వందల (4) ']")</f>
        <v>[ 'జట్టు 4 వ వరుస మ్యాచ్లు (106)', '3 వ చాల వరకు ఒక సిరీస్లో ఒక కెప్టెన్తో పరుగులు (732)', 'హండ్రెడ్ ఒక మ్యాచ్లో ప్రతి ఇన్నింగ్స్లో', 'హండ్రెడ్ మరియు ఒక మ్యాచ్లో ఒక డక్', ' ఒక ఇన్నింగ్స్లో ద్వారా బ్యాట్ నిదర్శన (127 *) ',' ఫాస్టెస్ట్ 5000 పరుగులు (95) ',' 7 వ చెత్త కెరీర్ (206.00) (అర్హత లేకుండా) సగటు బౌలింగ్ ',' బ్యాటింగ్ తెరవడం మరియు అదే మ్యాచ్ లో బౌలింగ్ '3 వ, '5000 పరుగులు మరియు 50 ఫీల్డింగ్ వికెట్లు', 'రెండవ వికెట్కు 10 వ అత్యధిక భాగస్వామ్యం (344 *)', '4 వ అత్యంత వృద్ధ ఆటగాడు తొలి వంద (38y 113d) స్కోర్', '4 వ లాంగెస్ట్ వ్యక్తిగత ఇన్నింగ్స్ (బంతులతో) (174) ',' ఇన్నింగ్స్ లో 2 వ అత్యధిక క్యాచ్లు (4) ',' వరుస మ్యాచ్లలో 4 వ వందల (4) ']</v>
      </c>
      <c r="C4860" s="2" t="s">
        <v>3351</v>
      </c>
      <c r="D4860" s="2" t="str">
        <f>IFERROR(__xludf.DUMMYFUNCTION("IF(C4860&lt;&gt;"""", GOOGLETRANSLATE(C4860, ""en"", ""te""),"""")"),"[ '12 వ అత్యధిక కెరీర్ లో పరుగులు (10122)', 'ఒక మ్యాచ్లో 17 వ అత్యధిక పరుగులు (344)', '12 వ ఒక సిరీస్లో అత్యధిక పరుగులు (774)', '6 వ ఒక క్యాలెండర్ సంవత్సరంలో అత్యధిక పరుగులు (1555)', ' ఒక కెప్టెన్తో పరాజయం వైపు ఒక సిరీస్లో (248) ',' 3 వ అత్యధిక పరుగులు ఒ"&amp;"క మ్యాచ్లో 11 వ అత్యధిక పరుగులు (732) ',' 36 వ అత్యధిక కెరీర్ బ్యాటింగ్ సగటు (51.12) ',' 6 వ ఒక వృత్తిలో అత్యధిక వందలు (34 ) ',' ఒక కెరీర్ లో 17 వ అత్యధిక డబుల్ సెంచరీలు (4) ',' వరుస 2 వ అత్యధిక వందలు (4) ',' 19 ఒక క్యాలెండర్ సంవత్సరంలో అత్యధిక వందలు ఒకటి"&amp;" జట్టుతో (5) ',' 2 వ అత్యధిక వందలు (13 ) ',' వరుస ఇన్నింగ్స్లో 5 వ వందల (3) ',' వరుస మ్యాచ్లలో 5 వ వందల (4) ',' 7 వ పిన్న ఆటగాడు డబుల్ సెంచరీ (21y స్కోర్ 277d) ',' 20 వ అత్యంత తొంభైల కెరీర్లో (5) ' 'కెరీర్లో 12 వ అత్యంత అర్ధ (79)', 'వరుస ఇన్నింగ్స్లో 32 "&amp;"వ యాభైల్లో (5)', '34 వ అత్యంత ఫోర్లు కెరీర్లో (908+)', '22 వ లాంగెస్ట్ వ్యక్తిగత ఇన్నింగ్స్ (నిమిషాలు) (708)', ' 35 వ వేగవంతమైన 1000 పరుగులు (21) ',' ఫాస్టెస్ట్ 2000 పరుగులు 35 వ (44) ',' 30 వ వేగవంతమైన 3000 పరుగులు (66) ',' 14 వ 4000 పరుగులు (81) ',' "&amp;"3 వ వేగంగా 7000 పరుగులు వేగవంతమైన 5000 పరుగులు (95) ',' 8 వ 6000 వేగవంతమైన పరుగులు (117) ',' 9 వ అత్యంత వేగంగా (140) ',' 12 వ అత్యంత వేగంగా 8000 పరుగులు (166) ',' 9 వ 9000 పరుగులు వేగవంతమైన (192 ) ',' 10000 పరుగులు (212) ',' ఏ వికెట్కు సగటు (అర్హత లేకు"&amp;"ండా) (206.00) ',' 32 వ అత్యధిక క్యాచ్లు కెరీర్లో (108) ',' 50 వ అత్యధిక భాగస్వామ్యాలు బౌలింగ్ 7th చెత్త కెరీర్ (344 కు వేగవంతమైన 8 * ) ',' రెండవ వికెట్ (344 *) ',' తొమ్మిదవ వికెట్కు 14 అత్యధిక భాగస్వామ్యం (143 *) ',' పదవ వికెట్కు 34 వ అత్యధిక భాగస్వామ్యం"&amp;" (94) కోసం 10 వ అత్యధిక భాగస్వామ్యం ',' 23 వ కెరీర్ లో అత్యధిక మ్యాచ్లు (125) ',' ఒక జట్టు 4 వ వరుస మ్యాచ్లు (106) ',' కెప్టెన్ గా జట్టు కెప్టెన్గా 22 వ అత్యధిక మ్యాచ్లు (47) ',' 44 వ వరుస మ్యాచ్లు (22) ',' 23 వ లో అన్ని టాస్ గెలిచి వరుస (3) ']")</f>
        <v>[ '12 వ అత్యధిక కెరీర్ లో పరుగులు (10122)', 'ఒక మ్యాచ్లో 17 వ అత్యధిక పరుగులు (344)', '12 వ ఒక సిరీస్లో అత్యధిక పరుగులు (774)', '6 వ ఒక క్యాలెండర్ సంవత్సరంలో అత్యధిక పరుగులు (1555)', ' ఒక కెప్టెన్తో పరాజయం వైపు ఒక సిరీస్లో (248) ',' 3 వ అత్యధిక పరుగులు ఒక మ్యాచ్లో 11 వ అత్యధిక పరుగులు (732) ',' 36 వ అత్యధిక కెరీర్ బ్యాటింగ్ సగటు (51.12) ',' 6 వ ఒక వృత్తిలో అత్యధిక వందలు (34 ) ',' ఒక కెరీర్ లో 17 వ అత్యధిక డబుల్ సెంచరీలు (4) ',' వరుస 2 వ అత్యధిక వందలు (4) ',' 19 ఒక క్యాలెండర్ సంవత్సరంలో అత్యధిక వందలు ఒకటి జట్టుతో (5) ',' 2 వ అత్యధిక వందలు (13 ) ',' వరుస ఇన్నింగ్స్లో 5 వ వందల (3) ',' వరుస మ్యాచ్లలో 5 వ వందల (4) ',' 7 వ పిన్న ఆటగాడు డబుల్ సెంచరీ (21y స్కోర్ 277d) ',' 20 వ అత్యంత తొంభైల కెరీర్లో (5) ' 'కెరీర్లో 12 వ అత్యంత అర్ధ (79)', 'వరుస ఇన్నింగ్స్లో 32 వ యాభైల్లో (5)', '34 వ అత్యంత ఫోర్లు కెరీర్లో (908+)', '22 వ లాంగెస్ట్ వ్యక్తిగత ఇన్నింగ్స్ (నిమిషాలు) (708)', ' 35 వ వేగవంతమైన 1000 పరుగులు (21) ',' ఫాస్టెస్ట్ 2000 పరుగులు 35 వ (44) ',' 30 వ వేగవంతమైన 3000 పరుగులు (66) ',' 14 వ 4000 పరుగులు (81) ',' 3 వ వేగంగా 7000 పరుగులు వేగవంతమైన 5000 పరుగులు (95) ',' 8 వ 6000 వేగవంతమైన పరుగులు (117) ',' 9 వ అత్యంత వేగంగా (140) ',' 12 వ అత్యంత వేగంగా 8000 పరుగులు (166) ',' 9 వ 9000 పరుగులు వేగవంతమైన (192 ) ',' 10000 పరుగులు (212) ',' ఏ వికెట్కు సగటు (అర్హత లేకుండా) (206.00) ',' 32 వ అత్యధిక క్యాచ్లు కెరీర్లో (108) ',' 50 వ అత్యధిక భాగస్వామ్యాలు బౌలింగ్ 7th చెత్త కెరీర్ (344 కు వేగవంతమైన 8 * ) ',' రెండవ వికెట్ (344 *) ',' తొమ్మిదవ వికెట్కు 14 అత్యధిక భాగస్వామ్యం (143 *) ',' పదవ వికెట్కు 34 వ అత్యధిక భాగస్వామ్యం (94) కోసం 10 వ అత్యధిక భాగస్వామ్యం ',' 23 వ కెరీర్ లో అత్యధిక మ్యాచ్లు (125) ',' ఒక జట్టు 4 వ వరుస మ్యాచ్లు (106) ',' కెప్టెన్ గా జట్టు కెప్టెన్గా 22 వ అత్యధిక మ్యాచ్లు (47) ',' 44 వ వరుస మ్యాచ్లు (22) ',' 23 వ లో అన్ని టాస్ గెలిచి వరుస (3) ']</v>
      </c>
      <c r="E4860" s="2" t="s">
        <v>3352</v>
      </c>
      <c r="F4860" s="2" t="str">
        <f>IFERROR(__xludf.DUMMYFUNCTION("IF(E4860&lt;&gt;"""", GOOGLETRANSLATE(E4860, ""en"", ""te""),"""")"),"[ '4 వ అత్యంత వృద్ధ ఆటగాడు తొలి వంద (38y 113d) స్కోర్', '4 వ లాంగెస్ట్ వ్యక్తిగత ఇన్నింగ్స్ (బంతులతో) (174)', '2 వ చాల వరకు ఒక లో క్యాచ్లు' 9 వ అత్యంత వృద్ధ ఆటగాడు వంద (38y 113d) స్కోర్ ', ఇన్నింగ్స్ (4) ',' 45 వ అత్యంత ప్లేయర్ ఆఫ్ ది సిరీస్ అవార్డులు (3)"&amp;" ']")</f>
        <v>[ '4 వ అత్యంత వృద్ధ ఆటగాడు తొలి వంద (38y 113d) స్కోర్', '4 వ లాంగెస్ట్ వ్యక్తిగత ఇన్నింగ్స్ (బంతులతో) (174)', '2 వ చాల వరకు ఒక లో క్యాచ్లు' 9 వ అత్యంత వృద్ధ ఆటగాడు వంద (38y 113d) స్కోర్ ', ఇన్నింగ్స్ (4) ',' 45 వ అత్యంత ప్లేయర్ ఆఫ్ ది సిరీస్ అవార్డులు (3) ']</v>
      </c>
      <c r="G4860" s="2"/>
      <c r="H4860" s="2" t="str">
        <f>IFERROR(__xludf.DUMMYFUNCTION("IF(G4860&lt;&gt;"""", GOOGLETRANSLATE(G4860, ""en"", ""te""),"""")"),"")</f>
        <v/>
      </c>
      <c r="I4860" s="3"/>
    </row>
    <row r="4861" customHeight="1" spans="1:9">
      <c r="A4861" s="2"/>
      <c r="B4861" s="2" t="str">
        <f>IFERROR(__xludf.DUMMYFUNCTION("IF(A4861&lt;&gt;"""", GOOGLETRANSLATE(A4861, ""en"", ""te""),"""")"),"")</f>
        <v/>
      </c>
      <c r="C4861" s="2"/>
      <c r="D4861" s="2" t="str">
        <f>IFERROR(__xludf.DUMMYFUNCTION("IF(C4861&lt;&gt;"""", GOOGLETRANSLATE(C4861, ""en"", ""te""),"""")"),"")</f>
        <v/>
      </c>
      <c r="E4861" s="2"/>
      <c r="F4861" s="2" t="str">
        <f>IFERROR(__xludf.DUMMYFUNCTION("IF(E4861&lt;&gt;"""", GOOGLETRANSLATE(E4861, ""en"", ""te""),"""")"),"")</f>
        <v/>
      </c>
      <c r="G4861" s="2"/>
      <c r="H4861" s="2" t="str">
        <f>IFERROR(__xludf.DUMMYFUNCTION("IF(G4861&lt;&gt;"""", GOOGLETRANSLATE(G4861, ""en"", ""te""),"""")"),"")</f>
        <v/>
      </c>
      <c r="I4861" s="3"/>
    </row>
    <row r="4862" customHeight="1" spans="1:9">
      <c r="A4862" s="2"/>
      <c r="B4862" s="2" t="str">
        <f>IFERROR(__xludf.DUMMYFUNCTION("IF(A4862&lt;&gt;"""", GOOGLETRANSLATE(A4862, ""en"", ""te""),"""")"),"")</f>
        <v/>
      </c>
      <c r="C4862" s="2"/>
      <c r="D4862" s="2" t="str">
        <f>IFERROR(__xludf.DUMMYFUNCTION("IF(C4862&lt;&gt;"""", GOOGLETRANSLATE(C4862, ""en"", ""te""),"""")"),"")</f>
        <v/>
      </c>
      <c r="E4862" s="2"/>
      <c r="F4862" s="2" t="str">
        <f>IFERROR(__xludf.DUMMYFUNCTION("IF(E4862&lt;&gt;"""", GOOGLETRANSLATE(E4862, ""en"", ""te""),"""")"),"")</f>
        <v/>
      </c>
      <c r="G4862" s="2"/>
      <c r="H4862" s="2" t="str">
        <f>IFERROR(__xludf.DUMMYFUNCTION("IF(G4862&lt;&gt;"""", GOOGLETRANSLATE(G4862, ""en"", ""te""),"""")"),"")</f>
        <v/>
      </c>
      <c r="I4862" s="3"/>
    </row>
    <row r="4863" customHeight="1" spans="1:9">
      <c r="A4863" s="2"/>
      <c r="B4863" s="2" t="str">
        <f>IFERROR(__xludf.DUMMYFUNCTION("IF(A4863&lt;&gt;"""", GOOGLETRANSLATE(A4863, ""en"", ""te""),"""")"),"")</f>
        <v/>
      </c>
      <c r="C4863" s="2"/>
      <c r="D4863" s="2" t="str">
        <f>IFERROR(__xludf.DUMMYFUNCTION("IF(C4863&lt;&gt;"""", GOOGLETRANSLATE(C4863, ""en"", ""te""),"""")"),"")</f>
        <v/>
      </c>
      <c r="E4863" s="2"/>
      <c r="F4863" s="2" t="str">
        <f>IFERROR(__xludf.DUMMYFUNCTION("IF(E4863&lt;&gt;"""", GOOGLETRANSLATE(E4863, ""en"", ""te""),"""")"),"")</f>
        <v/>
      </c>
      <c r="G4863" s="2"/>
      <c r="H4863" s="2" t="str">
        <f>IFERROR(__xludf.DUMMYFUNCTION("IF(G4863&lt;&gt;"""", GOOGLETRANSLATE(G4863, ""en"", ""te""),"""")"),"")</f>
        <v/>
      </c>
      <c r="I4863" s="3"/>
    </row>
    <row r="4864" customHeight="1" spans="1:9">
      <c r="A4864" s="2"/>
      <c r="B4864" s="2" t="str">
        <f>IFERROR(__xludf.DUMMYFUNCTION("IF(A4864&lt;&gt;"""", GOOGLETRANSLATE(A4864, ""en"", ""te""),"""")"),"")</f>
        <v/>
      </c>
      <c r="C4864" s="2"/>
      <c r="D4864" s="2" t="str">
        <f>IFERROR(__xludf.DUMMYFUNCTION("IF(C4864&lt;&gt;"""", GOOGLETRANSLATE(C4864, ""en"", ""te""),"""")"),"")</f>
        <v/>
      </c>
      <c r="E4864" s="2"/>
      <c r="F4864" s="2" t="str">
        <f>IFERROR(__xludf.DUMMYFUNCTION("IF(E4864&lt;&gt;"""", GOOGLETRANSLATE(E4864, ""en"", ""te""),"""")"),"")</f>
        <v/>
      </c>
      <c r="G4864" s="2"/>
      <c r="H4864" s="2" t="str">
        <f>IFERROR(__xludf.DUMMYFUNCTION("IF(G4864&lt;&gt;"""", GOOGLETRANSLATE(G4864, ""en"", ""te""),"""")"),"")</f>
        <v/>
      </c>
      <c r="I4864" s="3"/>
    </row>
    <row r="4865" customHeight="1" spans="1:9">
      <c r="A4865" s="2"/>
      <c r="B4865" s="2" t="str">
        <f>IFERROR(__xludf.DUMMYFUNCTION("IF(A4865&lt;&gt;"""", GOOGLETRANSLATE(A4865, ""en"", ""te""),"""")"),"")</f>
        <v/>
      </c>
      <c r="C4865" s="2"/>
      <c r="D4865" s="2" t="str">
        <f>IFERROR(__xludf.DUMMYFUNCTION("IF(C4865&lt;&gt;"""", GOOGLETRANSLATE(C4865, ""en"", ""te""),"""")"),"")</f>
        <v/>
      </c>
      <c r="E4865" s="2"/>
      <c r="F4865" s="2" t="str">
        <f>IFERROR(__xludf.DUMMYFUNCTION("IF(E4865&lt;&gt;"""", GOOGLETRANSLATE(E4865, ""en"", ""te""),"""")"),"")</f>
        <v/>
      </c>
      <c r="G4865" s="2"/>
      <c r="H4865" s="2" t="str">
        <f>IFERROR(__xludf.DUMMYFUNCTION("IF(G4865&lt;&gt;"""", GOOGLETRANSLATE(G4865, ""en"", ""te""),"""")"),"")</f>
        <v/>
      </c>
      <c r="I4865" s="3"/>
    </row>
    <row r="4866" customHeight="1" spans="1:9">
      <c r="A4866" s="2"/>
      <c r="B4866" s="2" t="str">
        <f>IFERROR(__xludf.DUMMYFUNCTION("IF(A4866&lt;&gt;"""", GOOGLETRANSLATE(A4866, ""en"", ""te""),"""")"),"")</f>
        <v/>
      </c>
      <c r="C4866" s="2"/>
      <c r="D4866" s="2" t="str">
        <f>IFERROR(__xludf.DUMMYFUNCTION("IF(C4866&lt;&gt;"""", GOOGLETRANSLATE(C4866, ""en"", ""te""),"""")"),"")</f>
        <v/>
      </c>
      <c r="E4866" s="2"/>
      <c r="F4866" s="2" t="str">
        <f>IFERROR(__xludf.DUMMYFUNCTION("IF(E4866&lt;&gt;"""", GOOGLETRANSLATE(E4866, ""en"", ""te""),"""")"),"")</f>
        <v/>
      </c>
      <c r="G4866" s="2"/>
      <c r="H4866" s="2" t="str">
        <f>IFERROR(__xludf.DUMMYFUNCTION("IF(G4866&lt;&gt;"""", GOOGLETRANSLATE(G4866, ""en"", ""te""),"""")"),"")</f>
        <v/>
      </c>
      <c r="I4866" s="3"/>
    </row>
    <row r="4867" customHeight="1" spans="1:9">
      <c r="A4867" s="2"/>
      <c r="B4867" s="2" t="str">
        <f>IFERROR(__xludf.DUMMYFUNCTION("IF(A4867&lt;&gt;"""", GOOGLETRANSLATE(A4867, ""en"", ""te""),"""")"),"")</f>
        <v/>
      </c>
      <c r="C4867" s="2"/>
      <c r="D4867" s="2" t="str">
        <f>IFERROR(__xludf.DUMMYFUNCTION("IF(C4867&lt;&gt;"""", GOOGLETRANSLATE(C4867, ""en"", ""te""),"""")"),"")</f>
        <v/>
      </c>
      <c r="E4867" s="2"/>
      <c r="F4867" s="2" t="str">
        <f>IFERROR(__xludf.DUMMYFUNCTION("IF(E4867&lt;&gt;"""", GOOGLETRANSLATE(E4867, ""en"", ""te""),"""")"),"")</f>
        <v/>
      </c>
      <c r="G4867" s="2"/>
      <c r="H4867" s="2" t="str">
        <f>IFERROR(__xludf.DUMMYFUNCTION("IF(G4867&lt;&gt;"""", GOOGLETRANSLATE(G4867, ""en"", ""te""),"""")"),"")</f>
        <v/>
      </c>
      <c r="I4867" s="3"/>
    </row>
    <row r="4868" customHeight="1" spans="1:9">
      <c r="A4868" s="2"/>
      <c r="B4868" s="2" t="str">
        <f>IFERROR(__xludf.DUMMYFUNCTION("IF(A4868&lt;&gt;"""", GOOGLETRANSLATE(A4868, ""en"", ""te""),"""")"),"")</f>
        <v/>
      </c>
      <c r="C4868" s="2"/>
      <c r="D4868" s="2" t="str">
        <f>IFERROR(__xludf.DUMMYFUNCTION("IF(C4868&lt;&gt;"""", GOOGLETRANSLATE(C4868, ""en"", ""te""),"""")"),"")</f>
        <v/>
      </c>
      <c r="E4868" s="2"/>
      <c r="F4868" s="2" t="str">
        <f>IFERROR(__xludf.DUMMYFUNCTION("IF(E4868&lt;&gt;"""", GOOGLETRANSLATE(E4868, ""en"", ""te""),"""")"),"")</f>
        <v/>
      </c>
      <c r="G4868" s="2"/>
      <c r="H4868" s="2" t="str">
        <f>IFERROR(__xludf.DUMMYFUNCTION("IF(G4868&lt;&gt;"""", GOOGLETRANSLATE(G4868, ""en"", ""te""),"""")"),"")</f>
        <v/>
      </c>
      <c r="I4868" s="3"/>
    </row>
    <row r="4869" customHeight="1" spans="1:9">
      <c r="A4869" s="2"/>
      <c r="B4869" s="2" t="str">
        <f>IFERROR(__xludf.DUMMYFUNCTION("IF(A4869&lt;&gt;"""", GOOGLETRANSLATE(A4869, ""en"", ""te""),"""")"),"")</f>
        <v/>
      </c>
      <c r="C4869" s="2"/>
      <c r="D4869" s="2" t="str">
        <f>IFERROR(__xludf.DUMMYFUNCTION("IF(C4869&lt;&gt;"""", GOOGLETRANSLATE(C4869, ""en"", ""te""),"""")"),"")</f>
        <v/>
      </c>
      <c r="E4869" s="2"/>
      <c r="F4869" s="2" t="str">
        <f>IFERROR(__xludf.DUMMYFUNCTION("IF(E4869&lt;&gt;"""", GOOGLETRANSLATE(E4869, ""en"", ""te""),"""")"),"")</f>
        <v/>
      </c>
      <c r="G4869" s="2"/>
      <c r="H4869" s="2" t="str">
        <f>IFERROR(__xludf.DUMMYFUNCTION("IF(G4869&lt;&gt;"""", GOOGLETRANSLATE(G4869, ""en"", ""te""),"""")"),"")</f>
        <v/>
      </c>
      <c r="I4869" s="3"/>
    </row>
    <row r="4870" customHeight="1" spans="1:9">
      <c r="A4870" s="2"/>
      <c r="B4870" s="2" t="str">
        <f>IFERROR(__xludf.DUMMYFUNCTION("IF(A4870&lt;&gt;"""", GOOGLETRANSLATE(A4870, ""en"", ""te""),"""")"),"")</f>
        <v/>
      </c>
      <c r="C4870" s="2"/>
      <c r="D4870" s="2" t="str">
        <f>IFERROR(__xludf.DUMMYFUNCTION("IF(C4870&lt;&gt;"""", GOOGLETRANSLATE(C4870, ""en"", ""te""),"""")"),"")</f>
        <v/>
      </c>
      <c r="E4870" s="2"/>
      <c r="F4870" s="2" t="str">
        <f>IFERROR(__xludf.DUMMYFUNCTION("IF(E4870&lt;&gt;"""", GOOGLETRANSLATE(E4870, ""en"", ""te""),"""")"),"")</f>
        <v/>
      </c>
      <c r="G4870" s="2"/>
      <c r="H4870" s="2" t="str">
        <f>IFERROR(__xludf.DUMMYFUNCTION("IF(G4870&lt;&gt;"""", GOOGLETRANSLATE(G4870, ""en"", ""te""),"""")"),"")</f>
        <v/>
      </c>
      <c r="I4870" s="3"/>
    </row>
    <row r="4871" customHeight="1" spans="1:9">
      <c r="A4871" s="2"/>
      <c r="B4871" s="2" t="str">
        <f>IFERROR(__xludf.DUMMYFUNCTION("IF(A4871&lt;&gt;"""", GOOGLETRANSLATE(A4871, ""en"", ""te""),"""")"),"")</f>
        <v/>
      </c>
      <c r="C4871" s="2"/>
      <c r="D4871" s="2" t="str">
        <f>IFERROR(__xludf.DUMMYFUNCTION("IF(C4871&lt;&gt;"""", GOOGLETRANSLATE(C4871, ""en"", ""te""),"""")"),"")</f>
        <v/>
      </c>
      <c r="E4871" s="2"/>
      <c r="F4871" s="2" t="str">
        <f>IFERROR(__xludf.DUMMYFUNCTION("IF(E4871&lt;&gt;"""", GOOGLETRANSLATE(E4871, ""en"", ""te""),"""")"),"")</f>
        <v/>
      </c>
      <c r="G4871" s="2"/>
      <c r="H4871" s="2" t="str">
        <f>IFERROR(__xludf.DUMMYFUNCTION("IF(G4871&lt;&gt;"""", GOOGLETRANSLATE(G4871, ""en"", ""te""),"""")"),"")</f>
        <v/>
      </c>
      <c r="I4871" s="3"/>
    </row>
    <row r="4872" customHeight="1" spans="1:9">
      <c r="A4872" s="2"/>
      <c r="B4872" s="2" t="str">
        <f>IFERROR(__xludf.DUMMYFUNCTION("IF(A4872&lt;&gt;"""", GOOGLETRANSLATE(A4872, ""en"", ""te""),"""")"),"")</f>
        <v/>
      </c>
      <c r="C4872" s="2"/>
      <c r="D4872" s="2" t="str">
        <f>IFERROR(__xludf.DUMMYFUNCTION("IF(C4872&lt;&gt;"""", GOOGLETRANSLATE(C4872, ""en"", ""te""),"""")"),"")</f>
        <v/>
      </c>
      <c r="E4872" s="2"/>
      <c r="F4872" s="2" t="str">
        <f>IFERROR(__xludf.DUMMYFUNCTION("IF(E4872&lt;&gt;"""", GOOGLETRANSLATE(E4872, ""en"", ""te""),"""")"),"")</f>
        <v/>
      </c>
      <c r="G4872" s="2"/>
      <c r="H4872" s="2" t="str">
        <f>IFERROR(__xludf.DUMMYFUNCTION("IF(G4872&lt;&gt;"""", GOOGLETRANSLATE(G4872, ""en"", ""te""),"""")"),"")</f>
        <v/>
      </c>
      <c r="I4872" s="3"/>
    </row>
    <row r="4873" customHeight="1" spans="1:9">
      <c r="A4873" s="2"/>
      <c r="B4873" s="2" t="str">
        <f>IFERROR(__xludf.DUMMYFUNCTION("IF(A4873&lt;&gt;"""", GOOGLETRANSLATE(A4873, ""en"", ""te""),"""")"),"")</f>
        <v/>
      </c>
      <c r="C4873" s="2"/>
      <c r="D4873" s="2" t="str">
        <f>IFERROR(__xludf.DUMMYFUNCTION("IF(C4873&lt;&gt;"""", GOOGLETRANSLATE(C4873, ""en"", ""te""),"""")"),"")</f>
        <v/>
      </c>
      <c r="E4873" s="2"/>
      <c r="F4873" s="2" t="str">
        <f>IFERROR(__xludf.DUMMYFUNCTION("IF(E4873&lt;&gt;"""", GOOGLETRANSLATE(E4873, ""en"", ""te""),"""")"),"")</f>
        <v/>
      </c>
      <c r="G4873" s="2"/>
      <c r="H4873" s="2" t="str">
        <f>IFERROR(__xludf.DUMMYFUNCTION("IF(G4873&lt;&gt;"""", GOOGLETRANSLATE(G4873, ""en"", ""te""),"""")"),"")</f>
        <v/>
      </c>
      <c r="I4873" s="3"/>
    </row>
    <row r="4874" customHeight="1" spans="1:9">
      <c r="A4874" s="2"/>
      <c r="B4874" s="2" t="str">
        <f>IFERROR(__xludf.DUMMYFUNCTION("IF(A4874&lt;&gt;"""", GOOGLETRANSLATE(A4874, ""en"", ""te""),"""")"),"")</f>
        <v/>
      </c>
      <c r="C4874" s="2"/>
      <c r="D4874" s="2" t="str">
        <f>IFERROR(__xludf.DUMMYFUNCTION("IF(C4874&lt;&gt;"""", GOOGLETRANSLATE(C4874, ""en"", ""te""),"""")"),"")</f>
        <v/>
      </c>
      <c r="E4874" s="2"/>
      <c r="F4874" s="2" t="str">
        <f>IFERROR(__xludf.DUMMYFUNCTION("IF(E4874&lt;&gt;"""", GOOGLETRANSLATE(E4874, ""en"", ""te""),"""")"),"")</f>
        <v/>
      </c>
      <c r="G4874" s="2"/>
      <c r="H4874" s="2" t="str">
        <f>IFERROR(__xludf.DUMMYFUNCTION("IF(G4874&lt;&gt;"""", GOOGLETRANSLATE(G4874, ""en"", ""te""),"""")"),"")</f>
        <v/>
      </c>
      <c r="I4874" s="3"/>
    </row>
    <row r="4875" customHeight="1" spans="1:9">
      <c r="A4875" s="2"/>
      <c r="B4875" s="2" t="str">
        <f>IFERROR(__xludf.DUMMYFUNCTION("IF(A4875&lt;&gt;"""", GOOGLETRANSLATE(A4875, ""en"", ""te""),"""")"),"")</f>
        <v/>
      </c>
      <c r="C4875" s="2"/>
      <c r="D4875" s="2" t="str">
        <f>IFERROR(__xludf.DUMMYFUNCTION("IF(C4875&lt;&gt;"""", GOOGLETRANSLATE(C4875, ""en"", ""te""),"""")"),"")</f>
        <v/>
      </c>
      <c r="E4875" s="2"/>
      <c r="F4875" s="2" t="str">
        <f>IFERROR(__xludf.DUMMYFUNCTION("IF(E4875&lt;&gt;"""", GOOGLETRANSLATE(E4875, ""en"", ""te""),"""")"),"")</f>
        <v/>
      </c>
      <c r="G4875" s="2"/>
      <c r="H4875" s="2" t="str">
        <f>IFERROR(__xludf.DUMMYFUNCTION("IF(G4875&lt;&gt;"""", GOOGLETRANSLATE(G4875, ""en"", ""te""),"""")"),"")</f>
        <v/>
      </c>
      <c r="I4875" s="3"/>
    </row>
    <row r="4876" customHeight="1" spans="1:9">
      <c r="A4876" s="2"/>
      <c r="B4876" s="2" t="str">
        <f>IFERROR(__xludf.DUMMYFUNCTION("IF(A4876&lt;&gt;"""", GOOGLETRANSLATE(A4876, ""en"", ""te""),"""")"),"")</f>
        <v/>
      </c>
      <c r="C4876" s="2"/>
      <c r="D4876" s="2" t="str">
        <f>IFERROR(__xludf.DUMMYFUNCTION("IF(C4876&lt;&gt;"""", GOOGLETRANSLATE(C4876, ""en"", ""te""),"""")"),"")</f>
        <v/>
      </c>
      <c r="E4876" s="2"/>
      <c r="F4876" s="2" t="str">
        <f>IFERROR(__xludf.DUMMYFUNCTION("IF(E4876&lt;&gt;"""", GOOGLETRANSLATE(E4876, ""en"", ""te""),"""")"),"")</f>
        <v/>
      </c>
      <c r="G4876" s="2"/>
      <c r="H4876" s="2" t="str">
        <f>IFERROR(__xludf.DUMMYFUNCTION("IF(G4876&lt;&gt;"""", GOOGLETRANSLATE(G4876, ""en"", ""te""),"""")"),"")</f>
        <v/>
      </c>
      <c r="I4876" s="3"/>
    </row>
    <row r="4877" customHeight="1" spans="1:9">
      <c r="A4877" s="2" t="s">
        <v>3353</v>
      </c>
      <c r="B4877" s="2" t="str">
        <f>IFERROR(__xludf.DUMMYFUNCTION("IF(A4877&lt;&gt;"""", GOOGLETRANSLATE(A4877, ""en"", ""te""),"""")"),"[ '10 వ ఒక సిరీస్లో అత్యధిక వికెట్లు (25)']")</f>
        <v>[ '10 వ ఒక సిరీస్లో అత్యధిక వికెట్లు (25)']</v>
      </c>
      <c r="C4877" s="2" t="s">
        <v>3354</v>
      </c>
      <c r="D4877" s="2" t="str">
        <f>IFERROR(__xludf.DUMMYFUNCTION("IF(C4877&lt;&gt;"""", GOOGLETRANSLATE(C4877, ""en"", ""te""),"""")"),"[ 'తొలి ఇన్నింగ్స్లో 14 బెస్ట్ ఫిగర్స్ (4)', '21 వ ప్రవేశం (5) ఒక మ్యాచ్లో బెస్ట్ ఫిగర్స్ ']")</f>
        <v>[ 'తొలి ఇన్నింగ్స్లో 14 బెస్ట్ ఫిగర్స్ (4)', '21 వ ప్రవేశం (5) ఒక మ్యాచ్లో బెస్ట్ ఫిగర్స్ ']</v>
      </c>
      <c r="E4877" s="2" t="s">
        <v>3355</v>
      </c>
      <c r="F4877" s="2" t="str">
        <f>IFERROR(__xludf.DUMMYFUNCTION("IF(E4877&lt;&gt;"""", GOOGLETRANSLATE(E4877, ""en"", ""te""),"""")"),"[ '36 వ కెరీర్ లో అత్యధిక వికెట్లు (75)', '34 వ ఉత్తమ ఇన్నింగ్స్ లో సంఖ్యలు (5/15)', 'వరుస 10 వ అత్యధిక వికెట్లు (25)', '17 వ అత్యుత్తమ బౌలింగ్ ఇన్నింగ్స్ లో విశ్లేషించడం (5/15 ) ',' 11 వ ఒక ఇన్నింగ్స్ లోని బెస్ట్ ఫిగర్స్ ఉన్నప్పుడు పరాజయం వైపు (4) ',' 2"&amp;"2 వ ఉత్తమ కెరీర్ సగటు (17.70) ',' 13 వ ఉత్తమ కెరీర్ సమ్మె రేటు (31.3) ',' 43 వ ఉత్తమ సమ్మె ఇన్నింగ్స్ లో రేటు బౌలింగ్ (9.0) ',' మోస్ట్ నాలుగు వికెట్లు-ఇన్-ఒక-ఇన్నింగ్స్ 15 కెరీర్లో (5) ',' 31 బౌలర్ / బ్యాట్స్ కలయికలు (5) ',' 31 అత్యధిక వికెట్లు బౌల్డ్ (20"&amp;") ',' 43 వ అత్యంత తీసుకున్న ఒక ఫీల్డర్ చేత క్యాచ్ తీసుకోబడిన వికెట్ల (32) ',' 43 వ అత్యధిక వికెట్లు తీసుకున్న ఎల్బిడబ్ల్యు (11) ']")</f>
        <v>[ '36 వ కెరీర్ లో అత్యధిక వికెట్లు (75)', '34 వ ఉత్తమ ఇన్నింగ్స్ లో సంఖ్యలు (5/15)', 'వరుస 10 వ అత్యధిక వికెట్లు (25)', '17 వ అత్యుత్తమ బౌలింగ్ ఇన్నింగ్స్ లో విశ్లేషించడం (5/15 ) ',' 11 వ ఒక ఇన్నింగ్స్ లోని బెస్ట్ ఫిగర్స్ ఉన్నప్పుడు పరాజయం వైపు (4) ',' 22 వ ఉత్తమ కెరీర్ సగటు (17.70) ',' 13 వ ఉత్తమ కెరీర్ సమ్మె రేటు (31.3) ',' 43 వ ఉత్తమ సమ్మె ఇన్నింగ్స్ లో రేటు బౌలింగ్ (9.0) ',' మోస్ట్ నాలుగు వికెట్లు-ఇన్-ఒక-ఇన్నింగ్స్ 15 కెరీర్లో (5) ',' 31 బౌలర్ / బ్యాట్స్ కలయికలు (5) ',' 31 అత్యధిక వికెట్లు బౌల్డ్ (20) ',' 43 వ అత్యంత తీసుకున్న ఒక ఫీల్డర్ చేత క్యాచ్ తీసుకోబడిన వికెట్ల (32) ',' 43 వ అత్యధిక వికెట్లు తీసుకున్న ఎల్బిడబ్ల్యు (11) ']</v>
      </c>
      <c r="G4877" s="2" t="s">
        <v>3356</v>
      </c>
      <c r="H4877" s="2" t="str">
        <f>IFERROR(__xludf.DUMMYFUNCTION("IF(G4877&lt;&gt;"""", GOOGLETRANSLATE(G4877, ""en"", ""te""),"""")"),"[ '29 సగటు (18.10) బౌలింగ్ ఉత్తమ జీవితం' '14 వ ఉత్తమ కెరీర్ సమ్మె రేటు (17.5)', '23 వ చెత్త కెరీర్లో ఆర్థిక రేటు (6.20)', 'ఇన్నింగ్స్ లో 20 వ చెత్త ఆర్థిక రేటు (15.50)', '12 వ ఉత్తమ అరంగేట్రంలోనే ఇన్నింగ్స్లో గణాంకాలు (3) ',' 43 వ అత్యధిక వికెట్లు తీసుకున"&amp;"్న ఆకర్షించింది (26) ',' 41 వ అత్యధిక వికెట్లు ఒక ఫీల్డర్ (22) పట్టుకుంటే తీసిన]")</f>
        <v>[ '29 సగటు (18.10) బౌలింగ్ ఉత్తమ జీవితం' '14 వ ఉత్తమ కెరీర్ సమ్మె రేటు (17.5)', '23 వ చెత్త కెరీర్లో ఆర్థిక రేటు (6.20)', 'ఇన్నింగ్స్ లో 20 వ చెత్త ఆర్థిక రేటు (15.50)', '12 వ ఉత్తమ అరంగేట్రంలోనే ఇన్నింగ్స్లో గణాంకాలు (3) ',' 43 వ అత్యధిక వికెట్లు తీసుకున్న ఆకర్షించింది (26) ',' 41 వ అత్యధిక వికెట్లు ఒక ఫీల్డర్ (22) పట్టుకుంటే తీసిన]</v>
      </c>
      <c r="I4877" s="3"/>
    </row>
    <row r="4878" customHeight="1" spans="1:9">
      <c r="A4878" s="2"/>
      <c r="B4878" s="2" t="str">
        <f>IFERROR(__xludf.DUMMYFUNCTION("IF(A4878&lt;&gt;"""", GOOGLETRANSLATE(A4878, ""en"", ""te""),"""")"),"")</f>
        <v/>
      </c>
      <c r="C4878" s="2"/>
      <c r="D4878" s="2" t="str">
        <f>IFERROR(__xludf.DUMMYFUNCTION("IF(C4878&lt;&gt;"""", GOOGLETRANSLATE(C4878, ""en"", ""te""),"""")"),"")</f>
        <v/>
      </c>
      <c r="E4878" s="2"/>
      <c r="F4878" s="2" t="str">
        <f>IFERROR(__xludf.DUMMYFUNCTION("IF(E4878&lt;&gt;"""", GOOGLETRANSLATE(E4878, ""en"", ""te""),"""")"),"")</f>
        <v/>
      </c>
      <c r="G4878" s="2"/>
      <c r="H4878" s="2" t="str">
        <f>IFERROR(__xludf.DUMMYFUNCTION("IF(G4878&lt;&gt;"""", GOOGLETRANSLATE(G4878, ""en"", ""te""),"""")"),"")</f>
        <v/>
      </c>
      <c r="I4878" s="3"/>
    </row>
    <row r="4879" customHeight="1" spans="1:9">
      <c r="A4879" s="2"/>
      <c r="B4879" s="2" t="str">
        <f>IFERROR(__xludf.DUMMYFUNCTION("IF(A4879&lt;&gt;"""", GOOGLETRANSLATE(A4879, ""en"", ""te""),"""")"),"")</f>
        <v/>
      </c>
      <c r="C4879" s="2"/>
      <c r="D4879" s="2" t="str">
        <f>IFERROR(__xludf.DUMMYFUNCTION("IF(C4879&lt;&gt;"""", GOOGLETRANSLATE(C4879, ""en"", ""te""),"""")"),"")</f>
        <v/>
      </c>
      <c r="E4879" s="2"/>
      <c r="F4879" s="2" t="str">
        <f>IFERROR(__xludf.DUMMYFUNCTION("IF(E4879&lt;&gt;"""", GOOGLETRANSLATE(E4879, ""en"", ""te""),"""")"),"")</f>
        <v/>
      </c>
      <c r="G4879" s="2"/>
      <c r="H4879" s="2" t="str">
        <f>IFERROR(__xludf.DUMMYFUNCTION("IF(G4879&lt;&gt;"""", GOOGLETRANSLATE(G4879, ""en"", ""te""),"""")"),"")</f>
        <v/>
      </c>
      <c r="I4879" s="3"/>
    </row>
    <row r="4880" customHeight="1" spans="1:9">
      <c r="A4880" s="2"/>
      <c r="B4880" s="2" t="str">
        <f>IFERROR(__xludf.DUMMYFUNCTION("IF(A4880&lt;&gt;"""", GOOGLETRANSLATE(A4880, ""en"", ""te""),"""")"),"")</f>
        <v/>
      </c>
      <c r="C4880" s="2"/>
      <c r="D4880" s="2" t="str">
        <f>IFERROR(__xludf.DUMMYFUNCTION("IF(C4880&lt;&gt;"""", GOOGLETRANSLATE(C4880, ""en"", ""te""),"""")"),"")</f>
        <v/>
      </c>
      <c r="E4880" s="2"/>
      <c r="F4880" s="2" t="str">
        <f>IFERROR(__xludf.DUMMYFUNCTION("IF(E4880&lt;&gt;"""", GOOGLETRANSLATE(E4880, ""en"", ""te""),"""")"),"")</f>
        <v/>
      </c>
      <c r="G4880" s="2"/>
      <c r="H4880" s="2" t="str">
        <f>IFERROR(__xludf.DUMMYFUNCTION("IF(G4880&lt;&gt;"""", GOOGLETRANSLATE(G4880, ""en"", ""te""),"""")"),"")</f>
        <v/>
      </c>
      <c r="I4880" s="3"/>
    </row>
    <row r="4881" customHeight="1" spans="1:9">
      <c r="A4881" s="2" t="s">
        <v>3357</v>
      </c>
      <c r="B4881" s="2" t="str">
        <f>IFERROR(__xludf.DUMMYFUNCTION("IF(A4881&lt;&gt;"""", GOOGLETRANSLATE(A4881, ""en"", ""te""),"""")"),"[ 'పరాజయం వైపు ఒక మ్యాచ్లో 5 వ అత్యధిక పరుగులు (261)', 'హండ్రెడ్ ఒక మ్యాచ్లో ప్రతి ఇన్నింగ్స్లో', 'ఒక కెప్టెన్తో పెయిర్', 'వరుస ఇన్నింగ్స్లో 6 వ వందల (3)']")</f>
        <v>[ 'పరాజయం వైపు ఒక మ్యాచ్లో 5 వ అత్యధిక పరుగులు (261)', 'హండ్రెడ్ ఒక మ్యాచ్లో ప్రతి ఇన్నింగ్స్లో', 'ఒక కెప్టెన్తో పెయిర్', 'వరుస ఇన్నింగ్స్లో 6 వ వందల (3)']</v>
      </c>
      <c r="C4881" s="2" t="s">
        <v>3358</v>
      </c>
      <c r="D4881" s="2" t="str">
        <f>IFERROR(__xludf.DUMMYFUNCTION("IF(C4881&lt;&gt;"""", GOOGLETRANSLATE(C4881, ""en"", ""te""),"""")"),"[ 'పరాజయం వైపు ఒక మ్యాచ్లో 5 వ అత్యధిక పరుగులు (261)', 'వరుస ఇన్నింగ్స్లో 5 వ వందల (3)', 'వరుస మ్యాచ్లలో 21 వందల (3)', '29th వేగవంతమైన 2000 పరుగులు (43)', '15 వ చెత్త కెరీర్ బౌలింగ్ సరాసరి (61.00)', '11 వ చెత్త కెరీర్లో సమ్మె రేటు (142.0)', '47 వ ఓల్డెస"&amp;"్ట్ కాప్టెన్ (38y 24d)', 'కెప్టెన్సీ తొలి 32 వ ఓల్డెస్ట్ కాప్టెన్ (36y 236d)']")</f>
        <v>[ 'పరాజయం వైపు ఒక మ్యాచ్లో 5 వ అత్యధిక పరుగులు (261)', 'వరుస ఇన్నింగ్స్లో 5 వ వందల (3)', 'వరుస మ్యాచ్లలో 21 వందల (3)', '29th వేగవంతమైన 2000 పరుగులు (43)', '15 వ చెత్త కెరీర్ బౌలింగ్ సరాసరి (61.00)', '11 వ చెత్త కెరీర్లో సమ్మె రేటు (142.0)', '47 వ ఓల్డెస్ట్ కాప్టెన్ (38y 24d)', 'కెప్టెన్సీ తొలి 32 వ ఓల్డెస్ట్ కాప్టెన్ (36y 236d)']</v>
      </c>
      <c r="E4881" s="2"/>
      <c r="F4881" s="2" t="str">
        <f>IFERROR(__xludf.DUMMYFUNCTION("IF(E4881&lt;&gt;"""", GOOGLETRANSLATE(E4881, ""en"", ""te""),"""")"),"")</f>
        <v/>
      </c>
      <c r="G4881" s="2"/>
      <c r="H4881" s="2" t="str">
        <f>IFERROR(__xludf.DUMMYFUNCTION("IF(G4881&lt;&gt;"""", GOOGLETRANSLATE(G4881, ""en"", ""te""),"""")"),"")</f>
        <v/>
      </c>
      <c r="I4881" s="3"/>
    </row>
    <row r="4882" customHeight="1" spans="1:9">
      <c r="A4882" s="2"/>
      <c r="B4882" s="2" t="str">
        <f>IFERROR(__xludf.DUMMYFUNCTION("IF(A4882&lt;&gt;"""", GOOGLETRANSLATE(A4882, ""en"", ""te""),"""")"),"")</f>
        <v/>
      </c>
      <c r="C4882" s="2"/>
      <c r="D4882" s="2" t="str">
        <f>IFERROR(__xludf.DUMMYFUNCTION("IF(C4882&lt;&gt;"""", GOOGLETRANSLATE(C4882, ""en"", ""te""),"""")"),"")</f>
        <v/>
      </c>
      <c r="E4882" s="2"/>
      <c r="F4882" s="2" t="str">
        <f>IFERROR(__xludf.DUMMYFUNCTION("IF(E4882&lt;&gt;"""", GOOGLETRANSLATE(E4882, ""en"", ""te""),"""")"),"")</f>
        <v/>
      </c>
      <c r="G4882" s="2"/>
      <c r="H4882" s="2" t="str">
        <f>IFERROR(__xludf.DUMMYFUNCTION("IF(G4882&lt;&gt;"""", GOOGLETRANSLATE(G4882, ""en"", ""te""),"""")"),"")</f>
        <v/>
      </c>
      <c r="I4882" s="3"/>
    </row>
    <row r="4883" customHeight="1" spans="1:9">
      <c r="A4883" s="2"/>
      <c r="B4883" s="2" t="str">
        <f>IFERROR(__xludf.DUMMYFUNCTION("IF(A4883&lt;&gt;"""", GOOGLETRANSLATE(A4883, ""en"", ""te""),"""")"),"")</f>
        <v/>
      </c>
      <c r="C4883" s="2"/>
      <c r="D4883" s="2" t="str">
        <f>IFERROR(__xludf.DUMMYFUNCTION("IF(C4883&lt;&gt;"""", GOOGLETRANSLATE(C4883, ""en"", ""te""),"""")"),"")</f>
        <v/>
      </c>
      <c r="E4883" s="2"/>
      <c r="F4883" s="2" t="str">
        <f>IFERROR(__xludf.DUMMYFUNCTION("IF(E4883&lt;&gt;"""", GOOGLETRANSLATE(E4883, ""en"", ""te""),"""")"),"")</f>
        <v/>
      </c>
      <c r="G4883" s="2"/>
      <c r="H4883" s="2" t="str">
        <f>IFERROR(__xludf.DUMMYFUNCTION("IF(G4883&lt;&gt;"""", GOOGLETRANSLATE(G4883, ""en"", ""te""),"""")"),"")</f>
        <v/>
      </c>
      <c r="I4883" s="3"/>
    </row>
    <row r="4884" customHeight="1" spans="1:9">
      <c r="A4884" s="2"/>
      <c r="B4884" s="2" t="str">
        <f>IFERROR(__xludf.DUMMYFUNCTION("IF(A4884&lt;&gt;"""", GOOGLETRANSLATE(A4884, ""en"", ""te""),"""")"),"")</f>
        <v/>
      </c>
      <c r="C4884" s="2"/>
      <c r="D4884" s="2" t="str">
        <f>IFERROR(__xludf.DUMMYFUNCTION("IF(C4884&lt;&gt;"""", GOOGLETRANSLATE(C4884, ""en"", ""te""),"""")"),"")</f>
        <v/>
      </c>
      <c r="E4884" s="2"/>
      <c r="F4884" s="2" t="str">
        <f>IFERROR(__xludf.DUMMYFUNCTION("IF(E4884&lt;&gt;"""", GOOGLETRANSLATE(E4884, ""en"", ""te""),"""")"),"")</f>
        <v/>
      </c>
      <c r="G4884" s="2"/>
      <c r="H4884" s="2" t="str">
        <f>IFERROR(__xludf.DUMMYFUNCTION("IF(G4884&lt;&gt;"""", GOOGLETRANSLATE(G4884, ""en"", ""te""),"""")"),"")</f>
        <v/>
      </c>
      <c r="I4884" s="3"/>
    </row>
    <row r="4885" customHeight="1" spans="1:9">
      <c r="A4885" s="2" t="s">
        <v>3359</v>
      </c>
      <c r="B4885" s="2" t="str">
        <f>IFERROR(__xludf.DUMMYFUNCTION("IF(A4885&lt;&gt;"""", GOOGLETRANSLATE(A4885, ""en"", ""te""),"""")"),"[ 'ఒక మ్యాచ్లో 6 వ ఉత్తమ బొమ్మలు (15)', 'ఇన్నింగ్స్ లో 2 వ ఉత్తమ సమ్మె రేటు (5.4)', '4 వ అత్యధిక వరుస పది వికెట్లు లో ఒక మ్యాచ్ (2)', '9 వ అత్యంత బంతుల్లో బౌల్డ్ కెరీర్ (28580) ',' 6 వ కెరీర్ లో సాధించిన అత్యధిక పరుగులు (13537) ',' 4 వ అత్యధిక వికెట్లు ఒక"&amp;" ఫీల్డర్ (256) ',' 9 వ 400 వికెట్లు (96) ',' 1000 పరుగులు మరియు 100 వికెట్లు 'వేగంగా పట్టుకుంటే తీసుకున్న , '1000 పరుగులు మరియు 100 వికెట్లు', '1000 పరుగులు, 50 వికెట్లు, 50 క్యాచ్లు', '4 వ ఉత్తమ కెరీర్ ఆర్థిక రేటు (6.20)' 'ఇన్నింగ్స్ లో' 5 వ అత్యధిక వికె"&amp;"ట్లు స్టంప్ (36) తీసుకున్న ', 1 వ అత్యంత పనికత్తెలయొద్ద ( 2) ',' 5 వ అత్యధిక వరుస ఐదు వికెట్ల లో-ఒక-ఇన్నింగ్స్ (4) ',' 7 వ కెరీర్ లో బౌల్డ్ చాలా బంతుల్లో (41671) ',' 5 వ అత్యధిక కెరీర్ (23143) ',' 3 వ అత్యధిక వికెట్లు లో ఇవ్వబడిన పరుగులలో తీసుకున్న స్టంప్"&amp;"డ్ (54) ']")</f>
        <v>[ 'ఒక మ్యాచ్లో 6 వ ఉత్తమ బొమ్మలు (15)', 'ఇన్నింగ్స్ లో 2 వ ఉత్తమ సమ్మె రేటు (5.4)', '4 వ అత్యధిక వరుస పది వికెట్లు లో ఒక మ్యాచ్ (2)', '9 వ అత్యంత బంతుల్లో బౌల్డ్ కెరీర్ (28580) ',' 6 వ కెరీర్ లో సాధించిన అత్యధిక పరుగులు (13537) ',' 4 వ అత్యధిక వికెట్లు ఒక ఫీల్డర్ (256) ',' 9 వ 400 వికెట్లు (96) ',' 1000 పరుగులు మరియు 100 వికెట్లు 'వేగంగా పట్టుకుంటే తీసుకున్న , '1000 పరుగులు మరియు 100 వికెట్లు', '1000 పరుగులు, 50 వికెట్లు, 50 క్యాచ్లు', '4 వ ఉత్తమ కెరీర్ ఆర్థిక రేటు (6.20)' 'ఇన్నింగ్స్ లో' 5 వ అత్యధిక వికెట్లు స్టంప్ (36) తీసుకున్న ', 1 వ అత్యంత పనికత్తెలయొద్ద ( 2) ',' 5 వ అత్యధిక వరుస ఐదు వికెట్ల లో-ఒక-ఇన్నింగ్స్ (4) ',' 7 వ కెరీర్ లో బౌల్డ్ చాలా బంతుల్లో (41671) ',' 5 వ అత్యధిక కెరీర్ (23143) ',' 3 వ అత్యధిక వికెట్లు లో ఇవ్వబడిన పరుగులలో తీసుకున్న స్టంప్డ్ (54) ']</v>
      </c>
      <c r="C4885" s="2" t="s">
        <v>3360</v>
      </c>
      <c r="D4885" s="2" t="str">
        <f>IFERROR(__xludf.DUMMYFUNCTION("IF(C4885&lt;&gt;"""", GOOGLETRANSLATE(C4885, ""en"", ""te""),"""")"),"[ '21 వ అత్యధిక ఇన్నింగ్స్ లో సమ్మె రేటు (205.55)', '27 వ కెరీర్ బాతులు (19)', '47 వ కెరీర్ లో వచ్చిన ఎక్కువ సిక్స్ (42)', '19 వ ఎక్కువ సిక్స్ ఇన్నింగ్స్ (7) లో', '13 వ కెరీర్లో అత్యధిక వికెట్లు (417) ',' ఒక మ్యాచ్లో 6 వ ఉత్తమ బొమ్మలు (15) ',' 44th ఒక సిర"&amp;"ీస్లో అత్యధిక వికెట్లు (32) ',' 30th ఒక క్యాలెండర్ సంవత్సరంలో అత్యధిక వికెట్లు (63) ',' 12 వ అత్యుత్తమ బౌలింగ్ పరాజయం వైపు ఉన్నప్పుడు ఒక మ్యాచ్లో ఇన్నింగ్స్ (5/13) ',' 15 వ ఉత్తమ బొమ్మలు విశ్లేషించడం (11) ',' ఇన్నింగ్స్ లో 2 వ ఉత్తమ సమ్మె రేటు (5.4) ',' "&amp;"11 వ అత్యంత ఐదు-వికెట్ల in- ఒక కెరీర్ లో ఒక ఇన్నింగ్స్ (25) ',' 12 వ అత్యంత పది వికెట్లు లో ఒక మ్యాచ్ ఒక వృత్తిలో (5) ',' 5 వ అత్యధిక వరుస ఐదు వికెట్ల లో-ఒక-ఇన్నింగ్స్ (4) ',' 4 వ అత్యధిక వరుస పది వికెట్లు లో ఒక మ్యాచ్ తీసుకోవాలని (2) ',' 14 వ పిన్న ఆటగాడ"&amp;"ు పది వికెట్లు లో ఒక మ్యాచ్ (20y 251d) ',' కెరీర్ లో బౌల్డ్ 9 వ అత్యంత బంతుల్లో (28580) ', 'కెరీర్ లో 6 వ అత్యంత సాధించిన పరుగులు (13537)', '35 వ మ్యాచ్ లో సాధించిన అత్యధిక పరుగులు (265)', '23 వ బౌలర్ / ఫీల్డర్ కలయికలు (51)', '10 వ అత్యంత' 9 వ అత్యధిక విక"&amp;"ెట్లు ఆకర్షించింది (287) తీసుకున్న ' వికెట్లు ఆకర్షించింది తీసుకున్న మరియు బౌల్డ్ (13) ',' 4 వ అత్యధిక వికెట్లు ఒక ఫీల్డర్ చేత క్యాచ్ తీసుకున్న (256) ', '21 వ అత్యధిక వికెట్లు తీసుకున్న ఎల్బిడబ్ల్యు (68)', '13 వ అత్యధిక వికెట్లు స్టంప్ తీసుకున్న (15)', '4"&amp;"1 వ 50 వికెట్లు వేగవంతమైన ( 11) ',' 27th 150 వికెట్లు (వేగంగా 35) ', '21 వ 200 వికెట్లు (వేగంగా 46)', '25 వ 250 వికెట్లు (వేగంగా 61)', '18 వ 300 వికెట్లు (72)', '14 వ వేగంగా వేగవంతమైన 350 వికెట్లు (83) ',' 9 వ 400 వికెట్లు వేగంగా (96) ',' పదవ వికెట్కు 2"&amp;"3 అత్యధిక భాగస్వామ్యం (105) ',' 24 వ అత్యంత ప్లేయర్ ఆఫ్ ది సిరీస్ అవార్డులు (4) ',' 29 పిన్న క్రీడాకారులు (17y 265d) ']")</f>
        <v>[ '21 వ అత్యధిక ఇన్నింగ్స్ లో సమ్మె రేటు (205.55)', '27 వ కెరీర్ బాతులు (19)', '47 వ కెరీర్ లో వచ్చిన ఎక్కువ సిక్స్ (42)', '19 వ ఎక్కువ సిక్స్ ఇన్నింగ్స్ (7) లో', '13 వ కెరీర్లో అత్యధిక వికెట్లు (417) ',' ఒక మ్యాచ్లో 6 వ ఉత్తమ బొమ్మలు (15) ',' 44th ఒక సిరీస్లో అత్యధిక వికెట్లు (32) ',' 30th ఒక క్యాలెండర్ సంవత్సరంలో అత్యధిక వికెట్లు (63) ',' 12 వ అత్యుత్తమ బౌలింగ్ పరాజయం వైపు ఉన్నప్పుడు ఒక మ్యాచ్లో ఇన్నింగ్స్ (5/13) ',' 15 వ ఉత్తమ బొమ్మలు విశ్లేషించడం (11) ',' ఇన్నింగ్స్ లో 2 వ ఉత్తమ సమ్మె రేటు (5.4) ',' 11 వ అత్యంత ఐదు-వికెట్ల in- ఒక కెరీర్ లో ఒక ఇన్నింగ్స్ (25) ',' 12 వ అత్యంత పది వికెట్లు లో ఒక మ్యాచ్ ఒక వృత్తిలో (5) ',' 5 వ అత్యధిక వరుస ఐదు వికెట్ల లో-ఒక-ఇన్నింగ్స్ (4) ',' 4 వ అత్యధిక వరుస పది వికెట్లు లో ఒక మ్యాచ్ తీసుకోవాలని (2) ',' 14 వ పిన్న ఆటగాడు పది వికెట్లు లో ఒక మ్యాచ్ (20y 251d) ',' కెరీర్ లో బౌల్డ్ 9 వ అత్యంత బంతుల్లో (28580) ', 'కెరీర్ లో 6 వ అత్యంత సాధించిన పరుగులు (13537)', '35 వ మ్యాచ్ లో సాధించిన అత్యధిక పరుగులు (265)', '23 వ బౌలర్ / ఫీల్డర్ కలయికలు (51)', '10 వ అత్యంత' 9 వ అత్యధిక వికెట్లు ఆకర్షించింది (287) తీసుకున్న ' వికెట్లు ఆకర్షించింది తీసుకున్న మరియు బౌల్డ్ (13) ',' 4 వ అత్యధిక వికెట్లు ఒక ఫీల్డర్ చేత క్యాచ్ తీసుకున్న (256) ', '21 వ అత్యధిక వికెట్లు తీసుకున్న ఎల్బిడబ్ల్యు (68)', '13 వ అత్యధిక వికెట్లు స్టంప్ తీసుకున్న (15)', '41 వ 50 వికెట్లు వేగవంతమైన ( 11) ',' 27th 150 వికెట్లు (వేగంగా 35) ', '21 వ 200 వికెట్లు (వేగంగా 46)', '25 వ 250 వికెట్లు (వేగంగా 61)', '18 వ 300 వికెట్లు (72)', '14 వ వేగంగా వేగవంతమైన 350 వికెట్లు (83) ',' 9 వ 400 వికెట్లు వేగంగా (96) ',' పదవ వికెట్కు 23 అత్యధిక భాగస్వామ్యం (105) ',' 24 వ అత్యంత ప్లేయర్ ఆఫ్ ది సిరీస్ అవార్డులు (4) ',' 29 పిన్న క్రీడాకారులు (17y 265d) ']</v>
      </c>
      <c r="E4885" s="2" t="s">
        <v>3361</v>
      </c>
      <c r="F4885" s="2" t="str">
        <f>IFERROR(__xludf.DUMMYFUNCTION("IF(E4885&lt;&gt;"""", GOOGLETRANSLATE(E4885, ""en"", ""te""),"""")"),"[ '12 వ ఇన్నింగ్స్ లో అత్యధిక పరుగులు (బ్యాటింగ్ స్థానంలో ప్రకారం) (46)', '30 వ కెరీర్ బాతులు (17)', '21 వ కెరీర్ లో అత్యధిక వికెట్లు (269) ',' 40 వ ఒకే మైదానంలో అత్యధిక వికెట్లు (33 ) ',' 14 వ ఒక ఇన్నింగ్స్ లోని బెస్ట్ ఫిగర్స్ ఉన్నప్పుడు పరాజయం వైపు (5"&amp;") ',' 25 వ అత్యంత ఐదు-వికెట్ల లో-ఒక-ఇన్నింగ్స్ కెరీర్లో (3) ',' ఐదు wickets- తీసుకోవాలని 29 పిన్న ఆటగాడు లో-ఒక-ఇన్నింగ్స్ (21y 215d) ',' 11 వ కెరీర్ లో బౌల్డ్ (12479) ',' 11 వ కెరీర్ లో సాధించిన అత్యధిక పరుగులు (8973) ',' 25 వ బౌలర్ / బ్యాట్స్ కలయికలు (8)"&amp;" ',' 37 వ బౌలరు బంతుల్లో / ఫీల్డర్ కలయికలు (27) ',' 20 వ అత్యధిక వికెట్లు ఆకర్షించింది తీసుకున్న (173) ',' 8 వ అత్యధిక వికెట్లు తీసుకున్న క్యాచ్ మరియు బౌల్డ్ (17) ',' 6 వ అత్యధిక వికెట్లు ఒక ఫీల్డర్ చేత క్యాచ్ తీసుకున్న (155) ',' 30 వ అత్యధిక వికెట్లు తీస"&amp;"ుకున్న LBW (29) ',' 5 వ అత్యధిక వికెట్లు తీసుకున్న స్టంప్ (36) ',' 46 వ 150 వికెట్లు 200 వికెట్లు (178) ', '21 వ వేగవంతమైన 250 వికెట్లు (222)' కు (122) ',' 29th వేగంగా వేగంగా, 'ఎనిమిదవ వికెట్కు 25 అత్యధిక భాగస్వామ్యం (84)', 'పదవ వికెట్కు 13 వ అత్యధిక భాగ"&amp;"స్వామ్యం (64)', '45 వ పిన్న క్రీడాకారులు (17y 288 d) ', '21 వ లాంగెస్ట్ కెరీర్లు (17y 191d)']")</f>
        <v>[ '12 వ ఇన్నింగ్స్ లో అత్యధిక పరుగులు (బ్యాటింగ్ స్థానంలో ప్రకారం) (46)', '30 వ కెరీర్ బాతులు (17)', '21 వ కెరీర్ లో అత్యధిక వికెట్లు (269) ',' 40 వ ఒకే మైదానంలో అత్యధిక వికెట్లు (33 ) ',' 14 వ ఒక ఇన్నింగ్స్ లోని బెస్ట్ ఫిగర్స్ ఉన్నప్పుడు పరాజయం వైపు (5) ',' 25 వ అత్యంత ఐదు-వికెట్ల లో-ఒక-ఇన్నింగ్స్ కెరీర్లో (3) ',' ఐదు wickets- తీసుకోవాలని 29 పిన్న ఆటగాడు లో-ఒక-ఇన్నింగ్స్ (21y 215d) ',' 11 వ కెరీర్ లో బౌల్డ్ (12479) ',' 11 వ కెరీర్ లో సాధించిన అత్యధిక పరుగులు (8973) ',' 25 వ బౌలర్ / బ్యాట్స్ కలయికలు (8) ',' 37 వ బౌలరు బంతుల్లో / ఫీల్డర్ కలయికలు (27) ',' 20 వ అత్యధిక వికెట్లు ఆకర్షించింది తీసుకున్న (173) ',' 8 వ అత్యధిక వికెట్లు తీసుకున్న క్యాచ్ మరియు బౌల్డ్ (17) ',' 6 వ అత్యధిక వికెట్లు ఒక ఫీల్డర్ చేత క్యాచ్ తీసుకున్న (155) ',' 30 వ అత్యధిక వికెట్లు తీసుకున్న LBW (29) ',' 5 వ అత్యధిక వికెట్లు తీసుకున్న స్టంప్ (36) ',' 46 వ 150 వికెట్లు 200 వికెట్లు (178) ', '21 వ వేగవంతమైన 250 వికెట్లు (222)' కు (122) ',' 29th వేగంగా వేగంగా, 'ఎనిమిదవ వికెట్కు 25 అత్యధిక భాగస్వామ్యం (84)', 'పదవ వికెట్కు 13 వ అత్యధిక భాగస్వామ్యం (64)', '45 వ పిన్న క్రీడాకారులు (17y 288 d) ', '21 వ లాంగెస్ట్ కెరీర్లు (17y 191d)']</v>
      </c>
      <c r="G4885" s="2" t="s">
        <v>3362</v>
      </c>
      <c r="H4885" s="2" t="str">
        <f>IFERROR(__xludf.DUMMYFUNCTION("IF(G4885&lt;&gt;"""", GOOGLETRANSLATE(G4885, ""en"", ""te""),"""")"),"[ '4 వ ఉత్తమ కెరీర్ ఆర్థిక రేటు (6.20)', '14 వ చెత్త కెరీర్లో సమ్మె రేటు (24.4)', '3 వ అత్యధిక కెరీర్ లో పనికత్తెలయొద్ద (5)', '1 వ ఇన్నింగ్స్ లో వచ్చిన ఎక్కువ పనికత్తెలయొద్ద (2)']")</f>
        <v>[ '4 వ ఉత్తమ కెరీర్ ఆర్థిక రేటు (6.20)', '14 వ చెత్త కెరీర్లో సమ్మె రేటు (24.4)', '3 వ అత్యధిక కెరీర్ లో పనికత్తెలయొద్ద (5)', '1 వ ఇన్నింగ్స్ లో వచ్చిన ఎక్కువ పనికత్తెలయొద్ద (2)']</v>
      </c>
      <c r="I4885" s="3"/>
    </row>
    <row r="4886" customHeight="1" spans="1:9">
      <c r="A4886" s="2"/>
      <c r="B4886" s="2" t="str">
        <f>IFERROR(__xludf.DUMMYFUNCTION("IF(A4886&lt;&gt;"""", GOOGLETRANSLATE(A4886, ""en"", ""te""),"""")"),"")</f>
        <v/>
      </c>
      <c r="C4886" s="2"/>
      <c r="D4886" s="2" t="str">
        <f>IFERROR(__xludf.DUMMYFUNCTION("IF(C4886&lt;&gt;"""", GOOGLETRANSLATE(C4886, ""en"", ""te""),"""")"),"")</f>
        <v/>
      </c>
      <c r="E4886" s="2"/>
      <c r="F4886" s="2" t="str">
        <f>IFERROR(__xludf.DUMMYFUNCTION("IF(E4886&lt;&gt;"""", GOOGLETRANSLATE(E4886, ""en"", ""te""),"""")"),"")</f>
        <v/>
      </c>
      <c r="G4886" s="2"/>
      <c r="H4886" s="2" t="str">
        <f>IFERROR(__xludf.DUMMYFUNCTION("IF(G4886&lt;&gt;"""", GOOGLETRANSLATE(G4886, ""en"", ""te""),"""")"),"")</f>
        <v/>
      </c>
      <c r="I4886" s="3"/>
    </row>
    <row r="4887" customHeight="1" spans="1:9">
      <c r="A4887" s="2"/>
      <c r="B4887" s="2" t="str">
        <f>IFERROR(__xludf.DUMMYFUNCTION("IF(A4887&lt;&gt;"""", GOOGLETRANSLATE(A4887, ""en"", ""te""),"""")"),"")</f>
        <v/>
      </c>
      <c r="C4887" s="2"/>
      <c r="D4887" s="2" t="str">
        <f>IFERROR(__xludf.DUMMYFUNCTION("IF(C4887&lt;&gt;"""", GOOGLETRANSLATE(C4887, ""en"", ""te""),"""")"),"")</f>
        <v/>
      </c>
      <c r="E4887" s="2"/>
      <c r="F4887" s="2" t="str">
        <f>IFERROR(__xludf.DUMMYFUNCTION("IF(E4887&lt;&gt;"""", GOOGLETRANSLATE(E4887, ""en"", ""te""),"""")"),"")</f>
        <v/>
      </c>
      <c r="G4887" s="2"/>
      <c r="H4887" s="2" t="str">
        <f>IFERROR(__xludf.DUMMYFUNCTION("IF(G4887&lt;&gt;"""", GOOGLETRANSLATE(G4887, ""en"", ""te""),"""")"),"")</f>
        <v/>
      </c>
      <c r="I4887" s="3"/>
    </row>
    <row r="4888" customHeight="1" spans="1:9">
      <c r="A4888" s="2"/>
      <c r="B4888" s="2" t="str">
        <f>IFERROR(__xludf.DUMMYFUNCTION("IF(A4888&lt;&gt;"""", GOOGLETRANSLATE(A4888, ""en"", ""te""),"""")"),"")</f>
        <v/>
      </c>
      <c r="C4888" s="2"/>
      <c r="D4888" s="2" t="str">
        <f>IFERROR(__xludf.DUMMYFUNCTION("IF(C4888&lt;&gt;"""", GOOGLETRANSLATE(C4888, ""en"", ""te""),"""")"),"")</f>
        <v/>
      </c>
      <c r="E4888" s="2"/>
      <c r="F4888" s="2" t="str">
        <f>IFERROR(__xludf.DUMMYFUNCTION("IF(E4888&lt;&gt;"""", GOOGLETRANSLATE(E4888, ""en"", ""te""),"""")"),"")</f>
        <v/>
      </c>
      <c r="G4888" s="2"/>
      <c r="H4888" s="2" t="str">
        <f>IFERROR(__xludf.DUMMYFUNCTION("IF(G4888&lt;&gt;"""", GOOGLETRANSLATE(G4888, ""en"", ""te""),"""")"),"")</f>
        <v/>
      </c>
      <c r="I4888" s="3"/>
    </row>
    <row r="4889" customHeight="1" spans="1:9">
      <c r="A4889" s="2"/>
      <c r="B4889" s="2" t="str">
        <f>IFERROR(__xludf.DUMMYFUNCTION("IF(A4889&lt;&gt;"""", GOOGLETRANSLATE(A4889, ""en"", ""te""),"""")"),"")</f>
        <v/>
      </c>
      <c r="C4889" s="2"/>
      <c r="D4889" s="2" t="str">
        <f>IFERROR(__xludf.DUMMYFUNCTION("IF(C4889&lt;&gt;"""", GOOGLETRANSLATE(C4889, ""en"", ""te""),"""")"),"")</f>
        <v/>
      </c>
      <c r="E4889" s="2"/>
      <c r="F4889" s="2" t="str">
        <f>IFERROR(__xludf.DUMMYFUNCTION("IF(E4889&lt;&gt;"""", GOOGLETRANSLATE(E4889, ""en"", ""te""),"""")"),"")</f>
        <v/>
      </c>
      <c r="G4889" s="2"/>
      <c r="H4889" s="2" t="str">
        <f>IFERROR(__xludf.DUMMYFUNCTION("IF(G4889&lt;&gt;"""", GOOGLETRANSLATE(G4889, ""en"", ""te""),"""")"),"")</f>
        <v/>
      </c>
      <c r="I4889" s="3"/>
    </row>
    <row r="4890" customHeight="1" spans="1:9">
      <c r="A4890" s="2"/>
      <c r="B4890" s="2" t="str">
        <f>IFERROR(__xludf.DUMMYFUNCTION("IF(A4890&lt;&gt;"""", GOOGLETRANSLATE(A4890, ""en"", ""te""),"""")"),"")</f>
        <v/>
      </c>
      <c r="C4890" s="2"/>
      <c r="D4890" s="2" t="str">
        <f>IFERROR(__xludf.DUMMYFUNCTION("IF(C4890&lt;&gt;"""", GOOGLETRANSLATE(C4890, ""en"", ""te""),"""")"),"")</f>
        <v/>
      </c>
      <c r="E4890" s="2"/>
      <c r="F4890" s="2" t="str">
        <f>IFERROR(__xludf.DUMMYFUNCTION("IF(E4890&lt;&gt;"""", GOOGLETRANSLATE(E4890, ""en"", ""te""),"""")"),"")</f>
        <v/>
      </c>
      <c r="G4890" s="2"/>
      <c r="H4890" s="2" t="str">
        <f>IFERROR(__xludf.DUMMYFUNCTION("IF(G4890&lt;&gt;"""", GOOGLETRANSLATE(G4890, ""en"", ""te""),"""")"),"")</f>
        <v/>
      </c>
      <c r="I4890" s="3"/>
    </row>
    <row r="4891" customHeight="1" spans="1:9">
      <c r="A4891" s="2"/>
      <c r="B4891" s="2" t="str">
        <f>IFERROR(__xludf.DUMMYFUNCTION("IF(A4891&lt;&gt;"""", GOOGLETRANSLATE(A4891, ""en"", ""te""),"""")"),"")</f>
        <v/>
      </c>
      <c r="C4891" s="2"/>
      <c r="D4891" s="2" t="str">
        <f>IFERROR(__xludf.DUMMYFUNCTION("IF(C4891&lt;&gt;"""", GOOGLETRANSLATE(C4891, ""en"", ""te""),"""")"),"")</f>
        <v/>
      </c>
      <c r="E4891" s="2"/>
      <c r="F4891" s="2" t="str">
        <f>IFERROR(__xludf.DUMMYFUNCTION("IF(E4891&lt;&gt;"""", GOOGLETRANSLATE(E4891, ""en"", ""te""),"""")"),"")</f>
        <v/>
      </c>
      <c r="G4891" s="2"/>
      <c r="H4891" s="2" t="str">
        <f>IFERROR(__xludf.DUMMYFUNCTION("IF(G4891&lt;&gt;"""", GOOGLETRANSLATE(G4891, ""en"", ""te""),"""")"),"")</f>
        <v/>
      </c>
      <c r="I4891" s="3"/>
    </row>
    <row r="4892" customHeight="1" spans="1:9">
      <c r="A4892" s="2"/>
      <c r="B4892" s="2" t="str">
        <f>IFERROR(__xludf.DUMMYFUNCTION("IF(A4892&lt;&gt;"""", GOOGLETRANSLATE(A4892, ""en"", ""te""),"""")"),"")</f>
        <v/>
      </c>
      <c r="C4892" s="2"/>
      <c r="D4892" s="2" t="str">
        <f>IFERROR(__xludf.DUMMYFUNCTION("IF(C4892&lt;&gt;"""", GOOGLETRANSLATE(C4892, ""en"", ""te""),"""")"),"")</f>
        <v/>
      </c>
      <c r="E4892" s="2"/>
      <c r="F4892" s="2" t="str">
        <f>IFERROR(__xludf.DUMMYFUNCTION("IF(E4892&lt;&gt;"""", GOOGLETRANSLATE(E4892, ""en"", ""te""),"""")"),"")</f>
        <v/>
      </c>
      <c r="G4892" s="2"/>
      <c r="H4892" s="2" t="str">
        <f>IFERROR(__xludf.DUMMYFUNCTION("IF(G4892&lt;&gt;"""", GOOGLETRANSLATE(G4892, ""en"", ""te""),"""")"),"")</f>
        <v/>
      </c>
      <c r="I4892" s="3"/>
    </row>
    <row r="4893" customHeight="1" spans="1:9">
      <c r="A4893" s="2"/>
      <c r="B4893" s="2" t="str">
        <f>IFERROR(__xludf.DUMMYFUNCTION("IF(A4893&lt;&gt;"""", GOOGLETRANSLATE(A4893, ""en"", ""te""),"""")"),"")</f>
        <v/>
      </c>
      <c r="C4893" s="2"/>
      <c r="D4893" s="2" t="str">
        <f>IFERROR(__xludf.DUMMYFUNCTION("IF(C4893&lt;&gt;"""", GOOGLETRANSLATE(C4893, ""en"", ""te""),"""")"),"")</f>
        <v/>
      </c>
      <c r="E4893" s="2"/>
      <c r="F4893" s="2" t="str">
        <f>IFERROR(__xludf.DUMMYFUNCTION("IF(E4893&lt;&gt;"""", GOOGLETRANSLATE(E4893, ""en"", ""te""),"""")"),"")</f>
        <v/>
      </c>
      <c r="G4893" s="2"/>
      <c r="H4893" s="2" t="str">
        <f>IFERROR(__xludf.DUMMYFUNCTION("IF(G4893&lt;&gt;"""", GOOGLETRANSLATE(G4893, ""en"", ""te""),"""")"),"")</f>
        <v/>
      </c>
      <c r="I4893" s="3"/>
    </row>
    <row r="4894" customHeight="1" spans="1:9">
      <c r="A4894" s="2" t="s">
        <v>3363</v>
      </c>
      <c r="B4894" s="2" t="str">
        <f>IFERROR(__xludf.DUMMYFUNCTION("IF(A4894&lt;&gt;"""", GOOGLETRANSLATE(A4894, ""en"", ""te""),"""")"),"[ 'ఒక మ్యాచ్లో 3 వ ఉత్తమ బొమ్మలు (16)', '1st అరంగేట్రంలోనే మ్యాచ్లో ఉత్తమ బొమ్మలు (16)', 'పది వికెట్ల లో ఒక మ్యాచ్ పడుతుంది 6 వ పిన్న ఆటగాడు (19y 85d)']")</f>
        <v>[ 'ఒక మ్యాచ్లో 3 వ ఉత్తమ బొమ్మలు (16)', '1st అరంగేట్రంలోనే మ్యాచ్లో ఉత్తమ బొమ్మలు (16)', 'పది వికెట్ల లో ఒక మ్యాచ్ పడుతుంది 6 వ పిన్న ఆటగాడు (19y 85d)']</v>
      </c>
      <c r="C4894" s="2" t="s">
        <v>3364</v>
      </c>
      <c r="D4894" s="2" t="str">
        <f>IFERROR(__xludf.DUMMYFUNCTION("IF(C4894&lt;&gt;"""", GOOGLETRANSLATE(C4894, ""en"", ""te""),"""")"),"[ 'ఒక మ్యాచ్లో 3 వ ఉత్తమ బొమ్మలు (16)', 'ఇన్నింగ్స్ లో 34 వ చెత్త సమ్మె రేటు (354.0)', '1st అరంగేట్రంలోనే ఇన్నింగ్స్ లోని బెస్ట్ ఫిగర్స్ (8)', '1st అరంగేట్రంలోనే మ్యాచ్లో బెస్ట్ ఫిగర్స్ ( 16) ',' ఐదు వికెట్ల లో-ఒక-ఇన్నింగ్స్ (19y 85d) పది వికెట్లు లో ఒక మ"&amp;"్యాచ్ (19y 85d) తీసుకోవాలని 41 వ వేగంగా పడుతుంది 17 పిన్న ఆటగాడు ',' 6 వ పిన్న ఆటగాడు ',' 50 వికెట్లు (11) ']")</f>
        <v>[ 'ఒక మ్యాచ్లో 3 వ ఉత్తమ బొమ్మలు (16)', 'ఇన్నింగ్స్ లో 34 వ చెత్త సమ్మె రేటు (354.0)', '1st అరంగేట్రంలోనే ఇన్నింగ్స్ లోని బెస్ట్ ఫిగర్స్ (8)', '1st అరంగేట్రంలోనే మ్యాచ్లో బెస్ట్ ఫిగర్స్ ( 16) ',' ఐదు వికెట్ల లో-ఒక-ఇన్నింగ్స్ (19y 85d) పది వికెట్లు లో ఒక మ్యాచ్ (19y 85d) తీసుకోవాలని 41 వ వేగంగా పడుతుంది 17 పిన్న ఆటగాడు ',' 6 వ పిన్న ఆటగాడు ',' 50 వికెట్లు (11) ']</v>
      </c>
      <c r="E4894" s="2" t="s">
        <v>628</v>
      </c>
      <c r="F4894" s="2" t="str">
        <f>IFERROR(__xludf.DUMMYFUNCTION("IF(E4894&lt;&gt;"""", GOOGLETRANSLATE(E4894, ""en"", ""te""),"""")"),"[ '1st చాలా వరుసగా నాలుగు వికెట్లు-ఇన్-ఒక-ఇన్నింగ్స్ (3)']")</f>
        <v>[ '1st చాలా వరుసగా నాలుగు వికెట్లు-ఇన్-ఒక-ఇన్నింగ్స్ (3)']</v>
      </c>
      <c r="G4894" s="2"/>
      <c r="H4894" s="2" t="str">
        <f>IFERROR(__xludf.DUMMYFUNCTION("IF(G4894&lt;&gt;"""", GOOGLETRANSLATE(G4894, ""en"", ""te""),"""")"),"")</f>
        <v/>
      </c>
      <c r="I4894" s="3"/>
    </row>
    <row r="4895" customHeight="1" spans="1:9">
      <c r="A4895" s="2"/>
      <c r="B4895" s="2" t="str">
        <f>IFERROR(__xludf.DUMMYFUNCTION("IF(A4895&lt;&gt;"""", GOOGLETRANSLATE(A4895, ""en"", ""te""),"""")"),"")</f>
        <v/>
      </c>
      <c r="C4895" s="2"/>
      <c r="D4895" s="2" t="str">
        <f>IFERROR(__xludf.DUMMYFUNCTION("IF(C4895&lt;&gt;"""", GOOGLETRANSLATE(C4895, ""en"", ""te""),"""")"),"")</f>
        <v/>
      </c>
      <c r="E4895" s="2"/>
      <c r="F4895" s="2" t="str">
        <f>IFERROR(__xludf.DUMMYFUNCTION("IF(E4895&lt;&gt;"""", GOOGLETRANSLATE(E4895, ""en"", ""te""),"""")"),"")</f>
        <v/>
      </c>
      <c r="G4895" s="2"/>
      <c r="H4895" s="2" t="str">
        <f>IFERROR(__xludf.DUMMYFUNCTION("IF(G4895&lt;&gt;"""", GOOGLETRANSLATE(G4895, ""en"", ""te""),"""")"),"")</f>
        <v/>
      </c>
      <c r="I4895" s="3"/>
    </row>
    <row r="4896" customHeight="1" spans="1:9">
      <c r="A4896" s="2"/>
      <c r="B4896" s="2" t="str">
        <f>IFERROR(__xludf.DUMMYFUNCTION("IF(A4896&lt;&gt;"""", GOOGLETRANSLATE(A4896, ""en"", ""te""),"""")"),"")</f>
        <v/>
      </c>
      <c r="C4896" s="2"/>
      <c r="D4896" s="2" t="str">
        <f>IFERROR(__xludf.DUMMYFUNCTION("IF(C4896&lt;&gt;"""", GOOGLETRANSLATE(C4896, ""en"", ""te""),"""")"),"")</f>
        <v/>
      </c>
      <c r="E4896" s="2"/>
      <c r="F4896" s="2" t="str">
        <f>IFERROR(__xludf.DUMMYFUNCTION("IF(E4896&lt;&gt;"""", GOOGLETRANSLATE(E4896, ""en"", ""te""),"""")"),"")</f>
        <v/>
      </c>
      <c r="G4896" s="2"/>
      <c r="H4896" s="2" t="str">
        <f>IFERROR(__xludf.DUMMYFUNCTION("IF(G4896&lt;&gt;"""", GOOGLETRANSLATE(G4896, ""en"", ""te""),"""")"),"")</f>
        <v/>
      </c>
      <c r="I4896" s="3"/>
    </row>
    <row r="4897" customHeight="1" spans="1:9">
      <c r="A4897" s="2"/>
      <c r="B4897" s="2" t="str">
        <f>IFERROR(__xludf.DUMMYFUNCTION("IF(A4897&lt;&gt;"""", GOOGLETRANSLATE(A4897, ""en"", ""te""),"""")"),"")</f>
        <v/>
      </c>
      <c r="C4897" s="2"/>
      <c r="D4897" s="2" t="str">
        <f>IFERROR(__xludf.DUMMYFUNCTION("IF(C4897&lt;&gt;"""", GOOGLETRANSLATE(C4897, ""en"", ""te""),"""")"),"")</f>
        <v/>
      </c>
      <c r="E4897" s="2"/>
      <c r="F4897" s="2" t="str">
        <f>IFERROR(__xludf.DUMMYFUNCTION("IF(E4897&lt;&gt;"""", GOOGLETRANSLATE(E4897, ""en"", ""te""),"""")"),"")</f>
        <v/>
      </c>
      <c r="G4897" s="2"/>
      <c r="H4897" s="2" t="str">
        <f>IFERROR(__xludf.DUMMYFUNCTION("IF(G4897&lt;&gt;"""", GOOGLETRANSLATE(G4897, ""en"", ""te""),"""")"),"")</f>
        <v/>
      </c>
      <c r="I4897" s="3"/>
    </row>
    <row r="4898" customHeight="1" spans="1:9">
      <c r="A4898" s="2"/>
      <c r="B4898" s="2" t="str">
        <f>IFERROR(__xludf.DUMMYFUNCTION("IF(A4898&lt;&gt;"""", GOOGLETRANSLATE(A4898, ""en"", ""te""),"""")"),"")</f>
        <v/>
      </c>
      <c r="C4898" s="2"/>
      <c r="D4898" s="2" t="str">
        <f>IFERROR(__xludf.DUMMYFUNCTION("IF(C4898&lt;&gt;"""", GOOGLETRANSLATE(C4898, ""en"", ""te""),"""")"),"")</f>
        <v/>
      </c>
      <c r="E4898" s="2"/>
      <c r="F4898" s="2" t="str">
        <f>IFERROR(__xludf.DUMMYFUNCTION("IF(E4898&lt;&gt;"""", GOOGLETRANSLATE(E4898, ""en"", ""te""),"""")"),"")</f>
        <v/>
      </c>
      <c r="G4898" s="2"/>
      <c r="H4898" s="2" t="str">
        <f>IFERROR(__xludf.DUMMYFUNCTION("IF(G4898&lt;&gt;"""", GOOGLETRANSLATE(G4898, ""en"", ""te""),"""")"),"")</f>
        <v/>
      </c>
      <c r="I4898" s="3"/>
    </row>
    <row r="4899" customHeight="1" spans="1:9">
      <c r="A4899" s="2"/>
      <c r="B4899" s="2" t="str">
        <f>IFERROR(__xludf.DUMMYFUNCTION("IF(A4899&lt;&gt;"""", GOOGLETRANSLATE(A4899, ""en"", ""te""),"""")"),"")</f>
        <v/>
      </c>
      <c r="C4899" s="2"/>
      <c r="D4899" s="2" t="str">
        <f>IFERROR(__xludf.DUMMYFUNCTION("IF(C4899&lt;&gt;"""", GOOGLETRANSLATE(C4899, ""en"", ""te""),"""")"),"")</f>
        <v/>
      </c>
      <c r="E4899" s="2"/>
      <c r="F4899" s="2" t="str">
        <f>IFERROR(__xludf.DUMMYFUNCTION("IF(E4899&lt;&gt;"""", GOOGLETRANSLATE(E4899, ""en"", ""te""),"""")"),"")</f>
        <v/>
      </c>
      <c r="G4899" s="2"/>
      <c r="H4899" s="2" t="str">
        <f>IFERROR(__xludf.DUMMYFUNCTION("IF(G4899&lt;&gt;"""", GOOGLETRANSLATE(G4899, ""en"", ""te""),"""")"),"")</f>
        <v/>
      </c>
      <c r="I4899" s="3"/>
    </row>
    <row r="4900" customHeight="1" spans="1:9">
      <c r="A4900" s="2"/>
      <c r="B4900" s="2" t="str">
        <f>IFERROR(__xludf.DUMMYFUNCTION("IF(A4900&lt;&gt;"""", GOOGLETRANSLATE(A4900, ""en"", ""te""),"""")"),"")</f>
        <v/>
      </c>
      <c r="C4900" s="2"/>
      <c r="D4900" s="2" t="str">
        <f>IFERROR(__xludf.DUMMYFUNCTION("IF(C4900&lt;&gt;"""", GOOGLETRANSLATE(C4900, ""en"", ""te""),"""")"),"")</f>
        <v/>
      </c>
      <c r="E4900" s="2"/>
      <c r="F4900" s="2" t="str">
        <f>IFERROR(__xludf.DUMMYFUNCTION("IF(E4900&lt;&gt;"""", GOOGLETRANSLATE(E4900, ""en"", ""te""),"""")"),"")</f>
        <v/>
      </c>
      <c r="G4900" s="2"/>
      <c r="H4900" s="2" t="str">
        <f>IFERROR(__xludf.DUMMYFUNCTION("IF(G4900&lt;&gt;"""", GOOGLETRANSLATE(G4900, ""en"", ""te""),"""")"),"")</f>
        <v/>
      </c>
      <c r="I4900" s="3"/>
    </row>
    <row r="4901" customHeight="1" spans="1:9">
      <c r="A4901" s="2"/>
      <c r="B4901" s="2" t="str">
        <f>IFERROR(__xludf.DUMMYFUNCTION("IF(A4901&lt;&gt;"""", GOOGLETRANSLATE(A4901, ""en"", ""te""),"""")"),"")</f>
        <v/>
      </c>
      <c r="C4901" s="2"/>
      <c r="D4901" s="2" t="str">
        <f>IFERROR(__xludf.DUMMYFUNCTION("IF(C4901&lt;&gt;"""", GOOGLETRANSLATE(C4901, ""en"", ""te""),"""")"),"")</f>
        <v/>
      </c>
      <c r="E4901" s="2"/>
      <c r="F4901" s="2" t="str">
        <f>IFERROR(__xludf.DUMMYFUNCTION("IF(E4901&lt;&gt;"""", GOOGLETRANSLATE(E4901, ""en"", ""te""),"""")"),"")</f>
        <v/>
      </c>
      <c r="G4901" s="2"/>
      <c r="H4901" s="2" t="str">
        <f>IFERROR(__xludf.DUMMYFUNCTION("IF(G4901&lt;&gt;"""", GOOGLETRANSLATE(G4901, ""en"", ""te""),"""")"),"")</f>
        <v/>
      </c>
      <c r="I4901" s="3"/>
    </row>
    <row r="4902" customHeight="1" spans="1:9">
      <c r="A4902" s="2"/>
      <c r="B4902" s="2" t="str">
        <f>IFERROR(__xludf.DUMMYFUNCTION("IF(A4902&lt;&gt;"""", GOOGLETRANSLATE(A4902, ""en"", ""te""),"""")"),"")</f>
        <v/>
      </c>
      <c r="C4902" s="2"/>
      <c r="D4902" s="2" t="str">
        <f>IFERROR(__xludf.DUMMYFUNCTION("IF(C4902&lt;&gt;"""", GOOGLETRANSLATE(C4902, ""en"", ""te""),"""")"),"")</f>
        <v/>
      </c>
      <c r="E4902" s="2"/>
      <c r="F4902" s="2" t="str">
        <f>IFERROR(__xludf.DUMMYFUNCTION("IF(E4902&lt;&gt;"""", GOOGLETRANSLATE(E4902, ""en"", ""te""),"""")"),"")</f>
        <v/>
      </c>
      <c r="G4902" s="2"/>
      <c r="H4902" s="2" t="str">
        <f>IFERROR(__xludf.DUMMYFUNCTION("IF(G4902&lt;&gt;"""", GOOGLETRANSLATE(G4902, ""en"", ""te""),"""")"),"")</f>
        <v/>
      </c>
      <c r="I4902" s="3"/>
    </row>
    <row r="4903" customHeight="1" spans="1:9">
      <c r="A4903" s="2"/>
      <c r="B4903" s="2" t="str">
        <f>IFERROR(__xludf.DUMMYFUNCTION("IF(A4903&lt;&gt;"""", GOOGLETRANSLATE(A4903, ""en"", ""te""),"""")"),"")</f>
        <v/>
      </c>
      <c r="C4903" s="2"/>
      <c r="D4903" s="2" t="str">
        <f>IFERROR(__xludf.DUMMYFUNCTION("IF(C4903&lt;&gt;"""", GOOGLETRANSLATE(C4903, ""en"", ""te""),"""")"),"")</f>
        <v/>
      </c>
      <c r="E4903" s="2"/>
      <c r="F4903" s="2" t="str">
        <f>IFERROR(__xludf.DUMMYFUNCTION("IF(E4903&lt;&gt;"""", GOOGLETRANSLATE(E4903, ""en"", ""te""),"""")"),"")</f>
        <v/>
      </c>
      <c r="G4903" s="2"/>
      <c r="H4903" s="2" t="str">
        <f>IFERROR(__xludf.DUMMYFUNCTION("IF(G4903&lt;&gt;"""", GOOGLETRANSLATE(G4903, ""en"", ""te""),"""")"),"")</f>
        <v/>
      </c>
      <c r="I4903" s="3"/>
    </row>
    <row r="4904" customHeight="1" spans="1:9">
      <c r="A4904" s="2" t="s">
        <v>352</v>
      </c>
      <c r="B4904" s="2" t="str">
        <f>IFERROR(__xludf.DUMMYFUNCTION("IF(A4904&lt;&gt;"""", GOOGLETRANSLATE(A4904, ""en"", ""te""),"""")"),"[ 'బ్యాటింగ్ ప్రారంభించుటకు మరియు అదే మ్యాచ్ లో బౌలింగ్']")</f>
        <v>[ 'బ్యాటింగ్ ప్రారంభించుటకు మరియు అదే మ్యాచ్ లో బౌలింగ్']</v>
      </c>
      <c r="C4904" s="2"/>
      <c r="D4904" s="2" t="str">
        <f>IFERROR(__xludf.DUMMYFUNCTION("IF(C4904&lt;&gt;"""", GOOGLETRANSLATE(C4904, ""en"", ""te""),"""")"),"")</f>
        <v/>
      </c>
      <c r="E4904" s="2" t="s">
        <v>3365</v>
      </c>
      <c r="F4904" s="2" t="str">
        <f>IFERROR(__xludf.DUMMYFUNCTION("IF(E4904&lt;&gt;"""", GOOGLETRANSLATE(E4904, ""en"", ""te""),"""")"),"[ 'ఎనిమిదవ వికెట్ (46 *) కోసం 34 వ అత్యధిక భాగస్వామ్యం', 'తొమ్మిదవ వికెట్కు 46 వ అత్యధిక భాగస్వామ్యం (35)']")</f>
        <v>[ 'ఎనిమిదవ వికెట్ (46 *) కోసం 34 వ అత్యధిక భాగస్వామ్యం', 'తొమ్మిదవ వికెట్కు 46 వ అత్యధిక భాగస్వామ్యం (35)']</v>
      </c>
      <c r="G4904" s="2"/>
      <c r="H4904" s="2" t="str">
        <f>IFERROR(__xludf.DUMMYFUNCTION("IF(G4904&lt;&gt;"""", GOOGLETRANSLATE(G4904, ""en"", ""te""),"""")"),"")</f>
        <v/>
      </c>
      <c r="I4904" s="3"/>
    </row>
    <row r="4905" customHeight="1" spans="1:9">
      <c r="A4905" s="2"/>
      <c r="B4905" s="2" t="str">
        <f>IFERROR(__xludf.DUMMYFUNCTION("IF(A4905&lt;&gt;"""", GOOGLETRANSLATE(A4905, ""en"", ""te""),"""")"),"")</f>
        <v/>
      </c>
      <c r="C4905" s="2"/>
      <c r="D4905" s="2" t="str">
        <f>IFERROR(__xludf.DUMMYFUNCTION("IF(C4905&lt;&gt;"""", GOOGLETRANSLATE(C4905, ""en"", ""te""),"""")"),"")</f>
        <v/>
      </c>
      <c r="E4905" s="2"/>
      <c r="F4905" s="2" t="str">
        <f>IFERROR(__xludf.DUMMYFUNCTION("IF(E4905&lt;&gt;"""", GOOGLETRANSLATE(E4905, ""en"", ""te""),"""")"),"")</f>
        <v/>
      </c>
      <c r="G4905" s="2"/>
      <c r="H4905" s="2" t="str">
        <f>IFERROR(__xludf.DUMMYFUNCTION("IF(G4905&lt;&gt;"""", GOOGLETRANSLATE(G4905, ""en"", ""te""),"""")"),"")</f>
        <v/>
      </c>
      <c r="I4905" s="3"/>
    </row>
    <row r="4906" customHeight="1" spans="1:9">
      <c r="A4906" s="2"/>
      <c r="B4906" s="2" t="str">
        <f>IFERROR(__xludf.DUMMYFUNCTION("IF(A4906&lt;&gt;"""", GOOGLETRANSLATE(A4906, ""en"", ""te""),"""")"),"")</f>
        <v/>
      </c>
      <c r="C4906" s="2"/>
      <c r="D4906" s="2" t="str">
        <f>IFERROR(__xludf.DUMMYFUNCTION("IF(C4906&lt;&gt;"""", GOOGLETRANSLATE(C4906, ""en"", ""te""),"""")"),"")</f>
        <v/>
      </c>
      <c r="E4906" s="2"/>
      <c r="F4906" s="2" t="str">
        <f>IFERROR(__xludf.DUMMYFUNCTION("IF(E4906&lt;&gt;"""", GOOGLETRANSLATE(E4906, ""en"", ""te""),"""")"),"")</f>
        <v/>
      </c>
      <c r="G4906" s="2"/>
      <c r="H4906" s="2" t="str">
        <f>IFERROR(__xludf.DUMMYFUNCTION("IF(G4906&lt;&gt;"""", GOOGLETRANSLATE(G4906, ""en"", ""te""),"""")"),"")</f>
        <v/>
      </c>
      <c r="I4906" s="3"/>
    </row>
    <row r="4907" customHeight="1" spans="1:9">
      <c r="A4907" s="2"/>
      <c r="B4907" s="2" t="str">
        <f>IFERROR(__xludf.DUMMYFUNCTION("IF(A4907&lt;&gt;"""", GOOGLETRANSLATE(A4907, ""en"", ""te""),"""")"),"")</f>
        <v/>
      </c>
      <c r="C4907" s="2"/>
      <c r="D4907" s="2" t="str">
        <f>IFERROR(__xludf.DUMMYFUNCTION("IF(C4907&lt;&gt;"""", GOOGLETRANSLATE(C4907, ""en"", ""te""),"""")"),"")</f>
        <v/>
      </c>
      <c r="E4907" s="2"/>
      <c r="F4907" s="2" t="str">
        <f>IFERROR(__xludf.DUMMYFUNCTION("IF(E4907&lt;&gt;"""", GOOGLETRANSLATE(E4907, ""en"", ""te""),"""")"),"")</f>
        <v/>
      </c>
      <c r="G4907" s="2"/>
      <c r="H4907" s="2" t="str">
        <f>IFERROR(__xludf.DUMMYFUNCTION("IF(G4907&lt;&gt;"""", GOOGLETRANSLATE(G4907, ""en"", ""te""),"""")"),"")</f>
        <v/>
      </c>
      <c r="I4907" s="3"/>
    </row>
    <row r="4908" customHeight="1" spans="1:9">
      <c r="A4908" s="2"/>
      <c r="B4908" s="2" t="str">
        <f>IFERROR(__xludf.DUMMYFUNCTION("IF(A4908&lt;&gt;"""", GOOGLETRANSLATE(A4908, ""en"", ""te""),"""")"),"")</f>
        <v/>
      </c>
      <c r="C4908" s="2"/>
      <c r="D4908" s="2" t="str">
        <f>IFERROR(__xludf.DUMMYFUNCTION("IF(C4908&lt;&gt;"""", GOOGLETRANSLATE(C4908, ""en"", ""te""),"""")"),"")</f>
        <v/>
      </c>
      <c r="E4908" s="2"/>
      <c r="F4908" s="2" t="str">
        <f>IFERROR(__xludf.DUMMYFUNCTION("IF(E4908&lt;&gt;"""", GOOGLETRANSLATE(E4908, ""en"", ""te""),"""")"),"")</f>
        <v/>
      </c>
      <c r="G4908" s="2"/>
      <c r="H4908" s="2" t="str">
        <f>IFERROR(__xludf.DUMMYFUNCTION("IF(G4908&lt;&gt;"""", GOOGLETRANSLATE(G4908, ""en"", ""te""),"""")"),"")</f>
        <v/>
      </c>
      <c r="I4908" s="3"/>
    </row>
    <row r="4909" customHeight="1" spans="1:9">
      <c r="A4909" s="2"/>
      <c r="B4909" s="2" t="str">
        <f>IFERROR(__xludf.DUMMYFUNCTION("IF(A4909&lt;&gt;"""", GOOGLETRANSLATE(A4909, ""en"", ""te""),"""")"),"")</f>
        <v/>
      </c>
      <c r="C4909" s="2"/>
      <c r="D4909" s="2" t="str">
        <f>IFERROR(__xludf.DUMMYFUNCTION("IF(C4909&lt;&gt;"""", GOOGLETRANSLATE(C4909, ""en"", ""te""),"""")"),"")</f>
        <v/>
      </c>
      <c r="E4909" s="2"/>
      <c r="F4909" s="2" t="str">
        <f>IFERROR(__xludf.DUMMYFUNCTION("IF(E4909&lt;&gt;"""", GOOGLETRANSLATE(E4909, ""en"", ""te""),"""")"),"")</f>
        <v/>
      </c>
      <c r="G4909" s="2"/>
      <c r="H4909" s="2" t="str">
        <f>IFERROR(__xludf.DUMMYFUNCTION("IF(G4909&lt;&gt;"""", GOOGLETRANSLATE(G4909, ""en"", ""te""),"""")"),"")</f>
        <v/>
      </c>
      <c r="I4909" s="3"/>
    </row>
    <row r="4910" customHeight="1" spans="1:9">
      <c r="A4910" s="2" t="s">
        <v>3366</v>
      </c>
      <c r="B4910" s="2" t="str">
        <f>IFERROR(__xludf.DUMMYFUNCTION("IF(A4910&lt;&gt;"""", GOOGLETRANSLATE(A4910, ""en"", ""te""),"""")"),"[ 'ప్రవేశం (105) పై వంద']")</f>
        <v>[ 'ప్రవేశం (105) పై వంద']</v>
      </c>
      <c r="C4910" s="2" t="s">
        <v>1987</v>
      </c>
      <c r="D4910" s="2" t="str">
        <f>IFERROR(__xludf.DUMMYFUNCTION("IF(C4910&lt;&gt;"""", GOOGLETRANSLATE(C4910, ""en"", ""te""),"""")"),"[ '24 ఒక మ్యాచ్ రిఫరీ (9) వంటి అత్యధిక మ్యాచ్లు']")</f>
        <v>[ '24 ఒక మ్యాచ్ రిఫరీ (9) వంటి అత్యధిక మ్యాచ్లు']</v>
      </c>
      <c r="E4910" s="2" t="s">
        <v>3367</v>
      </c>
      <c r="F4910" s="2" t="str">
        <f>IFERROR(__xludf.DUMMYFUNCTION("IF(E4910&lt;&gt;"""", GOOGLETRANSLATE(E4910, ""en"", ""te""),"""")"),"[ '21 వ అత్యంత ఒక మ్యాచ్ రిఫరీ (54) గా పేర్కొంటే']")</f>
        <v>[ '21 వ అత్యంత ఒక మ్యాచ్ రిఫరీ (54) గా పేర్కొంటే']</v>
      </c>
      <c r="G4910" s="2"/>
      <c r="H4910" s="2" t="str">
        <f>IFERROR(__xludf.DUMMYFUNCTION("IF(G4910&lt;&gt;"""", GOOGLETRANSLATE(G4910, ""en"", ""te""),"""")"),"")</f>
        <v/>
      </c>
      <c r="I4910" s="3"/>
    </row>
    <row r="4911" customHeight="1" spans="1:9">
      <c r="A4911" s="2"/>
      <c r="B4911" s="2" t="str">
        <f>IFERROR(__xludf.DUMMYFUNCTION("IF(A4911&lt;&gt;"""", GOOGLETRANSLATE(A4911, ""en"", ""te""),"""")"),"")</f>
        <v/>
      </c>
      <c r="C4911" s="2"/>
      <c r="D4911" s="2" t="str">
        <f>IFERROR(__xludf.DUMMYFUNCTION("IF(C4911&lt;&gt;"""", GOOGLETRANSLATE(C4911, ""en"", ""te""),"""")"),"")</f>
        <v/>
      </c>
      <c r="E4911" s="2"/>
      <c r="F4911" s="2" t="str">
        <f>IFERROR(__xludf.DUMMYFUNCTION("IF(E4911&lt;&gt;"""", GOOGLETRANSLATE(E4911, ""en"", ""te""),"""")"),"")</f>
        <v/>
      </c>
      <c r="G4911" s="2"/>
      <c r="H4911" s="2" t="str">
        <f>IFERROR(__xludf.DUMMYFUNCTION("IF(G4911&lt;&gt;"""", GOOGLETRANSLATE(G4911, ""en"", ""te""),"""")"),"")</f>
        <v/>
      </c>
      <c r="I4911" s="3"/>
    </row>
    <row r="4912" customHeight="1" spans="1:9">
      <c r="A4912" s="2"/>
      <c r="B4912" s="2" t="str">
        <f>IFERROR(__xludf.DUMMYFUNCTION("IF(A4912&lt;&gt;"""", GOOGLETRANSLATE(A4912, ""en"", ""te""),"""")"),"")</f>
        <v/>
      </c>
      <c r="C4912" s="2"/>
      <c r="D4912" s="2" t="str">
        <f>IFERROR(__xludf.DUMMYFUNCTION("IF(C4912&lt;&gt;"""", GOOGLETRANSLATE(C4912, ""en"", ""te""),"""")"),"")</f>
        <v/>
      </c>
      <c r="E4912" s="2"/>
      <c r="F4912" s="2" t="str">
        <f>IFERROR(__xludf.DUMMYFUNCTION("IF(E4912&lt;&gt;"""", GOOGLETRANSLATE(E4912, ""en"", ""te""),"""")"),"")</f>
        <v/>
      </c>
      <c r="G4912" s="2" t="s">
        <v>3368</v>
      </c>
      <c r="H4912" s="2" t="str">
        <f>IFERROR(__xludf.DUMMYFUNCTION("IF(G4912&lt;&gt;"""", GOOGLETRANSLATE(G4912, ""en"", ""te""),"""")"),"[ '32 వ తొలి మ్యాచ్లో అత్యధిక పరుగులు (56)']")</f>
        <v>[ '32 వ తొలి మ్యాచ్లో అత్యధిక పరుగులు (56)']</v>
      </c>
      <c r="I4912" s="3"/>
    </row>
    <row r="4913" customHeight="1" spans="1:9">
      <c r="A4913" s="2"/>
      <c r="B4913" s="2" t="str">
        <f>IFERROR(__xludf.DUMMYFUNCTION("IF(A4913&lt;&gt;"""", GOOGLETRANSLATE(A4913, ""en"", ""te""),"""")"),"")</f>
        <v/>
      </c>
      <c r="C4913" s="2"/>
      <c r="D4913" s="2" t="str">
        <f>IFERROR(__xludf.DUMMYFUNCTION("IF(C4913&lt;&gt;"""", GOOGLETRANSLATE(C4913, ""en"", ""te""),"""")"),"")</f>
        <v/>
      </c>
      <c r="E4913" s="2"/>
      <c r="F4913" s="2" t="str">
        <f>IFERROR(__xludf.DUMMYFUNCTION("IF(E4913&lt;&gt;"""", GOOGLETRANSLATE(E4913, ""en"", ""te""),"""")"),"")</f>
        <v/>
      </c>
      <c r="G4913" s="2"/>
      <c r="H4913" s="2" t="str">
        <f>IFERROR(__xludf.DUMMYFUNCTION("IF(G4913&lt;&gt;"""", GOOGLETRANSLATE(G4913, ""en"", ""te""),"""")"),"")</f>
        <v/>
      </c>
      <c r="I4913" s="3"/>
    </row>
    <row r="4914" customHeight="1" spans="1:9">
      <c r="A4914" s="2"/>
      <c r="B4914" s="2" t="str">
        <f>IFERROR(__xludf.DUMMYFUNCTION("IF(A4914&lt;&gt;"""", GOOGLETRANSLATE(A4914, ""en"", ""te""),"""")"),"")</f>
        <v/>
      </c>
      <c r="C4914" s="2"/>
      <c r="D4914" s="2" t="str">
        <f>IFERROR(__xludf.DUMMYFUNCTION("IF(C4914&lt;&gt;"""", GOOGLETRANSLATE(C4914, ""en"", ""te""),"""")"),"")</f>
        <v/>
      </c>
      <c r="E4914" s="2"/>
      <c r="F4914" s="2" t="str">
        <f>IFERROR(__xludf.DUMMYFUNCTION("IF(E4914&lt;&gt;"""", GOOGLETRANSLATE(E4914, ""en"", ""te""),"""")"),"")</f>
        <v/>
      </c>
      <c r="G4914" s="2"/>
      <c r="H4914" s="2" t="str">
        <f>IFERROR(__xludf.DUMMYFUNCTION("IF(G4914&lt;&gt;"""", GOOGLETRANSLATE(G4914, ""en"", ""te""),"""")"),"")</f>
        <v/>
      </c>
      <c r="I4914" s="3"/>
    </row>
    <row r="4915" customHeight="1" spans="1:9">
      <c r="A4915" s="2"/>
      <c r="B4915" s="2" t="str">
        <f>IFERROR(__xludf.DUMMYFUNCTION("IF(A4915&lt;&gt;"""", GOOGLETRANSLATE(A4915, ""en"", ""te""),"""")"),"")</f>
        <v/>
      </c>
      <c r="C4915" s="2"/>
      <c r="D4915" s="2" t="str">
        <f>IFERROR(__xludf.DUMMYFUNCTION("IF(C4915&lt;&gt;"""", GOOGLETRANSLATE(C4915, ""en"", ""te""),"""")"),"")</f>
        <v/>
      </c>
      <c r="E4915" s="2"/>
      <c r="F4915" s="2" t="str">
        <f>IFERROR(__xludf.DUMMYFUNCTION("IF(E4915&lt;&gt;"""", GOOGLETRANSLATE(E4915, ""en"", ""te""),"""")"),"")</f>
        <v/>
      </c>
      <c r="G4915" s="2"/>
      <c r="H4915" s="2" t="str">
        <f>IFERROR(__xludf.DUMMYFUNCTION("IF(G4915&lt;&gt;"""", GOOGLETRANSLATE(G4915, ""en"", ""te""),"""")"),"")</f>
        <v/>
      </c>
      <c r="I4915" s="3"/>
    </row>
    <row r="4916" customHeight="1" spans="1:9">
      <c r="A4916" s="2"/>
      <c r="B4916" s="2" t="str">
        <f>IFERROR(__xludf.DUMMYFUNCTION("IF(A4916&lt;&gt;"""", GOOGLETRANSLATE(A4916, ""en"", ""te""),"""")"),"")</f>
        <v/>
      </c>
      <c r="C4916" s="2"/>
      <c r="D4916" s="2" t="str">
        <f>IFERROR(__xludf.DUMMYFUNCTION("IF(C4916&lt;&gt;"""", GOOGLETRANSLATE(C4916, ""en"", ""te""),"""")"),"")</f>
        <v/>
      </c>
      <c r="E4916" s="2"/>
      <c r="F4916" s="2" t="str">
        <f>IFERROR(__xludf.DUMMYFUNCTION("IF(E4916&lt;&gt;"""", GOOGLETRANSLATE(E4916, ""en"", ""te""),"""")"),"")</f>
        <v/>
      </c>
      <c r="G4916" s="2"/>
      <c r="H4916" s="2" t="str">
        <f>IFERROR(__xludf.DUMMYFUNCTION("IF(G4916&lt;&gt;"""", GOOGLETRANSLATE(G4916, ""en"", ""te""),"""")"),"")</f>
        <v/>
      </c>
      <c r="I4916" s="3"/>
    </row>
    <row r="4917" customHeight="1" spans="1:9">
      <c r="A4917" s="2"/>
      <c r="B4917" s="2" t="str">
        <f>IFERROR(__xludf.DUMMYFUNCTION("IF(A4917&lt;&gt;"""", GOOGLETRANSLATE(A4917, ""en"", ""te""),"""")"),"")</f>
        <v/>
      </c>
      <c r="C4917" s="2"/>
      <c r="D4917" s="2" t="str">
        <f>IFERROR(__xludf.DUMMYFUNCTION("IF(C4917&lt;&gt;"""", GOOGLETRANSLATE(C4917, ""en"", ""te""),"""")"),"")</f>
        <v/>
      </c>
      <c r="E4917" s="2" t="s">
        <v>3369</v>
      </c>
      <c r="F4917" s="2" t="str">
        <f>IFERROR(__xludf.DUMMYFUNCTION("IF(E4917&lt;&gt;"""", GOOGLETRANSLATE(E4917, ""en"", ""te""),"""")"),"[40 వ అత్యధిక కెరీర్ బ్యాటింగ్ సగటు (42.78) ',' 32 వ అత్యధిక కెరీర్ సమ్మె రేటు (100.37) ',' వరుస ఇన్నింగ్స్లో 44 వ యాభైల్లో (4) ',' కెరీర్ (20) 26 వ లేవు బాతులు ']")</f>
        <v>[40 వ అత్యధిక కెరీర్ బ్యాటింగ్ సగటు (42.78) ',' 32 వ అత్యధిక కెరీర్ సమ్మె రేటు (100.37) ',' వరుస ఇన్నింగ్స్లో 44 వ యాభైల్లో (4) ',' కెరీర్ (20) 26 వ లేవు బాతులు ']</v>
      </c>
      <c r="G4917" s="2" t="s">
        <v>3370</v>
      </c>
      <c r="H4917" s="2" t="str">
        <f>IFERROR(__xludf.DUMMYFUNCTION("IF(G4917&lt;&gt;"""", GOOGLETRANSLATE(G4917, ""en"", ""te""),"""")"),"[ '32 వ ఇన్నింగ్స్ లో అత్యధిక పరుగులు (బ్యాటింగ్ స్థానంలో ప్రకారం) (67)']")</f>
        <v>[ '32 వ ఇన్నింగ్స్ లో అత్యధిక పరుగులు (బ్యాటింగ్ స్థానంలో ప్రకారం) (67)']</v>
      </c>
      <c r="I4917" s="3"/>
    </row>
    <row r="4918" customHeight="1" spans="1:9">
      <c r="A4918" s="2"/>
      <c r="B4918" s="2" t="str">
        <f>IFERROR(__xludf.DUMMYFUNCTION("IF(A4918&lt;&gt;"""", GOOGLETRANSLATE(A4918, ""en"", ""te""),"""")"),"")</f>
        <v/>
      </c>
      <c r="C4918" s="2"/>
      <c r="D4918" s="2" t="str">
        <f>IFERROR(__xludf.DUMMYFUNCTION("IF(C4918&lt;&gt;"""", GOOGLETRANSLATE(C4918, ""en"", ""te""),"""")"),"")</f>
        <v/>
      </c>
      <c r="E4918" s="2"/>
      <c r="F4918" s="2" t="str">
        <f>IFERROR(__xludf.DUMMYFUNCTION("IF(E4918&lt;&gt;"""", GOOGLETRANSLATE(E4918, ""en"", ""te""),"""")"),"")</f>
        <v/>
      </c>
      <c r="G4918" s="2"/>
      <c r="H4918" s="2" t="str">
        <f>IFERROR(__xludf.DUMMYFUNCTION("IF(G4918&lt;&gt;"""", GOOGLETRANSLATE(G4918, ""en"", ""te""),"""")"),"")</f>
        <v/>
      </c>
      <c r="I4918" s="3"/>
    </row>
    <row r="4919" customHeight="1" spans="1:9">
      <c r="A4919" s="2"/>
      <c r="B4919" s="2" t="str">
        <f>IFERROR(__xludf.DUMMYFUNCTION("IF(A4919&lt;&gt;"""", GOOGLETRANSLATE(A4919, ""en"", ""te""),"""")"),"")</f>
        <v/>
      </c>
      <c r="C4919" s="2"/>
      <c r="D4919" s="2" t="str">
        <f>IFERROR(__xludf.DUMMYFUNCTION("IF(C4919&lt;&gt;"""", GOOGLETRANSLATE(C4919, ""en"", ""te""),"""")"),"")</f>
        <v/>
      </c>
      <c r="E4919" s="2"/>
      <c r="F4919" s="2" t="str">
        <f>IFERROR(__xludf.DUMMYFUNCTION("IF(E4919&lt;&gt;"""", GOOGLETRANSLATE(E4919, ""en"", ""te""),"""")"),"")</f>
        <v/>
      </c>
      <c r="G4919" s="2"/>
      <c r="H4919" s="2" t="str">
        <f>IFERROR(__xludf.DUMMYFUNCTION("IF(G4919&lt;&gt;"""", GOOGLETRANSLATE(G4919, ""en"", ""te""),"""")"),"")</f>
        <v/>
      </c>
      <c r="I4919" s="3"/>
    </row>
    <row r="4920" customHeight="1" spans="1:9">
      <c r="A4920" s="2"/>
      <c r="B4920" s="2" t="str">
        <f>IFERROR(__xludf.DUMMYFUNCTION("IF(A4920&lt;&gt;"""", GOOGLETRANSLATE(A4920, ""en"", ""te""),"""")"),"")</f>
        <v/>
      </c>
      <c r="C4920" s="2"/>
      <c r="D4920" s="2" t="str">
        <f>IFERROR(__xludf.DUMMYFUNCTION("IF(C4920&lt;&gt;"""", GOOGLETRANSLATE(C4920, ""en"", ""te""),"""")"),"")</f>
        <v/>
      </c>
      <c r="E4920" s="2"/>
      <c r="F4920" s="2" t="str">
        <f>IFERROR(__xludf.DUMMYFUNCTION("IF(E4920&lt;&gt;"""", GOOGLETRANSLATE(E4920, ""en"", ""te""),"""")"),"")</f>
        <v/>
      </c>
      <c r="G4920" s="2"/>
      <c r="H4920" s="2" t="str">
        <f>IFERROR(__xludf.DUMMYFUNCTION("IF(G4920&lt;&gt;"""", GOOGLETRANSLATE(G4920, ""en"", ""te""),"""")"),"")</f>
        <v/>
      </c>
      <c r="I4920" s="3"/>
    </row>
    <row r="4921" customHeight="1" spans="1:9">
      <c r="A4921" s="2"/>
      <c r="B4921" s="2" t="str">
        <f>IFERROR(__xludf.DUMMYFUNCTION("IF(A4921&lt;&gt;"""", GOOGLETRANSLATE(A4921, ""en"", ""te""),"""")"),"")</f>
        <v/>
      </c>
      <c r="C4921" s="2"/>
      <c r="D4921" s="2" t="str">
        <f>IFERROR(__xludf.DUMMYFUNCTION("IF(C4921&lt;&gt;"""", GOOGLETRANSLATE(C4921, ""en"", ""te""),"""")"),"")</f>
        <v/>
      </c>
      <c r="E4921" s="2"/>
      <c r="F4921" s="2" t="str">
        <f>IFERROR(__xludf.DUMMYFUNCTION("IF(E4921&lt;&gt;"""", GOOGLETRANSLATE(E4921, ""en"", ""te""),"""")"),"")</f>
        <v/>
      </c>
      <c r="G4921" s="2"/>
      <c r="H4921" s="2" t="str">
        <f>IFERROR(__xludf.DUMMYFUNCTION("IF(G4921&lt;&gt;"""", GOOGLETRANSLATE(G4921, ""en"", ""te""),"""")"),"")</f>
        <v/>
      </c>
      <c r="I4921" s="3"/>
    </row>
    <row r="4922" customHeight="1" spans="1:9">
      <c r="A4922" s="2"/>
      <c r="B4922" s="2" t="str">
        <f>IFERROR(__xludf.DUMMYFUNCTION("IF(A4922&lt;&gt;"""", GOOGLETRANSLATE(A4922, ""en"", ""te""),"""")"),"")</f>
        <v/>
      </c>
      <c r="C4922" s="2"/>
      <c r="D4922" s="2" t="str">
        <f>IFERROR(__xludf.DUMMYFUNCTION("IF(C4922&lt;&gt;"""", GOOGLETRANSLATE(C4922, ""en"", ""te""),"""")"),"")</f>
        <v/>
      </c>
      <c r="E4922" s="2"/>
      <c r="F4922" s="2" t="str">
        <f>IFERROR(__xludf.DUMMYFUNCTION("IF(E4922&lt;&gt;"""", GOOGLETRANSLATE(E4922, ""en"", ""te""),"""")"),"")</f>
        <v/>
      </c>
      <c r="G4922" s="2"/>
      <c r="H4922" s="2" t="str">
        <f>IFERROR(__xludf.DUMMYFUNCTION("IF(G4922&lt;&gt;"""", GOOGLETRANSLATE(G4922, ""en"", ""te""),"""")"),"")</f>
        <v/>
      </c>
      <c r="I4922" s="3"/>
    </row>
    <row r="4923" customHeight="1" spans="1:9">
      <c r="A4923" s="2"/>
      <c r="B4923" s="2" t="str">
        <f>IFERROR(__xludf.DUMMYFUNCTION("IF(A4923&lt;&gt;"""", GOOGLETRANSLATE(A4923, ""en"", ""te""),"""")"),"")</f>
        <v/>
      </c>
      <c r="C4923" s="2"/>
      <c r="D4923" s="2" t="str">
        <f>IFERROR(__xludf.DUMMYFUNCTION("IF(C4923&lt;&gt;"""", GOOGLETRANSLATE(C4923, ""en"", ""te""),"""")"),"")</f>
        <v/>
      </c>
      <c r="E4923" s="2"/>
      <c r="F4923" s="2" t="str">
        <f>IFERROR(__xludf.DUMMYFUNCTION("IF(E4923&lt;&gt;"""", GOOGLETRANSLATE(E4923, ""en"", ""te""),"""")"),"")</f>
        <v/>
      </c>
      <c r="G4923" s="2"/>
      <c r="H4923" s="2" t="str">
        <f>IFERROR(__xludf.DUMMYFUNCTION("IF(G4923&lt;&gt;"""", GOOGLETRANSLATE(G4923, ""en"", ""te""),"""")"),"")</f>
        <v/>
      </c>
      <c r="I4923" s="3"/>
    </row>
    <row r="4924" customHeight="1" spans="1:9">
      <c r="A4924" s="2"/>
      <c r="B4924" s="2" t="str">
        <f>IFERROR(__xludf.DUMMYFUNCTION("IF(A4924&lt;&gt;"""", GOOGLETRANSLATE(A4924, ""en"", ""te""),"""")"),"")</f>
        <v/>
      </c>
      <c r="C4924" s="2"/>
      <c r="D4924" s="2" t="str">
        <f>IFERROR(__xludf.DUMMYFUNCTION("IF(C4924&lt;&gt;"""", GOOGLETRANSLATE(C4924, ""en"", ""te""),"""")"),"")</f>
        <v/>
      </c>
      <c r="E4924" s="2"/>
      <c r="F4924" s="2" t="str">
        <f>IFERROR(__xludf.DUMMYFUNCTION("IF(E4924&lt;&gt;"""", GOOGLETRANSLATE(E4924, ""en"", ""te""),"""")"),"")</f>
        <v/>
      </c>
      <c r="G4924" s="2"/>
      <c r="H4924" s="2" t="str">
        <f>IFERROR(__xludf.DUMMYFUNCTION("IF(G4924&lt;&gt;"""", GOOGLETRANSLATE(G4924, ""en"", ""te""),"""")"),"")</f>
        <v/>
      </c>
      <c r="I4924" s="3"/>
    </row>
    <row r="4925" customHeight="1" spans="1:9">
      <c r="A4925" s="2"/>
      <c r="B4925" s="2" t="str">
        <f>IFERROR(__xludf.DUMMYFUNCTION("IF(A4925&lt;&gt;"""", GOOGLETRANSLATE(A4925, ""en"", ""te""),"""")"),"")</f>
        <v/>
      </c>
      <c r="C4925" s="2"/>
      <c r="D4925" s="2" t="str">
        <f>IFERROR(__xludf.DUMMYFUNCTION("IF(C4925&lt;&gt;"""", GOOGLETRANSLATE(C4925, ""en"", ""te""),"""")"),"")</f>
        <v/>
      </c>
      <c r="E4925" s="2"/>
      <c r="F4925" s="2" t="str">
        <f>IFERROR(__xludf.DUMMYFUNCTION("IF(E4925&lt;&gt;"""", GOOGLETRANSLATE(E4925, ""en"", ""te""),"""")"),"")</f>
        <v/>
      </c>
      <c r="G4925" s="2"/>
      <c r="H4925" s="2" t="str">
        <f>IFERROR(__xludf.DUMMYFUNCTION("IF(G4925&lt;&gt;"""", GOOGLETRANSLATE(G4925, ""en"", ""te""),"""")"),"")</f>
        <v/>
      </c>
      <c r="I4925" s="3"/>
    </row>
    <row r="4926" customHeight="1" spans="1:9">
      <c r="A4926" s="2"/>
      <c r="B4926" s="2" t="str">
        <f>IFERROR(__xludf.DUMMYFUNCTION("IF(A4926&lt;&gt;"""", GOOGLETRANSLATE(A4926, ""en"", ""te""),"""")"),"")</f>
        <v/>
      </c>
      <c r="C4926" s="2"/>
      <c r="D4926" s="2" t="str">
        <f>IFERROR(__xludf.DUMMYFUNCTION("IF(C4926&lt;&gt;"""", GOOGLETRANSLATE(C4926, ""en"", ""te""),"""")"),"")</f>
        <v/>
      </c>
      <c r="E4926" s="2"/>
      <c r="F4926" s="2" t="str">
        <f>IFERROR(__xludf.DUMMYFUNCTION("IF(E4926&lt;&gt;"""", GOOGLETRANSLATE(E4926, ""en"", ""te""),"""")"),"")</f>
        <v/>
      </c>
      <c r="G4926" s="2"/>
      <c r="H4926" s="2" t="str">
        <f>IFERROR(__xludf.DUMMYFUNCTION("IF(G4926&lt;&gt;"""", GOOGLETRANSLATE(G4926, ""en"", ""te""),"""")"),"")</f>
        <v/>
      </c>
      <c r="I4926" s="3"/>
    </row>
    <row r="4927" customHeight="1" spans="1:9">
      <c r="A4927" s="2"/>
      <c r="B4927" s="2" t="str">
        <f>IFERROR(__xludf.DUMMYFUNCTION("IF(A4927&lt;&gt;"""", GOOGLETRANSLATE(A4927, ""en"", ""te""),"""")"),"")</f>
        <v/>
      </c>
      <c r="C4927" s="2"/>
      <c r="D4927" s="2" t="str">
        <f>IFERROR(__xludf.DUMMYFUNCTION("IF(C4927&lt;&gt;"""", GOOGLETRANSLATE(C4927, ""en"", ""te""),"""")"),"")</f>
        <v/>
      </c>
      <c r="E4927" s="2"/>
      <c r="F4927" s="2" t="str">
        <f>IFERROR(__xludf.DUMMYFUNCTION("IF(E4927&lt;&gt;"""", GOOGLETRANSLATE(E4927, ""en"", ""te""),"""")"),"")</f>
        <v/>
      </c>
      <c r="G4927" s="2"/>
      <c r="H4927" s="2" t="str">
        <f>IFERROR(__xludf.DUMMYFUNCTION("IF(G4927&lt;&gt;"""", GOOGLETRANSLATE(G4927, ""en"", ""te""),"""")"),"")</f>
        <v/>
      </c>
      <c r="I4927" s="3"/>
    </row>
    <row r="4928" customHeight="1" spans="1:9">
      <c r="A4928" s="2"/>
      <c r="B4928" s="2" t="str">
        <f>IFERROR(__xludf.DUMMYFUNCTION("IF(A4928&lt;&gt;"""", GOOGLETRANSLATE(A4928, ""en"", ""te""),"""")"),"")</f>
        <v/>
      </c>
      <c r="C4928" s="2"/>
      <c r="D4928" s="2" t="str">
        <f>IFERROR(__xludf.DUMMYFUNCTION("IF(C4928&lt;&gt;"""", GOOGLETRANSLATE(C4928, ""en"", ""te""),"""")"),"")</f>
        <v/>
      </c>
      <c r="E4928" s="2"/>
      <c r="F4928" s="2" t="str">
        <f>IFERROR(__xludf.DUMMYFUNCTION("IF(E4928&lt;&gt;"""", GOOGLETRANSLATE(E4928, ""en"", ""te""),"""")"),"")</f>
        <v/>
      </c>
      <c r="G4928" s="2"/>
      <c r="H4928" s="2" t="str">
        <f>IFERROR(__xludf.DUMMYFUNCTION("IF(G4928&lt;&gt;"""", GOOGLETRANSLATE(G4928, ""en"", ""te""),"""")"),"")</f>
        <v/>
      </c>
      <c r="I4928" s="3"/>
    </row>
    <row r="4929" customHeight="1" spans="1:9">
      <c r="A4929" s="2" t="s">
        <v>3371</v>
      </c>
      <c r="B4929" s="2" t="str">
        <f>IFERROR(__xludf.DUMMYFUNCTION("IF(A4929&lt;&gt;"""", GOOGLETRANSLATE(A4929, ""en"", ""te""),"""")"),"[ 'వరుస 8 వ అత్యధిక వికెట్లు (10)', 'వరుస (6) లో 3 వ అత్యంత స్టంపింగ్లు', 'వికెట్ (1) ఉంచింది చేసిన 3 వ కెప్టెన్ల' '9 వ అత్యంత ఇన్నింగ్స్ లో సాధించిన (10) బైస్']")</f>
        <v>[ 'వరుస 8 వ అత్యధిక వికెట్లు (10)', 'వరుస (6) లో 3 వ అత్యంత స్టంపింగ్లు', 'వికెట్ (1) ఉంచింది చేసిన 3 వ కెప్టెన్ల' '9 వ అత్యంత ఇన్నింగ్స్ లో సాధించిన (10) బైస్']</v>
      </c>
      <c r="C4929" s="2" t="s">
        <v>3372</v>
      </c>
      <c r="D4929" s="2" t="str">
        <f>IFERROR(__xludf.DUMMYFUNCTION("IF(C4929&lt;&gt;"""", GOOGLETRANSLATE(C4929, ""en"", ""te""),"""")"),"[ '16 వ అత్యంత వికెట్కీపర్ శ్రేణిలో పరుగులు (128)', '6 వ పిన్న కాప్టెన్ (23y 237d)', 'ఇన్నింగ్స్ (4) 10 వ అత్యధిక వికెట్లు', '3 వ కెప్టెన్ల వికెట్ (1) ఉంచింది చేసిన', 'ఇన్నింగ్స్ (3) లో 5 వ అత్యంత స్టంపింగ్లు', 'కెరీర్ లో 7 వ అత్యంత స్టంపింగ్లు (9)', '(10"&amp;") వరుస 8 వ ఎక్కువ సార్లు అవుట్' 'ఒక మ్యాచ్లో 10 వ అత్యంత స్టంపింగ్లు (3)', '3 వ అత్యంత వరుస స్టంపింగ్లు (6) ']")</f>
        <v>[ '16 వ అత్యంత వికెట్కీపర్ శ్రేణిలో పరుగులు (128)', '6 వ పిన్న కాప్టెన్ (23y 237d)', 'ఇన్నింగ్స్ (4) 10 వ అత్యధిక వికెట్లు', '3 వ కెప్టెన్ల వికెట్ (1) ఉంచింది చేసిన', 'ఇన్నింగ్స్ (3) లో 5 వ అత్యంత స్టంపింగ్లు', 'కెరీర్ లో 7 వ అత్యంత స్టంపింగ్లు (9)', '(10) వరుస 8 వ ఎక్కువ సార్లు అవుట్' 'ఒక మ్యాచ్లో 10 వ అత్యంత స్టంపింగ్లు (3)', '3 వ అత్యంత వరుస స్టంపింగ్లు (6) ']</v>
      </c>
      <c r="E4929" s="2" t="s">
        <v>3373</v>
      </c>
      <c r="F4929" s="2" t="str">
        <f>IFERROR(__xludf.DUMMYFUNCTION("IF(E4929&lt;&gt;"""", GOOGLETRANSLATE(E4929, ""en"", ""te""),"""")"),"[ 'ఇన్నింగ్స్ (3) 21 వ అత్యధిక క్యాచ్లు' 'ఇన్నింగ్స్ లో 17 వ అత్యధిక వికెట్లు (4)' '38 వ పిన్న క్రీడాకారులు (16y 184d)', '9 వ అత్యంత ఇన్నింగ్స్ లో సాధించిన బైస్ (10)']")</f>
        <v>[ 'ఇన్నింగ్స్ (3) 21 వ అత్యధిక క్యాచ్లు' 'ఇన్నింగ్స్ లో 17 వ అత్యధిక వికెట్లు (4)' '38 వ పిన్న క్రీడాకారులు (16y 184d)', '9 వ అత్యంత ఇన్నింగ్స్ లో సాధించిన బైస్ (10)']</v>
      </c>
      <c r="G4929" s="2"/>
      <c r="H4929" s="2" t="str">
        <f>IFERROR(__xludf.DUMMYFUNCTION("IF(G4929&lt;&gt;"""", GOOGLETRANSLATE(G4929, ""en"", ""te""),"""")"),"")</f>
        <v/>
      </c>
      <c r="I4929" s="3"/>
    </row>
    <row r="4930" customHeight="1" spans="1:9">
      <c r="A4930" s="2"/>
      <c r="B4930" s="2" t="str">
        <f>IFERROR(__xludf.DUMMYFUNCTION("IF(A4930&lt;&gt;"""", GOOGLETRANSLATE(A4930, ""en"", ""te""),"""")"),"")</f>
        <v/>
      </c>
      <c r="C4930" s="2" t="s">
        <v>3374</v>
      </c>
      <c r="D4930" s="2" t="str">
        <f>IFERROR(__xludf.DUMMYFUNCTION("IF(C4930&lt;&gt;"""", GOOGLETRANSLATE(C4930, ""en"", ""te""),"""")"),"[ 'తొమ్మిదవ వికెట్ (149) 11 వ అత్యధిక భాగస్వామ్యం']")</f>
        <v>[ 'తొమ్మిదవ వికెట్ (149) 11 వ అత్యధిక భాగస్వామ్యం']</v>
      </c>
      <c r="E4930" s="2"/>
      <c r="F4930" s="2" t="str">
        <f>IFERROR(__xludf.DUMMYFUNCTION("IF(E4930&lt;&gt;"""", GOOGLETRANSLATE(E4930, ""en"", ""te""),"""")"),"")</f>
        <v/>
      </c>
      <c r="G4930" s="2"/>
      <c r="H4930" s="2" t="str">
        <f>IFERROR(__xludf.DUMMYFUNCTION("IF(G4930&lt;&gt;"""", GOOGLETRANSLATE(G4930, ""en"", ""te""),"""")"),"")</f>
        <v/>
      </c>
      <c r="I4930" s="3"/>
    </row>
    <row r="4931" customHeight="1" spans="1:9">
      <c r="A4931" s="2" t="s">
        <v>3375</v>
      </c>
      <c r="B4931" s="2" t="str">
        <f>IFERROR(__xludf.DUMMYFUNCTION("IF(A4931&lt;&gt;"""", GOOGLETRANSLATE(A4931, ""en"", ""te""),"""")"),"[ '10 వ ఇన్నింగ్స్ లో అత్యధిక పరుగులు (బ్యాటింగ్ స్థానంలో ప్రకారం) (120)', '1 వ అత్యుత్తమ బౌలింగ్ ఇన్నింగ్స్ లో విశ్లేషించడం (1/0)']")</f>
        <v>[ '10 వ ఇన్నింగ్స్ లో అత్యధిక పరుగులు (బ్యాటింగ్ స్థానంలో ప్రకారం) (120)', '1 వ అత్యుత్తమ బౌలింగ్ ఇన్నింగ్స్ లో విశ్లేషించడం (1/0)']</v>
      </c>
      <c r="C4931" s="2"/>
      <c r="D4931" s="2" t="str">
        <f>IFERROR(__xludf.DUMMYFUNCTION("IF(C4931&lt;&gt;"""", GOOGLETRANSLATE(C4931, ""en"", ""te""),"""")"),"")</f>
        <v/>
      </c>
      <c r="E4931" s="2" t="s">
        <v>3376</v>
      </c>
      <c r="F4931" s="2" t="str">
        <f>IFERROR(__xludf.DUMMYFUNCTION("IF(E4931&lt;&gt;"""", GOOGLETRANSLATE(E4931, ""en"", ""te""),"""")"),"[ '10 వ ఇన్నింగ్స్ లో అత్యధిక పరుగులు (బ్యాటింగ్ స్థానంలో ప్రకారం) (120)', '46 వ అత్యధిక కెరీర్ బ్యాటింగ్ సగటు (42.09)', '28th అత్యధిక కెరీర్ సమ్మె రేటు (101.60)', '1 వ అత్యుత్తమ బౌలింగ్ ఇన్నింగ్స్ లో విశ్లేషించడం (1 / 0) ']")</f>
        <v>[ '10 వ ఇన్నింగ్స్ లో అత్యధిక పరుగులు (బ్యాటింగ్ స్థానంలో ప్రకారం) (120)', '46 వ అత్యధిక కెరీర్ బ్యాటింగ్ సగటు (42.09)', '28th అత్యధిక కెరీర్ సమ్మె రేటు (101.60)', '1 వ అత్యుత్తమ బౌలింగ్ ఇన్నింగ్స్ లో విశ్లేషించడం (1 / 0) ']</v>
      </c>
      <c r="G4931" s="2"/>
      <c r="H4931" s="2" t="str">
        <f>IFERROR(__xludf.DUMMYFUNCTION("IF(G4931&lt;&gt;"""", GOOGLETRANSLATE(G4931, ""en"", ""te""),"""")"),"")</f>
        <v/>
      </c>
      <c r="I4931" s="3"/>
    </row>
    <row r="4932" customHeight="1" spans="1:9">
      <c r="A4932" s="2"/>
      <c r="B4932" s="2" t="str">
        <f>IFERROR(__xludf.DUMMYFUNCTION("IF(A4932&lt;&gt;"""", GOOGLETRANSLATE(A4932, ""en"", ""te""),"""")"),"")</f>
        <v/>
      </c>
      <c r="C4932" s="2"/>
      <c r="D4932" s="2" t="str">
        <f>IFERROR(__xludf.DUMMYFUNCTION("IF(C4932&lt;&gt;"""", GOOGLETRANSLATE(C4932, ""en"", ""te""),"""")"),"")</f>
        <v/>
      </c>
      <c r="E4932" s="2"/>
      <c r="F4932" s="2" t="str">
        <f>IFERROR(__xludf.DUMMYFUNCTION("IF(E4932&lt;&gt;"""", GOOGLETRANSLATE(E4932, ""en"", ""te""),"""")"),"")</f>
        <v/>
      </c>
      <c r="G4932" s="2"/>
      <c r="H4932" s="2" t="str">
        <f>IFERROR(__xludf.DUMMYFUNCTION("IF(G4932&lt;&gt;"""", GOOGLETRANSLATE(G4932, ""en"", ""te""),"""")"),"")</f>
        <v/>
      </c>
      <c r="I4932" s="3"/>
    </row>
    <row r="4933" customHeight="1" spans="1:9">
      <c r="A4933" s="2"/>
      <c r="B4933" s="2" t="str">
        <f>IFERROR(__xludf.DUMMYFUNCTION("IF(A4933&lt;&gt;"""", GOOGLETRANSLATE(A4933, ""en"", ""te""),"""")"),"")</f>
        <v/>
      </c>
      <c r="C4933" s="2"/>
      <c r="D4933" s="2" t="str">
        <f>IFERROR(__xludf.DUMMYFUNCTION("IF(C4933&lt;&gt;"""", GOOGLETRANSLATE(C4933, ""en"", ""te""),"""")"),"")</f>
        <v/>
      </c>
      <c r="E4933" s="2"/>
      <c r="F4933" s="2" t="str">
        <f>IFERROR(__xludf.DUMMYFUNCTION("IF(E4933&lt;&gt;"""", GOOGLETRANSLATE(E4933, ""en"", ""te""),"""")"),"")</f>
        <v/>
      </c>
      <c r="G4933" s="2"/>
      <c r="H4933" s="2" t="str">
        <f>IFERROR(__xludf.DUMMYFUNCTION("IF(G4933&lt;&gt;"""", GOOGLETRANSLATE(G4933, ""en"", ""te""),"""")"),"")</f>
        <v/>
      </c>
      <c r="I4933" s="3"/>
    </row>
    <row r="4934" customHeight="1" spans="1:9">
      <c r="A4934" s="2"/>
      <c r="B4934" s="2" t="str">
        <f>IFERROR(__xludf.DUMMYFUNCTION("IF(A4934&lt;&gt;"""", GOOGLETRANSLATE(A4934, ""en"", ""te""),"""")"),"")</f>
        <v/>
      </c>
      <c r="C4934" s="2"/>
      <c r="D4934" s="2" t="str">
        <f>IFERROR(__xludf.DUMMYFUNCTION("IF(C4934&lt;&gt;"""", GOOGLETRANSLATE(C4934, ""en"", ""te""),"""")"),"")</f>
        <v/>
      </c>
      <c r="E4934" s="2"/>
      <c r="F4934" s="2" t="str">
        <f>IFERROR(__xludf.DUMMYFUNCTION("IF(E4934&lt;&gt;"""", GOOGLETRANSLATE(E4934, ""en"", ""te""),"""")"),"")</f>
        <v/>
      </c>
      <c r="G4934" s="2"/>
      <c r="H4934" s="2" t="str">
        <f>IFERROR(__xludf.DUMMYFUNCTION("IF(G4934&lt;&gt;"""", GOOGLETRANSLATE(G4934, ""en"", ""te""),"""")"),"")</f>
        <v/>
      </c>
      <c r="I4934" s="3"/>
    </row>
    <row r="4935" customHeight="1" spans="1:9">
      <c r="A4935" s="2"/>
      <c r="B4935" s="2" t="str">
        <f>IFERROR(__xludf.DUMMYFUNCTION("IF(A4935&lt;&gt;"""", GOOGLETRANSLATE(A4935, ""en"", ""te""),"""")"),"")</f>
        <v/>
      </c>
      <c r="C4935" s="2"/>
      <c r="D4935" s="2" t="str">
        <f>IFERROR(__xludf.DUMMYFUNCTION("IF(C4935&lt;&gt;"""", GOOGLETRANSLATE(C4935, ""en"", ""te""),"""")"),"")</f>
        <v/>
      </c>
      <c r="E4935" s="2"/>
      <c r="F4935" s="2" t="str">
        <f>IFERROR(__xludf.DUMMYFUNCTION("IF(E4935&lt;&gt;"""", GOOGLETRANSLATE(E4935, ""en"", ""te""),"""")"),"")</f>
        <v/>
      </c>
      <c r="G4935" s="2"/>
      <c r="H4935" s="2" t="str">
        <f>IFERROR(__xludf.DUMMYFUNCTION("IF(G4935&lt;&gt;"""", GOOGLETRANSLATE(G4935, ""en"", ""te""),"""")"),"")</f>
        <v/>
      </c>
      <c r="I4935" s="3"/>
    </row>
    <row r="4936" customHeight="1" spans="1:9">
      <c r="A4936" s="2"/>
      <c r="B4936" s="2" t="str">
        <f>IFERROR(__xludf.DUMMYFUNCTION("IF(A4936&lt;&gt;"""", GOOGLETRANSLATE(A4936, ""en"", ""te""),"""")"),"")</f>
        <v/>
      </c>
      <c r="C4936" s="2"/>
      <c r="D4936" s="2" t="str">
        <f>IFERROR(__xludf.DUMMYFUNCTION("IF(C4936&lt;&gt;"""", GOOGLETRANSLATE(C4936, ""en"", ""te""),"""")"),"")</f>
        <v/>
      </c>
      <c r="E4936" s="2"/>
      <c r="F4936" s="2" t="str">
        <f>IFERROR(__xludf.DUMMYFUNCTION("IF(E4936&lt;&gt;"""", GOOGLETRANSLATE(E4936, ""en"", ""te""),"""")"),"")</f>
        <v/>
      </c>
      <c r="G4936" s="2"/>
      <c r="H4936" s="2" t="str">
        <f>IFERROR(__xludf.DUMMYFUNCTION("IF(G4936&lt;&gt;"""", GOOGLETRANSLATE(G4936, ""en"", ""te""),"""")"),"")</f>
        <v/>
      </c>
      <c r="I4936" s="3"/>
    </row>
    <row r="4937" customHeight="1" spans="1:9">
      <c r="A4937" s="2"/>
      <c r="B4937" s="2" t="str">
        <f>IFERROR(__xludf.DUMMYFUNCTION("IF(A4937&lt;&gt;"""", GOOGLETRANSLATE(A4937, ""en"", ""te""),"""")"),"")</f>
        <v/>
      </c>
      <c r="C4937" s="2"/>
      <c r="D4937" s="2" t="str">
        <f>IFERROR(__xludf.DUMMYFUNCTION("IF(C4937&lt;&gt;"""", GOOGLETRANSLATE(C4937, ""en"", ""te""),"""")"),"")</f>
        <v/>
      </c>
      <c r="E4937" s="2"/>
      <c r="F4937" s="2" t="str">
        <f>IFERROR(__xludf.DUMMYFUNCTION("IF(E4937&lt;&gt;"""", GOOGLETRANSLATE(E4937, ""en"", ""te""),"""")"),"")</f>
        <v/>
      </c>
      <c r="G4937" s="2"/>
      <c r="H4937" s="2" t="str">
        <f>IFERROR(__xludf.DUMMYFUNCTION("IF(G4937&lt;&gt;"""", GOOGLETRANSLATE(G4937, ""en"", ""te""),"""")"),"")</f>
        <v/>
      </c>
      <c r="I4937" s="3"/>
    </row>
    <row r="4938" customHeight="1" spans="1:9">
      <c r="A4938" s="2"/>
      <c r="B4938" s="2" t="str">
        <f>IFERROR(__xludf.DUMMYFUNCTION("IF(A4938&lt;&gt;"""", GOOGLETRANSLATE(A4938, ""en"", ""te""),"""")"),"")</f>
        <v/>
      </c>
      <c r="C4938" s="2"/>
      <c r="D4938" s="2" t="str">
        <f>IFERROR(__xludf.DUMMYFUNCTION("IF(C4938&lt;&gt;"""", GOOGLETRANSLATE(C4938, ""en"", ""te""),"""")"),"")</f>
        <v/>
      </c>
      <c r="E4938" s="2"/>
      <c r="F4938" s="2" t="str">
        <f>IFERROR(__xludf.DUMMYFUNCTION("IF(E4938&lt;&gt;"""", GOOGLETRANSLATE(E4938, ""en"", ""te""),"""")"),"")</f>
        <v/>
      </c>
      <c r="G4938" s="2"/>
      <c r="H4938" s="2" t="str">
        <f>IFERROR(__xludf.DUMMYFUNCTION("IF(G4938&lt;&gt;"""", GOOGLETRANSLATE(G4938, ""en"", ""te""),"""")"),"")</f>
        <v/>
      </c>
      <c r="I4938" s="3"/>
    </row>
    <row r="4939" customHeight="1" spans="1:9">
      <c r="A4939" s="2"/>
      <c r="B4939" s="2" t="str">
        <f>IFERROR(__xludf.DUMMYFUNCTION("IF(A4939&lt;&gt;"""", GOOGLETRANSLATE(A4939, ""en"", ""te""),"""")"),"")</f>
        <v/>
      </c>
      <c r="C4939" s="2"/>
      <c r="D4939" s="2" t="str">
        <f>IFERROR(__xludf.DUMMYFUNCTION("IF(C4939&lt;&gt;"""", GOOGLETRANSLATE(C4939, ""en"", ""te""),"""")"),"")</f>
        <v/>
      </c>
      <c r="E4939" s="2"/>
      <c r="F4939" s="2" t="str">
        <f>IFERROR(__xludf.DUMMYFUNCTION("IF(E4939&lt;&gt;"""", GOOGLETRANSLATE(E4939, ""en"", ""te""),"""")"),"")</f>
        <v/>
      </c>
      <c r="G4939" s="2"/>
      <c r="H4939" s="2" t="str">
        <f>IFERROR(__xludf.DUMMYFUNCTION("IF(G4939&lt;&gt;"""", GOOGLETRANSLATE(G4939, ""en"", ""te""),"""")"),"")</f>
        <v/>
      </c>
      <c r="I4939" s="3"/>
    </row>
    <row r="4940" customHeight="1" spans="1:9">
      <c r="A4940" s="2"/>
      <c r="B4940" s="2" t="str">
        <f>IFERROR(__xludf.DUMMYFUNCTION("IF(A4940&lt;&gt;"""", GOOGLETRANSLATE(A4940, ""en"", ""te""),"""")"),"")</f>
        <v/>
      </c>
      <c r="C4940" s="2"/>
      <c r="D4940" s="2" t="str">
        <f>IFERROR(__xludf.DUMMYFUNCTION("IF(C4940&lt;&gt;"""", GOOGLETRANSLATE(C4940, ""en"", ""te""),"""")"),"")</f>
        <v/>
      </c>
      <c r="E4940" s="2"/>
      <c r="F4940" s="2" t="str">
        <f>IFERROR(__xludf.DUMMYFUNCTION("IF(E4940&lt;&gt;"""", GOOGLETRANSLATE(E4940, ""en"", ""te""),"""")"),"")</f>
        <v/>
      </c>
      <c r="G4940" s="2"/>
      <c r="H4940" s="2" t="str">
        <f>IFERROR(__xludf.DUMMYFUNCTION("IF(G4940&lt;&gt;"""", GOOGLETRANSLATE(G4940, ""en"", ""te""),"""")"),"")</f>
        <v/>
      </c>
      <c r="I4940" s="3"/>
    </row>
    <row r="4941" customHeight="1" spans="1:9">
      <c r="A4941" s="2"/>
      <c r="B4941" s="2" t="str">
        <f>IFERROR(__xludf.DUMMYFUNCTION("IF(A4941&lt;&gt;"""", GOOGLETRANSLATE(A4941, ""en"", ""te""),"""")"),"")</f>
        <v/>
      </c>
      <c r="C4941" s="2"/>
      <c r="D4941" s="2" t="str">
        <f>IFERROR(__xludf.DUMMYFUNCTION("IF(C4941&lt;&gt;"""", GOOGLETRANSLATE(C4941, ""en"", ""te""),"""")"),"")</f>
        <v/>
      </c>
      <c r="E4941" s="2"/>
      <c r="F4941" s="2" t="str">
        <f>IFERROR(__xludf.DUMMYFUNCTION("IF(E4941&lt;&gt;"""", GOOGLETRANSLATE(E4941, ""en"", ""te""),"""")"),"")</f>
        <v/>
      </c>
      <c r="G4941" s="2"/>
      <c r="H4941" s="2" t="str">
        <f>IFERROR(__xludf.DUMMYFUNCTION("IF(G4941&lt;&gt;"""", GOOGLETRANSLATE(G4941, ""en"", ""te""),"""")"),"")</f>
        <v/>
      </c>
      <c r="I4941" s="3"/>
    </row>
    <row r="4942" customHeight="1" spans="1:9">
      <c r="A4942" s="2"/>
      <c r="B4942" s="2" t="str">
        <f>IFERROR(__xludf.DUMMYFUNCTION("IF(A4942&lt;&gt;"""", GOOGLETRANSLATE(A4942, ""en"", ""te""),"""")"),"")</f>
        <v/>
      </c>
      <c r="C4942" s="2"/>
      <c r="D4942" s="2" t="str">
        <f>IFERROR(__xludf.DUMMYFUNCTION("IF(C4942&lt;&gt;"""", GOOGLETRANSLATE(C4942, ""en"", ""te""),"""")"),"")</f>
        <v/>
      </c>
      <c r="E4942" s="2"/>
      <c r="F4942" s="2" t="str">
        <f>IFERROR(__xludf.DUMMYFUNCTION("IF(E4942&lt;&gt;"""", GOOGLETRANSLATE(E4942, ""en"", ""te""),"""")"),"")</f>
        <v/>
      </c>
      <c r="G4942" s="2"/>
      <c r="H4942" s="2" t="str">
        <f>IFERROR(__xludf.DUMMYFUNCTION("IF(G4942&lt;&gt;"""", GOOGLETRANSLATE(G4942, ""en"", ""te""),"""")"),"")</f>
        <v/>
      </c>
      <c r="I4942" s="3"/>
    </row>
    <row r="4943" customHeight="1" spans="1:9">
      <c r="A4943" s="2" t="s">
        <v>3377</v>
      </c>
      <c r="B4943" s="2" t="str">
        <f>IFERROR(__xludf.DUMMYFUNCTION("IF(A4943&lt;&gt;"""", GOOGLETRANSLATE(A4943, ""en"", ""te""),"""")"),"[ '99 పరుగుల 1st (మరియు 199, 299 etc) (99)', 'ఐదు రోజుల మ్యాచ్లో ప్రతి రోజు బ్యాటింగ్', '2 వ చెత్త కెరీర్లో సమ్మె రేటు (233.0)', 'బ్యాటింగ్ తెరవడం మరియు అదే లో బౌలింగ్ సరిపోలుతున్నాయని]")</f>
        <v>[ '99 పరుగుల 1st (మరియు 199, 299 etc) (99)', 'ఐదు రోజుల మ్యాచ్లో ప్రతి రోజు బ్యాటింగ్', '2 వ చెత్త కెరీర్లో సమ్మె రేటు (233.0)', 'బ్యాటింగ్ తెరవడం మరియు అదే లో బౌలింగ్ సరిపోలుతున్నాయని]</v>
      </c>
      <c r="C4943" s="2" t="s">
        <v>3378</v>
      </c>
      <c r="D4943" s="2" t="str">
        <f>IFERROR(__xludf.DUMMYFUNCTION("IF(C4943&lt;&gt;"""", GOOGLETRANSLATE(C4943, ""en"", ""te""),"""")"),"[ '99 పరుగుల 1st (మరియు 199, 299 etc) (99)', '2 వ చెత్త కెరీర్ సగటు (92.11) బౌలింగ్', '2 వ చెత్త కెరీర్లో సమ్మె రేటు (233.0)']")</f>
        <v>[ '99 పరుగుల 1st (మరియు 199, 299 etc) (99)', '2 వ చెత్త కెరీర్ సగటు (92.11) బౌలింగ్', '2 వ చెత్త కెరీర్లో సమ్మె రేటు (233.0)']</v>
      </c>
      <c r="E4943" s="2"/>
      <c r="F4943" s="2" t="str">
        <f>IFERROR(__xludf.DUMMYFUNCTION("IF(E4943&lt;&gt;"""", GOOGLETRANSLATE(E4943, ""en"", ""te""),"""")"),"")</f>
        <v/>
      </c>
      <c r="G4943" s="2"/>
      <c r="H4943" s="2" t="str">
        <f>IFERROR(__xludf.DUMMYFUNCTION("IF(G4943&lt;&gt;"""", GOOGLETRANSLATE(G4943, ""en"", ""te""),"""")"),"")</f>
        <v/>
      </c>
      <c r="I4943" s="3"/>
    </row>
    <row r="4944" customHeight="1" spans="1:9">
      <c r="A4944" s="2" t="s">
        <v>3379</v>
      </c>
      <c r="B4944" s="2" t="str">
        <f>IFERROR(__xludf.DUMMYFUNCTION("IF(A4944&lt;&gt;"""", GOOGLETRANSLATE(A4944, ""en"", ""te""),"""")"),"[ '2 వ అత్యుత్తమ బౌలింగ్ ఇన్నింగ్స్ లో విశ్లేషించడం (5/6)', 'ఇన్నింగ్స్ లో 7 వ ఉత్తమ ఆర్థిక రేటు (0.60)']")</f>
        <v>[ '2 వ అత్యుత్తమ బౌలింగ్ ఇన్నింగ్స్ లో విశ్లేషించడం (5/6)', 'ఇన్నింగ్స్ లో 7 వ ఉత్తమ ఆర్థిక రేటు (0.60)']</v>
      </c>
      <c r="C4944" s="2"/>
      <c r="D4944" s="2" t="str">
        <f>IFERROR(__xludf.DUMMYFUNCTION("IF(C4944&lt;&gt;"""", GOOGLETRANSLATE(C4944, ""en"", ""te""),"""")"),"")</f>
        <v/>
      </c>
      <c r="E4944" s="2" t="s">
        <v>3379</v>
      </c>
      <c r="F4944" s="2" t="str">
        <f>IFERROR(__xludf.DUMMYFUNCTION("IF(E4944&lt;&gt;"""", GOOGLETRANSLATE(E4944, ""en"", ""te""),"""")"),"[ '2 వ అత్యుత్తమ బౌలింగ్ ఇన్నింగ్స్ లో విశ్లేషించడం (5/6)', 'ఇన్నింగ్స్ లో 7 వ ఉత్తమ ఆర్థిక రేటు (0.60)']")</f>
        <v>[ '2 వ అత్యుత్తమ బౌలింగ్ ఇన్నింగ్స్ లో విశ్లేషించడం (5/6)', 'ఇన్నింగ్స్ లో 7 వ ఉత్తమ ఆర్థిక రేటు (0.60)']</v>
      </c>
      <c r="G4944" s="2"/>
      <c r="H4944" s="2" t="str">
        <f>IFERROR(__xludf.DUMMYFUNCTION("IF(G4944&lt;&gt;"""", GOOGLETRANSLATE(G4944, ""en"", ""te""),"""")"),"")</f>
        <v/>
      </c>
      <c r="I4944" s="3"/>
    </row>
    <row r="4945" customHeight="1" spans="1:9">
      <c r="A4945" s="2"/>
      <c r="B4945" s="2" t="str">
        <f>IFERROR(__xludf.DUMMYFUNCTION("IF(A4945&lt;&gt;"""", GOOGLETRANSLATE(A4945, ""en"", ""te""),"""")"),"")</f>
        <v/>
      </c>
      <c r="C4945" s="2"/>
      <c r="D4945" s="2" t="str">
        <f>IFERROR(__xludf.DUMMYFUNCTION("IF(C4945&lt;&gt;"""", GOOGLETRANSLATE(C4945, ""en"", ""te""),"""")"),"")</f>
        <v/>
      </c>
      <c r="E4945" s="2"/>
      <c r="F4945" s="2" t="str">
        <f>IFERROR(__xludf.DUMMYFUNCTION("IF(E4945&lt;&gt;"""", GOOGLETRANSLATE(E4945, ""en"", ""te""),"""")"),"")</f>
        <v/>
      </c>
      <c r="G4945" s="2"/>
      <c r="H4945" s="2" t="str">
        <f>IFERROR(__xludf.DUMMYFUNCTION("IF(G4945&lt;&gt;"""", GOOGLETRANSLATE(G4945, ""en"", ""te""),"""")"),"")</f>
        <v/>
      </c>
      <c r="I4945" s="3"/>
    </row>
    <row r="4946" customHeight="1" spans="1:9">
      <c r="A4946" s="2"/>
      <c r="B4946" s="2" t="str">
        <f>IFERROR(__xludf.DUMMYFUNCTION("IF(A4946&lt;&gt;"""", GOOGLETRANSLATE(A4946, ""en"", ""te""),"""")"),"")</f>
        <v/>
      </c>
      <c r="C4946" s="2"/>
      <c r="D4946" s="2" t="str">
        <f>IFERROR(__xludf.DUMMYFUNCTION("IF(C4946&lt;&gt;"""", GOOGLETRANSLATE(C4946, ""en"", ""te""),"""")"),"")</f>
        <v/>
      </c>
      <c r="E4946" s="2"/>
      <c r="F4946" s="2" t="str">
        <f>IFERROR(__xludf.DUMMYFUNCTION("IF(E4946&lt;&gt;"""", GOOGLETRANSLATE(E4946, ""en"", ""te""),"""")"),"")</f>
        <v/>
      </c>
      <c r="G4946" s="2"/>
      <c r="H4946" s="2" t="str">
        <f>IFERROR(__xludf.DUMMYFUNCTION("IF(G4946&lt;&gt;"""", GOOGLETRANSLATE(G4946, ""en"", ""te""),"""")"),"")</f>
        <v/>
      </c>
      <c r="I4946" s="3"/>
    </row>
    <row r="4947" customHeight="1" spans="1:9">
      <c r="A4947" s="2"/>
      <c r="B4947" s="2" t="str">
        <f>IFERROR(__xludf.DUMMYFUNCTION("IF(A4947&lt;&gt;"""", GOOGLETRANSLATE(A4947, ""en"", ""te""),"""")"),"")</f>
        <v/>
      </c>
      <c r="C4947" s="2"/>
      <c r="D4947" s="2" t="str">
        <f>IFERROR(__xludf.DUMMYFUNCTION("IF(C4947&lt;&gt;"""", GOOGLETRANSLATE(C4947, ""en"", ""te""),"""")"),"")</f>
        <v/>
      </c>
      <c r="E4947" s="2" t="s">
        <v>3380</v>
      </c>
      <c r="F4947" s="2" t="str">
        <f>IFERROR(__xludf.DUMMYFUNCTION("IF(E4947&lt;&gt;"""", GOOGLETRANSLATE(E4947, ""en"", ""te""),"""")"),"[ '43 వ చెత్త ఇన్నింగ్స్ లో ఆర్థిక రేటు (వీటిలో సగటు 8.60)']")</f>
        <v>[ '43 వ చెత్త ఇన్నింగ్స్ లో ఆర్థిక రేటు (వీటిలో సగటు 8.60)']</v>
      </c>
      <c r="G4947" s="2" t="s">
        <v>3381</v>
      </c>
      <c r="H4947" s="2" t="str">
        <f>IFERROR(__xludf.DUMMYFUNCTION("IF(G4947&lt;&gt;"""", GOOGLETRANSLATE(G4947, ""en"", ""te""),"""")"),"[ '48 వ చెత్త కెరీర్ (58.66) (అర్హత లేకుండా) సగటు బౌలింగ్', '23 వ ఇన్నింగ్స్ లో సాధించిన అత్యధిక పరుగులు (49)']")</f>
        <v>[ '48 వ చెత్త కెరీర్ (58.66) (అర్హత లేకుండా) సగటు బౌలింగ్', '23 వ ఇన్నింగ్స్ లో సాధించిన అత్యధిక పరుగులు (49)']</v>
      </c>
      <c r="I4947" s="3"/>
    </row>
    <row r="4948" customHeight="1" spans="1:9">
      <c r="A4948" s="2"/>
      <c r="B4948" s="2" t="str">
        <f>IFERROR(__xludf.DUMMYFUNCTION("IF(A4948&lt;&gt;"""", GOOGLETRANSLATE(A4948, ""en"", ""te""),"""")"),"")</f>
        <v/>
      </c>
      <c r="C4948" s="2"/>
      <c r="D4948" s="2" t="str">
        <f>IFERROR(__xludf.DUMMYFUNCTION("IF(C4948&lt;&gt;"""", GOOGLETRANSLATE(C4948, ""en"", ""te""),"""")"),"")</f>
        <v/>
      </c>
      <c r="E4948" s="2"/>
      <c r="F4948" s="2" t="str">
        <f>IFERROR(__xludf.DUMMYFUNCTION("IF(E4948&lt;&gt;"""", GOOGLETRANSLATE(E4948, ""en"", ""te""),"""")"),"")</f>
        <v/>
      </c>
      <c r="G4948" s="2"/>
      <c r="H4948" s="2" t="str">
        <f>IFERROR(__xludf.DUMMYFUNCTION("IF(G4948&lt;&gt;"""", GOOGLETRANSLATE(G4948, ""en"", ""te""),"""")"),"")</f>
        <v/>
      </c>
      <c r="I4948" s="3"/>
    </row>
    <row r="4949" customHeight="1" spans="1:9">
      <c r="A4949" s="2"/>
      <c r="B4949" s="2" t="str">
        <f>IFERROR(__xludf.DUMMYFUNCTION("IF(A4949&lt;&gt;"""", GOOGLETRANSLATE(A4949, ""en"", ""te""),"""")"),"")</f>
        <v/>
      </c>
      <c r="C4949" s="2"/>
      <c r="D4949" s="2" t="str">
        <f>IFERROR(__xludf.DUMMYFUNCTION("IF(C4949&lt;&gt;"""", GOOGLETRANSLATE(C4949, ""en"", ""te""),"""")"),"")</f>
        <v/>
      </c>
      <c r="E4949" s="2"/>
      <c r="F4949" s="2" t="str">
        <f>IFERROR(__xludf.DUMMYFUNCTION("IF(E4949&lt;&gt;"""", GOOGLETRANSLATE(E4949, ""en"", ""te""),"""")"),"")</f>
        <v/>
      </c>
      <c r="G4949" s="2"/>
      <c r="H4949" s="2" t="str">
        <f>IFERROR(__xludf.DUMMYFUNCTION("IF(G4949&lt;&gt;"""", GOOGLETRANSLATE(G4949, ""en"", ""te""),"""")"),"")</f>
        <v/>
      </c>
      <c r="I4949" s="3"/>
    </row>
    <row r="4950" customHeight="1" spans="1:9">
      <c r="A4950" s="2"/>
      <c r="B4950" s="2" t="str">
        <f>IFERROR(__xludf.DUMMYFUNCTION("IF(A4950&lt;&gt;"""", GOOGLETRANSLATE(A4950, ""en"", ""te""),"""")"),"")</f>
        <v/>
      </c>
      <c r="C4950" s="2"/>
      <c r="D4950" s="2" t="str">
        <f>IFERROR(__xludf.DUMMYFUNCTION("IF(C4950&lt;&gt;"""", GOOGLETRANSLATE(C4950, ""en"", ""te""),"""")"),"")</f>
        <v/>
      </c>
      <c r="E4950" s="2"/>
      <c r="F4950" s="2" t="str">
        <f>IFERROR(__xludf.DUMMYFUNCTION("IF(E4950&lt;&gt;"""", GOOGLETRANSLATE(E4950, ""en"", ""te""),"""")"),"")</f>
        <v/>
      </c>
      <c r="G4950" s="2"/>
      <c r="H4950" s="2" t="str">
        <f>IFERROR(__xludf.DUMMYFUNCTION("IF(G4950&lt;&gt;"""", GOOGLETRANSLATE(G4950, ""en"", ""te""),"""")"),"")</f>
        <v/>
      </c>
      <c r="I4950" s="3"/>
    </row>
    <row r="4951" customHeight="1" spans="1:9">
      <c r="A4951" s="2"/>
      <c r="B4951" s="2" t="str">
        <f>IFERROR(__xludf.DUMMYFUNCTION("IF(A4951&lt;&gt;"""", GOOGLETRANSLATE(A4951, ""en"", ""te""),"""")"),"")</f>
        <v/>
      </c>
      <c r="C4951" s="2"/>
      <c r="D4951" s="2" t="str">
        <f>IFERROR(__xludf.DUMMYFUNCTION("IF(C4951&lt;&gt;"""", GOOGLETRANSLATE(C4951, ""en"", ""te""),"""")"),"")</f>
        <v/>
      </c>
      <c r="E4951" s="2"/>
      <c r="F4951" s="2" t="str">
        <f>IFERROR(__xludf.DUMMYFUNCTION("IF(E4951&lt;&gt;"""", GOOGLETRANSLATE(E4951, ""en"", ""te""),"""")"),"")</f>
        <v/>
      </c>
      <c r="G4951" s="2"/>
      <c r="H4951" s="2" t="str">
        <f>IFERROR(__xludf.DUMMYFUNCTION("IF(G4951&lt;&gt;"""", GOOGLETRANSLATE(G4951, ""en"", ""te""),"""")"),"")</f>
        <v/>
      </c>
      <c r="I4951" s="3"/>
    </row>
    <row r="4952" customHeight="1" spans="1:9">
      <c r="A4952" s="2"/>
      <c r="B4952" s="2" t="str">
        <f>IFERROR(__xludf.DUMMYFUNCTION("IF(A4952&lt;&gt;"""", GOOGLETRANSLATE(A4952, ""en"", ""te""),"""")"),"")</f>
        <v/>
      </c>
      <c r="C4952" s="2"/>
      <c r="D4952" s="2" t="str">
        <f>IFERROR(__xludf.DUMMYFUNCTION("IF(C4952&lt;&gt;"""", GOOGLETRANSLATE(C4952, ""en"", ""te""),"""")"),"")</f>
        <v/>
      </c>
      <c r="E4952" s="2"/>
      <c r="F4952" s="2" t="str">
        <f>IFERROR(__xludf.DUMMYFUNCTION("IF(E4952&lt;&gt;"""", GOOGLETRANSLATE(E4952, ""en"", ""te""),"""")"),"")</f>
        <v/>
      </c>
      <c r="G4952" s="2"/>
      <c r="H4952" s="2" t="str">
        <f>IFERROR(__xludf.DUMMYFUNCTION("IF(G4952&lt;&gt;"""", GOOGLETRANSLATE(G4952, ""en"", ""te""),"""")"),"")</f>
        <v/>
      </c>
      <c r="I4952" s="3"/>
    </row>
    <row r="4953" customHeight="1" spans="1:9">
      <c r="A4953" s="2"/>
      <c r="B4953" s="2" t="str">
        <f>IFERROR(__xludf.DUMMYFUNCTION("IF(A4953&lt;&gt;"""", GOOGLETRANSLATE(A4953, ""en"", ""te""),"""")"),"")</f>
        <v/>
      </c>
      <c r="C4953" s="2"/>
      <c r="D4953" s="2" t="str">
        <f>IFERROR(__xludf.DUMMYFUNCTION("IF(C4953&lt;&gt;"""", GOOGLETRANSLATE(C4953, ""en"", ""te""),"""")"),"")</f>
        <v/>
      </c>
      <c r="E4953" s="2"/>
      <c r="F4953" s="2" t="str">
        <f>IFERROR(__xludf.DUMMYFUNCTION("IF(E4953&lt;&gt;"""", GOOGLETRANSLATE(E4953, ""en"", ""te""),"""")"),"")</f>
        <v/>
      </c>
      <c r="G4953" s="2"/>
      <c r="H4953" s="2" t="str">
        <f>IFERROR(__xludf.DUMMYFUNCTION("IF(G4953&lt;&gt;"""", GOOGLETRANSLATE(G4953, ""en"", ""te""),"""")"),"")</f>
        <v/>
      </c>
      <c r="I4953" s="3"/>
    </row>
    <row r="4954" customHeight="1" spans="1:9">
      <c r="A4954" s="2"/>
      <c r="B4954" s="2" t="str">
        <f>IFERROR(__xludf.DUMMYFUNCTION("IF(A4954&lt;&gt;"""", GOOGLETRANSLATE(A4954, ""en"", ""te""),"""")"),"")</f>
        <v/>
      </c>
      <c r="C4954" s="2"/>
      <c r="D4954" s="2" t="str">
        <f>IFERROR(__xludf.DUMMYFUNCTION("IF(C4954&lt;&gt;"""", GOOGLETRANSLATE(C4954, ""en"", ""te""),"""")"),"")</f>
        <v/>
      </c>
      <c r="E4954" s="2"/>
      <c r="F4954" s="2" t="str">
        <f>IFERROR(__xludf.DUMMYFUNCTION("IF(E4954&lt;&gt;"""", GOOGLETRANSLATE(E4954, ""en"", ""te""),"""")"),"")</f>
        <v/>
      </c>
      <c r="G4954" s="2"/>
      <c r="H4954" s="2" t="str">
        <f>IFERROR(__xludf.DUMMYFUNCTION("IF(G4954&lt;&gt;"""", GOOGLETRANSLATE(G4954, ""en"", ""te""),"""")"),"")</f>
        <v/>
      </c>
      <c r="I4954" s="3"/>
    </row>
    <row r="4955" customHeight="1" spans="1:9">
      <c r="A4955" s="2"/>
      <c r="B4955" s="2" t="str">
        <f>IFERROR(__xludf.DUMMYFUNCTION("IF(A4955&lt;&gt;"""", GOOGLETRANSLATE(A4955, ""en"", ""te""),"""")"),"")</f>
        <v/>
      </c>
      <c r="C4955" s="2"/>
      <c r="D4955" s="2" t="str">
        <f>IFERROR(__xludf.DUMMYFUNCTION("IF(C4955&lt;&gt;"""", GOOGLETRANSLATE(C4955, ""en"", ""te""),"""")"),"")</f>
        <v/>
      </c>
      <c r="E4955" s="2"/>
      <c r="F4955" s="2" t="str">
        <f>IFERROR(__xludf.DUMMYFUNCTION("IF(E4955&lt;&gt;"""", GOOGLETRANSLATE(E4955, ""en"", ""te""),"""")"),"")</f>
        <v/>
      </c>
      <c r="G4955" s="2"/>
      <c r="H4955" s="2" t="str">
        <f>IFERROR(__xludf.DUMMYFUNCTION("IF(G4955&lt;&gt;"""", GOOGLETRANSLATE(G4955, ""en"", ""te""),"""")"),"")</f>
        <v/>
      </c>
      <c r="I4955" s="3"/>
    </row>
    <row r="4956" customHeight="1" spans="1:9">
      <c r="A4956" s="2"/>
      <c r="B4956" s="2" t="str">
        <f>IFERROR(__xludf.DUMMYFUNCTION("IF(A4956&lt;&gt;"""", GOOGLETRANSLATE(A4956, ""en"", ""te""),"""")"),"")</f>
        <v/>
      </c>
      <c r="C4956" s="2"/>
      <c r="D4956" s="2" t="str">
        <f>IFERROR(__xludf.DUMMYFUNCTION("IF(C4956&lt;&gt;"""", GOOGLETRANSLATE(C4956, ""en"", ""te""),"""")"),"")</f>
        <v/>
      </c>
      <c r="E4956" s="2"/>
      <c r="F4956" s="2" t="str">
        <f>IFERROR(__xludf.DUMMYFUNCTION("IF(E4956&lt;&gt;"""", GOOGLETRANSLATE(E4956, ""en"", ""te""),"""")"),"")</f>
        <v/>
      </c>
      <c r="G4956" s="2"/>
      <c r="H4956" s="2" t="str">
        <f>IFERROR(__xludf.DUMMYFUNCTION("IF(G4956&lt;&gt;"""", GOOGLETRANSLATE(G4956, ""en"", ""te""),"""")"),"")</f>
        <v/>
      </c>
      <c r="I4956" s="3"/>
    </row>
    <row r="4957" customHeight="1" spans="1:9">
      <c r="A4957" s="2"/>
      <c r="B4957" s="2" t="str">
        <f>IFERROR(__xludf.DUMMYFUNCTION("IF(A4957&lt;&gt;"""", GOOGLETRANSLATE(A4957, ""en"", ""te""),"""")"),"")</f>
        <v/>
      </c>
      <c r="C4957" s="2"/>
      <c r="D4957" s="2" t="str">
        <f>IFERROR(__xludf.DUMMYFUNCTION("IF(C4957&lt;&gt;"""", GOOGLETRANSLATE(C4957, ""en"", ""te""),"""")"),"")</f>
        <v/>
      </c>
      <c r="E4957" s="2"/>
      <c r="F4957" s="2" t="str">
        <f>IFERROR(__xludf.DUMMYFUNCTION("IF(E4957&lt;&gt;"""", GOOGLETRANSLATE(E4957, ""en"", ""te""),"""")"),"")</f>
        <v/>
      </c>
      <c r="G4957" s="2"/>
      <c r="H4957" s="2" t="str">
        <f>IFERROR(__xludf.DUMMYFUNCTION("IF(G4957&lt;&gt;"""", GOOGLETRANSLATE(G4957, ""en"", ""te""),"""")"),"")</f>
        <v/>
      </c>
      <c r="I4957" s="3"/>
    </row>
    <row r="4958" customHeight="1" spans="1:9">
      <c r="A4958" s="2"/>
      <c r="B4958" s="2" t="str">
        <f>IFERROR(__xludf.DUMMYFUNCTION("IF(A4958&lt;&gt;"""", GOOGLETRANSLATE(A4958, ""en"", ""te""),"""")"),"")</f>
        <v/>
      </c>
      <c r="C4958" s="2"/>
      <c r="D4958" s="2" t="str">
        <f>IFERROR(__xludf.DUMMYFUNCTION("IF(C4958&lt;&gt;"""", GOOGLETRANSLATE(C4958, ""en"", ""te""),"""")"),"")</f>
        <v/>
      </c>
      <c r="E4958" s="2"/>
      <c r="F4958" s="2" t="str">
        <f>IFERROR(__xludf.DUMMYFUNCTION("IF(E4958&lt;&gt;"""", GOOGLETRANSLATE(E4958, ""en"", ""te""),"""")"),"")</f>
        <v/>
      </c>
      <c r="G4958" s="2"/>
      <c r="H4958" s="2" t="str">
        <f>IFERROR(__xludf.DUMMYFUNCTION("IF(G4958&lt;&gt;"""", GOOGLETRANSLATE(G4958, ""en"", ""te""),"""")"),"")</f>
        <v/>
      </c>
      <c r="I4958" s="3"/>
    </row>
    <row r="4959" customHeight="1" spans="1:9">
      <c r="A4959" s="2"/>
      <c r="B4959" s="2" t="str">
        <f>IFERROR(__xludf.DUMMYFUNCTION("IF(A4959&lt;&gt;"""", GOOGLETRANSLATE(A4959, ""en"", ""te""),"""")"),"")</f>
        <v/>
      </c>
      <c r="C4959" s="2"/>
      <c r="D4959" s="2" t="str">
        <f>IFERROR(__xludf.DUMMYFUNCTION("IF(C4959&lt;&gt;"""", GOOGLETRANSLATE(C4959, ""en"", ""te""),"""")"),"")</f>
        <v/>
      </c>
      <c r="E4959" s="2"/>
      <c r="F4959" s="2" t="str">
        <f>IFERROR(__xludf.DUMMYFUNCTION("IF(E4959&lt;&gt;"""", GOOGLETRANSLATE(E4959, ""en"", ""te""),"""")"),"")</f>
        <v/>
      </c>
      <c r="G4959" s="2"/>
      <c r="H4959" s="2" t="str">
        <f>IFERROR(__xludf.DUMMYFUNCTION("IF(G4959&lt;&gt;"""", GOOGLETRANSLATE(G4959, ""en"", ""te""),"""")"),"")</f>
        <v/>
      </c>
      <c r="I4959" s="3"/>
    </row>
    <row r="4960" customHeight="1" spans="1:9">
      <c r="A4960" s="2"/>
      <c r="B4960" s="2" t="str">
        <f>IFERROR(__xludf.DUMMYFUNCTION("IF(A4960&lt;&gt;"""", GOOGLETRANSLATE(A4960, ""en"", ""te""),"""")"),"")</f>
        <v/>
      </c>
      <c r="C4960" s="2"/>
      <c r="D4960" s="2" t="str">
        <f>IFERROR(__xludf.DUMMYFUNCTION("IF(C4960&lt;&gt;"""", GOOGLETRANSLATE(C4960, ""en"", ""te""),"""")"),"")</f>
        <v/>
      </c>
      <c r="E4960" s="2"/>
      <c r="F4960" s="2" t="str">
        <f>IFERROR(__xludf.DUMMYFUNCTION("IF(E4960&lt;&gt;"""", GOOGLETRANSLATE(E4960, ""en"", ""te""),"""")"),"")</f>
        <v/>
      </c>
      <c r="G4960" s="2"/>
      <c r="H4960" s="2" t="str">
        <f>IFERROR(__xludf.DUMMYFUNCTION("IF(G4960&lt;&gt;"""", GOOGLETRANSLATE(G4960, ""en"", ""te""),"""")"),"")</f>
        <v/>
      </c>
      <c r="I4960" s="3"/>
    </row>
    <row r="4961" customHeight="1" spans="1:9">
      <c r="A4961" s="2"/>
      <c r="B4961" s="2" t="str">
        <f>IFERROR(__xludf.DUMMYFUNCTION("IF(A4961&lt;&gt;"""", GOOGLETRANSLATE(A4961, ""en"", ""te""),"""")"),"")</f>
        <v/>
      </c>
      <c r="C4961" s="2"/>
      <c r="D4961" s="2" t="str">
        <f>IFERROR(__xludf.DUMMYFUNCTION("IF(C4961&lt;&gt;"""", GOOGLETRANSLATE(C4961, ""en"", ""te""),"""")"),"")</f>
        <v/>
      </c>
      <c r="E4961" s="2"/>
      <c r="F4961" s="2" t="str">
        <f>IFERROR(__xludf.DUMMYFUNCTION("IF(E4961&lt;&gt;"""", GOOGLETRANSLATE(E4961, ""en"", ""te""),"""")"),"")</f>
        <v/>
      </c>
      <c r="G4961" s="2"/>
      <c r="H4961" s="2" t="str">
        <f>IFERROR(__xludf.DUMMYFUNCTION("IF(G4961&lt;&gt;"""", GOOGLETRANSLATE(G4961, ""en"", ""te""),"""")"),"")</f>
        <v/>
      </c>
      <c r="I4961" s="3"/>
    </row>
    <row r="4962" customHeight="1" spans="1:9">
      <c r="A4962" s="2"/>
      <c r="B4962" s="2" t="str">
        <f>IFERROR(__xludf.DUMMYFUNCTION("IF(A4962&lt;&gt;"""", GOOGLETRANSLATE(A4962, ""en"", ""te""),"""")"),"")</f>
        <v/>
      </c>
      <c r="C4962" s="2"/>
      <c r="D4962" s="2" t="str">
        <f>IFERROR(__xludf.DUMMYFUNCTION("IF(C4962&lt;&gt;"""", GOOGLETRANSLATE(C4962, ""en"", ""te""),"""")"),"")</f>
        <v/>
      </c>
      <c r="E4962" s="2"/>
      <c r="F4962" s="2" t="str">
        <f>IFERROR(__xludf.DUMMYFUNCTION("IF(E4962&lt;&gt;"""", GOOGLETRANSLATE(E4962, ""en"", ""te""),"""")"),"")</f>
        <v/>
      </c>
      <c r="G4962" s="2"/>
      <c r="H4962" s="2" t="str">
        <f>IFERROR(__xludf.DUMMYFUNCTION("IF(G4962&lt;&gt;"""", GOOGLETRANSLATE(G4962, ""en"", ""te""),"""")"),"")</f>
        <v/>
      </c>
      <c r="I4962" s="3"/>
    </row>
    <row r="4963" customHeight="1" spans="1:9">
      <c r="A4963" s="2"/>
      <c r="B4963" s="2" t="str">
        <f>IFERROR(__xludf.DUMMYFUNCTION("IF(A4963&lt;&gt;"""", GOOGLETRANSLATE(A4963, ""en"", ""te""),"""")"),"")</f>
        <v/>
      </c>
      <c r="C4963" s="2"/>
      <c r="D4963" s="2" t="str">
        <f>IFERROR(__xludf.DUMMYFUNCTION("IF(C4963&lt;&gt;"""", GOOGLETRANSLATE(C4963, ""en"", ""te""),"""")"),"")</f>
        <v/>
      </c>
      <c r="E4963" s="2"/>
      <c r="F4963" s="2" t="str">
        <f>IFERROR(__xludf.DUMMYFUNCTION("IF(E4963&lt;&gt;"""", GOOGLETRANSLATE(E4963, ""en"", ""te""),"""")"),"")</f>
        <v/>
      </c>
      <c r="G4963" s="2"/>
      <c r="H4963" s="2" t="str">
        <f>IFERROR(__xludf.DUMMYFUNCTION("IF(G4963&lt;&gt;"""", GOOGLETRANSLATE(G4963, ""en"", ""te""),"""")"),"")</f>
        <v/>
      </c>
      <c r="I4963" s="3"/>
    </row>
    <row r="4964" customHeight="1" spans="1:9">
      <c r="A4964" s="2"/>
      <c r="B4964" s="2" t="str">
        <f>IFERROR(__xludf.DUMMYFUNCTION("IF(A4964&lt;&gt;"""", GOOGLETRANSLATE(A4964, ""en"", ""te""),"""")"),"")</f>
        <v/>
      </c>
      <c r="C4964" s="2"/>
      <c r="D4964" s="2" t="str">
        <f>IFERROR(__xludf.DUMMYFUNCTION("IF(C4964&lt;&gt;"""", GOOGLETRANSLATE(C4964, ""en"", ""te""),"""")"),"")</f>
        <v/>
      </c>
      <c r="E4964" s="2"/>
      <c r="F4964" s="2" t="str">
        <f>IFERROR(__xludf.DUMMYFUNCTION("IF(E4964&lt;&gt;"""", GOOGLETRANSLATE(E4964, ""en"", ""te""),"""")"),"")</f>
        <v/>
      </c>
      <c r="G4964" s="2"/>
      <c r="H4964" s="2" t="str">
        <f>IFERROR(__xludf.DUMMYFUNCTION("IF(G4964&lt;&gt;"""", GOOGLETRANSLATE(G4964, ""en"", ""te""),"""")"),"")</f>
        <v/>
      </c>
      <c r="I4964" s="3"/>
    </row>
    <row r="4965" customHeight="1" spans="1:9">
      <c r="A4965" s="2" t="s">
        <v>3382</v>
      </c>
      <c r="B4965" s="2" t="str">
        <f>IFERROR(__xludf.DUMMYFUNCTION("IF(A4965&lt;&gt;"""", GOOGLETRANSLATE(A4965, ""en"", ""te""),"""")"),"[ 'తొలి 7th ఓల్డెస్ట్ క్రీడాకారులు (41y 27d)']")</f>
        <v>[ 'తొలి 7th ఓల్డెస్ట్ క్రీడాకారులు (41y 27d)']</v>
      </c>
      <c r="C4965" s="2" t="s">
        <v>3382</v>
      </c>
      <c r="D4965" s="2" t="str">
        <f>IFERROR(__xludf.DUMMYFUNCTION("IF(C4965&lt;&gt;"""", GOOGLETRANSLATE(C4965, ""en"", ""te""),"""")"),"[ 'తొలి 7th ఓల్డెస్ట్ క్రీడాకారులు (41y 27d)']")</f>
        <v>[ 'తొలి 7th ఓల్డెస్ట్ క్రీడాకారులు (41y 27d)']</v>
      </c>
      <c r="E4965" s="2"/>
      <c r="F4965" s="2" t="str">
        <f>IFERROR(__xludf.DUMMYFUNCTION("IF(E4965&lt;&gt;"""", GOOGLETRANSLATE(E4965, ""en"", ""te""),"""")"),"")</f>
        <v/>
      </c>
      <c r="G4965" s="2"/>
      <c r="H4965" s="2" t="str">
        <f>IFERROR(__xludf.DUMMYFUNCTION("IF(G4965&lt;&gt;"""", GOOGLETRANSLATE(G4965, ""en"", ""te""),"""")"),"")</f>
        <v/>
      </c>
      <c r="I4965" s="3"/>
    </row>
    <row r="4966" customHeight="1" spans="1:9">
      <c r="A4966" s="2"/>
      <c r="B4966" s="2" t="str">
        <f>IFERROR(__xludf.DUMMYFUNCTION("IF(A4966&lt;&gt;"""", GOOGLETRANSLATE(A4966, ""en"", ""te""),"""")"),"")</f>
        <v/>
      </c>
      <c r="C4966" s="2"/>
      <c r="D4966" s="2" t="str">
        <f>IFERROR(__xludf.DUMMYFUNCTION("IF(C4966&lt;&gt;"""", GOOGLETRANSLATE(C4966, ""en"", ""te""),"""")"),"")</f>
        <v/>
      </c>
      <c r="E4966" s="2" t="s">
        <v>2246</v>
      </c>
      <c r="F4966" s="2" t="str">
        <f>IFERROR(__xludf.DUMMYFUNCTION("IF(E4966&lt;&gt;"""", GOOGLETRANSLATE(E4966, ""en"", ""te""),"""")"),"[ '39 వ చెత్త కెరీర్ బౌలింగ్ సరాసరి (అర్హత లేకుండా) (115.00)']")</f>
        <v>[ '39 వ చెత్త కెరీర్ బౌలింగ్ సరాసరి (అర్హత లేకుండా) (115.00)']</v>
      </c>
      <c r="G4966" s="2" t="s">
        <v>3383</v>
      </c>
      <c r="H4966" s="2" t="str">
        <f>IFERROR(__xludf.DUMMYFUNCTION("IF(G4966&lt;&gt;"""", GOOGLETRANSLATE(G4966, ""en"", ""te""),"""")"),"[ '37 వ అత్యధిక పరుగులు ఇన్నింగ్స్ (57) లో సాధించిన]")</f>
        <v>[ '37 వ అత్యధిక పరుగులు ఇన్నింగ్స్ (57) లో సాధించిన]</v>
      </c>
      <c r="I4966" s="3"/>
    </row>
    <row r="4967" customHeight="1" spans="1:9">
      <c r="A4967" s="2" t="s">
        <v>3384</v>
      </c>
      <c r="B4967" s="2" t="str">
        <f>IFERROR(__xludf.DUMMYFUNCTION("IF(A4967&lt;&gt;"""", GOOGLETRANSLATE(A4967, ""en"", ""te""),"""")"),"[ '3 వ అత్యుత్తమ బౌలింగ్ ఇన్నింగ్స్ లో విశ్లేషించడం (3/3)', '5000 పరుగులు మరియు 50 ఫీల్డింగ్ వికెట్లు']")</f>
        <v>[ '3 వ అత్యుత్తమ బౌలింగ్ ఇన్నింగ్స్ లో విశ్లేషించడం (3/3)', '5000 పరుగులు మరియు 50 ఫీల్డింగ్ వికెట్లు']</v>
      </c>
      <c r="C4967" s="2"/>
      <c r="D4967" s="2" t="str">
        <f>IFERROR(__xludf.DUMMYFUNCTION("IF(C4967&lt;&gt;"""", GOOGLETRANSLATE(C4967, ""en"", ""te""),"""")"),"")</f>
        <v/>
      </c>
      <c r="E4967" s="2" t="s">
        <v>3385</v>
      </c>
      <c r="F4967" s="2" t="str">
        <f>IFERROR(__xludf.DUMMYFUNCTION("IF(E4967&lt;&gt;"""", GOOGLETRANSLATE(E4967, ""en"", ""te""),"""")"),"[ '11 వ ఇన్నింగ్స్ లో అత్యధిక పరుగులు (బ్యాటింగ్ స్థానంలో ప్రకారం) (119)', '34 వ కెరీర్ తొంభైల (4)', 'సగటు బౌలింగ్' 3 వ అత్యుత్తమ బౌలింగ్ ఇన్నింగ్స్ లో విశ్లేషించడం (3/3) ', 15 వ చెత్త వృత్తి (54.70) ',' 28th చెత్త కెరీర్లో సమ్మె రేటు (62.4) ',' పదవ వికె"&amp;"ట్కు 18 అత్యధిక భాగస్వామ్యం (62) ',' బృందం (96) కోసం 17 వరుస మ్యాచ్లు ']")</f>
        <v>[ '11 వ ఇన్నింగ్స్ లో అత్యధిక పరుగులు (బ్యాటింగ్ స్థానంలో ప్రకారం) (119)', '34 వ కెరీర్ తొంభైల (4)', 'సగటు బౌలింగ్' 3 వ అత్యుత్తమ బౌలింగ్ ఇన్నింగ్స్ లో విశ్లేషించడం (3/3) ', 15 వ చెత్త వృత్తి (54.70) ',' 28th చెత్త కెరీర్లో సమ్మె రేటు (62.4) ',' పదవ వికెట్కు 18 అత్యధిక భాగస్వామ్యం (62) ',' బృందం (96) కోసం 17 వరుస మ్యాచ్లు ']</v>
      </c>
      <c r="G4967" s="2"/>
      <c r="H4967" s="2" t="str">
        <f>IFERROR(__xludf.DUMMYFUNCTION("IF(G4967&lt;&gt;"""", GOOGLETRANSLATE(G4967, ""en"", ""te""),"""")"),"")</f>
        <v/>
      </c>
      <c r="I4967" s="3"/>
    </row>
    <row r="4968" customHeight="1" spans="1:9">
      <c r="A4968" s="2"/>
      <c r="B4968" s="2" t="str">
        <f>IFERROR(__xludf.DUMMYFUNCTION("IF(A4968&lt;&gt;"""", GOOGLETRANSLATE(A4968, ""en"", ""te""),"""")"),"")</f>
        <v/>
      </c>
      <c r="C4968" s="2"/>
      <c r="D4968" s="2" t="str">
        <f>IFERROR(__xludf.DUMMYFUNCTION("IF(C4968&lt;&gt;"""", GOOGLETRANSLATE(C4968, ""en"", ""te""),"""")"),"")</f>
        <v/>
      </c>
      <c r="E4968" s="2"/>
      <c r="F4968" s="2" t="str">
        <f>IFERROR(__xludf.DUMMYFUNCTION("IF(E4968&lt;&gt;"""", GOOGLETRANSLATE(E4968, ""en"", ""te""),"""")"),"")</f>
        <v/>
      </c>
      <c r="G4968" s="2"/>
      <c r="H4968" s="2" t="str">
        <f>IFERROR(__xludf.DUMMYFUNCTION("IF(G4968&lt;&gt;"""", GOOGLETRANSLATE(G4968, ""en"", ""te""),"""")"),"")</f>
        <v/>
      </c>
      <c r="I4968" s="3"/>
    </row>
    <row r="4969" customHeight="1" spans="1:9">
      <c r="A4969" s="2"/>
      <c r="B4969" s="2" t="str">
        <f>IFERROR(__xludf.DUMMYFUNCTION("IF(A4969&lt;&gt;"""", GOOGLETRANSLATE(A4969, ""en"", ""te""),"""")"),"")</f>
        <v/>
      </c>
      <c r="C4969" s="2"/>
      <c r="D4969" s="2" t="str">
        <f>IFERROR(__xludf.DUMMYFUNCTION("IF(C4969&lt;&gt;"""", GOOGLETRANSLATE(C4969, ""en"", ""te""),"""")"),"")</f>
        <v/>
      </c>
      <c r="E4969" s="2"/>
      <c r="F4969" s="2" t="str">
        <f>IFERROR(__xludf.DUMMYFUNCTION("IF(E4969&lt;&gt;"""", GOOGLETRANSLATE(E4969, ""en"", ""te""),"""")"),"")</f>
        <v/>
      </c>
      <c r="G4969" s="2"/>
      <c r="H4969" s="2" t="str">
        <f>IFERROR(__xludf.DUMMYFUNCTION("IF(G4969&lt;&gt;"""", GOOGLETRANSLATE(G4969, ""en"", ""te""),"""")"),"")</f>
        <v/>
      </c>
      <c r="I4969" s="3"/>
    </row>
    <row r="4970" customHeight="1" spans="1:9">
      <c r="A4970" s="2"/>
      <c r="B4970" s="2" t="str">
        <f>IFERROR(__xludf.DUMMYFUNCTION("IF(A4970&lt;&gt;"""", GOOGLETRANSLATE(A4970, ""en"", ""te""),"""")"),"")</f>
        <v/>
      </c>
      <c r="C4970" s="2"/>
      <c r="D4970" s="2" t="str">
        <f>IFERROR(__xludf.DUMMYFUNCTION("IF(C4970&lt;&gt;"""", GOOGLETRANSLATE(C4970, ""en"", ""te""),"""")"),"")</f>
        <v/>
      </c>
      <c r="E4970" s="2"/>
      <c r="F4970" s="2" t="str">
        <f>IFERROR(__xludf.DUMMYFUNCTION("IF(E4970&lt;&gt;"""", GOOGLETRANSLATE(E4970, ""en"", ""te""),"""")"),"")</f>
        <v/>
      </c>
      <c r="G4970" s="2"/>
      <c r="H4970" s="2" t="str">
        <f>IFERROR(__xludf.DUMMYFUNCTION("IF(G4970&lt;&gt;"""", GOOGLETRANSLATE(G4970, ""en"", ""te""),"""")"),"")</f>
        <v/>
      </c>
      <c r="I4970" s="3"/>
    </row>
    <row r="4971" customHeight="1" spans="1:9">
      <c r="A4971" s="2"/>
      <c r="B4971" s="2" t="str">
        <f>IFERROR(__xludf.DUMMYFUNCTION("IF(A4971&lt;&gt;"""", GOOGLETRANSLATE(A4971, ""en"", ""te""),"""")"),"")</f>
        <v/>
      </c>
      <c r="C4971" s="2"/>
      <c r="D4971" s="2" t="str">
        <f>IFERROR(__xludf.DUMMYFUNCTION("IF(C4971&lt;&gt;"""", GOOGLETRANSLATE(C4971, ""en"", ""te""),"""")"),"")</f>
        <v/>
      </c>
      <c r="E4971" s="2"/>
      <c r="F4971" s="2" t="str">
        <f>IFERROR(__xludf.DUMMYFUNCTION("IF(E4971&lt;&gt;"""", GOOGLETRANSLATE(E4971, ""en"", ""te""),"""")"),"")</f>
        <v/>
      </c>
      <c r="G4971" s="2"/>
      <c r="H4971" s="2" t="str">
        <f>IFERROR(__xludf.DUMMYFUNCTION("IF(G4971&lt;&gt;"""", GOOGLETRANSLATE(G4971, ""en"", ""te""),"""")"),"")</f>
        <v/>
      </c>
      <c r="I4971" s="3"/>
    </row>
    <row r="4972" customHeight="1" spans="1:9">
      <c r="A4972" s="2"/>
      <c r="B4972" s="2" t="str">
        <f>IFERROR(__xludf.DUMMYFUNCTION("IF(A4972&lt;&gt;"""", GOOGLETRANSLATE(A4972, ""en"", ""te""),"""")"),"")</f>
        <v/>
      </c>
      <c r="C4972" s="2"/>
      <c r="D4972" s="2" t="str">
        <f>IFERROR(__xludf.DUMMYFUNCTION("IF(C4972&lt;&gt;"""", GOOGLETRANSLATE(C4972, ""en"", ""te""),"""")"),"")</f>
        <v/>
      </c>
      <c r="E4972" s="2"/>
      <c r="F4972" s="2" t="str">
        <f>IFERROR(__xludf.DUMMYFUNCTION("IF(E4972&lt;&gt;"""", GOOGLETRANSLATE(E4972, ""en"", ""te""),"""")"),"")</f>
        <v/>
      </c>
      <c r="G4972" s="2"/>
      <c r="H4972" s="2" t="str">
        <f>IFERROR(__xludf.DUMMYFUNCTION("IF(G4972&lt;&gt;"""", GOOGLETRANSLATE(G4972, ""en"", ""te""),"""")"),"")</f>
        <v/>
      </c>
      <c r="I4972" s="3"/>
    </row>
    <row r="4973" customHeight="1" spans="1:9">
      <c r="A4973" s="2"/>
      <c r="B4973" s="2" t="str">
        <f>IFERROR(__xludf.DUMMYFUNCTION("IF(A4973&lt;&gt;"""", GOOGLETRANSLATE(A4973, ""en"", ""te""),"""")"),"")</f>
        <v/>
      </c>
      <c r="C4973" s="2"/>
      <c r="D4973" s="2" t="str">
        <f>IFERROR(__xludf.DUMMYFUNCTION("IF(C4973&lt;&gt;"""", GOOGLETRANSLATE(C4973, ""en"", ""te""),"""")"),"")</f>
        <v/>
      </c>
      <c r="E4973" s="2"/>
      <c r="F4973" s="2" t="str">
        <f>IFERROR(__xludf.DUMMYFUNCTION("IF(E4973&lt;&gt;"""", GOOGLETRANSLATE(E4973, ""en"", ""te""),"""")"),"")</f>
        <v/>
      </c>
      <c r="G4973" s="2"/>
      <c r="H4973" s="2" t="str">
        <f>IFERROR(__xludf.DUMMYFUNCTION("IF(G4973&lt;&gt;"""", GOOGLETRANSLATE(G4973, ""en"", ""te""),"""")"),"")</f>
        <v/>
      </c>
      <c r="I4973" s="3"/>
    </row>
    <row r="4974" customHeight="1" spans="1:9">
      <c r="A4974" s="2" t="s">
        <v>3386</v>
      </c>
      <c r="B4974" s="2" t="str">
        <f>IFERROR(__xludf.DUMMYFUNCTION("IF(A4974&lt;&gt;"""", GOOGLETRANSLATE(A4974, ""en"", ""te""),"""")"),"[ '1000 పరుగులు మరియు 100 వికెట్లు', 'లేకుండా ఒక వృత్తిలో 9 వ అత్యధిక పరుగులు వంద (2411)', '1000 పరుగులు మరియు 100 వికెట్లు', '1000 పరుగులు, 50 వికెట్లు, 50 క్యాచ్లు', '10 వ చెత్త కెరీర్లో సమ్మె రేటు ( 24.9) ',' 10 వ కెరీర్ లో అత్యంత పనికత్తెలయొద్ద (4) ',"&amp;"' 3 వ అత్యంత క్యాచ్ మరియు బౌల్డ్ తీసుకోబడిన వికెట్ల (5) ',' ఒక ఇన్నింగ్స్ లో ఒక ప్రత్యామ్నాయంగా 3 వ అత్యధిక క్యాచ్లు (2) ',' 10 వ అత్యధిక వికెట్లు స్టంప్ తీసుకున్న ( 35) ']")</f>
        <v>[ '1000 పరుగులు మరియు 100 వికెట్లు', 'లేకుండా ఒక వృత్తిలో 9 వ అత్యధిక పరుగులు వంద (2411)', '1000 పరుగులు మరియు 100 వికెట్లు', '1000 పరుగులు, 50 వికెట్లు, 50 క్యాచ్లు', '10 వ చెత్త కెరీర్లో సమ్మె రేటు ( 24.9) ',' 10 వ కెరీర్ లో అత్యంత పనికత్తెలయొద్ద (4) ',' 3 వ అత్యంత క్యాచ్ మరియు బౌల్డ్ తీసుకోబడిన వికెట్ల (5) ',' ఒక ఇన్నింగ్స్ లో ఒక ప్రత్యామ్నాయంగా 3 వ అత్యధిక క్యాచ్లు (2) ',' 10 వ అత్యధిక వికెట్లు స్టంప్ తీసుకున్న ( 35) ']</v>
      </c>
      <c r="C4974" s="2" t="s">
        <v>3387</v>
      </c>
      <c r="D4974" s="2" t="str">
        <f>IFERROR(__xludf.DUMMYFUNCTION("IF(C4974&lt;&gt;"""", GOOGLETRANSLATE(C4974, ""en"", ""te""),"""")"),"[ '39 వ కెరీర్ లో వచ్చిన ఎక్కువ సిక్స్ (50)', 'ఇన్నింగ్స్ 28 వ ఉత్తమ ఆర్థిక రేటు (0.56)', '46 వ మ్యాచ్లో (258) లో సాధించిన అత్యధిక పరుగులు' '100 వికెట్లు వేగంగా 48 వ (24)', ' 15 వ వేగంగా 150 వికెట్లు (32) ',' ఫాస్టెస్ట్ 200 వికెట్లు 13 (44) ']")</f>
        <v>[ '39 వ కెరీర్ లో వచ్చిన ఎక్కువ సిక్స్ (50)', 'ఇన్నింగ్స్ 28 వ ఉత్తమ ఆర్థిక రేటు (0.56)', '46 వ మ్యాచ్లో (258) లో సాధించిన అత్యధిక పరుగులు' '100 వికెట్లు వేగంగా 48 వ (24)', ' 15 వ వేగంగా 150 వికెట్లు (32) ',' ఫాస్టెస్ట్ 200 వికెట్లు 13 (44) ']</v>
      </c>
      <c r="E4974" s="2" t="s">
        <v>3388</v>
      </c>
      <c r="F4974" s="2" t="str">
        <f>IFERROR(__xludf.DUMMYFUNCTION("IF(E4974&lt;&gt;"""", GOOGLETRANSLATE(E4974, ""en"", ""te""),"""")"),"[ 'వంద (2411) లేకుండా 9th ఒక జీవితంలో అత్యధిక పరుగులు' '16 వ ఇన్నింగ్స్ లో అత్యధిక పరుగులు (బ్యాటింగ్ స్థానంలో ప్రకారం) (77)', '46 వ కెరీర్ లో అత్యధిక వికెట్లు (188)', '12 వ చాలా వికెట్లు క్యాలెండర్ ఏడాది (52) ',' 43 వ అత్యంత నాలుగు వికెట్లు-ఇన్-ఒక-ఇన్నిం"&amp;"గ్స్ కెరీర్లో (8) ',' 13 వ వరుస నాలుగు వికెట్లు-ఇన్-ఒక-ఇన్నింగ్స్ (2) ',' 34 వ అత్యంత బంతులను బౌలింగ్ చేశాడు కెరీర్లో (8557) ',' 25 వ అత్యధిక పరుగులు కెరీర్లో సాధించిన (7024) ',' 30 వ బౌలర్ / ఫీల్డర్ కలయికలు (29) ',' 43 వ అత్యధిక వికెట్లు తీసుకున్న బౌల్డ్"&amp;" (48) ',' 28th అత్యధిక వికెట్లు తీసుకున్న ఎల్బిడబ్ల్యు (32) ',' 12 వ అత్యధిక వికెట్లు స్టంప్ తీసుకున్న (21) ',' ఎనిమిదవ వికెట్కు 44 వ అత్యధిక భాగస్వామ్యం (76) ']")</f>
        <v>[ 'వంద (2411) లేకుండా 9th ఒక జీవితంలో అత్యధిక పరుగులు' '16 వ ఇన్నింగ్స్ లో అత్యధిక పరుగులు (బ్యాటింగ్ స్థానంలో ప్రకారం) (77)', '46 వ కెరీర్ లో అత్యధిక వికెట్లు (188)', '12 వ చాలా వికెట్లు క్యాలెండర్ ఏడాది (52) ',' 43 వ అత్యంత నాలుగు వికెట్లు-ఇన్-ఒక-ఇన్నింగ్స్ కెరీర్లో (8) ',' 13 వ వరుస నాలుగు వికెట్లు-ఇన్-ఒక-ఇన్నింగ్స్ (2) ',' 34 వ అత్యంత బంతులను బౌలింగ్ చేశాడు కెరీర్లో (8557) ',' 25 వ అత్యధిక పరుగులు కెరీర్లో సాధించిన (7024) ',' 30 వ బౌలర్ / ఫీల్డర్ కలయికలు (29) ',' 43 వ అత్యధిక వికెట్లు తీసుకున్న బౌల్డ్ (48) ',' 28th అత్యధిక వికెట్లు తీసుకున్న ఎల్బిడబ్ల్యు (32) ',' 12 వ అత్యధిక వికెట్లు స్టంప్ తీసుకున్న (21) ',' ఎనిమిదవ వికెట్కు 44 వ అత్యధిక భాగస్వామ్యం (76) ']</v>
      </c>
      <c r="G4974" s="2" t="s">
        <v>3389</v>
      </c>
      <c r="H4974" s="2" t="str">
        <f>IFERROR(__xludf.DUMMYFUNCTION("IF(G4974&lt;&gt;"""", GOOGLETRANSLATE(G4974, ""en"", ""te""),"""")"),"[ '31 ఇన్నింగ్స్ లో అత్యధిక పరుగులు (బ్యాటింగ్ స్థానంలో ప్రకారం) (44 *)', '48 వ ఉత్తమ కెరీర్ ఆర్థిక రేటు (7.10)', '10 వ చెత్త కెరీర్లో సమ్మె రేటు (24.9)', '35 వ కెరీర్ లో బౌల్డ్ చాలా బంతుల్లో (973 ) ',' 38 వ కెరీర్ (1152) లో సాధించిన అత్యధిక పరుగులు ',' 3"&amp;" వ అత్యంత ఆకర్షించింది తీసుకున్న మరియు బౌల్డ్ వికెట్లు (5) ',' 17 వ అత్యధిక వికెట్లు తీసుకున్న స్టంప్ (5) ',' ఒక ఇన్నింగ్స్ లో ఒక ప్రత్యామ్నాయంగా 3 వ అత్యధిక క్యాచ్లు ( 2) ',' 36 వ లాంగెస్ట్ కెరీర్లు (11y 298d) ',' 10 వ కెరీర్ (4 అత్యంత పనికత్తెలయొద్ద) ']")</f>
        <v>[ '31 ఇన్నింగ్స్ లో అత్యధిక పరుగులు (బ్యాటింగ్ స్థానంలో ప్రకారం) (44 *)', '48 వ ఉత్తమ కెరీర్ ఆర్థిక రేటు (7.10)', '10 వ చెత్త కెరీర్లో సమ్మె రేటు (24.9)', '35 వ కెరీర్ లో బౌల్డ్ చాలా బంతుల్లో (973 ) ',' 38 వ కెరీర్ (1152) లో సాధించిన అత్యధిక పరుగులు ',' 3 వ అత్యంత ఆకర్షించింది తీసుకున్న మరియు బౌల్డ్ వికెట్లు (5) ',' 17 వ అత్యధిక వికెట్లు తీసుకున్న స్టంప్ (5) ',' ఒక ఇన్నింగ్స్ లో ఒక ప్రత్యామ్నాయంగా 3 వ అత్యధిక క్యాచ్లు ( 2) ',' 36 వ లాంగెస్ట్ కెరీర్లు (11y 298d) ',' 10 వ కెరీర్ (4 అత్యంత పనికత్తెలయొద్ద) ']</v>
      </c>
      <c r="I4974" s="3"/>
    </row>
    <row r="4975" customHeight="1" spans="1:9">
      <c r="A4975" s="2"/>
      <c r="B4975" s="2" t="str">
        <f>IFERROR(__xludf.DUMMYFUNCTION("IF(A4975&lt;&gt;"""", GOOGLETRANSLATE(A4975, ""en"", ""te""),"""")"),"")</f>
        <v/>
      </c>
      <c r="C4975" s="2"/>
      <c r="D4975" s="2" t="str">
        <f>IFERROR(__xludf.DUMMYFUNCTION("IF(C4975&lt;&gt;"""", GOOGLETRANSLATE(C4975, ""en"", ""te""),"""")"),"")</f>
        <v/>
      </c>
      <c r="E4975" s="2"/>
      <c r="F4975" s="2" t="str">
        <f>IFERROR(__xludf.DUMMYFUNCTION("IF(E4975&lt;&gt;"""", GOOGLETRANSLATE(E4975, ""en"", ""te""),"""")"),"")</f>
        <v/>
      </c>
      <c r="G4975" s="2"/>
      <c r="H4975" s="2" t="str">
        <f>IFERROR(__xludf.DUMMYFUNCTION("IF(G4975&lt;&gt;"""", GOOGLETRANSLATE(G4975, ""en"", ""te""),"""")"),"")</f>
        <v/>
      </c>
      <c r="I4975" s="3"/>
    </row>
    <row r="4976" customHeight="1" spans="1:9">
      <c r="A4976" s="2"/>
      <c r="B4976" s="2" t="str">
        <f>IFERROR(__xludf.DUMMYFUNCTION("IF(A4976&lt;&gt;"""", GOOGLETRANSLATE(A4976, ""en"", ""te""),"""")"),"")</f>
        <v/>
      </c>
      <c r="C4976" s="2"/>
      <c r="D4976" s="2" t="str">
        <f>IFERROR(__xludf.DUMMYFUNCTION("IF(C4976&lt;&gt;"""", GOOGLETRANSLATE(C4976, ""en"", ""te""),"""")"),"")</f>
        <v/>
      </c>
      <c r="E4976" s="2"/>
      <c r="F4976" s="2" t="str">
        <f>IFERROR(__xludf.DUMMYFUNCTION("IF(E4976&lt;&gt;"""", GOOGLETRANSLATE(E4976, ""en"", ""te""),"""")"),"")</f>
        <v/>
      </c>
      <c r="G4976" s="2"/>
      <c r="H4976" s="2" t="str">
        <f>IFERROR(__xludf.DUMMYFUNCTION("IF(G4976&lt;&gt;"""", GOOGLETRANSLATE(G4976, ""en"", ""te""),"""")"),"")</f>
        <v/>
      </c>
      <c r="I4976" s="3"/>
    </row>
    <row r="4977" customHeight="1" spans="1:9">
      <c r="A4977" s="2" t="s">
        <v>3390</v>
      </c>
      <c r="B4977" s="2" t="str">
        <f>IFERROR(__xludf.DUMMYFUNCTION("IF(A4977&lt;&gt;"""", GOOGLETRANSLATE(A4977, ""en"", ""te""),"""")"),"[ 'ఒక మ్యాచ్లో 3 వ అత్యధిక వికెట్లు (7)', '6 వ అత్యధిక క్యాచ్లు కెరీర్లో (15)', 'ఒక మ్యాచ్లో 3 వ అత్యంత స్టంపింగ్లు (4)', '10 వ ఇన్నింగ్స్ లో సాధించిన అత్యంత బైలు (16)', ' 6 వ భాగం (110) ',' 8 వ పిన్న ఆటగాడు ఒక ఇన్నింగ్స్ లో వంద (21y 98d) ',' 5 వ అత్యధిక"&amp;" వికెట్లు సాధించిన అత్యధిక వికెట్లు ఇన్నింగ్స్ లో నడుస్తుంది (5) ',' ఇన్నింగ్స్ లో 3 వ అత్యధిక క్యాచ్లు (4) ',' లేకుండా ఒక కెరీర్ లో ఒక ఇన్నింగ్స్ (11) ',' 7 వ మోస్ట్ రన్స్ వికెట్ను కాపాడుకున్నాడు మరియు బ్యాటింగ్ (7) ',' 1 వ అత్యంత స్టంపింగ్లు కెరీర్లో (5"&amp;"1) ',' 6 వ అత్యంత సాధించిన బైస్ తెరిచిన చేసిన 3 వ కెప్టెన్ల వంద (1729) ',' తొలి మ్యాచ్లో 7 వ అత్యధిక పరుగులు (84 *) ']")</f>
        <v>[ 'ఒక మ్యాచ్లో 3 వ అత్యధిక వికెట్లు (7)', '6 వ అత్యధిక క్యాచ్లు కెరీర్లో (15)', 'ఒక మ్యాచ్లో 3 వ అత్యంత స్టంపింగ్లు (4)', '10 వ ఇన్నింగ్స్ లో సాధించిన అత్యంత బైలు (16)', ' 6 వ భాగం (110) ',' 8 వ పిన్న ఆటగాడు ఒక ఇన్నింగ్స్ లో వంద (21y 98d) ',' 5 వ అత్యధిక వికెట్లు సాధించిన అత్యధిక వికెట్లు ఇన్నింగ్స్ లో నడుస్తుంది (5) ',' ఇన్నింగ్స్ లో 3 వ అత్యధిక క్యాచ్లు (4) ',' లేకుండా ఒక కెరీర్ లో ఒక ఇన్నింగ్స్ (11) ',' 7 వ మోస్ట్ రన్స్ వికెట్ను కాపాడుకున్నాడు మరియు బ్యాటింగ్ (7) ',' 1 వ అత్యంత స్టంపింగ్లు కెరీర్లో (51) ',' 6 వ అత్యంత సాధించిన బైస్ తెరిచిన చేసిన 3 వ కెప్టెన్ల వంద (1729) ',' తొలి మ్యాచ్లో 7 వ అత్యధిక పరుగులు (84 *) ']</v>
      </c>
      <c r="C4977" s="2" t="s">
        <v>3391</v>
      </c>
      <c r="D4977" s="2" t="str">
        <f>IFERROR(__xludf.DUMMYFUNCTION("IF(C4977&lt;&gt;"""", GOOGLETRANSLATE(C4977, ""en"", ""te""),"""")"),"[ '10 వ అత్యంత వికెట్కీపర్ శ్రేణిలో పరుగులు (177)', 'అత్యధిక వికెట్లు ఇన్నింగ్స్ లో 6 వ అత్యధిక పరుగులు (110)', '28th అత్యధిక కెరీర్ బ్యాటింగ్ సగటు (36.75)', '41 వ అత్యధిక తొలి వంద (110) ',' 8 వ పిన్న ఆటగాడు వంద స్కోర్ (21y 98d) ',' మొదటి వికెట్కు 12 వ అత"&amp;"్యధిక భాగస్వామ్యం (132) ',' 6 వ కెరీర్ లో అత్యధిక వికెట్లు (23) ',' ఇన్నింగ్స్ లో 3 వ అత్యధిక వికెట్లు (5) ',' ఒక మ్యాచ్లో 3 వ అత్యధిక వికెట్లు (7) ',' 16 వ ఒక సిరీస్లో అత్యధిక వికెట్లు (8) ',' 6 వ కెరీర్లో అత్యధిక క్యాచ్లు (15) ',' 8 వ ఇన్నింగ్స్ లో అత్య"&amp;"ధిక క్యాచ్లు (3) ',' ఒక మ్యాచ్లో 11 వ అత్యధిక క్యాచ్లు (4) ',' 10 వ అత్యంత స్టంపింగ్లు కెరీర్లో (8) ',' ఒక మ్యాచ్లో 3 వ అత్యంత స్టంపింగ్లు (4) ',' 12 వ ఒక సిరీస్లో అత్యధిక స్టంపింగ్లు (4) ',' 10 వ అత్యంత బైలు ఒక ఇన్నింగ్స్ లో సాధించిన (16) ']")</f>
        <v>[ '10 వ అత్యంత వికెట్కీపర్ శ్రేణిలో పరుగులు (177)', 'అత్యధిక వికెట్లు ఇన్నింగ్స్ లో 6 వ అత్యధిక పరుగులు (110)', '28th అత్యధిక కెరీర్ బ్యాటింగ్ సగటు (36.75)', '41 వ అత్యధిక తొలి వంద (110) ',' 8 వ పిన్న ఆటగాడు వంద స్కోర్ (21y 98d) ',' మొదటి వికెట్కు 12 వ అత్యధిక భాగస్వామ్యం (132) ',' 6 వ కెరీర్ లో అత్యధిక వికెట్లు (23) ',' ఇన్నింగ్స్ లో 3 వ అత్యధిక వికెట్లు (5) ',' ఒక మ్యాచ్లో 3 వ అత్యధిక వికెట్లు (7) ',' 16 వ ఒక సిరీస్లో అత్యధిక వికెట్లు (8) ',' 6 వ కెరీర్లో అత్యధిక క్యాచ్లు (15) ',' 8 వ ఇన్నింగ్స్ లో అత్యధిక క్యాచ్లు (3) ',' ఒక మ్యాచ్లో 11 వ అత్యధిక క్యాచ్లు (4) ',' 10 వ అత్యంత స్టంపింగ్లు కెరీర్లో (8) ',' ఒక మ్యాచ్లో 3 వ అత్యంత స్టంపింగ్లు (4) ',' 12 వ ఒక సిరీస్లో అత్యధిక స్టంపింగ్లు (4) ',' 10 వ అత్యంత బైలు ఒక ఇన్నింగ్స్ లో సాధించిన (16) ']</v>
      </c>
      <c r="E4977" s="2" t="s">
        <v>3392</v>
      </c>
      <c r="F4977" s="2" t="str">
        <f>IFERROR(__xludf.DUMMYFUNCTION("IF(E4977&lt;&gt;"""", GOOGLETRANSLATE(E4977, ""en"", ""te""),"""")"),"[ '50 వ కెరీర్ లో అత్యధిక పరుగులు (1729)', '33 వ ఒక క్యాలెండర్ సంవత్సరంలో అత్యధిక పరుగులు (574)', '34 వ అత్యధిక వికెట్లు ఒక సిరీస్లో అత్యధిక పరుగులు (184)', '25 వ అత్యంత అత్యధిక వికెట్లు ఇన్నింగ్స్ లో పరుగులు (90) ',' తొలి మ్యాచ్లో వంద (1729) ',' 7 వ అత్య"&amp;"ధిక పరుగులు లేకుండా కెరీర్లో 7 వ అత్యధిక పరుగులు (84 *) ',' 43 వ కెరీర్ అర్ధ (12) ',' 28th వరుస ఇన్నింగ్స్లో యాభైల్లో (3) తొలి వికెట్కు ',' 35 వ అత్యధిక భాగస్వామ్యం (152) ',' వికెట్ను కాపాడుకున్నాడు చేసిన 6 వ కెప్టెన్ల (8) ',' వికెట్ను కాపాడుకున్నాడు మరి"&amp;"యు బ్యాటింగ్ తెరిచారు ఎవరు 3 వ కెప్టెన్ల (7) ',' 9 వ అత్యధిక వికెట్లు కెరీర్లో (81) ',' చాలా 5 వ వరుస ఇన్నింగ్స్ (5) ',' 8 వ ఎక్కువ సార్లు అవుట్ లో వికెట్లు (17) ',' కెరీర్లో 16 వ అత్యధిక క్యాచ్లు (30) ',' 3 వ ఇన్నింగ్స్ లో అత్యధిక క్యాచ్లు ( 4) ',' 16 వ "&amp;"ఒక సిరీస్లో అత్యధిక క్యాచ్లు (9) ',' 1 వ అత్యంత స్టంపింగ్లు కెరీర్లో (51) ',' ఇన్నింగ్స్ (4) ',' 6 వ అత్యంత స్టంపింగ్లు లో 3 వ అత్యంత స్టంపింగ్లు వరుస (8) ' '6 వ అత్యంత ఇన్నింగ్స్ లో సాధించిన బైస్ (11)']")</f>
        <v>[ '50 వ కెరీర్ లో అత్యధిక పరుగులు (1729)', '33 వ ఒక క్యాలెండర్ సంవత్సరంలో అత్యధిక పరుగులు (574)', '34 వ అత్యధిక వికెట్లు ఒక సిరీస్లో అత్యధిక పరుగులు (184)', '25 వ అత్యంత అత్యధిక వికెట్లు ఇన్నింగ్స్ లో పరుగులు (90) ',' తొలి మ్యాచ్లో వంద (1729) ',' 7 వ అత్యధిక పరుగులు లేకుండా కెరీర్లో 7 వ అత్యధిక పరుగులు (84 *) ',' 43 వ కెరీర్ అర్ధ (12) ',' 28th వరుస ఇన్నింగ్స్లో యాభైల్లో (3) తొలి వికెట్కు ',' 35 వ అత్యధిక భాగస్వామ్యం (152) ',' వికెట్ను కాపాడుకున్నాడు చేసిన 6 వ కెప్టెన్ల (8) ',' వికెట్ను కాపాడుకున్నాడు మరియు బ్యాటింగ్ తెరిచారు ఎవరు 3 వ కెప్టెన్ల (7) ',' 9 వ అత్యధిక వికెట్లు కెరీర్లో (81) ',' చాలా 5 వ వరుస ఇన్నింగ్స్ (5) ',' 8 వ ఎక్కువ సార్లు అవుట్ లో వికెట్లు (17) ',' కెరీర్లో 16 వ అత్యధిక క్యాచ్లు (30) ',' 3 వ ఇన్నింగ్స్ లో అత్యధిక క్యాచ్లు ( 4) ',' 16 వ ఒక సిరీస్లో అత్యధిక క్యాచ్లు (9) ',' 1 వ అత్యంత స్టంపింగ్లు కెరీర్లో (51) ',' ఇన్నింగ్స్ (4) ',' 6 వ అత్యంత స్టంపింగ్లు లో 3 వ అత్యంత స్టంపింగ్లు వరుస (8) ' '6 వ అత్యంత ఇన్నింగ్స్ లో సాధించిన బైస్ (11)']</v>
      </c>
      <c r="G4977" s="2"/>
      <c r="H4977" s="2" t="str">
        <f>IFERROR(__xludf.DUMMYFUNCTION("IF(G4977&lt;&gt;"""", GOOGLETRANSLATE(G4977, ""en"", ""te""),"""")"),"")</f>
        <v/>
      </c>
      <c r="I4977" s="3"/>
    </row>
    <row r="4978" customHeight="1" spans="1:9">
      <c r="A4978" s="2"/>
      <c r="B4978" s="2" t="str">
        <f>IFERROR(__xludf.DUMMYFUNCTION("IF(A4978&lt;&gt;"""", GOOGLETRANSLATE(A4978, ""en"", ""te""),"""")"),"")</f>
        <v/>
      </c>
      <c r="C4978" s="2"/>
      <c r="D4978" s="2" t="str">
        <f>IFERROR(__xludf.DUMMYFUNCTION("IF(C4978&lt;&gt;"""", GOOGLETRANSLATE(C4978, ""en"", ""te""),"""")"),"")</f>
        <v/>
      </c>
      <c r="E4978" s="2"/>
      <c r="F4978" s="2" t="str">
        <f>IFERROR(__xludf.DUMMYFUNCTION("IF(E4978&lt;&gt;"""", GOOGLETRANSLATE(E4978, ""en"", ""te""),"""")"),"")</f>
        <v/>
      </c>
      <c r="G4978" s="2"/>
      <c r="H4978" s="2" t="str">
        <f>IFERROR(__xludf.DUMMYFUNCTION("IF(G4978&lt;&gt;"""", GOOGLETRANSLATE(G4978, ""en"", ""te""),"""")"),"")</f>
        <v/>
      </c>
      <c r="I4978" s="3"/>
    </row>
    <row r="4979" customHeight="1" spans="1:9">
      <c r="A4979" s="2"/>
      <c r="B4979" s="2" t="str">
        <f>IFERROR(__xludf.DUMMYFUNCTION("IF(A4979&lt;&gt;"""", GOOGLETRANSLATE(A4979, ""en"", ""te""),"""")"),"")</f>
        <v/>
      </c>
      <c r="C4979" s="2"/>
      <c r="D4979" s="2" t="str">
        <f>IFERROR(__xludf.DUMMYFUNCTION("IF(C4979&lt;&gt;"""", GOOGLETRANSLATE(C4979, ""en"", ""te""),"""")"),"")</f>
        <v/>
      </c>
      <c r="E4979" s="2"/>
      <c r="F4979" s="2" t="str">
        <f>IFERROR(__xludf.DUMMYFUNCTION("IF(E4979&lt;&gt;"""", GOOGLETRANSLATE(E4979, ""en"", ""te""),"""")"),"")</f>
        <v/>
      </c>
      <c r="G4979" s="2"/>
      <c r="H4979" s="2" t="str">
        <f>IFERROR(__xludf.DUMMYFUNCTION("IF(G4979&lt;&gt;"""", GOOGLETRANSLATE(G4979, ""en"", ""te""),"""")"),"")</f>
        <v/>
      </c>
      <c r="I4979" s="3"/>
    </row>
    <row r="4980" customHeight="1" spans="1:9">
      <c r="A4980" s="2"/>
      <c r="B4980" s="2" t="str">
        <f>IFERROR(__xludf.DUMMYFUNCTION("IF(A4980&lt;&gt;"""", GOOGLETRANSLATE(A4980, ""en"", ""te""),"""")"),"")</f>
        <v/>
      </c>
      <c r="C4980" s="2"/>
      <c r="D4980" s="2" t="str">
        <f>IFERROR(__xludf.DUMMYFUNCTION("IF(C4980&lt;&gt;"""", GOOGLETRANSLATE(C4980, ""en"", ""te""),"""")"),"")</f>
        <v/>
      </c>
      <c r="E4980" s="2"/>
      <c r="F4980" s="2" t="str">
        <f>IFERROR(__xludf.DUMMYFUNCTION("IF(E4980&lt;&gt;"""", GOOGLETRANSLATE(E4980, ""en"", ""te""),"""")"),"")</f>
        <v/>
      </c>
      <c r="G4980" s="2"/>
      <c r="H4980" s="2" t="str">
        <f>IFERROR(__xludf.DUMMYFUNCTION("IF(G4980&lt;&gt;"""", GOOGLETRANSLATE(G4980, ""en"", ""te""),"""")"),"")</f>
        <v/>
      </c>
      <c r="I4980" s="3"/>
    </row>
    <row r="4981" customHeight="1" spans="1:9">
      <c r="A4981" s="2"/>
      <c r="B4981" s="2" t="str">
        <f>IFERROR(__xludf.DUMMYFUNCTION("IF(A4981&lt;&gt;"""", GOOGLETRANSLATE(A4981, ""en"", ""te""),"""")"),"")</f>
        <v/>
      </c>
      <c r="C4981" s="2"/>
      <c r="D4981" s="2" t="str">
        <f>IFERROR(__xludf.DUMMYFUNCTION("IF(C4981&lt;&gt;"""", GOOGLETRANSLATE(C4981, ""en"", ""te""),"""")"),"")</f>
        <v/>
      </c>
      <c r="E4981" s="2"/>
      <c r="F4981" s="2" t="str">
        <f>IFERROR(__xludf.DUMMYFUNCTION("IF(E4981&lt;&gt;"""", GOOGLETRANSLATE(E4981, ""en"", ""te""),"""")"),"")</f>
        <v/>
      </c>
      <c r="G4981" s="2"/>
      <c r="H4981" s="2" t="str">
        <f>IFERROR(__xludf.DUMMYFUNCTION("IF(G4981&lt;&gt;"""", GOOGLETRANSLATE(G4981, ""en"", ""te""),"""")"),"")</f>
        <v/>
      </c>
      <c r="I4981" s="3"/>
    </row>
    <row r="4982" customHeight="1" spans="1:9">
      <c r="A4982" s="2"/>
      <c r="B4982" s="2" t="str">
        <f>IFERROR(__xludf.DUMMYFUNCTION("IF(A4982&lt;&gt;"""", GOOGLETRANSLATE(A4982, ""en"", ""te""),"""")"),"")</f>
        <v/>
      </c>
      <c r="C4982" s="2"/>
      <c r="D4982" s="2" t="str">
        <f>IFERROR(__xludf.DUMMYFUNCTION("IF(C4982&lt;&gt;"""", GOOGLETRANSLATE(C4982, ""en"", ""te""),"""")"),"")</f>
        <v/>
      </c>
      <c r="E4982" s="2"/>
      <c r="F4982" s="2" t="str">
        <f>IFERROR(__xludf.DUMMYFUNCTION("IF(E4982&lt;&gt;"""", GOOGLETRANSLATE(E4982, ""en"", ""te""),"""")"),"")</f>
        <v/>
      </c>
      <c r="G4982" s="2"/>
      <c r="H4982" s="2" t="str">
        <f>IFERROR(__xludf.DUMMYFUNCTION("IF(G4982&lt;&gt;"""", GOOGLETRANSLATE(G4982, ""en"", ""te""),"""")"),"")</f>
        <v/>
      </c>
      <c r="I4982" s="3"/>
    </row>
    <row r="4983" customHeight="1" spans="1:9">
      <c r="A4983" s="2"/>
      <c r="B4983" s="2" t="str">
        <f>IFERROR(__xludf.DUMMYFUNCTION("IF(A4983&lt;&gt;"""", GOOGLETRANSLATE(A4983, ""en"", ""te""),"""")"),"")</f>
        <v/>
      </c>
      <c r="C4983" s="2"/>
      <c r="D4983" s="2" t="str">
        <f>IFERROR(__xludf.DUMMYFUNCTION("IF(C4983&lt;&gt;"""", GOOGLETRANSLATE(C4983, ""en"", ""te""),"""")"),"")</f>
        <v/>
      </c>
      <c r="E4983" s="2"/>
      <c r="F4983" s="2" t="str">
        <f>IFERROR(__xludf.DUMMYFUNCTION("IF(E4983&lt;&gt;"""", GOOGLETRANSLATE(E4983, ""en"", ""te""),"""")"),"")</f>
        <v/>
      </c>
      <c r="G4983" s="2"/>
      <c r="H4983" s="2" t="str">
        <f>IFERROR(__xludf.DUMMYFUNCTION("IF(G4983&lt;&gt;"""", GOOGLETRANSLATE(G4983, ""en"", ""te""),"""")"),"")</f>
        <v/>
      </c>
      <c r="I4983" s="3"/>
    </row>
    <row r="4984" customHeight="1" spans="1:9">
      <c r="A4984" s="2"/>
      <c r="B4984" s="2" t="str">
        <f>IFERROR(__xludf.DUMMYFUNCTION("IF(A4984&lt;&gt;"""", GOOGLETRANSLATE(A4984, ""en"", ""te""),"""")"),"")</f>
        <v/>
      </c>
      <c r="C4984" s="2"/>
      <c r="D4984" s="2" t="str">
        <f>IFERROR(__xludf.DUMMYFUNCTION("IF(C4984&lt;&gt;"""", GOOGLETRANSLATE(C4984, ""en"", ""te""),"""")"),"")</f>
        <v/>
      </c>
      <c r="E4984" s="2"/>
      <c r="F4984" s="2" t="str">
        <f>IFERROR(__xludf.DUMMYFUNCTION("IF(E4984&lt;&gt;"""", GOOGLETRANSLATE(E4984, ""en"", ""te""),"""")"),"")</f>
        <v/>
      </c>
      <c r="G4984" s="2"/>
      <c r="H4984" s="2" t="str">
        <f>IFERROR(__xludf.DUMMYFUNCTION("IF(G4984&lt;&gt;"""", GOOGLETRANSLATE(G4984, ""en"", ""te""),"""")"),"")</f>
        <v/>
      </c>
      <c r="I4984" s="3"/>
    </row>
    <row r="4985" customHeight="1" spans="1:9">
      <c r="A4985" s="2"/>
      <c r="B4985" s="2" t="str">
        <f>IFERROR(__xludf.DUMMYFUNCTION("IF(A4985&lt;&gt;"""", GOOGLETRANSLATE(A4985, ""en"", ""te""),"""")"),"")</f>
        <v/>
      </c>
      <c r="C4985" s="2"/>
      <c r="D4985" s="2" t="str">
        <f>IFERROR(__xludf.DUMMYFUNCTION("IF(C4985&lt;&gt;"""", GOOGLETRANSLATE(C4985, ""en"", ""te""),"""")"),"")</f>
        <v/>
      </c>
      <c r="E4985" s="2"/>
      <c r="F4985" s="2" t="str">
        <f>IFERROR(__xludf.DUMMYFUNCTION("IF(E4985&lt;&gt;"""", GOOGLETRANSLATE(E4985, ""en"", ""te""),"""")"),"")</f>
        <v/>
      </c>
      <c r="G4985" s="2"/>
      <c r="H4985" s="2" t="str">
        <f>IFERROR(__xludf.DUMMYFUNCTION("IF(G4985&lt;&gt;"""", GOOGLETRANSLATE(G4985, ""en"", ""te""),"""")"),"")</f>
        <v/>
      </c>
      <c r="I4985" s="3"/>
    </row>
    <row r="4986" customHeight="1" spans="1:9">
      <c r="A4986" s="2"/>
      <c r="B4986" s="2" t="str">
        <f>IFERROR(__xludf.DUMMYFUNCTION("IF(A4986&lt;&gt;"""", GOOGLETRANSLATE(A4986, ""en"", ""te""),"""")"),"")</f>
        <v/>
      </c>
      <c r="C4986" s="2"/>
      <c r="D4986" s="2" t="str">
        <f>IFERROR(__xludf.DUMMYFUNCTION("IF(C4986&lt;&gt;"""", GOOGLETRANSLATE(C4986, ""en"", ""te""),"""")"),"")</f>
        <v/>
      </c>
      <c r="E4986" s="2"/>
      <c r="F4986" s="2" t="str">
        <f>IFERROR(__xludf.DUMMYFUNCTION("IF(E4986&lt;&gt;"""", GOOGLETRANSLATE(E4986, ""en"", ""te""),"""")"),"")</f>
        <v/>
      </c>
      <c r="G4986" s="2"/>
      <c r="H4986" s="2" t="str">
        <f>IFERROR(__xludf.DUMMYFUNCTION("IF(G4986&lt;&gt;"""", GOOGLETRANSLATE(G4986, ""en"", ""te""),"""")"),"")</f>
        <v/>
      </c>
      <c r="I4986" s="3"/>
    </row>
    <row r="4987" customHeight="1" spans="1:9">
      <c r="A4987" s="2" t="s">
        <v>3393</v>
      </c>
      <c r="B4987" s="2" t="str">
        <f>IFERROR(__xludf.DUMMYFUNCTION("IF(A4987&lt;&gt;"""", GOOGLETRANSLATE(A4987, ""en"", ""te""),"""")"),"[ '10 వ భాగం (4) ఒక ఇన్నింగ్స్ లో తొలగింపులకు' 'ఇన్నింగ్స్ లో 8 వ అత్యధిక క్యాచ్లు (3)', '5 వ ఇన్నింగ్స్ లో అత్యధిక వికెట్లు (5)', '1 వ ఇన్నింగ్స్ లో వచ్చిన ఎక్కువ స్టంపింగ్లు (5)', ' 200 పరుగులు మరియు ఒక సిరీస్లో 10 వికెట్కీపింగ్ తొలగింపులకు ',' ఇన్నింగ్"&amp;"స్ లో 6 వ అత్యధిక వికెట్లు (4) ',' 1 వ ఇన్నింగ్స్ లో వచ్చిన ఎక్కువ స్టంపింగ్లు (4) ']")</f>
        <v>[ '10 వ భాగం (4) ఒక ఇన్నింగ్స్ లో తొలగింపులకు' 'ఇన్నింగ్స్ లో 8 వ అత్యధిక క్యాచ్లు (3)', '5 వ ఇన్నింగ్స్ లో అత్యధిక వికెట్లు (5)', '1 వ ఇన్నింగ్స్ లో వచ్చిన ఎక్కువ స్టంపింగ్లు (5)', ' 200 పరుగులు మరియు ఒక సిరీస్లో 10 వికెట్కీపింగ్ తొలగింపులకు ',' ఇన్నింగ్స్ లో 6 వ అత్యధిక వికెట్లు (4) ',' 1 వ ఇన్నింగ్స్ లో వచ్చిన ఎక్కువ స్టంపింగ్లు (4) ']</v>
      </c>
      <c r="C4987" s="2" t="s">
        <v>3394</v>
      </c>
      <c r="D4987" s="2" t="str">
        <f>IFERROR(__xludf.DUMMYFUNCTION("IF(C4987&lt;&gt;"""", GOOGLETRANSLATE(C4987, ""en"", ""te""),"""")"),"[ '10 వ కెరీర్ లో అత్యధిక వికెట్లు (17)', '10 వ ఇన్నింగ్స్ లో అత్యధిక వికెట్లు (4)', 'కెరీర్లో 8 వ అత్యధిక క్యాచ్లు (14)', '8 వ ఇన్నింగ్స్ లో అత్యధిక క్యాచ్లు (3)', '11 వ అత్యంత ఒక మ్యాచ్లో క్యాచ్లు (4) ',' 18 వ అత్యధిక ఇన్నింగ్స్ బై (223) గూడా ఇవ్వకుండా"&amp;" మొత్తం ']")</f>
        <v>[ '10 వ కెరీర్ లో అత్యధిక వికెట్లు (17)', '10 వ ఇన్నింగ్స్ లో అత్యధిక వికెట్లు (4)', 'కెరీర్లో 8 వ అత్యధిక క్యాచ్లు (14)', '8 వ ఇన్నింగ్స్ లో అత్యధిక క్యాచ్లు (3)', '11 వ అత్యంత ఒక మ్యాచ్లో క్యాచ్లు (4) ',' 18 వ అత్యధిక ఇన్నింగ్స్ బై (223) గూడా ఇవ్వకుండా మొత్తం ']</v>
      </c>
      <c r="E4987" s="2" t="s">
        <v>3395</v>
      </c>
      <c r="F4987" s="2" t="str">
        <f>IFERROR(__xludf.DUMMYFUNCTION("IF(E4987&lt;&gt;"""", GOOGLETRANSLATE(E4987, ""en"", ""te""),"""")"),"[ '12 వ అత్యంత వికెట్కీపర్ శ్రేణిలో పరుగులు (238)', 'అత్యధిక వికెట్లు ఇన్నింగ్స్ లో 15 వ అత్యధిక పరుగులు (103)', '13 వ తొలి మ్యాచ్లో అత్యధిక పరుగులు (68 *)', '12 వ పిన్న స్కోరు ఆటగాడు కెరీర్లో వంద (20y 91d) ',' 49 వ అత్యంత అర్ధ కెరీర్లో (10) ',' 39 వ అతి "&amp;"తక్కువ బాతులు (20) ',' రెండవ వికెట్కు 40 వ అత్యధిక భాగస్వామ్యం (143) ',' 23 వ వరుస మ్యాచ్లు కోసం తప్పిన ప్రదర్శనల మధ్య ఒక జట్టు (40) ',' 14 వ కెరీర్ లో అత్యధిక వికెట్లు (58) ',' వరుస ఇన్నింగ్స్ లో 5 వ అత్యధిక వికెట్లు (5) ',' 25 వ అత్యధిక వికెట్లు (12) ',"&amp;"' 14 వ కెరీర్ లో అత్యధిక క్యాచ్లు (32) ', '21 వ ఇన్నింగ్స్ లో అత్యధిక క్యాచ్లు (3)', '23 ఒక సిరీస్లో అత్యధిక క్యాచ్లు కెరీర్లో (8)', '9 వ అత్యంత స్టంపింగ్లు (26)', '1 వ ఇన్నింగ్స్ లో వచ్చిన ఎక్కువ స్టంపింగ్లు (5) ',' 17 వ ఒక సిరీస్లో అత్యధిక స్టంపింగ్లు ("&amp;"6) ']")</f>
        <v>[ '12 వ అత్యంత వికెట్కీపర్ శ్రేణిలో పరుగులు (238)', 'అత్యధిక వికెట్లు ఇన్నింగ్స్ లో 15 వ అత్యధిక పరుగులు (103)', '13 వ తొలి మ్యాచ్లో అత్యధిక పరుగులు (68 *)', '12 వ పిన్న స్కోరు ఆటగాడు కెరీర్లో వంద (20y 91d) ',' 49 వ అత్యంత అర్ధ కెరీర్లో (10) ',' 39 వ అతి తక్కువ బాతులు (20) ',' రెండవ వికెట్కు 40 వ అత్యధిక భాగస్వామ్యం (143) ',' 23 వ వరుస మ్యాచ్లు కోసం తప్పిన ప్రదర్శనల మధ్య ఒక జట్టు (40) ',' 14 వ కెరీర్ లో అత్యధిక వికెట్లు (58) ',' వరుస ఇన్నింగ్స్ లో 5 వ అత్యధిక వికెట్లు (5) ',' 25 వ అత్యధిక వికెట్లు (12) ',' 14 వ కెరీర్ లో అత్యధిక క్యాచ్లు (32) ', '21 వ ఇన్నింగ్స్ లో అత్యధిక క్యాచ్లు (3)', '23 ఒక సిరీస్లో అత్యధిక క్యాచ్లు కెరీర్లో (8)', '9 వ అత్యంత స్టంపింగ్లు (26)', '1 వ ఇన్నింగ్స్ లో వచ్చిన ఎక్కువ స్టంపింగ్లు (5) ',' 17 వ ఒక సిరీస్లో అత్యధిక స్టంపింగ్లు (6) ']</v>
      </c>
      <c r="G4987" s="2" t="s">
        <v>3396</v>
      </c>
      <c r="H4987" s="2" t="str">
        <f>IFERROR(__xludf.DUMMYFUNCTION("IF(G4987&lt;&gt;"""", GOOGLETRANSLATE(G4987, ""en"", ""te""),"""")"),"[ 'ఇన్నింగ్స్ లో 6 వ అత్యధిక వికెట్లు (4)', '25 వ అత్యంత స్టంపింగ్లు కెరీర్లో (8)', '1 వ ఇన్నింగ్స్ లో వచ్చిన ఎక్కువ స్టంపింగ్లు (4)']")</f>
        <v>[ 'ఇన్నింగ్స్ లో 6 వ అత్యధిక వికెట్లు (4)', '25 వ అత్యంత స్టంపింగ్లు కెరీర్లో (8)', '1 వ ఇన్నింగ్స్ లో వచ్చిన ఎక్కువ స్టంపింగ్లు (4)']</v>
      </c>
      <c r="I4987" s="3"/>
    </row>
    <row r="4988" customHeight="1" spans="1:9">
      <c r="A4988" s="2"/>
      <c r="B4988" s="2" t="str">
        <f>IFERROR(__xludf.DUMMYFUNCTION("IF(A4988&lt;&gt;"""", GOOGLETRANSLATE(A4988, ""en"", ""te""),"""")"),"")</f>
        <v/>
      </c>
      <c r="C4988" s="2" t="s">
        <v>3129</v>
      </c>
      <c r="D4988" s="2" t="str">
        <f>IFERROR(__xludf.DUMMYFUNCTION("IF(C4988&lt;&gt;"""", GOOGLETRANSLATE(C4988, ""en"", ""te""),"""")"),"[ '23 వ ఉత్తమ కెరీర్ బౌలింగ్ సరాసరి (అర్హత లేకుండా) (9.00)']")</f>
        <v>[ '23 వ ఉత్తమ కెరీర్ బౌలింగ్ సరాసరి (అర్హత లేకుండా) (9.00)']</v>
      </c>
      <c r="E4988" s="2"/>
      <c r="F4988" s="2" t="str">
        <f>IFERROR(__xludf.DUMMYFUNCTION("IF(E4988&lt;&gt;"""", GOOGLETRANSLATE(E4988, ""en"", ""te""),"""")"),"")</f>
        <v/>
      </c>
      <c r="G4988" s="2"/>
      <c r="H4988" s="2" t="str">
        <f>IFERROR(__xludf.DUMMYFUNCTION("IF(G4988&lt;&gt;"""", GOOGLETRANSLATE(G4988, ""en"", ""te""),"""")"),"")</f>
        <v/>
      </c>
      <c r="I4988" s="3"/>
    </row>
    <row r="4989" customHeight="1" spans="1:9">
      <c r="A4989" s="2"/>
      <c r="B4989" s="2" t="str">
        <f>IFERROR(__xludf.DUMMYFUNCTION("IF(A4989&lt;&gt;"""", GOOGLETRANSLATE(A4989, ""en"", ""te""),"""")"),"")</f>
        <v/>
      </c>
      <c r="C4989" s="2"/>
      <c r="D4989" s="2" t="str">
        <f>IFERROR(__xludf.DUMMYFUNCTION("IF(C4989&lt;&gt;"""", GOOGLETRANSLATE(C4989, ""en"", ""te""),"""")"),"")</f>
        <v/>
      </c>
      <c r="E4989" s="2"/>
      <c r="F4989" s="2" t="str">
        <f>IFERROR(__xludf.DUMMYFUNCTION("IF(E4989&lt;&gt;"""", GOOGLETRANSLATE(E4989, ""en"", ""te""),"""")"),"")</f>
        <v/>
      </c>
      <c r="G4989" s="2"/>
      <c r="H4989" s="2" t="str">
        <f>IFERROR(__xludf.DUMMYFUNCTION("IF(G4989&lt;&gt;"""", GOOGLETRANSLATE(G4989, ""en"", ""te""),"""")"),"")</f>
        <v/>
      </c>
      <c r="I4989" s="3"/>
    </row>
    <row r="4990" customHeight="1" spans="1:9">
      <c r="A4990" s="2"/>
      <c r="B4990" s="2" t="str">
        <f>IFERROR(__xludf.DUMMYFUNCTION("IF(A4990&lt;&gt;"""", GOOGLETRANSLATE(A4990, ""en"", ""te""),"""")"),"")</f>
        <v/>
      </c>
      <c r="C4990" s="2"/>
      <c r="D4990" s="2" t="str">
        <f>IFERROR(__xludf.DUMMYFUNCTION("IF(C4990&lt;&gt;"""", GOOGLETRANSLATE(C4990, ""en"", ""te""),"""")"),"")</f>
        <v/>
      </c>
      <c r="E4990" s="2"/>
      <c r="F4990" s="2" t="str">
        <f>IFERROR(__xludf.DUMMYFUNCTION("IF(E4990&lt;&gt;"""", GOOGLETRANSLATE(E4990, ""en"", ""te""),"""")"),"")</f>
        <v/>
      </c>
      <c r="G4990" s="2"/>
      <c r="H4990" s="2" t="str">
        <f>IFERROR(__xludf.DUMMYFUNCTION("IF(G4990&lt;&gt;"""", GOOGLETRANSLATE(G4990, ""en"", ""te""),"""")"),"")</f>
        <v/>
      </c>
      <c r="I4990" s="3"/>
    </row>
    <row r="4991" customHeight="1" spans="1:9">
      <c r="A4991" s="2"/>
      <c r="B4991" s="2" t="str">
        <f>IFERROR(__xludf.DUMMYFUNCTION("IF(A4991&lt;&gt;"""", GOOGLETRANSLATE(A4991, ""en"", ""te""),"""")"),"")</f>
        <v/>
      </c>
      <c r="C4991" s="2"/>
      <c r="D4991" s="2" t="str">
        <f>IFERROR(__xludf.DUMMYFUNCTION("IF(C4991&lt;&gt;"""", GOOGLETRANSLATE(C4991, ""en"", ""te""),"""")"),"")</f>
        <v/>
      </c>
      <c r="E4991" s="2"/>
      <c r="F4991" s="2" t="str">
        <f>IFERROR(__xludf.DUMMYFUNCTION("IF(E4991&lt;&gt;"""", GOOGLETRANSLATE(E4991, ""en"", ""te""),"""")"),"")</f>
        <v/>
      </c>
      <c r="G4991" s="2"/>
      <c r="H4991" s="2" t="str">
        <f>IFERROR(__xludf.DUMMYFUNCTION("IF(G4991&lt;&gt;"""", GOOGLETRANSLATE(G4991, ""en"", ""te""),"""")"),"")</f>
        <v/>
      </c>
      <c r="I4991" s="3"/>
    </row>
    <row r="4992" customHeight="1" spans="1:9">
      <c r="A4992" s="2"/>
      <c r="B4992" s="2" t="str">
        <f>IFERROR(__xludf.DUMMYFUNCTION("IF(A4992&lt;&gt;"""", GOOGLETRANSLATE(A4992, ""en"", ""te""),"""")"),"")</f>
        <v/>
      </c>
      <c r="C4992" s="2"/>
      <c r="D4992" s="2" t="str">
        <f>IFERROR(__xludf.DUMMYFUNCTION("IF(C4992&lt;&gt;"""", GOOGLETRANSLATE(C4992, ""en"", ""te""),"""")"),"")</f>
        <v/>
      </c>
      <c r="E4992" s="2"/>
      <c r="F4992" s="2" t="str">
        <f>IFERROR(__xludf.DUMMYFUNCTION("IF(E4992&lt;&gt;"""", GOOGLETRANSLATE(E4992, ""en"", ""te""),"""")"),"")</f>
        <v/>
      </c>
      <c r="G4992" s="2"/>
      <c r="H4992" s="2" t="str">
        <f>IFERROR(__xludf.DUMMYFUNCTION("IF(G4992&lt;&gt;"""", GOOGLETRANSLATE(G4992, ""en"", ""te""),"""")"),"")</f>
        <v/>
      </c>
      <c r="I4992" s="3"/>
    </row>
    <row r="4993" customHeight="1" spans="1:9">
      <c r="A4993" s="2"/>
      <c r="B4993" s="2" t="str">
        <f>IFERROR(__xludf.DUMMYFUNCTION("IF(A4993&lt;&gt;"""", GOOGLETRANSLATE(A4993, ""en"", ""te""),"""")"),"")</f>
        <v/>
      </c>
      <c r="C4993" s="2"/>
      <c r="D4993" s="2" t="str">
        <f>IFERROR(__xludf.DUMMYFUNCTION("IF(C4993&lt;&gt;"""", GOOGLETRANSLATE(C4993, ""en"", ""te""),"""")"),"")</f>
        <v/>
      </c>
      <c r="E4993" s="2"/>
      <c r="F4993" s="2" t="str">
        <f>IFERROR(__xludf.DUMMYFUNCTION("IF(E4993&lt;&gt;"""", GOOGLETRANSLATE(E4993, ""en"", ""te""),"""")"),"")</f>
        <v/>
      </c>
      <c r="G4993" s="2"/>
      <c r="H4993" s="2" t="str">
        <f>IFERROR(__xludf.DUMMYFUNCTION("IF(G4993&lt;&gt;"""", GOOGLETRANSLATE(G4993, ""en"", ""te""),"""")"),"")</f>
        <v/>
      </c>
      <c r="I4993" s="3"/>
    </row>
    <row r="4994" customHeight="1" spans="1:9">
      <c r="A4994" s="2"/>
      <c r="B4994" s="2" t="str">
        <f>IFERROR(__xludf.DUMMYFUNCTION("IF(A4994&lt;&gt;"""", GOOGLETRANSLATE(A4994, ""en"", ""te""),"""")"),"")</f>
        <v/>
      </c>
      <c r="C4994" s="2"/>
      <c r="D4994" s="2" t="str">
        <f>IFERROR(__xludf.DUMMYFUNCTION("IF(C4994&lt;&gt;"""", GOOGLETRANSLATE(C4994, ""en"", ""te""),"""")"),"")</f>
        <v/>
      </c>
      <c r="E4994" s="2"/>
      <c r="F4994" s="2" t="str">
        <f>IFERROR(__xludf.DUMMYFUNCTION("IF(E4994&lt;&gt;"""", GOOGLETRANSLATE(E4994, ""en"", ""te""),"""")"),"")</f>
        <v/>
      </c>
      <c r="G4994" s="2"/>
      <c r="H4994" s="2" t="str">
        <f>IFERROR(__xludf.DUMMYFUNCTION("IF(G4994&lt;&gt;"""", GOOGLETRANSLATE(G4994, ""en"", ""te""),"""")"),"")</f>
        <v/>
      </c>
      <c r="I4994" s="3"/>
    </row>
    <row r="4995" customHeight="1" spans="1:9">
      <c r="A4995" s="2"/>
      <c r="B4995" s="2" t="str">
        <f>IFERROR(__xludf.DUMMYFUNCTION("IF(A4995&lt;&gt;"""", GOOGLETRANSLATE(A4995, ""en"", ""te""),"""")"),"")</f>
        <v/>
      </c>
      <c r="C4995" s="2"/>
      <c r="D4995" s="2" t="str">
        <f>IFERROR(__xludf.DUMMYFUNCTION("IF(C4995&lt;&gt;"""", GOOGLETRANSLATE(C4995, ""en"", ""te""),"""")"),"")</f>
        <v/>
      </c>
      <c r="E4995" s="2"/>
      <c r="F4995" s="2" t="str">
        <f>IFERROR(__xludf.DUMMYFUNCTION("IF(E4995&lt;&gt;"""", GOOGLETRANSLATE(E4995, ""en"", ""te""),"""")"),"")</f>
        <v/>
      </c>
      <c r="G4995" s="2"/>
      <c r="H4995" s="2" t="str">
        <f>IFERROR(__xludf.DUMMYFUNCTION("IF(G4995&lt;&gt;"""", GOOGLETRANSLATE(G4995, ""en"", ""te""),"""")"),"")</f>
        <v/>
      </c>
      <c r="I4995" s="3"/>
    </row>
    <row r="4996" customHeight="1" spans="1:9">
      <c r="A4996" s="2" t="s">
        <v>3397</v>
      </c>
      <c r="B4996" s="2" t="str">
        <f>IFERROR(__xludf.DUMMYFUNCTION("IF(A4996&lt;&gt;"""", GOOGLETRANSLATE(A4996, ""en"", ""te""),"""")"),"[ '2 వ అత్యుత్తమ బౌలింగ్ ఇన్నింగ్స్ లో విశ్లేషించడం (10/74)', 'ఇన్నింగ్స్ లో 6 వ చెత్త సమ్మె రేటు (432.0)', '4 వ అత్యంత ఐదు-వికెట్ల లో-ఒక-ఇన్నింగ్స్ కెరీర్లో (35)', ' 2 వ అత్యంత బంతుల్లో కెరీర్లో బౌల్డ్ (40850) ',' 1st కెరీర్లో సాధించిన అత్యధిక పరుగులు (1"&amp;"8355) ',' 1 వ అత్యధిక వికెట్లు తీసుకున్న ఎల్బిడబ్ల్యు (156) ',' 600 వికెట్లు (124) ',' 1000 పరుగులు మరియు 100 వేగవంతమైన 2nd వికెట్స్ ',' 1000 పరుగులు, 50 వికెట్లు, 50 క్యాచ్లు ',' 6 వ అత్యధిక వరుస బాతులు (3) ',' 2 వ అత్యుత్తమ బౌలింగ్ ఇన్నింగ్స్ లో విశ్లే"&amp;"షించడం (6/12) ',' 7 వ కెరీర్ (14496) లో బౌల్డ్ చాలా బంతుల్లో ' '6 వ అత్యధిక కెరీర్ లో సాధించిన పరుగులు (10412)', '5 వ అత్యధిక వికెట్లు ఆకర్షించింది తీసుకున్న మరియు బౌల్డ్ (18)', '9 వ 300 వికెట్లు (234) వేగంగా', '3 వ అత్యధిక వికెట్లు కెరీర్లో (956)', '4 వ "&amp;"అత్యంత ఐదు-వికెట్ల లో-ఒక-ఇన్నింగ్స్ కెరీర్లో (37) ',' కెరీర్ లో బౌల్డ్ 2nd అత్యంత బంతుల్లో (55346) ',' 2 వ అత్యధిక కెరీర్ (28767) లో ఇవ్వబడిన పరుగులలో ',' 2 వ అత్యంత క్యాచ్ మరియు బౌల్డ్ తీసుకోబడిన వికెట్ల (53) ']")</f>
        <v>[ '2 వ అత్యుత్తమ బౌలింగ్ ఇన్నింగ్స్ లో విశ్లేషించడం (10/74)', 'ఇన్నింగ్స్ లో 6 వ చెత్త సమ్మె రేటు (432.0)', '4 వ అత్యంత ఐదు-వికెట్ల లో-ఒక-ఇన్నింగ్స్ కెరీర్లో (35)', ' 2 వ అత్యంత బంతుల్లో కెరీర్లో బౌల్డ్ (40850) ',' 1st కెరీర్లో సాధించిన అత్యధిక పరుగులు (18355) ',' 1 వ అత్యధిక వికెట్లు తీసుకున్న ఎల్బిడబ్ల్యు (156) ',' 600 వికెట్లు (124) ',' 1000 పరుగులు మరియు 100 వేగవంతమైన 2nd వికెట్స్ ',' 1000 పరుగులు, 50 వికెట్లు, 50 క్యాచ్లు ',' 6 వ అత్యధిక వరుస బాతులు (3) ',' 2 వ అత్యుత్తమ బౌలింగ్ ఇన్నింగ్స్ లో విశ్లేషించడం (6/12) ',' 7 వ కెరీర్ (14496) లో బౌల్డ్ చాలా బంతుల్లో ' '6 వ అత్యధిక కెరీర్ లో సాధించిన పరుగులు (10412)', '5 వ అత్యధిక వికెట్లు ఆకర్షించింది తీసుకున్న మరియు బౌల్డ్ (18)', '9 వ 300 వికెట్లు (234) వేగంగా', '3 వ అత్యధిక వికెట్లు కెరీర్లో (956)', '4 వ అత్యంత ఐదు-వికెట్ల లో-ఒక-ఇన్నింగ్స్ కెరీర్లో (37) ',' కెరీర్ లో బౌల్డ్ 2nd అత్యంత బంతుల్లో (55346) ',' 2 వ అత్యధిక కెరీర్ (28767) లో ఇవ్వబడిన పరుగులలో ',' 2 వ అత్యంత క్యాచ్ మరియు బౌల్డ్ తీసుకోబడిన వికెట్ల (53) ']</v>
      </c>
      <c r="C4996" s="2" t="s">
        <v>3398</v>
      </c>
      <c r="D4996" s="2" t="str">
        <f>IFERROR(__xludf.DUMMYFUNCTION("IF(C4996&lt;&gt;"""", GOOGLETRANSLATE(C4996, ""en"", ""te""),"""")"),"[ '39 వ అత్యంత బాతులు కెరీర్ లో (17)' 'కెరీర్లో 3 వ అత్యధిక వికెట్లు (619)' ఇన్నింగ్స్ లో '14 వ అత్యంత వృద్ధ ఆటగాడు తొలి వంద (36y 296d) స్కోర్', '2 వ బెస్ట్ ఫిగర్స్ (10/74) ',' 13 వ మ్యాచ్ లో బెస్ట్ ఫిగర్స్ (14) ',' 9 వ ఒక క్యాలెండర్ సంవత్సరంలో అత్యధిక వి"&amp;"కెట్లు (74) ',' 2 వ అత్యుత్తమ బౌలింగ్ ఇన్నింగ్స్ లో ఒకే క్రీడా విశ్లేషణలను (10/74) ',' 25 వ అత్యధిక వికెట్లు (58) ',' ఒక కెప్టెన్తో ఒక మ్యాచ్లో 35 వ బెస్ట్ ఫిగర్స్ (8) ',' 6 వ చెత్త సమ్మె ఇన్నింగ్స్ లో రేటు (432.0) ',' 4 వ అత్యంత ఐదు-వికెట్ల లో-ఒక-ఇన్నింగ"&amp;"్స్ కెరీర్లో (35 ) ',' చాలా 5 వ పది వికెట్లు లో ఒక మ్యాచ్ ఒక వృత్తిలో (8) ',' పది వికెట్లు లో ఒక మ్యాచ్ తీసుకోవాలని తీసుకోవాలని 39 వ పిన్న వయస్కుడిగా నిలిచాడు (23y 93d) ',' 42 వ అత్యంత వృద్ధ ఆటగాడు ఐదు వికెట్లు-ఇన్-ఒక-ఇన్నింగ్స్ (37y 70d) ',' పది వికెట్ల "&amp;"లో ఒక మ్యాచ్ పడుతుంది 22 ఓల్డెస్ట్ ఆటగాడు (35y 54d) ',' కెరీర్ (40850) ',' 40 వ లో బౌల్డ్ 2nd అత్యంత బంతుల్లో ఒక ఇన్నింగ్స్ లో బౌల్డ్ అత్యంత బంతుల్లో (432) ',' 1 వ అత్యధిక కెరీర్ లో సాధించిన పరుగులు (18355) ',' 13 వ ఇన్నింగ్స్ లో సాధించిన అత్యధిక పరుగులు "&amp;"(223) ',' 16 వ అత్యధిక పరుగులు ఒక మ్యాచ్లో సాధించిన (279) ',' 17 వ బౌలర్ / ఫీల్డర్ సి ombinations (55) ',' 10 వ అత్యధిక వికెట్లు తీసుకున్న బౌల్డ్ (94) ',' 6 వ అత్యధిక వికెట్లు తీసుకున్న ఆకర్షించింది (345) ',' 1 వ అత్యధిక వికెట్లు ఆకర్షించింది తీసుకున్న మర"&amp;"ియు బౌల్డ్ (35) ',' 3 వ అత్యంత ఫీల్డర్ చేత క్యాచ్ తీసుకోబడిన వికెట్ల (313) ',' 1 వ అత్యధిక వికెట్లు తీసుకున్న ఎల్బిడబ్ల్యు (156) ',' ఫాస్టెస్ట్ 100 వికెట్లు (21) ',' 50 వికెట్లు (10) ',' 21 వరకు స్టంప్ (24) ',' 20 వ వేగంగా తీసుకున్న 5 వ అత్యధిక వికెట్లు 1"&amp;"8 వ వేగంగా 150 వికెట్లు (34) ',' 27th 200 వికెట్లు (47) 250 వికెట్లు ',' 9 వ వేగవంతమైన వేగంగా (55) ',' 12 వ 300 వికెట్లు (66) ',' 9 వ 350 వికెట్లు వేగంగా వేగంగా ( 77) ',' 6 వ వేగవంతమైన 400 వికెట్లు (85) ',' 2 వ వేగవంతమైన 450 వికెట్లు (93) ',' 2 వ వేగవం"&amp;"తమైన 500 వికెట్లు (105) ',' 2 వ వేగవంతమైన 600 వికెట్లు (124) ',' 18 వ కెరీర్లో అత్యధిక మ్యాచ్లు (132) ',' 35 వ వరుస మ్యాచ్లు జట్టు (60) ',' 25 వ అత్యంత ప్లేయర్ ఆఫ్ ది మ్యాచ్ అవార్డులు (10) ',' 24 వ అత్యంత ప్లేయర్ ఆఫ్ ది సిరీస్ అవార్డులు ( 4) ',' 35 వ లా"&amp;"ంగెస్ట్ కెరీర్లు (18y 85d) ',' 48 వ ఓల్డెస్ట్ కాప్టెన్ (38y 16d) ',' కెప్టెన్సీ తొలి 25 ఓల్డెస్ట్ కాప్టెన్ (37y 36d) ']")</f>
        <v>[ '39 వ అత్యంత బాతులు కెరీర్ లో (17)' 'కెరీర్లో 3 వ అత్యధిక వికెట్లు (619)' ఇన్నింగ్స్ లో '14 వ అత్యంత వృద్ధ ఆటగాడు తొలి వంద (36y 296d) స్కోర్', '2 వ బెస్ట్ ఫిగర్స్ (10/74) ',' 13 వ మ్యాచ్ లో బెస్ట్ ఫిగర్స్ (14) ',' 9 వ ఒక క్యాలెండర్ సంవత్సరంలో అత్యధిక వికెట్లు (74) ',' 2 వ అత్యుత్తమ బౌలింగ్ ఇన్నింగ్స్ లో ఒకే క్రీడా విశ్లేషణలను (10/74) ',' 25 వ అత్యధిక వికెట్లు (58) ',' ఒక కెప్టెన్తో ఒక మ్యాచ్లో 35 వ బెస్ట్ ఫిగర్స్ (8) ',' 6 వ చెత్త సమ్మె ఇన్నింగ్స్ లో రేటు (432.0) ',' 4 వ అత్యంత ఐదు-వికెట్ల లో-ఒక-ఇన్నింగ్స్ కెరీర్లో (35 ) ',' చాలా 5 వ పది వికెట్లు లో ఒక మ్యాచ్ ఒక వృత్తిలో (8) ',' పది వికెట్లు లో ఒక మ్యాచ్ తీసుకోవాలని తీసుకోవాలని 39 వ పిన్న వయస్కుడిగా నిలిచాడు (23y 93d) ',' 42 వ అత్యంత వృద్ధ ఆటగాడు ఐదు వికెట్లు-ఇన్-ఒక-ఇన్నింగ్స్ (37y 70d) ',' పది వికెట్ల లో ఒక మ్యాచ్ పడుతుంది 22 ఓల్డెస్ట్ ఆటగాడు (35y 54d) ',' కెరీర్ (40850) ',' 40 వ లో బౌల్డ్ 2nd అత్యంత బంతుల్లో ఒక ఇన్నింగ్స్ లో బౌల్డ్ అత్యంత బంతుల్లో (432) ',' 1 వ అత్యధిక కెరీర్ లో సాధించిన పరుగులు (18355) ',' 13 వ ఇన్నింగ్స్ లో సాధించిన అత్యధిక పరుగులు (223) ',' 16 వ అత్యధిక పరుగులు ఒక మ్యాచ్లో సాధించిన (279) ',' 17 వ బౌలర్ / ఫీల్డర్ సి ombinations (55) ',' 10 వ అత్యధిక వికెట్లు తీసుకున్న బౌల్డ్ (94) ',' 6 వ అత్యధిక వికెట్లు తీసుకున్న ఆకర్షించింది (345) ',' 1 వ అత్యధిక వికెట్లు ఆకర్షించింది తీసుకున్న మరియు బౌల్డ్ (35) ',' 3 వ అత్యంత ఫీల్డర్ చేత క్యాచ్ తీసుకోబడిన వికెట్ల (313) ',' 1 వ అత్యధిక వికెట్లు తీసుకున్న ఎల్బిడబ్ల్యు (156) ',' ఫాస్టెస్ట్ 100 వికెట్లు (21) ',' 50 వికెట్లు (10) ',' 21 వరకు స్టంప్ (24) ',' 20 వ వేగంగా తీసుకున్న 5 వ అత్యధిక వికెట్లు 18 వ వేగంగా 150 వికెట్లు (34) ',' 27th 200 వికెట్లు (47) 250 వికెట్లు ',' 9 వ వేగవంతమైన వేగంగా (55) ',' 12 వ 300 వికెట్లు (66) ',' 9 వ 350 వికెట్లు వేగంగా వేగంగా ( 77) ',' 6 వ వేగవంతమైన 400 వికెట్లు (85) ',' 2 వ వేగవంతమైన 450 వికెట్లు (93) ',' 2 వ వేగవంతమైన 500 వికెట్లు (105) ',' 2 వ వేగవంతమైన 600 వికెట్లు (124) ',' 18 వ కెరీర్లో అత్యధిక మ్యాచ్లు (132) ',' 35 వ వరుస మ్యాచ్లు జట్టు (60) ',' 25 వ అత్యంత ప్లేయర్ ఆఫ్ ది మ్యాచ్ అవార్డులు (10) ',' 24 వ అత్యంత ప్లేయర్ ఆఫ్ ది సిరీస్ అవార్డులు ( 4) ',' 35 వ లాంగెస్ట్ కెరీర్లు (18y 85d) ',' 48 వ ఓల్డెస్ట్ కాప్టెన్ (38y 16d) ',' కెప్టెన్సీ తొలి 25 ఓల్డెస్ట్ కాప్టెన్ (37y 36d) ']</v>
      </c>
      <c r="E4996" s="2" t="s">
        <v>3399</v>
      </c>
      <c r="F4996" s="2" t="str">
        <f>IFERROR(__xludf.DUMMYFUNCTION("IF(E4996&lt;&gt;"""", GOOGLETRANSLATE(E4996, ""en"", ""te""),"""")"),"[ 'కెరీర్ లో 24 వ అత్యంత బాతులు (18)', '6 వ అత్యధిక వరుస బాతులు (3)', '10 వ కెరీర్ లో అత్యధిక వికెట్లు (337)', '14 వ ఇన్నింగ్స్ లో బెస్ట్ ఫిగర్స్ (6/12)', 'చాలా 5 వ ఒక క్యాలెండర్ సంవత్సరంలో వికెట్లు (61) ',' 2 వ అత్యుత్తమ బౌలింగ్ ఒకే నేలపై ఒక ఇన్నింగ్స్ "&amp;"(6/12) ',' 11 వ అత్యధిక వికెట్లు విశ్లేషణలలో (56) ',' ఇన్నింగ్స్ 28 వ ఉత్తమ సమ్మె రేటు (6.1) ' '43 వ అత్యంత ఐదు-వికెట్ల లో-ఒక-ఇన్నింగ్స్ కెరీర్లో (2)', '25 వ అత్యంత నాలుగు వికెట్లు-ఇన్-ఒక-ఇన్నింగ్స్ కెరీర్లో (10)', '7 వ కెరీర్ లో బౌల్డ్ చాలా బంతుల్లో (144"&amp;"96 ) ',' 6 వ కెరీర్ లో సాధించిన అత్యధిక పరుగులు (10412) ',' 6 వ అత్యధిక వికెట్లు తీసుకున్న బౌల్డ్ (92) ',' 23 వ అత్యధిక వికెట్లు తీసుకున్న ఆకర్షించింది (165) ',' 5 వ అత్యధిక వికెట్లు ఆకర్షించింది తీసుకున్న మరియు బౌల్డ్ (18) ', '10 వ అత్యధిక వికెట్లు ఒక ఫీ"&amp;"ల్డర్ చేత క్యాచ్ తీసుకున్న (147)', '9 వ అత్యధిక వికెట్లు తీసుకున్న ఎల్బిడబ్ల్యు (54)', '20 వ వేగవంతమైన' 150 వికెట్లు (106) 29 వేగవంతమైన '' 7th అత్యధిక వికెట్లు స్టంప్ (26) తీసుకున్న ', 200 వికెట్లు (147) ',' 16 వ 250 వికెట్లు (189) ',' 300 వికెట్లు కెరీ"&amp;"ర్లో (234) ',' 44 వ అత్యధిక క్యాచ్లు (85) ',' 24th చాలా లో క్యాచ్లు వేగంగా 9 వ వేగంగా సిరీస్ (8) ',' 31 కెరీర్లో అత్యధిక మ్యాచ్లు (271) ',' ఒక జట్టు కోసం 25 వరుస మ్యాచ్లు (88) ',' 27th లాంగెస్ట్ కెరీర్లు (16y 328d) ']")</f>
        <v>[ 'కెరీర్ లో 24 వ అత్యంత బాతులు (18)', '6 వ అత్యధిక వరుస బాతులు (3)', '10 వ కెరీర్ లో అత్యధిక వికెట్లు (337)', '14 వ ఇన్నింగ్స్ లో బెస్ట్ ఫిగర్స్ (6/12)', 'చాలా 5 వ ఒక క్యాలెండర్ సంవత్సరంలో వికెట్లు (61) ',' 2 వ అత్యుత్తమ బౌలింగ్ ఒకే నేలపై ఒక ఇన్నింగ్స్ (6/12) ',' 11 వ అత్యధిక వికెట్లు విశ్లేషణలలో (56) ',' ఇన్నింగ్స్ 28 వ ఉత్తమ సమ్మె రేటు (6.1) ' '43 వ అత్యంత ఐదు-వికెట్ల లో-ఒక-ఇన్నింగ్స్ కెరీర్లో (2)', '25 వ అత్యంత నాలుగు వికెట్లు-ఇన్-ఒక-ఇన్నింగ్స్ కెరీర్లో (10)', '7 వ కెరీర్ లో బౌల్డ్ చాలా బంతుల్లో (14496 ) ',' 6 వ కెరీర్ లో సాధించిన అత్యధిక పరుగులు (10412) ',' 6 వ అత్యధిక వికెట్లు తీసుకున్న బౌల్డ్ (92) ',' 23 వ అత్యధిక వికెట్లు తీసుకున్న ఆకర్షించింది (165) ',' 5 వ అత్యధిక వికెట్లు ఆకర్షించింది తీసుకున్న మరియు బౌల్డ్ (18) ', '10 వ అత్యధిక వికెట్లు ఒక ఫీల్డర్ చేత క్యాచ్ తీసుకున్న (147)', '9 వ అత్యధిక వికెట్లు తీసుకున్న ఎల్బిడబ్ల్యు (54)', '20 వ వేగవంతమైన' 150 వికెట్లు (106) 29 వేగవంతమైన '' 7th అత్యధిక వికెట్లు స్టంప్ (26) తీసుకున్న ', 200 వికెట్లు (147) ',' 16 వ 250 వికెట్లు (189) ',' 300 వికెట్లు కెరీర్లో (234) ',' 44 వ అత్యధిక క్యాచ్లు (85) ',' 24th చాలా లో క్యాచ్లు వేగంగా 9 వ వేగంగా సిరీస్ (8) ',' 31 కెరీర్లో అత్యధిక మ్యాచ్లు (271) ',' ఒక జట్టు కోసం 25 వరుస మ్యాచ్లు (88) ',' 27th లాంగెస్ట్ కెరీర్లు (16y 328d) ']</v>
      </c>
      <c r="G4996" s="2"/>
      <c r="H4996" s="2" t="str">
        <f>IFERROR(__xludf.DUMMYFUNCTION("IF(G4996&lt;&gt;"""", GOOGLETRANSLATE(G4996, ""en"", ""te""),"""")"),"")</f>
        <v/>
      </c>
      <c r="I4996" s="3"/>
    </row>
    <row r="4997" customHeight="1" spans="1:9">
      <c r="A4997" s="2"/>
      <c r="B4997" s="2" t="str">
        <f>IFERROR(__xludf.DUMMYFUNCTION("IF(A4997&lt;&gt;"""", GOOGLETRANSLATE(A4997, ""en"", ""te""),"""")"),"")</f>
        <v/>
      </c>
      <c r="C4997" s="2"/>
      <c r="D4997" s="2" t="str">
        <f>IFERROR(__xludf.DUMMYFUNCTION("IF(C4997&lt;&gt;"""", GOOGLETRANSLATE(C4997, ""en"", ""te""),"""")"),"")</f>
        <v/>
      </c>
      <c r="E4997" s="2"/>
      <c r="F4997" s="2" t="str">
        <f>IFERROR(__xludf.DUMMYFUNCTION("IF(E4997&lt;&gt;"""", GOOGLETRANSLATE(E4997, ""en"", ""te""),"""")"),"")</f>
        <v/>
      </c>
      <c r="G4997" s="2"/>
      <c r="H4997" s="2" t="str">
        <f>IFERROR(__xludf.DUMMYFUNCTION("IF(G4997&lt;&gt;"""", GOOGLETRANSLATE(G4997, ""en"", ""te""),"""")"),"")</f>
        <v/>
      </c>
      <c r="I4997" s="3"/>
    </row>
    <row r="4998" customHeight="1" spans="1:9">
      <c r="A4998" s="2" t="s">
        <v>3400</v>
      </c>
      <c r="B4998" s="2" t="str">
        <f>IFERROR(__xludf.DUMMYFUNCTION("IF(A4998&lt;&gt;"""", GOOGLETRANSLATE(A4998, ""en"", ""te""),"""")"),"[ '2nd అత్యంత ఇన్నింగ్స్ లో సాధించిన బైస్ (35)' '8 వ వరుస మ్యాచ్లు (87) ప్రదర్శనల మధ్య ఒక జట్టుకు దూరమయ్యాడు', 'ఇన్నింగ్స్ లో 4 వ అత్యధిక స్ట్రైక్ రేట్ (362.50)']")</f>
        <v>[ '2nd అత్యంత ఇన్నింగ్స్ లో సాధించిన బైస్ (35)' '8 వ వరుస మ్యాచ్లు (87) ప్రదర్శనల మధ్య ఒక జట్టుకు దూరమయ్యాడు', 'ఇన్నింగ్స్ లో 4 వ అత్యధిక స్ట్రైక్ రేట్ (362.50)']</v>
      </c>
      <c r="C4998" s="2" t="s">
        <v>3401</v>
      </c>
      <c r="D4998" s="2" t="str">
        <f>IFERROR(__xludf.DUMMYFUNCTION("IF(C4998&lt;&gt;"""", GOOGLETRANSLATE(C4998, ""en"", ""te""),"""")"),"[ '45 వ అత్యంత ఇన్నింగ్స్ తొలి డక్ ముందు (31)', '2 వ అత్యంత ఇన్నింగ్స్ లో సాధించిన బైస్ (35)' '8 వ వరుస మ్యాచ్లు (87) ప్రదర్శనల మధ్య ఒక జట్టుకు దూరమయ్యాడు']")</f>
        <v>[ '45 వ అత్యంత ఇన్నింగ్స్ తొలి డక్ ముందు (31)', '2 వ అత్యంత ఇన్నింగ్స్ లో సాధించిన బైస్ (35)' '8 వ వరుస మ్యాచ్లు (87) ప్రదర్శనల మధ్య ఒక జట్టుకు దూరమయ్యాడు']</v>
      </c>
      <c r="E4998" s="2" t="s">
        <v>3402</v>
      </c>
      <c r="F4998" s="2" t="str">
        <f>IFERROR(__xludf.DUMMYFUNCTION("IF(E4998&lt;&gt;"""", GOOGLETRANSLATE(E4998, ""en"", ""te""),"""")"),"[ '31 మోస్ట్ వంద (1752) లేకుండా ఒక వృత్తిలో పరుగులు' '23 వ ఇన్నింగ్స్ లో సాధించిన (10) బైస్']")</f>
        <v>[ '31 మోస్ట్ వంద (1752) లేకుండా ఒక వృత్తిలో పరుగులు' '23 వ ఇన్నింగ్స్ లో సాధించిన (10) బైస్']</v>
      </c>
      <c r="G4998" s="2" t="s">
        <v>3403</v>
      </c>
      <c r="H4998" s="2" t="str">
        <f>IFERROR(__xludf.DUMMYFUNCTION("IF(G4998&lt;&gt;"""", GOOGLETRANSLATE(G4998, ""en"", ""te""),"""")"),"[ '22 వ అత్యధిక కెరీర్ బ్యాటింగ్ సగటు (33.25)', '25 వ అత్యధిక కెరీర్ సమ్మె రేటు (143.52)', 'ఇన్నింగ్స్ లో 4 వ అత్యధిక స్ట్రైక్ రేట్ (362.50)', 'ఏడవ వికెట్ (63 *) 13 వ అత్యధిక భాగస్వామ్యం', '11 వ వరుస మ్యాచ్లు ఆడి మధ్య జట్టుకు దూరమయ్యాడు (56)', '29th లాంగ"&amp;"ెస్ట్ కెరీర్లు (12y 88D)', 'ప్రదర్శనల మధ్య 12 వ లాంగెస్ట్ వ్యవధిలో (7y 59d)', '13 వ అత్యధిక క్యాచ్లు ఒక ఇన్నింగ్స్ లో (3)', 'కెరీర్ లో 24 వ అత్యంత స్టంపింగ్లు (5)']")</f>
        <v>[ '22 వ అత్యధిక కెరీర్ బ్యాటింగ్ సగటు (33.25)', '25 వ అత్యధిక కెరీర్ సమ్మె రేటు (143.52)', 'ఇన్నింగ్స్ లో 4 వ అత్యధిక స్ట్రైక్ రేట్ (362.50)', 'ఏడవ వికెట్ (63 *) 13 వ అత్యధిక భాగస్వామ్యం', '11 వ వరుస మ్యాచ్లు ఆడి మధ్య జట్టుకు దూరమయ్యాడు (56)', '29th లాంగెస్ట్ కెరీర్లు (12y 88D)', 'ప్రదర్శనల మధ్య 12 వ లాంగెస్ట్ వ్యవధిలో (7y 59d)', '13 వ అత్యధిక క్యాచ్లు ఒక ఇన్నింగ్స్ లో (3)', 'కెరీర్ లో 24 వ అత్యంత స్టంపింగ్లు (5)']</v>
      </c>
      <c r="I4998" s="3"/>
    </row>
    <row r="4999" customHeight="1" spans="1:9">
      <c r="A4999" s="2"/>
      <c r="B4999" s="2" t="str">
        <f>IFERROR(__xludf.DUMMYFUNCTION("IF(A4999&lt;&gt;"""", GOOGLETRANSLATE(A4999, ""en"", ""te""),"""")"),"")</f>
        <v/>
      </c>
      <c r="C4999" s="2"/>
      <c r="D4999" s="2" t="str">
        <f>IFERROR(__xludf.DUMMYFUNCTION("IF(C4999&lt;&gt;"""", GOOGLETRANSLATE(C4999, ""en"", ""te""),"""")"),"")</f>
        <v/>
      </c>
      <c r="E4999" s="2"/>
      <c r="F4999" s="2" t="str">
        <f>IFERROR(__xludf.DUMMYFUNCTION("IF(E4999&lt;&gt;"""", GOOGLETRANSLATE(E4999, ""en"", ""te""),"""")"),"")</f>
        <v/>
      </c>
      <c r="G4999" s="2"/>
      <c r="H4999" s="2" t="str">
        <f>IFERROR(__xludf.DUMMYFUNCTION("IF(G4999&lt;&gt;"""", GOOGLETRANSLATE(G4999, ""en"", ""te""),"""")"),"")</f>
        <v/>
      </c>
      <c r="I4999" s="3"/>
    </row>
    <row r="5000" customHeight="1" spans="1:9">
      <c r="A5000" s="2"/>
      <c r="B5000" s="2" t="str">
        <f>IFERROR(__xludf.DUMMYFUNCTION("IF(A5000&lt;&gt;"""", GOOGLETRANSLATE(A5000, ""en"", ""te""),"""")"),"")</f>
        <v/>
      </c>
      <c r="C5000" s="2"/>
      <c r="D5000" s="2" t="str">
        <f>IFERROR(__xludf.DUMMYFUNCTION("IF(C5000&lt;&gt;"""", GOOGLETRANSLATE(C5000, ""en"", ""te""),"""")"),"")</f>
        <v/>
      </c>
      <c r="E5000" s="2"/>
      <c r="F5000" s="2" t="str">
        <f>IFERROR(__xludf.DUMMYFUNCTION("IF(E5000&lt;&gt;"""", GOOGLETRANSLATE(E5000, ""en"", ""te""),"""")"),"")</f>
        <v/>
      </c>
      <c r="G5000" s="2"/>
      <c r="H5000" s="2" t="str">
        <f>IFERROR(__xludf.DUMMYFUNCTION("IF(G5000&lt;&gt;"""", GOOGLETRANSLATE(G5000, ""en"", ""te""),"""")"),"")</f>
        <v/>
      </c>
      <c r="I5000" s="3"/>
    </row>
    <row r="5001" customHeight="1" spans="1:9">
      <c r="A5001" s="2" t="s">
        <v>3404</v>
      </c>
      <c r="B5001" s="2" t="str">
        <f>IFERROR(__xludf.DUMMYFUNCTION("IF(A5001&lt;&gt;"""", GOOGLETRANSLATE(A5001, ""en"", ""te""),"""")"),"[ 'కెరీర్లో 3 వ అతి తక్కువ బాతులు (63)', '1 వ ఇన్నింగ్స్ లో అత్యధిక క్యాచ్లు (4)', 'ఏడవ వికెట్కు 10 వ అత్యధిక భాగస్వామ్యం (49)']")</f>
        <v>[ 'కెరీర్లో 3 వ అతి తక్కువ బాతులు (63)', '1 వ ఇన్నింగ్స్ లో అత్యధిక క్యాచ్లు (4)', 'ఏడవ వికెట్కు 10 వ అత్యధిక భాగస్వామ్యం (49)']</v>
      </c>
      <c r="C5001" s="2"/>
      <c r="D5001" s="2" t="str">
        <f>IFERROR(__xludf.DUMMYFUNCTION("IF(C5001&lt;&gt;"""", GOOGLETRANSLATE(C5001, ""en"", ""te""),"""")"),"")</f>
        <v/>
      </c>
      <c r="E5001" s="2" t="s">
        <v>3405</v>
      </c>
      <c r="F5001" s="2" t="str">
        <f>IFERROR(__xludf.DUMMYFUNCTION("IF(E5001&lt;&gt;"""", GOOGLETRANSLATE(E5001, ""en"", ""te""),"""")"),"[ '15 వ ఇన్నింగ్స్ (బ్యాటింగ్ స్థానం) (70) అత్యధిక పరుగులు' 'తొలి మ్యాచ్లో 31 అత్యధిక పరుగులు (51)', '37 వ' మొదటి డక్ (15) ముందు 40 వ అత్యంత ఇన్నింగ్స్, కెరీర్ లో అతి తక్కువ బాతులు (20.5 ) ',' 47 వ ఒక సిరీస్లో అత్యధిక క్యాచ్లు (6) ']")</f>
        <v>[ '15 వ ఇన్నింగ్స్ (బ్యాటింగ్ స్థానం) (70) అత్యధిక పరుగులు' 'తొలి మ్యాచ్లో 31 అత్యధిక పరుగులు (51)', '37 వ' మొదటి డక్ (15) ముందు 40 వ అత్యంత ఇన్నింగ్స్, కెరీర్ లో అతి తక్కువ బాతులు (20.5 ) ',' 47 వ ఒక సిరీస్లో అత్యధిక క్యాచ్లు (6) ']</v>
      </c>
      <c r="G5001" s="2" t="s">
        <v>3406</v>
      </c>
      <c r="H5001" s="2" t="str">
        <f>IFERROR(__xludf.DUMMYFUNCTION("IF(G5001&lt;&gt;"""", GOOGLETRANSLATE(G5001, ""en"", ""te""),"""")"),"[ '42 వ కెరీర్ లో అత్యధిక పరుగులు (875)', 'ఒక డక్ లేకుండా 9 వ వరుస ఇన్నింగ్స్ (52 *)' 'ఇన్నింగ్స్ లో 30 వ అత్యధిక పరుగులు (బ్యాటింగ్ స్థానంలో ప్రకారం) (57 *)', '3 వ అతి తక్కువ కెరీర్ లో బాతులు కెరీర్లో (63) ',' 7 వ అత్యధిక క్యాచ్లు (38) ',' 1 వ ఇన్నింగ్స్"&amp;" లో అత్యధిక క్యాచ్లు (4) మూడో వికెట్కు ',' 27 వ అత్యధిక భాగస్వామ్యం (88) ',' నాలుగవ వికెట్కు 13 వ అత్యధిక భాగస్వామ్యం ( 92 *) ',' ఏడవ వికెట్కు 10 వ అత్యధిక భాగస్వామ్యం (49) ',' 43 వ కెరీర్ లో అత్యధిక మ్యాచ్లు (76) ']")</f>
        <v>[ '42 వ కెరీర్ లో అత్యధిక పరుగులు (875)', 'ఒక డక్ లేకుండా 9 వ వరుస ఇన్నింగ్స్ (52 *)' 'ఇన్నింగ్స్ లో 30 వ అత్యధిక పరుగులు (బ్యాటింగ్ స్థానంలో ప్రకారం) (57 *)', '3 వ అతి తక్కువ కెరీర్ లో బాతులు కెరీర్లో (63) ',' 7 వ అత్యధిక క్యాచ్లు (38) ',' 1 వ ఇన్నింగ్స్ లో అత్యధిక క్యాచ్లు (4) మూడో వికెట్కు ',' 27 వ అత్యధిక భాగస్వామ్యం (88) ',' నాలుగవ వికెట్కు 13 వ అత్యధిక భాగస్వామ్యం ( 92 *) ',' ఏడవ వికెట్కు 10 వ అత్యధిక భాగస్వామ్యం (49) ',' 43 వ కెరీర్ లో అత్యధిక మ్యాచ్లు (76) ']</v>
      </c>
      <c r="I5001" s="3"/>
    </row>
    <row r="5002" customHeight="1" spans="1:9">
      <c r="A5002" s="2"/>
      <c r="B5002" s="2" t="str">
        <f>IFERROR(__xludf.DUMMYFUNCTION("IF(A5002&lt;&gt;"""", GOOGLETRANSLATE(A5002, ""en"", ""te""),"""")"),"")</f>
        <v/>
      </c>
      <c r="C5002" s="2"/>
      <c r="D5002" s="2" t="str">
        <f>IFERROR(__xludf.DUMMYFUNCTION("IF(C5002&lt;&gt;"""", GOOGLETRANSLATE(C5002, ""en"", ""te""),"""")"),"")</f>
        <v/>
      </c>
      <c r="E5002" s="2"/>
      <c r="F5002" s="2" t="str">
        <f>IFERROR(__xludf.DUMMYFUNCTION("IF(E5002&lt;&gt;"""", GOOGLETRANSLATE(E5002, ""en"", ""te""),"""")"),"")</f>
        <v/>
      </c>
      <c r="G5002" s="2"/>
      <c r="H5002" s="2" t="str">
        <f>IFERROR(__xludf.DUMMYFUNCTION("IF(G5002&lt;&gt;"""", GOOGLETRANSLATE(G5002, ""en"", ""te""),"""")"),"")</f>
        <v/>
      </c>
      <c r="I5002" s="3"/>
    </row>
    <row r="5003" customHeight="1" spans="1:9">
      <c r="A5003" s="2"/>
      <c r="B5003" s="2" t="str">
        <f>IFERROR(__xludf.DUMMYFUNCTION("IF(A5003&lt;&gt;"""", GOOGLETRANSLATE(A5003, ""en"", ""te""),"""")"),"")</f>
        <v/>
      </c>
      <c r="C5003" s="2" t="s">
        <v>986</v>
      </c>
      <c r="D5003" s="2" t="str">
        <f>IFERROR(__xludf.DUMMYFUNCTION("IF(C5003&lt;&gt;"""", GOOGLETRANSLATE(C5003, ""en"", ""te""),"""")"),"[ '11 వ ఒక సిరీస్లో అత్యధిక బాతులు (4)']")</f>
        <v>[ '11 వ ఒక సిరీస్లో అత్యధిక బాతులు (4)']</v>
      </c>
      <c r="E5003" s="2"/>
      <c r="F5003" s="2" t="str">
        <f>IFERROR(__xludf.DUMMYFUNCTION("IF(E5003&lt;&gt;"""", GOOGLETRANSLATE(E5003, ""en"", ""te""),"""")"),"")</f>
        <v/>
      </c>
      <c r="G5003" s="2"/>
      <c r="H5003" s="2" t="str">
        <f>IFERROR(__xludf.DUMMYFUNCTION("IF(G5003&lt;&gt;"""", GOOGLETRANSLATE(G5003, ""en"", ""te""),"""")"),"")</f>
        <v/>
      </c>
      <c r="I5003" s="3"/>
    </row>
    <row r="5004" customHeight="1" spans="1:9">
      <c r="A5004" s="2"/>
      <c r="B5004" s="2" t="str">
        <f>IFERROR(__xludf.DUMMYFUNCTION("IF(A5004&lt;&gt;"""", GOOGLETRANSLATE(A5004, ""en"", ""te""),"""")"),"")</f>
        <v/>
      </c>
      <c r="C5004" s="2"/>
      <c r="D5004" s="2" t="str">
        <f>IFERROR(__xludf.DUMMYFUNCTION("IF(C5004&lt;&gt;"""", GOOGLETRANSLATE(C5004, ""en"", ""te""),"""")"),"")</f>
        <v/>
      </c>
      <c r="E5004" s="2"/>
      <c r="F5004" s="2" t="str">
        <f>IFERROR(__xludf.DUMMYFUNCTION("IF(E5004&lt;&gt;"""", GOOGLETRANSLATE(E5004, ""en"", ""te""),"""")"),"")</f>
        <v/>
      </c>
      <c r="G5004" s="2"/>
      <c r="H5004" s="2" t="str">
        <f>IFERROR(__xludf.DUMMYFUNCTION("IF(G5004&lt;&gt;"""", GOOGLETRANSLATE(G5004, ""en"", ""te""),"""")"),"")</f>
        <v/>
      </c>
      <c r="I5004" s="3"/>
    </row>
    <row r="5005" customHeight="1" spans="1:9">
      <c r="A5005" s="2"/>
      <c r="B5005" s="2" t="str">
        <f>IFERROR(__xludf.DUMMYFUNCTION("IF(A5005&lt;&gt;"""", GOOGLETRANSLATE(A5005, ""en"", ""te""),"""")"),"")</f>
        <v/>
      </c>
      <c r="C5005" s="2"/>
      <c r="D5005" s="2" t="str">
        <f>IFERROR(__xludf.DUMMYFUNCTION("IF(C5005&lt;&gt;"""", GOOGLETRANSLATE(C5005, ""en"", ""te""),"""")"),"")</f>
        <v/>
      </c>
      <c r="E5005" s="2"/>
      <c r="F5005" s="2" t="str">
        <f>IFERROR(__xludf.DUMMYFUNCTION("IF(E5005&lt;&gt;"""", GOOGLETRANSLATE(E5005, ""en"", ""te""),"""")"),"")</f>
        <v/>
      </c>
      <c r="G5005" s="2"/>
      <c r="H5005" s="2" t="str">
        <f>IFERROR(__xludf.DUMMYFUNCTION("IF(G5005&lt;&gt;"""", GOOGLETRANSLATE(G5005, ""en"", ""te""),"""")"),"")</f>
        <v/>
      </c>
      <c r="I5005" s="3"/>
    </row>
    <row r="5006" customHeight="1" spans="1:9">
      <c r="A5006" s="2"/>
      <c r="B5006" s="2" t="str">
        <f>IFERROR(__xludf.DUMMYFUNCTION("IF(A5006&lt;&gt;"""", GOOGLETRANSLATE(A5006, ""en"", ""te""),"""")"),"")</f>
        <v/>
      </c>
      <c r="C5006" s="2"/>
      <c r="D5006" s="2" t="str">
        <f>IFERROR(__xludf.DUMMYFUNCTION("IF(C5006&lt;&gt;"""", GOOGLETRANSLATE(C5006, ""en"", ""te""),"""")"),"")</f>
        <v/>
      </c>
      <c r="E5006" s="2"/>
      <c r="F5006" s="2" t="str">
        <f>IFERROR(__xludf.DUMMYFUNCTION("IF(E5006&lt;&gt;"""", GOOGLETRANSLATE(E5006, ""en"", ""te""),"""")"),"")</f>
        <v/>
      </c>
      <c r="G5006" s="2"/>
      <c r="H5006" s="2" t="str">
        <f>IFERROR(__xludf.DUMMYFUNCTION("IF(G5006&lt;&gt;"""", GOOGLETRANSLATE(G5006, ""en"", ""te""),"""")"),"")</f>
        <v/>
      </c>
      <c r="I5006" s="3"/>
    </row>
    <row r="5007" customHeight="1" spans="1:9">
      <c r="A5007" s="2"/>
      <c r="B5007" s="2" t="str">
        <f>IFERROR(__xludf.DUMMYFUNCTION("IF(A5007&lt;&gt;"""", GOOGLETRANSLATE(A5007, ""en"", ""te""),"""")"),"")</f>
        <v/>
      </c>
      <c r="C5007" s="2"/>
      <c r="D5007" s="2" t="str">
        <f>IFERROR(__xludf.DUMMYFUNCTION("IF(C5007&lt;&gt;"""", GOOGLETRANSLATE(C5007, ""en"", ""te""),"""")"),"")</f>
        <v/>
      </c>
      <c r="E5007" s="2"/>
      <c r="F5007" s="2" t="str">
        <f>IFERROR(__xludf.DUMMYFUNCTION("IF(E5007&lt;&gt;"""", GOOGLETRANSLATE(E5007, ""en"", ""te""),"""")"),"")</f>
        <v/>
      </c>
      <c r="G5007" s="2"/>
      <c r="H5007" s="2" t="str">
        <f>IFERROR(__xludf.DUMMYFUNCTION("IF(G5007&lt;&gt;"""", GOOGLETRANSLATE(G5007, ""en"", ""te""),"""")"),"")</f>
        <v/>
      </c>
      <c r="I5007" s="3"/>
    </row>
    <row r="5008" customHeight="1" spans="1:9">
      <c r="A5008" s="2"/>
      <c r="B5008" s="2" t="str">
        <f>IFERROR(__xludf.DUMMYFUNCTION("IF(A5008&lt;&gt;"""", GOOGLETRANSLATE(A5008, ""en"", ""te""),"""")"),"")</f>
        <v/>
      </c>
      <c r="C5008" s="2"/>
      <c r="D5008" s="2" t="str">
        <f>IFERROR(__xludf.DUMMYFUNCTION("IF(C5008&lt;&gt;"""", GOOGLETRANSLATE(C5008, ""en"", ""te""),"""")"),"")</f>
        <v/>
      </c>
      <c r="E5008" s="2"/>
      <c r="F5008" s="2" t="str">
        <f>IFERROR(__xludf.DUMMYFUNCTION("IF(E5008&lt;&gt;"""", GOOGLETRANSLATE(E5008, ""en"", ""te""),"""")"),"")</f>
        <v/>
      </c>
      <c r="G5008" s="2"/>
      <c r="H5008" s="2" t="str">
        <f>IFERROR(__xludf.DUMMYFUNCTION("IF(G5008&lt;&gt;"""", GOOGLETRANSLATE(G5008, ""en"", ""te""),"""")"),"")</f>
        <v/>
      </c>
      <c r="I5008" s="3"/>
    </row>
    <row r="5009" customHeight="1" spans="1:9">
      <c r="A5009" s="2"/>
      <c r="B5009" s="2" t="str">
        <f>IFERROR(__xludf.DUMMYFUNCTION("IF(A5009&lt;&gt;"""", GOOGLETRANSLATE(A5009, ""en"", ""te""),"""")"),"")</f>
        <v/>
      </c>
      <c r="C5009" s="2" t="s">
        <v>3407</v>
      </c>
      <c r="D5009" s="2" t="str">
        <f>IFERROR(__xludf.DUMMYFUNCTION("IF(C5009&lt;&gt;"""", GOOGLETRANSLATE(C5009, ""en"", ""te""),"""")"),"[ '13 వ అత్యధిక ఇన్నింగ్స్ లో సమ్మె రేటు (222.22)']")</f>
        <v>[ '13 వ అత్యధిక ఇన్నింగ్స్ లో సమ్మె రేటు (222.22)']</v>
      </c>
      <c r="E5009" s="2" t="s">
        <v>2700</v>
      </c>
      <c r="F5009" s="2" t="str">
        <f>IFERROR(__xludf.DUMMYFUNCTION("IF(E5009&lt;&gt;"""", GOOGLETRANSLATE(E5009, ""en"", ""te""),"""")"),"[ '13 వ వరుస నాలుగు వికెట్లు-ఇన్-ఒక-ఇన్నింగ్స్ (2)']")</f>
        <v>[ '13 వ వరుస నాలుగు వికెట్లు-ఇన్-ఒక-ఇన్నింగ్స్ (2)']</v>
      </c>
      <c r="G5009" s="2"/>
      <c r="H5009" s="2" t="str">
        <f>IFERROR(__xludf.DUMMYFUNCTION("IF(G5009&lt;&gt;"""", GOOGLETRANSLATE(G5009, ""en"", ""te""),"""")"),"")</f>
        <v/>
      </c>
      <c r="I5009" s="3"/>
    </row>
    <row r="5010" customHeight="1" spans="1:9">
      <c r="A5010" s="2" t="s">
        <v>3408</v>
      </c>
      <c r="B5010" s="2" t="str">
        <f>IFERROR(__xludf.DUMMYFUNCTION("IF(A5010&lt;&gt;"""", GOOGLETRANSLATE(A5010, ""en"", ""te""),"""")"),"[ '4 వ వేగవంతమైన 1000 పరుగులు (14) కు', '7 వ అత్యంత ఇన్నింగ్స్ తొలి డక్ (59) ముందు' '3 వ పిన్న ఆటగాడు డబుల్ సెంచరీ (21y 32d) స్కోర్',]")</f>
        <v>[ '4 వ వేగవంతమైన 1000 పరుగులు (14) కు', '7 వ అత్యంత ఇన్నింగ్స్ తొలి డక్ (59) ముందు' '3 వ పిన్న ఆటగాడు డబుల్ సెంచరీ (21y 32d) స్కోర్',]</v>
      </c>
      <c r="C5010" s="2" t="s">
        <v>3409</v>
      </c>
      <c r="D5010" s="2" t="str">
        <f>IFERROR(__xludf.DUMMYFUNCTION("IF(C5010&lt;&gt;"""", GOOGLETRANSLATE(C5010, ""en"", ""te""),"""")"),"[ '20 వ అత్యధిక కెరీర్ బ్యాటింగ్ సగటు (54.20)', 'వరుస ఇన్నింగ్స్లో 5 వ వందల (3)', '14 వ అత్యధిక తొలి వంద (224)', 'డబుల్ సెంచరీ స్కోర్ 3 వ పిన్న వయస్కుడిగా నిలిచాడు (21y 32d)', '4 వ వేగవంతమైన 1000 పరుగులు (14) ']")</f>
        <v>[ '20 వ అత్యధిక కెరీర్ బ్యాటింగ్ సగటు (54.20)', 'వరుస ఇన్నింగ్స్లో 5 వ వందల (3)', '14 వ అత్యధిక తొలి వంద (224)', 'డబుల్ సెంచరీ స్కోర్ 3 వ పిన్న వయస్కుడిగా నిలిచాడు (21y 32d)', '4 వ వేగవంతమైన 1000 పరుగులు (14) ']</v>
      </c>
      <c r="E5010" s="2" t="s">
        <v>3410</v>
      </c>
      <c r="F5010" s="2" t="str">
        <f>IFERROR(__xludf.DUMMYFUNCTION("IF(E5010&lt;&gt;"""", GOOGLETRANSLATE(E5010, ""en"", ""te""),"""")"),"[ '13 వ ఉత్తమ కెరీర్ (7.00) (అర్హత లేకుండా) సగటు బౌలింగ్' 48 వ అత్యధిక భాగస్వామ్యం నాలుగో వికెట్కు '28 పిన్న ఆటగాడు వంద (21y 0 రో) స్కోర్', 'మొదటి డక్ ముందు (46) 13 వ అత్యంత ఇన్నింగ్స్', ' (164 *) ']")</f>
        <v>[ '13 వ ఉత్తమ కెరీర్ (7.00) (అర్హత లేకుండా) సగటు బౌలింగ్' 48 వ అత్యధిక భాగస్వామ్యం నాలుగో వికెట్కు '28 పిన్న ఆటగాడు వంద (21y 0 రో) స్కోర్', 'మొదటి డక్ ముందు (46) 13 వ అత్యంత ఇన్నింగ్స్', ' (164 *) ']</v>
      </c>
      <c r="G5010" s="2"/>
      <c r="H5010" s="2" t="str">
        <f>IFERROR(__xludf.DUMMYFUNCTION("IF(G5010&lt;&gt;"""", GOOGLETRANSLATE(G5010, ""en"", ""te""),"""")"),"")</f>
        <v/>
      </c>
      <c r="I5010" s="3"/>
    </row>
    <row r="5011" customHeight="1" spans="1:9">
      <c r="A5011" s="2"/>
      <c r="B5011" s="2" t="str">
        <f>IFERROR(__xludf.DUMMYFUNCTION("IF(A5011&lt;&gt;"""", GOOGLETRANSLATE(A5011, ""en"", ""te""),"""")"),"")</f>
        <v/>
      </c>
      <c r="C5011" s="2"/>
      <c r="D5011" s="2" t="str">
        <f>IFERROR(__xludf.DUMMYFUNCTION("IF(C5011&lt;&gt;"""", GOOGLETRANSLATE(C5011, ""en"", ""te""),"""")"),"")</f>
        <v/>
      </c>
      <c r="E5011" s="2"/>
      <c r="F5011" s="2" t="str">
        <f>IFERROR(__xludf.DUMMYFUNCTION("IF(E5011&lt;&gt;"""", GOOGLETRANSLATE(E5011, ""en"", ""te""),"""")"),"")</f>
        <v/>
      </c>
      <c r="G5011" s="2"/>
      <c r="H5011" s="2" t="str">
        <f>IFERROR(__xludf.DUMMYFUNCTION("IF(G5011&lt;&gt;"""", GOOGLETRANSLATE(G5011, ""en"", ""te""),"""")"),"")</f>
        <v/>
      </c>
      <c r="I5011" s="3"/>
    </row>
    <row r="5012" customHeight="1" spans="1:9">
      <c r="A5012" s="2" t="s">
        <v>3411</v>
      </c>
      <c r="B5012" s="2" t="str">
        <f>IFERROR(__xludf.DUMMYFUNCTION("IF(A5012&lt;&gt;"""", GOOGLETRANSLATE(A5012, ""en"", ""te""),"""")"),"[ 'హండ్రెడ్ తొలి (100 *)']")</f>
        <v>[ 'హండ్రెడ్ తొలి (100 *)']</v>
      </c>
      <c r="C5012" s="2"/>
      <c r="D5012" s="2" t="str">
        <f>IFERROR(__xludf.DUMMYFUNCTION("IF(C5012&lt;&gt;"""", GOOGLETRANSLATE(C5012, ""en"", ""te""),"""")"),"")</f>
        <v/>
      </c>
      <c r="E5012" s="2"/>
      <c r="F5012" s="2" t="str">
        <f>IFERROR(__xludf.DUMMYFUNCTION("IF(E5012&lt;&gt;"""", GOOGLETRANSLATE(E5012, ""en"", ""te""),"""")"),"")</f>
        <v/>
      </c>
      <c r="G5012" s="2"/>
      <c r="H5012" s="2" t="str">
        <f>IFERROR(__xludf.DUMMYFUNCTION("IF(G5012&lt;&gt;"""", GOOGLETRANSLATE(G5012, ""en"", ""te""),"""")"),"")</f>
        <v/>
      </c>
      <c r="I5012" s="3"/>
    </row>
    <row r="5013" customHeight="1" spans="1:9">
      <c r="A5013" s="2" t="s">
        <v>3412</v>
      </c>
      <c r="B5013" s="2" t="str">
        <f>IFERROR(__xludf.DUMMYFUNCTION("IF(A5013&lt;&gt;"""", GOOGLETRANSLATE(A5013, ""en"", ""te""),"""")"),"[ 'ఇన్నింగ్స్ లో 9 వ అత్యధిక పరుగులు (బ్యాటింగ్ స్థానంలో ప్రకారం) (111 *)', '2 వ అత్యధిక క్యాచ్లు ఒక ఇన్నింగ్స్ లో (4)']")</f>
        <v>[ 'ఇన్నింగ్స్ లో 9 వ అత్యధిక పరుగులు (బ్యాటింగ్ స్థానంలో ప్రకారం) (111 *)', '2 వ అత్యధిక క్యాచ్లు ఒక ఇన్నింగ్స్ లో (4)']</v>
      </c>
      <c r="C5013" s="2" t="s">
        <v>3413</v>
      </c>
      <c r="D5013" s="2" t="str">
        <f>IFERROR(__xludf.DUMMYFUNCTION("IF(C5013&lt;&gt;"""", GOOGLETRANSLATE(C5013, ""en"", ""te""),"""")"),"[ 'ఎనిమిదవ వికెట్ (128) కోసం 41 వ అత్యధిక భాగస్వామ్యం']")</f>
        <v>[ 'ఎనిమిదవ వికెట్ (128) కోసం 41 వ అత్యధిక భాగస్వామ్యం']</v>
      </c>
      <c r="E5013" s="2" t="s">
        <v>3414</v>
      </c>
      <c r="F5013" s="2" t="str">
        <f>IFERROR(__xludf.DUMMYFUNCTION("IF(E5013&lt;&gt;"""", GOOGLETRANSLATE(E5013, ""en"", ""te""),"""")"),"[ 'ఇన్నింగ్స్ లో 9 వ అత్యధిక పరుగులు (బ్యాటింగ్ స్థానంలో ప్రకారం) (111 *)', 'ఇన్నింగ్స్ లో 2 వ అత్యధిక క్యాచ్లు (4)' '48 వ పిన్న ఆటగాడు వంద (21y 287d) స్కోర్',]")</f>
        <v>[ 'ఇన్నింగ్స్ లో 9 వ అత్యధిక పరుగులు (బ్యాటింగ్ స్థానంలో ప్రకారం) (111 *)', 'ఇన్నింగ్స్ లో 2 వ అత్యధిక క్యాచ్లు (4)' '48 వ పిన్న ఆటగాడు వంద (21y 287d) స్కోర్',]</v>
      </c>
      <c r="G5013" s="2"/>
      <c r="H5013" s="2" t="str">
        <f>IFERROR(__xludf.DUMMYFUNCTION("IF(G5013&lt;&gt;"""", GOOGLETRANSLATE(G5013, ""en"", ""te""),"""")"),"")</f>
        <v/>
      </c>
      <c r="I5013" s="3"/>
    </row>
    <row r="5014" customHeight="1" spans="1:9">
      <c r="A5014" s="2" t="s">
        <v>3415</v>
      </c>
      <c r="B5014" s="2" t="str">
        <f>IFERROR(__xludf.DUMMYFUNCTION("IF(A5014&lt;&gt;"""", GOOGLETRANSLATE(A5014, ""en"", ""te""),"""")"),"[ '4 వ వేగవంతమైన 50 వికెట్లు (24)']")</f>
        <v>[ '4 వ వేగవంతమైన 50 వికెట్లు (24)']</v>
      </c>
      <c r="C5014" s="2"/>
      <c r="D5014" s="2" t="str">
        <f>IFERROR(__xludf.DUMMYFUNCTION("IF(C5014&lt;&gt;"""", GOOGLETRANSLATE(C5014, ""en"", ""te""),"""")"),"")</f>
        <v/>
      </c>
      <c r="E5014" s="2" t="s">
        <v>3416</v>
      </c>
      <c r="F5014" s="2" t="str">
        <f>IFERROR(__xludf.DUMMYFUNCTION("IF(E5014&lt;&gt;"""", GOOGLETRANSLATE(E5014, ""en"", ""te""),"""")"),"[ 'ఒక క్యాలెండర్ సంవత్సరంలో 36 వ అత్యధిక వికెట్లు (45)' '34 వ ఉత్తమ ఇన్నింగ్స్ లో సంఖ్యలు (6/25)', '13 వ వరుస నాలుగు వికెట్లు-ఇన్-ఒక-ఇన్నింగ్స్ (2)', '24 వ అత్యధిక వికెట్లు తీసుకున్న స్టంప్ (14) ',' ఫాస్టెస్ట్ 50 వికెట్లు 4 (24) ',' 10th 100 వికెట్లు (58)"&amp;" వేగంగా ']")</f>
        <v>[ 'ఒక క్యాలెండర్ సంవత్సరంలో 36 వ అత్యధిక వికెట్లు (45)' '34 వ ఉత్తమ ఇన్నింగ్స్ లో సంఖ్యలు (6/25)', '13 వ వరుస నాలుగు వికెట్లు-ఇన్-ఒక-ఇన్నింగ్స్ (2)', '24 వ అత్యధిక వికెట్లు తీసుకున్న స్టంప్ (14) ',' ఫాస్టెస్ట్ 50 వికెట్లు 4 (24) ',' 10th 100 వికెట్లు (58) వేగంగా ']</v>
      </c>
      <c r="G5014" s="2" t="s">
        <v>3417</v>
      </c>
      <c r="H5014" s="2" t="str">
        <f>IFERROR(__xludf.DUMMYFUNCTION("IF(G5014&lt;&gt;"""", GOOGLETRANSLATE(G5014, ""en"", ""te""),"""")"),"[ '38 వ ఇన్నింగ్స్ లో బెస్ట్ ఫిగర్స్ (5/24)', '30th ఒక క్యాలెండర్ సంవత్సరంలో అత్యధిక వికెట్లు (21)', '16 వ అత్యంత నాలుగు వికెట్లు-ఇన్-ఒక-ఇన్నింగ్స్ కెరీర్లో (2)', '17 వ బౌలర్ / బ్యాట్స్ కలయికలు (3) ',' 45 వ బౌలర్ / ఫీల్డర్ కలయికలు (6) ',' 13 వ అత్యధిక విక"&amp;"ెట్లు తీసుకున్న స్టంప్ (6) ']")</f>
        <v>[ '38 వ ఇన్నింగ్స్ లో బెస్ట్ ఫిగర్స్ (5/24)', '30th ఒక క్యాలెండర్ సంవత్సరంలో అత్యధిక వికెట్లు (21)', '16 వ అత్యంత నాలుగు వికెట్లు-ఇన్-ఒక-ఇన్నింగ్స్ కెరీర్లో (2)', '17 వ బౌలర్ / బ్యాట్స్ కలయికలు (3) ',' 45 వ బౌలర్ / ఫీల్డర్ కలయికలు (6) ',' 13 వ అత్యధిక వికెట్లు తీసుకున్న స్టంప్ (6) ']</v>
      </c>
      <c r="I5014" s="3"/>
    </row>
    <row r="5015" customHeight="1" spans="1:9">
      <c r="A5015" s="2"/>
      <c r="B5015" s="2" t="str">
        <f>IFERROR(__xludf.DUMMYFUNCTION("IF(A5015&lt;&gt;"""", GOOGLETRANSLATE(A5015, ""en"", ""te""),"""")"),"")</f>
        <v/>
      </c>
      <c r="C5015" s="2"/>
      <c r="D5015" s="2" t="str">
        <f>IFERROR(__xludf.DUMMYFUNCTION("IF(C5015&lt;&gt;"""", GOOGLETRANSLATE(C5015, ""en"", ""te""),"""")"),"")</f>
        <v/>
      </c>
      <c r="E5015" s="2"/>
      <c r="F5015" s="2" t="str">
        <f>IFERROR(__xludf.DUMMYFUNCTION("IF(E5015&lt;&gt;"""", GOOGLETRANSLATE(E5015, ""en"", ""te""),"""")"),"")</f>
        <v/>
      </c>
      <c r="G5015" s="2"/>
      <c r="H5015" s="2" t="str">
        <f>IFERROR(__xludf.DUMMYFUNCTION("IF(G5015&lt;&gt;"""", GOOGLETRANSLATE(G5015, ""en"", ""te""),"""")"),"")</f>
        <v/>
      </c>
      <c r="I5015" s="3"/>
    </row>
    <row r="5016" customHeight="1" spans="1:9">
      <c r="A5016" s="2" t="s">
        <v>3418</v>
      </c>
      <c r="B5016" s="2" t="str">
        <f>IFERROR(__xludf.DUMMYFUNCTION("IF(A5016&lt;&gt;"""", GOOGLETRANSLATE(A5016, ""en"", ""te""),"""")"),"[ 'కెప్టెన్గా 6 వ అత్యధిక మ్యాచ్లు (60)', '7 వ పరాజయం వైపు ఒక మ్యాచ్లో అత్యధిక పరుగులు (256)', 'హండ్రెడ్ ఒక మ్యాచ్లో ప్రతి ఇన్నింగ్స్లో', 'హండ్రెడ్ మరియు ఒక మ్యాచ్లో తొంభై', 'హండ్రెడ్ మరియు 7000 పరుగులు (138) ',' 5000 పరుగులు మరియు 50 ఫీల్డింగ్ వికెట్లు"&amp;" ',' ఎనిమిదవ వికెట్ (241) ',' 3 వ అత్యంత ప్లేయర్ ఆఫ్ ది కోసం 7 వ అత్యధిక భాగస్వామ్యం ఒక మ్యాచ్ ',' ఫాస్టెస్ట్ 5 వ డకౌట్ సిరీస్ అవార్డులు (9) ',' 4 వ అత్యంత కెప్టెన్ ద్వారా ఒక సిరీస్లో పరుగులు (558) ',' 2 వ అత్యధిక కెరీర్ బ్యాటింగ్ సగటు (59.07) ',' 1st ఒక "&amp;"జట్టు వ్యతిరేకంగా అత్యధిక వందలు (9) ',' 1 వ 99 పరుగుల (199, 299 etc) (99) ',' 4 వ కెరీర్ అర్ధ (105) ',' కెరీర్ లో 6 వ అత్యంత ఫోర్లు (1140) ',' 12000 పరుగులు (242) ',' 7 వ అత్యంత క్యాచ్లు వేగంగా 1st కెరీర్ (132) ',' 5000 పరుగులు మరియు 50 ఫీల్డింగ్ వికెట్లు"&amp;" ',' ఐదవ వికెట్కు 6 వ అత్యధిక భాగస్వామ్యం (200) ',' 1 వ అత్యంత ప్లేయర్ ఆఫ్ ది సిరీస్ అవార్డులు (7) ',' 7 వ అత్యంత కెప్టెన్గా మ్యాచ్లు (45) ',' 1st కెరీర్లో అత్యధిక పరుగులు (3159) ',' 1 వ అత్యధిక కెరీర్ బ్యాటింగ్ సగటు (52.65) ',' 1st చాలా అర్ధ కెరీర్లో (28"&amp;") ',' 3 వ అత్యంత ఇన్నింగ్స్ తొలి డక్ ముందు (47) ',' 1 వ కెరీర్ ఫోర్లు (285) ',' 2nd 2000 వరకు వేగంగా పరుగులు (56) ',' 9 వ కెరీర్లో అత్యధిక క్యాచ్లు (42) ',' 6 వ ఖండంలో మూడో కొరకు చేసిన భాగస్వామ్యం వికెట్ (134) ',' 2 వ అత్యంత ప్లేయర్ ఆఫ్ ది సిరీస్ అవార్డుల"&amp;"ు (19) ',' కెప్టెన్ 8 వ అత్యధిక మ్యాచ్లు (200) ',' 3 వ భాగం ఒక క్యాలెండర్ ఏడాది (2818) లో నడుస్తుంది ',' 2 వ అత్యధిక వందలు ఒక క్యాలెండర్ సంవత్సరంలో కెరీర్లో (11) ',' 7 వ అత్యంత అర్ధ (185) ',' ఒక డక్ (104) లేకుండా 8 వ వరుస ఇన్నింగ్స్]")</f>
        <v>[ 'కెప్టెన్గా 6 వ అత్యధిక మ్యాచ్లు (60)', '7 వ పరాజయం వైపు ఒక మ్యాచ్లో అత్యధిక పరుగులు (256)', 'హండ్రెడ్ ఒక మ్యాచ్లో ప్రతి ఇన్నింగ్స్లో', 'హండ్రెడ్ మరియు ఒక మ్యాచ్లో తొంభై', 'హండ్రెడ్ మరియు 7000 పరుగులు (138) ',' 5000 పరుగులు మరియు 50 ఫీల్డింగ్ వికెట్లు ',' ఎనిమిదవ వికెట్ (241) ',' 3 వ అత్యంత ప్లేయర్ ఆఫ్ ది కోసం 7 వ అత్యధిక భాగస్వామ్యం ఒక మ్యాచ్ ',' ఫాస్టెస్ట్ 5 వ డకౌట్ సిరీస్ అవార్డులు (9) ',' 4 వ అత్యంత కెప్టెన్ ద్వారా ఒక సిరీస్లో పరుగులు (558) ',' 2 వ అత్యధిక కెరీర్ బ్యాటింగ్ సగటు (59.07) ',' 1st ఒక జట్టు వ్యతిరేకంగా అత్యధిక వందలు (9) ',' 1 వ 99 పరుగుల (199, 299 etc) (99) ',' 4 వ కెరీర్ అర్ధ (105) ',' కెరీర్ లో 6 వ అత్యంత ఫోర్లు (1140) ',' 12000 పరుగులు (242) ',' 7 వ అత్యంత క్యాచ్లు వేగంగా 1st కెరీర్ (132) ',' 5000 పరుగులు మరియు 50 ఫీల్డింగ్ వికెట్లు ',' ఐదవ వికెట్కు 6 వ అత్యధిక భాగస్వామ్యం (200) ',' 1 వ అత్యంత ప్లేయర్ ఆఫ్ ది సిరీస్ అవార్డులు (7) ',' 7 వ అత్యంత కెప్టెన్గా మ్యాచ్లు (45) ',' 1st కెరీర్లో అత్యధిక పరుగులు (3159) ',' 1 వ అత్యధిక కెరీర్ బ్యాటింగ్ సగటు (52.65) ',' 1st చాలా అర్ధ కెరీర్లో (28) ',' 3 వ అత్యంత ఇన్నింగ్స్ తొలి డక్ ముందు (47) ',' 1 వ కెరీర్ ఫోర్లు (285) ',' 2nd 2000 వరకు వేగంగా పరుగులు (56) ',' 9 వ కెరీర్లో అత్యధిక క్యాచ్లు (42) ',' 6 వ ఖండంలో మూడో కొరకు చేసిన భాగస్వామ్యం వికెట్ (134) ',' 2 వ అత్యంత ప్లేయర్ ఆఫ్ ది సిరీస్ అవార్డులు (19) ',' కెప్టెన్ 8 వ అత్యధిక మ్యాచ్లు (200) ',' 3 వ భాగం ఒక క్యాలెండర్ ఏడాది (2818) లో నడుస్తుంది ',' 2 వ అత్యధిక వందలు ఒక క్యాలెండర్ సంవత్సరంలో కెరీర్లో (11) ',' 7 వ అత్యంత అర్ధ (185) ',' ఒక డక్ (104) లేకుండా 8 వ వరుస ఇన్నింగ్స్]</v>
      </c>
      <c r="C5016" s="2" t="s">
        <v>3419</v>
      </c>
      <c r="D5016" s="2" t="str">
        <f>IFERROR(__xludf.DUMMYFUNCTION("IF(C5016&lt;&gt;"""", GOOGLETRANSLATE(C5016, ""en"", ""te""),"""")"),"[ '41 వ అత్యధిక కెరీర్ లో పరుగులు (7490)', 'వరుస 38 వ అత్యధిక పరుగులు (692)', '32 వ ఒక క్యాలెండర్ సంవత్సరంలో అత్యధిక పరుగులు (1322)', '7 వ పరాజయం వైపు ఒక మ్యాచ్లో అత్యధిక పరుగులు (256 ) ',' 13 వ కెప్టెన్ ద్వారా ఒక సిరీస్లో అత్యధిక పరుగులు (655) ',' ఒక కె"&amp;"ప్టెన్తో ఇన్నింగ్స్ లో 19 అత్యధిక పరుగులు (254 *) ',' 27 వ అత్యధిక కెరీర్ బ్యాటింగ్ సగటు (52.37) ',' 17 వ అత్యధిక వందలు లో ఒక కెరీర్ (27) ',' 4 వ అత్యధిక డబుల్ వందల వృత్తిలో (7) ',' 2 వ అత్యధిక డబుల్ వరుస వరుస (2) ',' 2 వ అత్యధిక వందలు వందల (4) ',' 19 వ అ"&amp;"త్యధిక వందలు లో ఒక క్యాలెండర్ ఏడాది (5) ',' 33 వ ఒక జట్టు వ్యతిరేకంగా అత్యధిక వందలు (7) ',' వరుస ఇన్నింగ్స్లో 5 వ వందల (3) ',' వరుస మ్యాచ్లలో 21 వందల (3) ',' 43 వ కెరీర్ ఫోర్లు (839 ) ',' 27th 4000 పరుగులు (వేగంగా 89) ',' 14 వ 5000 పరుగులు (105) ',' 6000 "&amp;"పరుగులు (119) ',' 5 వ వేగవంతమైన 9 వేగవంతమైన 7000 పరుగులు (138) కు ',' 33 వ అత్యధిక వేగంగా ఏ వికెట్కు పార్టనర్ షిప్ (365) ',' నాలుగవ వికెట్కు 8 వ అత్యధిక భాగస్వామ్యం (365) ',' ఐదవ వికెట్కు 43 వ అత్యధిక భాగస్వామ్యం (225) ',' 7 వ Highes ఎనిమిదవ వికెట్కు t "&amp;"భాగస్వామ్యం (241) ',' ఒక జట్టుకు 50 వ వరుస మ్యాచ్లు (54) ',' 32 వ అత్యంత ప్లేయర్ ఆఫ్ ది మ్యాచ్ అవార్డులు (9) ',' 44 వ అత్యంత ప్లేయర్ ఆఫ్ ది సిరీస్గా అవార్డులు (3) ',' 6 వ కెప్టెన్గా అత్యధిక మ్యాచ్లు (60) ',' బృందం (25) కెప్టెన్ గా 33 వ వరుస మ్యాచ్లు ']")</f>
        <v>[ '41 వ అత్యధిక కెరీర్ లో పరుగులు (7490)', 'వరుస 38 వ అత్యధిక పరుగులు (692)', '32 వ ఒక క్యాలెండర్ సంవత్సరంలో అత్యధిక పరుగులు (1322)', '7 వ పరాజయం వైపు ఒక మ్యాచ్లో అత్యధిక పరుగులు (256 ) ',' 13 వ కెప్టెన్ ద్వారా ఒక సిరీస్లో అత్యధిక పరుగులు (655) ',' ఒక కెప్టెన్తో ఇన్నింగ్స్ లో 19 అత్యధిక పరుగులు (254 *) ',' 27 వ అత్యధిక కెరీర్ బ్యాటింగ్ సగటు (52.37) ',' 17 వ అత్యధిక వందలు లో ఒక కెరీర్ (27) ',' 4 వ అత్యధిక డబుల్ వందల వృత్తిలో (7) ',' 2 వ అత్యధిక డబుల్ వరుస వరుస (2) ',' 2 వ అత్యధిక వందలు వందల (4) ',' 19 వ అత్యధిక వందలు లో ఒక క్యాలెండర్ ఏడాది (5) ',' 33 వ ఒక జట్టు వ్యతిరేకంగా అత్యధిక వందలు (7) ',' వరుస ఇన్నింగ్స్లో 5 వ వందల (3) ',' వరుస మ్యాచ్లలో 21 వందల (3) ',' 43 వ కెరీర్ ఫోర్లు (839 ) ',' 27th 4000 పరుగులు (వేగంగా 89) ',' 14 వ 5000 పరుగులు (105) ',' 6000 పరుగులు (119) ',' 5 వ వేగవంతమైన 9 వేగవంతమైన 7000 పరుగులు (138) కు ',' 33 వ అత్యధిక వేగంగా ఏ వికెట్కు పార్టనర్ షిప్ (365) ',' నాలుగవ వికెట్కు 8 వ అత్యధిక భాగస్వామ్యం (365) ',' ఐదవ వికెట్కు 43 వ అత్యధిక భాగస్వామ్యం (225) ',' 7 వ Highes ఎనిమిదవ వికెట్కు t భాగస్వామ్యం (241) ',' ఒక జట్టుకు 50 వ వరుస మ్యాచ్లు (54) ',' 32 వ అత్యంత ప్లేయర్ ఆఫ్ ది మ్యాచ్ అవార్డులు (9) ',' 44 వ అత్యంత ప్లేయర్ ఆఫ్ ది సిరీస్గా అవార్డులు (3) ',' 6 వ కెప్టెన్గా అత్యధిక మ్యాచ్లు (60) ',' బృందం (25) కెప్టెన్ గా 33 వ వరుస మ్యాచ్లు ']</v>
      </c>
      <c r="E5016" s="2" t="s">
        <v>3420</v>
      </c>
      <c r="F5016" s="2" t="str">
        <f>IFERROR(__xludf.DUMMYFUNCTION("IF(E5016&lt;&gt;"""", GOOGLETRANSLATE(E5016, ""en"", ""te""),"""")"),"[ 'కెరీర్లో 6 వ అత్యధిక పరుగులు (12169)', '20 వ ఇన్నింగ్స్ (183) అత్యధిక పరుగులు' 'వరుస 12 వ అత్యధిక పరుగులు (558)', '12 వ ఒక క్యాలెండర్ సంవత్సరంలో అత్యధిక పరుగులు (1460)', ' 4 వ అత్యంత ఇన్నింగ్స్ లో నడుస్తుంది (బ్యాటింగ్ స్థానం) (183) ',' ఒక కెప్టెన్ ద్వ"&amp;"ారా ఒక సిరీస్లో 4 అత్యధిక పరుగులు (558) ',' ఒక కెప్టెన్తో ఇన్నింగ్స్ లో 11 వ అత్యధిక పరుగులు (160 *) ',' 2 వ అత్యధిక కెరీర్ బ్యాటింగ్ సగటు (59.07) ',' ఒక వృత్తిలో 2 వ అత్యధిక వందలు (43) ',' వరుస 3 వ అత్యధిక వందలు (3) ',' 5 వ ఒక క్యాలెండర్ సంవత్సరంలో అత్యధ"&amp;"ిక వందలు (6) ',' 1st చాలా ప్రతిగా శతకాలతో ఒక జట్టు (9) ',' వరుస ఇన్నింగ్స్లో 2 వ వందల (3) ',' 31 పిన్న ఆటగాడు కెరీర్లో వంద (21y 49d) ',' 8 వ అత్యంత తొంభైల స్కోర్ (6) ',' 1 వ 99 పరుగుల (మరియు 199, 299 etc) (99) ',' 4 వ కెరీర్ అర్ధ (105) ',' వరుస ఇన్నింగ్స"&amp;"్లో 11 వ యాభైల్లో (5) ',' 26th ఎక్కువ సిక్స్ కెరీర్లో (125) ',' 6 వ కెరీర్ ఫోర్లు ( 1140) ',' ఇన్నింగ్స్ లో 9 వ అత్యంత ఫోర్లు (22) ',' 11 వ 1000 పరుగులు (వేగంగా 24) ', '21 వ 2000 పరుగులు (వేగంగా 53)', '12 వ 3000 పరుగులు (వేగంగా 75)', ' 4 వ వేగవంతమైన 400"&amp;"0 పరుగులు (93) ',' 2nd 5000 వేగంగా పరుగులు (114) ',' 2nd 6000 వేగంగా పరుగులు (136) ',' 2nd 7000 వేగంగా పరుగులు (161) ',' 8000 పరుగులు వేగంగా 1st (175) ',' 1st 9000 పరుగులు (194) ',' ఫాస్టెస్ట్ 10000 పరుగులు (205) ',' 1 వ 1st వేగవంతమైన 11000 పరుగులు (222)"&amp;" ',' 12000 పరుగులు (242) ',' 11 వ చెత్త వృత్తికి 1st వేగవంతమైన కు వేగవంతమైన కెరీర్లో బౌలింగ్ సరాసరి (అర్హత లేకుండా) (166.25) ',' 7 వ అత్యధిక క్యాచ్లు (132) ',' మూడో వికెట్కు 21 అత్యధిక భాగస్వామ్యం (213) ',' ఐదవ వికెట్కు 6 వ అత్యధిక భాగస్వామ్యం (200) ','"&amp;" 39 వ కెరీర్లో అత్యధిక మ్యాచ్లు (254) ',' ఒక జట్టుకు 15 వ వరుస మ్యాచ్లు (102) ',' 3 వ అత్యంత ప్లేయర్ ఆఫ్ ది మ్యాచ్ అవార్డులు (36) ',' 3 వ అత్యంత ప్లేయర్ ఆఫ్ ది సిరీస్ అవార్డులు ( 9) ',' 22 వ కెప్టెన్గా అత్యధిక మ్యాచ్లు (95) ',' 36 వ పిన్న కాప్టెన్ (24y 23"&amp;"9d) ']")</f>
        <v>[ 'కెరీర్లో 6 వ అత్యధిక పరుగులు (12169)', '20 వ ఇన్నింగ్స్ (183) అత్యధిక పరుగులు' 'వరుస 12 వ అత్యధిక పరుగులు (558)', '12 వ ఒక క్యాలెండర్ సంవత్సరంలో అత్యధిక పరుగులు (1460)', ' 4 వ అత్యంత ఇన్నింగ్స్ లో నడుస్తుంది (బ్యాటింగ్ స్థానం) (183) ',' ఒక కెప్టెన్ ద్వారా ఒక సిరీస్లో 4 అత్యధిక పరుగులు (558) ',' ఒక కెప్టెన్తో ఇన్నింగ్స్ లో 11 వ అత్యధిక పరుగులు (160 *) ',' 2 వ అత్యధిక కెరీర్ బ్యాటింగ్ సగటు (59.07) ',' ఒక వృత్తిలో 2 వ అత్యధిక వందలు (43) ',' వరుస 3 వ అత్యధిక వందలు (3) ',' 5 వ ఒక క్యాలెండర్ సంవత్సరంలో అత్యధిక వందలు (6) ',' 1st చాలా ప్రతిగా శతకాలతో ఒక జట్టు (9) ',' వరుస ఇన్నింగ్స్లో 2 వ వందల (3) ',' 31 పిన్న ఆటగాడు కెరీర్లో వంద (21y 49d) ',' 8 వ అత్యంత తొంభైల స్కోర్ (6) ',' 1 వ 99 పరుగుల (మరియు 199, 299 etc) (99) ',' 4 వ కెరీర్ అర్ధ (105) ',' వరుస ఇన్నింగ్స్లో 11 వ యాభైల్లో (5) ',' 26th ఎక్కువ సిక్స్ కెరీర్లో (125) ',' 6 వ కెరీర్ ఫోర్లు ( 1140) ',' ఇన్నింగ్స్ లో 9 వ అత్యంత ఫోర్లు (22) ',' 11 వ 1000 పరుగులు (వేగంగా 24) ', '21 వ 2000 పరుగులు (వేగంగా 53)', '12 వ 3000 పరుగులు (వేగంగా 75)', ' 4 వ వేగవంతమైన 4000 పరుగులు (93) ',' 2nd 5000 వేగంగా పరుగులు (114) ',' 2nd 6000 వేగంగా పరుగులు (136) ',' 2nd 7000 వేగంగా పరుగులు (161) ',' 8000 పరుగులు వేగంగా 1st (175) ',' 1st 9000 పరుగులు (194) ',' ఫాస్టెస్ట్ 10000 పరుగులు (205) ',' 1 వ 1st వేగవంతమైన 11000 పరుగులు (222) ',' 12000 పరుగులు (242) ',' 11 వ చెత్త వృత్తికి 1st వేగవంతమైన కు వేగవంతమైన కెరీర్లో బౌలింగ్ సరాసరి (అర్హత లేకుండా) (166.25) ',' 7 వ అత్యధిక క్యాచ్లు (132) ',' మూడో వికెట్కు 21 అత్యధిక భాగస్వామ్యం (213) ',' ఐదవ వికెట్కు 6 వ అత్యధిక భాగస్వామ్యం (200) ',' 39 వ కెరీర్లో అత్యధిక మ్యాచ్లు (254) ',' ఒక జట్టుకు 15 వ వరుస మ్యాచ్లు (102) ',' 3 వ అత్యంత ప్లేయర్ ఆఫ్ ది మ్యాచ్ అవార్డులు (36) ',' 3 వ అత్యంత ప్లేయర్ ఆఫ్ ది సిరీస్ అవార్డులు ( 9) ',' 22 వ కెప్టెన్గా అత్యధిక మ్యాచ్లు (95) ',' 36 వ పిన్న కాప్టెన్ (24y 239d) ']</v>
      </c>
      <c r="G5016" s="2" t="s">
        <v>3421</v>
      </c>
      <c r="H5016" s="2" t="str">
        <f>IFERROR(__xludf.DUMMYFUNCTION("IF(G5016&lt;&gt;"""", GOOGLETRANSLATE(G5016, ""en"", ""te""),"""")"),"[ 'కెరీర్లో 1st అత్యధిక పరుగులు (3159)', '5 వ ఒక క్యాలెండర్ సంవత్సరంలో అత్యధిక పరుగులు (641)', '14 వ ఇన్నింగ్స్ లో అత్యధిక పరుగులు (బ్యాటింగ్ స్థానంలో ప్రకారం) (94 *)', '22 వ మ్యాచ్ లో అత్యధిక పరుగులు పరాజయం వైపు (89 *) న ',' 3 వ అత్యంత ఒకే మైదానంలో పరు"&amp;"గులు (472) ',' ఒక కెప్టెన్తో ఇన్నింగ్స్ లో 15 వ అత్యధిక పరుగులు (94 *) ',' 1 వ అత్యధిక కెరీర్ బ్యాటింగ్ సగటు (52.65) ', '43 వ అత్యధిక కెరీర్ సమ్మె రేటు (139.04)', '1 వ కెరీర్ అర్ధ (28)', 'వరుస ఇన్నింగ్స్లో 3 వ యాభైల్లో (3)', '3 వ అత్యంత ఇన్నింగ్స్ తొలి డ"&amp;"క్ ముందు (47)', '15 వ వరుస ఇన్నింగ్స్ ఒక డక్ లేకుండా (47) ',' 19 వ కెరీర్ లో అతి తక్కువ బాతులు (28) ',' 9 వ కెరీర్ లో వచ్చిన ఎక్కువ సిక్స్ (90) ',' 1 వ కెరీర్ ఫోర్లు (285) ',' 42 వ ఇన్నింగ్స్ లో వచ్చిన ఎక్కువ సిక్స్ (7 ) ',' 31 ఇన్నింగ్స్ లో వచ్చిన ఎక్కువ"&amp;" ఫోర్లు (11) ',' 44th లాంగెస్ట్ వ్యక్తిగత ఇన్నింగ్స్ (బంతులతో) (61) ',' ఒక ఇన్నింగ్స్లో పరుగుల 24 అత్యధిక శాతం (59.23) ',' 1000 పరుగులు వేగంగా 3 వ (27) ',' 2nd 2000 వరకు వేగంగా పరుగులు (56) ',' 9 వ కెరీర్లో అత్యధిక క్యాచ్లు (42) ',' 15 వ ఇన్నింగ్స్ లో అత్"&amp;"యధిక క్యాచ్లు (3) ',' 37 వ అత్యధిక భాగం ఏ వికెట్కు nerships (134) ',' మూడో వికెట్కు 6 వ అత్యధిక భాగస్వామ్యం (134) ',' నాలుగవ వికెట్కు 21 అత్యధిక భాగస్వామ్యం (100) ',' ఐదవ వికెట్ (67 *) కోసం 48 వ అత్యధిక భాగస్వామ్యం ',' 25 ఆరవ వికెట్కు అత్యధిక భాగస్వామ్యం "&amp;"(70) ',' 10 వ కెరీర్ లో అత్యధిక మ్యాచ్లు (90) ',' ఒక జట్టుకు 50 వ వరుస మ్యాచ్లు (28) ',' 2 వ అత్యంత ప్లేయర్ ఆఫ్ ది మ్యాచ్ అవార్డులు (12) ',' 1 వ అత్యంత ప్లేయర్ ఆఫ్ ది సిరీస్ అవార్డులు (7) ',' కెప్టెన్ 7 వ అత్యధిక మ్యాచ్లు (45) ',' 19 వ వరుస (3) లో అన్ని ట"&amp;"ాస్ గెలిచి ']")</f>
        <v>[ 'కెరీర్లో 1st అత్యధిక పరుగులు (3159)', '5 వ ఒక క్యాలెండర్ సంవత్సరంలో అత్యధిక పరుగులు (641)', '14 వ ఇన్నింగ్స్ లో అత్యధిక పరుగులు (బ్యాటింగ్ స్థానంలో ప్రకారం) (94 *)', '22 వ మ్యాచ్ లో అత్యధిక పరుగులు పరాజయం వైపు (89 *) న ',' 3 వ అత్యంత ఒకే మైదానంలో పరుగులు (472) ',' ఒక కెప్టెన్తో ఇన్నింగ్స్ లో 15 వ అత్యధిక పరుగులు (94 *) ',' 1 వ అత్యధిక కెరీర్ బ్యాటింగ్ సగటు (52.65) ', '43 వ అత్యధిక కెరీర్ సమ్మె రేటు (139.04)', '1 వ కెరీర్ అర్ధ (28)', 'వరుస ఇన్నింగ్స్లో 3 వ యాభైల్లో (3)', '3 వ అత్యంత ఇన్నింగ్స్ తొలి డక్ ముందు (47)', '15 వ వరుస ఇన్నింగ్స్ ఒక డక్ లేకుండా (47) ',' 19 వ కెరీర్ లో అతి తక్కువ బాతులు (28) ',' 9 వ కెరీర్ లో వచ్చిన ఎక్కువ సిక్స్ (90) ',' 1 వ కెరీర్ ఫోర్లు (285) ',' 42 వ ఇన్నింగ్స్ లో వచ్చిన ఎక్కువ సిక్స్ (7 ) ',' 31 ఇన్నింగ్స్ లో వచ్చిన ఎక్కువ ఫోర్లు (11) ',' 44th లాంగెస్ట్ వ్యక్తిగత ఇన్నింగ్స్ (బంతులతో) (61) ',' ఒక ఇన్నింగ్స్లో పరుగుల 24 అత్యధిక శాతం (59.23) ',' 1000 పరుగులు వేగంగా 3 వ (27) ',' 2nd 2000 వరకు వేగంగా పరుగులు (56) ',' 9 వ కెరీర్లో అత్యధిక క్యాచ్లు (42) ',' 15 వ ఇన్నింగ్స్ లో అత్యధిక క్యాచ్లు (3) ',' 37 వ అత్యధిక భాగం ఏ వికెట్కు nerships (134) ',' మూడో వికెట్కు 6 వ అత్యధిక భాగస్వామ్యం (134) ',' నాలుగవ వికెట్కు 21 అత్యధిక భాగస్వామ్యం (100) ',' ఐదవ వికెట్ (67 *) కోసం 48 వ అత్యధిక భాగస్వామ్యం ',' 25 ఆరవ వికెట్కు అత్యధిక భాగస్వామ్యం (70) ',' 10 వ కెరీర్ లో అత్యధిక మ్యాచ్లు (90) ',' ఒక జట్టుకు 50 వ వరుస మ్యాచ్లు (28) ',' 2 వ అత్యంత ప్లేయర్ ఆఫ్ ది మ్యాచ్ అవార్డులు (12) ',' 1 వ అత్యంత ప్లేయర్ ఆఫ్ ది సిరీస్ అవార్డులు (7) ',' కెప్టెన్ 7 వ అత్యధిక మ్యాచ్లు (45) ',' 19 వ వరుస (3) లో అన్ని టాస్ గెలిచి ']</v>
      </c>
      <c r="I5016" s="3"/>
    </row>
    <row r="5017" customHeight="1" spans="1:9">
      <c r="A5017" s="2"/>
      <c r="B5017" s="2" t="str">
        <f>IFERROR(__xludf.DUMMYFUNCTION("IF(A5017&lt;&gt;"""", GOOGLETRANSLATE(A5017, ""en"", ""te""),"""")"),"")</f>
        <v/>
      </c>
      <c r="C5017" s="2"/>
      <c r="D5017" s="2" t="str">
        <f>IFERROR(__xludf.DUMMYFUNCTION("IF(C5017&lt;&gt;"""", GOOGLETRANSLATE(C5017, ""en"", ""te""),"""")"),"")</f>
        <v/>
      </c>
      <c r="E5017" s="2"/>
      <c r="F5017" s="2" t="str">
        <f>IFERROR(__xludf.DUMMYFUNCTION("IF(E5017&lt;&gt;"""", GOOGLETRANSLATE(E5017, ""en"", ""te""),"""")"),"")</f>
        <v/>
      </c>
      <c r="G5017" s="2"/>
      <c r="H5017" s="2" t="str">
        <f>IFERROR(__xludf.DUMMYFUNCTION("IF(G5017&lt;&gt;"""", GOOGLETRANSLATE(G5017, ""en"", ""te""),"""")"),"")</f>
        <v/>
      </c>
      <c r="I5017" s="3"/>
    </row>
    <row r="5018" customHeight="1" spans="1:9">
      <c r="A5018" s="2" t="s">
        <v>3422</v>
      </c>
      <c r="B5018" s="2" t="str">
        <f>IFERROR(__xludf.DUMMYFUNCTION("IF(A5018&lt;&gt;"""", GOOGLETRANSLATE(A5018, ""en"", ""te""),"""")"),"[ '1st ఒక ఇన్నింగ్స్ లోని బెస్ట్ ఫిగర్స్ ఉన్నప్పుడు పరాజయం వైపు (9)', '10 వ కెరీర్ లో బౌల్డ్ చాలా బంతుల్లో (27740)', '7 వ కెరీర్ లో సాధించిన అత్యధిక పరుగులు (12867)', '2 వ అత్యంత తీసుకోబడిన వికెట్ల హిట్ వికెట్ ( 3) ',' 250 పరుగులు మరియు ఒక సిరీస్లో 20 వి"&amp;"కెట్లు ',' 1000 పరుగులు, 50 వికెట్లు, 50 క్యాచ్లు ',' 5000 పరుగులు మరియు 50 ఫీల్డింగ్ వికెట్లు ',' 1 వ ఇన్నింగ్స్ లో అత్యధిక పరుగులు (బ్యాటింగ్ స్థానంలో ప్రకారం) (175 * ) ',' 4 వ అత్యధిక తొలి వంద (175 *) ',' 6 వ ఒక సిరీస్లో అత్యధిక బాతులు ద్వారా ఒక ఇన్నిం"&amp;"గ్స్ లో (3) ',' ఒక ఇన్నింగ్స్లో పరుగుల 2 వ అత్యధిక శాతం (65.78) ',' 6 వ ఉత్తమ బొమ్మలు కెప్టెన్ (5) ',' ఇన్నింగ్స్ లో 6 వ ఉత్తమ ఆర్థిక రేటు (0.57) ',' బ్యాటింగ్ తెరవడం మరియు అదే మ్యాచ్ లో బౌలింగ్ ',' 1000 పరుగులు, 50 వికెట్లు, 50 క్యాచ్లు ',' తొమ్మిదవ వికె"&amp;"ట్కు 2 వ అత్యధిక భాగస్వామ్యం (126 *) ',' 7 వ అత్యధిక వికెట్లు బౌల్డ్ తీసుకోకూడదు (167) ']")</f>
        <v>[ '1st ఒక ఇన్నింగ్స్ లోని బెస్ట్ ఫిగర్స్ ఉన్నప్పుడు పరాజయం వైపు (9)', '10 వ కెరీర్ లో బౌల్డ్ చాలా బంతుల్లో (27740)', '7 వ కెరీర్ లో సాధించిన అత్యధిక పరుగులు (12867)', '2 వ అత్యంత తీసుకోబడిన వికెట్ల హిట్ వికెట్ ( 3) ',' 250 పరుగులు మరియు ఒక సిరీస్లో 20 వికెట్లు ',' 1000 పరుగులు, 50 వికెట్లు, 50 క్యాచ్లు ',' 5000 పరుగులు మరియు 50 ఫీల్డింగ్ వికెట్లు ',' 1 వ ఇన్నింగ్స్ లో అత్యధిక పరుగులు (బ్యాటింగ్ స్థానంలో ప్రకారం) (175 * ) ',' 4 వ అత్యధిక తొలి వంద (175 *) ',' 6 వ ఒక సిరీస్లో అత్యధిక బాతులు ద్వారా ఒక ఇన్నింగ్స్ లో (3) ',' ఒక ఇన్నింగ్స్లో పరుగుల 2 వ అత్యధిక శాతం (65.78) ',' 6 వ ఉత్తమ బొమ్మలు కెప్టెన్ (5) ',' ఇన్నింగ్స్ లో 6 వ ఉత్తమ ఆర్థిక రేటు (0.57) ',' బ్యాటింగ్ తెరవడం మరియు అదే మ్యాచ్ లో బౌలింగ్ ',' 1000 పరుగులు, 50 వికెట్లు, 50 క్యాచ్లు ',' తొమ్మిదవ వికెట్కు 2 వ అత్యధిక భాగస్వామ్యం (126 *) ',' 7 వ అత్యధిక వికెట్లు బౌల్డ్ తీసుకోకూడదు (167) ']</v>
      </c>
      <c r="C5018" s="2" t="s">
        <v>3423</v>
      </c>
      <c r="D5018" s="2" t="str">
        <f>IFERROR(__xludf.DUMMYFUNCTION("IF(C5018&lt;&gt;"""", GOOGLETRANSLATE(C5018, ""en"", ""te""),"""")"),"[ '13 వ ఇన్నింగ్స్ లో అత్యధిక పరుగులు (బ్యాటింగ్ స్థానంలో ప్రకారం) (163)', 'కెరీర్లో 25 వ ఎక్కువ సిక్స్ (61)' పరుగులు 17 అత్యధిక శాతం '23 పిన్న ఆటగాడు వంద (20y 18d) స్కోర్', ' ఒక ఇన్నింగ్స్లో కెరీర్లో (60.00) ',' 9 వ అత్యధిక వికెట్లు (434) ',' 11 వ ఉత్తమ "&amp;"శ్రేణిలో ఒక ఇన్నింగ్స్ లో సంఖ్యలు (9/83) ',' 44 వ అత్యధిక వికెట్లు (32) ',' 7 వ అత్యంత వికెట్లు ఒక క్యాలెండర్ ఏడాది (75) ',' ఒక కెప్టెన్తో ఒక ఇన్నింగ్స్ లో 1 వ బెస్ట్ ఫిగర్స్ (9) ',' ఒక కెప్టెన్తో ఒక మ్యాచ్లో 14 వ బెస్ట్ ఫిగర్స్ (10) ',' 1 వ ఉత్తమ ఇన్నింగ"&amp;"్స్ లో సంఖ్యలు కోల్పోకుండా వైపు ఉన్నప్పుడు ఒక మ్యాచ్లో (9) ',' 40 వ బెస్ట్ ఫిగర్స్ పరాజయం వైపు (10) ',' 14 వ అత్యంత ఐదు-వికెట్ల లో-ఒక-ఇన్నింగ్స్ కెరీర్ (23) ',' 49 వ పిన్న ఆటగాడు లో ఐదు- తీసుకోవాలని ఉన్నప్పుడు వికెట్ల లో-ఒక-ఇన్నింగ్స్ (20y 187d) ',' పది"&amp;" వికెట్లు లో ఒక మ్యాచ్ (21y 9D) తీసుకోవాలని 17 వ పిన్న ఆటగాడు ',' 10 వ కెరీర్ (27740) ',' 7 వ మోస్ట్ రన్స్ బౌల్డ్ చాలా బంతుల్లో కెరీర్లో సాధించిన (12867) ',' 16 వ ఇన్నింగ్స్ లో సాధించిన అత్యధిక పరుగులు (220) ',' 18 వ బౌలర్ / బ్యాటర్ కలయికలు (12) ',' 23 వ "&amp;"బౌలర్ / ఫీల్డర్ కలయికలు (51) ',' 14 వ అత్యధిక వికెట్లు బౌల్డ్ తీసుకున్న (88) ',' 18 వ అత్యధిక వికెట్లు తీసుకున్న ఆకర్షించింది (232) ',' 27 వ అత్యధిక వికెట్లు ఒక ఫీల్డర్ చేత క్యాచ్ తీసుకున్న (136) ',' 9 వ అత్యధిక వికెట్లు ఒక వికెట్ కీపర్ చే కాట్ తీసుకోకూడద"&amp;"ు (96) ',' 6 వ అత్యధిక వికెట్లు 200 వికెట్లు తీసుకున్న ఎల్బిడబ్ల్యు (111) ',' 2 వ అత్యధిక వికెట్లు తీసిన హిట్ వికెట్ (3) ',' 39 వ వేగంగా (50) ',' 30th 250 వికెట్లు (65) ',' 29th వేగంగా వేగంగా 300 వికెట్లు (83) ',' ఫాస్టెస్ట్ 350 వికెట్లు (100) ',' 15 వ 40"&amp;"0 వికెట్లు కెరీర్లో (115) ',' 20 వ అత్యధిక మ్యాచ్లు వేగంగా (131) ',' ఒక జట్టు కోసం 25 వరుస మ్యాచ్లు (23 66) ',' 41 వ అత్యంత ప్లేయర్ ఆఫ్ ది మ్యాచ్ అవార్డులు (8) ',' 24 వ అత్యంత ప్లేయర్ ఆఫ్ ది సిరీస్ అవార్డులు (4) ',' 36 వ అత్యధిక మ్యాచ్లు కెప్టెన్గా (34) '"&amp;",' 33 వ విన్నింగ్ ఒక సిరీస్లో అన్ని టాస్ (3) ',' 19 వ పిన్న కాప్టెన్ (24y 48d) ']")</f>
        <v>[ '13 వ ఇన్నింగ్స్ లో అత్యధిక పరుగులు (బ్యాటింగ్ స్థానంలో ప్రకారం) (163)', 'కెరీర్లో 25 వ ఎక్కువ సిక్స్ (61)' పరుగులు 17 అత్యధిక శాతం '23 పిన్న ఆటగాడు వంద (20y 18d) స్కోర్', ' ఒక ఇన్నింగ్స్లో కెరీర్లో (60.00) ',' 9 వ అత్యధిక వికెట్లు (434) ',' 11 వ ఉత్తమ శ్రేణిలో ఒక ఇన్నింగ్స్ లో సంఖ్యలు (9/83) ',' 44 వ అత్యధిక వికెట్లు (32) ',' 7 వ అత్యంత వికెట్లు ఒక క్యాలెండర్ ఏడాది (75) ',' ఒక కెప్టెన్తో ఒక ఇన్నింగ్స్ లో 1 వ బెస్ట్ ఫిగర్స్ (9) ',' ఒక కెప్టెన్తో ఒక మ్యాచ్లో 14 వ బెస్ట్ ఫిగర్స్ (10) ',' 1 వ ఉత్తమ ఇన్నింగ్స్ లో సంఖ్యలు కోల్పోకుండా వైపు ఉన్నప్పుడు ఒక మ్యాచ్లో (9) ',' 40 వ బెస్ట్ ఫిగర్స్ పరాజయం వైపు (10) ',' 14 వ అత్యంత ఐదు-వికెట్ల లో-ఒక-ఇన్నింగ్స్ కెరీర్ (23) ',' 49 వ పిన్న ఆటగాడు లో ఐదు- తీసుకోవాలని ఉన్నప్పుడు వికెట్ల లో-ఒక-ఇన్నింగ్స్ (20y 187d) ',' పది వికెట్లు లో ఒక మ్యాచ్ (21y 9D) తీసుకోవాలని 17 వ పిన్న ఆటగాడు ',' 10 వ కెరీర్ (27740) ',' 7 వ మోస్ట్ రన్స్ బౌల్డ్ చాలా బంతుల్లో కెరీర్లో సాధించిన (12867) ',' 16 వ ఇన్నింగ్స్ లో సాధించిన అత్యధిక పరుగులు (220) ',' 18 వ బౌలర్ / బ్యాటర్ కలయికలు (12) ',' 23 వ బౌలర్ / ఫీల్డర్ కలయికలు (51) ',' 14 వ అత్యధిక వికెట్లు బౌల్డ్ తీసుకున్న (88) ',' 18 వ అత్యధిక వికెట్లు తీసుకున్న ఆకర్షించింది (232) ',' 27 వ అత్యధిక వికెట్లు ఒక ఫీల్డర్ చేత క్యాచ్ తీసుకున్న (136) ',' 9 వ అత్యధిక వికెట్లు ఒక వికెట్ కీపర్ చే కాట్ తీసుకోకూడదు (96) ',' 6 వ అత్యధిక వికెట్లు 200 వికెట్లు తీసుకున్న ఎల్బిడబ్ల్యు (111) ',' 2 వ అత్యధిక వికెట్లు తీసిన హిట్ వికెట్ (3) ',' 39 వ వేగంగా (50) ',' 30th 250 వికెట్లు (65) ',' 29th వేగంగా వేగంగా 300 వికెట్లు (83) ',' ఫాస్టెస్ట్ 350 వికెట్లు (100) ',' 15 వ 400 వికెట్లు కెరీర్లో (115) ',' 20 వ అత్యధిక మ్యాచ్లు వేగంగా (131) ',' ఒక జట్టు కోసం 25 వరుస మ్యాచ్లు (23 66) ',' 41 వ అత్యంత ప్లేయర్ ఆఫ్ ది మ్యాచ్ అవార్డులు (8) ',' 24 వ అత్యంత ప్లేయర్ ఆఫ్ ది సిరీస్ అవార్డులు (4) ',' 36 వ అత్యధిక మ్యాచ్లు కెప్టెన్గా (34) ',' 33 వ విన్నింగ్ ఒక సిరీస్లో అన్ని టాస్ (3) ',' 19 వ పిన్న కాప్టెన్ (24y 48d) ']</v>
      </c>
      <c r="E5018" s="2" t="s">
        <v>3424</v>
      </c>
      <c r="F5018" s="2" t="str">
        <f>IFERROR(__xludf.DUMMYFUNCTION("IF(E5018&lt;&gt;"""", GOOGLETRANSLATE(E5018, ""en"", ""te""),"""")"),"[ '36 వ ఇన్నింగ్స్ లో అత్యధిక పరుగులు (175 *)', 'ఇన్నింగ్స్ లో 1 వ అత్యధిక పరుగులు (175 *) (బ్యాటింగ్ స్థానం)' 'ఇన్నింగ్స్ లో 6 వ అత్యధిక పరుగులు (ప్రగతిశీల రికార్డు హోల్డర్) (175 *)', 'ఒక కెప్టెన్తో ఇన్నింగ్స్ లో 6 వ అత్యధిక పరుగులు (175 *)', '4 వ అత్యధి"&amp;"క తొలి వంద (175 *)', '6 వ ఒక సిరీస్లో అత్యధిక బాతులు (3)', 'ఒక ఇన్నింగ్స్లో పరుగుల 2 వ అత్యధిక శాతం ( 65.78) ',' 26th కెరీర్లో అత్యధిక వికెట్లు (253) ',' 26 ఒక సిరీస్లో అత్యధిక వికెట్లు (20) ',' ఒక కెప్టెన్తో ఒక ఇన్నింగ్స్ లో 6 వ ఉత్తమ బొమ్మలు (5) ',' 14 "&amp;"వ ఉత్తమ ఇన్నింగ్స్ ఉన్నప్పుడు గణాంకాలు పరాజయం వైపు (5) ',' 26 ఉత్తమ కెరీర్ ఆర్థిక రేటు (3.71) ',' ఇన్నింగ్స్ లో 6 వ ఉత్తమ ఆర్థిక రేటు (0.57) ',' 13 వ కెరీర్ లో బౌల్డ్ చాలా బంతుల్లో (11202) ',' 27 వ అత్యధిక పరుగులు సాధించిన కెరీర్లో (6945) ',' 11 వ బౌలర్ "&amp;"/ బ్యాట్స్ కలయికలు (9) ',' 15 వ అత్యధిక వికెట్లు తీసుకున్న బౌల్డ్ (79) ',' 39 వ అత్యధిక వికెట్లు తీసుకున్న ఆకర్షించింది (132) ',' 29 వ అత్యధిక వికెట్లు ఒక ఫీల్డర్ చేత క్యాచ్ తీసుకున్న ( 103) ',' 18 వ అత్యధిక వికెట్లు తీసుకున్న ఎల్బిడబ్ల్యు (41) ',' 28th 2"&amp;"00 వికెట్లు (166) ',' 20 వ వేగంగా 250 వికెట్లు (218) ',' 31S వేగంగా ఎనిమిదవ వికెట్కు అత్యధిక భాగస్వామ్యం (82 నాటౌట్) ',' తొమ్మిదవ వికెట్ (126 *) కోసం 2 వ అత్యధిక భాగస్వామ్యం ',' 37 వ లాంగెస్ట్ కెరీర్లు (16y 16d) ',' 33 వ అత్యధిక మ్యాచ్లు కెప్టెన్గా (74) '"&amp;",' 27th t ఒక జట్టు కెప్టెన్గా వరుస మ్యాచ్లు (38) ',' 18 వ పిన్న కాప్టెన్ (23y 249d) ']")</f>
        <v>[ '36 వ ఇన్నింగ్స్ లో అత్యధిక పరుగులు (175 *)', 'ఇన్నింగ్స్ లో 1 వ అత్యధిక పరుగులు (175 *) (బ్యాటింగ్ స్థానం)' 'ఇన్నింగ్స్ లో 6 వ అత్యధిక పరుగులు (ప్రగతిశీల రికార్డు హోల్డర్) (175 *)', 'ఒక కెప్టెన్తో ఇన్నింగ్స్ లో 6 వ అత్యధిక పరుగులు (175 *)', '4 వ అత్యధిక తొలి వంద (175 *)', '6 వ ఒక సిరీస్లో అత్యధిక బాతులు (3)', 'ఒక ఇన్నింగ్స్లో పరుగుల 2 వ అత్యధిక శాతం ( 65.78) ',' 26th కెరీర్లో అత్యధిక వికెట్లు (253) ',' 26 ఒక సిరీస్లో అత్యధిక వికెట్లు (20) ',' ఒక కెప్టెన్తో ఒక ఇన్నింగ్స్ లో 6 వ ఉత్తమ బొమ్మలు (5) ',' 14 వ ఉత్తమ ఇన్నింగ్స్ ఉన్నప్పుడు గణాంకాలు పరాజయం వైపు (5) ',' 26 ఉత్తమ కెరీర్ ఆర్థిక రేటు (3.71) ',' ఇన్నింగ్స్ లో 6 వ ఉత్తమ ఆర్థిక రేటు (0.57) ',' 13 వ కెరీర్ లో బౌల్డ్ చాలా బంతుల్లో (11202) ',' 27 వ అత్యధిక పరుగులు సాధించిన కెరీర్లో (6945) ',' 11 వ బౌలర్ / బ్యాట్స్ కలయికలు (9) ',' 15 వ అత్యధిక వికెట్లు తీసుకున్న బౌల్డ్ (79) ',' 39 వ అత్యధిక వికెట్లు తీసుకున్న ఆకర్షించింది (132) ',' 29 వ అత్యధిక వికెట్లు ఒక ఫీల్డర్ చేత క్యాచ్ తీసుకున్న ( 103) ',' 18 వ అత్యధిక వికెట్లు తీసుకున్న ఎల్బిడబ్ల్యు (41) ',' 28th 200 వికెట్లు (166) ',' 20 వ వేగంగా 250 వికెట్లు (218) ',' 31S వేగంగా ఎనిమిదవ వికెట్కు అత్యధిక భాగస్వామ్యం (82 నాటౌట్) ',' తొమ్మిదవ వికెట్ (126 *) కోసం 2 వ అత్యధిక భాగస్వామ్యం ',' 37 వ లాంగెస్ట్ కెరీర్లు (16y 16d) ',' 33 వ అత్యధిక మ్యాచ్లు కెప్టెన్గా (74) ',' 27th t ఒక జట్టు కెప్టెన్గా వరుస మ్యాచ్లు (38) ',' 18 వ పిన్న కాప్టెన్ (23y 249d) ']</v>
      </c>
      <c r="G5018" s="2" t="s">
        <v>3425</v>
      </c>
      <c r="H5018" s="2" t="str">
        <f>IFERROR(__xludf.DUMMYFUNCTION("IF(G5018&lt;&gt;"""", GOOGLETRANSLATE(G5018, ""en"", ""te""),"""")"),"[ '26 వ అధిక బృందం (38) కెప్టెన్ గా వరుస మ్యాచ్లు']")</f>
        <v>[ '26 వ అధిక బృందం (38) కెప్టెన్ గా వరుస మ్యాచ్లు']</v>
      </c>
      <c r="I5018" s="3"/>
    </row>
    <row r="5019" customHeight="1" spans="1:9">
      <c r="A5019" s="2" t="s">
        <v>3426</v>
      </c>
      <c r="B5019" s="2" t="str">
        <f>IFERROR(__xludf.DUMMYFUNCTION("IF(A5019&lt;&gt;"""", GOOGLETRANSLATE(A5019, ""en"", ""te""),"""")"),"[ 'ఆరవ వికెట్ (102) 6 వ అత్యధిక భాగస్వామ్యం']")</f>
        <v>[ 'ఆరవ వికెట్ (102) 6 వ అత్యధిక భాగస్వామ్యం']</v>
      </c>
      <c r="C5019" s="2"/>
      <c r="D5019" s="2" t="str">
        <f>IFERROR(__xludf.DUMMYFUNCTION("IF(C5019&lt;&gt;"""", GOOGLETRANSLATE(C5019, ""en"", ""te""),"""")"),"")</f>
        <v/>
      </c>
      <c r="E5019" s="2" t="s">
        <v>3427</v>
      </c>
      <c r="F5019" s="2" t="str">
        <f>IFERROR(__xludf.DUMMYFUNCTION("IF(E5019&lt;&gt;"""", GOOGLETRANSLATE(E5019, ""en"", ""te""),"""")"),"[ 'ఏ వికెట్కు 45 వ అత్యధిక భాగస్వామ్యాల (178) యొక్క 11 వ అత్యధిక భాగస్వామ్యం మూడో వికెట్కు' 25 వ పిన్న ఆటగాడు వంద (23y 286d) స్కోర్ ',' 18 వ ఉత్తమ కెరీర్ (10.28) (అర్హత లేకుండా) సగటు బౌలింగ్ ',' (178) ',' ఆరవ వికెట్ (102) 6 వ అత్యధిక భాగస్వామ్యం ']")</f>
        <v>[ 'ఏ వికెట్కు 45 వ అత్యధిక భాగస్వామ్యాల (178) యొక్క 11 వ అత్యధిక భాగస్వామ్యం మూడో వికెట్కు' 25 వ పిన్న ఆటగాడు వంద (23y 286d) స్కోర్ ',' 18 వ ఉత్తమ కెరీర్ (10.28) (అర్హత లేకుండా) సగటు బౌలింగ్ ',' (178) ',' ఆరవ వికెట్ (102) 6 వ అత్యధిక భాగస్వామ్యం ']</v>
      </c>
      <c r="G5019" s="2"/>
      <c r="H5019" s="2" t="str">
        <f>IFERROR(__xludf.DUMMYFUNCTION("IF(G5019&lt;&gt;"""", GOOGLETRANSLATE(G5019, ""en"", ""te""),"""")"),"")</f>
        <v/>
      </c>
      <c r="I5019" s="3"/>
    </row>
    <row r="5020" customHeight="1" spans="1:9">
      <c r="A5020" s="2"/>
      <c r="B5020" s="2" t="str">
        <f>IFERROR(__xludf.DUMMYFUNCTION("IF(A5020&lt;&gt;"""", GOOGLETRANSLATE(A5020, ""en"", ""te""),"""")"),"")</f>
        <v/>
      </c>
      <c r="C5020" s="2"/>
      <c r="D5020" s="2" t="str">
        <f>IFERROR(__xludf.DUMMYFUNCTION("IF(C5020&lt;&gt;"""", GOOGLETRANSLATE(C5020, ""en"", ""te""),"""")"),"")</f>
        <v/>
      </c>
      <c r="E5020" s="2"/>
      <c r="F5020" s="2" t="str">
        <f>IFERROR(__xludf.DUMMYFUNCTION("IF(E5020&lt;&gt;"""", GOOGLETRANSLATE(E5020, ""en"", ""te""),"""")"),"")</f>
        <v/>
      </c>
      <c r="G5020" s="2"/>
      <c r="H5020" s="2" t="str">
        <f>IFERROR(__xludf.DUMMYFUNCTION("IF(G5020&lt;&gt;"""", GOOGLETRANSLATE(G5020, ""en"", ""te""),"""")"),"")</f>
        <v/>
      </c>
      <c r="I5020" s="3"/>
    </row>
    <row r="5021" customHeight="1" spans="1:9">
      <c r="A5021" s="2" t="s">
        <v>3428</v>
      </c>
      <c r="B5021" s="2" t="str">
        <f>IFERROR(__xludf.DUMMYFUNCTION("IF(A5021&lt;&gt;"""", GOOGLETRANSLATE(A5021, ""en"", ""te""),"""")"),"[ 'జట్టు 7 వ వరుస మ్యాచ్లు (17)', 'ఒక కెప్టెన్తో ఇన్నింగ్స్ లో 9 వ అత్యధిక పరుగులు (118)', '1st ఒక సిరీస్లో అత్యధిక వికెట్లు (23)', '4 వ చెత్త కెరీర్లో ఆర్థిక రేటు (2.88 * ) ',' తొలి మ్యాచ్లో 6 వ ఉత్తమ బొమ్మలు (7) ',' 1 వ అత్యంత ఐదు-వికెట్ల లో-ఒక-ఇన్నింగ్"&amp;"స్ కెరీర్లో (5) ',' 9 వ కెరీర్ లో బౌల్డ్ చాలా బంతుల్లో (3320+) ', 'కెరీర్ లో 1 వ అత్యంత సాధించిన పరుగులు (1647)', '2 వ అత్యంత తీసుకున్న స్టంప్ (16) వికెట్స్', 'కెరీర్ లో 6 వ అత్యధిక క్యాచ్లు (14)', '8 వ ఉత్తమ కెరీర్ సమ్మె రేటు (30.2)']")</f>
        <v>[ 'జట్టు 7 వ వరుస మ్యాచ్లు (17)', 'ఒక కెప్టెన్తో ఇన్నింగ్స్ లో 9 వ అత్యధిక పరుగులు (118)', '1st ఒక సిరీస్లో అత్యధిక వికెట్లు (23)', '4 వ చెత్త కెరీర్లో ఆర్థిక రేటు (2.88 * ) ',' తొలి మ్యాచ్లో 6 వ ఉత్తమ బొమ్మలు (7) ',' 1 వ అత్యంత ఐదు-వికెట్ల లో-ఒక-ఇన్నింగ్స్ కెరీర్లో (5) ',' 9 వ కెరీర్ లో బౌల్డ్ చాలా బంతుల్లో (3320+) ', 'కెరీర్ లో 1 వ అత్యంత సాధించిన పరుగులు (1647)', '2 వ అత్యంత తీసుకున్న స్టంప్ (16) వికెట్స్', 'కెరీర్ లో 6 వ అత్యధిక క్యాచ్లు (14)', '8 వ ఉత్తమ కెరీర్ సమ్మె రేటు (30.2)']</v>
      </c>
      <c r="C5021" s="2" t="s">
        <v>3429</v>
      </c>
      <c r="D5021" s="2" t="str">
        <f>IFERROR(__xludf.DUMMYFUNCTION("IF(C5021&lt;&gt;"""", GOOGLETRANSLATE(C5021, ""en"", ""te""),"""")"),"[ '21 వ కెరీర్ లో అత్యధిక పరుగులు (700)', '42 వ ఒక సిరీస్లో అత్యధిక పరుగులు (260)', '10 వ ఇన్నింగ్స్ లో అత్యధిక పరుగులు (బ్యాటింగ్ స్థానంలో ప్రకారం) (118)', '9 వ ఇన్నింగ్స్ లో అత్యధిక పరుగులు ఒక ద్వారా కెప్టెన్ (118) ',' 32 వ అత్యధిక తొలి వంద (118) ',' 27"&amp;" వ కెరీర్ లో అతి తక్కువ బాతులు (10.66) ',' 4 వ కెరీర్ లో అత్యధిక వికెట్లు (60) ',' 32 వ ఇన్నింగ్స్ లో బెస్ట్ ఫిగర్స్ (6/99) ',' 1st ఒక సిరీస్లో అత్యధిక వికెట్లు (23) ',' ఒక క్యాలెండర్ సంవత్సరంలో 4 వ అత్యధిక వికెట్లు (23) ',' 4 వ అత్యుత్తమ బౌలింగ్ ఇన్నింగ్"&amp;"స్ లో ఒకే క్రీడా విశ్లేషణలను (4/14) ',' 14 వ అత్యధిక వికెట్లు (10) ',' 4 వ ఒక ఇన్నింగ్స్ లోని బెస్ట్ ఫిగర్స్ ఉన్నప్పుడు పరాజయం వైపు (6) ',' 9 వ మ్యాచ్లో ఉత్తమ సంఖ్యలు ఉన్నప్పుడు పరాజయం వైపు (6) ',' 16 వ ఉత్తమ కెరీర్ సమ్మె రేటు (59.2 *) ' 'ఇన్నింగ్స్ లో "&amp;"11 వ ఉత్తమ సమ్మె రేటు (14.0)', '4 వ చెత్త కెరీర్లో ఆర్థిక రేటు (2.88 *)', 'ఇన్నింగ్స్ లో 15 వ చెత్త ఆర్థిక రేటు (4.45)', 'తొలి ఇన్నింగ్స్లో 7 వ బెస్ట్ ఫిగర్స్ (5 ) ',' 6 వ అరంగేట్రంలోనే మ్యాచ్లో ఉత్తమ బొమ్మలు (7) ',' 1 వ అత్యంత ఐదు-వికెట్ల లో-ఒక-ఇన్నింగ్స"&amp;"్ కెరీర్లో (5) ',' అయిదు వికెట్లు-i తీసుకోవాలని 2nd పిన్న ఆటగాడు n-ఒక-ఇన్నింగ్స్ (17y 104d) ',' కెరీర్ లో బౌల్డ్ 9 వ అత్యంత బంతుల్లో (3320+) ',' 45 వ అత్యంత బంతుల్లో ఒక మ్యాచ్లో బౌల్డ్ (366) ',' 1st కెరీర్లో సాధించిన అత్యధిక పరుగులు (1647) ',' ఇన్నింగ్స్ "&amp;"(133) ',' 6 వ చాలా మ్యాచ్లో ఇవ్వబడిన పరుగులలో 2nd అత్యంత ఇవ్వబడిన పరుగులలో (162) ',' 12 వ బౌలర్ / బ్యాట్స్ కలయికలు (4) ',' 8 వ బౌలర్ / ఫీల్డర్ కలయికలు (8) ',' 15 వ అత్యంత వికెట్లు బౌల్డ్ తీసుకోకూడదు (12) ',' 4 వ అత్యధిక వికెట్లు తీసుకున్న ఆకర్షించింది (28"&amp;") ',' 3 వ అత్యంత క్యాచ్ మరియు బౌల్డ్ తీసుకోబడిన వికెట్ల (8) ',' 2 వ అత్యంత ఫీల్డర్ చేత క్యాచ్ తీసుకోబడిన వికెట్ల (27) ',' 2 వ అత్యధిక వికెట్లు తీసుకున్న స్టంప్ (16) ',' 6 వ కెరీర్లో అత్యధిక క్యాచ్లు (14) ',' 8 వ అత్యధిక మ్యాచ్లు కెరీర్లో (19) ',' ఒక జట్టు"&amp;" 7 వ వరుస మ్యాచ్లు (17) ',' 13 వ పిన్న క్రీడాకారులు (17y 104d) ',' 23 వ లాంగెస్ట్ కెరీర్లు (14y 97d) ']")</f>
        <v>[ '21 వ కెరీర్ లో అత్యధిక పరుగులు (700)', '42 వ ఒక సిరీస్లో అత్యధిక పరుగులు (260)', '10 వ ఇన్నింగ్స్ లో అత్యధిక పరుగులు (బ్యాటింగ్ స్థానంలో ప్రకారం) (118)', '9 వ ఇన్నింగ్స్ లో అత్యధిక పరుగులు ఒక ద్వారా కెప్టెన్ (118) ',' 32 వ అత్యధిక తొలి వంద (118) ',' 27 వ కెరీర్ లో అతి తక్కువ బాతులు (10.66) ',' 4 వ కెరీర్ లో అత్యధిక వికెట్లు (60) ',' 32 వ ఇన్నింగ్స్ లో బెస్ట్ ఫిగర్స్ (6/99) ',' 1st ఒక సిరీస్లో అత్యధిక వికెట్లు (23) ',' ఒక క్యాలెండర్ సంవత్సరంలో 4 వ అత్యధిక వికెట్లు (23) ',' 4 వ అత్యుత్తమ బౌలింగ్ ఇన్నింగ్స్ లో ఒకే క్రీడా విశ్లేషణలను (4/14) ',' 14 వ అత్యధిక వికెట్లు (10) ',' 4 వ ఒక ఇన్నింగ్స్ లోని బెస్ట్ ఫిగర్స్ ఉన్నప్పుడు పరాజయం వైపు (6) ',' 9 వ మ్యాచ్లో ఉత్తమ సంఖ్యలు ఉన్నప్పుడు పరాజయం వైపు (6) ',' 16 వ ఉత్తమ కెరీర్ సమ్మె రేటు (59.2 *) ' 'ఇన్నింగ్స్ లో 11 వ ఉత్తమ సమ్మె రేటు (14.0)', '4 వ చెత్త కెరీర్లో ఆర్థిక రేటు (2.88 *)', 'ఇన్నింగ్స్ లో 15 వ చెత్త ఆర్థిక రేటు (4.45)', 'తొలి ఇన్నింగ్స్లో 7 వ బెస్ట్ ఫిగర్స్ (5 ) ',' 6 వ అరంగేట్రంలోనే మ్యాచ్లో ఉత్తమ బొమ్మలు (7) ',' 1 వ అత్యంత ఐదు-వికెట్ల లో-ఒక-ఇన్నింగ్స్ కెరీర్లో (5) ',' అయిదు వికెట్లు-i తీసుకోవాలని 2nd పిన్న ఆటగాడు n-ఒక-ఇన్నింగ్స్ (17y 104d) ',' కెరీర్ లో బౌల్డ్ 9 వ అత్యంత బంతుల్లో (3320+) ',' 45 వ అత్యంత బంతుల్లో ఒక మ్యాచ్లో బౌల్డ్ (366) ',' 1st కెరీర్లో సాధించిన అత్యధిక పరుగులు (1647) ',' ఇన్నింగ్స్ (133) ',' 6 వ చాలా మ్యాచ్లో ఇవ్వబడిన పరుగులలో 2nd అత్యంత ఇవ్వబడిన పరుగులలో (162) ',' 12 వ బౌలర్ / బ్యాట్స్ కలయికలు (4) ',' 8 వ బౌలర్ / ఫీల్డర్ కలయికలు (8) ',' 15 వ అత్యంత వికెట్లు బౌల్డ్ తీసుకోకూడదు (12) ',' 4 వ అత్యధిక వికెట్లు తీసుకున్న ఆకర్షించింది (28) ',' 3 వ అత్యంత క్యాచ్ మరియు బౌల్డ్ తీసుకోబడిన వికెట్ల (8) ',' 2 వ అత్యంత ఫీల్డర్ చేత క్యాచ్ తీసుకోబడిన వికెట్ల (27) ',' 2 వ అత్యధిక వికెట్లు తీసుకున్న స్టంప్ (16) ',' 6 వ కెరీర్లో అత్యధిక క్యాచ్లు (14) ',' 8 వ అత్యధిక మ్యాచ్లు కెరీర్లో (19) ',' ఒక జట్టు 7 వ వరుస మ్యాచ్లు (17) ',' 13 వ పిన్న క్రీడాకారులు (17y 104d) ',' 23 వ లాంగెస్ట్ కెరీర్లు (14y 97d) ']</v>
      </c>
      <c r="E5021" s="2" t="s">
        <v>3430</v>
      </c>
      <c r="F5021" s="2" t="str">
        <f>IFERROR(__xludf.DUMMYFUNCTION("IF(E5021&lt;&gt;"""", GOOGLETRANSLATE(E5021, ""en"", ""te""),"""")"),"[ 'మొదటి డక్ (21) ముందు 20 వ అత్యంత ఇన్నింగ్స్' '30 వ ఒక సిరీస్లో అత్యధిక వికెట్లు (20)', '11 వ ఒక ఇన్నింగ్స్ లోని బెస్ట్ ఫిగర్స్ పరాజయం వైపు (4) ఉన్నప్పుడు', '21 వ ఉత్తమ కెరీర్ సగటు బౌలింగ్ (17.60 ) ',' 8 వ ఉత్తమ కెరీర్ సమ్మె రేటు (30.2) ',' ఇన్నింగ్స్ "&amp;"లో 43 ఉత్తమ సమ్మె రేటు (9.0) ',' 16 వ అత్యధిక వికెట్లు స్టంప్ తీసుకున్న (11) ']")</f>
        <v>[ 'మొదటి డక్ (21) ముందు 20 వ అత్యంత ఇన్నింగ్స్' '30 వ ఒక సిరీస్లో అత్యధిక వికెట్లు (20)', '11 వ ఒక ఇన్నింగ్స్ లోని బెస్ట్ ఫిగర్స్ పరాజయం వైపు (4) ఉన్నప్పుడు', '21 వ ఉత్తమ కెరీర్ సగటు బౌలింగ్ (17.60 ) ',' 8 వ ఉత్తమ కెరీర్ సమ్మె రేటు (30.2) ',' ఇన్నింగ్స్ లో 43 ఉత్తమ సమ్మె రేటు (9.0) ',' 16 వ అత్యధిక వికెట్లు స్టంప్ తీసుకున్న (11) ']</v>
      </c>
      <c r="G5021" s="2"/>
      <c r="H5021" s="2" t="str">
        <f>IFERROR(__xludf.DUMMYFUNCTION("IF(G5021&lt;&gt;"""", GOOGLETRANSLATE(G5021, ""en"", ""te""),"""")"),"")</f>
        <v/>
      </c>
      <c r="I5021" s="3"/>
    </row>
    <row r="5022" customHeight="1" spans="1:9">
      <c r="A5022" s="2"/>
      <c r="B5022" s="2" t="str">
        <f>IFERROR(__xludf.DUMMYFUNCTION("IF(A5022&lt;&gt;"""", GOOGLETRANSLATE(A5022, ""en"", ""te""),"""")"),"")</f>
        <v/>
      </c>
      <c r="C5022" s="2"/>
      <c r="D5022" s="2" t="str">
        <f>IFERROR(__xludf.DUMMYFUNCTION("IF(C5022&lt;&gt;"""", GOOGLETRANSLATE(C5022, ""en"", ""te""),"""")"),"")</f>
        <v/>
      </c>
      <c r="E5022" s="2"/>
      <c r="F5022" s="2" t="str">
        <f>IFERROR(__xludf.DUMMYFUNCTION("IF(E5022&lt;&gt;"""", GOOGLETRANSLATE(E5022, ""en"", ""te""),"""")"),"")</f>
        <v/>
      </c>
      <c r="G5022" s="2"/>
      <c r="H5022" s="2" t="str">
        <f>IFERROR(__xludf.DUMMYFUNCTION("IF(G5022&lt;&gt;"""", GOOGLETRANSLATE(G5022, ""en"", ""te""),"""")"),"")</f>
        <v/>
      </c>
      <c r="I5022" s="3"/>
    </row>
    <row r="5023" customHeight="1" spans="1:9">
      <c r="A5023" s="2"/>
      <c r="B5023" s="2" t="str">
        <f>IFERROR(__xludf.DUMMYFUNCTION("IF(A5023&lt;&gt;"""", GOOGLETRANSLATE(A5023, ""en"", ""te""),"""")"),"")</f>
        <v/>
      </c>
      <c r="C5023" s="2"/>
      <c r="D5023" s="2" t="str">
        <f>IFERROR(__xludf.DUMMYFUNCTION("IF(C5023&lt;&gt;"""", GOOGLETRANSLATE(C5023, ""en"", ""te""),"""")"),"")</f>
        <v/>
      </c>
      <c r="E5023" s="2"/>
      <c r="F5023" s="2" t="str">
        <f>IFERROR(__xludf.DUMMYFUNCTION("IF(E5023&lt;&gt;"""", GOOGLETRANSLATE(E5023, ""en"", ""te""),"""")"),"")</f>
        <v/>
      </c>
      <c r="G5023" s="2"/>
      <c r="H5023" s="2" t="str">
        <f>IFERROR(__xludf.DUMMYFUNCTION("IF(G5023&lt;&gt;"""", GOOGLETRANSLATE(G5023, ""en"", ""te""),"""")"),"")</f>
        <v/>
      </c>
      <c r="I5023" s="3"/>
    </row>
    <row r="5024" customHeight="1" spans="1:9">
      <c r="A5024" s="2"/>
      <c r="B5024" s="2" t="str">
        <f>IFERROR(__xludf.DUMMYFUNCTION("IF(A5024&lt;&gt;"""", GOOGLETRANSLATE(A5024, ""en"", ""te""),"""")"),"")</f>
        <v/>
      </c>
      <c r="C5024" s="2"/>
      <c r="D5024" s="2" t="str">
        <f>IFERROR(__xludf.DUMMYFUNCTION("IF(C5024&lt;&gt;"""", GOOGLETRANSLATE(C5024, ""en"", ""te""),"""")"),"")</f>
        <v/>
      </c>
      <c r="E5024" s="2"/>
      <c r="F5024" s="2" t="str">
        <f>IFERROR(__xludf.DUMMYFUNCTION("IF(E5024&lt;&gt;"""", GOOGLETRANSLATE(E5024, ""en"", ""te""),"""")"),"")</f>
        <v/>
      </c>
      <c r="G5024" s="2"/>
      <c r="H5024" s="2" t="str">
        <f>IFERROR(__xludf.DUMMYFUNCTION("IF(G5024&lt;&gt;"""", GOOGLETRANSLATE(G5024, ""en"", ""te""),"""")"),"")</f>
        <v/>
      </c>
      <c r="I5024" s="3"/>
    </row>
    <row r="5025" customHeight="1" spans="1:9">
      <c r="A5025" s="2"/>
      <c r="B5025" s="2" t="str">
        <f>IFERROR(__xludf.DUMMYFUNCTION("IF(A5025&lt;&gt;"""", GOOGLETRANSLATE(A5025, ""en"", ""te""),"""")"),"")</f>
        <v/>
      </c>
      <c r="C5025" s="2"/>
      <c r="D5025" s="2" t="str">
        <f>IFERROR(__xludf.DUMMYFUNCTION("IF(C5025&lt;&gt;"""", GOOGLETRANSLATE(C5025, ""en"", ""te""),"""")"),"")</f>
        <v/>
      </c>
      <c r="E5025" s="2"/>
      <c r="F5025" s="2" t="str">
        <f>IFERROR(__xludf.DUMMYFUNCTION("IF(E5025&lt;&gt;"""", GOOGLETRANSLATE(E5025, ""en"", ""te""),"""")"),"")</f>
        <v/>
      </c>
      <c r="G5025" s="2"/>
      <c r="H5025" s="2" t="str">
        <f>IFERROR(__xludf.DUMMYFUNCTION("IF(G5025&lt;&gt;"""", GOOGLETRANSLATE(G5025, ""en"", ""te""),"""")"),"")</f>
        <v/>
      </c>
      <c r="I5025" s="3"/>
    </row>
    <row r="5026" customHeight="1" spans="1:9">
      <c r="A5026" s="2"/>
      <c r="B5026" s="2" t="str">
        <f>IFERROR(__xludf.DUMMYFUNCTION("IF(A5026&lt;&gt;"""", GOOGLETRANSLATE(A5026, ""en"", ""te""),"""")"),"")</f>
        <v/>
      </c>
      <c r="C5026" s="2"/>
      <c r="D5026" s="2" t="str">
        <f>IFERROR(__xludf.DUMMYFUNCTION("IF(C5026&lt;&gt;"""", GOOGLETRANSLATE(C5026, ""en"", ""te""),"""")"),"")</f>
        <v/>
      </c>
      <c r="E5026" s="2"/>
      <c r="F5026" s="2" t="str">
        <f>IFERROR(__xludf.DUMMYFUNCTION("IF(E5026&lt;&gt;"""", GOOGLETRANSLATE(E5026, ""en"", ""te""),"""")"),"")</f>
        <v/>
      </c>
      <c r="G5026" s="2"/>
      <c r="H5026" s="2" t="str">
        <f>IFERROR(__xludf.DUMMYFUNCTION("IF(G5026&lt;&gt;"""", GOOGLETRANSLATE(G5026, ""en"", ""te""),"""")"),"")</f>
        <v/>
      </c>
      <c r="I5026" s="3"/>
    </row>
    <row r="5027" customHeight="1" spans="1:9">
      <c r="A5027" s="2"/>
      <c r="B5027" s="2" t="str">
        <f>IFERROR(__xludf.DUMMYFUNCTION("IF(A5027&lt;&gt;"""", GOOGLETRANSLATE(A5027, ""en"", ""te""),"""")"),"")</f>
        <v/>
      </c>
      <c r="C5027" s="2"/>
      <c r="D5027" s="2" t="str">
        <f>IFERROR(__xludf.DUMMYFUNCTION("IF(C5027&lt;&gt;"""", GOOGLETRANSLATE(C5027, ""en"", ""te""),"""")"),"")</f>
        <v/>
      </c>
      <c r="E5027" s="2" t="s">
        <v>3431</v>
      </c>
      <c r="F5027" s="2" t="str">
        <f>IFERROR(__xludf.DUMMYFUNCTION("IF(E5027&lt;&gt;"""", GOOGLETRANSLATE(E5027, ""en"", ""te""),"""")"),"[ '42 వ చెత్త కెరీర్ బౌలింగ్ సరాసరి (47.23)']")</f>
        <v>[ '42 వ చెత్త కెరీర్ బౌలింగ్ సరాసరి (47.23)']</v>
      </c>
      <c r="G5027" s="2"/>
      <c r="H5027" s="2" t="str">
        <f>IFERROR(__xludf.DUMMYFUNCTION("IF(G5027&lt;&gt;"""", GOOGLETRANSLATE(G5027, ""en"", ""te""),"""")"),"")</f>
        <v/>
      </c>
      <c r="I5027" s="3"/>
    </row>
    <row r="5028" customHeight="1" spans="1:9">
      <c r="A5028" s="2"/>
      <c r="B5028" s="2" t="str">
        <f>IFERROR(__xludf.DUMMYFUNCTION("IF(A5028&lt;&gt;"""", GOOGLETRANSLATE(A5028, ""en"", ""te""),"""")"),"")</f>
        <v/>
      </c>
      <c r="C5028" s="2"/>
      <c r="D5028" s="2" t="str">
        <f>IFERROR(__xludf.DUMMYFUNCTION("IF(C5028&lt;&gt;"""", GOOGLETRANSLATE(C5028, ""en"", ""te""),"""")"),"")</f>
        <v/>
      </c>
      <c r="E5028" s="2"/>
      <c r="F5028" s="2" t="str">
        <f>IFERROR(__xludf.DUMMYFUNCTION("IF(E5028&lt;&gt;"""", GOOGLETRANSLATE(E5028, ""en"", ""te""),"""")"),"")</f>
        <v/>
      </c>
      <c r="G5028" s="2"/>
      <c r="H5028" s="2" t="str">
        <f>IFERROR(__xludf.DUMMYFUNCTION("IF(G5028&lt;&gt;"""", GOOGLETRANSLATE(G5028, ""en"", ""te""),"""")"),"")</f>
        <v/>
      </c>
      <c r="I5028" s="3"/>
    </row>
    <row r="5029" customHeight="1" spans="1:9">
      <c r="A5029" s="2"/>
      <c r="B5029" s="2" t="str">
        <f>IFERROR(__xludf.DUMMYFUNCTION("IF(A5029&lt;&gt;"""", GOOGLETRANSLATE(A5029, ""en"", ""te""),"""")"),"")</f>
        <v/>
      </c>
      <c r="C5029" s="2"/>
      <c r="D5029" s="2" t="str">
        <f>IFERROR(__xludf.DUMMYFUNCTION("IF(C5029&lt;&gt;"""", GOOGLETRANSLATE(C5029, ""en"", ""te""),"""")"),"")</f>
        <v/>
      </c>
      <c r="E5029" s="2"/>
      <c r="F5029" s="2" t="str">
        <f>IFERROR(__xludf.DUMMYFUNCTION("IF(E5029&lt;&gt;"""", GOOGLETRANSLATE(E5029, ""en"", ""te""),"""")"),"")</f>
        <v/>
      </c>
      <c r="G5029" s="2"/>
      <c r="H5029" s="2" t="str">
        <f>IFERROR(__xludf.DUMMYFUNCTION("IF(G5029&lt;&gt;"""", GOOGLETRANSLATE(G5029, ""en"", ""te""),"""")"),"")</f>
        <v/>
      </c>
      <c r="I5029" s="3"/>
    </row>
    <row r="5030" customHeight="1" spans="1:9">
      <c r="A5030" s="2"/>
      <c r="B5030" s="2" t="str">
        <f>IFERROR(__xludf.DUMMYFUNCTION("IF(A5030&lt;&gt;"""", GOOGLETRANSLATE(A5030, ""en"", ""te""),"""")"),"")</f>
        <v/>
      </c>
      <c r="C5030" s="2"/>
      <c r="D5030" s="2" t="str">
        <f>IFERROR(__xludf.DUMMYFUNCTION("IF(C5030&lt;&gt;"""", GOOGLETRANSLATE(C5030, ""en"", ""te""),"""")"),"")</f>
        <v/>
      </c>
      <c r="E5030" s="2"/>
      <c r="F5030" s="2" t="str">
        <f>IFERROR(__xludf.DUMMYFUNCTION("IF(E5030&lt;&gt;"""", GOOGLETRANSLATE(E5030, ""en"", ""te""),"""")"),"")</f>
        <v/>
      </c>
      <c r="G5030" s="2"/>
      <c r="H5030" s="2" t="str">
        <f>IFERROR(__xludf.DUMMYFUNCTION("IF(G5030&lt;&gt;"""", GOOGLETRANSLATE(G5030, ""en"", ""te""),"""")"),"")</f>
        <v/>
      </c>
      <c r="I5030" s="3"/>
    </row>
    <row r="5031" customHeight="1" spans="1:9">
      <c r="A5031" s="2"/>
      <c r="B5031" s="2" t="str">
        <f>IFERROR(__xludf.DUMMYFUNCTION("IF(A5031&lt;&gt;"""", GOOGLETRANSLATE(A5031, ""en"", ""te""),"""")"),"")</f>
        <v/>
      </c>
      <c r="C5031" s="2"/>
      <c r="D5031" s="2" t="str">
        <f>IFERROR(__xludf.DUMMYFUNCTION("IF(C5031&lt;&gt;"""", GOOGLETRANSLATE(C5031, ""en"", ""te""),"""")"),"")</f>
        <v/>
      </c>
      <c r="E5031" s="2"/>
      <c r="F5031" s="2" t="str">
        <f>IFERROR(__xludf.DUMMYFUNCTION("IF(E5031&lt;&gt;"""", GOOGLETRANSLATE(E5031, ""en"", ""te""),"""")"),"")</f>
        <v/>
      </c>
      <c r="G5031" s="2"/>
      <c r="H5031" s="2" t="str">
        <f>IFERROR(__xludf.DUMMYFUNCTION("IF(G5031&lt;&gt;"""", GOOGLETRANSLATE(G5031, ""en"", ""te""),"""")"),"")</f>
        <v/>
      </c>
      <c r="I5031" s="3"/>
    </row>
    <row r="5032" customHeight="1" spans="1:9">
      <c r="A5032" s="2"/>
      <c r="B5032" s="2" t="str">
        <f>IFERROR(__xludf.DUMMYFUNCTION("IF(A5032&lt;&gt;"""", GOOGLETRANSLATE(A5032, ""en"", ""te""),"""")"),"")</f>
        <v/>
      </c>
      <c r="C5032" s="2"/>
      <c r="D5032" s="2" t="str">
        <f>IFERROR(__xludf.DUMMYFUNCTION("IF(C5032&lt;&gt;"""", GOOGLETRANSLATE(C5032, ""en"", ""te""),"""")"),"")</f>
        <v/>
      </c>
      <c r="E5032" s="2"/>
      <c r="F5032" s="2" t="str">
        <f>IFERROR(__xludf.DUMMYFUNCTION("IF(E5032&lt;&gt;"""", GOOGLETRANSLATE(E5032, ""en"", ""te""),"""")"),"")</f>
        <v/>
      </c>
      <c r="G5032" s="2"/>
      <c r="H5032" s="2" t="str">
        <f>IFERROR(__xludf.DUMMYFUNCTION("IF(G5032&lt;&gt;"""", GOOGLETRANSLATE(G5032, ""en"", ""te""),"""")"),"")</f>
        <v/>
      </c>
      <c r="I5032" s="3"/>
    </row>
    <row r="5033" customHeight="1" spans="1:9">
      <c r="A5033" s="2"/>
      <c r="B5033" s="2" t="str">
        <f>IFERROR(__xludf.DUMMYFUNCTION("IF(A5033&lt;&gt;"""", GOOGLETRANSLATE(A5033, ""en"", ""te""),"""")"),"")</f>
        <v/>
      </c>
      <c r="C5033" s="2"/>
      <c r="D5033" s="2" t="str">
        <f>IFERROR(__xludf.DUMMYFUNCTION("IF(C5033&lt;&gt;"""", GOOGLETRANSLATE(C5033, ""en"", ""te""),"""")"),"")</f>
        <v/>
      </c>
      <c r="E5033" s="2"/>
      <c r="F5033" s="2" t="str">
        <f>IFERROR(__xludf.DUMMYFUNCTION("IF(E5033&lt;&gt;"""", GOOGLETRANSLATE(E5033, ""en"", ""te""),"""")"),"")</f>
        <v/>
      </c>
      <c r="G5033" s="2"/>
      <c r="H5033" s="2" t="str">
        <f>IFERROR(__xludf.DUMMYFUNCTION("IF(G5033&lt;&gt;"""", GOOGLETRANSLATE(G5033, ""en"", ""te""),"""")"),"")</f>
        <v/>
      </c>
      <c r="I5033" s="3"/>
    </row>
    <row r="5034" customHeight="1" spans="1:9">
      <c r="A5034" s="2"/>
      <c r="B5034" s="2" t="str">
        <f>IFERROR(__xludf.DUMMYFUNCTION("IF(A5034&lt;&gt;"""", GOOGLETRANSLATE(A5034, ""en"", ""te""),"""")"),"")</f>
        <v/>
      </c>
      <c r="C5034" s="2"/>
      <c r="D5034" s="2" t="str">
        <f>IFERROR(__xludf.DUMMYFUNCTION("IF(C5034&lt;&gt;"""", GOOGLETRANSLATE(C5034, ""en"", ""te""),"""")"),"")</f>
        <v/>
      </c>
      <c r="E5034" s="2"/>
      <c r="F5034" s="2" t="str">
        <f>IFERROR(__xludf.DUMMYFUNCTION("IF(E5034&lt;&gt;"""", GOOGLETRANSLATE(E5034, ""en"", ""te""),"""")"),"")</f>
        <v/>
      </c>
      <c r="G5034" s="2"/>
      <c r="H5034" s="2" t="str">
        <f>IFERROR(__xludf.DUMMYFUNCTION("IF(G5034&lt;&gt;"""", GOOGLETRANSLATE(G5034, ""en"", ""te""),"""")"),"")</f>
        <v/>
      </c>
      <c r="I5034" s="3"/>
    </row>
    <row r="5035" customHeight="1" spans="1:9">
      <c r="A5035" s="2"/>
      <c r="B5035" s="2" t="str">
        <f>IFERROR(__xludf.DUMMYFUNCTION("IF(A5035&lt;&gt;"""", GOOGLETRANSLATE(A5035, ""en"", ""te""),"""")"),"")</f>
        <v/>
      </c>
      <c r="C5035" s="2"/>
      <c r="D5035" s="2" t="str">
        <f>IFERROR(__xludf.DUMMYFUNCTION("IF(C5035&lt;&gt;"""", GOOGLETRANSLATE(C5035, ""en"", ""te""),"""")"),"")</f>
        <v/>
      </c>
      <c r="E5035" s="2"/>
      <c r="F5035" s="2" t="str">
        <f>IFERROR(__xludf.DUMMYFUNCTION("IF(E5035&lt;&gt;"""", GOOGLETRANSLATE(E5035, ""en"", ""te""),"""")"),"")</f>
        <v/>
      </c>
      <c r="G5035" s="2"/>
      <c r="H5035" s="2" t="str">
        <f>IFERROR(__xludf.DUMMYFUNCTION("IF(G5035&lt;&gt;"""", GOOGLETRANSLATE(G5035, ""en"", ""te""),"""")"),"")</f>
        <v/>
      </c>
      <c r="I5035" s="3"/>
    </row>
    <row r="5036" customHeight="1" spans="1:9">
      <c r="A5036" s="2"/>
      <c r="B5036" s="2" t="str">
        <f>IFERROR(__xludf.DUMMYFUNCTION("IF(A5036&lt;&gt;"""", GOOGLETRANSLATE(A5036, ""en"", ""te""),"""")"),"")</f>
        <v/>
      </c>
      <c r="C5036" s="2" t="s">
        <v>3432</v>
      </c>
      <c r="D5036" s="2" t="str">
        <f>IFERROR(__xludf.DUMMYFUNCTION("IF(C5036&lt;&gt;"""", GOOGLETRANSLATE(C5036, ""en"", ""te""),"""")"),"[ '41 వ చెత్త ఇన్నింగ్స్ లో ఆర్థిక రేటు (6.42)']")</f>
        <v>[ '41 వ చెత్త ఇన్నింగ్స్ లో ఆర్థిక రేటు (6.42)']</v>
      </c>
      <c r="E5036" s="2" t="s">
        <v>3433</v>
      </c>
      <c r="F5036" s="2" t="str">
        <f>IFERROR(__xludf.DUMMYFUNCTION("IF(E5036&lt;&gt;"""", GOOGLETRANSLATE(E5036, ""en"", ""te""),"""")"),"[ '41 వ ఇన్నింగ్స్ లో బెస్ట్ ఫిగర్స్ (6/27)', '34 వ అత్యంత వృద్ధ ఆటగాడు తొలి తీసుకుని ఐదు-వికెట్ల లో-ఒక-ఇన్నింగ్స్ (31y 36d)']")</f>
        <v>[ '41 వ ఇన్నింగ్స్ లో బెస్ట్ ఫిగర్స్ (6/27)', '34 వ అత్యంత వృద్ధ ఆటగాడు తొలి తీసుకుని ఐదు-వికెట్ల లో-ఒక-ఇన్నింగ్స్ (31y 36d)']</v>
      </c>
      <c r="G5036" s="2"/>
      <c r="H5036" s="2" t="str">
        <f>IFERROR(__xludf.DUMMYFUNCTION("IF(G5036&lt;&gt;"""", GOOGLETRANSLATE(G5036, ""en"", ""te""),"""")"),"")</f>
        <v/>
      </c>
      <c r="I5036" s="3"/>
    </row>
    <row r="5037" customHeight="1" spans="1:9">
      <c r="A5037" s="2"/>
      <c r="B5037" s="2" t="str">
        <f>IFERROR(__xludf.DUMMYFUNCTION("IF(A5037&lt;&gt;"""", GOOGLETRANSLATE(A5037, ""en"", ""te""),"""")"),"")</f>
        <v/>
      </c>
      <c r="C5037" s="2"/>
      <c r="D5037" s="2" t="str">
        <f>IFERROR(__xludf.DUMMYFUNCTION("IF(C5037&lt;&gt;"""", GOOGLETRANSLATE(C5037, ""en"", ""te""),"""")"),"")</f>
        <v/>
      </c>
      <c r="E5037" s="2"/>
      <c r="F5037" s="2" t="str">
        <f>IFERROR(__xludf.DUMMYFUNCTION("IF(E5037&lt;&gt;"""", GOOGLETRANSLATE(E5037, ""en"", ""te""),"""")"),"")</f>
        <v/>
      </c>
      <c r="G5037" s="2"/>
      <c r="H5037" s="2" t="str">
        <f>IFERROR(__xludf.DUMMYFUNCTION("IF(G5037&lt;&gt;"""", GOOGLETRANSLATE(G5037, ""en"", ""te""),"""")"),"")</f>
        <v/>
      </c>
      <c r="I5037" s="3"/>
    </row>
    <row r="5038" customHeight="1" spans="1:9">
      <c r="A5038" s="2"/>
      <c r="B5038" s="2" t="str">
        <f>IFERROR(__xludf.DUMMYFUNCTION("IF(A5038&lt;&gt;"""", GOOGLETRANSLATE(A5038, ""en"", ""te""),"""")"),"")</f>
        <v/>
      </c>
      <c r="C5038" s="2"/>
      <c r="D5038" s="2" t="str">
        <f>IFERROR(__xludf.DUMMYFUNCTION("IF(C5038&lt;&gt;"""", GOOGLETRANSLATE(C5038, ""en"", ""te""),"""")"),"")</f>
        <v/>
      </c>
      <c r="E5038" s="2"/>
      <c r="F5038" s="2" t="str">
        <f>IFERROR(__xludf.DUMMYFUNCTION("IF(E5038&lt;&gt;"""", GOOGLETRANSLATE(E5038, ""en"", ""te""),"""")"),"")</f>
        <v/>
      </c>
      <c r="G5038" s="2"/>
      <c r="H5038" s="2" t="str">
        <f>IFERROR(__xludf.DUMMYFUNCTION("IF(G5038&lt;&gt;"""", GOOGLETRANSLATE(G5038, ""en"", ""te""),"""")"),"")</f>
        <v/>
      </c>
      <c r="I5038" s="3"/>
    </row>
    <row r="5039" customHeight="1" spans="1:9">
      <c r="A5039" s="2"/>
      <c r="B5039" s="2" t="str">
        <f>IFERROR(__xludf.DUMMYFUNCTION("IF(A5039&lt;&gt;"""", GOOGLETRANSLATE(A5039, ""en"", ""te""),"""")"),"")</f>
        <v/>
      </c>
      <c r="C5039" s="2"/>
      <c r="D5039" s="2" t="str">
        <f>IFERROR(__xludf.DUMMYFUNCTION("IF(C5039&lt;&gt;"""", GOOGLETRANSLATE(C5039, ""en"", ""te""),"""")"),"")</f>
        <v/>
      </c>
      <c r="E5039" s="2"/>
      <c r="F5039" s="2" t="str">
        <f>IFERROR(__xludf.DUMMYFUNCTION("IF(E5039&lt;&gt;"""", GOOGLETRANSLATE(E5039, ""en"", ""te""),"""")"),"")</f>
        <v/>
      </c>
      <c r="G5039" s="2"/>
      <c r="H5039" s="2" t="str">
        <f>IFERROR(__xludf.DUMMYFUNCTION("IF(G5039&lt;&gt;"""", GOOGLETRANSLATE(G5039, ""en"", ""te""),"""")"),"")</f>
        <v/>
      </c>
      <c r="I5039" s="3"/>
    </row>
    <row r="5040" customHeight="1" spans="1:9">
      <c r="A5040" s="2"/>
      <c r="B5040" s="2" t="str">
        <f>IFERROR(__xludf.DUMMYFUNCTION("IF(A5040&lt;&gt;"""", GOOGLETRANSLATE(A5040, ""en"", ""te""),"""")"),"")</f>
        <v/>
      </c>
      <c r="C5040" s="2"/>
      <c r="D5040" s="2" t="str">
        <f>IFERROR(__xludf.DUMMYFUNCTION("IF(C5040&lt;&gt;"""", GOOGLETRANSLATE(C5040, ""en"", ""te""),"""")"),"")</f>
        <v/>
      </c>
      <c r="E5040" s="2"/>
      <c r="F5040" s="2" t="str">
        <f>IFERROR(__xludf.DUMMYFUNCTION("IF(E5040&lt;&gt;"""", GOOGLETRANSLATE(E5040, ""en"", ""te""),"""")"),"")</f>
        <v/>
      </c>
      <c r="G5040" s="2"/>
      <c r="H5040" s="2" t="str">
        <f>IFERROR(__xludf.DUMMYFUNCTION("IF(G5040&lt;&gt;"""", GOOGLETRANSLATE(G5040, ""en"", ""te""),"""")"),"")</f>
        <v/>
      </c>
      <c r="I5040" s="3"/>
    </row>
    <row r="5041" customHeight="1" spans="1:9">
      <c r="A5041" s="2"/>
      <c r="B5041" s="2" t="str">
        <f>IFERROR(__xludf.DUMMYFUNCTION("IF(A5041&lt;&gt;"""", GOOGLETRANSLATE(A5041, ""en"", ""te""),"""")"),"")</f>
        <v/>
      </c>
      <c r="C5041" s="2"/>
      <c r="D5041" s="2" t="str">
        <f>IFERROR(__xludf.DUMMYFUNCTION("IF(C5041&lt;&gt;"""", GOOGLETRANSLATE(C5041, ""en"", ""te""),"""")"),"")</f>
        <v/>
      </c>
      <c r="E5041" s="2"/>
      <c r="F5041" s="2" t="str">
        <f>IFERROR(__xludf.DUMMYFUNCTION("IF(E5041&lt;&gt;"""", GOOGLETRANSLATE(E5041, ""en"", ""te""),"""")"),"")</f>
        <v/>
      </c>
      <c r="G5041" s="2"/>
      <c r="H5041" s="2" t="str">
        <f>IFERROR(__xludf.DUMMYFUNCTION("IF(G5041&lt;&gt;"""", GOOGLETRANSLATE(G5041, ""en"", ""te""),"""")"),"")</f>
        <v/>
      </c>
      <c r="I5041" s="3"/>
    </row>
    <row r="5042" customHeight="1" spans="1:9">
      <c r="A5042" s="2"/>
      <c r="B5042" s="2" t="str">
        <f>IFERROR(__xludf.DUMMYFUNCTION("IF(A5042&lt;&gt;"""", GOOGLETRANSLATE(A5042, ""en"", ""te""),"""")"),"")</f>
        <v/>
      </c>
      <c r="C5042" s="2"/>
      <c r="D5042" s="2" t="str">
        <f>IFERROR(__xludf.DUMMYFUNCTION("IF(C5042&lt;&gt;"""", GOOGLETRANSLATE(C5042, ""en"", ""te""),"""")"),"")</f>
        <v/>
      </c>
      <c r="E5042" s="2"/>
      <c r="F5042" s="2" t="str">
        <f>IFERROR(__xludf.DUMMYFUNCTION("IF(E5042&lt;&gt;"""", GOOGLETRANSLATE(E5042, ""en"", ""te""),"""")"),"")</f>
        <v/>
      </c>
      <c r="G5042" s="2"/>
      <c r="H5042" s="2" t="str">
        <f>IFERROR(__xludf.DUMMYFUNCTION("IF(G5042&lt;&gt;"""", GOOGLETRANSLATE(G5042, ""en"", ""te""),"""")"),"")</f>
        <v/>
      </c>
      <c r="I5042" s="3"/>
    </row>
    <row r="5043" customHeight="1" spans="1:9">
      <c r="A5043" s="2"/>
      <c r="B5043" s="2" t="str">
        <f>IFERROR(__xludf.DUMMYFUNCTION("IF(A5043&lt;&gt;"""", GOOGLETRANSLATE(A5043, ""en"", ""te""),"""")"),"")</f>
        <v/>
      </c>
      <c r="C5043" s="2"/>
      <c r="D5043" s="2" t="str">
        <f>IFERROR(__xludf.DUMMYFUNCTION("IF(C5043&lt;&gt;"""", GOOGLETRANSLATE(C5043, ""en"", ""te""),"""")"),"")</f>
        <v/>
      </c>
      <c r="E5043" s="2"/>
      <c r="F5043" s="2" t="str">
        <f>IFERROR(__xludf.DUMMYFUNCTION("IF(E5043&lt;&gt;"""", GOOGLETRANSLATE(E5043, ""en"", ""te""),"""")"),"")</f>
        <v/>
      </c>
      <c r="G5043" s="2"/>
      <c r="H5043" s="2" t="str">
        <f>IFERROR(__xludf.DUMMYFUNCTION("IF(G5043&lt;&gt;"""", GOOGLETRANSLATE(G5043, ""en"", ""te""),"""")"),"")</f>
        <v/>
      </c>
      <c r="I5043" s="3"/>
    </row>
    <row r="5044" customHeight="1" spans="1:9">
      <c r="A5044" s="2"/>
      <c r="B5044" s="2" t="str">
        <f>IFERROR(__xludf.DUMMYFUNCTION("IF(A5044&lt;&gt;"""", GOOGLETRANSLATE(A5044, ""en"", ""te""),"""")"),"")</f>
        <v/>
      </c>
      <c r="C5044" s="2"/>
      <c r="D5044" s="2" t="str">
        <f>IFERROR(__xludf.DUMMYFUNCTION("IF(C5044&lt;&gt;"""", GOOGLETRANSLATE(C5044, ""en"", ""te""),"""")"),"")</f>
        <v/>
      </c>
      <c r="E5044" s="2"/>
      <c r="F5044" s="2" t="str">
        <f>IFERROR(__xludf.DUMMYFUNCTION("IF(E5044&lt;&gt;"""", GOOGLETRANSLATE(E5044, ""en"", ""te""),"""")"),"")</f>
        <v/>
      </c>
      <c r="G5044" s="2"/>
      <c r="H5044" s="2" t="str">
        <f>IFERROR(__xludf.DUMMYFUNCTION("IF(G5044&lt;&gt;"""", GOOGLETRANSLATE(G5044, ""en"", ""te""),"""")"),"")</f>
        <v/>
      </c>
      <c r="I5044" s="3"/>
    </row>
    <row r="5045" customHeight="1" spans="1:9">
      <c r="A5045" s="2"/>
      <c r="B5045" s="2" t="str">
        <f>IFERROR(__xludf.DUMMYFUNCTION("IF(A5045&lt;&gt;"""", GOOGLETRANSLATE(A5045, ""en"", ""te""),"""")"),"")</f>
        <v/>
      </c>
      <c r="C5045" s="2"/>
      <c r="D5045" s="2" t="str">
        <f>IFERROR(__xludf.DUMMYFUNCTION("IF(C5045&lt;&gt;"""", GOOGLETRANSLATE(C5045, ""en"", ""te""),"""")"),"")</f>
        <v/>
      </c>
      <c r="E5045" s="2"/>
      <c r="F5045" s="2" t="str">
        <f>IFERROR(__xludf.DUMMYFUNCTION("IF(E5045&lt;&gt;"""", GOOGLETRANSLATE(E5045, ""en"", ""te""),"""")"),"")</f>
        <v/>
      </c>
      <c r="G5045" s="2"/>
      <c r="H5045" s="2" t="str">
        <f>IFERROR(__xludf.DUMMYFUNCTION("IF(G5045&lt;&gt;"""", GOOGLETRANSLATE(G5045, ""en"", ""te""),"""")"),"")</f>
        <v/>
      </c>
      <c r="I5045" s="3"/>
    </row>
    <row r="5046" customHeight="1" spans="1:9">
      <c r="A5046" s="2"/>
      <c r="B5046" s="2" t="str">
        <f>IFERROR(__xludf.DUMMYFUNCTION("IF(A5046&lt;&gt;"""", GOOGLETRANSLATE(A5046, ""en"", ""te""),"""")"),"")</f>
        <v/>
      </c>
      <c r="C5046" s="2"/>
      <c r="D5046" s="2" t="str">
        <f>IFERROR(__xludf.DUMMYFUNCTION("IF(C5046&lt;&gt;"""", GOOGLETRANSLATE(C5046, ""en"", ""te""),"""")"),"")</f>
        <v/>
      </c>
      <c r="E5046" s="2"/>
      <c r="F5046" s="2" t="str">
        <f>IFERROR(__xludf.DUMMYFUNCTION("IF(E5046&lt;&gt;"""", GOOGLETRANSLATE(E5046, ""en"", ""te""),"""")"),"")</f>
        <v/>
      </c>
      <c r="G5046" s="2"/>
      <c r="H5046" s="2" t="str">
        <f>IFERROR(__xludf.DUMMYFUNCTION("IF(G5046&lt;&gt;"""", GOOGLETRANSLATE(G5046, ""en"", ""te""),"""")"),"")</f>
        <v/>
      </c>
      <c r="I5046" s="3"/>
    </row>
    <row r="5047" customHeight="1" spans="1:9">
      <c r="A5047" s="2" t="s">
        <v>3434</v>
      </c>
      <c r="B5047" s="2" t="str">
        <f>IFERROR(__xludf.DUMMYFUNCTION("IF(A5047&lt;&gt;"""", GOOGLETRANSLATE(A5047, ""en"", ""te""),"""")"),"[ 'ఇన్నింగ్స్ లో 8 వ అత్యధిక పరుగులు (బ్యాటింగ్ స్థానంలో ప్రకారం) (110)', '10th ఒక వృత్తిలో అత్యధిక వందలు (2)', 'వరుస మ్యాచ్లలో 1st యాభైల్లో (5)' ఐదవ వికెట్కు, '4 వ అత్యధిక భాగస్వామ్యం ( 133) ',' 1 వ అత్యుత్తమ బౌలింగ్ ఇన్నింగ్స్ లో విశ్లేషించడం (1/0) ']")</f>
        <v>[ 'ఇన్నింగ్స్ లో 8 వ అత్యధిక పరుగులు (బ్యాటింగ్ స్థానంలో ప్రకారం) (110)', '10th ఒక వృత్తిలో అత్యధిక వందలు (2)', 'వరుస మ్యాచ్లలో 1st యాభైల్లో (5)' ఐదవ వికెట్కు, '4 వ అత్యధిక భాగస్వామ్యం ( 133) ',' 1 వ అత్యుత్తమ బౌలింగ్ ఇన్నింగ్స్ లో విశ్లేషించడం (1/0) ']</v>
      </c>
      <c r="C5047" s="2" t="s">
        <v>3435</v>
      </c>
      <c r="D5047" s="2" t="str">
        <f>IFERROR(__xludf.DUMMYFUNCTION("IF(C5047&lt;&gt;"""", GOOGLETRANSLATE(C5047, ""en"", ""te""),"""")"),"[ '35 వ కెరీర్ లో అత్యధిక పరుగులు (503)', 'ఇన్నింగ్స్ లో 8 వ అత్యధిక పరుగులు (బ్యాటింగ్ స్థానంలో ప్రకారం) (110)', '11 వ అత్యధిక కెరీర్ బ్యాటింగ్ సగటు (50.30)', '10th ఒక వృత్తిలో అత్యధిక వందలు (2) ',' 41 వ అత్యధిక తొలి వంద (110) ',' 19 వ కెరీర్ అర్ధ (5) ',"&amp;"' వరుస ఇన్నింగ్స్లో 1st యాభైల్లో (5) ',' వరుస మ్యాచ్లలో 1st యాభైల్లో (5) ',' 4 వ అత్యధిక కొరకు చేసిన భాగస్వామ్యం ఐదో వికెట్కు (133) ']")</f>
        <v>[ '35 వ కెరీర్ లో అత్యధిక పరుగులు (503)', 'ఇన్నింగ్స్ లో 8 వ అత్యధిక పరుగులు (బ్యాటింగ్ స్థానంలో ప్రకారం) (110)', '11 వ అత్యధిక కెరీర్ బ్యాటింగ్ సగటు (50.30)', '10th ఒక వృత్తిలో అత్యధిక వందలు (2) ',' 41 వ అత్యధిక తొలి వంద (110) ',' 19 వ కెరీర్ అర్ధ (5) ',' వరుస ఇన్నింగ్స్లో 1st యాభైల్లో (5) ',' వరుస మ్యాచ్లలో 1st యాభైల్లో (5) ',' 4 వ అత్యధిక కొరకు చేసిన భాగస్వామ్యం ఐదో వికెట్కు (133) ']</v>
      </c>
      <c r="E5047" s="2" t="s">
        <v>3436</v>
      </c>
      <c r="F5047" s="2" t="str">
        <f>IFERROR(__xludf.DUMMYFUNCTION("IF(E5047&lt;&gt;"""", GOOGLETRANSLATE(E5047, ""en"", ""te""),"""")"),"[ '1st అత్యుత్తమ బౌలింగ్ ఇన్నింగ్స్ విశ్లేషణలలో,' ఒక డక్ లేకుండా 17 వరుస ఇన్నింగ్స్ (42 *) ',' కెరీర్ లో అతి తక్కువ బాతులు (19.66) 41 వ '' 31 మోస్ట్ వంద (1023) లేకుండా ఒక వృత్తిలో పరుగులు '( 1/0) ',' నాలుగవ వికెట్కు 42 వ అత్యధిక భాగస్వామ్యం (99) ',' ఐదవ వ"&amp;"ికెట్ (105 14 అత్యధిక భాగస్వామ్యం) ']")</f>
        <v>[ '1st అత్యుత్తమ బౌలింగ్ ఇన్నింగ్స్ విశ్లేషణలలో,' ఒక డక్ లేకుండా 17 వరుస ఇన్నింగ్స్ (42 *) ',' కెరీర్ లో అతి తక్కువ బాతులు (19.66) 41 వ '' 31 మోస్ట్ వంద (1023) లేకుండా ఒక వృత్తిలో పరుగులు '( 1/0) ',' నాలుగవ వికెట్కు 42 వ అత్యధిక భాగస్వామ్యం (99) ',' ఐదవ వికెట్ (105 14 అత్యధిక భాగస్వామ్యం) ']</v>
      </c>
      <c r="G5047" s="2"/>
      <c r="H5047" s="2" t="str">
        <f>IFERROR(__xludf.DUMMYFUNCTION("IF(G5047&lt;&gt;"""", GOOGLETRANSLATE(G5047, ""en"", ""te""),"""")"),"")</f>
        <v/>
      </c>
      <c r="I5047" s="3"/>
    </row>
    <row r="5048" customHeight="1" spans="1:9">
      <c r="A5048" s="2"/>
      <c r="B5048" s="2" t="str">
        <f>IFERROR(__xludf.DUMMYFUNCTION("IF(A5048&lt;&gt;"""", GOOGLETRANSLATE(A5048, ""en"", ""te""),"""")"),"")</f>
        <v/>
      </c>
      <c r="C5048" s="2"/>
      <c r="D5048" s="2" t="str">
        <f>IFERROR(__xludf.DUMMYFUNCTION("IF(C5048&lt;&gt;"""", GOOGLETRANSLATE(C5048, ""en"", ""te""),"""")"),"")</f>
        <v/>
      </c>
      <c r="E5048" s="2"/>
      <c r="F5048" s="2" t="str">
        <f>IFERROR(__xludf.DUMMYFUNCTION("IF(E5048&lt;&gt;"""", GOOGLETRANSLATE(E5048, ""en"", ""te""),"""")"),"")</f>
        <v/>
      </c>
      <c r="G5048" s="2"/>
      <c r="H5048" s="2" t="str">
        <f>IFERROR(__xludf.DUMMYFUNCTION("IF(G5048&lt;&gt;"""", GOOGLETRANSLATE(G5048, ""en"", ""te""),"""")"),"")</f>
        <v/>
      </c>
      <c r="I5048" s="3"/>
    </row>
    <row r="5049" customHeight="1" spans="1:9">
      <c r="A5049" s="2"/>
      <c r="B5049" s="2" t="str">
        <f>IFERROR(__xludf.DUMMYFUNCTION("IF(A5049&lt;&gt;"""", GOOGLETRANSLATE(A5049, ""en"", ""te""),"""")"),"")</f>
        <v/>
      </c>
      <c r="C5049" s="2"/>
      <c r="D5049" s="2" t="str">
        <f>IFERROR(__xludf.DUMMYFUNCTION("IF(C5049&lt;&gt;"""", GOOGLETRANSLATE(C5049, ""en"", ""te""),"""")"),"")</f>
        <v/>
      </c>
      <c r="E5049" s="2"/>
      <c r="F5049" s="2" t="str">
        <f>IFERROR(__xludf.DUMMYFUNCTION("IF(E5049&lt;&gt;"""", GOOGLETRANSLATE(E5049, ""en"", ""te""),"""")"),"")</f>
        <v/>
      </c>
      <c r="G5049" s="2"/>
      <c r="H5049" s="2" t="str">
        <f>IFERROR(__xludf.DUMMYFUNCTION("IF(G5049&lt;&gt;"""", GOOGLETRANSLATE(G5049, ""en"", ""te""),"""")"),"")</f>
        <v/>
      </c>
      <c r="I5049" s="3"/>
    </row>
    <row r="5050" customHeight="1" spans="1:9">
      <c r="A5050" s="2"/>
      <c r="B5050" s="2" t="str">
        <f>IFERROR(__xludf.DUMMYFUNCTION("IF(A5050&lt;&gt;"""", GOOGLETRANSLATE(A5050, ""en"", ""te""),"""")"),"")</f>
        <v/>
      </c>
      <c r="C5050" s="2"/>
      <c r="D5050" s="2" t="str">
        <f>IFERROR(__xludf.DUMMYFUNCTION("IF(C5050&lt;&gt;"""", GOOGLETRANSLATE(C5050, ""en"", ""te""),"""")"),"")</f>
        <v/>
      </c>
      <c r="E5050" s="2"/>
      <c r="F5050" s="2" t="str">
        <f>IFERROR(__xludf.DUMMYFUNCTION("IF(E5050&lt;&gt;"""", GOOGLETRANSLATE(E5050, ""en"", ""te""),"""")"),"")</f>
        <v/>
      </c>
      <c r="G5050" s="2"/>
      <c r="H5050" s="2" t="str">
        <f>IFERROR(__xludf.DUMMYFUNCTION("IF(G5050&lt;&gt;"""", GOOGLETRANSLATE(G5050, ""en"", ""te""),"""")"),"")</f>
        <v/>
      </c>
      <c r="I5050" s="3"/>
    </row>
    <row r="5051" customHeight="1" spans="1:9">
      <c r="A5051" s="2"/>
      <c r="B5051" s="2" t="str">
        <f>IFERROR(__xludf.DUMMYFUNCTION("IF(A5051&lt;&gt;"""", GOOGLETRANSLATE(A5051, ""en"", ""te""),"""")"),"")</f>
        <v/>
      </c>
      <c r="C5051" s="2"/>
      <c r="D5051" s="2" t="str">
        <f>IFERROR(__xludf.DUMMYFUNCTION("IF(C5051&lt;&gt;"""", GOOGLETRANSLATE(C5051, ""en"", ""te""),"""")"),"")</f>
        <v/>
      </c>
      <c r="E5051" s="2"/>
      <c r="F5051" s="2" t="str">
        <f>IFERROR(__xludf.DUMMYFUNCTION("IF(E5051&lt;&gt;"""", GOOGLETRANSLATE(E5051, ""en"", ""te""),"""")"),"")</f>
        <v/>
      </c>
      <c r="G5051" s="2"/>
      <c r="H5051" s="2" t="str">
        <f>IFERROR(__xludf.DUMMYFUNCTION("IF(G5051&lt;&gt;"""", GOOGLETRANSLATE(G5051, ""en"", ""te""),"""")"),"")</f>
        <v/>
      </c>
      <c r="I5051" s="3"/>
    </row>
    <row r="5052" customHeight="1" spans="1:9">
      <c r="A5052" s="2"/>
      <c r="B5052" s="2" t="str">
        <f>IFERROR(__xludf.DUMMYFUNCTION("IF(A5052&lt;&gt;"""", GOOGLETRANSLATE(A5052, ""en"", ""te""),"""")"),"")</f>
        <v/>
      </c>
      <c r="C5052" s="2"/>
      <c r="D5052" s="2" t="str">
        <f>IFERROR(__xludf.DUMMYFUNCTION("IF(C5052&lt;&gt;"""", GOOGLETRANSLATE(C5052, ""en"", ""te""),"""")"),"")</f>
        <v/>
      </c>
      <c r="E5052" s="2"/>
      <c r="F5052" s="2" t="str">
        <f>IFERROR(__xludf.DUMMYFUNCTION("IF(E5052&lt;&gt;"""", GOOGLETRANSLATE(E5052, ""en"", ""te""),"""")"),"")</f>
        <v/>
      </c>
      <c r="G5052" s="2"/>
      <c r="H5052" s="2" t="str">
        <f>IFERROR(__xludf.DUMMYFUNCTION("IF(G5052&lt;&gt;"""", GOOGLETRANSLATE(G5052, ""en"", ""te""),"""")"),"")</f>
        <v/>
      </c>
      <c r="I5052" s="3"/>
    </row>
    <row r="5053" customHeight="1" spans="1:9">
      <c r="A5053" s="2" t="s">
        <v>3437</v>
      </c>
      <c r="B5053" s="2" t="str">
        <f>IFERROR(__xludf.DUMMYFUNCTION("IF(A5053&lt;&gt;"""", GOOGLETRANSLATE(A5053, ""en"", ""te""),"""")"),"[ '10 వ చెత్త ఇన్నింగ్స్ లో సమ్మె రేటు (420.0)']")</f>
        <v>[ '10 వ చెత్త ఇన్నింగ్స్ లో సమ్మె రేటు (420.0)']</v>
      </c>
      <c r="C5053" s="2" t="s">
        <v>3438</v>
      </c>
      <c r="D5053" s="2" t="str">
        <f>IFERROR(__xludf.DUMMYFUNCTION("IF(C5053&lt;&gt;"""", GOOGLETRANSLATE(C5053, ""en"", ""te""),"""")"),"[ '24 చెత్త కెరీర్ (166.00) (అర్హత లేకుండా) సగటు బౌలింగ్', 'ఇన్నింగ్స్ లో 10 వ చెత్త సమ్మె రేటు (420.0)', '42 వ ఇన్నింగ్స్ (195) లో సాధించిన అత్యధిక పరుగులు']")</f>
        <v>[ '24 చెత్త కెరీర్ (166.00) (అర్హత లేకుండా) సగటు బౌలింగ్', 'ఇన్నింగ్స్ లో 10 వ చెత్త సమ్మె రేటు (420.0)', '42 వ ఇన్నింగ్స్ (195) లో సాధించిన అత్యధిక పరుగులు']</v>
      </c>
      <c r="E5053" s="2"/>
      <c r="F5053" s="2" t="str">
        <f>IFERROR(__xludf.DUMMYFUNCTION("IF(E5053&lt;&gt;"""", GOOGLETRANSLATE(E5053, ""en"", ""te""),"""")"),"")</f>
        <v/>
      </c>
      <c r="G5053" s="2"/>
      <c r="H5053" s="2" t="str">
        <f>IFERROR(__xludf.DUMMYFUNCTION("IF(G5053&lt;&gt;"""", GOOGLETRANSLATE(G5053, ""en"", ""te""),"""")"),"")</f>
        <v/>
      </c>
      <c r="I5053" s="3"/>
    </row>
    <row r="5054" customHeight="1" spans="1:9">
      <c r="A5054" s="2"/>
      <c r="B5054" s="2" t="str">
        <f>IFERROR(__xludf.DUMMYFUNCTION("IF(A5054&lt;&gt;"""", GOOGLETRANSLATE(A5054, ""en"", ""te""),"""")"),"")</f>
        <v/>
      </c>
      <c r="C5054" s="2"/>
      <c r="D5054" s="2" t="str">
        <f>IFERROR(__xludf.DUMMYFUNCTION("IF(C5054&lt;&gt;"""", GOOGLETRANSLATE(C5054, ""en"", ""te""),"""")"),"")</f>
        <v/>
      </c>
      <c r="E5054" s="2"/>
      <c r="F5054" s="2" t="str">
        <f>IFERROR(__xludf.DUMMYFUNCTION("IF(E5054&lt;&gt;"""", GOOGLETRANSLATE(E5054, ""en"", ""te""),"""")"),"")</f>
        <v/>
      </c>
      <c r="G5054" s="2"/>
      <c r="H5054" s="2" t="str">
        <f>IFERROR(__xludf.DUMMYFUNCTION("IF(G5054&lt;&gt;"""", GOOGLETRANSLATE(G5054, ""en"", ""te""),"""")"),"")</f>
        <v/>
      </c>
      <c r="I5054" s="3"/>
    </row>
    <row r="5055" customHeight="1" spans="1:9">
      <c r="A5055" s="2"/>
      <c r="B5055" s="2" t="str">
        <f>IFERROR(__xludf.DUMMYFUNCTION("IF(A5055&lt;&gt;"""", GOOGLETRANSLATE(A5055, ""en"", ""te""),"""")"),"")</f>
        <v/>
      </c>
      <c r="C5055" s="2"/>
      <c r="D5055" s="2" t="str">
        <f>IFERROR(__xludf.DUMMYFUNCTION("IF(C5055&lt;&gt;"""", GOOGLETRANSLATE(C5055, ""en"", ""te""),"""")"),"")</f>
        <v/>
      </c>
      <c r="E5055" s="2"/>
      <c r="F5055" s="2" t="str">
        <f>IFERROR(__xludf.DUMMYFUNCTION("IF(E5055&lt;&gt;"""", GOOGLETRANSLATE(E5055, ""en"", ""te""),"""")"),"")</f>
        <v/>
      </c>
      <c r="G5055" s="2"/>
      <c r="H5055" s="2" t="str">
        <f>IFERROR(__xludf.DUMMYFUNCTION("IF(G5055&lt;&gt;"""", GOOGLETRANSLATE(G5055, ""en"", ""te""),"""")"),"")</f>
        <v/>
      </c>
      <c r="I5055" s="3"/>
    </row>
    <row r="5056" customHeight="1" spans="1:9">
      <c r="A5056" s="2"/>
      <c r="B5056" s="2" t="str">
        <f>IFERROR(__xludf.DUMMYFUNCTION("IF(A5056&lt;&gt;"""", GOOGLETRANSLATE(A5056, ""en"", ""te""),"""")"),"")</f>
        <v/>
      </c>
      <c r="C5056" s="2"/>
      <c r="D5056" s="2" t="str">
        <f>IFERROR(__xludf.DUMMYFUNCTION("IF(C5056&lt;&gt;"""", GOOGLETRANSLATE(C5056, ""en"", ""te""),"""")"),"")</f>
        <v/>
      </c>
      <c r="E5056" s="2"/>
      <c r="F5056" s="2" t="str">
        <f>IFERROR(__xludf.DUMMYFUNCTION("IF(E5056&lt;&gt;"""", GOOGLETRANSLATE(E5056, ""en"", ""te""),"""")"),"")</f>
        <v/>
      </c>
      <c r="G5056" s="2"/>
      <c r="H5056" s="2" t="str">
        <f>IFERROR(__xludf.DUMMYFUNCTION("IF(G5056&lt;&gt;"""", GOOGLETRANSLATE(G5056, ""en"", ""te""),"""")"),"")</f>
        <v/>
      </c>
      <c r="I5056" s="3"/>
    </row>
    <row r="5057" customHeight="1" spans="1:9">
      <c r="A5057" s="2"/>
      <c r="B5057" s="2" t="str">
        <f>IFERROR(__xludf.DUMMYFUNCTION("IF(A5057&lt;&gt;"""", GOOGLETRANSLATE(A5057, ""en"", ""te""),"""")"),"")</f>
        <v/>
      </c>
      <c r="C5057" s="2"/>
      <c r="D5057" s="2" t="str">
        <f>IFERROR(__xludf.DUMMYFUNCTION("IF(C5057&lt;&gt;"""", GOOGLETRANSLATE(C5057, ""en"", ""te""),"""")"),"")</f>
        <v/>
      </c>
      <c r="E5057" s="2"/>
      <c r="F5057" s="2" t="str">
        <f>IFERROR(__xludf.DUMMYFUNCTION("IF(E5057&lt;&gt;"""", GOOGLETRANSLATE(E5057, ""en"", ""te""),"""")"),"")</f>
        <v/>
      </c>
      <c r="G5057" s="2"/>
      <c r="H5057" s="2" t="str">
        <f>IFERROR(__xludf.DUMMYFUNCTION("IF(G5057&lt;&gt;"""", GOOGLETRANSLATE(G5057, ""en"", ""te""),"""")"),"")</f>
        <v/>
      </c>
      <c r="I5057" s="3"/>
    </row>
    <row r="5058" customHeight="1" spans="1:9">
      <c r="A5058" s="2"/>
      <c r="B5058" s="2" t="str">
        <f>IFERROR(__xludf.DUMMYFUNCTION("IF(A5058&lt;&gt;"""", GOOGLETRANSLATE(A5058, ""en"", ""te""),"""")"),"")</f>
        <v/>
      </c>
      <c r="C5058" s="2"/>
      <c r="D5058" s="2" t="str">
        <f>IFERROR(__xludf.DUMMYFUNCTION("IF(C5058&lt;&gt;"""", GOOGLETRANSLATE(C5058, ""en"", ""te""),"""")"),"")</f>
        <v/>
      </c>
      <c r="E5058" s="2"/>
      <c r="F5058" s="2" t="str">
        <f>IFERROR(__xludf.DUMMYFUNCTION("IF(E5058&lt;&gt;"""", GOOGLETRANSLATE(E5058, ""en"", ""te""),"""")"),"")</f>
        <v/>
      </c>
      <c r="G5058" s="2"/>
      <c r="H5058" s="2" t="str">
        <f>IFERROR(__xludf.DUMMYFUNCTION("IF(G5058&lt;&gt;"""", GOOGLETRANSLATE(G5058, ""en"", ""te""),"""")"),"")</f>
        <v/>
      </c>
      <c r="I5058" s="3"/>
    </row>
    <row r="5059" customHeight="1" spans="1:9">
      <c r="A5059" s="2"/>
      <c r="B5059" s="2" t="str">
        <f>IFERROR(__xludf.DUMMYFUNCTION("IF(A5059&lt;&gt;"""", GOOGLETRANSLATE(A5059, ""en"", ""te""),"""")"),"")</f>
        <v/>
      </c>
      <c r="C5059" s="2"/>
      <c r="D5059" s="2" t="str">
        <f>IFERROR(__xludf.DUMMYFUNCTION("IF(C5059&lt;&gt;"""", GOOGLETRANSLATE(C5059, ""en"", ""te""),"""")"),"")</f>
        <v/>
      </c>
      <c r="E5059" s="2"/>
      <c r="F5059" s="2" t="str">
        <f>IFERROR(__xludf.DUMMYFUNCTION("IF(E5059&lt;&gt;"""", GOOGLETRANSLATE(E5059, ""en"", ""te""),"""")"),"")</f>
        <v/>
      </c>
      <c r="G5059" s="2"/>
      <c r="H5059" s="2" t="str">
        <f>IFERROR(__xludf.DUMMYFUNCTION("IF(G5059&lt;&gt;"""", GOOGLETRANSLATE(G5059, ""en"", ""te""),"""")"),"")</f>
        <v/>
      </c>
      <c r="I5059" s="3"/>
    </row>
    <row r="5060" customHeight="1" spans="1:9">
      <c r="A5060" s="2"/>
      <c r="B5060" s="2" t="str">
        <f>IFERROR(__xludf.DUMMYFUNCTION("IF(A5060&lt;&gt;"""", GOOGLETRANSLATE(A5060, ""en"", ""te""),"""")"),"")</f>
        <v/>
      </c>
      <c r="C5060" s="2"/>
      <c r="D5060" s="2" t="str">
        <f>IFERROR(__xludf.DUMMYFUNCTION("IF(C5060&lt;&gt;"""", GOOGLETRANSLATE(C5060, ""en"", ""te""),"""")"),"")</f>
        <v/>
      </c>
      <c r="E5060" s="2"/>
      <c r="F5060" s="2" t="str">
        <f>IFERROR(__xludf.DUMMYFUNCTION("IF(E5060&lt;&gt;"""", GOOGLETRANSLATE(E5060, ""en"", ""te""),"""")"),"")</f>
        <v/>
      </c>
      <c r="G5060" s="2"/>
      <c r="H5060" s="2" t="str">
        <f>IFERROR(__xludf.DUMMYFUNCTION("IF(G5060&lt;&gt;"""", GOOGLETRANSLATE(G5060, ""en"", ""te""),"""")"),"")</f>
        <v/>
      </c>
      <c r="I5060" s="3"/>
    </row>
    <row r="5061" customHeight="1" spans="1:9">
      <c r="A5061" s="2"/>
      <c r="B5061" s="2" t="str">
        <f>IFERROR(__xludf.DUMMYFUNCTION("IF(A5061&lt;&gt;"""", GOOGLETRANSLATE(A5061, ""en"", ""te""),"""")"),"")</f>
        <v/>
      </c>
      <c r="C5061" s="2"/>
      <c r="D5061" s="2" t="str">
        <f>IFERROR(__xludf.DUMMYFUNCTION("IF(C5061&lt;&gt;"""", GOOGLETRANSLATE(C5061, ""en"", ""te""),"""")"),"")</f>
        <v/>
      </c>
      <c r="E5061" s="2"/>
      <c r="F5061" s="2" t="str">
        <f>IFERROR(__xludf.DUMMYFUNCTION("IF(E5061&lt;&gt;"""", GOOGLETRANSLATE(E5061, ""en"", ""te""),"""")"),"")</f>
        <v/>
      </c>
      <c r="G5061" s="2"/>
      <c r="H5061" s="2" t="str">
        <f>IFERROR(__xludf.DUMMYFUNCTION("IF(G5061&lt;&gt;"""", GOOGLETRANSLATE(G5061, ""en"", ""te""),"""")"),"")</f>
        <v/>
      </c>
      <c r="I5061" s="3"/>
    </row>
    <row r="5062" customHeight="1" spans="1:9">
      <c r="A5062" s="2"/>
      <c r="B5062" s="2" t="str">
        <f>IFERROR(__xludf.DUMMYFUNCTION("IF(A5062&lt;&gt;"""", GOOGLETRANSLATE(A5062, ""en"", ""te""),"""")"),"")</f>
        <v/>
      </c>
      <c r="C5062" s="2"/>
      <c r="D5062" s="2" t="str">
        <f>IFERROR(__xludf.DUMMYFUNCTION("IF(C5062&lt;&gt;"""", GOOGLETRANSLATE(C5062, ""en"", ""te""),"""")"),"")</f>
        <v/>
      </c>
      <c r="E5062" s="2"/>
      <c r="F5062" s="2" t="str">
        <f>IFERROR(__xludf.DUMMYFUNCTION("IF(E5062&lt;&gt;"""", GOOGLETRANSLATE(E5062, ""en"", ""te""),"""")"),"")</f>
        <v/>
      </c>
      <c r="G5062" s="2"/>
      <c r="H5062" s="2" t="str">
        <f>IFERROR(__xludf.DUMMYFUNCTION("IF(G5062&lt;&gt;"""", GOOGLETRANSLATE(G5062, ""en"", ""te""),"""")"),"")</f>
        <v/>
      </c>
      <c r="I5062" s="3"/>
    </row>
    <row r="5063" customHeight="1" spans="1:9">
      <c r="A5063" s="2"/>
      <c r="B5063" s="2" t="str">
        <f>IFERROR(__xludf.DUMMYFUNCTION("IF(A5063&lt;&gt;"""", GOOGLETRANSLATE(A5063, ""en"", ""te""),"""")"),"")</f>
        <v/>
      </c>
      <c r="C5063" s="2"/>
      <c r="D5063" s="2" t="str">
        <f>IFERROR(__xludf.DUMMYFUNCTION("IF(C5063&lt;&gt;"""", GOOGLETRANSLATE(C5063, ""en"", ""te""),"""")"),"")</f>
        <v/>
      </c>
      <c r="E5063" s="2"/>
      <c r="F5063" s="2" t="str">
        <f>IFERROR(__xludf.DUMMYFUNCTION("IF(E5063&lt;&gt;"""", GOOGLETRANSLATE(E5063, ""en"", ""te""),"""")"),"")</f>
        <v/>
      </c>
      <c r="G5063" s="2"/>
      <c r="H5063" s="2" t="str">
        <f>IFERROR(__xludf.DUMMYFUNCTION("IF(G5063&lt;&gt;"""", GOOGLETRANSLATE(G5063, ""en"", ""te""),"""")"),"")</f>
        <v/>
      </c>
      <c r="I5063" s="3"/>
    </row>
    <row r="5064" customHeight="1" spans="1:9">
      <c r="A5064" s="2"/>
      <c r="B5064" s="2" t="str">
        <f>IFERROR(__xludf.DUMMYFUNCTION("IF(A5064&lt;&gt;"""", GOOGLETRANSLATE(A5064, ""en"", ""te""),"""")"),"")</f>
        <v/>
      </c>
      <c r="C5064" s="2"/>
      <c r="D5064" s="2" t="str">
        <f>IFERROR(__xludf.DUMMYFUNCTION("IF(C5064&lt;&gt;"""", GOOGLETRANSLATE(C5064, ""en"", ""te""),"""")"),"")</f>
        <v/>
      </c>
      <c r="E5064" s="2"/>
      <c r="F5064" s="2" t="str">
        <f>IFERROR(__xludf.DUMMYFUNCTION("IF(E5064&lt;&gt;"""", GOOGLETRANSLATE(E5064, ""en"", ""te""),"""")"),"")</f>
        <v/>
      </c>
      <c r="G5064" s="2"/>
      <c r="H5064" s="2" t="str">
        <f>IFERROR(__xludf.DUMMYFUNCTION("IF(G5064&lt;&gt;"""", GOOGLETRANSLATE(G5064, ""en"", ""te""),"""")"),"")</f>
        <v/>
      </c>
      <c r="I5064" s="3"/>
    </row>
    <row r="5065" customHeight="1" spans="1:9">
      <c r="A5065" s="2" t="s">
        <v>3439</v>
      </c>
      <c r="B5065" s="2" t="str">
        <f>IFERROR(__xludf.DUMMYFUNCTION("IF(A5065&lt;&gt;"""", GOOGLETRANSLATE(A5065, ""en"", ""te""),"""")"),"[ 'ఒక వికెట్ కీపర్ సిరీస్లో 3 వ అత్యధిక పరుగులు (525)', 'ఒకే మ్యాచ్ లో బ్యాటింగ్ ప్రారంభించుటకు మరియు బౌలింగ్']")</f>
        <v>[ 'ఒక వికెట్ కీపర్ సిరీస్లో 3 వ అత్యధిక పరుగులు (525)', 'ఒకే మ్యాచ్ లో బ్యాటింగ్ ప్రారంభించుటకు మరియు బౌలింగ్']</v>
      </c>
      <c r="C5065" s="2" t="s">
        <v>3440</v>
      </c>
      <c r="D5065" s="2" t="str">
        <f>IFERROR(__xludf.DUMMYFUNCTION("IF(C5065&lt;&gt;"""", GOOGLETRANSLATE(C5065, ""en"", ""te""),"""")"),"[ 'ఒక వికెట్ కీపర్ సిరీస్లో 3 వ అత్యధిక పరుగులు (525)', 'అత్యధిక వికెట్లు ఇన్నింగ్స్ 12 వ అత్యధిక పరుగులు (192)', '13 వ అత్యంత ఇన్నింగ్స్ (29) లో సాధించిన బైస్']")</f>
        <v>[ 'ఒక వికెట్ కీపర్ సిరీస్లో 3 వ అత్యధిక పరుగులు (525)', 'అత్యధిక వికెట్లు ఇన్నింగ్స్ 12 వ అత్యధిక పరుగులు (192)', '13 వ అత్యంత ఇన్నింగ్స్ (29) లో సాధించిన బైస్']</v>
      </c>
      <c r="E5065" s="2"/>
      <c r="F5065" s="2" t="str">
        <f>IFERROR(__xludf.DUMMYFUNCTION("IF(E5065&lt;&gt;"""", GOOGLETRANSLATE(E5065, ""en"", ""te""),"""")"),"")</f>
        <v/>
      </c>
      <c r="G5065" s="2"/>
      <c r="H5065" s="2" t="str">
        <f>IFERROR(__xludf.DUMMYFUNCTION("IF(G5065&lt;&gt;"""", GOOGLETRANSLATE(G5065, ""en"", ""te""),"""")"),"")</f>
        <v/>
      </c>
      <c r="I5065" s="3"/>
    </row>
    <row r="5066" customHeight="1" spans="1:9">
      <c r="A5066" s="2"/>
      <c r="B5066" s="2" t="str">
        <f>IFERROR(__xludf.DUMMYFUNCTION("IF(A5066&lt;&gt;"""", GOOGLETRANSLATE(A5066, ""en"", ""te""),"""")"),"")</f>
        <v/>
      </c>
      <c r="C5066" s="2"/>
      <c r="D5066" s="2" t="str">
        <f>IFERROR(__xludf.DUMMYFUNCTION("IF(C5066&lt;&gt;"""", GOOGLETRANSLATE(C5066, ""en"", ""te""),"""")"),"")</f>
        <v/>
      </c>
      <c r="E5066" s="2"/>
      <c r="F5066" s="2" t="str">
        <f>IFERROR(__xludf.DUMMYFUNCTION("IF(E5066&lt;&gt;"""", GOOGLETRANSLATE(E5066, ""en"", ""te""),"""")"),"")</f>
        <v/>
      </c>
      <c r="G5066" s="2"/>
      <c r="H5066" s="2" t="str">
        <f>IFERROR(__xludf.DUMMYFUNCTION("IF(G5066&lt;&gt;"""", GOOGLETRANSLATE(G5066, ""en"", ""te""),"""")"),"")</f>
        <v/>
      </c>
      <c r="I5066" s="3"/>
    </row>
    <row r="5067" customHeight="1" spans="1:9">
      <c r="A5067" s="2"/>
      <c r="B5067" s="2" t="str">
        <f>IFERROR(__xludf.DUMMYFUNCTION("IF(A5067&lt;&gt;"""", GOOGLETRANSLATE(A5067, ""en"", ""te""),"""")"),"")</f>
        <v/>
      </c>
      <c r="C5067" s="2"/>
      <c r="D5067" s="2" t="str">
        <f>IFERROR(__xludf.DUMMYFUNCTION("IF(C5067&lt;&gt;"""", GOOGLETRANSLATE(C5067, ""en"", ""te""),"""")"),"")</f>
        <v/>
      </c>
      <c r="E5067" s="2" t="s">
        <v>3441</v>
      </c>
      <c r="F5067" s="2" t="str">
        <f>IFERROR(__xludf.DUMMYFUNCTION("IF(E5067&lt;&gt;"""", GOOGLETRANSLATE(E5067, ""en"", ""te""),"""")"),"[ '20 వ వరుస మ్యాచ్లు ఆడి మధ్య జట్టు (157) కోసం తప్పిన']")</f>
        <v>[ '20 వ వరుస మ్యాచ్లు ఆడి మధ్య జట్టు (157) కోసం తప్పిన']</v>
      </c>
      <c r="G5067" s="2"/>
      <c r="H5067" s="2" t="str">
        <f>IFERROR(__xludf.DUMMYFUNCTION("IF(G5067&lt;&gt;"""", GOOGLETRANSLATE(G5067, ""en"", ""te""),"""")"),"")</f>
        <v/>
      </c>
      <c r="I5067" s="3"/>
    </row>
    <row r="5068" customHeight="1" spans="1:9">
      <c r="A5068" s="2"/>
      <c r="B5068" s="2" t="str">
        <f>IFERROR(__xludf.DUMMYFUNCTION("IF(A5068&lt;&gt;"""", GOOGLETRANSLATE(A5068, ""en"", ""te""),"""")"),"")</f>
        <v/>
      </c>
      <c r="C5068" s="2"/>
      <c r="D5068" s="2" t="str">
        <f>IFERROR(__xludf.DUMMYFUNCTION("IF(C5068&lt;&gt;"""", GOOGLETRANSLATE(C5068, ""en"", ""te""),"""")"),"")</f>
        <v/>
      </c>
      <c r="E5068" s="2"/>
      <c r="F5068" s="2" t="str">
        <f>IFERROR(__xludf.DUMMYFUNCTION("IF(E5068&lt;&gt;"""", GOOGLETRANSLATE(E5068, ""en"", ""te""),"""")"),"")</f>
        <v/>
      </c>
      <c r="G5068" s="2"/>
      <c r="H5068" s="2" t="str">
        <f>IFERROR(__xludf.DUMMYFUNCTION("IF(G5068&lt;&gt;"""", GOOGLETRANSLATE(G5068, ""en"", ""te""),"""")"),"")</f>
        <v/>
      </c>
      <c r="I5068" s="3"/>
    </row>
    <row r="5069" customHeight="1" spans="1:9">
      <c r="A5069" s="2"/>
      <c r="B5069" s="2" t="str">
        <f>IFERROR(__xludf.DUMMYFUNCTION("IF(A5069&lt;&gt;"""", GOOGLETRANSLATE(A5069, ""en"", ""te""),"""")"),"")</f>
        <v/>
      </c>
      <c r="C5069" s="2"/>
      <c r="D5069" s="2" t="str">
        <f>IFERROR(__xludf.DUMMYFUNCTION("IF(C5069&lt;&gt;"""", GOOGLETRANSLATE(C5069, ""en"", ""te""),"""")"),"")</f>
        <v/>
      </c>
      <c r="E5069" s="2"/>
      <c r="F5069" s="2" t="str">
        <f>IFERROR(__xludf.DUMMYFUNCTION("IF(E5069&lt;&gt;"""", GOOGLETRANSLATE(E5069, ""en"", ""te""),"""")"),"")</f>
        <v/>
      </c>
      <c r="G5069" s="2"/>
      <c r="H5069" s="2" t="str">
        <f>IFERROR(__xludf.DUMMYFUNCTION("IF(G5069&lt;&gt;"""", GOOGLETRANSLATE(G5069, ""en"", ""te""),"""")"),"")</f>
        <v/>
      </c>
      <c r="I5069" s="3"/>
    </row>
    <row r="5070" customHeight="1" spans="1:9">
      <c r="A5070" s="2"/>
      <c r="B5070" s="2" t="str">
        <f>IFERROR(__xludf.DUMMYFUNCTION("IF(A5070&lt;&gt;"""", GOOGLETRANSLATE(A5070, ""en"", ""te""),"""")"),"")</f>
        <v/>
      </c>
      <c r="C5070" s="2"/>
      <c r="D5070" s="2" t="str">
        <f>IFERROR(__xludf.DUMMYFUNCTION("IF(C5070&lt;&gt;"""", GOOGLETRANSLATE(C5070, ""en"", ""te""),"""")"),"")</f>
        <v/>
      </c>
      <c r="E5070" s="2"/>
      <c r="F5070" s="2" t="str">
        <f>IFERROR(__xludf.DUMMYFUNCTION("IF(E5070&lt;&gt;"""", GOOGLETRANSLATE(E5070, ""en"", ""te""),"""")"),"")</f>
        <v/>
      </c>
      <c r="G5070" s="2"/>
      <c r="H5070" s="2" t="str">
        <f>IFERROR(__xludf.DUMMYFUNCTION("IF(G5070&lt;&gt;"""", GOOGLETRANSLATE(G5070, ""en"", ""te""),"""")"),"")</f>
        <v/>
      </c>
      <c r="I5070" s="3"/>
    </row>
    <row r="5071" customHeight="1" spans="1:9">
      <c r="A5071" s="2"/>
      <c r="B5071" s="2" t="str">
        <f>IFERROR(__xludf.DUMMYFUNCTION("IF(A5071&lt;&gt;"""", GOOGLETRANSLATE(A5071, ""en"", ""te""),"""")"),"")</f>
        <v/>
      </c>
      <c r="C5071" s="2"/>
      <c r="D5071" s="2" t="str">
        <f>IFERROR(__xludf.DUMMYFUNCTION("IF(C5071&lt;&gt;"""", GOOGLETRANSLATE(C5071, ""en"", ""te""),"""")"),"")</f>
        <v/>
      </c>
      <c r="E5071" s="2"/>
      <c r="F5071" s="2" t="str">
        <f>IFERROR(__xludf.DUMMYFUNCTION("IF(E5071&lt;&gt;"""", GOOGLETRANSLATE(E5071, ""en"", ""te""),"""")"),"")</f>
        <v/>
      </c>
      <c r="G5071" s="2"/>
      <c r="H5071" s="2" t="str">
        <f>IFERROR(__xludf.DUMMYFUNCTION("IF(G5071&lt;&gt;"""", GOOGLETRANSLATE(G5071, ""en"", ""te""),"""")"),"")</f>
        <v/>
      </c>
      <c r="I5071" s="3"/>
    </row>
    <row r="5072" customHeight="1" spans="1:9">
      <c r="A5072" s="2"/>
      <c r="B5072" s="2" t="str">
        <f>IFERROR(__xludf.DUMMYFUNCTION("IF(A5072&lt;&gt;"""", GOOGLETRANSLATE(A5072, ""en"", ""te""),"""")"),"")</f>
        <v/>
      </c>
      <c r="C5072" s="2"/>
      <c r="D5072" s="2" t="str">
        <f>IFERROR(__xludf.DUMMYFUNCTION("IF(C5072&lt;&gt;"""", GOOGLETRANSLATE(C5072, ""en"", ""te""),"""")"),"")</f>
        <v/>
      </c>
      <c r="E5072" s="2"/>
      <c r="F5072" s="2" t="str">
        <f>IFERROR(__xludf.DUMMYFUNCTION("IF(E5072&lt;&gt;"""", GOOGLETRANSLATE(E5072, ""en"", ""te""),"""")"),"")</f>
        <v/>
      </c>
      <c r="G5072" s="2"/>
      <c r="H5072" s="2" t="str">
        <f>IFERROR(__xludf.DUMMYFUNCTION("IF(G5072&lt;&gt;"""", GOOGLETRANSLATE(G5072, ""en"", ""te""),"""")"),"")</f>
        <v/>
      </c>
      <c r="I5072" s="3"/>
    </row>
    <row r="5073" customHeight="1" spans="1:9">
      <c r="A5073" s="2"/>
      <c r="B5073" s="2" t="str">
        <f>IFERROR(__xludf.DUMMYFUNCTION("IF(A5073&lt;&gt;"""", GOOGLETRANSLATE(A5073, ""en"", ""te""),"""")"),"")</f>
        <v/>
      </c>
      <c r="C5073" s="2"/>
      <c r="D5073" s="2" t="str">
        <f>IFERROR(__xludf.DUMMYFUNCTION("IF(C5073&lt;&gt;"""", GOOGLETRANSLATE(C5073, ""en"", ""te""),"""")"),"")</f>
        <v/>
      </c>
      <c r="E5073" s="2"/>
      <c r="F5073" s="2" t="str">
        <f>IFERROR(__xludf.DUMMYFUNCTION("IF(E5073&lt;&gt;"""", GOOGLETRANSLATE(E5073, ""en"", ""te""),"""")"),"")</f>
        <v/>
      </c>
      <c r="G5073" s="2"/>
      <c r="H5073" s="2" t="str">
        <f>IFERROR(__xludf.DUMMYFUNCTION("IF(G5073&lt;&gt;"""", GOOGLETRANSLATE(G5073, ""en"", ""te""),"""")"),"")</f>
        <v/>
      </c>
      <c r="I5073" s="3"/>
    </row>
    <row r="5074" customHeight="1" spans="1:9">
      <c r="A5074" s="2"/>
      <c r="B5074" s="2" t="str">
        <f>IFERROR(__xludf.DUMMYFUNCTION("IF(A5074&lt;&gt;"""", GOOGLETRANSLATE(A5074, ""en"", ""te""),"""")"),"")</f>
        <v/>
      </c>
      <c r="C5074" s="2"/>
      <c r="D5074" s="2" t="str">
        <f>IFERROR(__xludf.DUMMYFUNCTION("IF(C5074&lt;&gt;"""", GOOGLETRANSLATE(C5074, ""en"", ""te""),"""")"),"")</f>
        <v/>
      </c>
      <c r="E5074" s="2"/>
      <c r="F5074" s="2" t="str">
        <f>IFERROR(__xludf.DUMMYFUNCTION("IF(E5074&lt;&gt;"""", GOOGLETRANSLATE(E5074, ""en"", ""te""),"""")"),"")</f>
        <v/>
      </c>
      <c r="G5074" s="2"/>
      <c r="H5074" s="2" t="str">
        <f>IFERROR(__xludf.DUMMYFUNCTION("IF(G5074&lt;&gt;"""", GOOGLETRANSLATE(G5074, ""en"", ""te""),"""")"),"")</f>
        <v/>
      </c>
      <c r="I5074" s="3"/>
    </row>
    <row r="5075" customHeight="1" spans="1:9">
      <c r="A5075" s="2"/>
      <c r="B5075" s="2" t="str">
        <f>IFERROR(__xludf.DUMMYFUNCTION("IF(A5075&lt;&gt;"""", GOOGLETRANSLATE(A5075, ""en"", ""te""),"""")"),"")</f>
        <v/>
      </c>
      <c r="C5075" s="2"/>
      <c r="D5075" s="2" t="str">
        <f>IFERROR(__xludf.DUMMYFUNCTION("IF(C5075&lt;&gt;"""", GOOGLETRANSLATE(C5075, ""en"", ""te""),"""")"),"")</f>
        <v/>
      </c>
      <c r="E5075" s="2"/>
      <c r="F5075" s="2" t="str">
        <f>IFERROR(__xludf.DUMMYFUNCTION("IF(E5075&lt;&gt;"""", GOOGLETRANSLATE(E5075, ""en"", ""te""),"""")"),"")</f>
        <v/>
      </c>
      <c r="G5075" s="2"/>
      <c r="H5075" s="2" t="str">
        <f>IFERROR(__xludf.DUMMYFUNCTION("IF(G5075&lt;&gt;"""", GOOGLETRANSLATE(G5075, ""en"", ""te""),"""")"),"")</f>
        <v/>
      </c>
      <c r="I5075" s="3"/>
    </row>
    <row r="5076" customHeight="1" spans="1:9">
      <c r="A5076" s="2"/>
      <c r="B5076" s="2" t="str">
        <f>IFERROR(__xludf.DUMMYFUNCTION("IF(A5076&lt;&gt;"""", GOOGLETRANSLATE(A5076, ""en"", ""te""),"""")"),"")</f>
        <v/>
      </c>
      <c r="C5076" s="2"/>
      <c r="D5076" s="2" t="str">
        <f>IFERROR(__xludf.DUMMYFUNCTION("IF(C5076&lt;&gt;"""", GOOGLETRANSLATE(C5076, ""en"", ""te""),"""")"),"")</f>
        <v/>
      </c>
      <c r="E5076" s="2"/>
      <c r="F5076" s="2" t="str">
        <f>IFERROR(__xludf.DUMMYFUNCTION("IF(E5076&lt;&gt;"""", GOOGLETRANSLATE(E5076, ""en"", ""te""),"""")"),"")</f>
        <v/>
      </c>
      <c r="G5076" s="2"/>
      <c r="H5076" s="2" t="str">
        <f>IFERROR(__xludf.DUMMYFUNCTION("IF(G5076&lt;&gt;"""", GOOGLETRANSLATE(G5076, ""en"", ""te""),"""")"),"")</f>
        <v/>
      </c>
      <c r="I5076" s="3"/>
    </row>
    <row r="5077" customHeight="1" spans="1:9">
      <c r="A5077" s="2"/>
      <c r="B5077" s="2" t="str">
        <f>IFERROR(__xludf.DUMMYFUNCTION("IF(A5077&lt;&gt;"""", GOOGLETRANSLATE(A5077, ""en"", ""te""),"""")"),"")</f>
        <v/>
      </c>
      <c r="C5077" s="2"/>
      <c r="D5077" s="2" t="str">
        <f>IFERROR(__xludf.DUMMYFUNCTION("IF(C5077&lt;&gt;"""", GOOGLETRANSLATE(C5077, ""en"", ""te""),"""")"),"")</f>
        <v/>
      </c>
      <c r="E5077" s="2"/>
      <c r="F5077" s="2" t="str">
        <f>IFERROR(__xludf.DUMMYFUNCTION("IF(E5077&lt;&gt;"""", GOOGLETRANSLATE(E5077, ""en"", ""te""),"""")"),"")</f>
        <v/>
      </c>
      <c r="G5077" s="2"/>
      <c r="H5077" s="2" t="str">
        <f>IFERROR(__xludf.DUMMYFUNCTION("IF(G5077&lt;&gt;"""", GOOGLETRANSLATE(G5077, ""en"", ""te""),"""")"),"")</f>
        <v/>
      </c>
      <c r="I5077" s="3"/>
    </row>
    <row r="5078" customHeight="1" spans="1:9">
      <c r="A5078" s="2"/>
      <c r="B5078" s="2" t="str">
        <f>IFERROR(__xludf.DUMMYFUNCTION("IF(A5078&lt;&gt;"""", GOOGLETRANSLATE(A5078, ""en"", ""te""),"""")"),"")</f>
        <v/>
      </c>
      <c r="C5078" s="2"/>
      <c r="D5078" s="2" t="str">
        <f>IFERROR(__xludf.DUMMYFUNCTION("IF(C5078&lt;&gt;"""", GOOGLETRANSLATE(C5078, ""en"", ""te""),"""")"),"")</f>
        <v/>
      </c>
      <c r="E5078" s="2"/>
      <c r="F5078" s="2" t="str">
        <f>IFERROR(__xludf.DUMMYFUNCTION("IF(E5078&lt;&gt;"""", GOOGLETRANSLATE(E5078, ""en"", ""te""),"""")"),"")</f>
        <v/>
      </c>
      <c r="G5078" s="2"/>
      <c r="H5078" s="2" t="str">
        <f>IFERROR(__xludf.DUMMYFUNCTION("IF(G5078&lt;&gt;"""", GOOGLETRANSLATE(G5078, ""en"", ""te""),"""")"),"")</f>
        <v/>
      </c>
      <c r="I5078" s="3"/>
    </row>
    <row r="5079" customHeight="1" spans="1:9">
      <c r="A5079" s="2"/>
      <c r="B5079" s="2" t="str">
        <f>IFERROR(__xludf.DUMMYFUNCTION("IF(A5079&lt;&gt;"""", GOOGLETRANSLATE(A5079, ""en"", ""te""),"""")"),"")</f>
        <v/>
      </c>
      <c r="C5079" s="2"/>
      <c r="D5079" s="2" t="str">
        <f>IFERROR(__xludf.DUMMYFUNCTION("IF(C5079&lt;&gt;"""", GOOGLETRANSLATE(C5079, ""en"", ""te""),"""")"),"")</f>
        <v/>
      </c>
      <c r="E5079" s="2"/>
      <c r="F5079" s="2" t="str">
        <f>IFERROR(__xludf.DUMMYFUNCTION("IF(E5079&lt;&gt;"""", GOOGLETRANSLATE(E5079, ""en"", ""te""),"""")"),"")</f>
        <v/>
      </c>
      <c r="G5079" s="2"/>
      <c r="H5079" s="2" t="str">
        <f>IFERROR(__xludf.DUMMYFUNCTION("IF(G5079&lt;&gt;"""", GOOGLETRANSLATE(G5079, ""en"", ""te""),"""")"),"")</f>
        <v/>
      </c>
      <c r="I5079" s="3"/>
    </row>
    <row r="5080" customHeight="1" spans="1:9">
      <c r="A5080" s="2" t="s">
        <v>3442</v>
      </c>
      <c r="B5080" s="2" t="str">
        <f>IFERROR(__xludf.DUMMYFUNCTION("IF(A5080&lt;&gt;"""", GOOGLETRANSLATE(A5080, ""en"", ""te""),"""")"),"[ '(75) ఒక ఇన్నింగ్స్ లో 4 వ అత్యధిక పరుగులు (బ్యాటింగ్ స్థానంలో ద్వారా)' '7th కెరీర్ జతల (3)', '1000 పరుగులు మరియు 100 వికెట్లు', '6 వ అత్యధిక వరుస బాతులు (3)']")</f>
        <v>[ '(75) ఒక ఇన్నింగ్స్ లో 4 వ అత్యధిక పరుగులు (బ్యాటింగ్ స్థానంలో ద్వారా)' '7th కెరీర్ జతల (3)', '1000 పరుగులు మరియు 100 వికెట్లు', '6 వ అత్యధిక వరుస బాతులు (3)']</v>
      </c>
      <c r="C5080" s="2" t="s">
        <v>3443</v>
      </c>
      <c r="D5080" s="2" t="str">
        <f>IFERROR(__xludf.DUMMYFUNCTION("IF(C5080&lt;&gt;"""", GOOGLETRANSLATE(C5080, ""en"", ""te""),"""")"),"[ 'వంద (1231) లేకుండా 32 వ ఒక జీవితంలో అత్యధిక పరుగులు' 'ఇన్నింగ్స్ లో 4 వ అత్యధిక పరుగులు (బ్యాటింగ్ స్థానంలో ద్వారా) (75)', '8 వ కెరీర్ బాతులు (29)', '7 వ అత్యధిక కెరీర్ లో జతల (3) ',' 29th కెరీర్లో అత్యధిక వికెట్లు (311) ',' 28th కెరీర్లో బౌల్డ్ చాలా బ"&amp;"ంతుల్లో (18785) ',' 16 వ కెరీర్ లో సాధించిన అత్యధిక పరుగులు (10247) ',' 36 వ బౌలర్ / ఫీల్డర్ కలయికలు (43) ' '45 వ అత్యధిక వికెట్లు బౌల్డ్ తీసుకున్న (56)', '34 వ అత్యధిక వికెట్లు తీసుకున్న ఆకర్షించింది (191)', '41 వ అత్యధిక వికెట్లు ఒక ఫీల్డర్ చేత క్యాచ్ త"&amp;"ీసుకున్న (113)', '22 వ అత్యధిక వికెట్లు ఒక వికెట్ కీపర్ చే కాట్ తీసుకోకూడదు (78)' '24 వ అత్యధిక వికెట్లు తీసుకున్న ఎల్బిడబ్ల్యు (63)', '250 వికెట్లు వేగంగా 41 వ (73)', '32 వ 300 వికెట్లు వేగంగా (89)', '44 వ అత్యంత ప్లేయర్ ఆఫ్ ది సిరీస్ అవార్డులు (3)']")</f>
        <v>[ 'వంద (1231) లేకుండా 32 వ ఒక జీవితంలో అత్యధిక పరుగులు' 'ఇన్నింగ్స్ లో 4 వ అత్యధిక పరుగులు (బ్యాటింగ్ స్థానంలో ద్వారా) (75)', '8 వ కెరీర్ బాతులు (29)', '7 వ అత్యధిక కెరీర్ లో జతల (3) ',' 29th కెరీర్లో అత్యధిక వికెట్లు (311) ',' 28th కెరీర్లో బౌల్డ్ చాలా బంతుల్లో (18785) ',' 16 వ కెరీర్ లో సాధించిన అత్యధిక పరుగులు (10247) ',' 36 వ బౌలర్ / ఫీల్డర్ కలయికలు (43) ' '45 వ అత్యధిక వికెట్లు బౌల్డ్ తీసుకున్న (56)', '34 వ అత్యధిక వికెట్లు తీసుకున్న ఆకర్షించింది (191)', '41 వ అత్యధిక వికెట్లు ఒక ఫీల్డర్ చేత క్యాచ్ తీసుకున్న (113)', '22 వ అత్యధిక వికెట్లు ఒక వికెట్ కీపర్ చే కాట్ తీసుకోకూడదు (78)' '24 వ అత్యధిక వికెట్లు తీసుకున్న ఎల్బిడబ్ల్యు (63)', '250 వికెట్లు వేగంగా 41 వ (73)', '32 వ 300 వికెట్లు వేగంగా (89)', '44 వ అత్యంత ప్లేయర్ ఆఫ్ ది సిరీస్ అవార్డులు (3)']</v>
      </c>
      <c r="E5080" s="2" t="s">
        <v>3444</v>
      </c>
      <c r="F5080" s="2" t="str">
        <f>IFERROR(__xludf.DUMMYFUNCTION("IF(E5080&lt;&gt;"""", GOOGLETRANSLATE(E5080, ""en"", ""te""),"""")"),"[ '20 వ అత్యధిక ఇన్నింగ్స్ లో సమ్మె రేటు (290.90)', '45 వ కెరీర్ బాతులు (15)', '6 వ అత్యధిక వరుస బాతులు (3)', '17 వ కెరీర్ లో అత్యధిక వికెట్లు (282)', '16 వ అత్యధిక వికెట్లు వరుస (21) ',' 43 వ అత్యంత నాలుగు వికెట్లు-ఇన్-ఒక-ఇన్నింగ్స్ కెరీర్లో (8) ',' 23 వ"&amp;" కెరీర్ లో బౌల్డ్ చాలా బంతుల్లో (10097) ',' 18 వ అత్యధిక పరుగులు కెరీర్లో సాధించిన (8301) ',' 25 వ బౌలర్ / బ్యాట్స్ కలయికలు (8) ',' 12 వ అత్యధిక వికెట్లు తీసుకున్న బౌల్డ్ (81) ',' 25 వ అత్యధిక వికెట్లు తీసుకున్న ఆకర్షించింది (153) ',' 24 వ అత్యధిక వికెట్ల"&amp;"ు ఒక ఫీల్డర్ చేత క్యాచ్ తీసుకున్న (120) ',' 11 వ అత్యంత ఎల్బిడబ్ల్యు తీసుకోబడిన వికెట్ల (48) ',' 29th 100 వికెట్లు (65) ',' వేగంగా 150 వికెట్లు పడగొట్టిన (103) ',' 18 వ 23 వేగంగా వేగంగా 200 వికెట్లు (144) ',' 14 వ 250 వికెట్లు వేగవంతమైన ( 180) ']")</f>
        <v>[ '20 వ అత్యధిక ఇన్నింగ్స్ లో సమ్మె రేటు (290.90)', '45 వ కెరీర్ బాతులు (15)', '6 వ అత్యధిక వరుస బాతులు (3)', '17 వ కెరీర్ లో అత్యధిక వికెట్లు (282)', '16 వ అత్యధిక వికెట్లు వరుస (21) ',' 43 వ అత్యంత నాలుగు వికెట్లు-ఇన్-ఒక-ఇన్నింగ్స్ కెరీర్లో (8) ',' 23 వ కెరీర్ లో బౌల్డ్ చాలా బంతుల్లో (10097) ',' 18 వ అత్యధిక పరుగులు కెరీర్లో సాధించిన (8301) ',' 25 వ బౌలర్ / బ్యాట్స్ కలయికలు (8) ',' 12 వ అత్యధిక వికెట్లు తీసుకున్న బౌల్డ్ (81) ',' 25 వ అత్యధిక వికెట్లు తీసుకున్న ఆకర్షించింది (153) ',' 24 వ అత్యధిక వికెట్లు ఒక ఫీల్డర్ చేత క్యాచ్ తీసుకున్న (120) ',' 11 వ అత్యంత ఎల్బిడబ్ల్యు తీసుకోబడిన వికెట్ల (48) ',' 29th 100 వికెట్లు (65) ',' వేగంగా 150 వికెట్లు పడగొట్టిన (103) ',' 18 వ 23 వేగంగా వేగంగా 200 వికెట్లు (144) ',' 14 వ 250 వికెట్లు వేగవంతమైన ( 180) ']</v>
      </c>
      <c r="G5080" s="2" t="s">
        <v>3445</v>
      </c>
      <c r="H5080" s="2" t="str">
        <f>IFERROR(__xludf.DUMMYFUNCTION("IF(G5080&lt;&gt;"""", GOOGLETRANSLATE(G5080, ""en"", ""te""),"""")"),"[ '31 ఉత్తమ ఇన్నింగ్స్ లో సమ్మె రేటు (4.5)']")</f>
        <v>[ '31 ఉత్తమ ఇన్నింగ్స్ లో సమ్మె రేటు (4.5)']</v>
      </c>
      <c r="I5080" s="3"/>
    </row>
    <row r="5081" customHeight="1" spans="1:9">
      <c r="A5081" s="2"/>
      <c r="B5081" s="2" t="str">
        <f>IFERROR(__xludf.DUMMYFUNCTION("IF(A5081&lt;&gt;"""", GOOGLETRANSLATE(A5081, ""en"", ""te""),"""")"),"")</f>
        <v/>
      </c>
      <c r="C5081" s="2"/>
      <c r="D5081" s="2" t="str">
        <f>IFERROR(__xludf.DUMMYFUNCTION("IF(C5081&lt;&gt;"""", GOOGLETRANSLATE(C5081, ""en"", ""te""),"""")"),"")</f>
        <v/>
      </c>
      <c r="E5081" s="2"/>
      <c r="F5081" s="2" t="str">
        <f>IFERROR(__xludf.DUMMYFUNCTION("IF(E5081&lt;&gt;"""", GOOGLETRANSLATE(E5081, ""en"", ""te""),"""")"),"")</f>
        <v/>
      </c>
      <c r="G5081" s="2"/>
      <c r="H5081" s="2" t="str">
        <f>IFERROR(__xludf.DUMMYFUNCTION("IF(G5081&lt;&gt;"""", GOOGLETRANSLATE(G5081, ""en"", ""te""),"""")"),"")</f>
        <v/>
      </c>
      <c r="I5081" s="3"/>
    </row>
    <row r="5082" customHeight="1" spans="1:9">
      <c r="A5082" s="2" t="s">
        <v>3446</v>
      </c>
      <c r="B5082" s="2" t="str">
        <f>IFERROR(__xludf.DUMMYFUNCTION("IF(A5082&lt;&gt;"""", GOOGLETRANSLATE(A5082, ""en"", ""te""),"""")"),"[ 'ఇన్నింగ్స్ లో 2 వ అత్యధిక పరుగులు (బ్యాటింగ్ స్థానంలో ప్రకారం) (192)', '8 వ అత్యధిక తొలి వంద (192)', 'రెండవ వికెట్కు 1st అత్యధిక భాగస్వామ్యం (275)', '2 వ అసాధారణ వికెట్లు (అడ్డుకోవడం)' ]")</f>
        <v>[ 'ఇన్నింగ్స్ లో 2 వ అత్యధిక పరుగులు (బ్యాటింగ్ స్థానంలో ప్రకారం) (192)', '8 వ అత్యధిక తొలి వంద (192)', 'రెండవ వికెట్కు 1st అత్యధిక భాగస్వామ్యం (275)', '2 వ అసాధారణ వికెట్లు (అడ్డుకోవడం)' ]</v>
      </c>
      <c r="C5082" s="2" t="s">
        <v>3447</v>
      </c>
      <c r="D5082" s="2" t="str">
        <f>IFERROR(__xludf.DUMMYFUNCTION("IF(C5082&lt;&gt;"""", GOOGLETRANSLATE(C5082, ""en"", ""te""),"""")"),"[ 'ఇన్నింగ్స్ లో 9 వ అత్యధిక పరుగులు (192)', గత మ్యాచ్లో 'ఇన్నింగ్స్ (బ్యాటింగ్ స్థానం) 2 వ అత్యధిక పరుగులు (192)', '11 వ హండ్రెడ్' 13 వ మ్యాచ్లో (192) అత్యధిక పరుగులు '(192 ) ',' 8 వ అత్యధిక తొలి వంద (192) ',' ఏ వికెట్కు (275) ',' వికెట్ తేడాతో 2nd అత్యధ"&amp;"ిక భాగస్వామ్యాల (2 వ) ',' రెండవ వికెట్ (275 కోసం 1 వ అత్యధిక భాగస్వామ్యం) 'కోసం 2 వ అత్యధిక భాగస్వామ్యాలు]")</f>
        <v>[ 'ఇన్నింగ్స్ లో 9 వ అత్యధిక పరుగులు (192)', గత మ్యాచ్లో 'ఇన్నింగ్స్ (బ్యాటింగ్ స్థానం) 2 వ అత్యధిక పరుగులు (192)', '11 వ హండ్రెడ్' 13 వ మ్యాచ్లో (192) అత్యధిక పరుగులు '(192 ) ',' 8 వ అత్యధిక తొలి వంద (192) ',' ఏ వికెట్కు (275) ',' వికెట్ తేడాతో 2nd అత్యధిక భాగస్వామ్యాల (2 వ) ',' రెండవ వికెట్ (275 కోసం 1 వ అత్యధిక భాగస్వామ్యం) 'కోసం 2 వ అత్యధిక భాగస్వామ్యాలు]</v>
      </c>
      <c r="E5082" s="2" t="s">
        <v>3448</v>
      </c>
      <c r="F5082" s="2" t="str">
        <f>IFERROR(__xludf.DUMMYFUNCTION("IF(E5082&lt;&gt;"""", GOOGLETRANSLATE(E5082, ""en"", ""te""),"""")"),"[ '25 ఒక వృత్తిలో అత్యధిక వందలు (2)', '46 వ అతి తక్కువ బాతులు కెరీర్ లో (18.5)' '2 వ అసాధారణ వికెట్లు (అడ్డుకోవడం)' 'వంద (22y 185d) సాధించటం 19 వ పిన్న ఆటగాడు', '15 వ అరంగేట్రంలోనే ఇన్నింగ్స్ లోని బెస్ట్ ఫిగర్స్ (3) ',' ఐదవ వికెట్కు 49 వ అత్యధిక భాగస్వామ్"&amp;"యం (86) ',' 35 వ పిన్న క్రీడాకారులు (16y 136d) ']")</f>
        <v>[ '25 ఒక వృత్తిలో అత్యధిక వందలు (2)', '46 వ అతి తక్కువ బాతులు కెరీర్ లో (18.5)' '2 వ అసాధారణ వికెట్లు (అడ్డుకోవడం)' 'వంద (22y 185d) సాధించటం 19 వ పిన్న ఆటగాడు', '15 వ అరంగేట్రంలోనే ఇన్నింగ్స్ లోని బెస్ట్ ఫిగర్స్ (3) ',' ఐదవ వికెట్కు 49 వ అత్యధిక భాగస్వామ్యం (86) ',' 35 వ పిన్న క్రీడాకారులు (16y 136d) ']</v>
      </c>
      <c r="G5082" s="2"/>
      <c r="H5082" s="2" t="str">
        <f>IFERROR(__xludf.DUMMYFUNCTION("IF(G5082&lt;&gt;"""", GOOGLETRANSLATE(G5082, ""en"", ""te""),"""")"),"")</f>
        <v/>
      </c>
      <c r="I5082" s="3"/>
    </row>
    <row r="5083" customHeight="1" spans="1:9">
      <c r="A5083" s="2" t="s">
        <v>3449</v>
      </c>
      <c r="B5083" s="2" t="str">
        <f>IFERROR(__xludf.DUMMYFUNCTION("IF(A5083&lt;&gt;"""", GOOGLETRANSLATE(A5083, ""en"", ""te""),"""")"),"[ '3 వ అత్యంత స్టంపింగ్లు కెరీర్లో (38)', 'ఇన్నింగ్స్ (6) లో 5 వ అత్యధిక వికెట్లు' 'బై గూడా ఇవ్వకుండా 8 వ అత్యధిక ఇన్నింగ్స్ మొత్తం (652)', '2000 పరుగులు మరియు 100 వికెట్ కీపింగ్ తొలగింపులకు']")</f>
        <v>[ '3 వ అత్యంత స్టంపింగ్లు కెరీర్లో (38)', 'ఇన్నింగ్స్ (6) లో 5 వ అత్యధిక వికెట్లు' 'బై గూడా ఇవ్వకుండా 8 వ అత్యధిక ఇన్నింగ్స్ మొత్తం (652)', '2000 పరుగులు మరియు 100 వికెట్ కీపింగ్ తొలగింపులకు']</v>
      </c>
      <c r="C5083" s="2" t="s">
        <v>3450</v>
      </c>
      <c r="D5083" s="2" t="str">
        <f>IFERROR(__xludf.DUMMYFUNCTION("IF(C5083&lt;&gt;"""", GOOGLETRANSLATE(C5083, ""en"", ""te""),"""")"),"'(127) ఎనిమిదో వికెట్కు 43 వ అత్యధిక భాగస్వామ్యం', 'తొమ్మిదవ వికెట్కు 40 వ అత్యధిక భాగస్వామ్యం (105)', '44 వ వరుస జట్టు మ్యాచ్లు [' 46 వ ఉత్తమ కెరీర్ (13.00) (అర్హత లేకుండా) సగటు బౌలింగ్ ', కెరీర్ లో ఒక ఇన్నింగ్స్ (6) ',' 25 వ అత్యధిక క్యాచ్లు కెరీర్ లో ("&amp;"56) ',' 19 వ అత్యధిక వికెట్లు (198) ',' 5 వ అత్యధిక వికెట్లు (160) ',' కెరీర్ లో 3 వ అత్యంత స్టంపింగ్లు (38) ', 'వరుస (6) లో 12 వ అత్యంత స్టంపింగ్లు' '8 వ అత్యధిక ఇన్నింగ్స్ బై (652) గూడా ఇవ్వకుండా మొత్తం']")</f>
        <v>'(127) ఎనిమిదో వికెట్కు 43 వ అత్యధిక భాగస్వామ్యం', 'తొమ్మిదవ వికెట్కు 40 వ అత్యధిక భాగస్వామ్యం (105)', '44 వ వరుస జట్టు మ్యాచ్లు [' 46 వ ఉత్తమ కెరీర్ (13.00) (అర్హత లేకుండా) సగటు బౌలింగ్ ', కెరీర్ లో ఒక ఇన్నింగ్స్ (6) ',' 25 వ అత్యధిక క్యాచ్లు కెరీర్ లో (56) ',' 19 వ అత్యధిక వికెట్లు (198) ',' 5 వ అత్యధిక వికెట్లు (160) ',' కెరీర్ లో 3 వ అత్యంత స్టంపింగ్లు (38) ', 'వరుస (6) లో 12 వ అత్యంత స్టంపింగ్లు' '8 వ అత్యధిక ఇన్నింగ్స్ బై (652) గూడా ఇవ్వకుండా మొత్తం']</v>
      </c>
      <c r="E5083" s="2" t="s">
        <v>3451</v>
      </c>
      <c r="F5083" s="2" t="str">
        <f>IFERROR(__xludf.DUMMYFUNCTION("IF(E5083&lt;&gt;"""", GOOGLETRANSLATE(E5083, ""en"", ""te""),"""")"),"[ 'వికెట్ను కాపాడుకున్నాడు చేసిన 31 కెప్టెన్ల (1)', 'కెప్టెన్సీ తొలి 47 వ ఓల్డెస్ట్ కాప్టెన్ (33y 353d)', 'ఇన్నింగ్స్ లో 16 వ అత్యధిక వికెట్లు (5)', 'వరుస 46 వ అత్యధిక వికెట్లు (14)', 'ఇన్నింగ్స్ (5) 11 వ అత్యధిక క్యాచ్లు' 'వరుస 21 వ అత్యంత స్టంపింగ్లు (4"&amp;")']")</f>
        <v>[ 'వికెట్ను కాపాడుకున్నాడు చేసిన 31 కెప్టెన్ల (1)', 'కెప్టెన్సీ తొలి 47 వ ఓల్డెస్ట్ కాప్టెన్ (33y 353d)', 'ఇన్నింగ్స్ లో 16 వ అత్యధిక వికెట్లు (5)', 'వరుస 46 వ అత్యధిక వికెట్లు (14)', 'ఇన్నింగ్స్ (5) 11 వ అత్యధిక క్యాచ్లు' 'వరుస 21 వ అత్యంత స్టంపింగ్లు (4)']</v>
      </c>
      <c r="G5083" s="2"/>
      <c r="H5083" s="2" t="str">
        <f>IFERROR(__xludf.DUMMYFUNCTION("IF(G5083&lt;&gt;"""", GOOGLETRANSLATE(G5083, ""en"", ""te""),"""")"),"")</f>
        <v/>
      </c>
      <c r="I5083" s="3"/>
    </row>
    <row r="5084" customHeight="1" spans="1:9">
      <c r="A5084" s="2"/>
      <c r="B5084" s="2" t="str">
        <f>IFERROR(__xludf.DUMMYFUNCTION("IF(A5084&lt;&gt;"""", GOOGLETRANSLATE(A5084, ""en"", ""te""),"""")"),"")</f>
        <v/>
      </c>
      <c r="C5084" s="2"/>
      <c r="D5084" s="2" t="str">
        <f>IFERROR(__xludf.DUMMYFUNCTION("IF(C5084&lt;&gt;"""", GOOGLETRANSLATE(C5084, ""en"", ""te""),"""")"),"")</f>
        <v/>
      </c>
      <c r="E5084" s="2"/>
      <c r="F5084" s="2" t="str">
        <f>IFERROR(__xludf.DUMMYFUNCTION("IF(E5084&lt;&gt;"""", GOOGLETRANSLATE(E5084, ""en"", ""te""),"""")"),"")</f>
        <v/>
      </c>
      <c r="G5084" s="2"/>
      <c r="H5084" s="2" t="str">
        <f>IFERROR(__xludf.DUMMYFUNCTION("IF(G5084&lt;&gt;"""", GOOGLETRANSLATE(G5084, ""en"", ""te""),"""")"),"")</f>
        <v/>
      </c>
      <c r="I5084" s="3"/>
    </row>
    <row r="5085" customHeight="1" spans="1:9">
      <c r="A5085" s="2" t="s">
        <v>3452</v>
      </c>
      <c r="B5085" s="2" t="str">
        <f>IFERROR(__xludf.DUMMYFUNCTION("IF(A5085&lt;&gt;"""", GOOGLETRANSLATE(A5085, ""en"", ""te""),"""")"),"[ 'జట్టు 3 వ వరుస మ్యాచ్లు (87)', '1 వ ఇన్నింగ్స్ లో అత్యధిక పరుగులు (బ్యాటింగ్ స్థానంలో ప్రకారం) (171 *)', '5 వ ఒక క్యాలెండర్ సంవత్సరంలో అత్యధిక వందలు (2)', '1 వ అత్యుత్తమ బౌలింగ్ విశ్లేషణలు ఒక ఇన్నింగ్స్ లో (1/0) ',' 2 వ చెత్త కెరీర్లో ఆర్థిక రేటు (5.14"&amp;") ',' 4 వ ఇన్నింగ్స్ లో అత్యధిక క్యాచ్లు (3) ',' కెప్టెన్ 6 వ అత్యధిక మ్యాచ్లు కెరీర్లో (114) ',' 7 వ అత్యధిక మ్యాచ్లు వంటి (59) ',' 1 వ ఇన్నింగ్స్ లో అత్యధిక పరుగులు (బ్యాటింగ్ స్థానంలో ద్వారా) ఒక ఇన్నింగ్స్లో పరుగుల (103) ',' 3 వ అత్యధిక శాతం (66.12) ',"&amp;"' 2000 పరుగులు (88) ',' 5 వ వేగవంతమైన 8 వ ఒక ఇన్నింగ్స్ లోని బెస్ట్ ఫిగర్స్ ఉన్నప్పుడు పరాజయం వైపు (4) ',' 4 వ కెరీర్లో అత్యధిక క్యాచ్లు (43) ',' పదవ వికెట్కు 5 వ అత్యధిక భాగస్వామ్యం (22) ']")</f>
        <v>[ 'జట్టు 3 వ వరుస మ్యాచ్లు (87)', '1 వ ఇన్నింగ్స్ లో అత్యధిక పరుగులు (బ్యాటింగ్ స్థానంలో ప్రకారం) (171 *)', '5 వ ఒక క్యాలెండర్ సంవత్సరంలో అత్యధిక వందలు (2)', '1 వ అత్యుత్తమ బౌలింగ్ విశ్లేషణలు ఒక ఇన్నింగ్స్ లో (1/0) ',' 2 వ చెత్త కెరీర్లో ఆర్థిక రేటు (5.14) ',' 4 వ ఇన్నింగ్స్ లో అత్యధిక క్యాచ్లు (3) ',' కెప్టెన్ 6 వ అత్యధిక మ్యాచ్లు కెరీర్లో (114) ',' 7 వ అత్యధిక మ్యాచ్లు వంటి (59) ',' 1 వ ఇన్నింగ్స్ లో అత్యధిక పరుగులు (బ్యాటింగ్ స్థానంలో ద్వారా) ఒక ఇన్నింగ్స్లో పరుగుల (103) ',' 3 వ అత్యధిక శాతం (66.12) ',' 2000 పరుగులు (88) ',' 5 వ వేగవంతమైన 8 వ ఒక ఇన్నింగ్స్ లోని బెస్ట్ ఫిగర్స్ ఉన్నప్పుడు పరాజయం వైపు (4) ',' 4 వ కెరీర్లో అత్యధిక క్యాచ్లు (43) ',' పదవ వికెట్కు 5 వ అత్యధిక భాగస్వామ్యం (22) ']</v>
      </c>
      <c r="C5085" s="2" t="s">
        <v>3453</v>
      </c>
      <c r="D5085" s="2" t="str">
        <f>IFERROR(__xludf.DUMMYFUNCTION("IF(C5085&lt;&gt;"""", GOOGLETRANSLATE(C5085, ""en"", ""te""),"""")"),"[ '11 వ మ్యాచ్ లో బెస్ట్ ఫిగర్స్ (9)', '24 వ ఉత్తమ కెరీర్ సగటు (10.77) (అర్హత లేకుండా) బౌలింగ్', 'ఇన్నింగ్స్ లో 30 వ ఉత్తమ సమ్మె రేటు (19.2)']")</f>
        <v>[ '11 వ మ్యాచ్ లో బెస్ట్ ఫిగర్స్ (9)', '24 వ ఉత్తమ కెరీర్ సగటు (10.77) (అర్హత లేకుండా) బౌలింగ్', 'ఇన్నింగ్స్ లో 30 వ ఉత్తమ సమ్మె రేటు (19.2)']</v>
      </c>
      <c r="E5085" s="2" t="s">
        <v>3454</v>
      </c>
      <c r="F5085" s="2" t="str">
        <f>IFERROR(__xludf.DUMMYFUNCTION("IF(E5085&lt;&gt;"""", GOOGLETRANSLATE(E5085, ""en"", ""te""),"""")"),"[ '30 వ కెరీర్ లో అత్యధిక పరుగులు (2532)', 'ఇన్నింగ్స్ (171 *) లో 6 వ అత్యధిక పరుగులు' 'ఇన్నింగ్స్ లో 1 వ అత్యధిక పరుగులు (బ్యాటింగ్ స్థానంలో ప్రకారం) (171 *)', '10 వ మ్యాచ్ లో అత్యధిక పరుగులు పరాజయం వైపు (107 *) ',' 34 వ ఒకే మైదానంలో అత్యధిక పరుగులు న "&amp;"(326) ',' ఒక కెప్టెన్తో ఇన్నింగ్స్ లో 41 వ అత్యధిక పరుగులు (103) ',' 36 వ అత్యధిక కెరీర్ బ్యాటింగ్ సగటు (35.66) ',' ఒక వృత్తిలో 19 అత్యధిక వందలు (3) ',' 5 వ ఒక క్యాలెండర్ సంవత్సరంలో అత్యధిక వందలు (2) ',' 49 వ అత్యధిక తొలి వంద (107 *) ',' 26th పిన్న ఆటగాడు"&amp;" వంద స్కోర్ (23y 332d) ',' కెరీర్లో 35 వ అత్యంత అర్ధ (15) ',' వరుస ఇన్నింగ్స్లో 28 యాభైల్లో (3) ',' ఒక డక్ లేకుండా 35 వ వరుస ఇన్నింగ్స్ (34) ',' 32 వ అతి తక్కువ బాతులు కెరీర్ లో (21.5) ',' 1 వ అత్యుత్తమ బౌలింగ్ విశ్లేషణలు ఒక ఇన్నింగ్స్ లో (1/0) ',' 5 వ చ"&amp;"ెత్త కెరీర్ బౌలింగ్ సరాసరి (47.40) ',' 2 వ చెత్త కెరీర్లో ఆర్థిక రేటు (5.14) ',' 33 వ చెత్త కెరీర్లో సమ్మె రేటు (55.3) ',' 16 వ చెత్త ఆర్థిక వ్యవస్థ లో రేటు ఇన్నింగ్స్ (కన్న 9.27) ',' 20 వ కెరీర్ లో అత్యధిక క్యాచ్లు (37) ',' 4 వ ఇన్నింగ్స్ లో అత్యధిక క్యా"&amp;"చ్లు (3) ',' 47 వ అత్యంత ఒక లో క్యాచ్లు సిరీస్ (6) ',' నాలుగవ వికెట్కు 13 వ అత్యధిక భాగస్వామ్యం (137) ',' ఆరవ వికెట్కు 31 అత్యధిక భాగస్వామ్యం (71) ',' ఏడవ వికెట్కు 11 వ అత్యధిక భాగస్వామ్యం (77) ',' 38 వ అత్యధిక మ్యాచ్లు లో కెరీర్ (104) ',' ఒక జట్టు 3 వ వర"&amp;"ుస మ్యాచ్లు (87) ',' 37 వ పిన్న కాప్టెన్ (24y 31d) ']")</f>
        <v>[ '30 వ కెరీర్ లో అత్యధిక పరుగులు (2532)', 'ఇన్నింగ్స్ (171 *) లో 6 వ అత్యధిక పరుగులు' 'ఇన్నింగ్స్ లో 1 వ అత్యధిక పరుగులు (బ్యాటింగ్ స్థానంలో ప్రకారం) (171 *)', '10 వ మ్యాచ్ లో అత్యధిక పరుగులు పరాజయం వైపు (107 *) ',' 34 వ ఒకే మైదానంలో అత్యధిక పరుగులు న (326) ',' ఒక కెప్టెన్తో ఇన్నింగ్స్ లో 41 వ అత్యధిక పరుగులు (103) ',' 36 వ అత్యధిక కెరీర్ బ్యాటింగ్ సగటు (35.66) ',' ఒక వృత్తిలో 19 అత్యధిక వందలు (3) ',' 5 వ ఒక క్యాలెండర్ సంవత్సరంలో అత్యధిక వందలు (2) ',' 49 వ అత్యధిక తొలి వంద (107 *) ',' 26th పిన్న ఆటగాడు వంద స్కోర్ (23y 332d) ',' కెరీర్లో 35 వ అత్యంత అర్ధ (15) ',' వరుస ఇన్నింగ్స్లో 28 యాభైల్లో (3) ',' ఒక డక్ లేకుండా 35 వ వరుస ఇన్నింగ్స్ (34) ',' 32 వ అతి తక్కువ బాతులు కెరీర్ లో (21.5) ',' 1 వ అత్యుత్తమ బౌలింగ్ విశ్లేషణలు ఒక ఇన్నింగ్స్ లో (1/0) ',' 5 వ చెత్త కెరీర్ బౌలింగ్ సరాసరి (47.40) ',' 2 వ చెత్త కెరీర్లో ఆర్థిక రేటు (5.14) ',' 33 వ చెత్త కెరీర్లో సమ్మె రేటు (55.3) ',' 16 వ చెత్త ఆర్థిక వ్యవస్థ లో రేటు ఇన్నింగ్స్ (కన్న 9.27) ',' 20 వ కెరీర్ లో అత్యధిక క్యాచ్లు (37) ',' 4 వ ఇన్నింగ్స్ లో అత్యధిక క్యాచ్లు (3) ',' 47 వ అత్యంత ఒక లో క్యాచ్లు సిరీస్ (6) ',' నాలుగవ వికెట్కు 13 వ అత్యధిక భాగస్వామ్యం (137) ',' ఆరవ వికెట్కు 31 అత్యధిక భాగస్వామ్యం (71) ',' ఏడవ వికెట్కు 11 వ అత్యధిక భాగస్వామ్యం (77) ',' 38 వ అత్యధిక మ్యాచ్లు లో కెరీర్ (104) ',' ఒక జట్టు 3 వ వరుస మ్యాచ్లు (87) ',' 37 వ పిన్న కాప్టెన్ (24y 31d) ']</v>
      </c>
      <c r="G5085" s="2" t="s">
        <v>3455</v>
      </c>
      <c r="H5085" s="2" t="str">
        <f>IFERROR(__xludf.DUMMYFUNCTION("IF(G5085&lt;&gt;"""", GOOGLETRANSLATE(G5085, ""en"", ""te""),"""")"),"[ 'కెరీర్లో 9 వ అత్యధిక పరుగులు (2186)', '25 వ ఇన్నింగ్స్ లో అత్యధిక పరుగులు (103)', 'ఒక క్యాలెండర్ సంవత్సరంలో 2 వ అత్యధిక పరుగులు (663)', '1 వ ఇన్నింగ్స్ లో అత్యధిక పరుగులు (బ్యాటింగ్ స్థానంలో ప్రకారం) ( 103) ', '21 వ పరాజయం వైపు ఒక మ్యాచ్లో అత్యధిక పరు"&amp;"గులు (68 *)', '44th ఒకే మైదానంలో అత్యధిక పరుగులు (180)', 'ఒక కెప్టెన్తో ఇన్నింగ్స్ లో 9 వ అత్యధిక పరుగులు (103)', ' 18 వ అత్యధిక కెరీర్ బ్యాటింగ్ సగటు (26.98) ',' 20 వ కెరీర్ అర్ధ (7) ',' ఒక డక్ లేకుండా 17 వరుస ఇన్నింగ్స్ కెరీర్లో (38) ', '21 వ అతి తక్కు"&amp;"వ బాతులు (25.5)', '3 వ అత్యధిక శాతం 8 వ ఒక ఇన్నింగ్స్లో పరుగులు (66.12) ',' 2000 పరుగులు వేగంగా (88) ',' 26 అత్యుత్తమ ఇన్నింగ్స్ లో బౌలింగ్ విశ్లేషణలు (2/3) ',' ఒక కెప్టెన్తో ఒక ఇన్నింగ్స్ లో 21 వ బెస్ట్ ఫిగర్స్ (3) ' '5 వ ఒక ఇన్నింగ్స్ లోని బెస్ట్ ఫిగర్స"&amp;"్ పరాజయం వైపు (4) ఉన్నప్పుడు', 'ఇన్నింగ్స్ లో 13 వ ఉత్తమ సమ్మె రేటు (3.0)', '28th చెత్త కెరీర్లో ఆర్థిక రేటు (6.13)', '43 వ అత్యధిక వికెట్లు స్టంప్ (5 తీసుకున్న ) ',' 4 వ అత్యధిక క్యాచ్లు కెరీర్లో (43) ',' ఎనిమిదవ వికెట్కు 9 వ అత్యధిక భాగస్వామ్యం (33) ',"&amp;"' 5 వ అత్యధిక భాగస్వామ్యం పదవ వికెట్కు (22) ',' 6 వ అత్యధిక మ్యాచ్లు కెరీర్లో (114) ',' 16 వ వరుస జట్టు మ్యాచ్లు (49) ',' 7 వ అత్యధిక మ్యాచ్లు కెప్టెన్గా (59) ']")</f>
        <v>[ 'కెరీర్లో 9 వ అత్యధిక పరుగులు (2186)', '25 వ ఇన్నింగ్స్ లో అత్యధిక పరుగులు (103)', 'ఒక క్యాలెండర్ సంవత్సరంలో 2 వ అత్యధిక పరుగులు (663)', '1 వ ఇన్నింగ్స్ లో అత్యధిక పరుగులు (బ్యాటింగ్ స్థానంలో ప్రకారం) ( 103) ', '21 వ పరాజయం వైపు ఒక మ్యాచ్లో అత్యధిక పరుగులు (68 *)', '44th ఒకే మైదానంలో అత్యధిక పరుగులు (180)', 'ఒక కెప్టెన్తో ఇన్నింగ్స్ లో 9 వ అత్యధిక పరుగులు (103)', ' 18 వ అత్యధిక కెరీర్ బ్యాటింగ్ సగటు (26.98) ',' 20 వ కెరీర్ అర్ధ (7) ',' ఒక డక్ లేకుండా 17 వరుస ఇన్నింగ్స్ కెరీర్లో (38) ', '21 వ అతి తక్కువ బాతులు (25.5)', '3 వ అత్యధిక శాతం 8 వ ఒక ఇన్నింగ్స్లో పరుగులు (66.12) ',' 2000 పరుగులు వేగంగా (88) ',' 26 అత్యుత్తమ ఇన్నింగ్స్ లో బౌలింగ్ విశ్లేషణలు (2/3) ',' ఒక కెప్టెన్తో ఒక ఇన్నింగ్స్ లో 21 వ బెస్ట్ ఫిగర్స్ (3) ' '5 వ ఒక ఇన్నింగ్స్ లోని బెస్ట్ ఫిగర్స్ పరాజయం వైపు (4) ఉన్నప్పుడు', 'ఇన్నింగ్స్ లో 13 వ ఉత్తమ సమ్మె రేటు (3.0)', '28th చెత్త కెరీర్లో ఆర్థిక రేటు (6.13)', '43 వ అత్యధిక వికెట్లు స్టంప్ (5 తీసుకున్న ) ',' 4 వ అత్యధిక క్యాచ్లు కెరీర్లో (43) ',' ఎనిమిదవ వికెట్కు 9 వ అత్యధిక భాగస్వామ్యం (33) ',' 5 వ అత్యధిక భాగస్వామ్యం పదవ వికెట్కు (22) ',' 6 వ అత్యధిక మ్యాచ్లు కెరీర్లో (114) ',' 16 వ వరుస జట్టు మ్యాచ్లు (49) ',' 7 వ అత్యధిక మ్యాచ్లు కెప్టెన్గా (59) ']</v>
      </c>
      <c r="I5085" s="3"/>
    </row>
    <row r="5086" customHeight="1" spans="1:9">
      <c r="A5086" s="2" t="s">
        <v>3456</v>
      </c>
      <c r="B5086" s="2" t="str">
        <f>IFERROR(__xludf.DUMMYFUNCTION("IF(A5086&lt;&gt;"""", GOOGLETRANSLATE(A5086, ""en"", ""te""),"""")"),"[ '1st వరుస మ్యాచ్లు ప్రదర్శనల మధ్య (99) జట్టు తప్పిన']")</f>
        <v>[ '1st వరుస మ్యాచ్లు ప్రదర్శనల మధ్య (99) జట్టు తప్పిన']</v>
      </c>
      <c r="C5086" s="2"/>
      <c r="D5086" s="2" t="str">
        <f>IFERROR(__xludf.DUMMYFUNCTION("IF(C5086&lt;&gt;"""", GOOGLETRANSLATE(C5086, ""en"", ""te""),"""")"),"")</f>
        <v/>
      </c>
      <c r="E5086" s="2" t="s">
        <v>3457</v>
      </c>
      <c r="F5086" s="2" t="str">
        <f>IFERROR(__xludf.DUMMYFUNCTION("IF(E5086&lt;&gt;"""", GOOGLETRANSLATE(E5086, ""en"", ""te""),"""")"),"[ '10 వ లాంగెస్ట్ ప్రదర్శనల మధ్య వ్యవధిలో (8y 77d)', '1 వ వరుస మ్యాచ్లు ప్రదర్శనల మధ్య బృందం (99) కోసం తప్పిన']")</f>
        <v>[ '10 వ లాంగెస్ట్ ప్రదర్శనల మధ్య వ్యవధిలో (8y 77d)', '1 వ వరుస మ్యాచ్లు ప్రదర్శనల మధ్య బృందం (99) కోసం తప్పిన']</v>
      </c>
      <c r="G5086" s="2"/>
      <c r="H5086" s="2" t="str">
        <f>IFERROR(__xludf.DUMMYFUNCTION("IF(G5086&lt;&gt;"""", GOOGLETRANSLATE(G5086, ""en"", ""te""),"""")"),"")</f>
        <v/>
      </c>
      <c r="I5086" s="3"/>
    </row>
    <row r="5087" customHeight="1" spans="1:9">
      <c r="A5087" s="2"/>
      <c r="B5087" s="2" t="str">
        <f>IFERROR(__xludf.DUMMYFUNCTION("IF(A5087&lt;&gt;"""", GOOGLETRANSLATE(A5087, ""en"", ""te""),"""")"),"")</f>
        <v/>
      </c>
      <c r="C5087" s="2"/>
      <c r="D5087" s="2" t="str">
        <f>IFERROR(__xludf.DUMMYFUNCTION("IF(C5087&lt;&gt;"""", GOOGLETRANSLATE(C5087, ""en"", ""te""),"""")"),"")</f>
        <v/>
      </c>
      <c r="E5087" s="2"/>
      <c r="F5087" s="2" t="str">
        <f>IFERROR(__xludf.DUMMYFUNCTION("IF(E5087&lt;&gt;"""", GOOGLETRANSLATE(E5087, ""en"", ""te""),"""")"),"")</f>
        <v/>
      </c>
      <c r="G5087" s="2"/>
      <c r="H5087" s="2" t="str">
        <f>IFERROR(__xludf.DUMMYFUNCTION("IF(G5087&lt;&gt;"""", GOOGLETRANSLATE(G5087, ""en"", ""te""),"""")"),"")</f>
        <v/>
      </c>
      <c r="I5087" s="3"/>
    </row>
    <row r="5088" customHeight="1" spans="1:9">
      <c r="A5088" s="2"/>
      <c r="B5088" s="2" t="str">
        <f>IFERROR(__xludf.DUMMYFUNCTION("IF(A5088&lt;&gt;"""", GOOGLETRANSLATE(A5088, ""en"", ""te""),"""")"),"")</f>
        <v/>
      </c>
      <c r="C5088" s="2"/>
      <c r="D5088" s="2" t="str">
        <f>IFERROR(__xludf.DUMMYFUNCTION("IF(C5088&lt;&gt;"""", GOOGLETRANSLATE(C5088, ""en"", ""te""),"""")"),"")</f>
        <v/>
      </c>
      <c r="E5088" s="2"/>
      <c r="F5088" s="2" t="str">
        <f>IFERROR(__xludf.DUMMYFUNCTION("IF(E5088&lt;&gt;"""", GOOGLETRANSLATE(E5088, ""en"", ""te""),"""")"),"")</f>
        <v/>
      </c>
      <c r="G5088" s="2"/>
      <c r="H5088" s="2" t="str">
        <f>IFERROR(__xludf.DUMMYFUNCTION("IF(G5088&lt;&gt;"""", GOOGLETRANSLATE(G5088, ""en"", ""te""),"""")"),"")</f>
        <v/>
      </c>
      <c r="I5088" s="3"/>
    </row>
    <row r="5089" customHeight="1" spans="1:9">
      <c r="A5089" s="2"/>
      <c r="B5089" s="2" t="str">
        <f>IFERROR(__xludf.DUMMYFUNCTION("IF(A5089&lt;&gt;"""", GOOGLETRANSLATE(A5089, ""en"", ""te""),"""")"),"")</f>
        <v/>
      </c>
      <c r="C5089" s="2"/>
      <c r="D5089" s="2" t="str">
        <f>IFERROR(__xludf.DUMMYFUNCTION("IF(C5089&lt;&gt;"""", GOOGLETRANSLATE(C5089, ""en"", ""te""),"""")"),"")</f>
        <v/>
      </c>
      <c r="E5089" s="2"/>
      <c r="F5089" s="2" t="str">
        <f>IFERROR(__xludf.DUMMYFUNCTION("IF(E5089&lt;&gt;"""", GOOGLETRANSLATE(E5089, ""en"", ""te""),"""")"),"")</f>
        <v/>
      </c>
      <c r="G5089" s="2"/>
      <c r="H5089" s="2" t="str">
        <f>IFERROR(__xludf.DUMMYFUNCTION("IF(G5089&lt;&gt;"""", GOOGLETRANSLATE(G5089, ""en"", ""te""),"""")"),"")</f>
        <v/>
      </c>
      <c r="I5089" s="3"/>
    </row>
    <row r="5090" customHeight="1" spans="1:9">
      <c r="A5090" s="2" t="s">
        <v>3458</v>
      </c>
      <c r="B5090" s="2" t="str">
        <f>IFERROR(__xludf.DUMMYFUNCTION("IF(A5090&lt;&gt;"""", GOOGLETRANSLATE(A5090, ""en"", ""te""),"""")"),"[ 'ఇన్నింగ్స్ (106) లో సాధించిన 4 వ అత్యధిక పరుగులు', '8 వ అత్యుత్తమ బౌలింగ్ ఇన్నింగ్స్ (4/8) విశ్లేషణలలో' 'ఇన్నింగ్స్ లో 1 వ అత్యంత పనికత్తెలయొద్ద (2)']")</f>
        <v>[ 'ఇన్నింగ్స్ (106) లో సాధించిన 4 వ అత్యధిక పరుగులు', '8 వ అత్యుత్తమ బౌలింగ్ ఇన్నింగ్స్ (4/8) విశ్లేషణలలో' 'ఇన్నింగ్స్ లో 1 వ అత్యంత పనికత్తెలయొద్ద (2)']</v>
      </c>
      <c r="C5090" s="2" t="s">
        <v>3459</v>
      </c>
      <c r="D5090" s="2" t="str">
        <f>IFERROR(__xludf.DUMMYFUNCTION("IF(C5090&lt;&gt;"""", GOOGLETRANSLATE(C5090, ""en"", ""te""),"""")"),"[ '8 వ అత్యుత్తమ ఇన్నింగ్స్ లో విశ్లేషణలు బౌలింగ్ (4/8)', 'పదవ వికెట్ను (111) కోసం 17 అత్యధిక భాగస్వామ్యం']")</f>
        <v>[ '8 వ అత్యుత్తమ ఇన్నింగ్స్ లో విశ్లేషణలు బౌలింగ్ (4/8)', 'పదవ వికెట్ను (111) కోసం 17 అత్యధిక భాగస్వామ్యం']</v>
      </c>
      <c r="E5090" s="2" t="s">
        <v>3460</v>
      </c>
      <c r="F5090" s="2" t="str">
        <f>IFERROR(__xludf.DUMMYFUNCTION("IF(E5090&lt;&gt;"""", GOOGLETRANSLATE(E5090, ""en"", ""te""),"""")"),"[ '8 వ అత్యుత్తమ బౌలింగ్ ఇన్నింగ్స్ (4/8) విశ్లేషణలలో' 'ఇన్నింగ్స్ లో సాధించిన 4 వ అత్యధిక పరుగులు (106)']")</f>
        <v>[ '8 వ అత్యుత్తమ బౌలింగ్ ఇన్నింగ్స్ (4/8) విశ్లేషణలలో' 'ఇన్నింగ్స్ లో సాధించిన 4 వ అత్యధిక పరుగులు (106)']</v>
      </c>
      <c r="G5090" s="2" t="s">
        <v>3461</v>
      </c>
      <c r="H5090" s="2" t="str">
        <f>IFERROR(__xludf.DUMMYFUNCTION("IF(G5090&lt;&gt;"""", GOOGLETRANSLATE(G5090, ""en"", ""te""),"""")"),"[ '48 వ కెరీర్ లో అత్యధిక వికెట్లు (45)', '38 వ ఇన్నింగ్స్ లో బెస్ట్ ఫిగర్స్ (5/24)', '42 వ ఉత్తమ కెరీర్ ఆర్థిక రేటు (6.98)', '29th కెరీర్ (1034) లో బౌల్డ్ చాలా బంతుల్లో', ' కెరీర్లో 27 వ అత్యంత సాధించిన పరుగులు (1203) ',' 17 వ బౌలర్ / బ్యాట్స్ కలయికలు (3"&amp;") ',' 45 వ బౌలర్ / ఫీల్డర్ కలయికలు (6) ',' 30 వ అత్యధిక వికెట్లు తీసుకున్న బౌల్డ్ (12) ',' 42 వ అత్యధిక వికెట్లు ఆకర్షించింది తీసుకున్న (32) ',' 22 వ అత్యధిక వికెట్లు ఒక వికెట్ కీపర్ చే కాట్ తీసుకోకూడదు (7) ',' 19 వ కెరీర్ పనికత్తెలయొద్ద (3) ',' 1 వ అత్యం"&amp;"త ఇన్నింగ్స్ లో పనికత్తెలయొద్ద (2) ']")</f>
        <v>[ '48 వ కెరీర్ లో అత్యధిక వికెట్లు (45)', '38 వ ఇన్నింగ్స్ లో బెస్ట్ ఫిగర్స్ (5/24)', '42 వ ఉత్తమ కెరీర్ ఆర్థిక రేటు (6.98)', '29th కెరీర్ (1034) లో బౌల్డ్ చాలా బంతుల్లో', ' కెరీర్లో 27 వ అత్యంత సాధించిన పరుగులు (1203) ',' 17 వ బౌలర్ / బ్యాట్స్ కలయికలు (3) ',' 45 వ బౌలర్ / ఫీల్డర్ కలయికలు (6) ',' 30 వ అత్యధిక వికెట్లు తీసుకున్న బౌల్డ్ (12) ',' 42 వ అత్యధిక వికెట్లు ఆకర్షించింది తీసుకున్న (32) ',' 22 వ అత్యధిక వికెట్లు ఒక వికెట్ కీపర్ చే కాట్ తీసుకోకూడదు (7) ',' 19 వ కెరీర్ పనికత్తెలయొద్ద (3) ',' 1 వ అత్యంత ఇన్నింగ్స్ లో పనికత్తెలయొద్ద (2) ']</v>
      </c>
      <c r="I5090" s="3"/>
    </row>
    <row r="5091" customHeight="1" spans="1:9">
      <c r="A5091" s="2"/>
      <c r="B5091" s="2" t="str">
        <f>IFERROR(__xludf.DUMMYFUNCTION("IF(A5091&lt;&gt;"""", GOOGLETRANSLATE(A5091, ""en"", ""te""),"""")"),"")</f>
        <v/>
      </c>
      <c r="C5091" s="2"/>
      <c r="D5091" s="2" t="str">
        <f>IFERROR(__xludf.DUMMYFUNCTION("IF(C5091&lt;&gt;"""", GOOGLETRANSLATE(C5091, ""en"", ""te""),"""")"),"")</f>
        <v/>
      </c>
      <c r="E5091" s="2"/>
      <c r="F5091" s="2" t="str">
        <f>IFERROR(__xludf.DUMMYFUNCTION("IF(E5091&lt;&gt;"""", GOOGLETRANSLATE(E5091, ""en"", ""te""),"""")"),"")</f>
        <v/>
      </c>
      <c r="G5091" s="2"/>
      <c r="H5091" s="2" t="str">
        <f>IFERROR(__xludf.DUMMYFUNCTION("IF(G5091&lt;&gt;"""", GOOGLETRANSLATE(G5091, ""en"", ""te""),"""")"),"")</f>
        <v/>
      </c>
      <c r="I5091" s="3"/>
    </row>
    <row r="5092" customHeight="1" spans="1:9">
      <c r="A5092" s="2"/>
      <c r="B5092" s="2" t="str">
        <f>IFERROR(__xludf.DUMMYFUNCTION("IF(A5092&lt;&gt;"""", GOOGLETRANSLATE(A5092, ""en"", ""te""),"""")"),"")</f>
        <v/>
      </c>
      <c r="C5092" s="2"/>
      <c r="D5092" s="2" t="str">
        <f>IFERROR(__xludf.DUMMYFUNCTION("IF(C5092&lt;&gt;"""", GOOGLETRANSLATE(C5092, ""en"", ""te""),"""")"),"")</f>
        <v/>
      </c>
      <c r="E5092" s="2"/>
      <c r="F5092" s="2" t="str">
        <f>IFERROR(__xludf.DUMMYFUNCTION("IF(E5092&lt;&gt;"""", GOOGLETRANSLATE(E5092, ""en"", ""te""),"""")"),"")</f>
        <v/>
      </c>
      <c r="G5092" s="2"/>
      <c r="H5092" s="2" t="str">
        <f>IFERROR(__xludf.DUMMYFUNCTION("IF(G5092&lt;&gt;"""", GOOGLETRANSLATE(G5092, ""en"", ""te""),"""")"),"")</f>
        <v/>
      </c>
      <c r="I5092" s="3"/>
    </row>
    <row r="5093" customHeight="1" spans="1:9">
      <c r="A5093" s="2"/>
      <c r="B5093" s="2" t="str">
        <f>IFERROR(__xludf.DUMMYFUNCTION("IF(A5093&lt;&gt;"""", GOOGLETRANSLATE(A5093, ""en"", ""te""),"""")"),"")</f>
        <v/>
      </c>
      <c r="C5093" s="2"/>
      <c r="D5093" s="2" t="str">
        <f>IFERROR(__xludf.DUMMYFUNCTION("IF(C5093&lt;&gt;"""", GOOGLETRANSLATE(C5093, ""en"", ""te""),"""")"),"")</f>
        <v/>
      </c>
      <c r="E5093" s="2"/>
      <c r="F5093" s="2" t="str">
        <f>IFERROR(__xludf.DUMMYFUNCTION("IF(E5093&lt;&gt;"""", GOOGLETRANSLATE(E5093, ""en"", ""te""),"""")"),"")</f>
        <v/>
      </c>
      <c r="G5093" s="2"/>
      <c r="H5093" s="2" t="str">
        <f>IFERROR(__xludf.DUMMYFUNCTION("IF(G5093&lt;&gt;"""", GOOGLETRANSLATE(G5093, ""en"", ""te""),"""")"),"")</f>
        <v/>
      </c>
      <c r="I5093" s="3"/>
    </row>
    <row r="5094" customHeight="1" spans="1:9">
      <c r="A5094" s="2"/>
      <c r="B5094" s="2" t="str">
        <f>IFERROR(__xludf.DUMMYFUNCTION("IF(A5094&lt;&gt;"""", GOOGLETRANSLATE(A5094, ""en"", ""te""),"""")"),"")</f>
        <v/>
      </c>
      <c r="C5094" s="2"/>
      <c r="D5094" s="2" t="str">
        <f>IFERROR(__xludf.DUMMYFUNCTION("IF(C5094&lt;&gt;"""", GOOGLETRANSLATE(C5094, ""en"", ""te""),"""")"),"")</f>
        <v/>
      </c>
      <c r="E5094" s="2"/>
      <c r="F5094" s="2" t="str">
        <f>IFERROR(__xludf.DUMMYFUNCTION("IF(E5094&lt;&gt;"""", GOOGLETRANSLATE(E5094, ""en"", ""te""),"""")"),"")</f>
        <v/>
      </c>
      <c r="G5094" s="2"/>
      <c r="H5094" s="2" t="str">
        <f>IFERROR(__xludf.DUMMYFUNCTION("IF(G5094&lt;&gt;"""", GOOGLETRANSLATE(G5094, ""en"", ""te""),"""")"),"")</f>
        <v/>
      </c>
      <c r="I5094" s="3"/>
    </row>
    <row r="5095" customHeight="1" spans="1:9">
      <c r="A5095" s="2"/>
      <c r="B5095" s="2" t="str">
        <f>IFERROR(__xludf.DUMMYFUNCTION("IF(A5095&lt;&gt;"""", GOOGLETRANSLATE(A5095, ""en"", ""te""),"""")"),"")</f>
        <v/>
      </c>
      <c r="C5095" s="2"/>
      <c r="D5095" s="2" t="str">
        <f>IFERROR(__xludf.DUMMYFUNCTION("IF(C5095&lt;&gt;"""", GOOGLETRANSLATE(C5095, ""en"", ""te""),"""")"),"")</f>
        <v/>
      </c>
      <c r="E5095" s="2"/>
      <c r="F5095" s="2" t="str">
        <f>IFERROR(__xludf.DUMMYFUNCTION("IF(E5095&lt;&gt;"""", GOOGLETRANSLATE(E5095, ""en"", ""te""),"""")"),"")</f>
        <v/>
      </c>
      <c r="G5095" s="2"/>
      <c r="H5095" s="2" t="str">
        <f>IFERROR(__xludf.DUMMYFUNCTION("IF(G5095&lt;&gt;"""", GOOGLETRANSLATE(G5095, ""en"", ""te""),"""")"),"")</f>
        <v/>
      </c>
      <c r="I5095" s="3"/>
    </row>
    <row r="5096" customHeight="1" spans="1:9">
      <c r="A5096" s="2"/>
      <c r="B5096" s="2" t="str">
        <f>IFERROR(__xludf.DUMMYFUNCTION("IF(A5096&lt;&gt;"""", GOOGLETRANSLATE(A5096, ""en"", ""te""),"""")"),"")</f>
        <v/>
      </c>
      <c r="C5096" s="2"/>
      <c r="D5096" s="2" t="str">
        <f>IFERROR(__xludf.DUMMYFUNCTION("IF(C5096&lt;&gt;"""", GOOGLETRANSLATE(C5096, ""en"", ""te""),"""")"),"")</f>
        <v/>
      </c>
      <c r="E5096" s="2"/>
      <c r="F5096" s="2" t="str">
        <f>IFERROR(__xludf.DUMMYFUNCTION("IF(E5096&lt;&gt;"""", GOOGLETRANSLATE(E5096, ""en"", ""te""),"""")"),"")</f>
        <v/>
      </c>
      <c r="G5096" s="2"/>
      <c r="H5096" s="2" t="str">
        <f>IFERROR(__xludf.DUMMYFUNCTION("IF(G5096&lt;&gt;"""", GOOGLETRANSLATE(G5096, ""en"", ""te""),"""")"),"")</f>
        <v/>
      </c>
      <c r="I5096" s="3"/>
    </row>
    <row r="5097" customHeight="1" spans="1:9">
      <c r="A5097" s="2"/>
      <c r="B5097" s="2" t="str">
        <f>IFERROR(__xludf.DUMMYFUNCTION("IF(A5097&lt;&gt;"""", GOOGLETRANSLATE(A5097, ""en"", ""te""),"""")"),"")</f>
        <v/>
      </c>
      <c r="C5097" s="2"/>
      <c r="D5097" s="2" t="str">
        <f>IFERROR(__xludf.DUMMYFUNCTION("IF(C5097&lt;&gt;"""", GOOGLETRANSLATE(C5097, ""en"", ""te""),"""")"),"")</f>
        <v/>
      </c>
      <c r="E5097" s="2"/>
      <c r="F5097" s="2" t="str">
        <f>IFERROR(__xludf.DUMMYFUNCTION("IF(E5097&lt;&gt;"""", GOOGLETRANSLATE(E5097, ""en"", ""te""),"""")"),"")</f>
        <v/>
      </c>
      <c r="G5097" s="2"/>
      <c r="H5097" s="2" t="str">
        <f>IFERROR(__xludf.DUMMYFUNCTION("IF(G5097&lt;&gt;"""", GOOGLETRANSLATE(G5097, ""en"", ""te""),"""")"),"")</f>
        <v/>
      </c>
      <c r="I5097" s="3"/>
    </row>
    <row r="5098" customHeight="1" spans="1:9">
      <c r="A5098" s="2"/>
      <c r="B5098" s="2" t="str">
        <f>IFERROR(__xludf.DUMMYFUNCTION("IF(A5098&lt;&gt;"""", GOOGLETRANSLATE(A5098, ""en"", ""te""),"""")"),"")</f>
        <v/>
      </c>
      <c r="C5098" s="2"/>
      <c r="D5098" s="2" t="str">
        <f>IFERROR(__xludf.DUMMYFUNCTION("IF(C5098&lt;&gt;"""", GOOGLETRANSLATE(C5098, ""en"", ""te""),"""")"),"")</f>
        <v/>
      </c>
      <c r="E5098" s="2"/>
      <c r="F5098" s="2" t="str">
        <f>IFERROR(__xludf.DUMMYFUNCTION("IF(E5098&lt;&gt;"""", GOOGLETRANSLATE(E5098, ""en"", ""te""),"""")"),"")</f>
        <v/>
      </c>
      <c r="G5098" s="2"/>
      <c r="H5098" s="2" t="str">
        <f>IFERROR(__xludf.DUMMYFUNCTION("IF(G5098&lt;&gt;"""", GOOGLETRANSLATE(G5098, ""en"", ""te""),"""")"),"")</f>
        <v/>
      </c>
      <c r="I5098" s="3"/>
    </row>
    <row r="5099" customHeight="1" spans="1:9">
      <c r="A5099" s="2"/>
      <c r="B5099" s="2" t="str">
        <f>IFERROR(__xludf.DUMMYFUNCTION("IF(A5099&lt;&gt;"""", GOOGLETRANSLATE(A5099, ""en"", ""te""),"""")"),"")</f>
        <v/>
      </c>
      <c r="C5099" s="2"/>
      <c r="D5099" s="2" t="str">
        <f>IFERROR(__xludf.DUMMYFUNCTION("IF(C5099&lt;&gt;"""", GOOGLETRANSLATE(C5099, ""en"", ""te""),"""")"),"")</f>
        <v/>
      </c>
      <c r="E5099" s="2"/>
      <c r="F5099" s="2" t="str">
        <f>IFERROR(__xludf.DUMMYFUNCTION("IF(E5099&lt;&gt;"""", GOOGLETRANSLATE(E5099, ""en"", ""te""),"""")"),"")</f>
        <v/>
      </c>
      <c r="G5099" s="2"/>
      <c r="H5099" s="2" t="str">
        <f>IFERROR(__xludf.DUMMYFUNCTION("IF(G5099&lt;&gt;"""", GOOGLETRANSLATE(G5099, ""en"", ""te""),"""")"),"")</f>
        <v/>
      </c>
      <c r="I5099" s="3"/>
    </row>
    <row r="5100" customHeight="1" spans="1:9">
      <c r="A5100" s="2"/>
      <c r="B5100" s="2" t="str">
        <f>IFERROR(__xludf.DUMMYFUNCTION("IF(A5100&lt;&gt;"""", GOOGLETRANSLATE(A5100, ""en"", ""te""),"""")"),"")</f>
        <v/>
      </c>
      <c r="C5100" s="2"/>
      <c r="D5100" s="2" t="str">
        <f>IFERROR(__xludf.DUMMYFUNCTION("IF(C5100&lt;&gt;"""", GOOGLETRANSLATE(C5100, ""en"", ""te""),"""")"),"")</f>
        <v/>
      </c>
      <c r="E5100" s="2"/>
      <c r="F5100" s="2" t="str">
        <f>IFERROR(__xludf.DUMMYFUNCTION("IF(E5100&lt;&gt;"""", GOOGLETRANSLATE(E5100, ""en"", ""te""),"""")"),"")</f>
        <v/>
      </c>
      <c r="G5100" s="2"/>
      <c r="H5100" s="2" t="str">
        <f>IFERROR(__xludf.DUMMYFUNCTION("IF(G5100&lt;&gt;"""", GOOGLETRANSLATE(G5100, ""en"", ""te""),"""")"),"")</f>
        <v/>
      </c>
      <c r="I5100" s="3"/>
    </row>
    <row r="5101" customHeight="1" spans="1:9">
      <c r="A5101" s="2"/>
      <c r="B5101" s="2" t="str">
        <f>IFERROR(__xludf.DUMMYFUNCTION("IF(A5101&lt;&gt;"""", GOOGLETRANSLATE(A5101, ""en"", ""te""),"""")"),"")</f>
        <v/>
      </c>
      <c r="C5101" s="2"/>
      <c r="D5101" s="2" t="str">
        <f>IFERROR(__xludf.DUMMYFUNCTION("IF(C5101&lt;&gt;"""", GOOGLETRANSLATE(C5101, ""en"", ""te""),"""")"),"")</f>
        <v/>
      </c>
      <c r="E5101" s="2"/>
      <c r="F5101" s="2" t="str">
        <f>IFERROR(__xludf.DUMMYFUNCTION("IF(E5101&lt;&gt;"""", GOOGLETRANSLATE(E5101, ""en"", ""te""),"""")"),"")</f>
        <v/>
      </c>
      <c r="G5101" s="2"/>
      <c r="H5101" s="2" t="str">
        <f>IFERROR(__xludf.DUMMYFUNCTION("IF(G5101&lt;&gt;"""", GOOGLETRANSLATE(G5101, ""en"", ""te""),"""")"),"")</f>
        <v/>
      </c>
      <c r="I5101" s="3"/>
    </row>
    <row r="5102" customHeight="1" spans="1:9">
      <c r="A5102" s="2"/>
      <c r="B5102" s="2" t="str">
        <f>IFERROR(__xludf.DUMMYFUNCTION("IF(A5102&lt;&gt;"""", GOOGLETRANSLATE(A5102, ""en"", ""te""),"""")"),"")</f>
        <v/>
      </c>
      <c r="C5102" s="2"/>
      <c r="D5102" s="2" t="str">
        <f>IFERROR(__xludf.DUMMYFUNCTION("IF(C5102&lt;&gt;"""", GOOGLETRANSLATE(C5102, ""en"", ""te""),"""")"),"")</f>
        <v/>
      </c>
      <c r="E5102" s="2"/>
      <c r="F5102" s="2" t="str">
        <f>IFERROR(__xludf.DUMMYFUNCTION("IF(E5102&lt;&gt;"""", GOOGLETRANSLATE(E5102, ""en"", ""te""),"""")"),"")</f>
        <v/>
      </c>
      <c r="G5102" s="2"/>
      <c r="H5102" s="2" t="str">
        <f>IFERROR(__xludf.DUMMYFUNCTION("IF(G5102&lt;&gt;"""", GOOGLETRANSLATE(G5102, ""en"", ""te""),"""")"),"")</f>
        <v/>
      </c>
      <c r="I5102" s="3"/>
    </row>
    <row r="5103" customHeight="1" spans="1:9">
      <c r="A5103" s="2"/>
      <c r="B5103" s="2" t="str">
        <f>IFERROR(__xludf.DUMMYFUNCTION("IF(A5103&lt;&gt;"""", GOOGLETRANSLATE(A5103, ""en"", ""te""),"""")"),"")</f>
        <v/>
      </c>
      <c r="C5103" s="2"/>
      <c r="D5103" s="2" t="str">
        <f>IFERROR(__xludf.DUMMYFUNCTION("IF(C5103&lt;&gt;"""", GOOGLETRANSLATE(C5103, ""en"", ""te""),"""")"),"")</f>
        <v/>
      </c>
      <c r="E5103" s="2"/>
      <c r="F5103" s="2" t="str">
        <f>IFERROR(__xludf.DUMMYFUNCTION("IF(E5103&lt;&gt;"""", GOOGLETRANSLATE(E5103, ""en"", ""te""),"""")"),"")</f>
        <v/>
      </c>
      <c r="G5103" s="2"/>
      <c r="H5103" s="2" t="str">
        <f>IFERROR(__xludf.DUMMYFUNCTION("IF(G5103&lt;&gt;"""", GOOGLETRANSLATE(G5103, ""en"", ""te""),"""")"),"")</f>
        <v/>
      </c>
      <c r="I5103" s="3"/>
    </row>
    <row r="5104" customHeight="1" spans="1:9">
      <c r="A5104" s="2"/>
      <c r="B5104" s="2" t="str">
        <f>IFERROR(__xludf.DUMMYFUNCTION("IF(A5104&lt;&gt;"""", GOOGLETRANSLATE(A5104, ""en"", ""te""),"""")"),"")</f>
        <v/>
      </c>
      <c r="C5104" s="2"/>
      <c r="D5104" s="2" t="str">
        <f>IFERROR(__xludf.DUMMYFUNCTION("IF(C5104&lt;&gt;"""", GOOGLETRANSLATE(C5104, ""en"", ""te""),"""")"),"")</f>
        <v/>
      </c>
      <c r="E5104" s="2"/>
      <c r="F5104" s="2" t="str">
        <f>IFERROR(__xludf.DUMMYFUNCTION("IF(E5104&lt;&gt;"""", GOOGLETRANSLATE(E5104, ""en"", ""te""),"""")"),"")</f>
        <v/>
      </c>
      <c r="G5104" s="2"/>
      <c r="H5104" s="2" t="str">
        <f>IFERROR(__xludf.DUMMYFUNCTION("IF(G5104&lt;&gt;"""", GOOGLETRANSLATE(G5104, ""en"", ""te""),"""")"),"")</f>
        <v/>
      </c>
      <c r="I5104" s="3"/>
    </row>
    <row r="5105" customHeight="1" spans="1:9">
      <c r="A5105" s="2"/>
      <c r="B5105" s="2" t="str">
        <f>IFERROR(__xludf.DUMMYFUNCTION("IF(A5105&lt;&gt;"""", GOOGLETRANSLATE(A5105, ""en"", ""te""),"""")"),"")</f>
        <v/>
      </c>
      <c r="C5105" s="2"/>
      <c r="D5105" s="2" t="str">
        <f>IFERROR(__xludf.DUMMYFUNCTION("IF(C5105&lt;&gt;"""", GOOGLETRANSLATE(C5105, ""en"", ""te""),"""")"),"")</f>
        <v/>
      </c>
      <c r="E5105" s="2"/>
      <c r="F5105" s="2" t="str">
        <f>IFERROR(__xludf.DUMMYFUNCTION("IF(E5105&lt;&gt;"""", GOOGLETRANSLATE(E5105, ""en"", ""te""),"""")"),"")</f>
        <v/>
      </c>
      <c r="G5105" s="2"/>
      <c r="H5105" s="2" t="str">
        <f>IFERROR(__xludf.DUMMYFUNCTION("IF(G5105&lt;&gt;"""", GOOGLETRANSLATE(G5105, ""en"", ""te""),"""")"),"")</f>
        <v/>
      </c>
      <c r="I5105" s="3"/>
    </row>
    <row r="5106" customHeight="1" spans="1:9">
      <c r="A5106" s="2"/>
      <c r="B5106" s="2" t="str">
        <f>IFERROR(__xludf.DUMMYFUNCTION("IF(A5106&lt;&gt;"""", GOOGLETRANSLATE(A5106, ""en"", ""te""),"""")"),"")</f>
        <v/>
      </c>
      <c r="C5106" s="2"/>
      <c r="D5106" s="2" t="str">
        <f>IFERROR(__xludf.DUMMYFUNCTION("IF(C5106&lt;&gt;"""", GOOGLETRANSLATE(C5106, ""en"", ""te""),"""")"),"")</f>
        <v/>
      </c>
      <c r="E5106" s="2"/>
      <c r="F5106" s="2" t="str">
        <f>IFERROR(__xludf.DUMMYFUNCTION("IF(E5106&lt;&gt;"""", GOOGLETRANSLATE(E5106, ""en"", ""te""),"""")"),"")</f>
        <v/>
      </c>
      <c r="G5106" s="2"/>
      <c r="H5106" s="2" t="str">
        <f>IFERROR(__xludf.DUMMYFUNCTION("IF(G5106&lt;&gt;"""", GOOGLETRANSLATE(G5106, ""en"", ""te""),"""")"),"")</f>
        <v/>
      </c>
      <c r="I5106" s="3"/>
    </row>
    <row r="5107" customHeight="1" spans="1:9">
      <c r="A5107" s="2"/>
      <c r="B5107" s="2" t="str">
        <f>IFERROR(__xludf.DUMMYFUNCTION("IF(A5107&lt;&gt;"""", GOOGLETRANSLATE(A5107, ""en"", ""te""),"""")"),"")</f>
        <v/>
      </c>
      <c r="C5107" s="2"/>
      <c r="D5107" s="2" t="str">
        <f>IFERROR(__xludf.DUMMYFUNCTION("IF(C5107&lt;&gt;"""", GOOGLETRANSLATE(C5107, ""en"", ""te""),"""")"),"")</f>
        <v/>
      </c>
      <c r="E5107" s="2"/>
      <c r="F5107" s="2" t="str">
        <f>IFERROR(__xludf.DUMMYFUNCTION("IF(E5107&lt;&gt;"""", GOOGLETRANSLATE(E5107, ""en"", ""te""),"""")"),"")</f>
        <v/>
      </c>
      <c r="G5107" s="2"/>
      <c r="H5107" s="2" t="str">
        <f>IFERROR(__xludf.DUMMYFUNCTION("IF(G5107&lt;&gt;"""", GOOGLETRANSLATE(G5107, ""en"", ""te""),"""")"),"")</f>
        <v/>
      </c>
      <c r="I5107" s="3"/>
    </row>
    <row r="5108" customHeight="1" spans="1:9">
      <c r="A5108" s="2"/>
      <c r="B5108" s="2" t="str">
        <f>IFERROR(__xludf.DUMMYFUNCTION("IF(A5108&lt;&gt;"""", GOOGLETRANSLATE(A5108, ""en"", ""te""),"""")"),"")</f>
        <v/>
      </c>
      <c r="C5108" s="2"/>
      <c r="D5108" s="2" t="str">
        <f>IFERROR(__xludf.DUMMYFUNCTION("IF(C5108&lt;&gt;"""", GOOGLETRANSLATE(C5108, ""en"", ""te""),"""")"),"")</f>
        <v/>
      </c>
      <c r="E5108" s="2"/>
      <c r="F5108" s="2" t="str">
        <f>IFERROR(__xludf.DUMMYFUNCTION("IF(E5108&lt;&gt;"""", GOOGLETRANSLATE(E5108, ""en"", ""te""),"""")"),"")</f>
        <v/>
      </c>
      <c r="G5108" s="2"/>
      <c r="H5108" s="2" t="str">
        <f>IFERROR(__xludf.DUMMYFUNCTION("IF(G5108&lt;&gt;"""", GOOGLETRANSLATE(G5108, ""en"", ""te""),"""")"),"")</f>
        <v/>
      </c>
      <c r="I5108" s="3"/>
    </row>
    <row r="5109" customHeight="1" spans="1:9">
      <c r="A5109" s="2"/>
      <c r="B5109" s="2" t="str">
        <f>IFERROR(__xludf.DUMMYFUNCTION("IF(A5109&lt;&gt;"""", GOOGLETRANSLATE(A5109, ""en"", ""te""),"""")"),"")</f>
        <v/>
      </c>
      <c r="C5109" s="2"/>
      <c r="D5109" s="2" t="str">
        <f>IFERROR(__xludf.DUMMYFUNCTION("IF(C5109&lt;&gt;"""", GOOGLETRANSLATE(C5109, ""en"", ""te""),"""")"),"")</f>
        <v/>
      </c>
      <c r="E5109" s="2"/>
      <c r="F5109" s="2" t="str">
        <f>IFERROR(__xludf.DUMMYFUNCTION("IF(E5109&lt;&gt;"""", GOOGLETRANSLATE(E5109, ""en"", ""te""),"""")"),"")</f>
        <v/>
      </c>
      <c r="G5109" s="2"/>
      <c r="H5109" s="2" t="str">
        <f>IFERROR(__xludf.DUMMYFUNCTION("IF(G5109&lt;&gt;"""", GOOGLETRANSLATE(G5109, ""en"", ""te""),"""")"),"")</f>
        <v/>
      </c>
      <c r="I5109" s="3"/>
    </row>
    <row r="5110" customHeight="1" spans="1:9">
      <c r="A5110" s="2"/>
      <c r="B5110" s="2" t="str">
        <f>IFERROR(__xludf.DUMMYFUNCTION("IF(A5110&lt;&gt;"""", GOOGLETRANSLATE(A5110, ""en"", ""te""),"""")"),"")</f>
        <v/>
      </c>
      <c r="C5110" s="2"/>
      <c r="D5110" s="2" t="str">
        <f>IFERROR(__xludf.DUMMYFUNCTION("IF(C5110&lt;&gt;"""", GOOGLETRANSLATE(C5110, ""en"", ""te""),"""")"),"")</f>
        <v/>
      </c>
      <c r="E5110" s="2"/>
      <c r="F5110" s="2" t="str">
        <f>IFERROR(__xludf.DUMMYFUNCTION("IF(E5110&lt;&gt;"""", GOOGLETRANSLATE(E5110, ""en"", ""te""),"""")"),"")</f>
        <v/>
      </c>
      <c r="G5110" s="2"/>
      <c r="H5110" s="2" t="str">
        <f>IFERROR(__xludf.DUMMYFUNCTION("IF(G5110&lt;&gt;"""", GOOGLETRANSLATE(G5110, ""en"", ""te""),"""")"),"")</f>
        <v/>
      </c>
      <c r="I5110" s="3"/>
    </row>
    <row r="5111" customHeight="1" spans="1:9">
      <c r="A5111" s="2"/>
      <c r="B5111" s="2" t="str">
        <f>IFERROR(__xludf.DUMMYFUNCTION("IF(A5111&lt;&gt;"""", GOOGLETRANSLATE(A5111, ""en"", ""te""),"""")"),"")</f>
        <v/>
      </c>
      <c r="C5111" s="2"/>
      <c r="D5111" s="2" t="str">
        <f>IFERROR(__xludf.DUMMYFUNCTION("IF(C5111&lt;&gt;"""", GOOGLETRANSLATE(C5111, ""en"", ""te""),"""")"),"")</f>
        <v/>
      </c>
      <c r="E5111" s="2"/>
      <c r="F5111" s="2" t="str">
        <f>IFERROR(__xludf.DUMMYFUNCTION("IF(E5111&lt;&gt;"""", GOOGLETRANSLATE(E5111, ""en"", ""te""),"""")"),"")</f>
        <v/>
      </c>
      <c r="G5111" s="2"/>
      <c r="H5111" s="2" t="str">
        <f>IFERROR(__xludf.DUMMYFUNCTION("IF(G5111&lt;&gt;"""", GOOGLETRANSLATE(G5111, ""en"", ""te""),"""")"),"")</f>
        <v/>
      </c>
      <c r="I5111" s="3"/>
    </row>
    <row r="5112" customHeight="1" spans="1:9">
      <c r="A5112" s="2"/>
      <c r="B5112" s="2" t="str">
        <f>IFERROR(__xludf.DUMMYFUNCTION("IF(A5112&lt;&gt;"""", GOOGLETRANSLATE(A5112, ""en"", ""te""),"""")"),"")</f>
        <v/>
      </c>
      <c r="C5112" s="2"/>
      <c r="D5112" s="2" t="str">
        <f>IFERROR(__xludf.DUMMYFUNCTION("IF(C5112&lt;&gt;"""", GOOGLETRANSLATE(C5112, ""en"", ""te""),"""")"),"")</f>
        <v/>
      </c>
      <c r="E5112" s="2"/>
      <c r="F5112" s="2" t="str">
        <f>IFERROR(__xludf.DUMMYFUNCTION("IF(E5112&lt;&gt;"""", GOOGLETRANSLATE(E5112, ""en"", ""te""),"""")"),"")</f>
        <v/>
      </c>
      <c r="G5112" s="2"/>
      <c r="H5112" s="2" t="str">
        <f>IFERROR(__xludf.DUMMYFUNCTION("IF(G5112&lt;&gt;"""", GOOGLETRANSLATE(G5112, ""en"", ""te""),"""")"),"")</f>
        <v/>
      </c>
      <c r="I5112" s="3"/>
    </row>
    <row r="5113" customHeight="1" spans="1:9">
      <c r="A5113" s="2"/>
      <c r="B5113" s="2" t="str">
        <f>IFERROR(__xludf.DUMMYFUNCTION("IF(A5113&lt;&gt;"""", GOOGLETRANSLATE(A5113, ""en"", ""te""),"""")"),"")</f>
        <v/>
      </c>
      <c r="C5113" s="2"/>
      <c r="D5113" s="2" t="str">
        <f>IFERROR(__xludf.DUMMYFUNCTION("IF(C5113&lt;&gt;"""", GOOGLETRANSLATE(C5113, ""en"", ""te""),"""")"),"")</f>
        <v/>
      </c>
      <c r="E5113" s="2"/>
      <c r="F5113" s="2" t="str">
        <f>IFERROR(__xludf.DUMMYFUNCTION("IF(E5113&lt;&gt;"""", GOOGLETRANSLATE(E5113, ""en"", ""te""),"""")"),"")</f>
        <v/>
      </c>
      <c r="G5113" s="2"/>
      <c r="H5113" s="2" t="str">
        <f>IFERROR(__xludf.DUMMYFUNCTION("IF(G5113&lt;&gt;"""", GOOGLETRANSLATE(G5113, ""en"", ""te""),"""")"),"")</f>
        <v/>
      </c>
      <c r="I5113" s="3"/>
    </row>
    <row r="5114" customHeight="1" spans="1:9">
      <c r="A5114" s="2"/>
      <c r="B5114" s="2" t="str">
        <f>IFERROR(__xludf.DUMMYFUNCTION("IF(A5114&lt;&gt;"""", GOOGLETRANSLATE(A5114, ""en"", ""te""),"""")"),"")</f>
        <v/>
      </c>
      <c r="C5114" s="2"/>
      <c r="D5114" s="2" t="str">
        <f>IFERROR(__xludf.DUMMYFUNCTION("IF(C5114&lt;&gt;"""", GOOGLETRANSLATE(C5114, ""en"", ""te""),"""")"),"")</f>
        <v/>
      </c>
      <c r="E5114" s="2"/>
      <c r="F5114" s="2" t="str">
        <f>IFERROR(__xludf.DUMMYFUNCTION("IF(E5114&lt;&gt;"""", GOOGLETRANSLATE(E5114, ""en"", ""te""),"""")"),"")</f>
        <v/>
      </c>
      <c r="G5114" s="2"/>
      <c r="H5114" s="2" t="str">
        <f>IFERROR(__xludf.DUMMYFUNCTION("IF(G5114&lt;&gt;"""", GOOGLETRANSLATE(G5114, ""en"", ""te""),"""")"),"")</f>
        <v/>
      </c>
      <c r="I5114" s="3"/>
    </row>
    <row r="5115" customHeight="1" spans="1:9">
      <c r="A5115" s="2"/>
      <c r="B5115" s="2" t="str">
        <f>IFERROR(__xludf.DUMMYFUNCTION("IF(A5115&lt;&gt;"""", GOOGLETRANSLATE(A5115, ""en"", ""te""),"""")"),"")</f>
        <v/>
      </c>
      <c r="C5115" s="2"/>
      <c r="D5115" s="2" t="str">
        <f>IFERROR(__xludf.DUMMYFUNCTION("IF(C5115&lt;&gt;"""", GOOGLETRANSLATE(C5115, ""en"", ""te""),"""")"),"")</f>
        <v/>
      </c>
      <c r="E5115" s="2"/>
      <c r="F5115" s="2" t="str">
        <f>IFERROR(__xludf.DUMMYFUNCTION("IF(E5115&lt;&gt;"""", GOOGLETRANSLATE(E5115, ""en"", ""te""),"""")"),"")</f>
        <v/>
      </c>
      <c r="G5115" s="2"/>
      <c r="H5115" s="2" t="str">
        <f>IFERROR(__xludf.DUMMYFUNCTION("IF(G5115&lt;&gt;"""", GOOGLETRANSLATE(G5115, ""en"", ""te""),"""")"),"")</f>
        <v/>
      </c>
      <c r="I5115" s="3"/>
    </row>
    <row r="5116" customHeight="1" spans="1:9">
      <c r="A5116" s="2"/>
      <c r="B5116" s="2" t="str">
        <f>IFERROR(__xludf.DUMMYFUNCTION("IF(A5116&lt;&gt;"""", GOOGLETRANSLATE(A5116, ""en"", ""te""),"""")"),"")</f>
        <v/>
      </c>
      <c r="C5116" s="2"/>
      <c r="D5116" s="2" t="str">
        <f>IFERROR(__xludf.DUMMYFUNCTION("IF(C5116&lt;&gt;"""", GOOGLETRANSLATE(C5116, ""en"", ""te""),"""")"),"")</f>
        <v/>
      </c>
      <c r="E5116" s="2"/>
      <c r="F5116" s="2" t="str">
        <f>IFERROR(__xludf.DUMMYFUNCTION("IF(E5116&lt;&gt;"""", GOOGLETRANSLATE(E5116, ""en"", ""te""),"""")"),"")</f>
        <v/>
      </c>
      <c r="G5116" s="2"/>
      <c r="H5116" s="2" t="str">
        <f>IFERROR(__xludf.DUMMYFUNCTION("IF(G5116&lt;&gt;"""", GOOGLETRANSLATE(G5116, ""en"", ""te""),"""")"),"")</f>
        <v/>
      </c>
      <c r="I5116" s="3"/>
    </row>
    <row r="5117" customHeight="1" spans="1:9">
      <c r="A5117" s="2"/>
      <c r="B5117" s="2" t="str">
        <f>IFERROR(__xludf.DUMMYFUNCTION("IF(A5117&lt;&gt;"""", GOOGLETRANSLATE(A5117, ""en"", ""te""),"""")"),"")</f>
        <v/>
      </c>
      <c r="C5117" s="2"/>
      <c r="D5117" s="2" t="str">
        <f>IFERROR(__xludf.DUMMYFUNCTION("IF(C5117&lt;&gt;"""", GOOGLETRANSLATE(C5117, ""en"", ""te""),"""")"),"")</f>
        <v/>
      </c>
      <c r="E5117" s="2"/>
      <c r="F5117" s="2" t="str">
        <f>IFERROR(__xludf.DUMMYFUNCTION("IF(E5117&lt;&gt;"""", GOOGLETRANSLATE(E5117, ""en"", ""te""),"""")"),"")</f>
        <v/>
      </c>
      <c r="G5117" s="2"/>
      <c r="H5117" s="2" t="str">
        <f>IFERROR(__xludf.DUMMYFUNCTION("IF(G5117&lt;&gt;"""", GOOGLETRANSLATE(G5117, ""en"", ""te""),"""")"),"")</f>
        <v/>
      </c>
      <c r="I5117" s="3"/>
    </row>
    <row r="5118" customHeight="1" spans="1:9">
      <c r="A5118" s="2"/>
      <c r="B5118" s="2" t="str">
        <f>IFERROR(__xludf.DUMMYFUNCTION("IF(A5118&lt;&gt;"""", GOOGLETRANSLATE(A5118, ""en"", ""te""),"""")"),"")</f>
        <v/>
      </c>
      <c r="C5118" s="2"/>
      <c r="D5118" s="2" t="str">
        <f>IFERROR(__xludf.DUMMYFUNCTION("IF(C5118&lt;&gt;"""", GOOGLETRANSLATE(C5118, ""en"", ""te""),"""")"),"")</f>
        <v/>
      </c>
      <c r="E5118" s="2"/>
      <c r="F5118" s="2" t="str">
        <f>IFERROR(__xludf.DUMMYFUNCTION("IF(E5118&lt;&gt;"""", GOOGLETRANSLATE(E5118, ""en"", ""te""),"""")"),"")</f>
        <v/>
      </c>
      <c r="G5118" s="2"/>
      <c r="H5118" s="2" t="str">
        <f>IFERROR(__xludf.DUMMYFUNCTION("IF(G5118&lt;&gt;"""", GOOGLETRANSLATE(G5118, ""en"", ""te""),"""")"),"")</f>
        <v/>
      </c>
      <c r="I5118" s="3"/>
    </row>
    <row r="5119" customHeight="1" spans="1:9">
      <c r="A5119" s="2"/>
      <c r="B5119" s="2" t="str">
        <f>IFERROR(__xludf.DUMMYFUNCTION("IF(A5119&lt;&gt;"""", GOOGLETRANSLATE(A5119, ""en"", ""te""),"""")"),"")</f>
        <v/>
      </c>
      <c r="C5119" s="2"/>
      <c r="D5119" s="2" t="str">
        <f>IFERROR(__xludf.DUMMYFUNCTION("IF(C5119&lt;&gt;"""", GOOGLETRANSLATE(C5119, ""en"", ""te""),"""")"),"")</f>
        <v/>
      </c>
      <c r="E5119" s="2"/>
      <c r="F5119" s="2" t="str">
        <f>IFERROR(__xludf.DUMMYFUNCTION("IF(E5119&lt;&gt;"""", GOOGLETRANSLATE(E5119, ""en"", ""te""),"""")"),"")</f>
        <v/>
      </c>
      <c r="G5119" s="2"/>
      <c r="H5119" s="2" t="str">
        <f>IFERROR(__xludf.DUMMYFUNCTION("IF(G5119&lt;&gt;"""", GOOGLETRANSLATE(G5119, ""en"", ""te""),"""")"),"")</f>
        <v/>
      </c>
      <c r="I5119" s="3"/>
    </row>
    <row r="5120" customHeight="1" spans="1:9">
      <c r="A5120" s="2" t="s">
        <v>3462</v>
      </c>
      <c r="B5120" s="2" t="str">
        <f>IFERROR(__xludf.DUMMYFUNCTION("IF(A5120&lt;&gt;"""", GOOGLETRANSLATE(A5120, ""en"", ""te""),"""")"),"[ 'ఒక మ్యాచ్ లో రెండు అజేయంగా అర్ధ' 'ఇన్నింగ్స్ లో 5 వ అత్యంత ఫోర్లు (44)', 'ఒక ఇన్నింగ్స్లో పరుగుల 3 వ అత్యధిక శాతం (63.98)', '6 వ ఒక ఆటలో బదులు ద్వారా అత్యధిక క్యాచ్లు (3) ',' 5000 పరుగులు మరియు 50 ఫీల్డింగ్ వికెట్లు ',' ఐదవ వికెట్కు 3 వ అత్యధిక భాగస్వా"&amp;"మ్యం (376) ',' వరుస (3) ',' 1 వ 99 పరుగుల (199, 299 etc) లో 3 వ అత్యధిక వందలు (99 ) ',' 2nd ఒక సిరీస్లో అత్యధిక క్యాచ్లు (12) ',' నాలుగవ వికెట్కు 10 వ అత్యధిక భాగస్వామ్యం (213) ',' వరుస మ్యాచ్లలో 5 వ యాభైల్లో (8) ']")</f>
        <v>[ 'ఒక మ్యాచ్ లో రెండు అజేయంగా అర్ధ' 'ఇన్నింగ్స్ లో 5 వ అత్యంత ఫోర్లు (44)', 'ఒక ఇన్నింగ్స్లో పరుగుల 3 వ అత్యధిక శాతం (63.98)', '6 వ ఒక ఆటలో బదులు ద్వారా అత్యధిక క్యాచ్లు (3) ',' 5000 పరుగులు మరియు 50 ఫీల్డింగ్ వికెట్లు ',' ఐదవ వికెట్కు 3 వ అత్యధిక భాగస్వామ్యం (376) ',' వరుస (3) ',' 1 వ 99 పరుగుల (199, 299 etc) లో 3 వ అత్యధిక వందలు (99 ) ',' 2nd ఒక సిరీస్లో అత్యధిక క్యాచ్లు (12) ',' నాలుగవ వికెట్కు 10 వ అత్యధిక భాగస్వామ్యం (213) ',' వరుస మ్యాచ్లలో 5 వ యాభైల్లో (8) ']</v>
      </c>
      <c r="C5120" s="2" t="s">
        <v>3463</v>
      </c>
      <c r="D5120" s="2" t="str">
        <f>IFERROR(__xludf.DUMMYFUNCTION("IF(C5120&lt;&gt;"""", GOOGLETRANSLATE(C5120, ""en"", ""te""),"""")"),"[ '19 అత్యధిక కెరీర్ లో పరుగులు (8781)', '42 వ ఇన్నింగ్స్ లో అత్యధిక పరుగులు (281)', 'ఒక మ్యాచ్లో 20 వ అత్యధిక పరుగులు (340)', '13 వ ఇన్నింగ్స్ లో అత్యధిక పరుగులు (బ్యాటింగ్ స్థానంలో ప్రకారం) (281 ) ',' 47 వ ఒకే మైదానంలో అత్యధిక పరుగులు (1217) ',' 13 వ అ"&amp;"త్యంత అర్ధ కెరీర్లో (73) ',' వరుస మ్యాచ్లలో 15 వ యాభైల్లో (8) ',' 15 వ అత్యంత ఫోర్లు కెరీర్లో (1135) ',' ఒక ఇన్నింగ్స్ లో 5 వ అత్యంత ఫోర్లు (44) ',' ఇన్నింగ్స్ లో ఫోర్లు, సిక్సర్లు నుండి 18 వ అత్యధిక పరుగులు (176) ',' ఒక ఇన్నింగ్స్లో పరుగుల 3 వ అత్యధిక శ"&amp;"ాతం (63.98) ',' 14 వ కెరీర్ లో అత్యధిక క్యాచ్లు (135 ) ',' 6 వ ఏ వికెట్కు ఒక మ్యాచ్ (3) ',' 26th అత్యధిక భాగస్వామ్య ప్రత్యామ్నాయంగా ద్వారా అత్యధిక క్యాచ్లు (376) ',' ఐదవ వికెట్కు 3 వ అత్యధిక భాగస్వామ్యం (376) ',' 6 వ అత్యధిక ఏడవ కొరకు చేసిన భాగస్వామ్యం వి"&amp;"కెట్ (259 *) ',' 14 వ కెరీర్ (134) అత్యధిక మ్యాచ్లు ']")</f>
        <v>[ '19 అత్యధిక కెరీర్ లో పరుగులు (8781)', '42 వ ఇన్నింగ్స్ లో అత్యధిక పరుగులు (281)', 'ఒక మ్యాచ్లో 20 వ అత్యధిక పరుగులు (340)', '13 వ ఇన్నింగ్స్ లో అత్యధిక పరుగులు (బ్యాటింగ్ స్థానంలో ప్రకారం) (281 ) ',' 47 వ ఒకే మైదానంలో అత్యధిక పరుగులు (1217) ',' 13 వ అత్యంత అర్ధ కెరీర్లో (73) ',' వరుస మ్యాచ్లలో 15 వ యాభైల్లో (8) ',' 15 వ అత్యంత ఫోర్లు కెరీర్లో (1135) ',' ఒక ఇన్నింగ్స్ లో 5 వ అత్యంత ఫోర్లు (44) ',' ఇన్నింగ్స్ లో ఫోర్లు, సిక్సర్లు నుండి 18 వ అత్యధిక పరుగులు (176) ',' ఒక ఇన్నింగ్స్లో పరుగుల 3 వ అత్యధిక శాతం (63.98) ',' 14 వ కెరీర్ లో అత్యధిక క్యాచ్లు (135 ) ',' 6 వ ఏ వికెట్కు ఒక మ్యాచ్ (3) ',' 26th అత్యధిక భాగస్వామ్య ప్రత్యామ్నాయంగా ద్వారా అత్యధిక క్యాచ్లు (376) ',' ఐదవ వికెట్కు 3 వ అత్యధిక భాగస్వామ్యం (376) ',' 6 వ అత్యధిక ఏడవ కొరకు చేసిన భాగస్వామ్యం వికెట్ (259 *) ',' 14 వ కెరీర్ (134) అత్యధిక మ్యాచ్లు ']</v>
      </c>
      <c r="E5120" s="2" t="s">
        <v>3464</v>
      </c>
      <c r="F5120" s="2" t="str">
        <f>IFERROR(__xludf.DUMMYFUNCTION("IF(E5120&lt;&gt;"""", GOOGLETRANSLATE(E5120, ""en"", ""te""),"""")"),"[ 'వరుస 3 వ అత్యధిక వందలు (3)', '29th ఒక క్యాలెండర్ సంవత్సరంలో అత్యధిక వందలు (4)', '39 వ ఒక జట్టు వ్యతిరేకంగా అత్యధిక వందలు (4)', '1 వ 99 (199, 299 etc) కొట్టివేయబడింది (99) ',' 47 వ అతి తక్కువ శ్రేణిలో ఒక ఇన్నింగ్స్ లో కెరీర్ లో బాతులు (27.66) ',' 2 వ అత"&amp;"్యధిక క్యాచ్లు (4) ',' 2 వ అత్యధిక క్యాచ్లు (12) ',' నాలుగవ వికెట్కు 10 వ అత్యధిక భాగస్వామ్యం (213 ) ']")</f>
        <v>[ 'వరుస 3 వ అత్యధిక వందలు (3)', '29th ఒక క్యాలెండర్ సంవత్సరంలో అత్యధిక వందలు (4)', '39 వ ఒక జట్టు వ్యతిరేకంగా అత్యధిక వందలు (4)', '1 వ 99 (199, 299 etc) కొట్టివేయబడింది (99) ',' 47 వ అతి తక్కువ శ్రేణిలో ఒక ఇన్నింగ్స్ లో కెరీర్ లో బాతులు (27.66) ',' 2 వ అత్యధిక క్యాచ్లు (4) ',' 2 వ అత్యధిక క్యాచ్లు (12) ',' నాలుగవ వికెట్కు 10 వ అత్యధిక భాగస్వామ్యం (213 ) ']</v>
      </c>
      <c r="G5120" s="2"/>
      <c r="H5120" s="2" t="str">
        <f>IFERROR(__xludf.DUMMYFUNCTION("IF(G5120&lt;&gt;"""", GOOGLETRANSLATE(G5120, ""en"", ""te""),"""")"),"")</f>
        <v/>
      </c>
      <c r="I5120" s="3"/>
    </row>
    <row r="5121" customHeight="1" spans="1:9">
      <c r="A5121" s="2"/>
      <c r="B5121" s="2" t="str">
        <f>IFERROR(__xludf.DUMMYFUNCTION("IF(A5121&lt;&gt;"""", GOOGLETRANSLATE(A5121, ""en"", ""te""),"""")"),"")</f>
        <v/>
      </c>
      <c r="C5121" s="2"/>
      <c r="D5121" s="2" t="str">
        <f>IFERROR(__xludf.DUMMYFUNCTION("IF(C5121&lt;&gt;"""", GOOGLETRANSLATE(C5121, ""en"", ""te""),"""")"),"")</f>
        <v/>
      </c>
      <c r="E5121" s="2"/>
      <c r="F5121" s="2" t="str">
        <f>IFERROR(__xludf.DUMMYFUNCTION("IF(E5121&lt;&gt;"""", GOOGLETRANSLATE(E5121, ""en"", ""te""),"""")"),"")</f>
        <v/>
      </c>
      <c r="G5121" s="2"/>
      <c r="H5121" s="2" t="str">
        <f>IFERROR(__xludf.DUMMYFUNCTION("IF(G5121&lt;&gt;"""", GOOGLETRANSLATE(G5121, ""en"", ""te""),"""")"),"")</f>
        <v/>
      </c>
      <c r="I5121" s="3"/>
    </row>
    <row r="5122" customHeight="1" spans="1:9">
      <c r="A5122" s="2"/>
      <c r="B5122" s="2" t="str">
        <f>IFERROR(__xludf.DUMMYFUNCTION("IF(A5122&lt;&gt;"""", GOOGLETRANSLATE(A5122, ""en"", ""te""),"""")"),"")</f>
        <v/>
      </c>
      <c r="C5122" s="2"/>
      <c r="D5122" s="2" t="str">
        <f>IFERROR(__xludf.DUMMYFUNCTION("IF(C5122&lt;&gt;"""", GOOGLETRANSLATE(C5122, ""en"", ""te""),"""")"),"")</f>
        <v/>
      </c>
      <c r="E5122" s="2"/>
      <c r="F5122" s="2" t="str">
        <f>IFERROR(__xludf.DUMMYFUNCTION("IF(E5122&lt;&gt;"""", GOOGLETRANSLATE(E5122, ""en"", ""te""),"""")"),"")</f>
        <v/>
      </c>
      <c r="G5122" s="2"/>
      <c r="H5122" s="2" t="str">
        <f>IFERROR(__xludf.DUMMYFUNCTION("IF(G5122&lt;&gt;"""", GOOGLETRANSLATE(G5122, ""en"", ""te""),"""")"),"")</f>
        <v/>
      </c>
      <c r="I5122" s="3"/>
    </row>
    <row r="5123" customHeight="1" spans="1:9">
      <c r="A5123" s="2"/>
      <c r="B5123" s="2" t="str">
        <f>IFERROR(__xludf.DUMMYFUNCTION("IF(A5123&lt;&gt;"""", GOOGLETRANSLATE(A5123, ""en"", ""te""),"""")"),"")</f>
        <v/>
      </c>
      <c r="C5123" s="2"/>
      <c r="D5123" s="2" t="str">
        <f>IFERROR(__xludf.DUMMYFUNCTION("IF(C5123&lt;&gt;"""", GOOGLETRANSLATE(C5123, ""en"", ""te""),"""")"),"")</f>
        <v/>
      </c>
      <c r="E5123" s="2"/>
      <c r="F5123" s="2" t="str">
        <f>IFERROR(__xludf.DUMMYFUNCTION("IF(E5123&lt;&gt;"""", GOOGLETRANSLATE(E5123, ""en"", ""te""),"""")"),"")</f>
        <v/>
      </c>
      <c r="G5123" s="2"/>
      <c r="H5123" s="2" t="str">
        <f>IFERROR(__xludf.DUMMYFUNCTION("IF(G5123&lt;&gt;"""", GOOGLETRANSLATE(G5123, ""en"", ""te""),"""")"),"")</f>
        <v/>
      </c>
      <c r="I5123" s="3"/>
    </row>
    <row r="5124" customHeight="1" spans="1:9">
      <c r="A5124" s="2"/>
      <c r="B5124" s="2" t="str">
        <f>IFERROR(__xludf.DUMMYFUNCTION("IF(A5124&lt;&gt;"""", GOOGLETRANSLATE(A5124, ""en"", ""te""),"""")"),"")</f>
        <v/>
      </c>
      <c r="C5124" s="2"/>
      <c r="D5124" s="2" t="str">
        <f>IFERROR(__xludf.DUMMYFUNCTION("IF(C5124&lt;&gt;"""", GOOGLETRANSLATE(C5124, ""en"", ""te""),"""")"),"")</f>
        <v/>
      </c>
      <c r="E5124" s="2"/>
      <c r="F5124" s="2" t="str">
        <f>IFERROR(__xludf.DUMMYFUNCTION("IF(E5124&lt;&gt;"""", GOOGLETRANSLATE(E5124, ""en"", ""te""),"""")"),"")</f>
        <v/>
      </c>
      <c r="G5124" s="2"/>
      <c r="H5124" s="2" t="str">
        <f>IFERROR(__xludf.DUMMYFUNCTION("IF(G5124&lt;&gt;"""", GOOGLETRANSLATE(G5124, ""en"", ""te""),"""")"),"")</f>
        <v/>
      </c>
      <c r="I5124" s="3"/>
    </row>
    <row r="5125" customHeight="1" spans="1:9">
      <c r="A5125" s="2"/>
      <c r="B5125" s="2" t="str">
        <f>IFERROR(__xludf.DUMMYFUNCTION("IF(A5125&lt;&gt;"""", GOOGLETRANSLATE(A5125, ""en"", ""te""),"""")"),"")</f>
        <v/>
      </c>
      <c r="C5125" s="2"/>
      <c r="D5125" s="2" t="str">
        <f>IFERROR(__xludf.DUMMYFUNCTION("IF(C5125&lt;&gt;"""", GOOGLETRANSLATE(C5125, ""en"", ""te""),"""")"),"")</f>
        <v/>
      </c>
      <c r="E5125" s="2"/>
      <c r="F5125" s="2" t="str">
        <f>IFERROR(__xludf.DUMMYFUNCTION("IF(E5125&lt;&gt;"""", GOOGLETRANSLATE(E5125, ""en"", ""te""),"""")"),"")</f>
        <v/>
      </c>
      <c r="G5125" s="2"/>
      <c r="H5125" s="2" t="str">
        <f>IFERROR(__xludf.DUMMYFUNCTION("IF(G5125&lt;&gt;"""", GOOGLETRANSLATE(G5125, ""en"", ""te""),"""")"),"")</f>
        <v/>
      </c>
      <c r="I5125" s="3"/>
    </row>
    <row r="5126" customHeight="1" spans="1:9">
      <c r="A5126" s="2"/>
      <c r="B5126" s="2" t="str">
        <f>IFERROR(__xludf.DUMMYFUNCTION("IF(A5126&lt;&gt;"""", GOOGLETRANSLATE(A5126, ""en"", ""te""),"""")"),"")</f>
        <v/>
      </c>
      <c r="C5126" s="2"/>
      <c r="D5126" s="2" t="str">
        <f>IFERROR(__xludf.DUMMYFUNCTION("IF(C5126&lt;&gt;"""", GOOGLETRANSLATE(C5126, ""en"", ""te""),"""")"),"")</f>
        <v/>
      </c>
      <c r="E5126" s="2"/>
      <c r="F5126" s="2" t="str">
        <f>IFERROR(__xludf.DUMMYFUNCTION("IF(E5126&lt;&gt;"""", GOOGLETRANSLATE(E5126, ""en"", ""te""),"""")"),"")</f>
        <v/>
      </c>
      <c r="G5126" s="2"/>
      <c r="H5126" s="2" t="str">
        <f>IFERROR(__xludf.DUMMYFUNCTION("IF(G5126&lt;&gt;"""", GOOGLETRANSLATE(G5126, ""en"", ""te""),"""")"),"")</f>
        <v/>
      </c>
      <c r="I5126" s="3"/>
    </row>
    <row r="5127" customHeight="1" spans="1:9">
      <c r="A5127" s="2"/>
      <c r="B5127" s="2" t="str">
        <f>IFERROR(__xludf.DUMMYFUNCTION("IF(A5127&lt;&gt;"""", GOOGLETRANSLATE(A5127, ""en"", ""te""),"""")"),"")</f>
        <v/>
      </c>
      <c r="C5127" s="2"/>
      <c r="D5127" s="2" t="str">
        <f>IFERROR(__xludf.DUMMYFUNCTION("IF(C5127&lt;&gt;"""", GOOGLETRANSLATE(C5127, ""en"", ""te""),"""")"),"")</f>
        <v/>
      </c>
      <c r="E5127" s="2"/>
      <c r="F5127" s="2" t="str">
        <f>IFERROR(__xludf.DUMMYFUNCTION("IF(E5127&lt;&gt;"""", GOOGLETRANSLATE(E5127, ""en"", ""te""),"""")"),"")</f>
        <v/>
      </c>
      <c r="G5127" s="2"/>
      <c r="H5127" s="2" t="str">
        <f>IFERROR(__xludf.DUMMYFUNCTION("IF(G5127&lt;&gt;"""", GOOGLETRANSLATE(G5127, ""en"", ""te""),"""")"),"")</f>
        <v/>
      </c>
      <c r="I5127" s="3"/>
    </row>
    <row r="5128" customHeight="1" spans="1:9">
      <c r="A5128" s="2"/>
      <c r="B5128" s="2" t="str">
        <f>IFERROR(__xludf.DUMMYFUNCTION("IF(A5128&lt;&gt;"""", GOOGLETRANSLATE(A5128, ""en"", ""te""),"""")"),"")</f>
        <v/>
      </c>
      <c r="C5128" s="2"/>
      <c r="D5128" s="2" t="str">
        <f>IFERROR(__xludf.DUMMYFUNCTION("IF(C5128&lt;&gt;"""", GOOGLETRANSLATE(C5128, ""en"", ""te""),"""")"),"")</f>
        <v/>
      </c>
      <c r="E5128" s="2"/>
      <c r="F5128" s="2" t="str">
        <f>IFERROR(__xludf.DUMMYFUNCTION("IF(E5128&lt;&gt;"""", GOOGLETRANSLATE(E5128, ""en"", ""te""),"""")"),"")</f>
        <v/>
      </c>
      <c r="G5128" s="2"/>
      <c r="H5128" s="2" t="str">
        <f>IFERROR(__xludf.DUMMYFUNCTION("IF(G5128&lt;&gt;"""", GOOGLETRANSLATE(G5128, ""en"", ""te""),"""")"),"")</f>
        <v/>
      </c>
      <c r="I5128" s="3"/>
    </row>
    <row r="5129" customHeight="1" spans="1:9">
      <c r="A5129" s="2"/>
      <c r="B5129" s="2" t="str">
        <f>IFERROR(__xludf.DUMMYFUNCTION("IF(A5129&lt;&gt;"""", GOOGLETRANSLATE(A5129, ""en"", ""te""),"""")"),"")</f>
        <v/>
      </c>
      <c r="C5129" s="2"/>
      <c r="D5129" s="2" t="str">
        <f>IFERROR(__xludf.DUMMYFUNCTION("IF(C5129&lt;&gt;"""", GOOGLETRANSLATE(C5129, ""en"", ""te""),"""")"),"")</f>
        <v/>
      </c>
      <c r="E5129" s="2"/>
      <c r="F5129" s="2" t="str">
        <f>IFERROR(__xludf.DUMMYFUNCTION("IF(E5129&lt;&gt;"""", GOOGLETRANSLATE(E5129, ""en"", ""te""),"""")"),"")</f>
        <v/>
      </c>
      <c r="G5129" s="2"/>
      <c r="H5129" s="2" t="str">
        <f>IFERROR(__xludf.DUMMYFUNCTION("IF(G5129&lt;&gt;"""", GOOGLETRANSLATE(G5129, ""en"", ""te""),"""")"),"")</f>
        <v/>
      </c>
      <c r="I5129" s="3"/>
    </row>
    <row r="5130" customHeight="1" spans="1:9">
      <c r="A5130" s="2"/>
      <c r="B5130" s="2" t="str">
        <f>IFERROR(__xludf.DUMMYFUNCTION("IF(A5130&lt;&gt;"""", GOOGLETRANSLATE(A5130, ""en"", ""te""),"""")"),"")</f>
        <v/>
      </c>
      <c r="C5130" s="2"/>
      <c r="D5130" s="2" t="str">
        <f>IFERROR(__xludf.DUMMYFUNCTION("IF(C5130&lt;&gt;"""", GOOGLETRANSLATE(C5130, ""en"", ""te""),"""")"),"")</f>
        <v/>
      </c>
      <c r="E5130" s="2"/>
      <c r="F5130" s="2" t="str">
        <f>IFERROR(__xludf.DUMMYFUNCTION("IF(E5130&lt;&gt;"""", GOOGLETRANSLATE(E5130, ""en"", ""te""),"""")"),"")</f>
        <v/>
      </c>
      <c r="G5130" s="2"/>
      <c r="H5130" s="2" t="str">
        <f>IFERROR(__xludf.DUMMYFUNCTION("IF(G5130&lt;&gt;"""", GOOGLETRANSLATE(G5130, ""en"", ""te""),"""")"),"")</f>
        <v/>
      </c>
      <c r="I5130" s="3"/>
    </row>
    <row r="5131" customHeight="1" spans="1:9">
      <c r="A5131" s="2"/>
      <c r="B5131" s="2" t="str">
        <f>IFERROR(__xludf.DUMMYFUNCTION("IF(A5131&lt;&gt;"""", GOOGLETRANSLATE(A5131, ""en"", ""te""),"""")"),"")</f>
        <v/>
      </c>
      <c r="C5131" s="2"/>
      <c r="D5131" s="2" t="str">
        <f>IFERROR(__xludf.DUMMYFUNCTION("IF(C5131&lt;&gt;"""", GOOGLETRANSLATE(C5131, ""en"", ""te""),"""")"),"")</f>
        <v/>
      </c>
      <c r="E5131" s="2"/>
      <c r="F5131" s="2" t="str">
        <f>IFERROR(__xludf.DUMMYFUNCTION("IF(E5131&lt;&gt;"""", GOOGLETRANSLATE(E5131, ""en"", ""te""),"""")"),"")</f>
        <v/>
      </c>
      <c r="G5131" s="2"/>
      <c r="H5131" s="2" t="str">
        <f>IFERROR(__xludf.DUMMYFUNCTION("IF(G5131&lt;&gt;"""", GOOGLETRANSLATE(G5131, ""en"", ""te""),"""")"),"")</f>
        <v/>
      </c>
      <c r="I5131" s="3"/>
    </row>
    <row r="5132" customHeight="1" spans="1:9">
      <c r="A5132" s="2"/>
      <c r="B5132" s="2" t="str">
        <f>IFERROR(__xludf.DUMMYFUNCTION("IF(A5132&lt;&gt;"""", GOOGLETRANSLATE(A5132, ""en"", ""te""),"""")"),"")</f>
        <v/>
      </c>
      <c r="C5132" s="2"/>
      <c r="D5132" s="2" t="str">
        <f>IFERROR(__xludf.DUMMYFUNCTION("IF(C5132&lt;&gt;"""", GOOGLETRANSLATE(C5132, ""en"", ""te""),"""")"),"")</f>
        <v/>
      </c>
      <c r="E5132" s="2"/>
      <c r="F5132" s="2" t="str">
        <f>IFERROR(__xludf.DUMMYFUNCTION("IF(E5132&lt;&gt;"""", GOOGLETRANSLATE(E5132, ""en"", ""te""),"""")"),"")</f>
        <v/>
      </c>
      <c r="G5132" s="2"/>
      <c r="H5132" s="2" t="str">
        <f>IFERROR(__xludf.DUMMYFUNCTION("IF(G5132&lt;&gt;"""", GOOGLETRANSLATE(G5132, ""en"", ""te""),"""")"),"")</f>
        <v/>
      </c>
      <c r="I5132" s="3"/>
    </row>
    <row r="5133" customHeight="1" spans="1:9">
      <c r="A5133" s="2"/>
      <c r="B5133" s="2" t="str">
        <f>IFERROR(__xludf.DUMMYFUNCTION("IF(A5133&lt;&gt;"""", GOOGLETRANSLATE(A5133, ""en"", ""te""),"""")"),"")</f>
        <v/>
      </c>
      <c r="C5133" s="2"/>
      <c r="D5133" s="2" t="str">
        <f>IFERROR(__xludf.DUMMYFUNCTION("IF(C5133&lt;&gt;"""", GOOGLETRANSLATE(C5133, ""en"", ""te""),"""")"),"")</f>
        <v/>
      </c>
      <c r="E5133" s="2"/>
      <c r="F5133" s="2" t="str">
        <f>IFERROR(__xludf.DUMMYFUNCTION("IF(E5133&lt;&gt;"""", GOOGLETRANSLATE(E5133, ""en"", ""te""),"""")"),"")</f>
        <v/>
      </c>
      <c r="G5133" s="2"/>
      <c r="H5133" s="2" t="str">
        <f>IFERROR(__xludf.DUMMYFUNCTION("IF(G5133&lt;&gt;"""", GOOGLETRANSLATE(G5133, ""en"", ""te""),"""")"),"")</f>
        <v/>
      </c>
      <c r="I5133" s="3"/>
    </row>
    <row r="5134" customHeight="1" spans="1:9">
      <c r="A5134" s="2"/>
      <c r="B5134" s="2" t="str">
        <f>IFERROR(__xludf.DUMMYFUNCTION("IF(A5134&lt;&gt;"""", GOOGLETRANSLATE(A5134, ""en"", ""te""),"""")"),"")</f>
        <v/>
      </c>
      <c r="C5134" s="2"/>
      <c r="D5134" s="2" t="str">
        <f>IFERROR(__xludf.DUMMYFUNCTION("IF(C5134&lt;&gt;"""", GOOGLETRANSLATE(C5134, ""en"", ""te""),"""")"),"")</f>
        <v/>
      </c>
      <c r="E5134" s="2"/>
      <c r="F5134" s="2" t="str">
        <f>IFERROR(__xludf.DUMMYFUNCTION("IF(E5134&lt;&gt;"""", GOOGLETRANSLATE(E5134, ""en"", ""te""),"""")"),"")</f>
        <v/>
      </c>
      <c r="G5134" s="2"/>
      <c r="H5134" s="2" t="str">
        <f>IFERROR(__xludf.DUMMYFUNCTION("IF(G5134&lt;&gt;"""", GOOGLETRANSLATE(G5134, ""en"", ""te""),"""")"),"")</f>
        <v/>
      </c>
      <c r="I5134" s="3"/>
    </row>
    <row r="5135" customHeight="1" spans="1:9">
      <c r="A5135" s="2"/>
      <c r="B5135" s="2" t="str">
        <f>IFERROR(__xludf.DUMMYFUNCTION("IF(A5135&lt;&gt;"""", GOOGLETRANSLATE(A5135, ""en"", ""te""),"""")"),"")</f>
        <v/>
      </c>
      <c r="C5135" s="2"/>
      <c r="D5135" s="2" t="str">
        <f>IFERROR(__xludf.DUMMYFUNCTION("IF(C5135&lt;&gt;"""", GOOGLETRANSLATE(C5135, ""en"", ""te""),"""")"),"")</f>
        <v/>
      </c>
      <c r="E5135" s="2"/>
      <c r="F5135" s="2" t="str">
        <f>IFERROR(__xludf.DUMMYFUNCTION("IF(E5135&lt;&gt;"""", GOOGLETRANSLATE(E5135, ""en"", ""te""),"""")"),"")</f>
        <v/>
      </c>
      <c r="G5135" s="2"/>
      <c r="H5135" s="2" t="str">
        <f>IFERROR(__xludf.DUMMYFUNCTION("IF(G5135&lt;&gt;"""", GOOGLETRANSLATE(G5135, ""en"", ""te""),"""")"),"")</f>
        <v/>
      </c>
      <c r="I5135" s="3"/>
    </row>
    <row r="5136" customHeight="1" spans="1:9">
      <c r="A5136" s="2"/>
      <c r="B5136" s="2" t="str">
        <f>IFERROR(__xludf.DUMMYFUNCTION("IF(A5136&lt;&gt;"""", GOOGLETRANSLATE(A5136, ""en"", ""te""),"""")"),"")</f>
        <v/>
      </c>
      <c r="C5136" s="2"/>
      <c r="D5136" s="2" t="str">
        <f>IFERROR(__xludf.DUMMYFUNCTION("IF(C5136&lt;&gt;"""", GOOGLETRANSLATE(C5136, ""en"", ""te""),"""")"),"")</f>
        <v/>
      </c>
      <c r="E5136" s="2"/>
      <c r="F5136" s="2" t="str">
        <f>IFERROR(__xludf.DUMMYFUNCTION("IF(E5136&lt;&gt;"""", GOOGLETRANSLATE(E5136, ""en"", ""te""),"""")"),"")</f>
        <v/>
      </c>
      <c r="G5136" s="2"/>
      <c r="H5136" s="2" t="str">
        <f>IFERROR(__xludf.DUMMYFUNCTION("IF(G5136&lt;&gt;"""", GOOGLETRANSLATE(G5136, ""en"", ""te""),"""")"),"")</f>
        <v/>
      </c>
      <c r="I5136" s="3"/>
    </row>
    <row r="5137" customHeight="1" spans="1:9">
      <c r="A5137" s="2"/>
      <c r="B5137" s="2" t="str">
        <f>IFERROR(__xludf.DUMMYFUNCTION("IF(A5137&lt;&gt;"""", GOOGLETRANSLATE(A5137, ""en"", ""te""),"""")"),"")</f>
        <v/>
      </c>
      <c r="C5137" s="2"/>
      <c r="D5137" s="2" t="str">
        <f>IFERROR(__xludf.DUMMYFUNCTION("IF(C5137&lt;&gt;"""", GOOGLETRANSLATE(C5137, ""en"", ""te""),"""")"),"")</f>
        <v/>
      </c>
      <c r="E5137" s="2" t="s">
        <v>3465</v>
      </c>
      <c r="F5137" s="2" t="str">
        <f>IFERROR(__xludf.DUMMYFUNCTION("IF(E5137&lt;&gt;"""", GOOGLETRANSLATE(E5137, ""en"", ""te""),"""")"),"[ '16 వ షార్టేస్ట్ క్రీడాకారులు నివసించారు (38y 51d)']")</f>
        <v>[ '16 వ షార్టేస్ట్ క్రీడాకారులు నివసించారు (38y 51d)']</v>
      </c>
      <c r="G5137" s="2"/>
      <c r="H5137" s="2" t="str">
        <f>IFERROR(__xludf.DUMMYFUNCTION("IF(G5137&lt;&gt;"""", GOOGLETRANSLATE(G5137, ""en"", ""te""),"""")"),"")</f>
        <v/>
      </c>
      <c r="I5137" s="3"/>
    </row>
    <row r="5138" customHeight="1" spans="1:9">
      <c r="A5138" s="2"/>
      <c r="B5138" s="2" t="str">
        <f>IFERROR(__xludf.DUMMYFUNCTION("IF(A5138&lt;&gt;"""", GOOGLETRANSLATE(A5138, ""en"", ""te""),"""")"),"")</f>
        <v/>
      </c>
      <c r="C5138" s="2"/>
      <c r="D5138" s="2" t="str">
        <f>IFERROR(__xludf.DUMMYFUNCTION("IF(C5138&lt;&gt;"""", GOOGLETRANSLATE(C5138, ""en"", ""te""),"""")"),"")</f>
        <v/>
      </c>
      <c r="E5138" s="2"/>
      <c r="F5138" s="2" t="str">
        <f>IFERROR(__xludf.DUMMYFUNCTION("IF(E5138&lt;&gt;"""", GOOGLETRANSLATE(E5138, ""en"", ""te""),"""")"),"")</f>
        <v/>
      </c>
      <c r="G5138" s="2"/>
      <c r="H5138" s="2" t="str">
        <f>IFERROR(__xludf.DUMMYFUNCTION("IF(G5138&lt;&gt;"""", GOOGLETRANSLATE(G5138, ""en"", ""te""),"""")"),"")</f>
        <v/>
      </c>
      <c r="I5138" s="3"/>
    </row>
    <row r="5139" customHeight="1" spans="1:9">
      <c r="A5139" s="2"/>
      <c r="B5139" s="2" t="str">
        <f>IFERROR(__xludf.DUMMYFUNCTION("IF(A5139&lt;&gt;"""", GOOGLETRANSLATE(A5139, ""en"", ""te""),"""")"),"")</f>
        <v/>
      </c>
      <c r="C5139" s="2"/>
      <c r="D5139" s="2" t="str">
        <f>IFERROR(__xludf.DUMMYFUNCTION("IF(C5139&lt;&gt;"""", GOOGLETRANSLATE(C5139, ""en"", ""te""),"""")"),"")</f>
        <v/>
      </c>
      <c r="E5139" s="2"/>
      <c r="F5139" s="2" t="str">
        <f>IFERROR(__xludf.DUMMYFUNCTION("IF(E5139&lt;&gt;"""", GOOGLETRANSLATE(E5139, ""en"", ""te""),"""")"),"")</f>
        <v/>
      </c>
      <c r="G5139" s="2"/>
      <c r="H5139" s="2" t="str">
        <f>IFERROR(__xludf.DUMMYFUNCTION("IF(G5139&lt;&gt;"""", GOOGLETRANSLATE(G5139, ""en"", ""te""),"""")"),"")</f>
        <v/>
      </c>
      <c r="I5139" s="3"/>
    </row>
    <row r="5140" customHeight="1" spans="1:9">
      <c r="A5140" s="2"/>
      <c r="B5140" s="2" t="str">
        <f>IFERROR(__xludf.DUMMYFUNCTION("IF(A5140&lt;&gt;"""", GOOGLETRANSLATE(A5140, ""en"", ""te""),"""")"),"")</f>
        <v/>
      </c>
      <c r="C5140" s="2"/>
      <c r="D5140" s="2" t="str">
        <f>IFERROR(__xludf.DUMMYFUNCTION("IF(C5140&lt;&gt;"""", GOOGLETRANSLATE(C5140, ""en"", ""te""),"""")"),"")</f>
        <v/>
      </c>
      <c r="E5140" s="2"/>
      <c r="F5140" s="2" t="str">
        <f>IFERROR(__xludf.DUMMYFUNCTION("IF(E5140&lt;&gt;"""", GOOGLETRANSLATE(E5140, ""en"", ""te""),"""")"),"")</f>
        <v/>
      </c>
      <c r="G5140" s="2"/>
      <c r="H5140" s="2" t="str">
        <f>IFERROR(__xludf.DUMMYFUNCTION("IF(G5140&lt;&gt;"""", GOOGLETRANSLATE(G5140, ""en"", ""te""),"""")"),"")</f>
        <v/>
      </c>
      <c r="I5140" s="3"/>
    </row>
    <row r="5141" customHeight="1" spans="1:9">
      <c r="A5141" s="2"/>
      <c r="B5141" s="2" t="str">
        <f>IFERROR(__xludf.DUMMYFUNCTION("IF(A5141&lt;&gt;"""", GOOGLETRANSLATE(A5141, ""en"", ""te""),"""")"),"")</f>
        <v/>
      </c>
      <c r="C5141" s="2"/>
      <c r="D5141" s="2" t="str">
        <f>IFERROR(__xludf.DUMMYFUNCTION("IF(C5141&lt;&gt;"""", GOOGLETRANSLATE(C5141, ""en"", ""te""),"""")"),"")</f>
        <v/>
      </c>
      <c r="E5141" s="2"/>
      <c r="F5141" s="2" t="str">
        <f>IFERROR(__xludf.DUMMYFUNCTION("IF(E5141&lt;&gt;"""", GOOGLETRANSLATE(E5141, ""en"", ""te""),"""")"),"")</f>
        <v/>
      </c>
      <c r="G5141" s="2"/>
      <c r="H5141" s="2" t="str">
        <f>IFERROR(__xludf.DUMMYFUNCTION("IF(G5141&lt;&gt;"""", GOOGLETRANSLATE(G5141, ""en"", ""te""),"""")"),"")</f>
        <v/>
      </c>
      <c r="I5141" s="3"/>
    </row>
    <row r="5142" customHeight="1" spans="1:9">
      <c r="A5142" s="2"/>
      <c r="B5142" s="2" t="str">
        <f>IFERROR(__xludf.DUMMYFUNCTION("IF(A5142&lt;&gt;"""", GOOGLETRANSLATE(A5142, ""en"", ""te""),"""")"),"")</f>
        <v/>
      </c>
      <c r="C5142" s="2"/>
      <c r="D5142" s="2" t="str">
        <f>IFERROR(__xludf.DUMMYFUNCTION("IF(C5142&lt;&gt;"""", GOOGLETRANSLATE(C5142, ""en"", ""te""),"""")"),"")</f>
        <v/>
      </c>
      <c r="E5142" s="2"/>
      <c r="F5142" s="2" t="str">
        <f>IFERROR(__xludf.DUMMYFUNCTION("IF(E5142&lt;&gt;"""", GOOGLETRANSLATE(E5142, ""en"", ""te""),"""")"),"")</f>
        <v/>
      </c>
      <c r="G5142" s="2"/>
      <c r="H5142" s="2" t="str">
        <f>IFERROR(__xludf.DUMMYFUNCTION("IF(G5142&lt;&gt;"""", GOOGLETRANSLATE(G5142, ""en"", ""te""),"""")"),"")</f>
        <v/>
      </c>
      <c r="I5142" s="3"/>
    </row>
    <row r="5143" customHeight="1" spans="1:9">
      <c r="A5143" s="2"/>
      <c r="B5143" s="2" t="str">
        <f>IFERROR(__xludf.DUMMYFUNCTION("IF(A5143&lt;&gt;"""", GOOGLETRANSLATE(A5143, ""en"", ""te""),"""")"),"")</f>
        <v/>
      </c>
      <c r="C5143" s="2"/>
      <c r="D5143" s="2" t="str">
        <f>IFERROR(__xludf.DUMMYFUNCTION("IF(C5143&lt;&gt;"""", GOOGLETRANSLATE(C5143, ""en"", ""te""),"""")"),"")</f>
        <v/>
      </c>
      <c r="E5143" s="2"/>
      <c r="F5143" s="2" t="str">
        <f>IFERROR(__xludf.DUMMYFUNCTION("IF(E5143&lt;&gt;"""", GOOGLETRANSLATE(E5143, ""en"", ""te""),"""")"),"")</f>
        <v/>
      </c>
      <c r="G5143" s="2"/>
      <c r="H5143" s="2" t="str">
        <f>IFERROR(__xludf.DUMMYFUNCTION("IF(G5143&lt;&gt;"""", GOOGLETRANSLATE(G5143, ""en"", ""te""),"""")"),"")</f>
        <v/>
      </c>
      <c r="I5143" s="3"/>
    </row>
    <row r="5144" customHeight="1" spans="1:9">
      <c r="A5144" s="2"/>
      <c r="B5144" s="2" t="str">
        <f>IFERROR(__xludf.DUMMYFUNCTION("IF(A5144&lt;&gt;"""", GOOGLETRANSLATE(A5144, ""en"", ""te""),"""")"),"")</f>
        <v/>
      </c>
      <c r="C5144" s="2"/>
      <c r="D5144" s="2" t="str">
        <f>IFERROR(__xludf.DUMMYFUNCTION("IF(C5144&lt;&gt;"""", GOOGLETRANSLATE(C5144, ""en"", ""te""),"""")"),"")</f>
        <v/>
      </c>
      <c r="E5144" s="2"/>
      <c r="F5144" s="2" t="str">
        <f>IFERROR(__xludf.DUMMYFUNCTION("IF(E5144&lt;&gt;"""", GOOGLETRANSLATE(E5144, ""en"", ""te""),"""")"),"")</f>
        <v/>
      </c>
      <c r="G5144" s="2"/>
      <c r="H5144" s="2" t="str">
        <f>IFERROR(__xludf.DUMMYFUNCTION("IF(G5144&lt;&gt;"""", GOOGLETRANSLATE(G5144, ""en"", ""te""),"""")"),"")</f>
        <v/>
      </c>
      <c r="I5144" s="3"/>
    </row>
    <row r="5145" customHeight="1" spans="1:9">
      <c r="A5145" s="2"/>
      <c r="B5145" s="2" t="str">
        <f>IFERROR(__xludf.DUMMYFUNCTION("IF(A5145&lt;&gt;"""", GOOGLETRANSLATE(A5145, ""en"", ""te""),"""")"),"")</f>
        <v/>
      </c>
      <c r="C5145" s="2"/>
      <c r="D5145" s="2" t="str">
        <f>IFERROR(__xludf.DUMMYFUNCTION("IF(C5145&lt;&gt;"""", GOOGLETRANSLATE(C5145, ""en"", ""te""),"""")"),"")</f>
        <v/>
      </c>
      <c r="E5145" s="2"/>
      <c r="F5145" s="2" t="str">
        <f>IFERROR(__xludf.DUMMYFUNCTION("IF(E5145&lt;&gt;"""", GOOGLETRANSLATE(E5145, ""en"", ""te""),"""")"),"")</f>
        <v/>
      </c>
      <c r="G5145" s="2"/>
      <c r="H5145" s="2" t="str">
        <f>IFERROR(__xludf.DUMMYFUNCTION("IF(G5145&lt;&gt;"""", GOOGLETRANSLATE(G5145, ""en"", ""te""),"""")"),"")</f>
        <v/>
      </c>
      <c r="I5145" s="3"/>
    </row>
    <row r="5146" customHeight="1" spans="1:9">
      <c r="A5146" s="2"/>
      <c r="B5146" s="2" t="str">
        <f>IFERROR(__xludf.DUMMYFUNCTION("IF(A5146&lt;&gt;"""", GOOGLETRANSLATE(A5146, ""en"", ""te""),"""")"),"")</f>
        <v/>
      </c>
      <c r="C5146" s="2"/>
      <c r="D5146" s="2" t="str">
        <f>IFERROR(__xludf.DUMMYFUNCTION("IF(C5146&lt;&gt;"""", GOOGLETRANSLATE(C5146, ""en"", ""te""),"""")"),"")</f>
        <v/>
      </c>
      <c r="E5146" s="2"/>
      <c r="F5146" s="2" t="str">
        <f>IFERROR(__xludf.DUMMYFUNCTION("IF(E5146&lt;&gt;"""", GOOGLETRANSLATE(E5146, ""en"", ""te""),"""")"),"")</f>
        <v/>
      </c>
      <c r="G5146" s="2"/>
      <c r="H5146" s="2" t="str">
        <f>IFERROR(__xludf.DUMMYFUNCTION("IF(G5146&lt;&gt;"""", GOOGLETRANSLATE(G5146, ""en"", ""te""),"""")"),"")</f>
        <v/>
      </c>
      <c r="I5146" s="3"/>
    </row>
    <row r="5147" customHeight="1" spans="1:9">
      <c r="A5147" s="2"/>
      <c r="B5147" s="2" t="str">
        <f>IFERROR(__xludf.DUMMYFUNCTION("IF(A5147&lt;&gt;"""", GOOGLETRANSLATE(A5147, ""en"", ""te""),"""")"),"")</f>
        <v/>
      </c>
      <c r="C5147" s="2"/>
      <c r="D5147" s="2" t="str">
        <f>IFERROR(__xludf.DUMMYFUNCTION("IF(C5147&lt;&gt;"""", GOOGLETRANSLATE(C5147, ""en"", ""te""),"""")"),"")</f>
        <v/>
      </c>
      <c r="E5147" s="2"/>
      <c r="F5147" s="2" t="str">
        <f>IFERROR(__xludf.DUMMYFUNCTION("IF(E5147&lt;&gt;"""", GOOGLETRANSLATE(E5147, ""en"", ""te""),"""")"),"")</f>
        <v/>
      </c>
      <c r="G5147" s="2"/>
      <c r="H5147" s="2" t="str">
        <f>IFERROR(__xludf.DUMMYFUNCTION("IF(G5147&lt;&gt;"""", GOOGLETRANSLATE(G5147, ""en"", ""te""),"""")"),"")</f>
        <v/>
      </c>
      <c r="I5147" s="3"/>
    </row>
    <row r="5148" customHeight="1" spans="1:9">
      <c r="A5148" s="2"/>
      <c r="B5148" s="2" t="str">
        <f>IFERROR(__xludf.DUMMYFUNCTION("IF(A5148&lt;&gt;"""", GOOGLETRANSLATE(A5148, ""en"", ""te""),"""")"),"")</f>
        <v/>
      </c>
      <c r="C5148" s="2"/>
      <c r="D5148" s="2" t="str">
        <f>IFERROR(__xludf.DUMMYFUNCTION("IF(C5148&lt;&gt;"""", GOOGLETRANSLATE(C5148, ""en"", ""te""),"""")"),"")</f>
        <v/>
      </c>
      <c r="E5148" s="2"/>
      <c r="F5148" s="2" t="str">
        <f>IFERROR(__xludf.DUMMYFUNCTION("IF(E5148&lt;&gt;"""", GOOGLETRANSLATE(E5148, ""en"", ""te""),"""")"),"")</f>
        <v/>
      </c>
      <c r="G5148" s="2"/>
      <c r="H5148" s="2" t="str">
        <f>IFERROR(__xludf.DUMMYFUNCTION("IF(G5148&lt;&gt;"""", GOOGLETRANSLATE(G5148, ""en"", ""te""),"""")"),"")</f>
        <v/>
      </c>
      <c r="I5148" s="3"/>
    </row>
    <row r="5149" customHeight="1" spans="1:9">
      <c r="A5149" s="2" t="s">
        <v>3466</v>
      </c>
      <c r="B5149" s="2" t="str">
        <f>IFERROR(__xludf.DUMMYFUNCTION("IF(A5149&lt;&gt;"""", GOOGLETRANSLATE(A5149, ""en"", ""te""),"""")"),"[ 'కెప్టెన్ (6) ఒక ఇన్నింగ్స్ లో 1 వ బెస్ట్ ఫిగర్స్', 'ప్రదర్శనలు (8y 161d) మధ్య 7 వ లాంగెస్ట్ వ్యవధిలో' '1 వ అత్యంత వృద్ధ ఆటగాడు తొలి తీసుకుని ఐదు-వికెట్ల లో-ఒక-ఇన్నింగ్స్ (33y 162d)' ]")</f>
        <v>[ 'కెప్టెన్ (6) ఒక ఇన్నింగ్స్ లో 1 వ బెస్ట్ ఫిగర్స్', 'ప్రదర్శనలు (8y 161d) మధ్య 7 వ లాంగెస్ట్ వ్యవధిలో' '1 వ అత్యంత వృద్ధ ఆటగాడు తొలి తీసుకుని ఐదు-వికెట్ల లో-ఒక-ఇన్నింగ్స్ (33y 162d)' ]</v>
      </c>
      <c r="C5149" s="2" t="s">
        <v>3467</v>
      </c>
      <c r="D5149" s="2" t="str">
        <f>IFERROR(__xludf.DUMMYFUNCTION("IF(C5149&lt;&gt;"""", GOOGLETRANSLATE(C5149, ""en"", ""te""),"""")"),"[ 'కెప్టెన్సీ తొలి 15 నాడు ఓల్డెస్ట్ కాప్టెన్ (33y 12D)']")</f>
        <v>[ 'కెప్టెన్సీ తొలి 15 నాడు ఓల్డెస్ట్ కాప్టెన్ (33y 12D)']</v>
      </c>
      <c r="E5149" s="2" t="s">
        <v>3468</v>
      </c>
      <c r="F5149" s="2" t="str">
        <f>IFERROR(__xludf.DUMMYFUNCTION("IF(E5149&lt;&gt;"""", GOOGLETRANSLATE(E5149, ""en"", ""te""),"""")"),"[ 'ఇన్నింగ్స్ లో 6 వ ఉత్తమ బొమ్మలు (6/10)', '1 వ అత్యుత్తమ ఇన్నింగ్స్ లో బౌలింగ్ విశ్లేషణలు (6/10)', 'ఒక కెప్టెన్తో ఒక ఇన్నింగ్స్ లో 1 వ బెస్ట్ ఫిగర్స్ (6)', '11 వ ఉత్తమ సమ్మె రేటు ఒక ఇన్నింగ్స్ లో (6.3) ',' ఐదు వికెట్ల లో-ఒక-ఇన్నింగ్స్ (33y 162d) ',' 1 వ"&amp;" ఓల్డెస్ట్ క్రీడాకారుడు ఐదు-వికెట్ల లో-ఒక-ఇన్నింగ్స్ (33y 162d) కన్య తీసుకోవాలని తీసుకోవాలని 3 వ అత్యంత వృద్ధ ఆటగాడు ',' ప్రదర్శనల మధ్య 7 వ లాంగెస్ట్ వ్యవధిలో (8y 161d) ',' 38 వ అత్యధిక మ్యాచ్లు కెప్టెన్గా (19) ',' కెప్టెన్సీ ప్రవేశం (33y 19d) 20 వ ఓల్డెస"&amp;"్ట్ కెప్టెన్లు ']")</f>
        <v>[ 'ఇన్నింగ్స్ లో 6 వ ఉత్తమ బొమ్మలు (6/10)', '1 వ అత్యుత్తమ ఇన్నింగ్స్ లో బౌలింగ్ విశ్లేషణలు (6/10)', 'ఒక కెప్టెన్తో ఒక ఇన్నింగ్స్ లో 1 వ బెస్ట్ ఫిగర్స్ (6)', '11 వ ఉత్తమ సమ్మె రేటు ఒక ఇన్నింగ్స్ లో (6.3) ',' ఐదు వికెట్ల లో-ఒక-ఇన్నింగ్స్ (33y 162d) ',' 1 వ ఓల్డెస్ట్ క్రీడాకారుడు ఐదు-వికెట్ల లో-ఒక-ఇన్నింగ్స్ (33y 162d) కన్య తీసుకోవాలని తీసుకోవాలని 3 వ అత్యంత వృద్ధ ఆటగాడు ',' ప్రదర్శనల మధ్య 7 వ లాంగెస్ట్ వ్యవధిలో (8y 161d) ',' 38 వ అత్యధిక మ్యాచ్లు కెప్టెన్గా (19) ',' కెప్టెన్సీ ప్రవేశం (33y 19d) 20 వ ఓల్డెస్ట్ కెప్టెన్లు ']</v>
      </c>
      <c r="G5149" s="2"/>
      <c r="H5149" s="2" t="str">
        <f>IFERROR(__xludf.DUMMYFUNCTION("IF(G5149&lt;&gt;"""", GOOGLETRANSLATE(G5149, ""en"", ""te""),"""")"),"")</f>
        <v/>
      </c>
      <c r="I5149" s="3"/>
    </row>
    <row r="5150" customHeight="1" spans="1:9">
      <c r="A5150" s="2"/>
      <c r="B5150" s="2" t="str">
        <f>IFERROR(__xludf.DUMMYFUNCTION("IF(A5150&lt;&gt;"""", GOOGLETRANSLATE(A5150, ""en"", ""te""),"""")"),"")</f>
        <v/>
      </c>
      <c r="C5150" s="2"/>
      <c r="D5150" s="2" t="str">
        <f>IFERROR(__xludf.DUMMYFUNCTION("IF(C5150&lt;&gt;"""", GOOGLETRANSLATE(C5150, ""en"", ""te""),"""")"),"")</f>
        <v/>
      </c>
      <c r="E5150" s="2"/>
      <c r="F5150" s="2" t="str">
        <f>IFERROR(__xludf.DUMMYFUNCTION("IF(E5150&lt;&gt;"""", GOOGLETRANSLATE(E5150, ""en"", ""te""),"""")"),"")</f>
        <v/>
      </c>
      <c r="G5150" s="2"/>
      <c r="H5150" s="2" t="str">
        <f>IFERROR(__xludf.DUMMYFUNCTION("IF(G5150&lt;&gt;"""", GOOGLETRANSLATE(G5150, ""en"", ""te""),"""")"),"")</f>
        <v/>
      </c>
      <c r="I5150" s="3"/>
    </row>
    <row r="5151" customHeight="1" spans="1:9">
      <c r="A5151" s="2"/>
      <c r="B5151" s="2" t="str">
        <f>IFERROR(__xludf.DUMMYFUNCTION("IF(A5151&lt;&gt;"""", GOOGLETRANSLATE(A5151, ""en"", ""te""),"""")"),"")</f>
        <v/>
      </c>
      <c r="C5151" s="2"/>
      <c r="D5151" s="2" t="str">
        <f>IFERROR(__xludf.DUMMYFUNCTION("IF(C5151&lt;&gt;"""", GOOGLETRANSLATE(C5151, ""en"", ""te""),"""")"),"")</f>
        <v/>
      </c>
      <c r="E5151" s="2"/>
      <c r="F5151" s="2" t="str">
        <f>IFERROR(__xludf.DUMMYFUNCTION("IF(E5151&lt;&gt;"""", GOOGLETRANSLATE(E5151, ""en"", ""te""),"""")"),"")</f>
        <v/>
      </c>
      <c r="G5151" s="2"/>
      <c r="H5151" s="2" t="str">
        <f>IFERROR(__xludf.DUMMYFUNCTION("IF(G5151&lt;&gt;"""", GOOGLETRANSLATE(G5151, ""en"", ""te""),"""")"),"")</f>
        <v/>
      </c>
      <c r="I5151" s="3"/>
    </row>
    <row r="5152" customHeight="1" spans="1:9">
      <c r="A5152" s="2" t="s">
        <v>694</v>
      </c>
      <c r="B5152" s="2" t="str">
        <f>IFERROR(__xludf.DUMMYFUNCTION("IF(A5152&lt;&gt;"""", GOOGLETRANSLATE(A5152, ""en"", ""te""),"""")"),"[ '1st అత్యుత్తమ ఇన్నింగ్స్ (1/0) విశ్లేషణలలో బౌలింగ్']")</f>
        <v>[ '1st అత్యుత్తమ ఇన్నింగ్స్ (1/0) విశ్లేషణలలో బౌలింగ్']</v>
      </c>
      <c r="C5152" s="2"/>
      <c r="D5152" s="2" t="str">
        <f>IFERROR(__xludf.DUMMYFUNCTION("IF(C5152&lt;&gt;"""", GOOGLETRANSLATE(C5152, ""en"", ""te""),"""")"),"")</f>
        <v/>
      </c>
      <c r="E5152" s="2" t="s">
        <v>3469</v>
      </c>
      <c r="F5152" s="2" t="str">
        <f>IFERROR(__xludf.DUMMYFUNCTION("IF(E5152&lt;&gt;"""", GOOGLETRANSLATE(E5152, ""en"", ""te""),"""")"),"[ '13 వ అత్యధిక తొలి వంద (159 *)', '1 వ అత్యుత్తమ బౌలింగ్ ఇన్నింగ్స్ (1/0) విశ్లేషణలలో' '24 వ అత్యధిక క్యాచ్లు వరుస (8)', ఐదవ వికెట్కు '27 అత్యధిక భాగస్వామ్యం (158) ']")</f>
        <v>[ '13 వ అత్యధిక తొలి వంద (159 *)', '1 వ అత్యుత్తమ బౌలింగ్ ఇన్నింగ్స్ (1/0) విశ్లేషణలలో' '24 వ అత్యధిక క్యాచ్లు వరుస (8)', ఐదవ వికెట్కు '27 అత్యధిక భాగస్వామ్యం (158) ']</v>
      </c>
      <c r="G5152" s="2"/>
      <c r="H5152" s="2" t="str">
        <f>IFERROR(__xludf.DUMMYFUNCTION("IF(G5152&lt;&gt;"""", GOOGLETRANSLATE(G5152, ""en"", ""te""),"""")"),"")</f>
        <v/>
      </c>
      <c r="I5152" s="3"/>
    </row>
    <row r="5153" customHeight="1" spans="1:9">
      <c r="A5153" s="2"/>
      <c r="B5153" s="2" t="str">
        <f>IFERROR(__xludf.DUMMYFUNCTION("IF(A5153&lt;&gt;"""", GOOGLETRANSLATE(A5153, ""en"", ""te""),"""")"),"")</f>
        <v/>
      </c>
      <c r="C5153" s="2"/>
      <c r="D5153" s="2" t="str">
        <f>IFERROR(__xludf.DUMMYFUNCTION("IF(C5153&lt;&gt;"""", GOOGLETRANSLATE(C5153, ""en"", ""te""),"""")"),"")</f>
        <v/>
      </c>
      <c r="E5153" s="2"/>
      <c r="F5153" s="2" t="str">
        <f>IFERROR(__xludf.DUMMYFUNCTION("IF(E5153&lt;&gt;"""", GOOGLETRANSLATE(E5153, ""en"", ""te""),"""")"),"")</f>
        <v/>
      </c>
      <c r="G5153" s="2"/>
      <c r="H5153" s="2" t="str">
        <f>IFERROR(__xludf.DUMMYFUNCTION("IF(G5153&lt;&gt;"""", GOOGLETRANSLATE(G5153, ""en"", ""te""),"""")"),"")</f>
        <v/>
      </c>
      <c r="I5153" s="3"/>
    </row>
    <row r="5154" customHeight="1" spans="1:9">
      <c r="A5154" s="2"/>
      <c r="B5154" s="2" t="str">
        <f>IFERROR(__xludf.DUMMYFUNCTION("IF(A5154&lt;&gt;"""", GOOGLETRANSLATE(A5154, ""en"", ""te""),"""")"),"")</f>
        <v/>
      </c>
      <c r="C5154" s="2"/>
      <c r="D5154" s="2" t="str">
        <f>IFERROR(__xludf.DUMMYFUNCTION("IF(C5154&lt;&gt;"""", GOOGLETRANSLATE(C5154, ""en"", ""te""),"""")"),"")</f>
        <v/>
      </c>
      <c r="E5154" s="2"/>
      <c r="F5154" s="2" t="str">
        <f>IFERROR(__xludf.DUMMYFUNCTION("IF(E5154&lt;&gt;"""", GOOGLETRANSLATE(E5154, ""en"", ""te""),"""")"),"")</f>
        <v/>
      </c>
      <c r="G5154" s="2"/>
      <c r="H5154" s="2" t="str">
        <f>IFERROR(__xludf.DUMMYFUNCTION("IF(G5154&lt;&gt;"""", GOOGLETRANSLATE(G5154, ""en"", ""te""),"""")"),"")</f>
        <v/>
      </c>
      <c r="I5154" s="3"/>
    </row>
    <row r="5155" customHeight="1" spans="1:9">
      <c r="A5155" s="2"/>
      <c r="B5155" s="2" t="str">
        <f>IFERROR(__xludf.DUMMYFUNCTION("IF(A5155&lt;&gt;"""", GOOGLETRANSLATE(A5155, ""en"", ""te""),"""")"),"")</f>
        <v/>
      </c>
      <c r="C5155" s="2"/>
      <c r="D5155" s="2" t="str">
        <f>IFERROR(__xludf.DUMMYFUNCTION("IF(C5155&lt;&gt;"""", GOOGLETRANSLATE(C5155, ""en"", ""te""),"""")"),"")</f>
        <v/>
      </c>
      <c r="E5155" s="2"/>
      <c r="F5155" s="2" t="str">
        <f>IFERROR(__xludf.DUMMYFUNCTION("IF(E5155&lt;&gt;"""", GOOGLETRANSLATE(E5155, ""en"", ""te""),"""")"),"")</f>
        <v/>
      </c>
      <c r="G5155" s="2"/>
      <c r="H5155" s="2" t="str">
        <f>IFERROR(__xludf.DUMMYFUNCTION("IF(G5155&lt;&gt;"""", GOOGLETRANSLATE(G5155, ""en"", ""te""),"""")"),"")</f>
        <v/>
      </c>
      <c r="I5155" s="3"/>
    </row>
    <row r="5156" customHeight="1" spans="1:9">
      <c r="A5156" s="2"/>
      <c r="B5156" s="2" t="str">
        <f>IFERROR(__xludf.DUMMYFUNCTION("IF(A5156&lt;&gt;"""", GOOGLETRANSLATE(A5156, ""en"", ""te""),"""")"),"")</f>
        <v/>
      </c>
      <c r="C5156" s="2"/>
      <c r="D5156" s="2" t="str">
        <f>IFERROR(__xludf.DUMMYFUNCTION("IF(C5156&lt;&gt;"""", GOOGLETRANSLATE(C5156, ""en"", ""te""),"""")"),"")</f>
        <v/>
      </c>
      <c r="E5156" s="2"/>
      <c r="F5156" s="2" t="str">
        <f>IFERROR(__xludf.DUMMYFUNCTION("IF(E5156&lt;&gt;"""", GOOGLETRANSLATE(E5156, ""en"", ""te""),"""")"),"")</f>
        <v/>
      </c>
      <c r="G5156" s="2"/>
      <c r="H5156" s="2" t="str">
        <f>IFERROR(__xludf.DUMMYFUNCTION("IF(G5156&lt;&gt;"""", GOOGLETRANSLATE(G5156, ""en"", ""te""),"""")"),"")</f>
        <v/>
      </c>
      <c r="I5156" s="3"/>
    </row>
    <row r="5157" customHeight="1" spans="1:9">
      <c r="A5157" s="2"/>
      <c r="B5157" s="2" t="str">
        <f>IFERROR(__xludf.DUMMYFUNCTION("IF(A5157&lt;&gt;"""", GOOGLETRANSLATE(A5157, ""en"", ""te""),"""")"),"")</f>
        <v/>
      </c>
      <c r="C5157" s="2" t="s">
        <v>3470</v>
      </c>
      <c r="D5157" s="2" t="str">
        <f>IFERROR(__xludf.DUMMYFUNCTION("IF(C5157&lt;&gt;"""", GOOGLETRANSLATE(C5157, ""en"", ""te""),"""")"),"[ 'వరుస ఇన్నింగ్స్లో 32 వ యాభైల్లో (5)']")</f>
        <v>[ 'వరుస ఇన్నింగ్స్లో 32 వ యాభైల్లో (5)']</v>
      </c>
      <c r="E5157" s="2" t="s">
        <v>3471</v>
      </c>
      <c r="F5157" s="2" t="str">
        <f>IFERROR(__xludf.DUMMYFUNCTION("IF(E5157&lt;&gt;"""", GOOGLETRANSLATE(E5157, ""en"", ""te""),"""")"),"[ '20 వ ఉత్తమ కెరీర్ బౌలింగ్ సరాసరి (అర్హత లేకుండా) (10.00)']")</f>
        <v>[ '20 వ ఉత్తమ కెరీర్ బౌలింగ్ సరాసరి (అర్హత లేకుండా) (10.00)']</v>
      </c>
      <c r="G5157" s="2"/>
      <c r="H5157" s="2" t="str">
        <f>IFERROR(__xludf.DUMMYFUNCTION("IF(G5157&lt;&gt;"""", GOOGLETRANSLATE(G5157, ""en"", ""te""),"""")"),"")</f>
        <v/>
      </c>
      <c r="I5157" s="3"/>
    </row>
    <row r="5158" customHeight="1" spans="1:9">
      <c r="A5158" s="2"/>
      <c r="B5158" s="2" t="str">
        <f>IFERROR(__xludf.DUMMYFUNCTION("IF(A5158&lt;&gt;"""", GOOGLETRANSLATE(A5158, ""en"", ""te""),"""")"),"")</f>
        <v/>
      </c>
      <c r="C5158" s="2"/>
      <c r="D5158" s="2" t="str">
        <f>IFERROR(__xludf.DUMMYFUNCTION("IF(C5158&lt;&gt;"""", GOOGLETRANSLATE(C5158, ""en"", ""te""),"""")"),"")</f>
        <v/>
      </c>
      <c r="E5158" s="2"/>
      <c r="F5158" s="2" t="str">
        <f>IFERROR(__xludf.DUMMYFUNCTION("IF(E5158&lt;&gt;"""", GOOGLETRANSLATE(E5158, ""en"", ""te""),"""")"),"")</f>
        <v/>
      </c>
      <c r="G5158" s="2"/>
      <c r="H5158" s="2" t="str">
        <f>IFERROR(__xludf.DUMMYFUNCTION("IF(G5158&lt;&gt;"""", GOOGLETRANSLATE(G5158, ""en"", ""te""),"""")"),"")</f>
        <v/>
      </c>
      <c r="I5158" s="3"/>
    </row>
    <row r="5159" customHeight="1" spans="1:9">
      <c r="A5159" s="2"/>
      <c r="B5159" s="2" t="str">
        <f>IFERROR(__xludf.DUMMYFUNCTION("IF(A5159&lt;&gt;"""", GOOGLETRANSLATE(A5159, ""en"", ""te""),"""")"),"")</f>
        <v/>
      </c>
      <c r="C5159" s="2"/>
      <c r="D5159" s="2" t="str">
        <f>IFERROR(__xludf.DUMMYFUNCTION("IF(C5159&lt;&gt;"""", GOOGLETRANSLATE(C5159, ""en"", ""te""),"""")"),"")</f>
        <v/>
      </c>
      <c r="E5159" s="2"/>
      <c r="F5159" s="2" t="str">
        <f>IFERROR(__xludf.DUMMYFUNCTION("IF(E5159&lt;&gt;"""", GOOGLETRANSLATE(E5159, ""en"", ""te""),"""")"),"")</f>
        <v/>
      </c>
      <c r="G5159" s="2"/>
      <c r="H5159" s="2" t="str">
        <f>IFERROR(__xludf.DUMMYFUNCTION("IF(G5159&lt;&gt;"""", GOOGLETRANSLATE(G5159, ""en"", ""te""),"""")"),"")</f>
        <v/>
      </c>
      <c r="I5159" s="3"/>
    </row>
    <row r="5160" customHeight="1" spans="1:9">
      <c r="A5160" s="2"/>
      <c r="B5160" s="2" t="str">
        <f>IFERROR(__xludf.DUMMYFUNCTION("IF(A5160&lt;&gt;"""", GOOGLETRANSLATE(A5160, ""en"", ""te""),"""")"),"")</f>
        <v/>
      </c>
      <c r="C5160" s="2"/>
      <c r="D5160" s="2" t="str">
        <f>IFERROR(__xludf.DUMMYFUNCTION("IF(C5160&lt;&gt;"""", GOOGLETRANSLATE(C5160, ""en"", ""te""),"""")"),"")</f>
        <v/>
      </c>
      <c r="E5160" s="2"/>
      <c r="F5160" s="2" t="str">
        <f>IFERROR(__xludf.DUMMYFUNCTION("IF(E5160&lt;&gt;"""", GOOGLETRANSLATE(E5160, ""en"", ""te""),"""")"),"")</f>
        <v/>
      </c>
      <c r="G5160" s="2"/>
      <c r="H5160" s="2" t="str">
        <f>IFERROR(__xludf.DUMMYFUNCTION("IF(G5160&lt;&gt;"""", GOOGLETRANSLATE(G5160, ""en"", ""te""),"""")"),"")</f>
        <v/>
      </c>
      <c r="I5160" s="3"/>
    </row>
    <row r="5161" customHeight="1" spans="1:9">
      <c r="A5161" s="2"/>
      <c r="B5161" s="2" t="str">
        <f>IFERROR(__xludf.DUMMYFUNCTION("IF(A5161&lt;&gt;"""", GOOGLETRANSLATE(A5161, ""en"", ""te""),"""")"),"")</f>
        <v/>
      </c>
      <c r="C5161" s="2"/>
      <c r="D5161" s="2" t="str">
        <f>IFERROR(__xludf.DUMMYFUNCTION("IF(C5161&lt;&gt;"""", GOOGLETRANSLATE(C5161, ""en"", ""te""),"""")"),"")</f>
        <v/>
      </c>
      <c r="E5161" s="2"/>
      <c r="F5161" s="2" t="str">
        <f>IFERROR(__xludf.DUMMYFUNCTION("IF(E5161&lt;&gt;"""", GOOGLETRANSLATE(E5161, ""en"", ""te""),"""")"),"")</f>
        <v/>
      </c>
      <c r="G5161" s="2"/>
      <c r="H5161" s="2" t="str">
        <f>IFERROR(__xludf.DUMMYFUNCTION("IF(G5161&lt;&gt;"""", GOOGLETRANSLATE(G5161, ""en"", ""te""),"""")"),"")</f>
        <v/>
      </c>
      <c r="I5161" s="3"/>
    </row>
    <row r="5162" customHeight="1" spans="1:9">
      <c r="A5162" s="2"/>
      <c r="B5162" s="2" t="str">
        <f>IFERROR(__xludf.DUMMYFUNCTION("IF(A5162&lt;&gt;"""", GOOGLETRANSLATE(A5162, ""en"", ""te""),"""")"),"")</f>
        <v/>
      </c>
      <c r="C5162" s="2" t="s">
        <v>3472</v>
      </c>
      <c r="D5162" s="2" t="str">
        <f>IFERROR(__xludf.DUMMYFUNCTION("IF(C5162&lt;&gt;"""", GOOGLETRANSLATE(C5162, ""en"", ""te""),"""")"),"[ 'లేకుండా కెరీర్లో 44 వ అత్యధిక పరుగులు వంద (1042)']")</f>
        <v>[ 'లేకుండా కెరీర్లో 44 వ అత్యధిక పరుగులు వంద (1042)']</v>
      </c>
      <c r="E5162" s="2"/>
      <c r="F5162" s="2" t="str">
        <f>IFERROR(__xludf.DUMMYFUNCTION("IF(E5162&lt;&gt;"""", GOOGLETRANSLATE(E5162, ""en"", ""te""),"""")"),"")</f>
        <v/>
      </c>
      <c r="G5162" s="2"/>
      <c r="H5162" s="2" t="str">
        <f>IFERROR(__xludf.DUMMYFUNCTION("IF(G5162&lt;&gt;"""", GOOGLETRANSLATE(G5162, ""en"", ""te""),"""")"),"")</f>
        <v/>
      </c>
      <c r="I5162" s="3"/>
    </row>
    <row r="5163" customHeight="1" spans="1:9">
      <c r="A5163" s="2"/>
      <c r="B5163" s="2" t="str">
        <f>IFERROR(__xludf.DUMMYFUNCTION("IF(A5163&lt;&gt;"""", GOOGLETRANSLATE(A5163, ""en"", ""te""),"""")"),"")</f>
        <v/>
      </c>
      <c r="C5163" s="2"/>
      <c r="D5163" s="2" t="str">
        <f>IFERROR(__xludf.DUMMYFUNCTION("IF(C5163&lt;&gt;"""", GOOGLETRANSLATE(C5163, ""en"", ""te""),"""")"),"")</f>
        <v/>
      </c>
      <c r="E5163" s="2"/>
      <c r="F5163" s="2" t="str">
        <f>IFERROR(__xludf.DUMMYFUNCTION("IF(E5163&lt;&gt;"""", GOOGLETRANSLATE(E5163, ""en"", ""te""),"""")"),"")</f>
        <v/>
      </c>
      <c r="G5163" s="2"/>
      <c r="H5163" s="2" t="str">
        <f>IFERROR(__xludf.DUMMYFUNCTION("IF(G5163&lt;&gt;"""", GOOGLETRANSLATE(G5163, ""en"", ""te""),"""")"),"")</f>
        <v/>
      </c>
      <c r="I5163" s="3"/>
    </row>
    <row r="5164" customHeight="1" spans="1:9">
      <c r="A5164" s="2" t="s">
        <v>9</v>
      </c>
      <c r="B5164" s="2" t="str">
        <f>IFERROR(__xludf.DUMMYFUNCTION("IF(A5164&lt;&gt;"""", GOOGLETRANSLATE(A5164, ""en"", ""te""),"""")"),"[ 'హండ్రెడ్ మరియు ఒక మ్యాచ్లో ఒక డక్']")</f>
        <v>[ 'హండ్రెడ్ మరియు ఒక మ్యాచ్లో ఒక డక్']</v>
      </c>
      <c r="C5164" s="2" t="s">
        <v>3473</v>
      </c>
      <c r="D5164" s="2" t="str">
        <f>IFERROR(__xludf.DUMMYFUNCTION("IF(C5164&lt;&gt;"""", GOOGLETRANSLATE(C5164, ""en"", ""te""),"""")"),"[18 వ హండ్రెడ్ గత మ్యాచ్ (102 *) లో ',' 42 వ పిన్న ఆటగాడు వంద (20y 253d) స్కోర్ ']")</f>
        <v>[18 వ హండ్రెడ్ గత మ్యాచ్ (102 *) లో ',' 42 వ పిన్న ఆటగాడు వంద (20y 253d) స్కోర్ ']</v>
      </c>
      <c r="E5164" s="2"/>
      <c r="F5164" s="2" t="str">
        <f>IFERROR(__xludf.DUMMYFUNCTION("IF(E5164&lt;&gt;"""", GOOGLETRANSLATE(E5164, ""en"", ""te""),"""")"),"")</f>
        <v/>
      </c>
      <c r="G5164" s="2"/>
      <c r="H5164" s="2" t="str">
        <f>IFERROR(__xludf.DUMMYFUNCTION("IF(G5164&lt;&gt;"""", GOOGLETRANSLATE(G5164, ""en"", ""te""),"""")"),"")</f>
        <v/>
      </c>
      <c r="I5164" s="3"/>
    </row>
    <row r="5165" customHeight="1" spans="1:9">
      <c r="A5165" s="2"/>
      <c r="B5165" s="2" t="str">
        <f>IFERROR(__xludf.DUMMYFUNCTION("IF(A5165&lt;&gt;"""", GOOGLETRANSLATE(A5165, ""en"", ""te""),"""")"),"")</f>
        <v/>
      </c>
      <c r="C5165" s="2"/>
      <c r="D5165" s="2" t="str">
        <f>IFERROR(__xludf.DUMMYFUNCTION("IF(C5165&lt;&gt;"""", GOOGLETRANSLATE(C5165, ""en"", ""te""),"""")"),"")</f>
        <v/>
      </c>
      <c r="E5165" s="2" t="s">
        <v>3474</v>
      </c>
      <c r="F5165" s="2" t="str">
        <f>IFERROR(__xludf.DUMMYFUNCTION("IF(E5165&lt;&gt;"""", GOOGLETRANSLATE(E5165, ""en"", ""te""),"""")"),"[ '13 వ చెత్త ఇన్నింగ్స్ లో ఆర్థిక రేటు (9.33)', 'ఎనిమిదవ వికెట్కు 41 వ అత్యధిక భాగస్వామ్యం (44)', '36 వ వరుస మ్యాచ్లు ప్రదర్శనల మధ్య బృందం (33) కోసం తప్పిన']")</f>
        <v>[ '13 వ చెత్త ఇన్నింగ్స్ లో ఆర్థిక రేటు (9.33)', 'ఎనిమిదవ వికెట్కు 41 వ అత్యధిక భాగస్వామ్యం (44)', '36 వ వరుస మ్యాచ్లు ప్రదర్శనల మధ్య బృందం (33) కోసం తప్పిన']</v>
      </c>
      <c r="G5165" s="2" t="s">
        <v>3475</v>
      </c>
      <c r="H5165" s="2" t="str">
        <f>IFERROR(__xludf.DUMMYFUNCTION("IF(G5165&lt;&gt;"""", GOOGLETRANSLATE(G5165, ""en"", ""te""),"""")"),"[ '16 వ ఇన్నింగ్స్ లో అత్యధిక పరుగులు (బ్యాటింగ్ స్థానంలో ప్రకారం) (32 *)']")</f>
        <v>[ '16 వ ఇన్నింగ్స్ లో అత్యధిక పరుగులు (బ్యాటింగ్ స్థానంలో ప్రకారం) (32 *)']</v>
      </c>
      <c r="I5165" s="3"/>
    </row>
    <row r="5166" customHeight="1" spans="1:9">
      <c r="A5166" s="2"/>
      <c r="B5166" s="2" t="str">
        <f>IFERROR(__xludf.DUMMYFUNCTION("IF(A5166&lt;&gt;"""", GOOGLETRANSLATE(A5166, ""en"", ""te""),"""")"),"")</f>
        <v/>
      </c>
      <c r="C5166" s="2"/>
      <c r="D5166" s="2" t="str">
        <f>IFERROR(__xludf.DUMMYFUNCTION("IF(C5166&lt;&gt;"""", GOOGLETRANSLATE(C5166, ""en"", ""te""),"""")"),"")</f>
        <v/>
      </c>
      <c r="E5166" s="2"/>
      <c r="F5166" s="2" t="str">
        <f>IFERROR(__xludf.DUMMYFUNCTION("IF(E5166&lt;&gt;"""", GOOGLETRANSLATE(E5166, ""en"", ""te""),"""")"),"")</f>
        <v/>
      </c>
      <c r="G5166" s="2"/>
      <c r="H5166" s="2" t="str">
        <f>IFERROR(__xludf.DUMMYFUNCTION("IF(G5166&lt;&gt;"""", GOOGLETRANSLATE(G5166, ""en"", ""te""),"""")"),"")</f>
        <v/>
      </c>
      <c r="I5166" s="3"/>
    </row>
    <row r="5167" customHeight="1" spans="1:9">
      <c r="A5167" s="2"/>
      <c r="B5167" s="2" t="str">
        <f>IFERROR(__xludf.DUMMYFUNCTION("IF(A5167&lt;&gt;"""", GOOGLETRANSLATE(A5167, ""en"", ""te""),"""")"),"")</f>
        <v/>
      </c>
      <c r="C5167" s="2"/>
      <c r="D5167" s="2" t="str">
        <f>IFERROR(__xludf.DUMMYFUNCTION("IF(C5167&lt;&gt;"""", GOOGLETRANSLATE(C5167, ""en"", ""te""),"""")"),"")</f>
        <v/>
      </c>
      <c r="E5167" s="2"/>
      <c r="F5167" s="2" t="str">
        <f>IFERROR(__xludf.DUMMYFUNCTION("IF(E5167&lt;&gt;"""", GOOGLETRANSLATE(E5167, ""en"", ""te""),"""")"),"")</f>
        <v/>
      </c>
      <c r="G5167" s="2"/>
      <c r="H5167" s="2" t="str">
        <f>IFERROR(__xludf.DUMMYFUNCTION("IF(G5167&lt;&gt;"""", GOOGLETRANSLATE(G5167, ""en"", ""te""),"""")"),"")</f>
        <v/>
      </c>
      <c r="I5167" s="3"/>
    </row>
    <row r="5168" customHeight="1" spans="1:9">
      <c r="A5168" s="2"/>
      <c r="B5168" s="2" t="str">
        <f>IFERROR(__xludf.DUMMYFUNCTION("IF(A5168&lt;&gt;"""", GOOGLETRANSLATE(A5168, ""en"", ""te""),"""")"),"")</f>
        <v/>
      </c>
      <c r="C5168" s="2"/>
      <c r="D5168" s="2" t="str">
        <f>IFERROR(__xludf.DUMMYFUNCTION("IF(C5168&lt;&gt;"""", GOOGLETRANSLATE(C5168, ""en"", ""te""),"""")"),"")</f>
        <v/>
      </c>
      <c r="E5168" s="2"/>
      <c r="F5168" s="2" t="str">
        <f>IFERROR(__xludf.DUMMYFUNCTION("IF(E5168&lt;&gt;"""", GOOGLETRANSLATE(E5168, ""en"", ""te""),"""")"),"")</f>
        <v/>
      </c>
      <c r="G5168" s="2"/>
      <c r="H5168" s="2" t="str">
        <f>IFERROR(__xludf.DUMMYFUNCTION("IF(G5168&lt;&gt;"""", GOOGLETRANSLATE(G5168, ""en"", ""te""),"""")"),"")</f>
        <v/>
      </c>
      <c r="I5168" s="3"/>
    </row>
    <row r="5169" customHeight="1" spans="1:9">
      <c r="A5169" s="2"/>
      <c r="B5169" s="2" t="str">
        <f>IFERROR(__xludf.DUMMYFUNCTION("IF(A5169&lt;&gt;"""", GOOGLETRANSLATE(A5169, ""en"", ""te""),"""")"),"")</f>
        <v/>
      </c>
      <c r="C5169" s="2"/>
      <c r="D5169" s="2" t="str">
        <f>IFERROR(__xludf.DUMMYFUNCTION("IF(C5169&lt;&gt;"""", GOOGLETRANSLATE(C5169, ""en"", ""te""),"""")"),"")</f>
        <v/>
      </c>
      <c r="E5169" s="2"/>
      <c r="F5169" s="2" t="str">
        <f>IFERROR(__xludf.DUMMYFUNCTION("IF(E5169&lt;&gt;"""", GOOGLETRANSLATE(E5169, ""en"", ""te""),"""")"),"")</f>
        <v/>
      </c>
      <c r="G5169" s="2"/>
      <c r="H5169" s="2" t="str">
        <f>IFERROR(__xludf.DUMMYFUNCTION("IF(G5169&lt;&gt;"""", GOOGLETRANSLATE(G5169, ""en"", ""te""),"""")"),"")</f>
        <v/>
      </c>
      <c r="I5169" s="3"/>
    </row>
    <row r="5170" customHeight="1" spans="1:9">
      <c r="A5170" s="2"/>
      <c r="B5170" s="2" t="str">
        <f>IFERROR(__xludf.DUMMYFUNCTION("IF(A5170&lt;&gt;"""", GOOGLETRANSLATE(A5170, ""en"", ""te""),"""")"),"")</f>
        <v/>
      </c>
      <c r="C5170" s="2"/>
      <c r="D5170" s="2" t="str">
        <f>IFERROR(__xludf.DUMMYFUNCTION("IF(C5170&lt;&gt;"""", GOOGLETRANSLATE(C5170, ""en"", ""te""),"""")"),"")</f>
        <v/>
      </c>
      <c r="E5170" s="2"/>
      <c r="F5170" s="2" t="str">
        <f>IFERROR(__xludf.DUMMYFUNCTION("IF(E5170&lt;&gt;"""", GOOGLETRANSLATE(E5170, ""en"", ""te""),"""")"),"")</f>
        <v/>
      </c>
      <c r="G5170" s="2"/>
      <c r="H5170" s="2" t="str">
        <f>IFERROR(__xludf.DUMMYFUNCTION("IF(G5170&lt;&gt;"""", GOOGLETRANSLATE(G5170, ""en"", ""te""),"""")"),"")</f>
        <v/>
      </c>
      <c r="I5170" s="3"/>
    </row>
    <row r="5171" customHeight="1" spans="1:9">
      <c r="A5171" s="2"/>
      <c r="B5171" s="2" t="str">
        <f>IFERROR(__xludf.DUMMYFUNCTION("IF(A5171&lt;&gt;"""", GOOGLETRANSLATE(A5171, ""en"", ""te""),"""")"),"")</f>
        <v/>
      </c>
      <c r="C5171" s="2"/>
      <c r="D5171" s="2" t="str">
        <f>IFERROR(__xludf.DUMMYFUNCTION("IF(C5171&lt;&gt;"""", GOOGLETRANSLATE(C5171, ""en"", ""te""),"""")"),"")</f>
        <v/>
      </c>
      <c r="E5171" s="2"/>
      <c r="F5171" s="2" t="str">
        <f>IFERROR(__xludf.DUMMYFUNCTION("IF(E5171&lt;&gt;"""", GOOGLETRANSLATE(E5171, ""en"", ""te""),"""")"),"")</f>
        <v/>
      </c>
      <c r="G5171" s="2"/>
      <c r="H5171" s="2" t="str">
        <f>IFERROR(__xludf.DUMMYFUNCTION("IF(G5171&lt;&gt;"""", GOOGLETRANSLATE(G5171, ""en"", ""te""),"""")"),"")</f>
        <v/>
      </c>
      <c r="I5171" s="3"/>
    </row>
    <row r="5172" customHeight="1" spans="1:9">
      <c r="A5172" s="2"/>
      <c r="B5172" s="2" t="str">
        <f>IFERROR(__xludf.DUMMYFUNCTION("IF(A5172&lt;&gt;"""", GOOGLETRANSLATE(A5172, ""en"", ""te""),"""")"),"")</f>
        <v/>
      </c>
      <c r="C5172" s="2"/>
      <c r="D5172" s="2" t="str">
        <f>IFERROR(__xludf.DUMMYFUNCTION("IF(C5172&lt;&gt;"""", GOOGLETRANSLATE(C5172, ""en"", ""te""),"""")"),"")</f>
        <v/>
      </c>
      <c r="E5172" s="2"/>
      <c r="F5172" s="2" t="str">
        <f>IFERROR(__xludf.DUMMYFUNCTION("IF(E5172&lt;&gt;"""", GOOGLETRANSLATE(E5172, ""en"", ""te""),"""")"),"")</f>
        <v/>
      </c>
      <c r="G5172" s="2"/>
      <c r="H5172" s="2" t="str">
        <f>IFERROR(__xludf.DUMMYFUNCTION("IF(G5172&lt;&gt;"""", GOOGLETRANSLATE(G5172, ""en"", ""te""),"""")"),"")</f>
        <v/>
      </c>
      <c r="I5172" s="3"/>
    </row>
    <row r="5173" customHeight="1" spans="1:9">
      <c r="A5173" s="2"/>
      <c r="B5173" s="2" t="str">
        <f>IFERROR(__xludf.DUMMYFUNCTION("IF(A5173&lt;&gt;"""", GOOGLETRANSLATE(A5173, ""en"", ""te""),"""")"),"")</f>
        <v/>
      </c>
      <c r="C5173" s="2"/>
      <c r="D5173" s="2" t="str">
        <f>IFERROR(__xludf.DUMMYFUNCTION("IF(C5173&lt;&gt;"""", GOOGLETRANSLATE(C5173, ""en"", ""te""),"""")"),"")</f>
        <v/>
      </c>
      <c r="E5173" s="2"/>
      <c r="F5173" s="2" t="str">
        <f>IFERROR(__xludf.DUMMYFUNCTION("IF(E5173&lt;&gt;"""", GOOGLETRANSLATE(E5173, ""en"", ""te""),"""")"),"")</f>
        <v/>
      </c>
      <c r="G5173" s="2"/>
      <c r="H5173" s="2" t="str">
        <f>IFERROR(__xludf.DUMMYFUNCTION("IF(G5173&lt;&gt;"""", GOOGLETRANSLATE(G5173, ""en"", ""te""),"""")"),"")</f>
        <v/>
      </c>
      <c r="I5173" s="3"/>
    </row>
    <row r="5174" customHeight="1" spans="1:9">
      <c r="A5174" s="2"/>
      <c r="B5174" s="2" t="str">
        <f>IFERROR(__xludf.DUMMYFUNCTION("IF(A5174&lt;&gt;"""", GOOGLETRANSLATE(A5174, ""en"", ""te""),"""")"),"")</f>
        <v/>
      </c>
      <c r="C5174" s="2"/>
      <c r="D5174" s="2" t="str">
        <f>IFERROR(__xludf.DUMMYFUNCTION("IF(C5174&lt;&gt;"""", GOOGLETRANSLATE(C5174, ""en"", ""te""),"""")"),"")</f>
        <v/>
      </c>
      <c r="E5174" s="2"/>
      <c r="F5174" s="2" t="str">
        <f>IFERROR(__xludf.DUMMYFUNCTION("IF(E5174&lt;&gt;"""", GOOGLETRANSLATE(E5174, ""en"", ""te""),"""")"),"")</f>
        <v/>
      </c>
      <c r="G5174" s="2"/>
      <c r="H5174" s="2" t="str">
        <f>IFERROR(__xludf.DUMMYFUNCTION("IF(G5174&lt;&gt;"""", GOOGLETRANSLATE(G5174, ""en"", ""te""),"""")"),"")</f>
        <v/>
      </c>
      <c r="I5174" s="3"/>
    </row>
    <row r="5175" customHeight="1" spans="1:9">
      <c r="A5175" s="2" t="s">
        <v>399</v>
      </c>
      <c r="B5175" s="2" t="str">
        <f>IFERROR(__xludf.DUMMYFUNCTION("IF(A5175&lt;&gt;"""", GOOGLETRANSLATE(A5175, ""en"", ""te""),"""")"),"[ 'తొలి పెయిర్']")</f>
        <v>[ 'తొలి పెయిర్']</v>
      </c>
      <c r="C5175" s="2" t="s">
        <v>3476</v>
      </c>
      <c r="D5175" s="2" t="str">
        <f>IFERROR(__xludf.DUMMYFUNCTION("IF(C5175&lt;&gt;"""", GOOGLETRANSLATE(C5175, ""en"", ""te""),"""")"),"[40 వ బెస్ట్ ఫిగర్స్ ఒక మ్యాచ్లో పరాజయం వైపు ఉన్నప్పుడు (10) ',' ఇన్నింగ్స్ లో 13 వ ఉత్తమ ఆర్థిక రేటు (0.43) ',' 23 '24 ఒక ఇన్నింగ్స్ లో ఉన్నప్పుడు పరాజయం వైపు (7) బెస్ట్ ఫిగర్స్' పిన్న ఆటగాడు పది వికెట్లు లో ఒక మ్యాచ్ తీసుకోవాలని (21y 197d) ',' 26th పి"&amp;"న్న క్రీడాకారులు (17y 193d) ']")</f>
        <v>[40 వ బెస్ట్ ఫిగర్స్ ఒక మ్యాచ్లో పరాజయం వైపు ఉన్నప్పుడు (10) ',' ఇన్నింగ్స్ లో 13 వ ఉత్తమ ఆర్థిక రేటు (0.43) ',' 23 '24 ఒక ఇన్నింగ్స్ లో ఉన్నప్పుడు పరాజయం వైపు (7) బెస్ట్ ఫిగర్స్' పిన్న ఆటగాడు పది వికెట్లు లో ఒక మ్యాచ్ తీసుకోవాలని (21y 197d) ',' 26th పిన్న క్రీడాకారులు (17y 193d) ']</v>
      </c>
      <c r="E5175" s="2" t="s">
        <v>3477</v>
      </c>
      <c r="F5175" s="2" t="str">
        <f>IFERROR(__xludf.DUMMYFUNCTION("IF(E5175&lt;&gt;"""", GOOGLETRANSLATE(E5175, ""en"", ""te""),"""")"),"[ '50 వ ఉత్తమ కెరీర్ ఆర్థిక రేటు (3.95)', 'ఇన్నింగ్స్ లో 48 వ బెస్ట్ ఆర్థిక రేటు (1.00)', '39 వ పిన్న క్రీడాకారులు (17y 222d)']")</f>
        <v>[ '50 వ ఉత్తమ కెరీర్ ఆర్థిక రేటు (3.95)', 'ఇన్నింగ్స్ లో 48 వ బెస్ట్ ఆర్థిక రేటు (1.00)', '39 వ పిన్న క్రీడాకారులు (17y 222d)']</v>
      </c>
      <c r="G5175" s="2"/>
      <c r="H5175" s="2" t="str">
        <f>IFERROR(__xludf.DUMMYFUNCTION("IF(G5175&lt;&gt;"""", GOOGLETRANSLATE(G5175, ""en"", ""te""),"""")"),"")</f>
        <v/>
      </c>
      <c r="I5175" s="3"/>
    </row>
    <row r="5176" customHeight="1" spans="1:9">
      <c r="A5176" s="2"/>
      <c r="B5176" s="2" t="str">
        <f>IFERROR(__xludf.DUMMYFUNCTION("IF(A5176&lt;&gt;"""", GOOGLETRANSLATE(A5176, ""en"", ""te""),"""")"),"")</f>
        <v/>
      </c>
      <c r="C5176" s="2"/>
      <c r="D5176" s="2" t="str">
        <f>IFERROR(__xludf.DUMMYFUNCTION("IF(C5176&lt;&gt;"""", GOOGLETRANSLATE(C5176, ""en"", ""te""),"""")"),"")</f>
        <v/>
      </c>
      <c r="E5176" s="2"/>
      <c r="F5176" s="2" t="str">
        <f>IFERROR(__xludf.DUMMYFUNCTION("IF(E5176&lt;&gt;"""", GOOGLETRANSLATE(E5176, ""en"", ""te""),"""")"),"")</f>
        <v/>
      </c>
      <c r="G5176" s="2"/>
      <c r="H5176" s="2" t="str">
        <f>IFERROR(__xludf.DUMMYFUNCTION("IF(G5176&lt;&gt;"""", GOOGLETRANSLATE(G5176, ""en"", ""te""),"""")"),"")</f>
        <v/>
      </c>
      <c r="I5176" s="3"/>
    </row>
    <row r="5177" customHeight="1" spans="1:9">
      <c r="A5177" s="2"/>
      <c r="B5177" s="2" t="str">
        <f>IFERROR(__xludf.DUMMYFUNCTION("IF(A5177&lt;&gt;"""", GOOGLETRANSLATE(A5177, ""en"", ""te""),"""")"),"")</f>
        <v/>
      </c>
      <c r="C5177" s="2" t="s">
        <v>3478</v>
      </c>
      <c r="D5177" s="2" t="str">
        <f>IFERROR(__xludf.DUMMYFUNCTION("IF(C5177&lt;&gt;"""", GOOGLETRANSLATE(C5177, ""en"", ""te""),"""")"),"[ '16 వ హండ్రెడ్ గత మ్యాచ్లో (154)', '50th లాంగెస్ట్ కెరీర్లు (17y 327d)', 'ప్రదర్శనల మధ్య 31 లాంగెస్ట్ వ్యవధిలో (9y 308d)' 'వంద (40y 21d) స్కోర్ 19 అత్యంత వృద్ధ ఆటగాడు']")</f>
        <v>[ '16 వ హండ్రెడ్ గత మ్యాచ్లో (154)', '50th లాంగెస్ట్ కెరీర్లు (17y 327d)', 'ప్రదర్శనల మధ్య 31 లాంగెస్ట్ వ్యవధిలో (9y 308d)' 'వంద (40y 21d) స్కోర్ 19 అత్యంత వృద్ధ ఆటగాడు']</v>
      </c>
      <c r="E5177" s="2"/>
      <c r="F5177" s="2" t="str">
        <f>IFERROR(__xludf.DUMMYFUNCTION("IF(E5177&lt;&gt;"""", GOOGLETRANSLATE(E5177, ""en"", ""te""),"""")"),"")</f>
        <v/>
      </c>
      <c r="G5177" s="2"/>
      <c r="H5177" s="2" t="str">
        <f>IFERROR(__xludf.DUMMYFUNCTION("IF(G5177&lt;&gt;"""", GOOGLETRANSLATE(G5177, ""en"", ""te""),"""")"),"")</f>
        <v/>
      </c>
      <c r="I5177" s="3"/>
    </row>
    <row r="5178" customHeight="1" spans="1:9">
      <c r="A5178" s="2"/>
      <c r="B5178" s="2" t="str">
        <f>IFERROR(__xludf.DUMMYFUNCTION("IF(A5178&lt;&gt;"""", GOOGLETRANSLATE(A5178, ""en"", ""te""),"""")"),"")</f>
        <v/>
      </c>
      <c r="C5178" s="2"/>
      <c r="D5178" s="2" t="str">
        <f>IFERROR(__xludf.DUMMYFUNCTION("IF(C5178&lt;&gt;"""", GOOGLETRANSLATE(C5178, ""en"", ""te""),"""")"),"")</f>
        <v/>
      </c>
      <c r="E5178" s="2"/>
      <c r="F5178" s="2" t="str">
        <f>IFERROR(__xludf.DUMMYFUNCTION("IF(E5178&lt;&gt;"""", GOOGLETRANSLATE(E5178, ""en"", ""te""),"""")"),"")</f>
        <v/>
      </c>
      <c r="G5178" s="2"/>
      <c r="H5178" s="2" t="str">
        <f>IFERROR(__xludf.DUMMYFUNCTION("IF(G5178&lt;&gt;"""", GOOGLETRANSLATE(G5178, ""en"", ""te""),"""")"),"")</f>
        <v/>
      </c>
      <c r="I5178" s="3"/>
    </row>
    <row r="5179" customHeight="1" spans="1:9">
      <c r="A5179" s="2"/>
      <c r="B5179" s="2" t="str">
        <f>IFERROR(__xludf.DUMMYFUNCTION("IF(A5179&lt;&gt;"""", GOOGLETRANSLATE(A5179, ""en"", ""te""),"""")"),"")</f>
        <v/>
      </c>
      <c r="C5179" s="2"/>
      <c r="D5179" s="2" t="str">
        <f>IFERROR(__xludf.DUMMYFUNCTION("IF(C5179&lt;&gt;"""", GOOGLETRANSLATE(C5179, ""en"", ""te""),"""")"),"")</f>
        <v/>
      </c>
      <c r="E5179" s="2"/>
      <c r="F5179" s="2" t="str">
        <f>IFERROR(__xludf.DUMMYFUNCTION("IF(E5179&lt;&gt;"""", GOOGLETRANSLATE(E5179, ""en"", ""te""),"""")"),"")</f>
        <v/>
      </c>
      <c r="G5179" s="2"/>
      <c r="H5179" s="2" t="str">
        <f>IFERROR(__xludf.DUMMYFUNCTION("IF(G5179&lt;&gt;"""", GOOGLETRANSLATE(G5179, ""en"", ""te""),"""")"),"")</f>
        <v/>
      </c>
      <c r="I5179" s="3"/>
    </row>
    <row r="5180" customHeight="1" spans="1:9">
      <c r="A5180" s="2"/>
      <c r="B5180" s="2" t="str">
        <f>IFERROR(__xludf.DUMMYFUNCTION("IF(A5180&lt;&gt;"""", GOOGLETRANSLATE(A5180, ""en"", ""te""),"""")"),"")</f>
        <v/>
      </c>
      <c r="C5180" s="2"/>
      <c r="D5180" s="2" t="str">
        <f>IFERROR(__xludf.DUMMYFUNCTION("IF(C5180&lt;&gt;"""", GOOGLETRANSLATE(C5180, ""en"", ""te""),"""")"),"")</f>
        <v/>
      </c>
      <c r="E5180" s="2"/>
      <c r="F5180" s="2" t="str">
        <f>IFERROR(__xludf.DUMMYFUNCTION("IF(E5180&lt;&gt;"""", GOOGLETRANSLATE(E5180, ""en"", ""te""),"""")"),"")</f>
        <v/>
      </c>
      <c r="G5180" s="2"/>
      <c r="H5180" s="2" t="str">
        <f>IFERROR(__xludf.DUMMYFUNCTION("IF(G5180&lt;&gt;"""", GOOGLETRANSLATE(G5180, ""en"", ""te""),"""")"),"")</f>
        <v/>
      </c>
      <c r="I5180" s="3"/>
    </row>
    <row r="5181" customHeight="1" spans="1:9">
      <c r="A5181" s="2"/>
      <c r="B5181" s="2" t="str">
        <f>IFERROR(__xludf.DUMMYFUNCTION("IF(A5181&lt;&gt;"""", GOOGLETRANSLATE(A5181, ""en"", ""te""),"""")"),"")</f>
        <v/>
      </c>
      <c r="C5181" s="2"/>
      <c r="D5181" s="2" t="str">
        <f>IFERROR(__xludf.DUMMYFUNCTION("IF(C5181&lt;&gt;"""", GOOGLETRANSLATE(C5181, ""en"", ""te""),"""")"),"")</f>
        <v/>
      </c>
      <c r="E5181" s="2"/>
      <c r="F5181" s="2" t="str">
        <f>IFERROR(__xludf.DUMMYFUNCTION("IF(E5181&lt;&gt;"""", GOOGLETRANSLATE(E5181, ""en"", ""te""),"""")"),"")</f>
        <v/>
      </c>
      <c r="G5181" s="2"/>
      <c r="H5181" s="2" t="str">
        <f>IFERROR(__xludf.DUMMYFUNCTION("IF(G5181&lt;&gt;"""", GOOGLETRANSLATE(G5181, ""en"", ""te""),"""")"),"")</f>
        <v/>
      </c>
      <c r="I5181" s="3"/>
    </row>
    <row r="5182" customHeight="1" spans="1:9">
      <c r="A5182" s="2"/>
      <c r="B5182" s="2" t="str">
        <f>IFERROR(__xludf.DUMMYFUNCTION("IF(A5182&lt;&gt;"""", GOOGLETRANSLATE(A5182, ""en"", ""te""),"""")"),"")</f>
        <v/>
      </c>
      <c r="C5182" s="2"/>
      <c r="D5182" s="2" t="str">
        <f>IFERROR(__xludf.DUMMYFUNCTION("IF(C5182&lt;&gt;"""", GOOGLETRANSLATE(C5182, ""en"", ""te""),"""")"),"")</f>
        <v/>
      </c>
      <c r="E5182" s="2"/>
      <c r="F5182" s="2" t="str">
        <f>IFERROR(__xludf.DUMMYFUNCTION("IF(E5182&lt;&gt;"""", GOOGLETRANSLATE(E5182, ""en"", ""te""),"""")"),"")</f>
        <v/>
      </c>
      <c r="G5182" s="2"/>
      <c r="H5182" s="2" t="str">
        <f>IFERROR(__xludf.DUMMYFUNCTION("IF(G5182&lt;&gt;"""", GOOGLETRANSLATE(G5182, ""en"", ""te""),"""")"),"")</f>
        <v/>
      </c>
      <c r="I5182" s="3"/>
    </row>
    <row r="5183" customHeight="1" spans="1:9">
      <c r="A5183" s="2"/>
      <c r="B5183" s="2" t="str">
        <f>IFERROR(__xludf.DUMMYFUNCTION("IF(A5183&lt;&gt;"""", GOOGLETRANSLATE(A5183, ""en"", ""te""),"""")"),"")</f>
        <v/>
      </c>
      <c r="C5183" s="2"/>
      <c r="D5183" s="2" t="str">
        <f>IFERROR(__xludf.DUMMYFUNCTION("IF(C5183&lt;&gt;"""", GOOGLETRANSLATE(C5183, ""en"", ""te""),"""")"),"")</f>
        <v/>
      </c>
      <c r="E5183" s="2" t="s">
        <v>3479</v>
      </c>
      <c r="F5183" s="2" t="str">
        <f>IFERROR(__xludf.DUMMYFUNCTION("IF(E5183&lt;&gt;"""", GOOGLETRANSLATE(E5183, ""en"", ""te""),"""")"),"[ '39 వ లాంగెస్ట్ నివసించారు క్రీడాకారులు (61y 294d)']")</f>
        <v>[ '39 వ లాంగెస్ట్ నివసించారు క్రీడాకారులు (61y 294d)']</v>
      </c>
      <c r="G5183" s="2"/>
      <c r="H5183" s="2" t="str">
        <f>IFERROR(__xludf.DUMMYFUNCTION("IF(G5183&lt;&gt;"""", GOOGLETRANSLATE(G5183, ""en"", ""te""),"""")"),"")</f>
        <v/>
      </c>
      <c r="I5183" s="3"/>
    </row>
    <row r="5184" customHeight="1" spans="1:9">
      <c r="A5184" s="2"/>
      <c r="B5184" s="2" t="str">
        <f>IFERROR(__xludf.DUMMYFUNCTION("IF(A5184&lt;&gt;"""", GOOGLETRANSLATE(A5184, ""en"", ""te""),"""")"),"")</f>
        <v/>
      </c>
      <c r="C5184" s="2"/>
      <c r="D5184" s="2" t="str">
        <f>IFERROR(__xludf.DUMMYFUNCTION("IF(C5184&lt;&gt;"""", GOOGLETRANSLATE(C5184, ""en"", ""te""),"""")"),"")</f>
        <v/>
      </c>
      <c r="E5184" s="2"/>
      <c r="F5184" s="2" t="str">
        <f>IFERROR(__xludf.DUMMYFUNCTION("IF(E5184&lt;&gt;"""", GOOGLETRANSLATE(E5184, ""en"", ""te""),"""")"),"")</f>
        <v/>
      </c>
      <c r="G5184" s="2"/>
      <c r="H5184" s="2" t="str">
        <f>IFERROR(__xludf.DUMMYFUNCTION("IF(G5184&lt;&gt;"""", GOOGLETRANSLATE(G5184, ""en"", ""te""),"""")"),"")</f>
        <v/>
      </c>
      <c r="I5184" s="3"/>
    </row>
    <row r="5185" customHeight="1" spans="1:9">
      <c r="A5185" s="2"/>
      <c r="B5185" s="2" t="str">
        <f>IFERROR(__xludf.DUMMYFUNCTION("IF(A5185&lt;&gt;"""", GOOGLETRANSLATE(A5185, ""en"", ""te""),"""")"),"")</f>
        <v/>
      </c>
      <c r="C5185" s="2"/>
      <c r="D5185" s="2" t="str">
        <f>IFERROR(__xludf.DUMMYFUNCTION("IF(C5185&lt;&gt;"""", GOOGLETRANSLATE(C5185, ""en"", ""te""),"""")"),"")</f>
        <v/>
      </c>
      <c r="E5185" s="2"/>
      <c r="F5185" s="2" t="str">
        <f>IFERROR(__xludf.DUMMYFUNCTION("IF(E5185&lt;&gt;"""", GOOGLETRANSLATE(E5185, ""en"", ""te""),"""")"),"")</f>
        <v/>
      </c>
      <c r="G5185" s="2"/>
      <c r="H5185" s="2" t="str">
        <f>IFERROR(__xludf.DUMMYFUNCTION("IF(G5185&lt;&gt;"""", GOOGLETRANSLATE(G5185, ""en"", ""te""),"""")"),"")</f>
        <v/>
      </c>
      <c r="I5185" s="3"/>
    </row>
    <row r="5186" customHeight="1" spans="1:9">
      <c r="A5186" s="2"/>
      <c r="B5186" s="2" t="str">
        <f>IFERROR(__xludf.DUMMYFUNCTION("IF(A5186&lt;&gt;"""", GOOGLETRANSLATE(A5186, ""en"", ""te""),"""")"),"")</f>
        <v/>
      </c>
      <c r="C5186" s="2"/>
      <c r="D5186" s="2" t="str">
        <f>IFERROR(__xludf.DUMMYFUNCTION("IF(C5186&lt;&gt;"""", GOOGLETRANSLATE(C5186, ""en"", ""te""),"""")"),"")</f>
        <v/>
      </c>
      <c r="E5186" s="2"/>
      <c r="F5186" s="2" t="str">
        <f>IFERROR(__xludf.DUMMYFUNCTION("IF(E5186&lt;&gt;"""", GOOGLETRANSLATE(E5186, ""en"", ""te""),"""")"),"")</f>
        <v/>
      </c>
      <c r="G5186" s="2"/>
      <c r="H5186" s="2" t="str">
        <f>IFERROR(__xludf.DUMMYFUNCTION("IF(G5186&lt;&gt;"""", GOOGLETRANSLATE(G5186, ""en"", ""te""),"""")"),"")</f>
        <v/>
      </c>
      <c r="I5186" s="3"/>
    </row>
    <row r="5187" customHeight="1" spans="1:9">
      <c r="A5187" s="2"/>
      <c r="B5187" s="2" t="str">
        <f>IFERROR(__xludf.DUMMYFUNCTION("IF(A5187&lt;&gt;"""", GOOGLETRANSLATE(A5187, ""en"", ""te""),"""")"),"")</f>
        <v/>
      </c>
      <c r="C5187" s="2"/>
      <c r="D5187" s="2" t="str">
        <f>IFERROR(__xludf.DUMMYFUNCTION("IF(C5187&lt;&gt;"""", GOOGLETRANSLATE(C5187, ""en"", ""te""),"""")"),"")</f>
        <v/>
      </c>
      <c r="E5187" s="2"/>
      <c r="F5187" s="2" t="str">
        <f>IFERROR(__xludf.DUMMYFUNCTION("IF(E5187&lt;&gt;"""", GOOGLETRANSLATE(E5187, ""en"", ""te""),"""")"),"")</f>
        <v/>
      </c>
      <c r="G5187" s="2"/>
      <c r="H5187" s="2" t="str">
        <f>IFERROR(__xludf.DUMMYFUNCTION("IF(G5187&lt;&gt;"""", GOOGLETRANSLATE(G5187, ""en"", ""te""),"""")"),"")</f>
        <v/>
      </c>
      <c r="I5187" s="3"/>
    </row>
    <row r="5188" customHeight="1" spans="1:9">
      <c r="A5188" s="2"/>
      <c r="B5188" s="2" t="str">
        <f>IFERROR(__xludf.DUMMYFUNCTION("IF(A5188&lt;&gt;"""", GOOGLETRANSLATE(A5188, ""en"", ""te""),"""")"),"")</f>
        <v/>
      </c>
      <c r="C5188" s="2"/>
      <c r="D5188" s="2" t="str">
        <f>IFERROR(__xludf.DUMMYFUNCTION("IF(C5188&lt;&gt;"""", GOOGLETRANSLATE(C5188, ""en"", ""te""),"""")"),"")</f>
        <v/>
      </c>
      <c r="E5188" s="2"/>
      <c r="F5188" s="2" t="str">
        <f>IFERROR(__xludf.DUMMYFUNCTION("IF(E5188&lt;&gt;"""", GOOGLETRANSLATE(E5188, ""en"", ""te""),"""")"),"")</f>
        <v/>
      </c>
      <c r="G5188" s="2"/>
      <c r="H5188" s="2" t="str">
        <f>IFERROR(__xludf.DUMMYFUNCTION("IF(G5188&lt;&gt;"""", GOOGLETRANSLATE(G5188, ""en"", ""te""),"""")"),"")</f>
        <v/>
      </c>
      <c r="I5188" s="3"/>
    </row>
    <row r="5189" customHeight="1" spans="1:9">
      <c r="A5189" s="2"/>
      <c r="B5189" s="2" t="str">
        <f>IFERROR(__xludf.DUMMYFUNCTION("IF(A5189&lt;&gt;"""", GOOGLETRANSLATE(A5189, ""en"", ""te""),"""")"),"")</f>
        <v/>
      </c>
      <c r="C5189" s="2"/>
      <c r="D5189" s="2" t="str">
        <f>IFERROR(__xludf.DUMMYFUNCTION("IF(C5189&lt;&gt;"""", GOOGLETRANSLATE(C5189, ""en"", ""te""),"""")"),"")</f>
        <v/>
      </c>
      <c r="E5189" s="2"/>
      <c r="F5189" s="2" t="str">
        <f>IFERROR(__xludf.DUMMYFUNCTION("IF(E5189&lt;&gt;"""", GOOGLETRANSLATE(E5189, ""en"", ""te""),"""")"),"")</f>
        <v/>
      </c>
      <c r="G5189" s="2"/>
      <c r="H5189" s="2" t="str">
        <f>IFERROR(__xludf.DUMMYFUNCTION("IF(G5189&lt;&gt;"""", GOOGLETRANSLATE(G5189, ""en"", ""te""),"""")"),"")</f>
        <v/>
      </c>
      <c r="I5189" s="3"/>
    </row>
    <row r="5190" customHeight="1" spans="1:9">
      <c r="A5190" s="2"/>
      <c r="B5190" s="2" t="str">
        <f>IFERROR(__xludf.DUMMYFUNCTION("IF(A5190&lt;&gt;"""", GOOGLETRANSLATE(A5190, ""en"", ""te""),"""")"),"")</f>
        <v/>
      </c>
      <c r="C5190" s="2"/>
      <c r="D5190" s="2" t="str">
        <f>IFERROR(__xludf.DUMMYFUNCTION("IF(C5190&lt;&gt;"""", GOOGLETRANSLATE(C5190, ""en"", ""te""),"""")"),"")</f>
        <v/>
      </c>
      <c r="E5190" s="2"/>
      <c r="F5190" s="2" t="str">
        <f>IFERROR(__xludf.DUMMYFUNCTION("IF(E5190&lt;&gt;"""", GOOGLETRANSLATE(E5190, ""en"", ""te""),"""")"),"")</f>
        <v/>
      </c>
      <c r="G5190" s="2"/>
      <c r="H5190" s="2" t="str">
        <f>IFERROR(__xludf.DUMMYFUNCTION("IF(G5190&lt;&gt;"""", GOOGLETRANSLATE(G5190, ""en"", ""te""),"""")"),"")</f>
        <v/>
      </c>
      <c r="I5190" s="3"/>
    </row>
    <row r="5191" customHeight="1" spans="1:9">
      <c r="A5191" s="2"/>
      <c r="B5191" s="2" t="str">
        <f>IFERROR(__xludf.DUMMYFUNCTION("IF(A5191&lt;&gt;"""", GOOGLETRANSLATE(A5191, ""en"", ""te""),"""")"),"")</f>
        <v/>
      </c>
      <c r="C5191" s="2"/>
      <c r="D5191" s="2" t="str">
        <f>IFERROR(__xludf.DUMMYFUNCTION("IF(C5191&lt;&gt;"""", GOOGLETRANSLATE(C5191, ""en"", ""te""),"""")"),"")</f>
        <v/>
      </c>
      <c r="E5191" s="2"/>
      <c r="F5191" s="2" t="str">
        <f>IFERROR(__xludf.DUMMYFUNCTION("IF(E5191&lt;&gt;"""", GOOGLETRANSLATE(E5191, ""en"", ""te""),"""")"),"")</f>
        <v/>
      </c>
      <c r="G5191" s="2"/>
      <c r="H5191" s="2" t="str">
        <f>IFERROR(__xludf.DUMMYFUNCTION("IF(G5191&lt;&gt;"""", GOOGLETRANSLATE(G5191, ""en"", ""te""),"""")"),"")</f>
        <v/>
      </c>
      <c r="I5191" s="3"/>
    </row>
    <row r="5192" customHeight="1" spans="1:9">
      <c r="A5192" s="2"/>
      <c r="B5192" s="2" t="str">
        <f>IFERROR(__xludf.DUMMYFUNCTION("IF(A5192&lt;&gt;"""", GOOGLETRANSLATE(A5192, ""en"", ""te""),"""")"),"")</f>
        <v/>
      </c>
      <c r="C5192" s="2"/>
      <c r="D5192" s="2" t="str">
        <f>IFERROR(__xludf.DUMMYFUNCTION("IF(C5192&lt;&gt;"""", GOOGLETRANSLATE(C5192, ""en"", ""te""),"""")"),"")</f>
        <v/>
      </c>
      <c r="E5192" s="2"/>
      <c r="F5192" s="2" t="str">
        <f>IFERROR(__xludf.DUMMYFUNCTION("IF(E5192&lt;&gt;"""", GOOGLETRANSLATE(E5192, ""en"", ""te""),"""")"),"")</f>
        <v/>
      </c>
      <c r="G5192" s="2"/>
      <c r="H5192" s="2" t="str">
        <f>IFERROR(__xludf.DUMMYFUNCTION("IF(G5192&lt;&gt;"""", GOOGLETRANSLATE(G5192, ""en"", ""te""),"""")"),"")</f>
        <v/>
      </c>
      <c r="I5192" s="3"/>
    </row>
    <row r="5193" customHeight="1" spans="1:9">
      <c r="A5193" s="2"/>
      <c r="B5193" s="2" t="str">
        <f>IFERROR(__xludf.DUMMYFUNCTION("IF(A5193&lt;&gt;"""", GOOGLETRANSLATE(A5193, ""en"", ""te""),"""")"),"")</f>
        <v/>
      </c>
      <c r="C5193" s="2"/>
      <c r="D5193" s="2" t="str">
        <f>IFERROR(__xludf.DUMMYFUNCTION("IF(C5193&lt;&gt;"""", GOOGLETRANSLATE(C5193, ""en"", ""te""),"""")"),"")</f>
        <v/>
      </c>
      <c r="E5193" s="2" t="s">
        <v>3480</v>
      </c>
      <c r="F5193" s="2" t="str">
        <f>IFERROR(__xludf.DUMMYFUNCTION("IF(E5193&lt;&gt;"""", GOOGLETRANSLATE(E5193, ""en"", ""te""),"""")"),"[ '13 వ చెత్త కెరీర్ సగటు (119.00) (అర్హత లేకుండా) బౌలింగ్', '49 వ అత్యధిక భాగస్వామ్యం రెండవ వికెట్కు (136 *)']")</f>
        <v>[ '13 వ చెత్త కెరీర్ సగటు (119.00) (అర్హత లేకుండా) బౌలింగ్', '49 వ అత్యధిక భాగస్వామ్యం రెండవ వికెట్కు (136 *)']</v>
      </c>
      <c r="G5193" s="2"/>
      <c r="H5193" s="2" t="str">
        <f>IFERROR(__xludf.DUMMYFUNCTION("IF(G5193&lt;&gt;"""", GOOGLETRANSLATE(G5193, ""en"", ""te""),"""")"),"")</f>
        <v/>
      </c>
      <c r="I5193" s="3"/>
    </row>
    <row r="5194" customHeight="1" spans="1:9">
      <c r="A5194" s="2" t="s">
        <v>3481</v>
      </c>
      <c r="B5194" s="2" t="str">
        <f>IFERROR(__xludf.DUMMYFUNCTION("IF(A5194&lt;&gt;"""", GOOGLETRANSLATE(A5194, ""en"", ""te""),"""")"),"[ '10 వ ఉత్తమ కెరీర్ సమ్మె రేటు (27.3)', '1 వ వరుస నాలుగు వికెట్లు-ఇన్-ఒక-ఇన్నింగ్స్ (3)', '7th 100 వికెట్లు (56) వేగంగా']")</f>
        <v>[ '10 వ ఉత్తమ కెరీర్ సమ్మె రేటు (27.3)', '1 వ వరుస నాలుగు వికెట్లు-ఇన్-ఒక-ఇన్నింగ్స్ (3)', '7th 100 వికెట్లు (56) వేగంగా']</v>
      </c>
      <c r="C5194" s="2" t="s">
        <v>3482</v>
      </c>
      <c r="D5194" s="2" t="str">
        <f>IFERROR(__xludf.DUMMYFUNCTION("IF(C5194&lt;&gt;"""", GOOGLETRANSLATE(C5194, ""en"", ""te""),"""")"),"[ '16 వ ఇన్నింగ్స్ లో అత్యధిక పరుగులు (బ్యాటింగ్ స్థానంలో ప్రకారం) (51 *)', 'వరుస 11 వ ముఖ్య బాతులు (4)', '35 వ ఉత్తమ కెరీర్ సమ్మె రేటు (49.9)', '17 న ఒక మ్యాచ్ లో బెస్ట్ ఫిగర్స్ ప్రవేశించనుంది (9) ',' 50 వ అత్యధిక వికెట్లు తీసుకున్న బౌల్డ్ (52) ']")</f>
        <v>[ '16 వ ఇన్నింగ్స్ లో అత్యధిక పరుగులు (బ్యాటింగ్ స్థానంలో ప్రకారం) (51 *)', 'వరుస 11 వ ముఖ్య బాతులు (4)', '35 వ ఉత్తమ కెరీర్ సమ్మె రేటు (49.9)', '17 న ఒక మ్యాచ్ లో బెస్ట్ ఫిగర్స్ ప్రవేశించనుంది (9) ',' 50 వ అత్యధిక వికెట్లు తీసుకున్న బౌల్డ్ (52) ']</v>
      </c>
      <c r="E5194" s="2" t="s">
        <v>3483</v>
      </c>
      <c r="F5194" s="2" t="str">
        <f>IFERROR(__xludf.DUMMYFUNCTION("IF(E5194&lt;&gt;"""", GOOGLETRANSLATE(E5194, ""en"", ""te""),"""")"),"[ '14 వ ఒక ఇన్నింగ్స్ లోని బెస్ట్ ఫిగర్స్ ఉన్నప్పుడు పరాజయం వైపు (5)', '10 వ ఉత్తమ కెరీర్ సమ్మె రేటు (27.3)', '25 వ అత్యంత నాలుగు వికెట్లు-ఇన్-ఒక-ఇన్నింగ్స్ కెరీర్లో (10)', ' 1 వ వరుస నాలుగు వికెట్లు-ఇన్-ఒక-ఇన్నింగ్స్ (3) ',' ఫాస్టెస్ట్ 50 వికెట్లు 32 వ "&amp;"(29) ',' 100 వికెట్లు వేగంగా 7 వ (56) ']")</f>
        <v>[ '14 వ ఒక ఇన్నింగ్స్ లోని బెస్ట్ ఫిగర్స్ ఉన్నప్పుడు పరాజయం వైపు (5)', '10 వ ఉత్తమ కెరీర్ సమ్మె రేటు (27.3)', '25 వ అత్యంత నాలుగు వికెట్లు-ఇన్-ఒక-ఇన్నింగ్స్ కెరీర్లో (10)', ' 1 వ వరుస నాలుగు వికెట్లు-ఇన్-ఒక-ఇన్నింగ్స్ (3) ',' ఫాస్టెస్ట్ 50 వికెట్లు 32 వ (29) ',' 100 వికెట్లు వేగంగా 7 వ (56) ']</v>
      </c>
      <c r="G5194" s="2" t="s">
        <v>3484</v>
      </c>
      <c r="H5194" s="2" t="str">
        <f>IFERROR(__xludf.DUMMYFUNCTION("IF(G5194&lt;&gt;"""", GOOGLETRANSLATE(G5194, ""en"", ""te""),"""")"),"[ '30 వ వరుస మ్యాచ్లు ప్రదర్శనల మధ్య (43) జట్టు తప్పిన']")</f>
        <v>[ '30 వ వరుస మ్యాచ్లు ప్రదర్శనల మధ్య (43) జట్టు తప్పిన']</v>
      </c>
      <c r="I5194" s="3"/>
    </row>
    <row r="5195" customHeight="1" spans="1:9">
      <c r="A5195" s="2"/>
      <c r="B5195" s="2" t="str">
        <f>IFERROR(__xludf.DUMMYFUNCTION("IF(A5195&lt;&gt;"""", GOOGLETRANSLATE(A5195, ""en"", ""te""),"""")"),"")</f>
        <v/>
      </c>
      <c r="C5195" s="2"/>
      <c r="D5195" s="2" t="str">
        <f>IFERROR(__xludf.DUMMYFUNCTION("IF(C5195&lt;&gt;"""", GOOGLETRANSLATE(C5195, ""en"", ""te""),"""")"),"")</f>
        <v/>
      </c>
      <c r="E5195" s="2"/>
      <c r="F5195" s="2" t="str">
        <f>IFERROR(__xludf.DUMMYFUNCTION("IF(E5195&lt;&gt;"""", GOOGLETRANSLATE(E5195, ""en"", ""te""),"""")"),"")</f>
        <v/>
      </c>
      <c r="G5195" s="2"/>
      <c r="H5195" s="2" t="str">
        <f>IFERROR(__xludf.DUMMYFUNCTION("IF(G5195&lt;&gt;"""", GOOGLETRANSLATE(G5195, ""en"", ""te""),"""")"),"")</f>
        <v/>
      </c>
      <c r="I5195" s="3"/>
    </row>
    <row r="5196" customHeight="1" spans="1:9">
      <c r="A5196" s="2"/>
      <c r="B5196" s="2" t="str">
        <f>IFERROR(__xludf.DUMMYFUNCTION("IF(A5196&lt;&gt;"""", GOOGLETRANSLATE(A5196, ""en"", ""te""),"""")"),"")</f>
        <v/>
      </c>
      <c r="C5196" s="2"/>
      <c r="D5196" s="2" t="str">
        <f>IFERROR(__xludf.DUMMYFUNCTION("IF(C5196&lt;&gt;"""", GOOGLETRANSLATE(C5196, ""en"", ""te""),"""")"),"")</f>
        <v/>
      </c>
      <c r="E5196" s="2"/>
      <c r="F5196" s="2" t="str">
        <f>IFERROR(__xludf.DUMMYFUNCTION("IF(E5196&lt;&gt;"""", GOOGLETRANSLATE(E5196, ""en"", ""te""),"""")"),"")</f>
        <v/>
      </c>
      <c r="G5196" s="2"/>
      <c r="H5196" s="2" t="str">
        <f>IFERROR(__xludf.DUMMYFUNCTION("IF(G5196&lt;&gt;"""", GOOGLETRANSLATE(G5196, ""en"", ""te""),"""")"),"")</f>
        <v/>
      </c>
      <c r="I5196" s="3"/>
    </row>
    <row r="5197" customHeight="1" spans="1:9">
      <c r="A5197" s="2"/>
      <c r="B5197" s="2" t="str">
        <f>IFERROR(__xludf.DUMMYFUNCTION("IF(A5197&lt;&gt;"""", GOOGLETRANSLATE(A5197, ""en"", ""te""),"""")"),"")</f>
        <v/>
      </c>
      <c r="C5197" s="2"/>
      <c r="D5197" s="2" t="str">
        <f>IFERROR(__xludf.DUMMYFUNCTION("IF(C5197&lt;&gt;"""", GOOGLETRANSLATE(C5197, ""en"", ""te""),"""")"),"")</f>
        <v/>
      </c>
      <c r="E5197" s="2"/>
      <c r="F5197" s="2" t="str">
        <f>IFERROR(__xludf.DUMMYFUNCTION("IF(E5197&lt;&gt;"""", GOOGLETRANSLATE(E5197, ""en"", ""te""),"""")"),"")</f>
        <v/>
      </c>
      <c r="G5197" s="2"/>
      <c r="H5197" s="2" t="str">
        <f>IFERROR(__xludf.DUMMYFUNCTION("IF(G5197&lt;&gt;"""", GOOGLETRANSLATE(G5197, ""en"", ""te""),"""")"),"")</f>
        <v/>
      </c>
      <c r="I5197" s="3"/>
    </row>
    <row r="5198" customHeight="1" spans="1:9">
      <c r="A5198" s="2" t="s">
        <v>3485</v>
      </c>
      <c r="B5198" s="2" t="str">
        <f>IFERROR(__xludf.DUMMYFUNCTION("IF(A5198&lt;&gt;"""", GOOGLETRANSLATE(A5198, ""en"", ""te""),"""")"),"[ '10 వ చెత్త కెరీర్లో సమ్మె రేటు (125.2)', '2 వ అత్యుత్తమ బౌలింగ్ ఇన్నింగ్స్ లో విశ్లేషించడం (4/1)', 'ఇన్నింగ్స్ లో 6 వ ఉత్తమ ఆర్థిక రేటు (0.16)', '10 వ అత్యధిక వికెట్లు ఆకర్షించింది తీసుకున్న మరియు బౌల్డ్ (8 ) ']")</f>
        <v>[ '10 వ చెత్త కెరీర్లో సమ్మె రేటు (125.2)', '2 వ అత్యుత్తమ బౌలింగ్ ఇన్నింగ్స్ లో విశ్లేషించడం (4/1)', 'ఇన్నింగ్స్ లో 6 వ ఉత్తమ ఆర్థిక రేటు (0.16)', '10 వ అత్యధిక వికెట్లు ఆకర్షించింది తీసుకున్న మరియు బౌల్డ్ (8 ) ']</v>
      </c>
      <c r="C5198" s="2" t="s">
        <v>3486</v>
      </c>
      <c r="D5198" s="2" t="str">
        <f>IFERROR(__xludf.DUMMYFUNCTION("IF(C5198&lt;&gt;"""", GOOGLETRANSLATE(C5198, ""en"", ""te""),"""")"),"[ '11 వ చెత్త కెరీర్ బౌలింగ్ సరాసరి (42.25)', '10 వ చెత్త కెరీర్లో సమ్మె రేటు (125.2)']")</f>
        <v>[ '11 వ చెత్త కెరీర్ బౌలింగ్ సరాసరి (42.25)', '10 వ చెత్త కెరీర్లో సమ్మె రేటు (125.2)']</v>
      </c>
      <c r="E5198" s="2" t="s">
        <v>3487</v>
      </c>
      <c r="F5198" s="2" t="str">
        <f>IFERROR(__xludf.DUMMYFUNCTION("IF(E5198&lt;&gt;"""", GOOGLETRANSLATE(E5198, ""en"", ""te""),"""")"),"[ '11 వ ఒక ఇన్నింగ్స్ లోని బెస్ట్ ఫిగర్స్ ఉన్నప్పుడు పరాజయం వైపు (4)', '35 వ ఉత్తమ కెరీర్ ఆర్థిక రేటు (2.79)', '6 వ ఉత్తమ ఆర్ధిక వ్యవస్థలో రేటు' 2 వ అత్యుత్తమ బౌలింగ్ (4/1) ఇన్నింగ్స్ విశ్లేషణలలో ' ఇన్నింగ్స్ (0.16) ',' ఇన్నింగ్స్ లో 43 ఉత్తమ సమ్మె రేటు "&amp;"(9.0) ',' 25 వ అత్యంత నాలుగు వికెట్లు-ఇన్-ఒక-ఇన్నింగ్స్ కెరీర్లో (4) ',' 10 వ అత్యధిక వికెట్లు తీసుకున్న క్యాచ్ మరియు బౌల్డ్ (8 ) ',' 49 వ అత్యధిక వికెట్లు చిక్కుకున్న ఫీల్డర్ తీసుకున్న (31) ',' 29 వ అత్యధిక వికెట్లు తీసుకున్న ఎల్బిడబ్ల్యు (14) ']")</f>
        <v>[ '11 వ ఒక ఇన్నింగ్స్ లోని బెస్ట్ ఫిగర్స్ ఉన్నప్పుడు పరాజయం వైపు (4)', '35 వ ఉత్తమ కెరీర్ ఆర్థిక రేటు (2.79)', '6 వ ఉత్తమ ఆర్ధిక వ్యవస్థలో రేటు' 2 వ అత్యుత్తమ బౌలింగ్ (4/1) ఇన్నింగ్స్ విశ్లేషణలలో ' ఇన్నింగ్స్ (0.16) ',' ఇన్నింగ్స్ లో 43 ఉత్తమ సమ్మె రేటు (9.0) ',' 25 వ అత్యంత నాలుగు వికెట్లు-ఇన్-ఒక-ఇన్నింగ్స్ కెరీర్లో (4) ',' 10 వ అత్యధిక వికెట్లు తీసుకున్న క్యాచ్ మరియు బౌల్డ్ (8 ) ',' 49 వ అత్యధిక వికెట్లు చిక్కుకున్న ఫీల్డర్ తీసుకున్న (31) ',' 29 వ అత్యధిక వికెట్లు తీసుకున్న ఎల్బిడబ్ల్యు (14) ']</v>
      </c>
      <c r="G5198" s="2"/>
      <c r="H5198" s="2" t="str">
        <f>IFERROR(__xludf.DUMMYFUNCTION("IF(G5198&lt;&gt;"""", GOOGLETRANSLATE(G5198, ""en"", ""te""),"""")"),"")</f>
        <v/>
      </c>
      <c r="I5198" s="3"/>
    </row>
    <row r="5199" customHeight="1" spans="1:9">
      <c r="A5199" s="2"/>
      <c r="B5199" s="2" t="str">
        <f>IFERROR(__xludf.DUMMYFUNCTION("IF(A5199&lt;&gt;"""", GOOGLETRANSLATE(A5199, ""en"", ""te""),"""")"),"")</f>
        <v/>
      </c>
      <c r="C5199" s="2"/>
      <c r="D5199" s="2" t="str">
        <f>IFERROR(__xludf.DUMMYFUNCTION("IF(C5199&lt;&gt;"""", GOOGLETRANSLATE(C5199, ""en"", ""te""),"""")"),"")</f>
        <v/>
      </c>
      <c r="E5199" s="2"/>
      <c r="F5199" s="2" t="str">
        <f>IFERROR(__xludf.DUMMYFUNCTION("IF(E5199&lt;&gt;"""", GOOGLETRANSLATE(E5199, ""en"", ""te""),"""")"),"")</f>
        <v/>
      </c>
      <c r="G5199" s="2"/>
      <c r="H5199" s="2" t="str">
        <f>IFERROR(__xludf.DUMMYFUNCTION("IF(G5199&lt;&gt;"""", GOOGLETRANSLATE(G5199, ""en"", ""te""),"""")"),"")</f>
        <v/>
      </c>
      <c r="I5199" s="3"/>
    </row>
    <row r="5200" customHeight="1" spans="1:9">
      <c r="A5200" s="2"/>
      <c r="B5200" s="2" t="str">
        <f>IFERROR(__xludf.DUMMYFUNCTION("IF(A5200&lt;&gt;"""", GOOGLETRANSLATE(A5200, ""en"", ""te""),"""")"),"")</f>
        <v/>
      </c>
      <c r="C5200" s="2"/>
      <c r="D5200" s="2" t="str">
        <f>IFERROR(__xludf.DUMMYFUNCTION("IF(C5200&lt;&gt;"""", GOOGLETRANSLATE(C5200, ""en"", ""te""),"""")"),"")</f>
        <v/>
      </c>
      <c r="E5200" s="2"/>
      <c r="F5200" s="2" t="str">
        <f>IFERROR(__xludf.DUMMYFUNCTION("IF(E5200&lt;&gt;"""", GOOGLETRANSLATE(E5200, ""en"", ""te""),"""")"),"")</f>
        <v/>
      </c>
      <c r="G5200" s="2"/>
      <c r="H5200" s="2" t="str">
        <f>IFERROR(__xludf.DUMMYFUNCTION("IF(G5200&lt;&gt;"""", GOOGLETRANSLATE(G5200, ""en"", ""te""),"""")"),"")</f>
        <v/>
      </c>
      <c r="I5200" s="3"/>
    </row>
    <row r="5201" customHeight="1" spans="1:9">
      <c r="A5201" s="2"/>
      <c r="B5201" s="2" t="str">
        <f>IFERROR(__xludf.DUMMYFUNCTION("IF(A5201&lt;&gt;"""", GOOGLETRANSLATE(A5201, ""en"", ""te""),"""")"),"")</f>
        <v/>
      </c>
      <c r="C5201" s="2"/>
      <c r="D5201" s="2" t="str">
        <f>IFERROR(__xludf.DUMMYFUNCTION("IF(C5201&lt;&gt;"""", GOOGLETRANSLATE(C5201, ""en"", ""te""),"""")"),"")</f>
        <v/>
      </c>
      <c r="E5201" s="2"/>
      <c r="F5201" s="2" t="str">
        <f>IFERROR(__xludf.DUMMYFUNCTION("IF(E5201&lt;&gt;"""", GOOGLETRANSLATE(E5201, ""en"", ""te""),"""")"),"")</f>
        <v/>
      </c>
      <c r="G5201" s="2"/>
      <c r="H5201" s="2" t="str">
        <f>IFERROR(__xludf.DUMMYFUNCTION("IF(G5201&lt;&gt;"""", GOOGLETRANSLATE(G5201, ""en"", ""te""),"""")"),"")</f>
        <v/>
      </c>
      <c r="I5201" s="3"/>
    </row>
    <row r="5202" customHeight="1" spans="1:9">
      <c r="A5202" s="2"/>
      <c r="B5202" s="2" t="str">
        <f>IFERROR(__xludf.DUMMYFUNCTION("IF(A5202&lt;&gt;"""", GOOGLETRANSLATE(A5202, ""en"", ""te""),"""")"),"")</f>
        <v/>
      </c>
      <c r="C5202" s="2"/>
      <c r="D5202" s="2" t="str">
        <f>IFERROR(__xludf.DUMMYFUNCTION("IF(C5202&lt;&gt;"""", GOOGLETRANSLATE(C5202, ""en"", ""te""),"""")"),"")</f>
        <v/>
      </c>
      <c r="E5202" s="2"/>
      <c r="F5202" s="2" t="str">
        <f>IFERROR(__xludf.DUMMYFUNCTION("IF(E5202&lt;&gt;"""", GOOGLETRANSLATE(E5202, ""en"", ""te""),"""")"),"")</f>
        <v/>
      </c>
      <c r="G5202" s="2"/>
      <c r="H5202" s="2" t="str">
        <f>IFERROR(__xludf.DUMMYFUNCTION("IF(G5202&lt;&gt;"""", GOOGLETRANSLATE(G5202, ""en"", ""te""),"""")"),"")</f>
        <v/>
      </c>
      <c r="I5202" s="3"/>
    </row>
    <row r="5203" customHeight="1" spans="1:9">
      <c r="A5203" s="2"/>
      <c r="B5203" s="2" t="str">
        <f>IFERROR(__xludf.DUMMYFUNCTION("IF(A5203&lt;&gt;"""", GOOGLETRANSLATE(A5203, ""en"", ""te""),"""")"),"")</f>
        <v/>
      </c>
      <c r="C5203" s="2"/>
      <c r="D5203" s="2" t="str">
        <f>IFERROR(__xludf.DUMMYFUNCTION("IF(C5203&lt;&gt;"""", GOOGLETRANSLATE(C5203, ""en"", ""te""),"""")"),"")</f>
        <v/>
      </c>
      <c r="E5203" s="2"/>
      <c r="F5203" s="2" t="str">
        <f>IFERROR(__xludf.DUMMYFUNCTION("IF(E5203&lt;&gt;"""", GOOGLETRANSLATE(E5203, ""en"", ""te""),"""")"),"")</f>
        <v/>
      </c>
      <c r="G5203" s="2"/>
      <c r="H5203" s="2" t="str">
        <f>IFERROR(__xludf.DUMMYFUNCTION("IF(G5203&lt;&gt;"""", GOOGLETRANSLATE(G5203, ""en"", ""te""),"""")"),"")</f>
        <v/>
      </c>
      <c r="I5203" s="3"/>
    </row>
    <row r="5204" customHeight="1" spans="1:9">
      <c r="A5204" s="2"/>
      <c r="B5204" s="2" t="str">
        <f>IFERROR(__xludf.DUMMYFUNCTION("IF(A5204&lt;&gt;"""", GOOGLETRANSLATE(A5204, ""en"", ""te""),"""")"),"")</f>
        <v/>
      </c>
      <c r="C5204" s="2"/>
      <c r="D5204" s="2" t="str">
        <f>IFERROR(__xludf.DUMMYFUNCTION("IF(C5204&lt;&gt;"""", GOOGLETRANSLATE(C5204, ""en"", ""te""),"""")"),"")</f>
        <v/>
      </c>
      <c r="E5204" s="2"/>
      <c r="F5204" s="2" t="str">
        <f>IFERROR(__xludf.DUMMYFUNCTION("IF(E5204&lt;&gt;"""", GOOGLETRANSLATE(E5204, ""en"", ""te""),"""")"),"")</f>
        <v/>
      </c>
      <c r="G5204" s="2"/>
      <c r="H5204" s="2" t="str">
        <f>IFERROR(__xludf.DUMMYFUNCTION("IF(G5204&lt;&gt;"""", GOOGLETRANSLATE(G5204, ""en"", ""te""),"""")"),"")</f>
        <v/>
      </c>
      <c r="I5204" s="3"/>
    </row>
    <row r="5205" customHeight="1" spans="1:9">
      <c r="A5205" s="2"/>
      <c r="B5205" s="2" t="str">
        <f>IFERROR(__xludf.DUMMYFUNCTION("IF(A5205&lt;&gt;"""", GOOGLETRANSLATE(A5205, ""en"", ""te""),"""")"),"")</f>
        <v/>
      </c>
      <c r="C5205" s="2"/>
      <c r="D5205" s="2" t="str">
        <f>IFERROR(__xludf.DUMMYFUNCTION("IF(C5205&lt;&gt;"""", GOOGLETRANSLATE(C5205, ""en"", ""te""),"""")"),"")</f>
        <v/>
      </c>
      <c r="E5205" s="2"/>
      <c r="F5205" s="2" t="str">
        <f>IFERROR(__xludf.DUMMYFUNCTION("IF(E5205&lt;&gt;"""", GOOGLETRANSLATE(E5205, ""en"", ""te""),"""")"),"")</f>
        <v/>
      </c>
      <c r="G5205" s="2"/>
      <c r="H5205" s="2" t="str">
        <f>IFERROR(__xludf.DUMMYFUNCTION("IF(G5205&lt;&gt;"""", GOOGLETRANSLATE(G5205, ""en"", ""te""),"""")"),"")</f>
        <v/>
      </c>
      <c r="I5205" s="3"/>
    </row>
    <row r="5206" customHeight="1" spans="1:9">
      <c r="A5206" s="2" t="s">
        <v>3488</v>
      </c>
      <c r="B5206" s="2" t="str">
        <f>IFERROR(__xludf.DUMMYFUNCTION("IF(A5206&lt;&gt;"""", GOOGLETRANSLATE(A5206, ""en"", ""te""),"""")"),"[ '2 వ చెత్త కెరీర్ బౌలింగ్ సరాసరి (అర్హత లేకుండా) (141.00)']")</f>
        <v>[ '2 వ చెత్త కెరీర్ బౌలింగ్ సరాసరి (అర్హత లేకుండా) (141.00)']</v>
      </c>
      <c r="C5206" s="2" t="s">
        <v>3488</v>
      </c>
      <c r="D5206" s="2" t="str">
        <f>IFERROR(__xludf.DUMMYFUNCTION("IF(C5206&lt;&gt;"""", GOOGLETRANSLATE(C5206, ""en"", ""te""),"""")"),"[ '2 వ చెత్త కెరీర్ బౌలింగ్ సరాసరి (అర్హత లేకుండా) (141.00)']")</f>
        <v>[ '2 వ చెత్త కెరీర్ బౌలింగ్ సరాసరి (అర్హత లేకుండా) (141.00)']</v>
      </c>
      <c r="E5206" s="2"/>
      <c r="F5206" s="2" t="str">
        <f>IFERROR(__xludf.DUMMYFUNCTION("IF(E5206&lt;&gt;"""", GOOGLETRANSLATE(E5206, ""en"", ""te""),"""")"),"")</f>
        <v/>
      </c>
      <c r="G5206" s="2"/>
      <c r="H5206" s="2" t="str">
        <f>IFERROR(__xludf.DUMMYFUNCTION("IF(G5206&lt;&gt;"""", GOOGLETRANSLATE(G5206, ""en"", ""te""),"""")"),"")</f>
        <v/>
      </c>
      <c r="I5206" s="3"/>
    </row>
    <row r="5207" customHeight="1" spans="1:9">
      <c r="A5207" s="2"/>
      <c r="B5207" s="2" t="str">
        <f>IFERROR(__xludf.DUMMYFUNCTION("IF(A5207&lt;&gt;"""", GOOGLETRANSLATE(A5207, ""en"", ""te""),"""")"),"")</f>
        <v/>
      </c>
      <c r="C5207" s="2"/>
      <c r="D5207" s="2" t="str">
        <f>IFERROR(__xludf.DUMMYFUNCTION("IF(C5207&lt;&gt;"""", GOOGLETRANSLATE(C5207, ""en"", ""te""),"""")"),"")</f>
        <v/>
      </c>
      <c r="E5207" s="2"/>
      <c r="F5207" s="2" t="str">
        <f>IFERROR(__xludf.DUMMYFUNCTION("IF(E5207&lt;&gt;"""", GOOGLETRANSLATE(E5207, ""en"", ""te""),"""")"),"")</f>
        <v/>
      </c>
      <c r="G5207" s="2"/>
      <c r="H5207" s="2" t="str">
        <f>IFERROR(__xludf.DUMMYFUNCTION("IF(G5207&lt;&gt;"""", GOOGLETRANSLATE(G5207, ""en"", ""te""),"""")"),"")</f>
        <v/>
      </c>
      <c r="I5207" s="3"/>
    </row>
    <row r="5208" customHeight="1" spans="1:9">
      <c r="A5208" s="2"/>
      <c r="B5208" s="2" t="str">
        <f>IFERROR(__xludf.DUMMYFUNCTION("IF(A5208&lt;&gt;"""", GOOGLETRANSLATE(A5208, ""en"", ""te""),"""")"),"")</f>
        <v/>
      </c>
      <c r="C5208" s="2"/>
      <c r="D5208" s="2" t="str">
        <f>IFERROR(__xludf.DUMMYFUNCTION("IF(C5208&lt;&gt;"""", GOOGLETRANSLATE(C5208, ""en"", ""te""),"""")"),"")</f>
        <v/>
      </c>
      <c r="E5208" s="2"/>
      <c r="F5208" s="2" t="str">
        <f>IFERROR(__xludf.DUMMYFUNCTION("IF(E5208&lt;&gt;"""", GOOGLETRANSLATE(E5208, ""en"", ""te""),"""")"),"")</f>
        <v/>
      </c>
      <c r="G5208" s="2"/>
      <c r="H5208" s="2" t="str">
        <f>IFERROR(__xludf.DUMMYFUNCTION("IF(G5208&lt;&gt;"""", GOOGLETRANSLATE(G5208, ""en"", ""te""),"""")"),"")</f>
        <v/>
      </c>
      <c r="I5208" s="3"/>
    </row>
    <row r="5209" customHeight="1" spans="1:9">
      <c r="A5209" s="2"/>
      <c r="B5209" s="2" t="str">
        <f>IFERROR(__xludf.DUMMYFUNCTION("IF(A5209&lt;&gt;"""", GOOGLETRANSLATE(A5209, ""en"", ""te""),"""")"),"")</f>
        <v/>
      </c>
      <c r="C5209" s="2"/>
      <c r="D5209" s="2" t="str">
        <f>IFERROR(__xludf.DUMMYFUNCTION("IF(C5209&lt;&gt;"""", GOOGLETRANSLATE(C5209, ""en"", ""te""),"""")"),"")</f>
        <v/>
      </c>
      <c r="E5209" s="2"/>
      <c r="F5209" s="2" t="str">
        <f>IFERROR(__xludf.DUMMYFUNCTION("IF(E5209&lt;&gt;"""", GOOGLETRANSLATE(E5209, ""en"", ""te""),"""")"),"")</f>
        <v/>
      </c>
      <c r="G5209" s="2"/>
      <c r="H5209" s="2" t="str">
        <f>IFERROR(__xludf.DUMMYFUNCTION("IF(G5209&lt;&gt;"""", GOOGLETRANSLATE(G5209, ""en"", ""te""),"""")"),"")</f>
        <v/>
      </c>
      <c r="I5209" s="3"/>
    </row>
    <row r="5210" customHeight="1" spans="1:9">
      <c r="A5210" s="2"/>
      <c r="B5210" s="2" t="str">
        <f>IFERROR(__xludf.DUMMYFUNCTION("IF(A5210&lt;&gt;"""", GOOGLETRANSLATE(A5210, ""en"", ""te""),"""")"),"")</f>
        <v/>
      </c>
      <c r="C5210" s="2"/>
      <c r="D5210" s="2" t="str">
        <f>IFERROR(__xludf.DUMMYFUNCTION("IF(C5210&lt;&gt;"""", GOOGLETRANSLATE(C5210, ""en"", ""te""),"""")"),"")</f>
        <v/>
      </c>
      <c r="E5210" s="2"/>
      <c r="F5210" s="2" t="str">
        <f>IFERROR(__xludf.DUMMYFUNCTION("IF(E5210&lt;&gt;"""", GOOGLETRANSLATE(E5210, ""en"", ""te""),"""")"),"")</f>
        <v/>
      </c>
      <c r="G5210" s="2"/>
      <c r="H5210" s="2" t="str">
        <f>IFERROR(__xludf.DUMMYFUNCTION("IF(G5210&lt;&gt;"""", GOOGLETRANSLATE(G5210, ""en"", ""te""),"""")"),"")</f>
        <v/>
      </c>
      <c r="I5210" s="3"/>
    </row>
    <row r="5211" customHeight="1" spans="1:9">
      <c r="A5211" s="2"/>
      <c r="B5211" s="2" t="str">
        <f>IFERROR(__xludf.DUMMYFUNCTION("IF(A5211&lt;&gt;"""", GOOGLETRANSLATE(A5211, ""en"", ""te""),"""")"),"")</f>
        <v/>
      </c>
      <c r="C5211" s="2"/>
      <c r="D5211" s="2" t="str">
        <f>IFERROR(__xludf.DUMMYFUNCTION("IF(C5211&lt;&gt;"""", GOOGLETRANSLATE(C5211, ""en"", ""te""),"""")"),"")</f>
        <v/>
      </c>
      <c r="E5211" s="2"/>
      <c r="F5211" s="2" t="str">
        <f>IFERROR(__xludf.DUMMYFUNCTION("IF(E5211&lt;&gt;"""", GOOGLETRANSLATE(E5211, ""en"", ""te""),"""")"),"")</f>
        <v/>
      </c>
      <c r="G5211" s="2"/>
      <c r="H5211" s="2" t="str">
        <f>IFERROR(__xludf.DUMMYFUNCTION("IF(G5211&lt;&gt;"""", GOOGLETRANSLATE(G5211, ""en"", ""te""),"""")"),"")</f>
        <v/>
      </c>
      <c r="I5211" s="3"/>
    </row>
    <row r="5212" customHeight="1" spans="1:9">
      <c r="A5212" s="2"/>
      <c r="B5212" s="2" t="str">
        <f>IFERROR(__xludf.DUMMYFUNCTION("IF(A5212&lt;&gt;"""", GOOGLETRANSLATE(A5212, ""en"", ""te""),"""")"),"")</f>
        <v/>
      </c>
      <c r="C5212" s="2"/>
      <c r="D5212" s="2" t="str">
        <f>IFERROR(__xludf.DUMMYFUNCTION("IF(C5212&lt;&gt;"""", GOOGLETRANSLATE(C5212, ""en"", ""te""),"""")"),"")</f>
        <v/>
      </c>
      <c r="E5212" s="2"/>
      <c r="F5212" s="2" t="str">
        <f>IFERROR(__xludf.DUMMYFUNCTION("IF(E5212&lt;&gt;"""", GOOGLETRANSLATE(E5212, ""en"", ""te""),"""")"),"")</f>
        <v/>
      </c>
      <c r="G5212" s="2"/>
      <c r="H5212" s="2" t="str">
        <f>IFERROR(__xludf.DUMMYFUNCTION("IF(G5212&lt;&gt;"""", GOOGLETRANSLATE(G5212, ""en"", ""te""),"""")"),"")</f>
        <v/>
      </c>
      <c r="I5212" s="3"/>
    </row>
    <row r="5213" customHeight="1" spans="1:9">
      <c r="A5213" s="2"/>
      <c r="B5213" s="2" t="str">
        <f>IFERROR(__xludf.DUMMYFUNCTION("IF(A5213&lt;&gt;"""", GOOGLETRANSLATE(A5213, ""en"", ""te""),"""")"),"")</f>
        <v/>
      </c>
      <c r="C5213" s="2"/>
      <c r="D5213" s="2" t="str">
        <f>IFERROR(__xludf.DUMMYFUNCTION("IF(C5213&lt;&gt;"""", GOOGLETRANSLATE(C5213, ""en"", ""te""),"""")"),"")</f>
        <v/>
      </c>
      <c r="E5213" s="2"/>
      <c r="F5213" s="2" t="str">
        <f>IFERROR(__xludf.DUMMYFUNCTION("IF(E5213&lt;&gt;"""", GOOGLETRANSLATE(E5213, ""en"", ""te""),"""")"),"")</f>
        <v/>
      </c>
      <c r="G5213" s="2"/>
      <c r="H5213" s="2" t="str">
        <f>IFERROR(__xludf.DUMMYFUNCTION("IF(G5213&lt;&gt;"""", GOOGLETRANSLATE(G5213, ""en"", ""te""),"""")"),"")</f>
        <v/>
      </c>
      <c r="I5213" s="3"/>
    </row>
    <row r="5214" customHeight="1" spans="1:9">
      <c r="A5214" s="2"/>
      <c r="B5214" s="2" t="str">
        <f>IFERROR(__xludf.DUMMYFUNCTION("IF(A5214&lt;&gt;"""", GOOGLETRANSLATE(A5214, ""en"", ""te""),"""")"),"")</f>
        <v/>
      </c>
      <c r="C5214" s="2"/>
      <c r="D5214" s="2" t="str">
        <f>IFERROR(__xludf.DUMMYFUNCTION("IF(C5214&lt;&gt;"""", GOOGLETRANSLATE(C5214, ""en"", ""te""),"""")"),"")</f>
        <v/>
      </c>
      <c r="E5214" s="2"/>
      <c r="F5214" s="2" t="str">
        <f>IFERROR(__xludf.DUMMYFUNCTION("IF(E5214&lt;&gt;"""", GOOGLETRANSLATE(E5214, ""en"", ""te""),"""")"),"")</f>
        <v/>
      </c>
      <c r="G5214" s="2"/>
      <c r="H5214" s="2" t="str">
        <f>IFERROR(__xludf.DUMMYFUNCTION("IF(G5214&lt;&gt;"""", GOOGLETRANSLATE(G5214, ""en"", ""te""),"""")"),"")</f>
        <v/>
      </c>
      <c r="I5214" s="3"/>
    </row>
    <row r="5215" customHeight="1" spans="1:9">
      <c r="A5215" s="2"/>
      <c r="B5215" s="2" t="str">
        <f>IFERROR(__xludf.DUMMYFUNCTION("IF(A5215&lt;&gt;"""", GOOGLETRANSLATE(A5215, ""en"", ""te""),"""")"),"")</f>
        <v/>
      </c>
      <c r="C5215" s="2" t="s">
        <v>3489</v>
      </c>
      <c r="D5215" s="2" t="str">
        <f>IFERROR(__xludf.DUMMYFUNCTION("IF(C5215&lt;&gt;"""", GOOGLETRANSLATE(C5215, ""en"", ""te""),"""")"),"[ '41 వ వరుస మ్యాచ్లు ప్రదర్శనల మధ్య బృందం (56) కోసం తప్పిన']")</f>
        <v>[ '41 వ వరుస మ్యాచ్లు ప్రదర్శనల మధ్య బృందం (56) కోసం తప్పిన']</v>
      </c>
      <c r="E5215" s="2"/>
      <c r="F5215" s="2" t="str">
        <f>IFERROR(__xludf.DUMMYFUNCTION("IF(E5215&lt;&gt;"""", GOOGLETRANSLATE(E5215, ""en"", ""te""),"""")"),"")</f>
        <v/>
      </c>
      <c r="G5215" s="2"/>
      <c r="H5215" s="2" t="str">
        <f>IFERROR(__xludf.DUMMYFUNCTION("IF(G5215&lt;&gt;"""", GOOGLETRANSLATE(G5215, ""en"", ""te""),"""")"),"")</f>
        <v/>
      </c>
      <c r="I5215" s="3"/>
    </row>
    <row r="5216" customHeight="1" spans="1:9">
      <c r="A5216" s="2"/>
      <c r="B5216" s="2" t="str">
        <f>IFERROR(__xludf.DUMMYFUNCTION("IF(A5216&lt;&gt;"""", GOOGLETRANSLATE(A5216, ""en"", ""te""),"""")"),"")</f>
        <v/>
      </c>
      <c r="C5216" s="2"/>
      <c r="D5216" s="2" t="str">
        <f>IFERROR(__xludf.DUMMYFUNCTION("IF(C5216&lt;&gt;"""", GOOGLETRANSLATE(C5216, ""en"", ""te""),"""")"),"")</f>
        <v/>
      </c>
      <c r="E5216" s="2"/>
      <c r="F5216" s="2" t="str">
        <f>IFERROR(__xludf.DUMMYFUNCTION("IF(E5216&lt;&gt;"""", GOOGLETRANSLATE(E5216, ""en"", ""te""),"""")"),"")</f>
        <v/>
      </c>
      <c r="G5216" s="2"/>
      <c r="H5216" s="2" t="str">
        <f>IFERROR(__xludf.DUMMYFUNCTION("IF(G5216&lt;&gt;"""", GOOGLETRANSLATE(G5216, ""en"", ""te""),"""")"),"")</f>
        <v/>
      </c>
      <c r="I5216" s="3"/>
    </row>
    <row r="5217" customHeight="1" spans="1:9">
      <c r="A5217" s="2"/>
      <c r="B5217" s="2" t="str">
        <f>IFERROR(__xludf.DUMMYFUNCTION("IF(A5217&lt;&gt;"""", GOOGLETRANSLATE(A5217, ""en"", ""te""),"""")"),"")</f>
        <v/>
      </c>
      <c r="C5217" s="2"/>
      <c r="D5217" s="2" t="str">
        <f>IFERROR(__xludf.DUMMYFUNCTION("IF(C5217&lt;&gt;"""", GOOGLETRANSLATE(C5217, ""en"", ""te""),"""")"),"")</f>
        <v/>
      </c>
      <c r="E5217" s="2"/>
      <c r="F5217" s="2" t="str">
        <f>IFERROR(__xludf.DUMMYFUNCTION("IF(E5217&lt;&gt;"""", GOOGLETRANSLATE(E5217, ""en"", ""te""),"""")"),"")</f>
        <v/>
      </c>
      <c r="G5217" s="2"/>
      <c r="H5217" s="2" t="str">
        <f>IFERROR(__xludf.DUMMYFUNCTION("IF(G5217&lt;&gt;"""", GOOGLETRANSLATE(G5217, ""en"", ""te""),"""")"),"")</f>
        <v/>
      </c>
      <c r="I5217" s="3"/>
    </row>
    <row r="5218" customHeight="1" spans="1:9">
      <c r="A5218" s="2"/>
      <c r="B5218" s="2" t="str">
        <f>IFERROR(__xludf.DUMMYFUNCTION("IF(A5218&lt;&gt;"""", GOOGLETRANSLATE(A5218, ""en"", ""te""),"""")"),"")</f>
        <v/>
      </c>
      <c r="C5218" s="2"/>
      <c r="D5218" s="2" t="str">
        <f>IFERROR(__xludf.DUMMYFUNCTION("IF(C5218&lt;&gt;"""", GOOGLETRANSLATE(C5218, ""en"", ""te""),"""")"),"")</f>
        <v/>
      </c>
      <c r="E5218" s="2"/>
      <c r="F5218" s="2" t="str">
        <f>IFERROR(__xludf.DUMMYFUNCTION("IF(E5218&lt;&gt;"""", GOOGLETRANSLATE(E5218, ""en"", ""te""),"""")"),"")</f>
        <v/>
      </c>
      <c r="G5218" s="2"/>
      <c r="H5218" s="2" t="str">
        <f>IFERROR(__xludf.DUMMYFUNCTION("IF(G5218&lt;&gt;"""", GOOGLETRANSLATE(G5218, ""en"", ""te""),"""")"),"")</f>
        <v/>
      </c>
      <c r="I5218" s="3"/>
    </row>
    <row r="5219" customHeight="1" spans="1:9">
      <c r="A5219" s="2"/>
      <c r="B5219" s="2" t="str">
        <f>IFERROR(__xludf.DUMMYFUNCTION("IF(A5219&lt;&gt;"""", GOOGLETRANSLATE(A5219, ""en"", ""te""),"""")"),"")</f>
        <v/>
      </c>
      <c r="C5219" s="2"/>
      <c r="D5219" s="2" t="str">
        <f>IFERROR(__xludf.DUMMYFUNCTION("IF(C5219&lt;&gt;"""", GOOGLETRANSLATE(C5219, ""en"", ""te""),"""")"),"")</f>
        <v/>
      </c>
      <c r="E5219" s="2"/>
      <c r="F5219" s="2" t="str">
        <f>IFERROR(__xludf.DUMMYFUNCTION("IF(E5219&lt;&gt;"""", GOOGLETRANSLATE(E5219, ""en"", ""te""),"""")"),"")</f>
        <v/>
      </c>
      <c r="G5219" s="2"/>
      <c r="H5219" s="2" t="str">
        <f>IFERROR(__xludf.DUMMYFUNCTION("IF(G5219&lt;&gt;"""", GOOGLETRANSLATE(G5219, ""en"", ""te""),"""")"),"")</f>
        <v/>
      </c>
      <c r="I5219" s="3"/>
    </row>
    <row r="5220" customHeight="1" spans="1:9">
      <c r="A5220" s="2"/>
      <c r="B5220" s="2" t="str">
        <f>IFERROR(__xludf.DUMMYFUNCTION("IF(A5220&lt;&gt;"""", GOOGLETRANSLATE(A5220, ""en"", ""te""),"""")"),"")</f>
        <v/>
      </c>
      <c r="C5220" s="2"/>
      <c r="D5220" s="2" t="str">
        <f>IFERROR(__xludf.DUMMYFUNCTION("IF(C5220&lt;&gt;"""", GOOGLETRANSLATE(C5220, ""en"", ""te""),"""")"),"")</f>
        <v/>
      </c>
      <c r="E5220" s="2"/>
      <c r="F5220" s="2" t="str">
        <f>IFERROR(__xludf.DUMMYFUNCTION("IF(E5220&lt;&gt;"""", GOOGLETRANSLATE(E5220, ""en"", ""te""),"""")"),"")</f>
        <v/>
      </c>
      <c r="G5220" s="2"/>
      <c r="H5220" s="2" t="str">
        <f>IFERROR(__xludf.DUMMYFUNCTION("IF(G5220&lt;&gt;"""", GOOGLETRANSLATE(G5220, ""en"", ""te""),"""")"),"")</f>
        <v/>
      </c>
      <c r="I5220" s="3"/>
    </row>
    <row r="5221" customHeight="1" spans="1:9">
      <c r="A5221" s="2"/>
      <c r="B5221" s="2" t="str">
        <f>IFERROR(__xludf.DUMMYFUNCTION("IF(A5221&lt;&gt;"""", GOOGLETRANSLATE(A5221, ""en"", ""te""),"""")"),"")</f>
        <v/>
      </c>
      <c r="C5221" s="2"/>
      <c r="D5221" s="2" t="str">
        <f>IFERROR(__xludf.DUMMYFUNCTION("IF(C5221&lt;&gt;"""", GOOGLETRANSLATE(C5221, ""en"", ""te""),"""")"),"")</f>
        <v/>
      </c>
      <c r="E5221" s="2"/>
      <c r="F5221" s="2" t="str">
        <f>IFERROR(__xludf.DUMMYFUNCTION("IF(E5221&lt;&gt;"""", GOOGLETRANSLATE(E5221, ""en"", ""te""),"""")"),"")</f>
        <v/>
      </c>
      <c r="G5221" s="2"/>
      <c r="H5221" s="2" t="str">
        <f>IFERROR(__xludf.DUMMYFUNCTION("IF(G5221&lt;&gt;"""", GOOGLETRANSLATE(G5221, ""en"", ""te""),"""")"),"")</f>
        <v/>
      </c>
      <c r="I5221" s="3"/>
    </row>
    <row r="5222" customHeight="1" spans="1:9">
      <c r="A5222" s="2"/>
      <c r="B5222" s="2" t="str">
        <f>IFERROR(__xludf.DUMMYFUNCTION("IF(A5222&lt;&gt;"""", GOOGLETRANSLATE(A5222, ""en"", ""te""),"""")"),"")</f>
        <v/>
      </c>
      <c r="C5222" s="2"/>
      <c r="D5222" s="2" t="str">
        <f>IFERROR(__xludf.DUMMYFUNCTION("IF(C5222&lt;&gt;"""", GOOGLETRANSLATE(C5222, ""en"", ""te""),"""")"),"")</f>
        <v/>
      </c>
      <c r="E5222" s="2"/>
      <c r="F5222" s="2" t="str">
        <f>IFERROR(__xludf.DUMMYFUNCTION("IF(E5222&lt;&gt;"""", GOOGLETRANSLATE(E5222, ""en"", ""te""),"""")"),"")</f>
        <v/>
      </c>
      <c r="G5222" s="2"/>
      <c r="H5222" s="2" t="str">
        <f>IFERROR(__xludf.DUMMYFUNCTION("IF(G5222&lt;&gt;"""", GOOGLETRANSLATE(G5222, ""en"", ""te""),"""")"),"")</f>
        <v/>
      </c>
      <c r="I5222" s="3"/>
    </row>
    <row r="5223" customHeight="1" spans="1:9">
      <c r="A5223" s="2"/>
      <c r="B5223" s="2" t="str">
        <f>IFERROR(__xludf.DUMMYFUNCTION("IF(A5223&lt;&gt;"""", GOOGLETRANSLATE(A5223, ""en"", ""te""),"""")"),"")</f>
        <v/>
      </c>
      <c r="C5223" s="2"/>
      <c r="D5223" s="2" t="str">
        <f>IFERROR(__xludf.DUMMYFUNCTION("IF(C5223&lt;&gt;"""", GOOGLETRANSLATE(C5223, ""en"", ""te""),"""")"),"")</f>
        <v/>
      </c>
      <c r="E5223" s="2"/>
      <c r="F5223" s="2" t="str">
        <f>IFERROR(__xludf.DUMMYFUNCTION("IF(E5223&lt;&gt;"""", GOOGLETRANSLATE(E5223, ""en"", ""te""),"""")"),"")</f>
        <v/>
      </c>
      <c r="G5223" s="2"/>
      <c r="H5223" s="2" t="str">
        <f>IFERROR(__xludf.DUMMYFUNCTION("IF(G5223&lt;&gt;"""", GOOGLETRANSLATE(G5223, ""en"", ""te""),"""")"),"")</f>
        <v/>
      </c>
      <c r="I5223" s="3"/>
    </row>
    <row r="5224" customHeight="1" spans="1:9">
      <c r="A5224" s="2"/>
      <c r="B5224" s="2" t="str">
        <f>IFERROR(__xludf.DUMMYFUNCTION("IF(A5224&lt;&gt;"""", GOOGLETRANSLATE(A5224, ""en"", ""te""),"""")"),"")</f>
        <v/>
      </c>
      <c r="C5224" s="2"/>
      <c r="D5224" s="2" t="str">
        <f>IFERROR(__xludf.DUMMYFUNCTION("IF(C5224&lt;&gt;"""", GOOGLETRANSLATE(C5224, ""en"", ""te""),"""")"),"")</f>
        <v/>
      </c>
      <c r="E5224" s="2"/>
      <c r="F5224" s="2" t="str">
        <f>IFERROR(__xludf.DUMMYFUNCTION("IF(E5224&lt;&gt;"""", GOOGLETRANSLATE(E5224, ""en"", ""te""),"""")"),"")</f>
        <v/>
      </c>
      <c r="G5224" s="2"/>
      <c r="H5224" s="2" t="str">
        <f>IFERROR(__xludf.DUMMYFUNCTION("IF(G5224&lt;&gt;"""", GOOGLETRANSLATE(G5224, ""en"", ""te""),"""")"),"")</f>
        <v/>
      </c>
      <c r="I5224" s="3"/>
    </row>
    <row r="5225" customHeight="1" spans="1:9">
      <c r="A5225" s="2"/>
      <c r="B5225" s="2" t="str">
        <f>IFERROR(__xludf.DUMMYFUNCTION("IF(A5225&lt;&gt;"""", GOOGLETRANSLATE(A5225, ""en"", ""te""),"""")"),"")</f>
        <v/>
      </c>
      <c r="C5225" s="2"/>
      <c r="D5225" s="2" t="str">
        <f>IFERROR(__xludf.DUMMYFUNCTION("IF(C5225&lt;&gt;"""", GOOGLETRANSLATE(C5225, ""en"", ""te""),"""")"),"")</f>
        <v/>
      </c>
      <c r="E5225" s="2"/>
      <c r="F5225" s="2" t="str">
        <f>IFERROR(__xludf.DUMMYFUNCTION("IF(E5225&lt;&gt;"""", GOOGLETRANSLATE(E5225, ""en"", ""te""),"""")"),"")</f>
        <v/>
      </c>
      <c r="G5225" s="2"/>
      <c r="H5225" s="2" t="str">
        <f>IFERROR(__xludf.DUMMYFUNCTION("IF(G5225&lt;&gt;"""", GOOGLETRANSLATE(G5225, ""en"", ""te""),"""")"),"")</f>
        <v/>
      </c>
      <c r="I5225" s="3"/>
    </row>
    <row r="5226" customHeight="1" spans="1:9">
      <c r="A5226" s="2" t="s">
        <v>3490</v>
      </c>
      <c r="B5226" s="2" t="str">
        <f>IFERROR(__xludf.DUMMYFUNCTION("IF(A5226&lt;&gt;"""", GOOGLETRANSLATE(A5226, ""en"", ""te""),"""")"),"[ 'ఒక మ్యాచ్లో 1st చాలా స్టంపింగ్లు (6)']")</f>
        <v>[ 'ఒక మ్యాచ్లో 1st చాలా స్టంపింగ్లు (6)']</v>
      </c>
      <c r="C5226" s="2" t="s">
        <v>3491</v>
      </c>
      <c r="D5226" s="2" t="str">
        <f>IFERROR(__xludf.DUMMYFUNCTION("IF(C5226&lt;&gt;"""", GOOGLETRANSLATE(C5226, ""en"", ""te""),"""")"),"[ '25 వ అత్యంత వంద (1285) లేకుండా ఒక వృత్తిలో పరుగులు' 'కెరీర్లో 37 వ అత్యధిక వికెట్లు (130)', '38 వ కెరీర్ లో అత్యధిక క్యాచ్లు (110)', '19 వ అత్యంత స్టంపింగ్లు కెరీర్లో (20)', ' ఒక మ్యాచ్లో ఇన్నింగ్స్ లో 1 వ అత్యంత స్టంపింగ్లు (5) ',' 1 వ అత్యంత స్టంపింగ"&amp;"్లు (6) ',' 12 వ వరుస (6) అత్యంత స్టంపింగ్లు ']")</f>
        <v>[ '25 వ అత్యంత వంద (1285) లేకుండా ఒక వృత్తిలో పరుగులు' 'కెరీర్లో 37 వ అత్యధిక వికెట్లు (130)', '38 వ కెరీర్ లో అత్యధిక క్యాచ్లు (110)', '19 వ అత్యంత స్టంపింగ్లు కెరీర్లో (20)', ' ఒక మ్యాచ్లో ఇన్నింగ్స్ లో 1 వ అత్యంత స్టంపింగ్లు (5) ',' 1 వ అత్యంత స్టంపింగ్లు (6) ',' 12 వ వరుస (6) అత్యంత స్టంపింగ్లు ']</v>
      </c>
      <c r="E5226" s="2" t="s">
        <v>3492</v>
      </c>
      <c r="F5226" s="2" t="str">
        <f>IFERROR(__xludf.DUMMYFUNCTION("IF(E5226&lt;&gt;"""", GOOGLETRANSLATE(E5226, ""en"", ""te""),"""")"),"[ '34 వ కెరీర్ లో అత్యధిక వికెట్లు (90)', '16 వ ఇన్నింగ్స్ లో అత్యధిక వికెట్లు (5)', '39 వ కెరీర్ లో అత్యధిక క్యాచ్లు (63)', '17 వ కెరీర్ స్టంపింగ్లు (27)', '2 వ అత్యంత స్టంపింగ్లు వరుస (6) ']")</f>
        <v>[ '34 వ కెరీర్ లో అత్యధిక వికెట్లు (90)', '16 వ ఇన్నింగ్స్ లో అత్యధిక వికెట్లు (5)', '39 వ కెరీర్ లో అత్యధిక క్యాచ్లు (63)', '17 వ కెరీర్ స్టంపింగ్లు (27)', '2 వ అత్యంత స్టంపింగ్లు వరుస (6) ']</v>
      </c>
      <c r="G5226" s="2"/>
      <c r="H5226" s="2" t="str">
        <f>IFERROR(__xludf.DUMMYFUNCTION("IF(G5226&lt;&gt;"""", GOOGLETRANSLATE(G5226, ""en"", ""te""),"""")"),"")</f>
        <v/>
      </c>
      <c r="I5226" s="3"/>
    </row>
    <row r="5227" customHeight="1" spans="1:9">
      <c r="A5227" s="2"/>
      <c r="B5227" s="2" t="str">
        <f>IFERROR(__xludf.DUMMYFUNCTION("IF(A5227&lt;&gt;"""", GOOGLETRANSLATE(A5227, ""en"", ""te""),"""")"),"")</f>
        <v/>
      </c>
      <c r="C5227" s="2"/>
      <c r="D5227" s="2" t="str">
        <f>IFERROR(__xludf.DUMMYFUNCTION("IF(C5227&lt;&gt;"""", GOOGLETRANSLATE(C5227, ""en"", ""te""),"""")"),"")</f>
        <v/>
      </c>
      <c r="E5227" s="2"/>
      <c r="F5227" s="2" t="str">
        <f>IFERROR(__xludf.DUMMYFUNCTION("IF(E5227&lt;&gt;"""", GOOGLETRANSLATE(E5227, ""en"", ""te""),"""")"),"")</f>
        <v/>
      </c>
      <c r="G5227" s="2"/>
      <c r="H5227" s="2" t="str">
        <f>IFERROR(__xludf.DUMMYFUNCTION("IF(G5227&lt;&gt;"""", GOOGLETRANSLATE(G5227, ""en"", ""te""),"""")"),"")</f>
        <v/>
      </c>
      <c r="I5227" s="3"/>
    </row>
    <row r="5228" customHeight="1" spans="1:9">
      <c r="A5228" s="2"/>
      <c r="B5228" s="2" t="str">
        <f>IFERROR(__xludf.DUMMYFUNCTION("IF(A5228&lt;&gt;"""", GOOGLETRANSLATE(A5228, ""en"", ""te""),"""")"),"")</f>
        <v/>
      </c>
      <c r="C5228" s="2"/>
      <c r="D5228" s="2" t="str">
        <f>IFERROR(__xludf.DUMMYFUNCTION("IF(C5228&lt;&gt;"""", GOOGLETRANSLATE(C5228, ""en"", ""te""),"""")"),"")</f>
        <v/>
      </c>
      <c r="E5228" s="2"/>
      <c r="F5228" s="2" t="str">
        <f>IFERROR(__xludf.DUMMYFUNCTION("IF(E5228&lt;&gt;"""", GOOGLETRANSLATE(E5228, ""en"", ""te""),"""")"),"")</f>
        <v/>
      </c>
      <c r="G5228" s="2"/>
      <c r="H5228" s="2" t="str">
        <f>IFERROR(__xludf.DUMMYFUNCTION("IF(G5228&lt;&gt;"""", GOOGLETRANSLATE(G5228, ""en"", ""te""),"""")"),"")</f>
        <v/>
      </c>
      <c r="I5228" s="3"/>
    </row>
    <row r="5229" customHeight="1" spans="1:9">
      <c r="A5229" s="2"/>
      <c r="B5229" s="2" t="str">
        <f>IFERROR(__xludf.DUMMYFUNCTION("IF(A5229&lt;&gt;"""", GOOGLETRANSLATE(A5229, ""en"", ""te""),"""")"),"")</f>
        <v/>
      </c>
      <c r="C5229" s="2"/>
      <c r="D5229" s="2" t="str">
        <f>IFERROR(__xludf.DUMMYFUNCTION("IF(C5229&lt;&gt;"""", GOOGLETRANSLATE(C5229, ""en"", ""te""),"""")"),"")</f>
        <v/>
      </c>
      <c r="E5229" s="2"/>
      <c r="F5229" s="2" t="str">
        <f>IFERROR(__xludf.DUMMYFUNCTION("IF(E5229&lt;&gt;"""", GOOGLETRANSLATE(E5229, ""en"", ""te""),"""")"),"")</f>
        <v/>
      </c>
      <c r="G5229" s="2"/>
      <c r="H5229" s="2" t="str">
        <f>IFERROR(__xludf.DUMMYFUNCTION("IF(G5229&lt;&gt;"""", GOOGLETRANSLATE(G5229, ""en"", ""te""),"""")"),"")</f>
        <v/>
      </c>
      <c r="I5229" s="3"/>
    </row>
    <row r="5230" customHeight="1" spans="1:9">
      <c r="A5230" s="2"/>
      <c r="B5230" s="2" t="str">
        <f>IFERROR(__xludf.DUMMYFUNCTION("IF(A5230&lt;&gt;"""", GOOGLETRANSLATE(A5230, ""en"", ""te""),"""")"),"")</f>
        <v/>
      </c>
      <c r="C5230" s="2"/>
      <c r="D5230" s="2" t="str">
        <f>IFERROR(__xludf.DUMMYFUNCTION("IF(C5230&lt;&gt;"""", GOOGLETRANSLATE(C5230, ""en"", ""te""),"""")"),"")</f>
        <v/>
      </c>
      <c r="E5230" s="2"/>
      <c r="F5230" s="2" t="str">
        <f>IFERROR(__xludf.DUMMYFUNCTION("IF(E5230&lt;&gt;"""", GOOGLETRANSLATE(E5230, ""en"", ""te""),"""")"),"")</f>
        <v/>
      </c>
      <c r="G5230" s="2"/>
      <c r="H5230" s="2" t="str">
        <f>IFERROR(__xludf.DUMMYFUNCTION("IF(G5230&lt;&gt;"""", GOOGLETRANSLATE(G5230, ""en"", ""te""),"""")"),"")</f>
        <v/>
      </c>
      <c r="I5230" s="3"/>
    </row>
    <row r="5231" customHeight="1" spans="1:9">
      <c r="A5231" s="2"/>
      <c r="B5231" s="2" t="str">
        <f>IFERROR(__xludf.DUMMYFUNCTION("IF(A5231&lt;&gt;"""", GOOGLETRANSLATE(A5231, ""en"", ""te""),"""")"),"")</f>
        <v/>
      </c>
      <c r="C5231" s="2"/>
      <c r="D5231" s="2" t="str">
        <f>IFERROR(__xludf.DUMMYFUNCTION("IF(C5231&lt;&gt;"""", GOOGLETRANSLATE(C5231, ""en"", ""te""),"""")"),"")</f>
        <v/>
      </c>
      <c r="E5231" s="2"/>
      <c r="F5231" s="2" t="str">
        <f>IFERROR(__xludf.DUMMYFUNCTION("IF(E5231&lt;&gt;"""", GOOGLETRANSLATE(E5231, ""en"", ""te""),"""")"),"")</f>
        <v/>
      </c>
      <c r="G5231" s="2"/>
      <c r="H5231" s="2" t="str">
        <f>IFERROR(__xludf.DUMMYFUNCTION("IF(G5231&lt;&gt;"""", GOOGLETRANSLATE(G5231, ""en"", ""te""),"""")"),"")</f>
        <v/>
      </c>
      <c r="I5231" s="3"/>
    </row>
    <row r="5232" customHeight="1" spans="1:9">
      <c r="A5232" s="2"/>
      <c r="B5232" s="2" t="str">
        <f>IFERROR(__xludf.DUMMYFUNCTION("IF(A5232&lt;&gt;"""", GOOGLETRANSLATE(A5232, ""en"", ""te""),"""")"),"")</f>
        <v/>
      </c>
      <c r="C5232" s="2"/>
      <c r="D5232" s="2" t="str">
        <f>IFERROR(__xludf.DUMMYFUNCTION("IF(C5232&lt;&gt;"""", GOOGLETRANSLATE(C5232, ""en"", ""te""),"""")"),"")</f>
        <v/>
      </c>
      <c r="E5232" s="2"/>
      <c r="F5232" s="2" t="str">
        <f>IFERROR(__xludf.DUMMYFUNCTION("IF(E5232&lt;&gt;"""", GOOGLETRANSLATE(E5232, ""en"", ""te""),"""")"),"")</f>
        <v/>
      </c>
      <c r="G5232" s="2"/>
      <c r="H5232" s="2" t="str">
        <f>IFERROR(__xludf.DUMMYFUNCTION("IF(G5232&lt;&gt;"""", GOOGLETRANSLATE(G5232, ""en"", ""te""),"""")"),"")</f>
        <v/>
      </c>
      <c r="I5232" s="3"/>
    </row>
    <row r="5233" customHeight="1" spans="1:9">
      <c r="A5233" s="2"/>
      <c r="B5233" s="2" t="str">
        <f>IFERROR(__xludf.DUMMYFUNCTION("IF(A5233&lt;&gt;"""", GOOGLETRANSLATE(A5233, ""en"", ""te""),"""")"),"")</f>
        <v/>
      </c>
      <c r="C5233" s="2"/>
      <c r="D5233" s="2" t="str">
        <f>IFERROR(__xludf.DUMMYFUNCTION("IF(C5233&lt;&gt;"""", GOOGLETRANSLATE(C5233, ""en"", ""te""),"""")"),"")</f>
        <v/>
      </c>
      <c r="E5233" s="2"/>
      <c r="F5233" s="2" t="str">
        <f>IFERROR(__xludf.DUMMYFUNCTION("IF(E5233&lt;&gt;"""", GOOGLETRANSLATE(E5233, ""en"", ""te""),"""")"),"")</f>
        <v/>
      </c>
      <c r="G5233" s="2"/>
      <c r="H5233" s="2" t="str">
        <f>IFERROR(__xludf.DUMMYFUNCTION("IF(G5233&lt;&gt;"""", GOOGLETRANSLATE(G5233, ""en"", ""te""),"""")"),"")</f>
        <v/>
      </c>
      <c r="I5233" s="3"/>
    </row>
    <row r="5234" customHeight="1" spans="1:9">
      <c r="A5234" s="2"/>
      <c r="B5234" s="2" t="str">
        <f>IFERROR(__xludf.DUMMYFUNCTION("IF(A5234&lt;&gt;"""", GOOGLETRANSLATE(A5234, ""en"", ""te""),"""")"),"")</f>
        <v/>
      </c>
      <c r="C5234" s="2" t="s">
        <v>3493</v>
      </c>
      <c r="D5234" s="2" t="str">
        <f>IFERROR(__xludf.DUMMYFUNCTION("IF(C5234&lt;&gt;"""", GOOGLETRANSLATE(C5234, ""en"", ""te""),"""")"),"[ '29 పిన్న క్రీడాకారులు (17y 265d)']")</f>
        <v>[ '29 పిన్న క్రీడాకారులు (17y 265d)']</v>
      </c>
      <c r="E5234" s="2"/>
      <c r="F5234" s="2" t="str">
        <f>IFERROR(__xludf.DUMMYFUNCTION("IF(E5234&lt;&gt;"""", GOOGLETRANSLATE(E5234, ""en"", ""te""),"""")"),"")</f>
        <v/>
      </c>
      <c r="G5234" s="2"/>
      <c r="H5234" s="2" t="str">
        <f>IFERROR(__xludf.DUMMYFUNCTION("IF(G5234&lt;&gt;"""", GOOGLETRANSLATE(G5234, ""en"", ""te""),"""")"),"")</f>
        <v/>
      </c>
      <c r="I5234" s="3"/>
    </row>
    <row r="5235" customHeight="1" spans="1:9">
      <c r="A5235" s="2"/>
      <c r="B5235" s="2" t="str">
        <f>IFERROR(__xludf.DUMMYFUNCTION("IF(A5235&lt;&gt;"""", GOOGLETRANSLATE(A5235, ""en"", ""te""),"""")"),"")</f>
        <v/>
      </c>
      <c r="C5235" s="2"/>
      <c r="D5235" s="2" t="str">
        <f>IFERROR(__xludf.DUMMYFUNCTION("IF(C5235&lt;&gt;"""", GOOGLETRANSLATE(C5235, ""en"", ""te""),"""")"),"")</f>
        <v/>
      </c>
      <c r="E5235" s="2"/>
      <c r="F5235" s="2" t="str">
        <f>IFERROR(__xludf.DUMMYFUNCTION("IF(E5235&lt;&gt;"""", GOOGLETRANSLATE(E5235, ""en"", ""te""),"""")"),"")</f>
        <v/>
      </c>
      <c r="G5235" s="2"/>
      <c r="H5235" s="2" t="str">
        <f>IFERROR(__xludf.DUMMYFUNCTION("IF(G5235&lt;&gt;"""", GOOGLETRANSLATE(G5235, ""en"", ""te""),"""")"),"")</f>
        <v/>
      </c>
      <c r="I5235" s="3"/>
    </row>
    <row r="5236" customHeight="1" spans="1:9">
      <c r="A5236" s="2"/>
      <c r="B5236" s="2" t="str">
        <f>IFERROR(__xludf.DUMMYFUNCTION("IF(A5236&lt;&gt;"""", GOOGLETRANSLATE(A5236, ""en"", ""te""),"""")"),"")</f>
        <v/>
      </c>
      <c r="C5236" s="2"/>
      <c r="D5236" s="2" t="str">
        <f>IFERROR(__xludf.DUMMYFUNCTION("IF(C5236&lt;&gt;"""", GOOGLETRANSLATE(C5236, ""en"", ""te""),"""")"),"")</f>
        <v/>
      </c>
      <c r="E5236" s="2"/>
      <c r="F5236" s="2" t="str">
        <f>IFERROR(__xludf.DUMMYFUNCTION("IF(E5236&lt;&gt;"""", GOOGLETRANSLATE(E5236, ""en"", ""te""),"""")"),"")</f>
        <v/>
      </c>
      <c r="G5236" s="2"/>
      <c r="H5236" s="2" t="str">
        <f>IFERROR(__xludf.DUMMYFUNCTION("IF(G5236&lt;&gt;"""", GOOGLETRANSLATE(G5236, ""en"", ""te""),"""")"),"")</f>
        <v/>
      </c>
      <c r="I5236" s="3"/>
    </row>
    <row r="5237" customHeight="1" spans="1:9">
      <c r="A5237" s="2"/>
      <c r="B5237" s="2" t="str">
        <f>IFERROR(__xludf.DUMMYFUNCTION("IF(A5237&lt;&gt;"""", GOOGLETRANSLATE(A5237, ""en"", ""te""),"""")"),"")</f>
        <v/>
      </c>
      <c r="C5237" s="2"/>
      <c r="D5237" s="2" t="str">
        <f>IFERROR(__xludf.DUMMYFUNCTION("IF(C5237&lt;&gt;"""", GOOGLETRANSLATE(C5237, ""en"", ""te""),"""")"),"")</f>
        <v/>
      </c>
      <c r="E5237" s="2"/>
      <c r="F5237" s="2" t="str">
        <f>IFERROR(__xludf.DUMMYFUNCTION("IF(E5237&lt;&gt;"""", GOOGLETRANSLATE(E5237, ""en"", ""te""),"""")"),"")</f>
        <v/>
      </c>
      <c r="G5237" s="2"/>
      <c r="H5237" s="2" t="str">
        <f>IFERROR(__xludf.DUMMYFUNCTION("IF(G5237&lt;&gt;"""", GOOGLETRANSLATE(G5237, ""en"", ""te""),"""")"),"")</f>
        <v/>
      </c>
      <c r="I5237" s="3"/>
    </row>
    <row r="5238" customHeight="1" spans="1:9">
      <c r="A5238" s="2"/>
      <c r="B5238" s="2" t="str">
        <f>IFERROR(__xludf.DUMMYFUNCTION("IF(A5238&lt;&gt;"""", GOOGLETRANSLATE(A5238, ""en"", ""te""),"""")"),"")</f>
        <v/>
      </c>
      <c r="C5238" s="2"/>
      <c r="D5238" s="2" t="str">
        <f>IFERROR(__xludf.DUMMYFUNCTION("IF(C5238&lt;&gt;"""", GOOGLETRANSLATE(C5238, ""en"", ""te""),"""")"),"")</f>
        <v/>
      </c>
      <c r="E5238" s="2"/>
      <c r="F5238" s="2" t="str">
        <f>IFERROR(__xludf.DUMMYFUNCTION("IF(E5238&lt;&gt;"""", GOOGLETRANSLATE(E5238, ""en"", ""te""),"""")"),"")</f>
        <v/>
      </c>
      <c r="G5238" s="2"/>
      <c r="H5238" s="2" t="str">
        <f>IFERROR(__xludf.DUMMYFUNCTION("IF(G5238&lt;&gt;"""", GOOGLETRANSLATE(G5238, ""en"", ""te""),"""")"),"")</f>
        <v/>
      </c>
      <c r="I5238" s="3"/>
    </row>
    <row r="5239" customHeight="1" spans="1:9">
      <c r="A5239" s="2"/>
      <c r="B5239" s="2" t="str">
        <f>IFERROR(__xludf.DUMMYFUNCTION("IF(A5239&lt;&gt;"""", GOOGLETRANSLATE(A5239, ""en"", ""te""),"""")"),"")</f>
        <v/>
      </c>
      <c r="C5239" s="2"/>
      <c r="D5239" s="2" t="str">
        <f>IFERROR(__xludf.DUMMYFUNCTION("IF(C5239&lt;&gt;"""", GOOGLETRANSLATE(C5239, ""en"", ""te""),"""")"),"")</f>
        <v/>
      </c>
      <c r="E5239" s="2"/>
      <c r="F5239" s="2" t="str">
        <f>IFERROR(__xludf.DUMMYFUNCTION("IF(E5239&lt;&gt;"""", GOOGLETRANSLATE(E5239, ""en"", ""te""),"""")"),"")</f>
        <v/>
      </c>
      <c r="G5239" s="2"/>
      <c r="H5239" s="2" t="str">
        <f>IFERROR(__xludf.DUMMYFUNCTION("IF(G5239&lt;&gt;"""", GOOGLETRANSLATE(G5239, ""en"", ""te""),"""")"),"")</f>
        <v/>
      </c>
      <c r="I5239" s="3"/>
    </row>
    <row r="5240" customHeight="1" spans="1:9">
      <c r="A5240" s="2" t="s">
        <v>3494</v>
      </c>
      <c r="B5240" s="2" t="str">
        <f>IFERROR(__xludf.DUMMYFUNCTION("IF(A5240&lt;&gt;"""", GOOGLETRANSLATE(A5240, ""en"", ""te""),"""")"),"[ 'హండ్రెడ్ మరియు ఒక మ్యాచ్లో ఒక డక్', 'వరుస (6) లో 2 వ పెద్ద స్టంపింగ్లు']")</f>
        <v>[ 'హండ్రెడ్ మరియు ఒక మ్యాచ్లో ఒక డక్', 'వరుస (6) లో 2 వ పెద్ద స్టంపింగ్లు']</v>
      </c>
      <c r="C5240" s="2" t="s">
        <v>3495</v>
      </c>
      <c r="D5240" s="2" t="str">
        <f>IFERROR(__xludf.DUMMYFUNCTION("IF(C5240&lt;&gt;"""", GOOGLETRANSLATE(C5240, ""en"", ""te""),"""")"),"[ 'అత్యధిక వికెట్లు ఇన్నింగ్స్ 37 వ అత్యధిక పరుగులు (152)', 'ఒక మ్యాచ్లో 35 వ అత్యధిక వికెట్లు (8)' '43 వ అత్యధిక కెరీర్ లో వికెట్లు (107)', 'కెరీర్లో 42 వ అత్యధిక క్యాచ్లు (99)', '26 ఒక మ్యాచ్లో అత్యధిక క్యాచ్లు (8)', '16 వ అత్యంత బైలు ఇన్నింగ్స్ (28) స"&amp;"ాధించిన]")</f>
        <v>[ 'అత్యధిక వికెట్లు ఇన్నింగ్స్ 37 వ అత్యధిక పరుగులు (152)', 'ఒక మ్యాచ్లో 35 వ అత్యధిక వికెట్లు (8)' '43 వ అత్యధిక కెరీర్ లో వికెట్లు (107)', 'కెరీర్లో 42 వ అత్యధిక క్యాచ్లు (99)', '26 ఒక మ్యాచ్లో అత్యధిక క్యాచ్లు (8)', '16 వ అత్యంత బైలు ఇన్నింగ్స్ (28) సాధించిన]</v>
      </c>
      <c r="E5240" s="2" t="s">
        <v>3496</v>
      </c>
      <c r="F5240" s="2" t="str">
        <f>IFERROR(__xludf.DUMMYFUNCTION("IF(E5240&lt;&gt;"""", GOOGLETRANSLATE(E5240, ""en"", ""te""),"""")"),"[ '21 వ కెరీర్ లో అత్యధిక వికెట్లు (154)', '16 వ ఇన్నింగ్స్ లో అత్యధిక వికెట్లు (5)', '25 వ కెరీర్ లో అత్యధిక క్యాచ్లు (110)', '7 వ కెరీర్ స్టంపింగ్లు (44)', '2 వ అత్యంత స్టంపింగ్లు వరుస (6) ']")</f>
        <v>[ '21 వ కెరీర్ లో అత్యధిక వికెట్లు (154)', '16 వ ఇన్నింగ్స్ లో అత్యధిక వికెట్లు (5)', '25 వ కెరీర్ లో అత్యధిక క్యాచ్లు (110)', '7 వ కెరీర్ స్టంపింగ్లు (44)', '2 వ అత్యంత స్టంపింగ్లు వరుస (6) ']</v>
      </c>
      <c r="G5240" s="2"/>
      <c r="H5240" s="2" t="str">
        <f>IFERROR(__xludf.DUMMYFUNCTION("IF(G5240&lt;&gt;"""", GOOGLETRANSLATE(G5240, ""en"", ""te""),"""")"),"")</f>
        <v/>
      </c>
      <c r="I5240" s="3"/>
    </row>
    <row r="5241" customHeight="1" spans="1:9">
      <c r="A5241" s="2"/>
      <c r="B5241" s="2" t="str">
        <f>IFERROR(__xludf.DUMMYFUNCTION("IF(A5241&lt;&gt;"""", GOOGLETRANSLATE(A5241, ""en"", ""te""),"""")"),"")</f>
        <v/>
      </c>
      <c r="C5241" s="2"/>
      <c r="D5241" s="2" t="str">
        <f>IFERROR(__xludf.DUMMYFUNCTION("IF(C5241&lt;&gt;"""", GOOGLETRANSLATE(C5241, ""en"", ""te""),"""")"),"")</f>
        <v/>
      </c>
      <c r="E5241" s="2"/>
      <c r="F5241" s="2" t="str">
        <f>IFERROR(__xludf.DUMMYFUNCTION("IF(E5241&lt;&gt;"""", GOOGLETRANSLATE(E5241, ""en"", ""te""),"""")"),"")</f>
        <v/>
      </c>
      <c r="G5241" s="2"/>
      <c r="H5241" s="2" t="str">
        <f>IFERROR(__xludf.DUMMYFUNCTION("IF(G5241&lt;&gt;"""", GOOGLETRANSLATE(G5241, ""en"", ""te""),"""")"),"")</f>
        <v/>
      </c>
      <c r="I5241" s="3"/>
    </row>
    <row r="5242" customHeight="1" spans="1:9">
      <c r="A5242" s="2" t="s">
        <v>3497</v>
      </c>
      <c r="B5242" s="2" t="str">
        <f>IFERROR(__xludf.DUMMYFUNCTION("IF(A5242&lt;&gt;"""", GOOGLETRANSLATE(A5242, ""en"", ""te""),"""")"),"[ 'ఒక సిరీస్లో 6 వ అత్యధిక పరుగులు (911)', '6 వ ఒక సిరీస్లో అత్యధిక సెంచరీలు (2)', '10 వ అత్యంత తొంభైల కెరీర్లో (2)', '7 వ అత్యంత ఇన్నింగ్స్ తొలి డక్ ముందు (31)', '4 వ 1000 పరుగులు ఒక క్యాలెండర్ ఏడాది (622) ',' 10 వ అత్యంత అర్ధ కెరీర్లో (12) ',' ఫాస్టెస్"&amp;"ట్ 10 వ అత్యధిక పరుగులు (49) ']")</f>
        <v>[ 'ఒక సిరీస్లో 6 వ అత్యధిక పరుగులు (911)', '6 వ ఒక సిరీస్లో అత్యధిక సెంచరీలు (2)', '10 వ అత్యంత తొంభైల కెరీర్లో (2)', '7 వ అత్యంత ఇన్నింగ్స్ తొలి డక్ ముందు (31)', '4 వ 1000 పరుగులు ఒక క్యాలెండర్ ఏడాది (622) ',' 10 వ అత్యంత అర్ధ కెరీర్లో (12) ',' ఫాస్టెస్ట్ 10 వ అత్యధిక పరుగులు (49) ']</v>
      </c>
      <c r="C5242" s="2"/>
      <c r="D5242" s="2" t="str">
        <f>IFERROR(__xludf.DUMMYFUNCTION("IF(C5242&lt;&gt;"""", GOOGLETRANSLATE(C5242, ""en"", ""te""),"""")"),"")</f>
        <v/>
      </c>
      <c r="E5242" s="2" t="s">
        <v>3498</v>
      </c>
      <c r="F5242" s="2" t="str">
        <f>IFERROR(__xludf.DUMMYFUNCTION("IF(E5242&lt;&gt;"""", GOOGLETRANSLATE(E5242, ""en"", ""te""),"""")"),"[ '34 వ అత్యధిక కెరీర్ లో పరుగులు (2172)', '43 వ ఇన్నింగ్స్ లో అత్యధిక పరుగులు (135)', 'ఒక సిరీస్లో 6 వ అత్యధిక పరుగులు (911)', '15 క్యాలెండర్ సంవత్సరంలో అత్యధిక పరుగులు (669)', ' 16 వ (102) ',' 14 వ అత్యధిక కెరీర్ బ్యాటింగ్ సగటు (42.58) ',' 15 కెరీర్లో అ"&amp;"త్యధిక వందలు వరుస (2) లో '(4)', '6 వ అత్యధిక వందలు పరాజయం వైపు ఒక మ్యాచ్ లో నడుస్తుంది, '10 వ కెరీర్ లో అత్యంత తొంభైల (2)', '16 వ కెరీర్ అర్ధ (22)', 'వరుస ఇన్నింగ్స్లో 28 యాభైల్లో (3)', '7 వ అత్యంత' 10 వ పిన్న ఆటగాడు వంద (19y 202d) స్కోర్ ' మొదటి డక్ మ"&amp;"ుందు ఇన్నింగ్స్ (31) ',' ఒక డక్ లేకుండా 48 వ వరుస ఇన్నింగ్స్ (31) ',' 20 వ అతి తక్కువ బాతులు కెరీర్ లో (28) ',' రెండవ వికెట్కు 35 వ అత్యధిక భాగస్వామ్యం (150) ',' 17 వ అత్యధిక భాగస్వామ్యం మూడో వికెట్ (151 *) ',' 50th పిన్న క్రీడాకారులు (16y 266d) '] కోసం")</f>
        <v>[ '34 వ అత్యధిక కెరీర్ లో పరుగులు (2172)', '43 వ ఇన్నింగ్స్ లో అత్యధిక పరుగులు (135)', 'ఒక సిరీస్లో 6 వ అత్యధిక పరుగులు (911)', '15 క్యాలెండర్ సంవత్సరంలో అత్యధిక పరుగులు (669)', ' 16 వ (102) ',' 14 వ అత్యధిక కెరీర్ బ్యాటింగ్ సగటు (42.58) ',' 15 కెరీర్లో అత్యధిక వందలు వరుస (2) లో '(4)', '6 వ అత్యధిక వందలు పరాజయం వైపు ఒక మ్యాచ్ లో నడుస్తుంది, '10 వ కెరీర్ లో అత్యంత తొంభైల (2)', '16 వ కెరీర్ అర్ధ (22)', 'వరుస ఇన్నింగ్స్లో 28 యాభైల్లో (3)', '7 వ అత్యంత' 10 వ పిన్న ఆటగాడు వంద (19y 202d) స్కోర్ ' మొదటి డక్ ముందు ఇన్నింగ్స్ (31) ',' ఒక డక్ లేకుండా 48 వ వరుస ఇన్నింగ్స్ (31) ',' 20 వ అతి తక్కువ బాతులు కెరీర్ లో (28) ',' రెండవ వికెట్కు 35 వ అత్యధిక భాగస్వామ్యం (150) ',' 17 వ అత్యధిక భాగస్వామ్యం మూడో వికెట్ (151 *) ',' 50th పిన్న క్రీడాకారులు (16y 266d) '] కోసం</v>
      </c>
      <c r="G5242" s="2" t="s">
        <v>3499</v>
      </c>
      <c r="H5242" s="2" t="str">
        <f>IFERROR(__xludf.DUMMYFUNCTION("IF(G5242&lt;&gt;"""", GOOGLETRANSLATE(G5242, ""en"", ""te""),"""")"),"[ '14 వ కెరీర్ లో అత్యధిక పరుగులు (1782)', '46 వ ఇన్నింగ్స్ లో అత్యధిక పరుగులు (86)', 'ఒక క్యాలెండర్ సంవత్సరంలో 4 వ అత్యధిక పరుగులు (622)', '33 వ ఇన్నింగ్స్ లో అత్యధిక పరుగులు (బ్యాటింగ్ స్థానంలో ప్రకారం) ( 86) ',' పరాజయం వైపు ఒక మ్యాచ్లో 5 వ అత్యధిక పరు"&amp;"గులు (86) ',' 26th ఒకే మైదానంలో అత్యధిక పరుగులు (208) ',' 23 వ అత్యధిక కెరీర్ బ్యాటింగ్ సగటు (25.45) ',' 10 వ కెరీర్ లో చాలా అర్ధ 1000 వేగవంతమైన (12) ',' ఒక డక్ లేకుండా 38 వ వరుస ఇన్నింగ్స్ (31 *) ',' కెరీర్లో 29 వ అతి తక్కువ బాతులు (19) ',' ఒక ఇన్నింగ్"&amp;"స్లో పరుగుల 50 వ అత్యధిక శాతం (54.08) ',' 10 వ పరుగులు (49) ',' 46 వ కెరీర్ లో అత్యధిక క్యాచ్లు (18) ',' రెండవ వికెట్కు 32 వ అత్యధిక భాగస్వామ్యం (98) ',' నాలుగవ వికెట్కు 39 వ అత్యధిక భాగస్వామ్యం (63) ',' 42 వ అత్యధిక కెరీర్ లో మ్యాచ్లు ( 78) ',' ఒక జట్టుక"&amp;"ు 11 వ వరుస మ్యాచ్లు (56) ',' 41 వ పిన్న కాప్టెన్ (22y 229d) ']")</f>
        <v>[ '14 వ కెరీర్ లో అత్యధిక పరుగులు (1782)', '46 వ ఇన్నింగ్స్ లో అత్యధిక పరుగులు (86)', 'ఒక క్యాలెండర్ సంవత్సరంలో 4 వ అత్యధిక పరుగులు (622)', '33 వ ఇన్నింగ్స్ లో అత్యధిక పరుగులు (బ్యాటింగ్ స్థానంలో ప్రకారం) ( 86) ',' పరాజయం వైపు ఒక మ్యాచ్లో 5 వ అత్యధిక పరుగులు (86) ',' 26th ఒకే మైదానంలో అత్యధిక పరుగులు (208) ',' 23 వ అత్యధిక కెరీర్ బ్యాటింగ్ సగటు (25.45) ',' 10 వ కెరీర్ లో చాలా అర్ధ 1000 వేగవంతమైన (12) ',' ఒక డక్ లేకుండా 38 వ వరుస ఇన్నింగ్స్ (31 *) ',' కెరీర్లో 29 వ అతి తక్కువ బాతులు (19) ',' ఒక ఇన్నింగ్స్లో పరుగుల 50 వ అత్యధిక శాతం (54.08) ',' 10 వ పరుగులు (49) ',' 46 వ కెరీర్ లో అత్యధిక క్యాచ్లు (18) ',' రెండవ వికెట్కు 32 వ అత్యధిక భాగస్వామ్యం (98) ',' నాలుగవ వికెట్కు 39 వ అత్యధిక భాగస్వామ్యం (63) ',' 42 వ అత్యధిక కెరీర్ లో మ్యాచ్లు ( 78) ',' ఒక జట్టుకు 11 వ వరుస మ్యాచ్లు (56) ',' 41 వ పిన్న కాప్టెన్ (22y 229d) ']</v>
      </c>
      <c r="I5242" s="3"/>
    </row>
    <row r="5243" customHeight="1" spans="1:9">
      <c r="A5243" s="2"/>
      <c r="B5243" s="2" t="str">
        <f>IFERROR(__xludf.DUMMYFUNCTION("IF(A5243&lt;&gt;"""", GOOGLETRANSLATE(A5243, ""en"", ""te""),"""")"),"")</f>
        <v/>
      </c>
      <c r="C5243" s="2"/>
      <c r="D5243" s="2" t="str">
        <f>IFERROR(__xludf.DUMMYFUNCTION("IF(C5243&lt;&gt;"""", GOOGLETRANSLATE(C5243, ""en"", ""te""),"""")"),"")</f>
        <v/>
      </c>
      <c r="E5243" s="2"/>
      <c r="F5243" s="2" t="str">
        <f>IFERROR(__xludf.DUMMYFUNCTION("IF(E5243&lt;&gt;"""", GOOGLETRANSLATE(E5243, ""en"", ""te""),"""")"),"")</f>
        <v/>
      </c>
      <c r="G5243" s="2"/>
      <c r="H5243" s="2" t="str">
        <f>IFERROR(__xludf.DUMMYFUNCTION("IF(G5243&lt;&gt;"""", GOOGLETRANSLATE(G5243, ""en"", ""te""),"""")"),"")</f>
        <v/>
      </c>
      <c r="I5243" s="3"/>
    </row>
    <row r="5244" customHeight="1" spans="1:9">
      <c r="A5244" s="2"/>
      <c r="B5244" s="2" t="str">
        <f>IFERROR(__xludf.DUMMYFUNCTION("IF(A5244&lt;&gt;"""", GOOGLETRANSLATE(A5244, ""en"", ""te""),"""")"),"")</f>
        <v/>
      </c>
      <c r="C5244" s="2"/>
      <c r="D5244" s="2" t="str">
        <f>IFERROR(__xludf.DUMMYFUNCTION("IF(C5244&lt;&gt;"""", GOOGLETRANSLATE(C5244, ""en"", ""te""),"""")"),"")</f>
        <v/>
      </c>
      <c r="E5244" s="2"/>
      <c r="F5244" s="2" t="str">
        <f>IFERROR(__xludf.DUMMYFUNCTION("IF(E5244&lt;&gt;"""", GOOGLETRANSLATE(E5244, ""en"", ""te""),"""")"),"")</f>
        <v/>
      </c>
      <c r="G5244" s="2"/>
      <c r="H5244" s="2" t="str">
        <f>IFERROR(__xludf.DUMMYFUNCTION("IF(G5244&lt;&gt;"""", GOOGLETRANSLATE(G5244, ""en"", ""te""),"""")"),"")</f>
        <v/>
      </c>
      <c r="I5244" s="3"/>
    </row>
    <row r="5245" customHeight="1" spans="1:9">
      <c r="A5245" s="2"/>
      <c r="B5245" s="2" t="str">
        <f>IFERROR(__xludf.DUMMYFUNCTION("IF(A5245&lt;&gt;"""", GOOGLETRANSLATE(A5245, ""en"", ""te""),"""")"),"")</f>
        <v/>
      </c>
      <c r="C5245" s="2" t="s">
        <v>3500</v>
      </c>
      <c r="D5245" s="2" t="str">
        <f>IFERROR(__xludf.DUMMYFUNCTION("IF(C5245&lt;&gt;"""", GOOGLETRANSLATE(C5245, ""en"", ""te""),"""")"),"[ '36 వ చెత్త ఇన్నింగ్స్ లో సమ్మె రేటు (348.0)', '29th ఇన్నింగ్స్ (203) లో సాధించిన అత్యధిక పరుగులు']")</f>
        <v>[ '36 వ చెత్త ఇన్నింగ్స్ లో సమ్మె రేటు (348.0)', '29th ఇన్నింగ్స్ (203) లో సాధించిన అత్యధిక పరుగులు']</v>
      </c>
      <c r="E5245" s="2" t="s">
        <v>3501</v>
      </c>
      <c r="F5245" s="2" t="str">
        <f>IFERROR(__xludf.DUMMYFUNCTION("IF(E5245&lt;&gt;"""", GOOGLETRANSLATE(E5245, ""en"", ""te""),"""")"),"[ '42 వ ఒక సిరీస్లో అత్యధిక వికెట్లు (18)', '38 వ ఉత్తమ కెరీర్ బౌలింగ్ సరాసరి (23.60)', '24 వ ఉత్తమ కెరీర్ సమ్మె రేటు (29.9)', 'ఇన్నింగ్స్ లో 47 వ ఉత్తమ సమ్మె రేటు (7.2)', '43 వ అత్యంత ఐదు-వికెట్ల లో-ఒక-ఇన్నింగ్స్ కెరీర్లో (2) ',' ఐదు వికెట్ల లో-ఒక-ఇన్నిం"&amp;"గ్స్ తొలి అయిదు వికెట్లు తీసుకోవాలని తీసుకోవాలని 21 వ అత్యంత వృద్ధ ఆటగాడు (33y 340d) ',' 43 వ అత్యంత వృద్ధ ఆటగాడు -ఇన్-ఒక-ఇన్నింగ్స్ (30y 252d) ',' ప్రదర్శనల మధ్య 48 వ లాంగెస్ట్ వ్యవధిలో (6y 160d) ',' 13 వ వరుస మ్యాచ్లు ఆడి మధ్య జట్టు (180) కోసం తప్పిన ']")</f>
        <v>[ '42 వ ఒక సిరీస్లో అత్యధిక వికెట్లు (18)', '38 వ ఉత్తమ కెరీర్ బౌలింగ్ సరాసరి (23.60)', '24 వ ఉత్తమ కెరీర్ సమ్మె రేటు (29.9)', 'ఇన్నింగ్స్ లో 47 వ ఉత్తమ సమ్మె రేటు (7.2)', '43 వ అత్యంత ఐదు-వికెట్ల లో-ఒక-ఇన్నింగ్స్ కెరీర్లో (2) ',' ఐదు వికెట్ల లో-ఒక-ఇన్నింగ్స్ తొలి అయిదు వికెట్లు తీసుకోవాలని తీసుకోవాలని 21 వ అత్యంత వృద్ధ ఆటగాడు (33y 340d) ',' 43 వ అత్యంత వృద్ధ ఆటగాడు -ఇన్-ఒక-ఇన్నింగ్స్ (30y 252d) ',' ప్రదర్శనల మధ్య 48 వ లాంగెస్ట్ వ్యవధిలో (6y 160d) ',' 13 వ వరుస మ్యాచ్లు ఆడి మధ్య జట్టు (180) కోసం తప్పిన ']</v>
      </c>
      <c r="G5245" s="2"/>
      <c r="H5245" s="2" t="str">
        <f>IFERROR(__xludf.DUMMYFUNCTION("IF(G5245&lt;&gt;"""", GOOGLETRANSLATE(G5245, ""en"", ""te""),"""")"),"")</f>
        <v/>
      </c>
      <c r="I5245" s="3"/>
    </row>
    <row r="5246" customHeight="1" spans="1:9">
      <c r="A5246" s="2"/>
      <c r="B5246" s="2" t="str">
        <f>IFERROR(__xludf.DUMMYFUNCTION("IF(A5246&lt;&gt;"""", GOOGLETRANSLATE(A5246, ""en"", ""te""),"""")"),"")</f>
        <v/>
      </c>
      <c r="C5246" s="2"/>
      <c r="D5246" s="2" t="str">
        <f>IFERROR(__xludf.DUMMYFUNCTION("IF(C5246&lt;&gt;"""", GOOGLETRANSLATE(C5246, ""en"", ""te""),"""")"),"")</f>
        <v/>
      </c>
      <c r="E5246" s="2"/>
      <c r="F5246" s="2" t="str">
        <f>IFERROR(__xludf.DUMMYFUNCTION("IF(E5246&lt;&gt;"""", GOOGLETRANSLATE(E5246, ""en"", ""te""),"""")"),"")</f>
        <v/>
      </c>
      <c r="G5246" s="2"/>
      <c r="H5246" s="2" t="str">
        <f>IFERROR(__xludf.DUMMYFUNCTION("IF(G5246&lt;&gt;"""", GOOGLETRANSLATE(G5246, ""en"", ""te""),"""")"),"")</f>
        <v/>
      </c>
      <c r="I5246" s="3"/>
    </row>
    <row r="5247" customHeight="1" spans="1:9">
      <c r="A5247" s="2"/>
      <c r="B5247" s="2" t="str">
        <f>IFERROR(__xludf.DUMMYFUNCTION("IF(A5247&lt;&gt;"""", GOOGLETRANSLATE(A5247, ""en"", ""te""),"""")"),"")</f>
        <v/>
      </c>
      <c r="C5247" s="2"/>
      <c r="D5247" s="2" t="str">
        <f>IFERROR(__xludf.DUMMYFUNCTION("IF(C5247&lt;&gt;"""", GOOGLETRANSLATE(C5247, ""en"", ""te""),"""")"),"")</f>
        <v/>
      </c>
      <c r="E5247" s="2"/>
      <c r="F5247" s="2" t="str">
        <f>IFERROR(__xludf.DUMMYFUNCTION("IF(E5247&lt;&gt;"""", GOOGLETRANSLATE(E5247, ""en"", ""te""),"""")"),"")</f>
        <v/>
      </c>
      <c r="G5247" s="2"/>
      <c r="H5247" s="2" t="str">
        <f>IFERROR(__xludf.DUMMYFUNCTION("IF(G5247&lt;&gt;"""", GOOGLETRANSLATE(G5247, ""en"", ""te""),"""")"),"")</f>
        <v/>
      </c>
      <c r="I5247" s="3"/>
    </row>
    <row r="5248" customHeight="1" spans="1:9">
      <c r="A5248" s="2"/>
      <c r="B5248" s="2" t="str">
        <f>IFERROR(__xludf.DUMMYFUNCTION("IF(A5248&lt;&gt;"""", GOOGLETRANSLATE(A5248, ""en"", ""te""),"""")"),"")</f>
        <v/>
      </c>
      <c r="C5248" s="2"/>
      <c r="D5248" s="2" t="str">
        <f>IFERROR(__xludf.DUMMYFUNCTION("IF(C5248&lt;&gt;"""", GOOGLETRANSLATE(C5248, ""en"", ""te""),"""")"),"")</f>
        <v/>
      </c>
      <c r="E5248" s="2"/>
      <c r="F5248" s="2" t="str">
        <f>IFERROR(__xludf.DUMMYFUNCTION("IF(E5248&lt;&gt;"""", GOOGLETRANSLATE(E5248, ""en"", ""te""),"""")"),"")</f>
        <v/>
      </c>
      <c r="G5248" s="2"/>
      <c r="H5248" s="2" t="str">
        <f>IFERROR(__xludf.DUMMYFUNCTION("IF(G5248&lt;&gt;"""", GOOGLETRANSLATE(G5248, ""en"", ""te""),"""")"),"")</f>
        <v/>
      </c>
      <c r="I5248" s="3"/>
    </row>
    <row r="5249" customHeight="1" spans="1:9">
      <c r="A5249" s="2"/>
      <c r="B5249" s="2" t="str">
        <f>IFERROR(__xludf.DUMMYFUNCTION("IF(A5249&lt;&gt;"""", GOOGLETRANSLATE(A5249, ""en"", ""te""),"""")"),"")</f>
        <v/>
      </c>
      <c r="C5249" s="2"/>
      <c r="D5249" s="2" t="str">
        <f>IFERROR(__xludf.DUMMYFUNCTION("IF(C5249&lt;&gt;"""", GOOGLETRANSLATE(C5249, ""en"", ""te""),"""")"),"")</f>
        <v/>
      </c>
      <c r="E5249" s="2"/>
      <c r="F5249" s="2" t="str">
        <f>IFERROR(__xludf.DUMMYFUNCTION("IF(E5249&lt;&gt;"""", GOOGLETRANSLATE(E5249, ""en"", ""te""),"""")"),"")</f>
        <v/>
      </c>
      <c r="G5249" s="2"/>
      <c r="H5249" s="2" t="str">
        <f>IFERROR(__xludf.DUMMYFUNCTION("IF(G5249&lt;&gt;"""", GOOGLETRANSLATE(G5249, ""en"", ""te""),"""")"),"")</f>
        <v/>
      </c>
      <c r="I5249" s="3"/>
    </row>
    <row r="5250" customHeight="1" spans="1:9">
      <c r="A5250" s="2"/>
      <c r="B5250" s="2" t="str">
        <f>IFERROR(__xludf.DUMMYFUNCTION("IF(A5250&lt;&gt;"""", GOOGLETRANSLATE(A5250, ""en"", ""te""),"""")"),"")</f>
        <v/>
      </c>
      <c r="C5250" s="2"/>
      <c r="D5250" s="2" t="str">
        <f>IFERROR(__xludf.DUMMYFUNCTION("IF(C5250&lt;&gt;"""", GOOGLETRANSLATE(C5250, ""en"", ""te""),"""")"),"")</f>
        <v/>
      </c>
      <c r="E5250" s="2"/>
      <c r="F5250" s="2" t="str">
        <f>IFERROR(__xludf.DUMMYFUNCTION("IF(E5250&lt;&gt;"""", GOOGLETRANSLATE(E5250, ""en"", ""te""),"""")"),"")</f>
        <v/>
      </c>
      <c r="G5250" s="2"/>
      <c r="H5250" s="2" t="str">
        <f>IFERROR(__xludf.DUMMYFUNCTION("IF(G5250&lt;&gt;"""", GOOGLETRANSLATE(G5250, ""en"", ""te""),"""")"),"")</f>
        <v/>
      </c>
      <c r="I5250" s="3"/>
    </row>
    <row r="5251" customHeight="1" spans="1:9">
      <c r="A5251" s="2" t="s">
        <v>3502</v>
      </c>
      <c r="B5251" s="2" t="str">
        <f>IFERROR(__xludf.DUMMYFUNCTION("IF(A5251&lt;&gt;"""", GOOGLETRANSLATE(A5251, ""en"", ""te""),"""")"),"[ 'పరాజయం వైపు ఒక మ్యాచ్లో 7 వ అత్యధిక పరుగులు (256)', 'వరుస 2 వ అత్యధిక డబుల్ సెంచరీలు (2)', 'హండ్రెడ్ మరియు ఒక మ్యాచ్లో ఒక డక్', 'ఇన్నింగ్స్ లో బౌల్డ్ 8 వ అత్యంత బంతుల్లో (492 ) ',' 10 వ ఇన్నింగ్స్ లో సాధించిన అత్యధిక పరుగులు (228) ',' 2 వ అత్యధిక వికె"&amp;"ట్లు తీసిన హిట్ వికెట్ (3) ',' బ్యాటింగ్ తెరవడం మరియు అదే మ్యాచ్ లో బౌలింగ్ ',' మొదటి వికెట్కు 2 వ అత్యధిక భాగస్వామ్యం (413 ) ']")</f>
        <v>[ 'పరాజయం వైపు ఒక మ్యాచ్లో 7 వ అత్యధిక పరుగులు (256)', 'వరుస 2 వ అత్యధిక డబుల్ సెంచరీలు (2)', 'హండ్రెడ్ మరియు ఒక మ్యాచ్లో ఒక డక్', 'ఇన్నింగ్స్ లో బౌల్డ్ 8 వ అత్యంత బంతుల్లో (492 ) ',' 10 వ ఇన్నింగ్స్ లో సాధించిన అత్యధిక పరుగులు (228) ',' 2 వ అత్యధిక వికెట్లు తీసిన హిట్ వికెట్ (3) ',' బ్యాటింగ్ తెరవడం మరియు అదే మ్యాచ్ లో బౌలింగ్ ',' మొదటి వికెట్కు 2 వ అత్యధిక భాగస్వామ్యం (413 ) ']</v>
      </c>
      <c r="C5251" s="2" t="s">
        <v>3503</v>
      </c>
      <c r="D5251" s="2" t="str">
        <f>IFERROR(__xludf.DUMMYFUNCTION("IF(C5251&lt;&gt;"""", GOOGLETRANSLATE(C5251, ""en"", ""te""),"""")"),"[ 'పరాజయం వైపు ఒక మ్యాచ్లో 7 వ అత్యధిక పరుగులు (256)', '2 వ అత్యధిక డబుల్ వరుస సెంచరీలు (2)', '42 వ ఇన్నింగ్స్ లో బెస్ట్ ఫిగర్స్ (8/52)', '25 వ ఒక ఉత్తమ బొమ్మలు మ్యాచ్ (13) ',' 22 వ ఒక సిరీస్లో అత్యధిక వికెట్లు (34) ',' ఇన్నింగ్స్ లో 21 వ చెత్త సమ్మె రేట"&amp;"ు (378.0) ',' ఐదు వికెట్ల లో-ఒక-ఇన్నింగ్స్ తీసుకోవాలని 32 వ అత్యంత వృద్ధ ఆటగాడు (37y 306d) ',' పది వికెట్ల లో ఒక మ్యాచ్ పడుతుంది 19 ఓల్డెస్ట్ ఆటగాడు (35y 187d) ',' ఇన్నింగ్స్ లో బౌల్డ్ 8 వ అత్యంత బంతుల్లో (492) ',' 9 వ మ్యాచ్లో బౌల్డ్ చాలా బంతుల్లో (690) "&amp;"',' ఒక ఇన్నింగ్స్ లో 10 వ అత్యంత సాధించిన పరుగులు (228) ',' 8 వ అత్యధిక వికెట్లు తీసుకున్న స్టంప్ (18) ',' 2 వ అత్యధిక వికెట్లు తీసిన హిట్ వికెట్ (3) ',' 37 వ 100 వికెట్లు (23) ',' 12 వ అత్యధిక వాటా వేగంగా ఏ వికెట్కు (413) ',' మొదటి వికెట్కు 2 వ అత్యధిక భ"&amp;"ాగస్వామ్యం (413) ',' 11 వ ఓల్డెస్ట్ కాప్టెన్ (41y 289d) ',' కెప్టెన్సీ తొలి 19 ఓల్డెస్ట్ కాప్టెన్ (37y 264d) ']")</f>
        <v>[ 'పరాజయం వైపు ఒక మ్యాచ్లో 7 వ అత్యధిక పరుగులు (256)', '2 వ అత్యధిక డబుల్ వరుస సెంచరీలు (2)', '42 వ ఇన్నింగ్స్ లో బెస్ట్ ఫిగర్స్ (8/52)', '25 వ ఒక ఉత్తమ బొమ్మలు మ్యాచ్ (13) ',' 22 వ ఒక సిరీస్లో అత్యధిక వికెట్లు (34) ',' ఇన్నింగ్స్ లో 21 వ చెత్త సమ్మె రేటు (378.0) ',' ఐదు వికెట్ల లో-ఒక-ఇన్నింగ్స్ తీసుకోవాలని 32 వ అత్యంత వృద్ధ ఆటగాడు (37y 306d) ',' పది వికెట్ల లో ఒక మ్యాచ్ పడుతుంది 19 ఓల్డెస్ట్ ఆటగాడు (35y 187d) ',' ఇన్నింగ్స్ లో బౌల్డ్ 8 వ అత్యంత బంతుల్లో (492) ',' 9 వ మ్యాచ్లో బౌల్డ్ చాలా బంతుల్లో (690) ',' ఒక ఇన్నింగ్స్ లో 10 వ అత్యంత సాధించిన పరుగులు (228) ',' 8 వ అత్యధిక వికెట్లు తీసుకున్న స్టంప్ (18) ',' 2 వ అత్యధిక వికెట్లు తీసిన హిట్ వికెట్ (3) ',' 37 వ 100 వికెట్లు (23) ',' 12 వ అత్యధిక వాటా వేగంగా ఏ వికెట్కు (413) ',' మొదటి వికెట్కు 2 వ అత్యధిక భాగస్వామ్యం (413) ',' 11 వ ఓల్డెస్ట్ కాప్టెన్ (41y 289d) ',' కెప్టెన్సీ తొలి 19 ఓల్డెస్ట్ కాప్టెన్ (37y 264d) ']</v>
      </c>
      <c r="E5251" s="2"/>
      <c r="F5251" s="2" t="str">
        <f>IFERROR(__xludf.DUMMYFUNCTION("IF(E5251&lt;&gt;"""", GOOGLETRANSLATE(E5251, ""en"", ""te""),"""")"),"")</f>
        <v/>
      </c>
      <c r="G5251" s="2"/>
      <c r="H5251" s="2" t="str">
        <f>IFERROR(__xludf.DUMMYFUNCTION("IF(G5251&lt;&gt;"""", GOOGLETRANSLATE(G5251, ""en"", ""te""),"""")"),"")</f>
        <v/>
      </c>
      <c r="I5251" s="3"/>
    </row>
    <row r="5252" customHeight="1" spans="1:9">
      <c r="A5252" s="2"/>
      <c r="B5252" s="2" t="str">
        <f>IFERROR(__xludf.DUMMYFUNCTION("IF(A5252&lt;&gt;"""", GOOGLETRANSLATE(A5252, ""en"", ""te""),"""")"),"")</f>
        <v/>
      </c>
      <c r="C5252" s="2"/>
      <c r="D5252" s="2" t="str">
        <f>IFERROR(__xludf.DUMMYFUNCTION("IF(C5252&lt;&gt;"""", GOOGLETRANSLATE(C5252, ""en"", ""te""),"""")"),"")</f>
        <v/>
      </c>
      <c r="E5252" s="2"/>
      <c r="F5252" s="2" t="str">
        <f>IFERROR(__xludf.DUMMYFUNCTION("IF(E5252&lt;&gt;"""", GOOGLETRANSLATE(E5252, ""en"", ""te""),"""")"),"")</f>
        <v/>
      </c>
      <c r="G5252" s="2"/>
      <c r="H5252" s="2" t="str">
        <f>IFERROR(__xludf.DUMMYFUNCTION("IF(G5252&lt;&gt;"""", GOOGLETRANSLATE(G5252, ""en"", ""te""),"""")"),"")</f>
        <v/>
      </c>
      <c r="I5252" s="3"/>
    </row>
    <row r="5253" customHeight="1" spans="1:9">
      <c r="A5253" s="2"/>
      <c r="B5253" s="2" t="str">
        <f>IFERROR(__xludf.DUMMYFUNCTION("IF(A5253&lt;&gt;"""", GOOGLETRANSLATE(A5253, ""en"", ""te""),"""")"),"")</f>
        <v/>
      </c>
      <c r="C5253" s="2"/>
      <c r="D5253" s="2" t="str">
        <f>IFERROR(__xludf.DUMMYFUNCTION("IF(C5253&lt;&gt;"""", GOOGLETRANSLATE(C5253, ""en"", ""te""),"""")"),"")</f>
        <v/>
      </c>
      <c r="E5253" s="2"/>
      <c r="F5253" s="2" t="str">
        <f>IFERROR(__xludf.DUMMYFUNCTION("IF(E5253&lt;&gt;"""", GOOGLETRANSLATE(E5253, ""en"", ""te""),"""")"),"")</f>
        <v/>
      </c>
      <c r="G5253" s="2"/>
      <c r="H5253" s="2" t="str">
        <f>IFERROR(__xludf.DUMMYFUNCTION("IF(G5253&lt;&gt;"""", GOOGLETRANSLATE(G5253, ""en"", ""te""),"""")"),"")</f>
        <v/>
      </c>
      <c r="I5253" s="3"/>
    </row>
    <row r="5254" customHeight="1" spans="1:9">
      <c r="A5254" s="2"/>
      <c r="B5254" s="2" t="str">
        <f>IFERROR(__xludf.DUMMYFUNCTION("IF(A5254&lt;&gt;"""", GOOGLETRANSLATE(A5254, ""en"", ""te""),"""")"),"")</f>
        <v/>
      </c>
      <c r="C5254" s="2" t="s">
        <v>3504</v>
      </c>
      <c r="D5254" s="2" t="str">
        <f>IFERROR(__xludf.DUMMYFUNCTION("IF(C5254&lt;&gt;"""", GOOGLETRANSLATE(C5254, ""en"", ""te""),"""")"),"[ '32 వ లాంగెస్ట్ క్రీడాకారులు (92y 264d) నివసించారు']")</f>
        <v>[ '32 వ లాంగెస్ట్ క్రీడాకారులు (92y 264d) నివసించారు']</v>
      </c>
      <c r="E5254" s="2"/>
      <c r="F5254" s="2" t="str">
        <f>IFERROR(__xludf.DUMMYFUNCTION("IF(E5254&lt;&gt;"""", GOOGLETRANSLATE(E5254, ""en"", ""te""),"""")"),"")</f>
        <v/>
      </c>
      <c r="G5254" s="2"/>
      <c r="H5254" s="2" t="str">
        <f>IFERROR(__xludf.DUMMYFUNCTION("IF(G5254&lt;&gt;"""", GOOGLETRANSLATE(G5254, ""en"", ""te""),"""")"),"")</f>
        <v/>
      </c>
      <c r="I5254" s="3"/>
    </row>
    <row r="5255" customHeight="1" spans="1:9">
      <c r="A5255" s="2"/>
      <c r="B5255" s="2" t="str">
        <f>IFERROR(__xludf.DUMMYFUNCTION("IF(A5255&lt;&gt;"""", GOOGLETRANSLATE(A5255, ""en"", ""te""),"""")"),"")</f>
        <v/>
      </c>
      <c r="C5255" s="2"/>
      <c r="D5255" s="2" t="str">
        <f>IFERROR(__xludf.DUMMYFUNCTION("IF(C5255&lt;&gt;"""", GOOGLETRANSLATE(C5255, ""en"", ""te""),"""")"),"")</f>
        <v/>
      </c>
      <c r="E5255" s="2"/>
      <c r="F5255" s="2" t="str">
        <f>IFERROR(__xludf.DUMMYFUNCTION("IF(E5255&lt;&gt;"""", GOOGLETRANSLATE(E5255, ""en"", ""te""),"""")"),"")</f>
        <v/>
      </c>
      <c r="G5255" s="2"/>
      <c r="H5255" s="2" t="str">
        <f>IFERROR(__xludf.DUMMYFUNCTION("IF(G5255&lt;&gt;"""", GOOGLETRANSLATE(G5255, ""en"", ""te""),"""")"),"")</f>
        <v/>
      </c>
      <c r="I5255" s="3"/>
    </row>
    <row r="5256" customHeight="1" spans="1:9">
      <c r="A5256" s="2"/>
      <c r="B5256" s="2" t="str">
        <f>IFERROR(__xludf.DUMMYFUNCTION("IF(A5256&lt;&gt;"""", GOOGLETRANSLATE(A5256, ""en"", ""te""),"""")"),"")</f>
        <v/>
      </c>
      <c r="C5256" s="2"/>
      <c r="D5256" s="2" t="str">
        <f>IFERROR(__xludf.DUMMYFUNCTION("IF(C5256&lt;&gt;"""", GOOGLETRANSLATE(C5256, ""en"", ""te""),"""")"),"")</f>
        <v/>
      </c>
      <c r="E5256" s="2"/>
      <c r="F5256" s="2" t="str">
        <f>IFERROR(__xludf.DUMMYFUNCTION("IF(E5256&lt;&gt;"""", GOOGLETRANSLATE(E5256, ""en"", ""te""),"""")"),"")</f>
        <v/>
      </c>
      <c r="G5256" s="2"/>
      <c r="H5256" s="2" t="str">
        <f>IFERROR(__xludf.DUMMYFUNCTION("IF(G5256&lt;&gt;"""", GOOGLETRANSLATE(G5256, ""en"", ""te""),"""")"),"")</f>
        <v/>
      </c>
      <c r="I5256" s="3"/>
    </row>
    <row r="5257" customHeight="1" spans="1:9">
      <c r="A5257" s="2"/>
      <c r="B5257" s="2" t="str">
        <f>IFERROR(__xludf.DUMMYFUNCTION("IF(A5257&lt;&gt;"""", GOOGLETRANSLATE(A5257, ""en"", ""te""),"""")"),"")</f>
        <v/>
      </c>
      <c r="C5257" s="2"/>
      <c r="D5257" s="2" t="str">
        <f>IFERROR(__xludf.DUMMYFUNCTION("IF(C5257&lt;&gt;"""", GOOGLETRANSLATE(C5257, ""en"", ""te""),"""")"),"")</f>
        <v/>
      </c>
      <c r="E5257" s="2"/>
      <c r="F5257" s="2" t="str">
        <f>IFERROR(__xludf.DUMMYFUNCTION("IF(E5257&lt;&gt;"""", GOOGLETRANSLATE(E5257, ""en"", ""te""),"""")"),"")</f>
        <v/>
      </c>
      <c r="G5257" s="2"/>
      <c r="H5257" s="2" t="str">
        <f>IFERROR(__xludf.DUMMYFUNCTION("IF(G5257&lt;&gt;"""", GOOGLETRANSLATE(G5257, ""en"", ""te""),"""")"),"")</f>
        <v/>
      </c>
      <c r="I5257" s="3"/>
    </row>
    <row r="5258" customHeight="1" spans="1:9">
      <c r="A5258" s="2"/>
      <c r="B5258" s="2" t="str">
        <f>IFERROR(__xludf.DUMMYFUNCTION("IF(A5258&lt;&gt;"""", GOOGLETRANSLATE(A5258, ""en"", ""te""),"""")"),"")</f>
        <v/>
      </c>
      <c r="C5258" s="2"/>
      <c r="D5258" s="2" t="str">
        <f>IFERROR(__xludf.DUMMYFUNCTION("IF(C5258&lt;&gt;"""", GOOGLETRANSLATE(C5258, ""en"", ""te""),"""")"),"")</f>
        <v/>
      </c>
      <c r="E5258" s="2"/>
      <c r="F5258" s="2" t="str">
        <f>IFERROR(__xludf.DUMMYFUNCTION("IF(E5258&lt;&gt;"""", GOOGLETRANSLATE(E5258, ""en"", ""te""),"""")"),"")</f>
        <v/>
      </c>
      <c r="G5258" s="2"/>
      <c r="H5258" s="2" t="str">
        <f>IFERROR(__xludf.DUMMYFUNCTION("IF(G5258&lt;&gt;"""", GOOGLETRANSLATE(G5258, ""en"", ""te""),"""")"),"")</f>
        <v/>
      </c>
      <c r="I5258" s="3"/>
    </row>
    <row r="5259" customHeight="1" spans="1:9">
      <c r="A5259" s="2"/>
      <c r="B5259" s="2" t="str">
        <f>IFERROR(__xludf.DUMMYFUNCTION("IF(A5259&lt;&gt;"""", GOOGLETRANSLATE(A5259, ""en"", ""te""),"""")"),"")</f>
        <v/>
      </c>
      <c r="C5259" s="2"/>
      <c r="D5259" s="2" t="str">
        <f>IFERROR(__xludf.DUMMYFUNCTION("IF(C5259&lt;&gt;"""", GOOGLETRANSLATE(C5259, ""en"", ""te""),"""")"),"")</f>
        <v/>
      </c>
      <c r="E5259" s="2"/>
      <c r="F5259" s="2" t="str">
        <f>IFERROR(__xludf.DUMMYFUNCTION("IF(E5259&lt;&gt;"""", GOOGLETRANSLATE(E5259, ""en"", ""te""),"""")"),"")</f>
        <v/>
      </c>
      <c r="G5259" s="2"/>
      <c r="H5259" s="2" t="str">
        <f>IFERROR(__xludf.DUMMYFUNCTION("IF(G5259&lt;&gt;"""", GOOGLETRANSLATE(G5259, ""en"", ""te""),"""")"),"")</f>
        <v/>
      </c>
      <c r="I5259" s="3"/>
    </row>
    <row r="5260" customHeight="1" spans="1:9">
      <c r="A5260" s="2"/>
      <c r="B5260" s="2" t="str">
        <f>IFERROR(__xludf.DUMMYFUNCTION("IF(A5260&lt;&gt;"""", GOOGLETRANSLATE(A5260, ""en"", ""te""),"""")"),"")</f>
        <v/>
      </c>
      <c r="C5260" s="2"/>
      <c r="D5260" s="2" t="str">
        <f>IFERROR(__xludf.DUMMYFUNCTION("IF(C5260&lt;&gt;"""", GOOGLETRANSLATE(C5260, ""en"", ""te""),"""")"),"")</f>
        <v/>
      </c>
      <c r="E5260" s="2"/>
      <c r="F5260" s="2" t="str">
        <f>IFERROR(__xludf.DUMMYFUNCTION("IF(E5260&lt;&gt;"""", GOOGLETRANSLATE(E5260, ""en"", ""te""),"""")"),"")</f>
        <v/>
      </c>
      <c r="G5260" s="2"/>
      <c r="H5260" s="2" t="str">
        <f>IFERROR(__xludf.DUMMYFUNCTION("IF(G5260&lt;&gt;"""", GOOGLETRANSLATE(G5260, ""en"", ""te""),"""")"),"")</f>
        <v/>
      </c>
      <c r="I5260" s="3"/>
    </row>
    <row r="5261" customHeight="1" spans="1:9">
      <c r="A5261" s="2"/>
      <c r="B5261" s="2" t="str">
        <f>IFERROR(__xludf.DUMMYFUNCTION("IF(A5261&lt;&gt;"""", GOOGLETRANSLATE(A5261, ""en"", ""te""),"""")"),"")</f>
        <v/>
      </c>
      <c r="C5261" s="2" t="s">
        <v>3505</v>
      </c>
      <c r="D5261" s="2" t="str">
        <f>IFERROR(__xludf.DUMMYFUNCTION("IF(C5261&lt;&gt;"""", GOOGLETRANSLATE(C5261, ""en"", ""te""),"""")"),"[ '38 వ లాంగెస్ట్ కెరీర్లు (18y 36d)', '28th లాంగెస్ట్ వ్యవధిలో ప్రదర్శనల మధ్య (9y 336d)']")</f>
        <v>[ '38 వ లాంగెస్ట్ కెరీర్లు (18y 36d)', '28th లాంగెస్ట్ వ్యవధిలో ప్రదర్శనల మధ్య (9y 336d)']</v>
      </c>
      <c r="E5261" s="2"/>
      <c r="F5261" s="2" t="str">
        <f>IFERROR(__xludf.DUMMYFUNCTION("IF(E5261&lt;&gt;"""", GOOGLETRANSLATE(E5261, ""en"", ""te""),"""")"),"")</f>
        <v/>
      </c>
      <c r="G5261" s="2"/>
      <c r="H5261" s="2" t="str">
        <f>IFERROR(__xludf.DUMMYFUNCTION("IF(G5261&lt;&gt;"""", GOOGLETRANSLATE(G5261, ""en"", ""te""),"""")"),"")</f>
        <v/>
      </c>
      <c r="I5261" s="3"/>
    </row>
    <row r="5262" customHeight="1" spans="1:9">
      <c r="A5262" s="2"/>
      <c r="B5262" s="2" t="str">
        <f>IFERROR(__xludf.DUMMYFUNCTION("IF(A5262&lt;&gt;"""", GOOGLETRANSLATE(A5262, ""en"", ""te""),"""")"),"")</f>
        <v/>
      </c>
      <c r="C5262" s="2"/>
      <c r="D5262" s="2" t="str">
        <f>IFERROR(__xludf.DUMMYFUNCTION("IF(C5262&lt;&gt;"""", GOOGLETRANSLATE(C5262, ""en"", ""te""),"""")"),"")</f>
        <v/>
      </c>
      <c r="E5262" s="2" t="s">
        <v>3270</v>
      </c>
      <c r="F5262" s="2" t="str">
        <f>IFERROR(__xludf.DUMMYFUNCTION("IF(E5262&lt;&gt;"""", GOOGLETRANSLATE(E5262, ""en"", ""te""),"""")"),"[ '36 వ ఉత్తమ కెరీర్ బౌలింగ్ సరాసరి (అర్హత లేకుండా) (12.00)']")</f>
        <v>[ '36 వ ఉత్తమ కెరీర్ బౌలింగ్ సరాసరి (అర్హత లేకుండా) (12.00)']</v>
      </c>
      <c r="G5262" s="2"/>
      <c r="H5262" s="2" t="str">
        <f>IFERROR(__xludf.DUMMYFUNCTION("IF(G5262&lt;&gt;"""", GOOGLETRANSLATE(G5262, ""en"", ""te""),"""")"),"")</f>
        <v/>
      </c>
      <c r="I5262" s="3"/>
    </row>
    <row r="5263" customHeight="1" spans="1:9">
      <c r="A5263" s="2"/>
      <c r="B5263" s="2" t="str">
        <f>IFERROR(__xludf.DUMMYFUNCTION("IF(A5263&lt;&gt;"""", GOOGLETRANSLATE(A5263, ""en"", ""te""),"""")"),"")</f>
        <v/>
      </c>
      <c r="C5263" s="2"/>
      <c r="D5263" s="2" t="str">
        <f>IFERROR(__xludf.DUMMYFUNCTION("IF(C5263&lt;&gt;"""", GOOGLETRANSLATE(C5263, ""en"", ""te""),"""")"),"")</f>
        <v/>
      </c>
      <c r="E5263" s="2"/>
      <c r="F5263" s="2" t="str">
        <f>IFERROR(__xludf.DUMMYFUNCTION("IF(E5263&lt;&gt;"""", GOOGLETRANSLATE(E5263, ""en"", ""te""),"""")"),"")</f>
        <v/>
      </c>
      <c r="G5263" s="2"/>
      <c r="H5263" s="2" t="str">
        <f>IFERROR(__xludf.DUMMYFUNCTION("IF(G5263&lt;&gt;"""", GOOGLETRANSLATE(G5263, ""en"", ""te""),"""")"),"")</f>
        <v/>
      </c>
      <c r="I5263" s="3"/>
    </row>
    <row r="5264" customHeight="1" spans="1:9">
      <c r="A5264" s="2"/>
      <c r="B5264" s="2" t="str">
        <f>IFERROR(__xludf.DUMMYFUNCTION("IF(A5264&lt;&gt;"""", GOOGLETRANSLATE(A5264, ""en"", ""te""),"""")"),"")</f>
        <v/>
      </c>
      <c r="C5264" s="2"/>
      <c r="D5264" s="2" t="str">
        <f>IFERROR(__xludf.DUMMYFUNCTION("IF(C5264&lt;&gt;"""", GOOGLETRANSLATE(C5264, ""en"", ""te""),"""")"),"")</f>
        <v/>
      </c>
      <c r="E5264" s="2"/>
      <c r="F5264" s="2" t="str">
        <f>IFERROR(__xludf.DUMMYFUNCTION("IF(E5264&lt;&gt;"""", GOOGLETRANSLATE(E5264, ""en"", ""te""),"""")"),"")</f>
        <v/>
      </c>
      <c r="G5264" s="2"/>
      <c r="H5264" s="2" t="str">
        <f>IFERROR(__xludf.DUMMYFUNCTION("IF(G5264&lt;&gt;"""", GOOGLETRANSLATE(G5264, ""en"", ""te""),"""")"),"")</f>
        <v/>
      </c>
      <c r="I5264" s="3"/>
    </row>
    <row r="5265" customHeight="1" spans="1:9">
      <c r="A5265" s="2"/>
      <c r="B5265" s="2" t="str">
        <f>IFERROR(__xludf.DUMMYFUNCTION("IF(A5265&lt;&gt;"""", GOOGLETRANSLATE(A5265, ""en"", ""te""),"""")"),"")</f>
        <v/>
      </c>
      <c r="C5265" s="2"/>
      <c r="D5265" s="2" t="str">
        <f>IFERROR(__xludf.DUMMYFUNCTION("IF(C5265&lt;&gt;"""", GOOGLETRANSLATE(C5265, ""en"", ""te""),"""")"),"")</f>
        <v/>
      </c>
      <c r="E5265" s="2"/>
      <c r="F5265" s="2" t="str">
        <f>IFERROR(__xludf.DUMMYFUNCTION("IF(E5265&lt;&gt;"""", GOOGLETRANSLATE(E5265, ""en"", ""te""),"""")"),"")</f>
        <v/>
      </c>
      <c r="G5265" s="2"/>
      <c r="H5265" s="2" t="str">
        <f>IFERROR(__xludf.DUMMYFUNCTION("IF(G5265&lt;&gt;"""", GOOGLETRANSLATE(G5265, ""en"", ""te""),"""")"),"")</f>
        <v/>
      </c>
      <c r="I5265" s="3"/>
    </row>
    <row r="5266" customHeight="1" spans="1:9">
      <c r="A5266" s="2"/>
      <c r="B5266" s="2" t="str">
        <f>IFERROR(__xludf.DUMMYFUNCTION("IF(A5266&lt;&gt;"""", GOOGLETRANSLATE(A5266, ""en"", ""te""),"""")"),"")</f>
        <v/>
      </c>
      <c r="C5266" s="2" t="s">
        <v>3506</v>
      </c>
      <c r="D5266" s="2" t="str">
        <f>IFERROR(__xludf.DUMMYFUNCTION("IF(C5266&lt;&gt;"""", GOOGLETRANSLATE(C5266, ""en"", ""te""),"""")"),"[ '38 వ పిన్న క్రీడాకారులు (18y 13d)']")</f>
        <v>[ '38 వ పిన్న క్రీడాకారులు (18y 13d)']</v>
      </c>
      <c r="E5266" s="2"/>
      <c r="F5266" s="2" t="str">
        <f>IFERROR(__xludf.DUMMYFUNCTION("IF(E5266&lt;&gt;"""", GOOGLETRANSLATE(E5266, ""en"", ""te""),"""")"),"")</f>
        <v/>
      </c>
      <c r="G5266" s="2"/>
      <c r="H5266" s="2" t="str">
        <f>IFERROR(__xludf.DUMMYFUNCTION("IF(G5266&lt;&gt;"""", GOOGLETRANSLATE(G5266, ""en"", ""te""),"""")"),"")</f>
        <v/>
      </c>
      <c r="I5266" s="3"/>
    </row>
    <row r="5267" customHeight="1" spans="1:9">
      <c r="A5267" s="2"/>
      <c r="B5267" s="2" t="str">
        <f>IFERROR(__xludf.DUMMYFUNCTION("IF(A5267&lt;&gt;"""", GOOGLETRANSLATE(A5267, ""en"", ""te""),"""")"),"")</f>
        <v/>
      </c>
      <c r="C5267" s="2"/>
      <c r="D5267" s="2" t="str">
        <f>IFERROR(__xludf.DUMMYFUNCTION("IF(C5267&lt;&gt;"""", GOOGLETRANSLATE(C5267, ""en"", ""te""),"""")"),"")</f>
        <v/>
      </c>
      <c r="E5267" s="2"/>
      <c r="F5267" s="2" t="str">
        <f>IFERROR(__xludf.DUMMYFUNCTION("IF(E5267&lt;&gt;"""", GOOGLETRANSLATE(E5267, ""en"", ""te""),"""")"),"")</f>
        <v/>
      </c>
      <c r="G5267" s="2"/>
      <c r="H5267" s="2" t="str">
        <f>IFERROR(__xludf.DUMMYFUNCTION("IF(G5267&lt;&gt;"""", GOOGLETRANSLATE(G5267, ""en"", ""te""),"""")"),"")</f>
        <v/>
      </c>
      <c r="I5267" s="3"/>
    </row>
    <row r="5268" customHeight="1" spans="1:9">
      <c r="A5268" s="2"/>
      <c r="B5268" s="2" t="str">
        <f>IFERROR(__xludf.DUMMYFUNCTION("IF(A5268&lt;&gt;"""", GOOGLETRANSLATE(A5268, ""en"", ""te""),"""")"),"")</f>
        <v/>
      </c>
      <c r="C5268" s="2"/>
      <c r="D5268" s="2" t="str">
        <f>IFERROR(__xludf.DUMMYFUNCTION("IF(C5268&lt;&gt;"""", GOOGLETRANSLATE(C5268, ""en"", ""te""),"""")"),"")</f>
        <v/>
      </c>
      <c r="E5268" s="2"/>
      <c r="F5268" s="2" t="str">
        <f>IFERROR(__xludf.DUMMYFUNCTION("IF(E5268&lt;&gt;"""", GOOGLETRANSLATE(E5268, ""en"", ""te""),"""")"),"")</f>
        <v/>
      </c>
      <c r="G5268" s="2"/>
      <c r="H5268" s="2" t="str">
        <f>IFERROR(__xludf.DUMMYFUNCTION("IF(G5268&lt;&gt;"""", GOOGLETRANSLATE(G5268, ""en"", ""te""),"""")"),"")</f>
        <v/>
      </c>
      <c r="I5268" s="3"/>
    </row>
    <row r="5269" customHeight="1" spans="1:9">
      <c r="A5269" s="2"/>
      <c r="B5269" s="2" t="str">
        <f>IFERROR(__xludf.DUMMYFUNCTION("IF(A5269&lt;&gt;"""", GOOGLETRANSLATE(A5269, ""en"", ""te""),"""")"),"")</f>
        <v/>
      </c>
      <c r="C5269" s="2"/>
      <c r="D5269" s="2" t="str">
        <f>IFERROR(__xludf.DUMMYFUNCTION("IF(C5269&lt;&gt;"""", GOOGLETRANSLATE(C5269, ""en"", ""te""),"""")"),"")</f>
        <v/>
      </c>
      <c r="E5269" s="2"/>
      <c r="F5269" s="2" t="str">
        <f>IFERROR(__xludf.DUMMYFUNCTION("IF(E5269&lt;&gt;"""", GOOGLETRANSLATE(E5269, ""en"", ""te""),"""")"),"")</f>
        <v/>
      </c>
      <c r="G5269" s="2"/>
      <c r="H5269" s="2" t="str">
        <f>IFERROR(__xludf.DUMMYFUNCTION("IF(G5269&lt;&gt;"""", GOOGLETRANSLATE(G5269, ""en"", ""te""),"""")"),"")</f>
        <v/>
      </c>
      <c r="I5269" s="3"/>
    </row>
    <row r="5270" customHeight="1" spans="1:9">
      <c r="A5270" s="2"/>
      <c r="B5270" s="2" t="str">
        <f>IFERROR(__xludf.DUMMYFUNCTION("IF(A5270&lt;&gt;"""", GOOGLETRANSLATE(A5270, ""en"", ""te""),"""")"),"")</f>
        <v/>
      </c>
      <c r="C5270" s="2"/>
      <c r="D5270" s="2" t="str">
        <f>IFERROR(__xludf.DUMMYFUNCTION("IF(C5270&lt;&gt;"""", GOOGLETRANSLATE(C5270, ""en"", ""te""),"""")"),"")</f>
        <v/>
      </c>
      <c r="E5270" s="2"/>
      <c r="F5270" s="2" t="str">
        <f>IFERROR(__xludf.DUMMYFUNCTION("IF(E5270&lt;&gt;"""", GOOGLETRANSLATE(E5270, ""en"", ""te""),"""")"),"")</f>
        <v/>
      </c>
      <c r="G5270" s="2"/>
      <c r="H5270" s="2" t="str">
        <f>IFERROR(__xludf.DUMMYFUNCTION("IF(G5270&lt;&gt;"""", GOOGLETRANSLATE(G5270, ""en"", ""te""),"""")"),"")</f>
        <v/>
      </c>
      <c r="I5270" s="3"/>
    </row>
    <row r="5271" customHeight="1" spans="1:9">
      <c r="A5271" s="2"/>
      <c r="B5271" s="2" t="str">
        <f>IFERROR(__xludf.DUMMYFUNCTION("IF(A5271&lt;&gt;"""", GOOGLETRANSLATE(A5271, ""en"", ""te""),"""")"),"")</f>
        <v/>
      </c>
      <c r="C5271" s="2"/>
      <c r="D5271" s="2" t="str">
        <f>IFERROR(__xludf.DUMMYFUNCTION("IF(C5271&lt;&gt;"""", GOOGLETRANSLATE(C5271, ""en"", ""te""),"""")"),"")</f>
        <v/>
      </c>
      <c r="E5271" s="2"/>
      <c r="F5271" s="2" t="str">
        <f>IFERROR(__xludf.DUMMYFUNCTION("IF(E5271&lt;&gt;"""", GOOGLETRANSLATE(E5271, ""en"", ""te""),"""")"),"")</f>
        <v/>
      </c>
      <c r="G5271" s="2"/>
      <c r="H5271" s="2" t="str">
        <f>IFERROR(__xludf.DUMMYFUNCTION("IF(G5271&lt;&gt;"""", GOOGLETRANSLATE(G5271, ""en"", ""te""),"""")"),"")</f>
        <v/>
      </c>
      <c r="I5271" s="3"/>
    </row>
    <row r="5272" customHeight="1" spans="1:9">
      <c r="A5272" s="2"/>
      <c r="B5272" s="2" t="str">
        <f>IFERROR(__xludf.DUMMYFUNCTION("IF(A5272&lt;&gt;"""", GOOGLETRANSLATE(A5272, ""en"", ""te""),"""")"),"")</f>
        <v/>
      </c>
      <c r="C5272" s="2"/>
      <c r="D5272" s="2" t="str">
        <f>IFERROR(__xludf.DUMMYFUNCTION("IF(C5272&lt;&gt;"""", GOOGLETRANSLATE(C5272, ""en"", ""te""),"""")"),"")</f>
        <v/>
      </c>
      <c r="E5272" s="2"/>
      <c r="F5272" s="2" t="str">
        <f>IFERROR(__xludf.DUMMYFUNCTION("IF(E5272&lt;&gt;"""", GOOGLETRANSLATE(E5272, ""en"", ""te""),"""")"),"")</f>
        <v/>
      </c>
      <c r="G5272" s="2"/>
      <c r="H5272" s="2" t="str">
        <f>IFERROR(__xludf.DUMMYFUNCTION("IF(G5272&lt;&gt;"""", GOOGLETRANSLATE(G5272, ""en"", ""te""),"""")"),"")</f>
        <v/>
      </c>
      <c r="I5272" s="3"/>
    </row>
    <row r="5273" customHeight="1" spans="1:9">
      <c r="A5273" s="2"/>
      <c r="B5273" s="2" t="str">
        <f>IFERROR(__xludf.DUMMYFUNCTION("IF(A5273&lt;&gt;"""", GOOGLETRANSLATE(A5273, ""en"", ""te""),"""")"),"")</f>
        <v/>
      </c>
      <c r="C5273" s="2"/>
      <c r="D5273" s="2" t="str">
        <f>IFERROR(__xludf.DUMMYFUNCTION("IF(C5273&lt;&gt;"""", GOOGLETRANSLATE(C5273, ""en"", ""te""),"""")"),"")</f>
        <v/>
      </c>
      <c r="E5273" s="2"/>
      <c r="F5273" s="2" t="str">
        <f>IFERROR(__xludf.DUMMYFUNCTION("IF(E5273&lt;&gt;"""", GOOGLETRANSLATE(E5273, ""en"", ""te""),"""")"),"")</f>
        <v/>
      </c>
      <c r="G5273" s="2"/>
      <c r="H5273" s="2" t="str">
        <f>IFERROR(__xludf.DUMMYFUNCTION("IF(G5273&lt;&gt;"""", GOOGLETRANSLATE(G5273, ""en"", ""te""),"""")"),"")</f>
        <v/>
      </c>
      <c r="I5273" s="3"/>
    </row>
    <row r="5274" customHeight="1" spans="1:9">
      <c r="A5274" s="2"/>
      <c r="B5274" s="2" t="str">
        <f>IFERROR(__xludf.DUMMYFUNCTION("IF(A5274&lt;&gt;"""", GOOGLETRANSLATE(A5274, ""en"", ""te""),"""")"),"")</f>
        <v/>
      </c>
      <c r="C5274" s="2"/>
      <c r="D5274" s="2" t="str">
        <f>IFERROR(__xludf.DUMMYFUNCTION("IF(C5274&lt;&gt;"""", GOOGLETRANSLATE(C5274, ""en"", ""te""),"""")"),"")</f>
        <v/>
      </c>
      <c r="E5274" s="2"/>
      <c r="F5274" s="2" t="str">
        <f>IFERROR(__xludf.DUMMYFUNCTION("IF(E5274&lt;&gt;"""", GOOGLETRANSLATE(E5274, ""en"", ""te""),"""")"),"")</f>
        <v/>
      </c>
      <c r="G5274" s="2"/>
      <c r="H5274" s="2" t="str">
        <f>IFERROR(__xludf.DUMMYFUNCTION("IF(G5274&lt;&gt;"""", GOOGLETRANSLATE(G5274, ""en"", ""te""),"""")"),"")</f>
        <v/>
      </c>
      <c r="I5274" s="3"/>
    </row>
    <row r="5275" customHeight="1" spans="1:9">
      <c r="A5275" s="2"/>
      <c r="B5275" s="2" t="str">
        <f>IFERROR(__xludf.DUMMYFUNCTION("IF(A5275&lt;&gt;"""", GOOGLETRANSLATE(A5275, ""en"", ""te""),"""")"),"")</f>
        <v/>
      </c>
      <c r="C5275" s="2"/>
      <c r="D5275" s="2" t="str">
        <f>IFERROR(__xludf.DUMMYFUNCTION("IF(C5275&lt;&gt;"""", GOOGLETRANSLATE(C5275, ""en"", ""te""),"""")"),"")</f>
        <v/>
      </c>
      <c r="E5275" s="2"/>
      <c r="F5275" s="2" t="str">
        <f>IFERROR(__xludf.DUMMYFUNCTION("IF(E5275&lt;&gt;"""", GOOGLETRANSLATE(E5275, ""en"", ""te""),"""")"),"")</f>
        <v/>
      </c>
      <c r="G5275" s="2"/>
      <c r="H5275" s="2" t="str">
        <f>IFERROR(__xludf.DUMMYFUNCTION("IF(G5275&lt;&gt;"""", GOOGLETRANSLATE(G5275, ""en"", ""te""),"""")"),"")</f>
        <v/>
      </c>
      <c r="I5275" s="3"/>
    </row>
    <row r="5276" customHeight="1" spans="1:9">
      <c r="A5276" s="2"/>
      <c r="B5276" s="2" t="str">
        <f>IFERROR(__xludf.DUMMYFUNCTION("IF(A5276&lt;&gt;"""", GOOGLETRANSLATE(A5276, ""en"", ""te""),"""")"),"")</f>
        <v/>
      </c>
      <c r="C5276" s="2"/>
      <c r="D5276" s="2" t="str">
        <f>IFERROR(__xludf.DUMMYFUNCTION("IF(C5276&lt;&gt;"""", GOOGLETRANSLATE(C5276, ""en"", ""te""),"""")"),"")</f>
        <v/>
      </c>
      <c r="E5276" s="2"/>
      <c r="F5276" s="2" t="str">
        <f>IFERROR(__xludf.DUMMYFUNCTION("IF(E5276&lt;&gt;"""", GOOGLETRANSLATE(E5276, ""en"", ""te""),"""")"),"")</f>
        <v/>
      </c>
      <c r="G5276" s="2"/>
      <c r="H5276" s="2" t="str">
        <f>IFERROR(__xludf.DUMMYFUNCTION("IF(G5276&lt;&gt;"""", GOOGLETRANSLATE(G5276, ""en"", ""te""),"""")"),"")</f>
        <v/>
      </c>
      <c r="I5276" s="3"/>
    </row>
    <row r="5277" customHeight="1" spans="1:9">
      <c r="A5277" s="2"/>
      <c r="B5277" s="2" t="str">
        <f>IFERROR(__xludf.DUMMYFUNCTION("IF(A5277&lt;&gt;"""", GOOGLETRANSLATE(A5277, ""en"", ""te""),"""")"),"")</f>
        <v/>
      </c>
      <c r="C5277" s="2"/>
      <c r="D5277" s="2" t="str">
        <f>IFERROR(__xludf.DUMMYFUNCTION("IF(C5277&lt;&gt;"""", GOOGLETRANSLATE(C5277, ""en"", ""te""),"""")"),"")</f>
        <v/>
      </c>
      <c r="E5277" s="2"/>
      <c r="F5277" s="2" t="str">
        <f>IFERROR(__xludf.DUMMYFUNCTION("IF(E5277&lt;&gt;"""", GOOGLETRANSLATE(E5277, ""en"", ""te""),"""")"),"")</f>
        <v/>
      </c>
      <c r="G5277" s="2"/>
      <c r="H5277" s="2" t="str">
        <f>IFERROR(__xludf.DUMMYFUNCTION("IF(G5277&lt;&gt;"""", GOOGLETRANSLATE(G5277, ""en"", ""te""),"""")"),"")</f>
        <v/>
      </c>
      <c r="I5277" s="3"/>
    </row>
    <row r="5278" customHeight="1" spans="1:9">
      <c r="A5278" s="2"/>
      <c r="B5278" s="2" t="str">
        <f>IFERROR(__xludf.DUMMYFUNCTION("IF(A5278&lt;&gt;"""", GOOGLETRANSLATE(A5278, ""en"", ""te""),"""")"),"")</f>
        <v/>
      </c>
      <c r="C5278" s="2"/>
      <c r="D5278" s="2" t="str">
        <f>IFERROR(__xludf.DUMMYFUNCTION("IF(C5278&lt;&gt;"""", GOOGLETRANSLATE(C5278, ""en"", ""te""),"""")"),"")</f>
        <v/>
      </c>
      <c r="E5278" s="2"/>
      <c r="F5278" s="2" t="str">
        <f>IFERROR(__xludf.DUMMYFUNCTION("IF(E5278&lt;&gt;"""", GOOGLETRANSLATE(E5278, ""en"", ""te""),"""")"),"")</f>
        <v/>
      </c>
      <c r="G5278" s="2"/>
      <c r="H5278" s="2" t="str">
        <f>IFERROR(__xludf.DUMMYFUNCTION("IF(G5278&lt;&gt;"""", GOOGLETRANSLATE(G5278, ""en"", ""te""),"""")"),"")</f>
        <v/>
      </c>
      <c r="I5278" s="3"/>
    </row>
    <row r="5279" customHeight="1" spans="1:9">
      <c r="A5279" s="2"/>
      <c r="B5279" s="2" t="str">
        <f>IFERROR(__xludf.DUMMYFUNCTION("IF(A5279&lt;&gt;"""", GOOGLETRANSLATE(A5279, ""en"", ""te""),"""")"),"")</f>
        <v/>
      </c>
      <c r="C5279" s="2"/>
      <c r="D5279" s="2" t="str">
        <f>IFERROR(__xludf.DUMMYFUNCTION("IF(C5279&lt;&gt;"""", GOOGLETRANSLATE(C5279, ""en"", ""te""),"""")"),"")</f>
        <v/>
      </c>
      <c r="E5279" s="2"/>
      <c r="F5279" s="2" t="str">
        <f>IFERROR(__xludf.DUMMYFUNCTION("IF(E5279&lt;&gt;"""", GOOGLETRANSLATE(E5279, ""en"", ""te""),"""")"),"")</f>
        <v/>
      </c>
      <c r="G5279" s="2"/>
      <c r="H5279" s="2" t="str">
        <f>IFERROR(__xludf.DUMMYFUNCTION("IF(G5279&lt;&gt;"""", GOOGLETRANSLATE(G5279, ""en"", ""te""),"""")"),"")</f>
        <v/>
      </c>
      <c r="I5279" s="3"/>
    </row>
    <row r="5280" customHeight="1" spans="1:9">
      <c r="A5280" s="2"/>
      <c r="B5280" s="2" t="str">
        <f>IFERROR(__xludf.DUMMYFUNCTION("IF(A5280&lt;&gt;"""", GOOGLETRANSLATE(A5280, ""en"", ""te""),"""")"),"")</f>
        <v/>
      </c>
      <c r="C5280" s="2"/>
      <c r="D5280" s="2" t="str">
        <f>IFERROR(__xludf.DUMMYFUNCTION("IF(C5280&lt;&gt;"""", GOOGLETRANSLATE(C5280, ""en"", ""te""),"""")"),"")</f>
        <v/>
      </c>
      <c r="E5280" s="2"/>
      <c r="F5280" s="2" t="str">
        <f>IFERROR(__xludf.DUMMYFUNCTION("IF(E5280&lt;&gt;"""", GOOGLETRANSLATE(E5280, ""en"", ""te""),"""")"),"")</f>
        <v/>
      </c>
      <c r="G5280" s="2"/>
      <c r="H5280" s="2" t="str">
        <f>IFERROR(__xludf.DUMMYFUNCTION("IF(G5280&lt;&gt;"""", GOOGLETRANSLATE(G5280, ""en"", ""te""),"""")"),"")</f>
        <v/>
      </c>
      <c r="I5280" s="3"/>
    </row>
    <row r="5281" customHeight="1" spans="1:9">
      <c r="A5281" s="2"/>
      <c r="B5281" s="2" t="str">
        <f>IFERROR(__xludf.DUMMYFUNCTION("IF(A5281&lt;&gt;"""", GOOGLETRANSLATE(A5281, ""en"", ""te""),"""")"),"")</f>
        <v/>
      </c>
      <c r="C5281" s="2"/>
      <c r="D5281" s="2" t="str">
        <f>IFERROR(__xludf.DUMMYFUNCTION("IF(C5281&lt;&gt;"""", GOOGLETRANSLATE(C5281, ""en"", ""te""),"""")"),"")</f>
        <v/>
      </c>
      <c r="E5281" s="2"/>
      <c r="F5281" s="2" t="str">
        <f>IFERROR(__xludf.DUMMYFUNCTION("IF(E5281&lt;&gt;"""", GOOGLETRANSLATE(E5281, ""en"", ""te""),"""")"),"")</f>
        <v/>
      </c>
      <c r="G5281" s="2"/>
      <c r="H5281" s="2" t="str">
        <f>IFERROR(__xludf.DUMMYFUNCTION("IF(G5281&lt;&gt;"""", GOOGLETRANSLATE(G5281, ""en"", ""te""),"""")"),"")</f>
        <v/>
      </c>
      <c r="I5281" s="3"/>
    </row>
    <row r="5282" customHeight="1" spans="1:9">
      <c r="A5282" s="2"/>
      <c r="B5282" s="2" t="str">
        <f>IFERROR(__xludf.DUMMYFUNCTION("IF(A5282&lt;&gt;"""", GOOGLETRANSLATE(A5282, ""en"", ""te""),"""")"),"")</f>
        <v/>
      </c>
      <c r="C5282" s="2"/>
      <c r="D5282" s="2" t="str">
        <f>IFERROR(__xludf.DUMMYFUNCTION("IF(C5282&lt;&gt;"""", GOOGLETRANSLATE(C5282, ""en"", ""te""),"""")"),"")</f>
        <v/>
      </c>
      <c r="E5282" s="2"/>
      <c r="F5282" s="2" t="str">
        <f>IFERROR(__xludf.DUMMYFUNCTION("IF(E5282&lt;&gt;"""", GOOGLETRANSLATE(E5282, ""en"", ""te""),"""")"),"")</f>
        <v/>
      </c>
      <c r="G5282" s="2"/>
      <c r="H5282" s="2" t="str">
        <f>IFERROR(__xludf.DUMMYFUNCTION("IF(G5282&lt;&gt;"""", GOOGLETRANSLATE(G5282, ""en"", ""te""),"""")"),"")</f>
        <v/>
      </c>
      <c r="I5282" s="3"/>
    </row>
    <row r="5283" customHeight="1" spans="1:9">
      <c r="A5283" s="2"/>
      <c r="B5283" s="2" t="str">
        <f>IFERROR(__xludf.DUMMYFUNCTION("IF(A5283&lt;&gt;"""", GOOGLETRANSLATE(A5283, ""en"", ""te""),"""")"),"")</f>
        <v/>
      </c>
      <c r="C5283" s="2"/>
      <c r="D5283" s="2" t="str">
        <f>IFERROR(__xludf.DUMMYFUNCTION("IF(C5283&lt;&gt;"""", GOOGLETRANSLATE(C5283, ""en"", ""te""),"""")"),"")</f>
        <v/>
      </c>
      <c r="E5283" s="2"/>
      <c r="F5283" s="2" t="str">
        <f>IFERROR(__xludf.DUMMYFUNCTION("IF(E5283&lt;&gt;"""", GOOGLETRANSLATE(E5283, ""en"", ""te""),"""")"),"")</f>
        <v/>
      </c>
      <c r="G5283" s="2"/>
      <c r="H5283" s="2" t="str">
        <f>IFERROR(__xludf.DUMMYFUNCTION("IF(G5283&lt;&gt;"""", GOOGLETRANSLATE(G5283, ""en"", ""te""),"""")"),"")</f>
        <v/>
      </c>
      <c r="I5283" s="3"/>
    </row>
    <row r="5284" customHeight="1" spans="1:9">
      <c r="A5284" s="2"/>
      <c r="B5284" s="2" t="str">
        <f>IFERROR(__xludf.DUMMYFUNCTION("IF(A5284&lt;&gt;"""", GOOGLETRANSLATE(A5284, ""en"", ""te""),"""")"),"")</f>
        <v/>
      </c>
      <c r="C5284" s="2"/>
      <c r="D5284" s="2" t="str">
        <f>IFERROR(__xludf.DUMMYFUNCTION("IF(C5284&lt;&gt;"""", GOOGLETRANSLATE(C5284, ""en"", ""te""),"""")"),"")</f>
        <v/>
      </c>
      <c r="E5284" s="2"/>
      <c r="F5284" s="2" t="str">
        <f>IFERROR(__xludf.DUMMYFUNCTION("IF(E5284&lt;&gt;"""", GOOGLETRANSLATE(E5284, ""en"", ""te""),"""")"),"")</f>
        <v/>
      </c>
      <c r="G5284" s="2"/>
      <c r="H5284" s="2" t="str">
        <f>IFERROR(__xludf.DUMMYFUNCTION("IF(G5284&lt;&gt;"""", GOOGLETRANSLATE(G5284, ""en"", ""te""),"""")"),"")</f>
        <v/>
      </c>
      <c r="I5284" s="3"/>
    </row>
    <row r="5285" customHeight="1" spans="1:9">
      <c r="A5285" s="2"/>
      <c r="B5285" s="2" t="str">
        <f>IFERROR(__xludf.DUMMYFUNCTION("IF(A5285&lt;&gt;"""", GOOGLETRANSLATE(A5285, ""en"", ""te""),"""")"),"")</f>
        <v/>
      </c>
      <c r="C5285" s="2"/>
      <c r="D5285" s="2" t="str">
        <f>IFERROR(__xludf.DUMMYFUNCTION("IF(C5285&lt;&gt;"""", GOOGLETRANSLATE(C5285, ""en"", ""te""),"""")"),"")</f>
        <v/>
      </c>
      <c r="E5285" s="2"/>
      <c r="F5285" s="2" t="str">
        <f>IFERROR(__xludf.DUMMYFUNCTION("IF(E5285&lt;&gt;"""", GOOGLETRANSLATE(E5285, ""en"", ""te""),"""")"),"")</f>
        <v/>
      </c>
      <c r="G5285" s="2"/>
      <c r="H5285" s="2" t="str">
        <f>IFERROR(__xludf.DUMMYFUNCTION("IF(G5285&lt;&gt;"""", GOOGLETRANSLATE(G5285, ""en"", ""te""),"""")"),"")</f>
        <v/>
      </c>
      <c r="I5285" s="3"/>
    </row>
    <row r="5286" customHeight="1" spans="1:9">
      <c r="A5286" s="2" t="s">
        <v>3507</v>
      </c>
      <c r="B5286" s="2" t="str">
        <f>IFERROR(__xludf.DUMMYFUNCTION("IF(A5286&lt;&gt;"""", GOOGLETRANSLATE(A5286, ""en"", ""te""),"""")"),"[ 'కెరీర్లో 7 వ అత్యంత జతల (3)', '1st ఒక ఇన్నింగ్స్ లోని బెస్ట్ ఫిగర్స్ ఉన్నప్పుడు పరాజయం వైపు (6)', '6 వ బౌలర్ / ఫీల్డర్ కలయికలు (9)']")</f>
        <v>[ 'కెరీర్లో 7 వ అత్యంత జతల (3)', '1st ఒక ఇన్నింగ్స్ లోని బెస్ట్ ఫిగర్స్ ఉన్నప్పుడు పరాజయం వైపు (6)', '6 వ బౌలర్ / ఫీల్డర్ కలయికలు (9)']</v>
      </c>
      <c r="C5286" s="2" t="s">
        <v>2704</v>
      </c>
      <c r="D5286" s="2" t="str">
        <f>IFERROR(__xludf.DUMMYFUNCTION("IF(C5286&lt;&gt;"""", GOOGLETRANSLATE(C5286, ""en"", ""te""),"""")"),"[ 'కెరీర్లో 7 వ అత్యంత జతల (3)']")</f>
        <v>[ 'కెరీర్లో 7 వ అత్యంత జతల (3)']</v>
      </c>
      <c r="E5286" s="2" t="s">
        <v>3508</v>
      </c>
      <c r="F5286" s="2" t="str">
        <f>IFERROR(__xludf.DUMMYFUNCTION("IF(E5286&lt;&gt;"""", GOOGLETRANSLATE(E5286, ""en"", ""te""),"""")"),"[ '30 వ ఇన్నింగ్స్ లో బెస్ట్ ఫిగర్స్ (6/23)', '1st ఒక ఇన్నింగ్స్ లోని బెస్ట్ ఫిగర్స్ ఉన్నప్పుడు పరాజయం వైపు (6)', '43 వ అత్యంత ఐదు-వికెట్ల లో-ఒక-ఇన్నింగ్స్ కెరీర్లో (2) ',' 13 వ వరుస నాలుగు వికెట్లు-ఇన్-ఒక-ఇన్నింగ్స్ (2) ',' 37 వ 150 వికెట్లు (113) వేగంగ"&amp;"ా ']")</f>
        <v>[ '30 వ ఇన్నింగ్స్ లో బెస్ట్ ఫిగర్స్ (6/23)', '1st ఒక ఇన్నింగ్స్ లోని బెస్ట్ ఫిగర్స్ ఉన్నప్పుడు పరాజయం వైపు (6)', '43 వ అత్యంత ఐదు-వికెట్ల లో-ఒక-ఇన్నింగ్స్ కెరీర్లో (2) ',' 13 వ వరుస నాలుగు వికెట్లు-ఇన్-ఒక-ఇన్నింగ్స్ (2) ',' 37 వ 150 వికెట్లు (113) వేగంగా ']</v>
      </c>
      <c r="G5286" s="2" t="s">
        <v>3509</v>
      </c>
      <c r="H5286" s="2" t="str">
        <f>IFERROR(__xludf.DUMMYFUNCTION("IF(G5286&lt;&gt;"""", GOOGLETRANSLATE(G5286, ""en"", ""te""),"""")"),"[ '50 వ ఒక క్యాలెండర్ సంవత్సరంలో అత్యధిక వికెట్లు (18)', '36 వ ఉత్తమ కెరీర్ సమ్మె రేటు (17.2)', '45 వ చెత్త కెరీర్లో ఆర్థిక రేటు (7.73)', '6 వ బౌలర్ / ఫీల్డర్ కలయికలు (9)', '8 వ అత్యంత వికెట్లు ఒక వికెట్ కీపర్ చే కాట్ తీసుకోకూడదు (9) ',' ప్రదర్శనలు (5 సం "&amp;"17d) మధ్య 49 వ లాంగెస్ట్ వ్యవధిలో ']")</f>
        <v>[ '50 వ ఒక క్యాలెండర్ సంవత్సరంలో అత్యధిక వికెట్లు (18)', '36 వ ఉత్తమ కెరీర్ సమ్మె రేటు (17.2)', '45 వ చెత్త కెరీర్లో ఆర్థిక రేటు (7.73)', '6 వ బౌలర్ / ఫీల్డర్ కలయికలు (9)', '8 వ అత్యంత వికెట్లు ఒక వికెట్ కీపర్ చే కాట్ తీసుకోకూడదు (9) ',' ప్రదర్శనలు (5 సం 17d) మధ్య 49 వ లాంగెస్ట్ వ్యవధిలో ']</v>
      </c>
      <c r="I5286" s="3"/>
    </row>
    <row r="5287" customHeight="1" spans="1:9">
      <c r="A5287" s="2"/>
      <c r="B5287" s="2" t="str">
        <f>IFERROR(__xludf.DUMMYFUNCTION("IF(A5287&lt;&gt;"""", GOOGLETRANSLATE(A5287, ""en"", ""te""),"""")"),"")</f>
        <v/>
      </c>
      <c r="C5287" s="2"/>
      <c r="D5287" s="2" t="str">
        <f>IFERROR(__xludf.DUMMYFUNCTION("IF(C5287&lt;&gt;"""", GOOGLETRANSLATE(C5287, ""en"", ""te""),"""")"),"")</f>
        <v/>
      </c>
      <c r="E5287" s="2"/>
      <c r="F5287" s="2" t="str">
        <f>IFERROR(__xludf.DUMMYFUNCTION("IF(E5287&lt;&gt;"""", GOOGLETRANSLATE(E5287, ""en"", ""te""),"""")"),"")</f>
        <v/>
      </c>
      <c r="G5287" s="2"/>
      <c r="H5287" s="2" t="str">
        <f>IFERROR(__xludf.DUMMYFUNCTION("IF(G5287&lt;&gt;"""", GOOGLETRANSLATE(G5287, ""en"", ""te""),"""")"),"")</f>
        <v/>
      </c>
      <c r="I5287" s="3"/>
    </row>
    <row r="5288" customHeight="1" spans="1:9">
      <c r="A5288" s="2"/>
      <c r="B5288" s="2" t="str">
        <f>IFERROR(__xludf.DUMMYFUNCTION("IF(A5288&lt;&gt;"""", GOOGLETRANSLATE(A5288, ""en"", ""te""),"""")"),"")</f>
        <v/>
      </c>
      <c r="C5288" s="2"/>
      <c r="D5288" s="2" t="str">
        <f>IFERROR(__xludf.DUMMYFUNCTION("IF(C5288&lt;&gt;"""", GOOGLETRANSLATE(C5288, ""en"", ""te""),"""")"),"")</f>
        <v/>
      </c>
      <c r="E5288" s="2"/>
      <c r="F5288" s="2" t="str">
        <f>IFERROR(__xludf.DUMMYFUNCTION("IF(E5288&lt;&gt;"""", GOOGLETRANSLATE(E5288, ""en"", ""te""),"""")"),"")</f>
        <v/>
      </c>
      <c r="G5288" s="2"/>
      <c r="H5288" s="2" t="str">
        <f>IFERROR(__xludf.DUMMYFUNCTION("IF(G5288&lt;&gt;"""", GOOGLETRANSLATE(G5288, ""en"", ""te""),"""")"),"")</f>
        <v/>
      </c>
      <c r="I5288" s="3"/>
    </row>
    <row r="5289" customHeight="1" spans="1:9">
      <c r="A5289" s="2"/>
      <c r="B5289" s="2" t="str">
        <f>IFERROR(__xludf.DUMMYFUNCTION("IF(A5289&lt;&gt;"""", GOOGLETRANSLATE(A5289, ""en"", ""te""),"""")"),"")</f>
        <v/>
      </c>
      <c r="C5289" s="2"/>
      <c r="D5289" s="2" t="str">
        <f>IFERROR(__xludf.DUMMYFUNCTION("IF(C5289&lt;&gt;"""", GOOGLETRANSLATE(C5289, ""en"", ""te""),"""")"),"")</f>
        <v/>
      </c>
      <c r="E5289" s="2"/>
      <c r="F5289" s="2" t="str">
        <f>IFERROR(__xludf.DUMMYFUNCTION("IF(E5289&lt;&gt;"""", GOOGLETRANSLATE(E5289, ""en"", ""te""),"""")"),"")</f>
        <v/>
      </c>
      <c r="G5289" s="2"/>
      <c r="H5289" s="2" t="str">
        <f>IFERROR(__xludf.DUMMYFUNCTION("IF(G5289&lt;&gt;"""", GOOGLETRANSLATE(G5289, ""en"", ""te""),"""")"),"")</f>
        <v/>
      </c>
      <c r="I5289" s="3"/>
    </row>
    <row r="5290" customHeight="1" spans="1:9">
      <c r="A5290" s="2" t="s">
        <v>3510</v>
      </c>
      <c r="B5290" s="2" t="str">
        <f>IFERROR(__xludf.DUMMYFUNCTION("IF(A5290&lt;&gt;"""", GOOGLETRANSLATE(A5290, ""en"", ""te""),"""")"),"[ '3 వ అత్యంత ఇన్నింగ్స్ లో నడుస్తుంది (బ్యాటింగ్ స్థానం) (303 *)', '3 వ అత్యధిక తొలి వంద (303 *)']")</f>
        <v>[ '3 వ అత్యంత ఇన్నింగ్స్ లో నడుస్తుంది (బ్యాటింగ్ స్థానం) (303 *)', '3 వ అత్యధిక తొలి వంద (303 *)']</v>
      </c>
      <c r="C5290" s="2" t="s">
        <v>3511</v>
      </c>
      <c r="D5290" s="2" t="str">
        <f>IFERROR(__xludf.DUMMYFUNCTION("IF(C5290&lt;&gt;"""", GOOGLETRANSLATE(C5290, ""en"", ""te""),"""")"),"[ '28 ఇన్నింగ్స్ (303 *) లో అత్యధిక పరుగులు', '(232) ఒక రోజు లో 10 వ అత్యధిక పరుగులు', '5 వ అత్యధిక ట్రిపుల్ లో వందల' 3 వ అత్యంత ఇన్నింగ్స్ లో నడుస్తుంది (బ్యాటింగ్ స్థానం) (303 *) ', ఒక కెరీర్ (1) ',' 3 వ అత్యధిక తొలి వంద (303 *) ',' 6 వ పిన్న ఆటగాడు ట్ర"&amp;"ిపుల్ వందల (25y 10d) స్కోర్ ',' ఇన్నింగ్స్ లో ఫోర్లు, సిక్సర్లు నుండి 34 వ అత్యధిక పరుగులు (152) ']")</f>
        <v>[ '28 ఇన్నింగ్స్ (303 *) లో అత్యధిక పరుగులు', '(232) ఒక రోజు లో 10 వ అత్యధిక పరుగులు', '5 వ అత్యధిక ట్రిపుల్ లో వందల' 3 వ అత్యంత ఇన్నింగ్స్ లో నడుస్తుంది (బ్యాటింగ్ స్థానం) (303 *) ', ఒక కెరీర్ (1) ',' 3 వ అత్యధిక తొలి వంద (303 *) ',' 6 వ పిన్న ఆటగాడు ట్రిపుల్ వందల (25y 10d) స్కోర్ ',' ఇన్నింగ్స్ లో ఫోర్లు, సిక్సర్లు నుండి 34 వ అత్యధిక పరుగులు (152) ']</v>
      </c>
      <c r="E5290" s="2"/>
      <c r="F5290" s="2" t="str">
        <f>IFERROR(__xludf.DUMMYFUNCTION("IF(E5290&lt;&gt;"""", GOOGLETRANSLATE(E5290, ""en"", ""te""),"""")"),"")</f>
        <v/>
      </c>
      <c r="G5290" s="2"/>
      <c r="H5290" s="2" t="str">
        <f>IFERROR(__xludf.DUMMYFUNCTION("IF(G5290&lt;&gt;"""", GOOGLETRANSLATE(G5290, ""en"", ""te""),"""")"),"")</f>
        <v/>
      </c>
      <c r="I5290" s="3"/>
    </row>
    <row r="5291" customHeight="1" spans="1:9">
      <c r="A5291" s="2"/>
      <c r="B5291" s="2" t="str">
        <f>IFERROR(__xludf.DUMMYFUNCTION("IF(A5291&lt;&gt;"""", GOOGLETRANSLATE(A5291, ""en"", ""te""),"""")"),"")</f>
        <v/>
      </c>
      <c r="C5291" s="2"/>
      <c r="D5291" s="2" t="str">
        <f>IFERROR(__xludf.DUMMYFUNCTION("IF(C5291&lt;&gt;"""", GOOGLETRANSLATE(C5291, ""en"", ""te""),"""")"),"")</f>
        <v/>
      </c>
      <c r="E5291" s="2"/>
      <c r="F5291" s="2" t="str">
        <f>IFERROR(__xludf.DUMMYFUNCTION("IF(E5291&lt;&gt;"""", GOOGLETRANSLATE(E5291, ""en"", ""te""),"""")"),"")</f>
        <v/>
      </c>
      <c r="G5291" s="2"/>
      <c r="H5291" s="2" t="str">
        <f>IFERROR(__xludf.DUMMYFUNCTION("IF(G5291&lt;&gt;"""", GOOGLETRANSLATE(G5291, ""en"", ""te""),"""")"),"")</f>
        <v/>
      </c>
      <c r="I5291" s="3"/>
    </row>
    <row r="5292" customHeight="1" spans="1:9">
      <c r="A5292" s="2"/>
      <c r="B5292" s="2" t="str">
        <f>IFERROR(__xludf.DUMMYFUNCTION("IF(A5292&lt;&gt;"""", GOOGLETRANSLATE(A5292, ""en"", ""te""),"""")"),"")</f>
        <v/>
      </c>
      <c r="C5292" s="2"/>
      <c r="D5292" s="2" t="str">
        <f>IFERROR(__xludf.DUMMYFUNCTION("IF(C5292&lt;&gt;"""", GOOGLETRANSLATE(C5292, ""en"", ""te""),"""")"),"")</f>
        <v/>
      </c>
      <c r="E5292" s="2"/>
      <c r="F5292" s="2" t="str">
        <f>IFERROR(__xludf.DUMMYFUNCTION("IF(E5292&lt;&gt;"""", GOOGLETRANSLATE(E5292, ""en"", ""te""),"""")"),"")</f>
        <v/>
      </c>
      <c r="G5292" s="2"/>
      <c r="H5292" s="2" t="str">
        <f>IFERROR(__xludf.DUMMYFUNCTION("IF(G5292&lt;&gt;"""", GOOGLETRANSLATE(G5292, ""en"", ""te""),"""")"),"")</f>
        <v/>
      </c>
      <c r="I5292" s="3"/>
    </row>
    <row r="5293" customHeight="1" spans="1:9">
      <c r="A5293" s="2"/>
      <c r="B5293" s="2" t="str">
        <f>IFERROR(__xludf.DUMMYFUNCTION("IF(A5293&lt;&gt;"""", GOOGLETRANSLATE(A5293, ""en"", ""te""),"""")"),"")</f>
        <v/>
      </c>
      <c r="C5293" s="2"/>
      <c r="D5293" s="2" t="str">
        <f>IFERROR(__xludf.DUMMYFUNCTION("IF(C5293&lt;&gt;"""", GOOGLETRANSLATE(C5293, ""en"", ""te""),"""")"),"")</f>
        <v/>
      </c>
      <c r="E5293" s="2"/>
      <c r="F5293" s="2" t="str">
        <f>IFERROR(__xludf.DUMMYFUNCTION("IF(E5293&lt;&gt;"""", GOOGLETRANSLATE(E5293, ""en"", ""te""),"""")"),"")</f>
        <v/>
      </c>
      <c r="G5293" s="2"/>
      <c r="H5293" s="2" t="str">
        <f>IFERROR(__xludf.DUMMYFUNCTION("IF(G5293&lt;&gt;"""", GOOGLETRANSLATE(G5293, ""en"", ""te""),"""")"),"")</f>
        <v/>
      </c>
      <c r="I5293" s="3"/>
    </row>
    <row r="5294" customHeight="1" spans="1:9">
      <c r="A5294" s="2"/>
      <c r="B5294" s="2" t="str">
        <f>IFERROR(__xludf.DUMMYFUNCTION("IF(A5294&lt;&gt;"""", GOOGLETRANSLATE(A5294, ""en"", ""te""),"""")"),"")</f>
        <v/>
      </c>
      <c r="C5294" s="2"/>
      <c r="D5294" s="2" t="str">
        <f>IFERROR(__xludf.DUMMYFUNCTION("IF(C5294&lt;&gt;"""", GOOGLETRANSLATE(C5294, ""en"", ""te""),"""")"),"")</f>
        <v/>
      </c>
      <c r="E5294" s="2"/>
      <c r="F5294" s="2" t="str">
        <f>IFERROR(__xludf.DUMMYFUNCTION("IF(E5294&lt;&gt;"""", GOOGLETRANSLATE(E5294, ""en"", ""te""),"""")"),"")</f>
        <v/>
      </c>
      <c r="G5294" s="2"/>
      <c r="H5294" s="2" t="str">
        <f>IFERROR(__xludf.DUMMYFUNCTION("IF(G5294&lt;&gt;"""", GOOGLETRANSLATE(G5294, ""en"", ""te""),"""")"),"")</f>
        <v/>
      </c>
      <c r="I5294" s="3"/>
    </row>
    <row r="5295" customHeight="1" spans="1:9">
      <c r="A5295" s="2"/>
      <c r="B5295" s="2" t="str">
        <f>IFERROR(__xludf.DUMMYFUNCTION("IF(A5295&lt;&gt;"""", GOOGLETRANSLATE(A5295, ""en"", ""te""),"""")"),"")</f>
        <v/>
      </c>
      <c r="C5295" s="2"/>
      <c r="D5295" s="2" t="str">
        <f>IFERROR(__xludf.DUMMYFUNCTION("IF(C5295&lt;&gt;"""", GOOGLETRANSLATE(C5295, ""en"", ""te""),"""")"),"")</f>
        <v/>
      </c>
      <c r="E5295" s="2"/>
      <c r="F5295" s="2" t="str">
        <f>IFERROR(__xludf.DUMMYFUNCTION("IF(E5295&lt;&gt;"""", GOOGLETRANSLATE(E5295, ""en"", ""te""),"""")"),"")</f>
        <v/>
      </c>
      <c r="G5295" s="2"/>
      <c r="H5295" s="2" t="str">
        <f>IFERROR(__xludf.DUMMYFUNCTION("IF(G5295&lt;&gt;"""", GOOGLETRANSLATE(G5295, ""en"", ""te""),"""")"),"")</f>
        <v/>
      </c>
      <c r="I5295" s="3"/>
    </row>
    <row r="5296" customHeight="1" spans="1:9">
      <c r="A5296" s="2"/>
      <c r="B5296" s="2" t="str">
        <f>IFERROR(__xludf.DUMMYFUNCTION("IF(A5296&lt;&gt;"""", GOOGLETRANSLATE(A5296, ""en"", ""te""),"""")"),"")</f>
        <v/>
      </c>
      <c r="C5296" s="2"/>
      <c r="D5296" s="2" t="str">
        <f>IFERROR(__xludf.DUMMYFUNCTION("IF(C5296&lt;&gt;"""", GOOGLETRANSLATE(C5296, ""en"", ""te""),"""")"),"")</f>
        <v/>
      </c>
      <c r="E5296" s="2"/>
      <c r="F5296" s="2" t="str">
        <f>IFERROR(__xludf.DUMMYFUNCTION("IF(E5296&lt;&gt;"""", GOOGLETRANSLATE(E5296, ""en"", ""te""),"""")"),"")</f>
        <v/>
      </c>
      <c r="G5296" s="2"/>
      <c r="H5296" s="2" t="str">
        <f>IFERROR(__xludf.DUMMYFUNCTION("IF(G5296&lt;&gt;"""", GOOGLETRANSLATE(G5296, ""en"", ""te""),"""")"),"")</f>
        <v/>
      </c>
      <c r="I5296" s="3"/>
    </row>
    <row r="5297" customHeight="1" spans="1:9">
      <c r="A5297" s="2"/>
      <c r="B5297" s="2" t="str">
        <f>IFERROR(__xludf.DUMMYFUNCTION("IF(A5297&lt;&gt;"""", GOOGLETRANSLATE(A5297, ""en"", ""te""),"""")"),"")</f>
        <v/>
      </c>
      <c r="C5297" s="2"/>
      <c r="D5297" s="2" t="str">
        <f>IFERROR(__xludf.DUMMYFUNCTION("IF(C5297&lt;&gt;"""", GOOGLETRANSLATE(C5297, ""en"", ""te""),"""")"),"")</f>
        <v/>
      </c>
      <c r="E5297" s="2"/>
      <c r="F5297" s="2" t="str">
        <f>IFERROR(__xludf.DUMMYFUNCTION("IF(E5297&lt;&gt;"""", GOOGLETRANSLATE(E5297, ""en"", ""te""),"""")"),"")</f>
        <v/>
      </c>
      <c r="G5297" s="2"/>
      <c r="H5297" s="2" t="str">
        <f>IFERROR(__xludf.DUMMYFUNCTION("IF(G5297&lt;&gt;"""", GOOGLETRANSLATE(G5297, ""en"", ""te""),"""")"),"")</f>
        <v/>
      </c>
      <c r="I5297" s="3"/>
    </row>
    <row r="5298" customHeight="1" spans="1:9">
      <c r="A5298" s="2" t="s">
        <v>3512</v>
      </c>
      <c r="B5298" s="2" t="str">
        <f>IFERROR(__xludf.DUMMYFUNCTION("IF(A5298&lt;&gt;"""", GOOGLETRANSLATE(A5298, ""en"", ""te""),"""")"),"[ 'ఇన్నింగ్స్ (5) 5 వ అత్యధిక వికెట్లు' 'కెరీర్ లో 7 వ అత్యంత స్టంపింగ్లు (32)', '6 వ ఇన్నింగ్స్ లో అత్యధిక వికెట్లు (4)', '9 వ ఇన్నింగ్స్ లో వచ్చిన ఎక్కువ స్టంపింగ్లు (3)', '7th ఆరవ వికెట్కు అత్యధిక భాగస్వామ్యం (60) ']")</f>
        <v>[ 'ఇన్నింగ్స్ (5) 5 వ అత్యధిక వికెట్లు' 'కెరీర్ లో 7 వ అత్యంత స్టంపింగ్లు (32)', '6 వ ఇన్నింగ్స్ లో అత్యధిక వికెట్లు (4)', '9 వ ఇన్నింగ్స్ లో వచ్చిన ఎక్కువ స్టంపింగ్లు (3)', '7th ఆరవ వికెట్కు అత్యధిక భాగస్వామ్యం (60) ']</v>
      </c>
      <c r="C5298" s="2"/>
      <c r="D5298" s="2" t="str">
        <f>IFERROR(__xludf.DUMMYFUNCTION("IF(C5298&lt;&gt;"""", GOOGLETRANSLATE(C5298, ""en"", ""te""),"""")"),"")</f>
        <v/>
      </c>
      <c r="E5298" s="2" t="s">
        <v>3513</v>
      </c>
      <c r="F5298" s="2" t="str">
        <f>IFERROR(__xludf.DUMMYFUNCTION("IF(E5298&lt;&gt;"""", GOOGLETRANSLATE(E5298, ""en"", ""te""),"""")"),"[ 'అత్యధిక వికెట్లు ఇన్నింగ్స్ లో 40 వ అత్యధిక పరుగులు (79 *)', 'మొదటి వికెట్కు 37 వ అత్యధిక భాగస్వామ్యం (151 *)', '23 వ వరుస మ్యాచ్లు ప్రదర్శనల మధ్య బృందం (40) కోసం తప్పిన', '13 వ అత్యంత వరుస కెరీర్లో వికెట్లు (60) ',' 5 వ ఇన్నింగ్స్ లో అత్యధిక వికెట్లు "&amp;"(5) ',' 39 వ అత్యధిక వికెట్లు (10) ',' 17 వ కెరీర్ లో అత్యధిక క్యాచ్లు (28) ', '21 వ ఇన్నింగ్స్ లో అత్యధిక క్యాచ్లు కెరీర్లో (3) ',' 7 వ అత్యంత స్టంపింగ్లు (32) ',' 10th ఒక సిరీస్లో అత్యధిక స్టంపింగ్లు (7) ']")</f>
        <v>[ 'అత్యధిక వికెట్లు ఇన్నింగ్స్ లో 40 వ అత్యధిక పరుగులు (79 *)', 'మొదటి వికెట్కు 37 వ అత్యధిక భాగస్వామ్యం (151 *)', '23 వ వరుస మ్యాచ్లు ప్రదర్శనల మధ్య బృందం (40) కోసం తప్పిన', '13 వ అత్యంత వరుస కెరీర్లో వికెట్లు (60) ',' 5 వ ఇన్నింగ్స్ లో అత్యధిక వికెట్లు (5) ',' 39 వ అత్యధిక వికెట్లు (10) ',' 17 వ కెరీర్ లో అత్యధిక క్యాచ్లు (28) ', '21 వ ఇన్నింగ్స్ లో అత్యధిక క్యాచ్లు కెరీర్లో (3) ',' 7 వ అత్యంత స్టంపింగ్లు (32) ',' 10th ఒక సిరీస్లో అత్యధిక స్టంపింగ్లు (7) ']</v>
      </c>
      <c r="G5298" s="2" t="s">
        <v>3514</v>
      </c>
      <c r="H5298" s="2" t="str">
        <f>IFERROR(__xludf.DUMMYFUNCTION("IF(G5298&lt;&gt;"""", GOOGLETRANSLATE(G5298, ""en"", ""te""),"""")"),"[ 'అత్యధిక వికెట్లు ఇన్నింగ్స్ లో 26 వ అత్యధిక పరుగులు (59)', 'రెండవ వికెట్కు 47 వ అత్యధిక భాగస్వామ్యం (86)', 'ఆరవ వికెట్కు 7 వ అత్యధిక భాగస్వామ్యం (60)', '15 వ అత్యధిక కెరీర్ లో వికెట్లు (31 ) ',' 6 వ ఇన్నింగ్స్ లో అత్యధిక వికెట్లు (4) ',' 20 వ కెరీర్ లో"&amp;" అత్యధిక క్యాచ్లు (10) ',' 12 వ కెరీర్ స్టంపింగ్లు (21) ',' 9 వ అత్యంత ఇన్నింగ్స్ లో స్టంపింగ్లు (3) ']")</f>
        <v>[ 'అత్యధిక వికెట్లు ఇన్నింగ్స్ లో 26 వ అత్యధిక పరుగులు (59)', 'రెండవ వికెట్కు 47 వ అత్యధిక భాగస్వామ్యం (86)', 'ఆరవ వికెట్కు 7 వ అత్యధిక భాగస్వామ్యం (60)', '15 వ అత్యధిక కెరీర్ లో వికెట్లు (31 ) ',' 6 వ ఇన్నింగ్స్ లో అత్యధిక వికెట్లు (4) ',' 20 వ కెరీర్ లో అత్యధిక క్యాచ్లు (10) ',' 12 వ కెరీర్ స్టంపింగ్లు (21) ',' 9 వ అత్యంత ఇన్నింగ్స్ లో స్టంపింగ్లు (3) ']</v>
      </c>
      <c r="I5298" s="3"/>
    </row>
    <row r="5299" customHeight="1" spans="1:9">
      <c r="A5299" s="2"/>
      <c r="B5299" s="2" t="str">
        <f>IFERROR(__xludf.DUMMYFUNCTION("IF(A5299&lt;&gt;"""", GOOGLETRANSLATE(A5299, ""en"", ""te""),"""")"),"")</f>
        <v/>
      </c>
      <c r="C5299" s="2"/>
      <c r="D5299" s="2" t="str">
        <f>IFERROR(__xludf.DUMMYFUNCTION("IF(C5299&lt;&gt;"""", GOOGLETRANSLATE(C5299, ""en"", ""te""),"""")"),"")</f>
        <v/>
      </c>
      <c r="E5299" s="2"/>
      <c r="F5299" s="2" t="str">
        <f>IFERROR(__xludf.DUMMYFUNCTION("IF(E5299&lt;&gt;"""", GOOGLETRANSLATE(E5299, ""en"", ""te""),"""")"),"")</f>
        <v/>
      </c>
      <c r="G5299" s="2"/>
      <c r="H5299" s="2" t="str">
        <f>IFERROR(__xludf.DUMMYFUNCTION("IF(G5299&lt;&gt;"""", GOOGLETRANSLATE(G5299, ""en"", ""te""),"""")"),"")</f>
        <v/>
      </c>
      <c r="I5299" s="3"/>
    </row>
    <row r="5300" customHeight="1" spans="1:9">
      <c r="A5300" s="2"/>
      <c r="B5300" s="2" t="str">
        <f>IFERROR(__xludf.DUMMYFUNCTION("IF(A5300&lt;&gt;"""", GOOGLETRANSLATE(A5300, ""en"", ""te""),"""")"),"")</f>
        <v/>
      </c>
      <c r="C5300" s="2"/>
      <c r="D5300" s="2" t="str">
        <f>IFERROR(__xludf.DUMMYFUNCTION("IF(C5300&lt;&gt;"""", GOOGLETRANSLATE(C5300, ""en"", ""te""),"""")"),"")</f>
        <v/>
      </c>
      <c r="E5300" s="2"/>
      <c r="F5300" s="2" t="str">
        <f>IFERROR(__xludf.DUMMYFUNCTION("IF(E5300&lt;&gt;"""", GOOGLETRANSLATE(E5300, ""en"", ""te""),"""")"),"")</f>
        <v/>
      </c>
      <c r="G5300" s="2"/>
      <c r="H5300" s="2" t="str">
        <f>IFERROR(__xludf.DUMMYFUNCTION("IF(G5300&lt;&gt;"""", GOOGLETRANSLATE(G5300, ""en"", ""te""),"""")"),"")</f>
        <v/>
      </c>
      <c r="I5300" s="3"/>
    </row>
    <row r="5301" customHeight="1" spans="1:9">
      <c r="A5301" s="2"/>
      <c r="B5301" s="2" t="str">
        <f>IFERROR(__xludf.DUMMYFUNCTION("IF(A5301&lt;&gt;"""", GOOGLETRANSLATE(A5301, ""en"", ""te""),"""")"),"")</f>
        <v/>
      </c>
      <c r="C5301" s="2"/>
      <c r="D5301" s="2" t="str">
        <f>IFERROR(__xludf.DUMMYFUNCTION("IF(C5301&lt;&gt;"""", GOOGLETRANSLATE(C5301, ""en"", ""te""),"""")"),"")</f>
        <v/>
      </c>
      <c r="E5301" s="2"/>
      <c r="F5301" s="2" t="str">
        <f>IFERROR(__xludf.DUMMYFUNCTION("IF(E5301&lt;&gt;"""", GOOGLETRANSLATE(E5301, ""en"", ""te""),"""")"),"")</f>
        <v/>
      </c>
      <c r="G5301" s="2"/>
      <c r="H5301" s="2" t="str">
        <f>IFERROR(__xludf.DUMMYFUNCTION("IF(G5301&lt;&gt;"""", GOOGLETRANSLATE(G5301, ""en"", ""te""),"""")"),"")</f>
        <v/>
      </c>
      <c r="I5301" s="3"/>
    </row>
    <row r="5302" customHeight="1" spans="1:9">
      <c r="A5302" s="2"/>
      <c r="B5302" s="2" t="str">
        <f>IFERROR(__xludf.DUMMYFUNCTION("IF(A5302&lt;&gt;"""", GOOGLETRANSLATE(A5302, ""en"", ""te""),"""")"),"")</f>
        <v/>
      </c>
      <c r="C5302" s="2"/>
      <c r="D5302" s="2" t="str">
        <f>IFERROR(__xludf.DUMMYFUNCTION("IF(C5302&lt;&gt;"""", GOOGLETRANSLATE(C5302, ""en"", ""te""),"""")"),"")</f>
        <v/>
      </c>
      <c r="E5302" s="2"/>
      <c r="F5302" s="2" t="str">
        <f>IFERROR(__xludf.DUMMYFUNCTION("IF(E5302&lt;&gt;"""", GOOGLETRANSLATE(E5302, ""en"", ""te""),"""")"),"")</f>
        <v/>
      </c>
      <c r="G5302" s="2"/>
      <c r="H5302" s="2" t="str">
        <f>IFERROR(__xludf.DUMMYFUNCTION("IF(G5302&lt;&gt;"""", GOOGLETRANSLATE(G5302, ""en"", ""te""),"""")"),"")</f>
        <v/>
      </c>
      <c r="I5302" s="3"/>
    </row>
    <row r="5303" customHeight="1" spans="1:9">
      <c r="A5303" s="2" t="s">
        <v>3515</v>
      </c>
      <c r="B5303" s="2" t="str">
        <f>IFERROR(__xludf.DUMMYFUNCTION("IF(A5303&lt;&gt;"""", GOOGLETRANSLATE(A5303, ""en"", ""te""),"""")"),"[ 'ఒక మ్యాచ్ లో రెండు అజేయంగా అర్ధ', '1 వ అత్యుత్తమ బౌలింగ్ ఇన్నింగ్స్ లో విశ్లేషించడం (1/0)', ​​'ఇన్నింగ్స్ లో 1 వ ఉత్తమ ఆర్థిక రేటు (0.15)']")</f>
        <v>[ 'ఒక మ్యాచ్ లో రెండు అజేయంగా అర్ధ', '1 వ అత్యుత్తమ బౌలింగ్ ఇన్నింగ్స్ లో విశ్లేషించడం (1/0)', ​​'ఇన్నింగ్స్ లో 1 వ ఉత్తమ ఆర్థిక రేటు (0.15)']</v>
      </c>
      <c r="C5303" s="2" t="s">
        <v>3516</v>
      </c>
      <c r="D5303" s="2" t="str">
        <f>IFERROR(__xludf.DUMMYFUNCTION("IF(C5303&lt;&gt;"""", GOOGLETRANSLATE(C5303, ""en"", ""te""),"""")"),"[ 'మొదటి డక్ ముందు 30 వ అత్యంత ఇన్నింగ్స్ (36)', '4 వ ఉత్తమ కెరీర్ ఆర్థిక' ఒక మ్యాచ్లో 15 వ బెస్ట్ ఫిగర్స్ పరాజయం వైపు (11) ఉన్నప్పుడు '' 1 వ అత్యుత్తమ బౌలింగ్ ఇన్నింగ్స్ (1/0) విశ్లేషణలలో ' రేటు (1.67) ',' ఇన్నింగ్స్ లో 1 వ ఉత్తమ ఆర్థిక రేటు (0.15) ',' "&amp;"ఎనిమిదవ వికెట్ (143) కోసం 31 అత్యధిక భాగస్వామ్యం ']")</f>
        <v>[ 'మొదటి డక్ ముందు 30 వ అత్యంత ఇన్నింగ్స్ (36)', '4 వ ఉత్తమ కెరీర్ ఆర్థిక' ఒక మ్యాచ్లో 15 వ బెస్ట్ ఫిగర్స్ పరాజయం వైపు (11) ఉన్నప్పుడు '' 1 వ అత్యుత్తమ బౌలింగ్ ఇన్నింగ్స్ (1/0) విశ్లేషణలలో ' రేటు (1.67) ',' ఇన్నింగ్స్ లో 1 వ ఉత్తమ ఆర్థిక రేటు (0.15) ',' ఎనిమిదవ వికెట్ (143) కోసం 31 అత్యధిక భాగస్వామ్యం ']</v>
      </c>
      <c r="E5303" s="2"/>
      <c r="F5303" s="2" t="str">
        <f>IFERROR(__xludf.DUMMYFUNCTION("IF(E5303&lt;&gt;"""", GOOGLETRANSLATE(E5303, ""en"", ""te""),"""")"),"")</f>
        <v/>
      </c>
      <c r="G5303" s="2"/>
      <c r="H5303" s="2" t="str">
        <f>IFERROR(__xludf.DUMMYFUNCTION("IF(G5303&lt;&gt;"""", GOOGLETRANSLATE(G5303, ""en"", ""te""),"""")"),"")</f>
        <v/>
      </c>
      <c r="I5303" s="3"/>
    </row>
    <row r="5304" customHeight="1" spans="1:9">
      <c r="A5304" s="2"/>
      <c r="B5304" s="2" t="str">
        <f>IFERROR(__xludf.DUMMYFUNCTION("IF(A5304&lt;&gt;"""", GOOGLETRANSLATE(A5304, ""en"", ""te""),"""")"),"")</f>
        <v/>
      </c>
      <c r="C5304" s="2"/>
      <c r="D5304" s="2" t="str">
        <f>IFERROR(__xludf.DUMMYFUNCTION("IF(C5304&lt;&gt;"""", GOOGLETRANSLATE(C5304, ""en"", ""te""),"""")"),"")</f>
        <v/>
      </c>
      <c r="E5304" s="2"/>
      <c r="F5304" s="2" t="str">
        <f>IFERROR(__xludf.DUMMYFUNCTION("IF(E5304&lt;&gt;"""", GOOGLETRANSLATE(E5304, ""en"", ""te""),"""")"),"")</f>
        <v/>
      </c>
      <c r="G5304" s="2"/>
      <c r="H5304" s="2" t="str">
        <f>IFERROR(__xludf.DUMMYFUNCTION("IF(G5304&lt;&gt;"""", GOOGLETRANSLATE(G5304, ""en"", ""te""),"""")"),"")</f>
        <v/>
      </c>
      <c r="I5304" s="3"/>
    </row>
    <row r="5305" customHeight="1" spans="1:9">
      <c r="A5305" s="2"/>
      <c r="B5305" s="2" t="str">
        <f>IFERROR(__xludf.DUMMYFUNCTION("IF(A5305&lt;&gt;"""", GOOGLETRANSLATE(A5305, ""en"", ""te""),"""")"),"")</f>
        <v/>
      </c>
      <c r="C5305" s="2"/>
      <c r="D5305" s="2" t="str">
        <f>IFERROR(__xludf.DUMMYFUNCTION("IF(C5305&lt;&gt;"""", GOOGLETRANSLATE(C5305, ""en"", ""te""),"""")"),"")</f>
        <v/>
      </c>
      <c r="E5305" s="2"/>
      <c r="F5305" s="2" t="str">
        <f>IFERROR(__xludf.DUMMYFUNCTION("IF(E5305&lt;&gt;"""", GOOGLETRANSLATE(E5305, ""en"", ""te""),"""")"),"")</f>
        <v/>
      </c>
      <c r="G5305" s="2"/>
      <c r="H5305" s="2" t="str">
        <f>IFERROR(__xludf.DUMMYFUNCTION("IF(G5305&lt;&gt;"""", GOOGLETRANSLATE(G5305, ""en"", ""te""),"""")"),"")</f>
        <v/>
      </c>
      <c r="I5305" s="3"/>
    </row>
    <row r="5306" customHeight="1" spans="1:9">
      <c r="A5306" s="2"/>
      <c r="B5306" s="2" t="str">
        <f>IFERROR(__xludf.DUMMYFUNCTION("IF(A5306&lt;&gt;"""", GOOGLETRANSLATE(A5306, ""en"", ""te""),"""")"),"")</f>
        <v/>
      </c>
      <c r="C5306" s="2"/>
      <c r="D5306" s="2" t="str">
        <f>IFERROR(__xludf.DUMMYFUNCTION("IF(C5306&lt;&gt;"""", GOOGLETRANSLATE(C5306, ""en"", ""te""),"""")"),"")</f>
        <v/>
      </c>
      <c r="E5306" s="2"/>
      <c r="F5306" s="2" t="str">
        <f>IFERROR(__xludf.DUMMYFUNCTION("IF(E5306&lt;&gt;"""", GOOGLETRANSLATE(E5306, ""en"", ""te""),"""")"),"")</f>
        <v/>
      </c>
      <c r="G5306" s="2"/>
      <c r="H5306" s="2" t="str">
        <f>IFERROR(__xludf.DUMMYFUNCTION("IF(G5306&lt;&gt;"""", GOOGLETRANSLATE(G5306, ""en"", ""te""),"""")"),"")</f>
        <v/>
      </c>
      <c r="I5306" s="3"/>
    </row>
    <row r="5307" customHeight="1" spans="1:9">
      <c r="A5307" s="2"/>
      <c r="B5307" s="2" t="str">
        <f>IFERROR(__xludf.DUMMYFUNCTION("IF(A5307&lt;&gt;"""", GOOGLETRANSLATE(A5307, ""en"", ""te""),"""")"),"")</f>
        <v/>
      </c>
      <c r="C5307" s="2"/>
      <c r="D5307" s="2" t="str">
        <f>IFERROR(__xludf.DUMMYFUNCTION("IF(C5307&lt;&gt;"""", GOOGLETRANSLATE(C5307, ""en"", ""te""),"""")"),"")</f>
        <v/>
      </c>
      <c r="E5307" s="2"/>
      <c r="F5307" s="2" t="str">
        <f>IFERROR(__xludf.DUMMYFUNCTION("IF(E5307&lt;&gt;"""", GOOGLETRANSLATE(E5307, ""en"", ""te""),"""")"),"")</f>
        <v/>
      </c>
      <c r="G5307" s="2"/>
      <c r="H5307" s="2" t="str">
        <f>IFERROR(__xludf.DUMMYFUNCTION("IF(G5307&lt;&gt;"""", GOOGLETRANSLATE(G5307, ""en"", ""te""),"""")"),"")</f>
        <v/>
      </c>
      <c r="I5307" s="3"/>
    </row>
    <row r="5308" customHeight="1" spans="1:9">
      <c r="A5308" s="2"/>
      <c r="B5308" s="2" t="str">
        <f>IFERROR(__xludf.DUMMYFUNCTION("IF(A5308&lt;&gt;"""", GOOGLETRANSLATE(A5308, ""en"", ""te""),"""")"),"")</f>
        <v/>
      </c>
      <c r="C5308" s="2"/>
      <c r="D5308" s="2" t="str">
        <f>IFERROR(__xludf.DUMMYFUNCTION("IF(C5308&lt;&gt;"""", GOOGLETRANSLATE(C5308, ""en"", ""te""),"""")"),"")</f>
        <v/>
      </c>
      <c r="E5308" s="2"/>
      <c r="F5308" s="2" t="str">
        <f>IFERROR(__xludf.DUMMYFUNCTION("IF(E5308&lt;&gt;"""", GOOGLETRANSLATE(E5308, ""en"", ""te""),"""")"),"")</f>
        <v/>
      </c>
      <c r="G5308" s="2"/>
      <c r="H5308" s="2" t="str">
        <f>IFERROR(__xludf.DUMMYFUNCTION("IF(G5308&lt;&gt;"""", GOOGLETRANSLATE(G5308, ""en"", ""te""),"""")"),"")</f>
        <v/>
      </c>
      <c r="I5308" s="3"/>
    </row>
    <row r="5309" customHeight="1" spans="1:9">
      <c r="A5309" s="2"/>
      <c r="B5309" s="2" t="str">
        <f>IFERROR(__xludf.DUMMYFUNCTION("IF(A5309&lt;&gt;"""", GOOGLETRANSLATE(A5309, ""en"", ""te""),"""")"),"")</f>
        <v/>
      </c>
      <c r="C5309" s="2"/>
      <c r="D5309" s="2" t="str">
        <f>IFERROR(__xludf.DUMMYFUNCTION("IF(C5309&lt;&gt;"""", GOOGLETRANSLATE(C5309, ""en"", ""te""),"""")"),"")</f>
        <v/>
      </c>
      <c r="E5309" s="2"/>
      <c r="F5309" s="2" t="str">
        <f>IFERROR(__xludf.DUMMYFUNCTION("IF(E5309&lt;&gt;"""", GOOGLETRANSLATE(E5309, ""en"", ""te""),"""")"),"")</f>
        <v/>
      </c>
      <c r="G5309" s="2"/>
      <c r="H5309" s="2" t="str">
        <f>IFERROR(__xludf.DUMMYFUNCTION("IF(G5309&lt;&gt;"""", GOOGLETRANSLATE(G5309, ""en"", ""te""),"""")"),"")</f>
        <v/>
      </c>
      <c r="I5309" s="3"/>
    </row>
    <row r="5310" customHeight="1" spans="1:9">
      <c r="A5310" s="2"/>
      <c r="B5310" s="2" t="str">
        <f>IFERROR(__xludf.DUMMYFUNCTION("IF(A5310&lt;&gt;"""", GOOGLETRANSLATE(A5310, ""en"", ""te""),"""")"),"")</f>
        <v/>
      </c>
      <c r="C5310" s="2"/>
      <c r="D5310" s="2" t="str">
        <f>IFERROR(__xludf.DUMMYFUNCTION("IF(C5310&lt;&gt;"""", GOOGLETRANSLATE(C5310, ""en"", ""te""),"""")"),"")</f>
        <v/>
      </c>
      <c r="E5310" s="2"/>
      <c r="F5310" s="2" t="str">
        <f>IFERROR(__xludf.DUMMYFUNCTION("IF(E5310&lt;&gt;"""", GOOGLETRANSLATE(E5310, ""en"", ""te""),"""")"),"")</f>
        <v/>
      </c>
      <c r="G5310" s="2"/>
      <c r="H5310" s="2" t="str">
        <f>IFERROR(__xludf.DUMMYFUNCTION("IF(G5310&lt;&gt;"""", GOOGLETRANSLATE(G5310, ""en"", ""te""),"""")"),"")</f>
        <v/>
      </c>
      <c r="I5310" s="3"/>
    </row>
    <row r="5311" customHeight="1" spans="1:9">
      <c r="A5311" s="2"/>
      <c r="B5311" s="2" t="str">
        <f>IFERROR(__xludf.DUMMYFUNCTION("IF(A5311&lt;&gt;"""", GOOGLETRANSLATE(A5311, ""en"", ""te""),"""")"),"")</f>
        <v/>
      </c>
      <c r="C5311" s="2" t="s">
        <v>3517</v>
      </c>
      <c r="D5311" s="2" t="str">
        <f>IFERROR(__xludf.DUMMYFUNCTION("IF(C5311&lt;&gt;"""", GOOGLETRANSLATE(C5311, ""en"", ""te""),"""")"),"[ '43 వ ఓల్డెస్ట్ కాప్టెన్ (38y 105d)', '30 వ ఓల్డెస్ట్ కెప్టెన్లు కెప్టెన్సీ తొలి (36y 238d)']")</f>
        <v>[ '43 వ ఓల్డెస్ట్ కాప్టెన్ (38y 105d)', '30 వ ఓల్డెస్ట్ కెప్టెన్లు కెప్టెన్సీ తొలి (36y 238d)']</v>
      </c>
      <c r="E5311" s="2"/>
      <c r="F5311" s="2" t="str">
        <f>IFERROR(__xludf.DUMMYFUNCTION("IF(E5311&lt;&gt;"""", GOOGLETRANSLATE(E5311, ""en"", ""te""),"""")"),"")</f>
        <v/>
      </c>
      <c r="G5311" s="2"/>
      <c r="H5311" s="2" t="str">
        <f>IFERROR(__xludf.DUMMYFUNCTION("IF(G5311&lt;&gt;"""", GOOGLETRANSLATE(G5311, ""en"", ""te""),"""")"),"")</f>
        <v/>
      </c>
      <c r="I5311" s="3"/>
    </row>
    <row r="5312" customHeight="1" spans="1:9">
      <c r="A5312" s="2"/>
      <c r="B5312" s="2" t="str">
        <f>IFERROR(__xludf.DUMMYFUNCTION("IF(A5312&lt;&gt;"""", GOOGLETRANSLATE(A5312, ""en"", ""te""),"""")"),"")</f>
        <v/>
      </c>
      <c r="C5312" s="2" t="s">
        <v>3518</v>
      </c>
      <c r="D5312" s="2" t="str">
        <f>IFERROR(__xludf.DUMMYFUNCTION("IF(C5312&lt;&gt;"""", GOOGLETRANSLATE(C5312, ""en"", ""te""),"""")"),"[ '43 వ లాంగెస్ట్ కెరీర్లు (18y 9D)', '18 వ చెత్త కెరీర్ (179.50) (అర్హత లేకుండా) సగటు బౌలింగ్', 'ప్రదర్శనల మధ్య 29 లాంగెస్ట్ వ్యవధిలో (9y 329d)']")</f>
        <v>[ '43 వ లాంగెస్ట్ కెరీర్లు (18y 9D)', '18 వ చెత్త కెరీర్ (179.50) (అర్హత లేకుండా) సగటు బౌలింగ్', 'ప్రదర్శనల మధ్య 29 లాంగెస్ట్ వ్యవధిలో (9y 329d)']</v>
      </c>
      <c r="E5312" s="2"/>
      <c r="F5312" s="2" t="str">
        <f>IFERROR(__xludf.DUMMYFUNCTION("IF(E5312&lt;&gt;"""", GOOGLETRANSLATE(E5312, ""en"", ""te""),"""")"),"")</f>
        <v/>
      </c>
      <c r="G5312" s="2"/>
      <c r="H5312" s="2" t="str">
        <f>IFERROR(__xludf.DUMMYFUNCTION("IF(G5312&lt;&gt;"""", GOOGLETRANSLATE(G5312, ""en"", ""te""),"""")"),"")</f>
        <v/>
      </c>
      <c r="I5312" s="3"/>
    </row>
    <row r="5313" customHeight="1" spans="1:9">
      <c r="A5313" s="2"/>
      <c r="B5313" s="2" t="str">
        <f>IFERROR(__xludf.DUMMYFUNCTION("IF(A5313&lt;&gt;"""", GOOGLETRANSLATE(A5313, ""en"", ""te""),"""")"),"")</f>
        <v/>
      </c>
      <c r="C5313" s="2"/>
      <c r="D5313" s="2" t="str">
        <f>IFERROR(__xludf.DUMMYFUNCTION("IF(C5313&lt;&gt;"""", GOOGLETRANSLATE(C5313, ""en"", ""te""),"""")"),"")</f>
        <v/>
      </c>
      <c r="E5313" s="2"/>
      <c r="F5313" s="2" t="str">
        <f>IFERROR(__xludf.DUMMYFUNCTION("IF(E5313&lt;&gt;"""", GOOGLETRANSLATE(E5313, ""en"", ""te""),"""")"),"")</f>
        <v/>
      </c>
      <c r="G5313" s="2"/>
      <c r="H5313" s="2" t="str">
        <f>IFERROR(__xludf.DUMMYFUNCTION("IF(G5313&lt;&gt;"""", GOOGLETRANSLATE(G5313, ""en"", ""te""),"""")"),"")</f>
        <v/>
      </c>
      <c r="I5313" s="3"/>
    </row>
    <row r="5314" customHeight="1" spans="1:9">
      <c r="A5314" s="2"/>
      <c r="B5314" s="2" t="str">
        <f>IFERROR(__xludf.DUMMYFUNCTION("IF(A5314&lt;&gt;"""", GOOGLETRANSLATE(A5314, ""en"", ""te""),"""")"),"")</f>
        <v/>
      </c>
      <c r="C5314" s="2"/>
      <c r="D5314" s="2" t="str">
        <f>IFERROR(__xludf.DUMMYFUNCTION("IF(C5314&lt;&gt;"""", GOOGLETRANSLATE(C5314, ""en"", ""te""),"""")"),"")</f>
        <v/>
      </c>
      <c r="E5314" s="2"/>
      <c r="F5314" s="2" t="str">
        <f>IFERROR(__xludf.DUMMYFUNCTION("IF(E5314&lt;&gt;"""", GOOGLETRANSLATE(E5314, ""en"", ""te""),"""")"),"")</f>
        <v/>
      </c>
      <c r="G5314" s="2"/>
      <c r="H5314" s="2" t="str">
        <f>IFERROR(__xludf.DUMMYFUNCTION("IF(G5314&lt;&gt;"""", GOOGLETRANSLATE(G5314, ""en"", ""te""),"""")"),"")</f>
        <v/>
      </c>
      <c r="I5314" s="3"/>
    </row>
    <row r="5315" customHeight="1" spans="1:9">
      <c r="A5315" s="2"/>
      <c r="B5315" s="2" t="str">
        <f>IFERROR(__xludf.DUMMYFUNCTION("IF(A5315&lt;&gt;"""", GOOGLETRANSLATE(A5315, ""en"", ""te""),"""")"),"")</f>
        <v/>
      </c>
      <c r="C5315" s="2"/>
      <c r="D5315" s="2" t="str">
        <f>IFERROR(__xludf.DUMMYFUNCTION("IF(C5315&lt;&gt;"""", GOOGLETRANSLATE(C5315, ""en"", ""te""),"""")"),"")</f>
        <v/>
      </c>
      <c r="E5315" s="2"/>
      <c r="F5315" s="2" t="str">
        <f>IFERROR(__xludf.DUMMYFUNCTION("IF(E5315&lt;&gt;"""", GOOGLETRANSLATE(E5315, ""en"", ""te""),"""")"),"")</f>
        <v/>
      </c>
      <c r="G5315" s="2"/>
      <c r="H5315" s="2" t="str">
        <f>IFERROR(__xludf.DUMMYFUNCTION("IF(G5315&lt;&gt;"""", GOOGLETRANSLATE(G5315, ""en"", ""te""),"""")"),"")</f>
        <v/>
      </c>
      <c r="I5315" s="3"/>
    </row>
    <row r="5316" customHeight="1" spans="1:9">
      <c r="A5316" s="2"/>
      <c r="B5316" s="2" t="str">
        <f>IFERROR(__xludf.DUMMYFUNCTION("IF(A5316&lt;&gt;"""", GOOGLETRANSLATE(A5316, ""en"", ""te""),"""")"),"")</f>
        <v/>
      </c>
      <c r="C5316" s="2"/>
      <c r="D5316" s="2" t="str">
        <f>IFERROR(__xludf.DUMMYFUNCTION("IF(C5316&lt;&gt;"""", GOOGLETRANSLATE(C5316, ""en"", ""te""),"""")"),"")</f>
        <v/>
      </c>
      <c r="E5316" s="2"/>
      <c r="F5316" s="2" t="str">
        <f>IFERROR(__xludf.DUMMYFUNCTION("IF(E5316&lt;&gt;"""", GOOGLETRANSLATE(E5316, ""en"", ""te""),"""")"),"")</f>
        <v/>
      </c>
      <c r="G5316" s="2"/>
      <c r="H5316" s="2" t="str">
        <f>IFERROR(__xludf.DUMMYFUNCTION("IF(G5316&lt;&gt;"""", GOOGLETRANSLATE(G5316, ""en"", ""te""),"""")"),"")</f>
        <v/>
      </c>
      <c r="I5316" s="3"/>
    </row>
    <row r="5317" customHeight="1" spans="1:9">
      <c r="A5317" s="2"/>
      <c r="B5317" s="2" t="str">
        <f>IFERROR(__xludf.DUMMYFUNCTION("IF(A5317&lt;&gt;"""", GOOGLETRANSLATE(A5317, ""en"", ""te""),"""")"),"")</f>
        <v/>
      </c>
      <c r="C5317" s="2" t="s">
        <v>717</v>
      </c>
      <c r="D5317" s="2" t="str">
        <f>IFERROR(__xludf.DUMMYFUNCTION("IF(C5317&lt;&gt;"""", GOOGLETRANSLATE(C5317, ""en"", ""te""),"""")"),"[ '47 వ చెత్త కెరీర్ బౌలింగ్ సరాసరి (అర్హత లేకుండా) (132.00)']")</f>
        <v>[ '47 వ చెత్త కెరీర్ బౌలింగ్ సరాసరి (అర్హత లేకుండా) (132.00)']</v>
      </c>
      <c r="E5317" s="2" t="s">
        <v>3519</v>
      </c>
      <c r="F5317" s="2" t="str">
        <f>IFERROR(__xludf.DUMMYFUNCTION("IF(E5317&lt;&gt;"""", GOOGLETRANSLATE(E5317, ""en"", ""te""),"""")"),"[ '12 వ చెత్త కెరీర్ బౌలింగ్ సరాసరి (అర్హత లేకుండా) (161.00)']")</f>
        <v>[ '12 వ చెత్త కెరీర్ బౌలింగ్ సరాసరి (అర్హత లేకుండా) (161.00)']</v>
      </c>
      <c r="G5317" s="2"/>
      <c r="H5317" s="2" t="str">
        <f>IFERROR(__xludf.DUMMYFUNCTION("IF(G5317&lt;&gt;"""", GOOGLETRANSLATE(G5317, ""en"", ""te""),"""")"),"")</f>
        <v/>
      </c>
      <c r="I5317" s="3"/>
    </row>
    <row r="5318" customHeight="1" spans="1:9">
      <c r="A5318" s="2"/>
      <c r="B5318" s="2" t="str">
        <f>IFERROR(__xludf.DUMMYFUNCTION("IF(A5318&lt;&gt;"""", GOOGLETRANSLATE(A5318, ""en"", ""te""),"""")"),"")</f>
        <v/>
      </c>
      <c r="C5318" s="2" t="s">
        <v>1302</v>
      </c>
      <c r="D5318" s="2" t="str">
        <f>IFERROR(__xludf.DUMMYFUNCTION("IF(C5318&lt;&gt;"""", GOOGLETRANSLATE(C5318, ""en"", ""te""),"""")"),"[ 'తొలి ఇన్నింగ్స్లో 14 బెస్ట్ ఫిగర్స్ (4)']")</f>
        <v>[ 'తొలి ఇన్నింగ్స్లో 14 బెస్ట్ ఫిగర్స్ (4)']</v>
      </c>
      <c r="E5318" s="2" t="s">
        <v>3520</v>
      </c>
      <c r="F5318" s="2" t="str">
        <f>IFERROR(__xludf.DUMMYFUNCTION("IF(E5318&lt;&gt;"""", GOOGLETRANSLATE(E5318, ""en"", ""te""),"""")"),"[ '35 వ వరుస మ్యాచ్లు ప్రదర్శనల మధ్య (34) జట్టు తప్పిన']")</f>
        <v>[ '35 వ వరుస మ్యాచ్లు ప్రదర్శనల మధ్య (34) జట్టు తప్పిన']</v>
      </c>
      <c r="G5318" s="2"/>
      <c r="H5318" s="2" t="str">
        <f>IFERROR(__xludf.DUMMYFUNCTION("IF(G5318&lt;&gt;"""", GOOGLETRANSLATE(G5318, ""en"", ""te""),"""")"),"")</f>
        <v/>
      </c>
      <c r="I5318" s="3"/>
    </row>
    <row r="5319" customHeight="1" spans="1:9">
      <c r="A5319" s="2"/>
      <c r="B5319" s="2" t="str">
        <f>IFERROR(__xludf.DUMMYFUNCTION("IF(A5319&lt;&gt;"""", GOOGLETRANSLATE(A5319, ""en"", ""te""),"""")"),"")</f>
        <v/>
      </c>
      <c r="C5319" s="2"/>
      <c r="D5319" s="2" t="str">
        <f>IFERROR(__xludf.DUMMYFUNCTION("IF(C5319&lt;&gt;"""", GOOGLETRANSLATE(C5319, ""en"", ""te""),"""")"),"")</f>
        <v/>
      </c>
      <c r="E5319" s="2"/>
      <c r="F5319" s="2" t="str">
        <f>IFERROR(__xludf.DUMMYFUNCTION("IF(E5319&lt;&gt;"""", GOOGLETRANSLATE(E5319, ""en"", ""te""),"""")"),"")</f>
        <v/>
      </c>
      <c r="G5319" s="2"/>
      <c r="H5319" s="2" t="str">
        <f>IFERROR(__xludf.DUMMYFUNCTION("IF(G5319&lt;&gt;"""", GOOGLETRANSLATE(G5319, ""en"", ""te""),"""")"),"")</f>
        <v/>
      </c>
      <c r="I5319" s="3"/>
    </row>
    <row r="5320" customHeight="1" spans="1:9">
      <c r="A5320" s="2"/>
      <c r="B5320" s="2" t="str">
        <f>IFERROR(__xludf.DUMMYFUNCTION("IF(A5320&lt;&gt;"""", GOOGLETRANSLATE(A5320, ""en"", ""te""),"""")"),"")</f>
        <v/>
      </c>
      <c r="C5320" s="2"/>
      <c r="D5320" s="2" t="str">
        <f>IFERROR(__xludf.DUMMYFUNCTION("IF(C5320&lt;&gt;"""", GOOGLETRANSLATE(C5320, ""en"", ""te""),"""")"),"")</f>
        <v/>
      </c>
      <c r="E5320" s="2"/>
      <c r="F5320" s="2" t="str">
        <f>IFERROR(__xludf.DUMMYFUNCTION("IF(E5320&lt;&gt;"""", GOOGLETRANSLATE(E5320, ""en"", ""te""),"""")"),"")</f>
        <v/>
      </c>
      <c r="G5320" s="2"/>
      <c r="H5320" s="2" t="str">
        <f>IFERROR(__xludf.DUMMYFUNCTION("IF(G5320&lt;&gt;"""", GOOGLETRANSLATE(G5320, ""en"", ""te""),"""")"),"")</f>
        <v/>
      </c>
      <c r="I5320" s="3"/>
    </row>
    <row r="5321" customHeight="1" spans="1:9">
      <c r="A5321" s="2"/>
      <c r="B5321" s="2" t="str">
        <f>IFERROR(__xludf.DUMMYFUNCTION("IF(A5321&lt;&gt;"""", GOOGLETRANSLATE(A5321, ""en"", ""te""),"""")"),"")</f>
        <v/>
      </c>
      <c r="C5321" s="2"/>
      <c r="D5321" s="2" t="str">
        <f>IFERROR(__xludf.DUMMYFUNCTION("IF(C5321&lt;&gt;"""", GOOGLETRANSLATE(C5321, ""en"", ""te""),"""")"),"")</f>
        <v/>
      </c>
      <c r="E5321" s="2"/>
      <c r="F5321" s="2" t="str">
        <f>IFERROR(__xludf.DUMMYFUNCTION("IF(E5321&lt;&gt;"""", GOOGLETRANSLATE(E5321, ""en"", ""te""),"""")"),"")</f>
        <v/>
      </c>
      <c r="G5321" s="2"/>
      <c r="H5321" s="2" t="str">
        <f>IFERROR(__xludf.DUMMYFUNCTION("IF(G5321&lt;&gt;"""", GOOGLETRANSLATE(G5321, ""en"", ""te""),"""")"),"")</f>
        <v/>
      </c>
      <c r="I5321" s="3"/>
    </row>
    <row r="5322" customHeight="1" spans="1:9">
      <c r="A5322" s="2"/>
      <c r="B5322" s="2" t="str">
        <f>IFERROR(__xludf.DUMMYFUNCTION("IF(A5322&lt;&gt;"""", GOOGLETRANSLATE(A5322, ""en"", ""te""),"""")"),"")</f>
        <v/>
      </c>
      <c r="C5322" s="2"/>
      <c r="D5322" s="2" t="str">
        <f>IFERROR(__xludf.DUMMYFUNCTION("IF(C5322&lt;&gt;"""", GOOGLETRANSLATE(C5322, ""en"", ""te""),"""")"),"")</f>
        <v/>
      </c>
      <c r="E5322" s="2"/>
      <c r="F5322" s="2" t="str">
        <f>IFERROR(__xludf.DUMMYFUNCTION("IF(E5322&lt;&gt;"""", GOOGLETRANSLATE(E5322, ""en"", ""te""),"""")"),"")</f>
        <v/>
      </c>
      <c r="G5322" s="2"/>
      <c r="H5322" s="2" t="str">
        <f>IFERROR(__xludf.DUMMYFUNCTION("IF(G5322&lt;&gt;"""", GOOGLETRANSLATE(G5322, ""en"", ""te""),"""")"),"")</f>
        <v/>
      </c>
      <c r="I5322" s="3"/>
    </row>
    <row r="5323" customHeight="1" spans="1:9">
      <c r="A5323" s="2"/>
      <c r="B5323" s="2" t="str">
        <f>IFERROR(__xludf.DUMMYFUNCTION("IF(A5323&lt;&gt;"""", GOOGLETRANSLATE(A5323, ""en"", ""te""),"""")"),"")</f>
        <v/>
      </c>
      <c r="C5323" s="2"/>
      <c r="D5323" s="2" t="str">
        <f>IFERROR(__xludf.DUMMYFUNCTION("IF(C5323&lt;&gt;"""", GOOGLETRANSLATE(C5323, ""en"", ""te""),"""")"),"")</f>
        <v/>
      </c>
      <c r="E5323" s="2"/>
      <c r="F5323" s="2" t="str">
        <f>IFERROR(__xludf.DUMMYFUNCTION("IF(E5323&lt;&gt;"""", GOOGLETRANSLATE(E5323, ""en"", ""te""),"""")"),"")</f>
        <v/>
      </c>
      <c r="G5323" s="2"/>
      <c r="H5323" s="2" t="str">
        <f>IFERROR(__xludf.DUMMYFUNCTION("IF(G5323&lt;&gt;"""", GOOGLETRANSLATE(G5323, ""en"", ""te""),"""")"),"")</f>
        <v/>
      </c>
      <c r="I5323" s="3"/>
    </row>
    <row r="5324" customHeight="1" spans="1:9">
      <c r="A5324" s="2"/>
      <c r="B5324" s="2" t="str">
        <f>IFERROR(__xludf.DUMMYFUNCTION("IF(A5324&lt;&gt;"""", GOOGLETRANSLATE(A5324, ""en"", ""te""),"""")"),"")</f>
        <v/>
      </c>
      <c r="C5324" s="2"/>
      <c r="D5324" s="2" t="str">
        <f>IFERROR(__xludf.DUMMYFUNCTION("IF(C5324&lt;&gt;"""", GOOGLETRANSLATE(C5324, ""en"", ""te""),"""")"),"")</f>
        <v/>
      </c>
      <c r="E5324" s="2"/>
      <c r="F5324" s="2" t="str">
        <f>IFERROR(__xludf.DUMMYFUNCTION("IF(E5324&lt;&gt;"""", GOOGLETRANSLATE(E5324, ""en"", ""te""),"""")"),"")</f>
        <v/>
      </c>
      <c r="G5324" s="2"/>
      <c r="H5324" s="2" t="str">
        <f>IFERROR(__xludf.DUMMYFUNCTION("IF(G5324&lt;&gt;"""", GOOGLETRANSLATE(G5324, ""en"", ""te""),"""")"),"")</f>
        <v/>
      </c>
      <c r="I5324" s="3"/>
    </row>
    <row r="5325" customHeight="1" spans="1:9">
      <c r="A5325" s="2"/>
      <c r="B5325" s="2" t="str">
        <f>IFERROR(__xludf.DUMMYFUNCTION("IF(A5325&lt;&gt;"""", GOOGLETRANSLATE(A5325, ""en"", ""te""),"""")"),"")</f>
        <v/>
      </c>
      <c r="C5325" s="2"/>
      <c r="D5325" s="2" t="str">
        <f>IFERROR(__xludf.DUMMYFUNCTION("IF(C5325&lt;&gt;"""", GOOGLETRANSLATE(C5325, ""en"", ""te""),"""")"),"")</f>
        <v/>
      </c>
      <c r="E5325" s="2"/>
      <c r="F5325" s="2" t="str">
        <f>IFERROR(__xludf.DUMMYFUNCTION("IF(E5325&lt;&gt;"""", GOOGLETRANSLATE(E5325, ""en"", ""te""),"""")"),"")</f>
        <v/>
      </c>
      <c r="G5325" s="2"/>
      <c r="H5325" s="2" t="str">
        <f>IFERROR(__xludf.DUMMYFUNCTION("IF(G5325&lt;&gt;"""", GOOGLETRANSLATE(G5325, ""en"", ""te""),"""")"),"")</f>
        <v/>
      </c>
      <c r="I5325" s="3"/>
    </row>
    <row r="5326" customHeight="1" spans="1:9">
      <c r="A5326" s="2"/>
      <c r="B5326" s="2" t="str">
        <f>IFERROR(__xludf.DUMMYFUNCTION("IF(A5326&lt;&gt;"""", GOOGLETRANSLATE(A5326, ""en"", ""te""),"""")"),"")</f>
        <v/>
      </c>
      <c r="C5326" s="2"/>
      <c r="D5326" s="2" t="str">
        <f>IFERROR(__xludf.DUMMYFUNCTION("IF(C5326&lt;&gt;"""", GOOGLETRANSLATE(C5326, ""en"", ""te""),"""")"),"")</f>
        <v/>
      </c>
      <c r="E5326" s="2"/>
      <c r="F5326" s="2" t="str">
        <f>IFERROR(__xludf.DUMMYFUNCTION("IF(E5326&lt;&gt;"""", GOOGLETRANSLATE(E5326, ""en"", ""te""),"""")"),"")</f>
        <v/>
      </c>
      <c r="G5326" s="2"/>
      <c r="H5326" s="2" t="str">
        <f>IFERROR(__xludf.DUMMYFUNCTION("IF(G5326&lt;&gt;"""", GOOGLETRANSLATE(G5326, ""en"", ""te""),"""")"),"")</f>
        <v/>
      </c>
      <c r="I5326" s="3"/>
    </row>
    <row r="5327" customHeight="1" spans="1:9">
      <c r="A5327" s="2"/>
      <c r="B5327" s="2" t="str">
        <f>IFERROR(__xludf.DUMMYFUNCTION("IF(A5327&lt;&gt;"""", GOOGLETRANSLATE(A5327, ""en"", ""te""),"""")"),"")</f>
        <v/>
      </c>
      <c r="C5327" s="2"/>
      <c r="D5327" s="2" t="str">
        <f>IFERROR(__xludf.DUMMYFUNCTION("IF(C5327&lt;&gt;"""", GOOGLETRANSLATE(C5327, ""en"", ""te""),"""")"),"")</f>
        <v/>
      </c>
      <c r="E5327" s="2"/>
      <c r="F5327" s="2" t="str">
        <f>IFERROR(__xludf.DUMMYFUNCTION("IF(E5327&lt;&gt;"""", GOOGLETRANSLATE(E5327, ""en"", ""te""),"""")"),"")</f>
        <v/>
      </c>
      <c r="G5327" s="2"/>
      <c r="H5327" s="2" t="str">
        <f>IFERROR(__xludf.DUMMYFUNCTION("IF(G5327&lt;&gt;"""", GOOGLETRANSLATE(G5327, ""en"", ""te""),"""")"),"")</f>
        <v/>
      </c>
      <c r="I5327" s="3"/>
    </row>
    <row r="5328" customHeight="1" spans="1:9">
      <c r="A5328" s="2"/>
      <c r="B5328" s="2" t="str">
        <f>IFERROR(__xludf.DUMMYFUNCTION("IF(A5328&lt;&gt;"""", GOOGLETRANSLATE(A5328, ""en"", ""te""),"""")"),"")</f>
        <v/>
      </c>
      <c r="C5328" s="2"/>
      <c r="D5328" s="2" t="str">
        <f>IFERROR(__xludf.DUMMYFUNCTION("IF(C5328&lt;&gt;"""", GOOGLETRANSLATE(C5328, ""en"", ""te""),"""")"),"")</f>
        <v/>
      </c>
      <c r="E5328" s="2"/>
      <c r="F5328" s="2" t="str">
        <f>IFERROR(__xludf.DUMMYFUNCTION("IF(E5328&lt;&gt;"""", GOOGLETRANSLATE(E5328, ""en"", ""te""),"""")"),"")</f>
        <v/>
      </c>
      <c r="G5328" s="2"/>
      <c r="H5328" s="2" t="str">
        <f>IFERROR(__xludf.DUMMYFUNCTION("IF(G5328&lt;&gt;"""", GOOGLETRANSLATE(G5328, ""en"", ""te""),"""")"),"")</f>
        <v/>
      </c>
      <c r="I5328" s="3"/>
    </row>
    <row r="5329" customHeight="1" spans="1:9">
      <c r="A5329" s="2"/>
      <c r="B5329" s="2" t="str">
        <f>IFERROR(__xludf.DUMMYFUNCTION("IF(A5329&lt;&gt;"""", GOOGLETRANSLATE(A5329, ""en"", ""te""),"""")"),"")</f>
        <v/>
      </c>
      <c r="C5329" s="2"/>
      <c r="D5329" s="2" t="str">
        <f>IFERROR(__xludf.DUMMYFUNCTION("IF(C5329&lt;&gt;"""", GOOGLETRANSLATE(C5329, ""en"", ""te""),"""")"),"")</f>
        <v/>
      </c>
      <c r="E5329" s="2"/>
      <c r="F5329" s="2" t="str">
        <f>IFERROR(__xludf.DUMMYFUNCTION("IF(E5329&lt;&gt;"""", GOOGLETRANSLATE(E5329, ""en"", ""te""),"""")"),"")</f>
        <v/>
      </c>
      <c r="G5329" s="2"/>
      <c r="H5329" s="2" t="str">
        <f>IFERROR(__xludf.DUMMYFUNCTION("IF(G5329&lt;&gt;"""", GOOGLETRANSLATE(G5329, ""en"", ""te""),"""")"),"")</f>
        <v/>
      </c>
      <c r="I5329" s="3"/>
    </row>
    <row r="5330" customHeight="1" spans="1:9">
      <c r="A5330" s="2"/>
      <c r="B5330" s="2" t="str">
        <f>IFERROR(__xludf.DUMMYFUNCTION("IF(A5330&lt;&gt;"""", GOOGLETRANSLATE(A5330, ""en"", ""te""),"""")"),"")</f>
        <v/>
      </c>
      <c r="C5330" s="2"/>
      <c r="D5330" s="2" t="str">
        <f>IFERROR(__xludf.DUMMYFUNCTION("IF(C5330&lt;&gt;"""", GOOGLETRANSLATE(C5330, ""en"", ""te""),"""")"),"")</f>
        <v/>
      </c>
      <c r="E5330" s="2"/>
      <c r="F5330" s="2" t="str">
        <f>IFERROR(__xludf.DUMMYFUNCTION("IF(E5330&lt;&gt;"""", GOOGLETRANSLATE(E5330, ""en"", ""te""),"""")"),"")</f>
        <v/>
      </c>
      <c r="G5330" s="2"/>
      <c r="H5330" s="2" t="str">
        <f>IFERROR(__xludf.DUMMYFUNCTION("IF(G5330&lt;&gt;"""", GOOGLETRANSLATE(G5330, ""en"", ""te""),"""")"),"")</f>
        <v/>
      </c>
      <c r="I5330" s="3"/>
    </row>
    <row r="5331" customHeight="1" spans="1:9">
      <c r="A5331" s="2"/>
      <c r="B5331" s="2" t="str">
        <f>IFERROR(__xludf.DUMMYFUNCTION("IF(A5331&lt;&gt;"""", GOOGLETRANSLATE(A5331, ""en"", ""te""),"""")"),"")</f>
        <v/>
      </c>
      <c r="C5331" s="2"/>
      <c r="D5331" s="2" t="str">
        <f>IFERROR(__xludf.DUMMYFUNCTION("IF(C5331&lt;&gt;"""", GOOGLETRANSLATE(C5331, ""en"", ""te""),"""")"),"")</f>
        <v/>
      </c>
      <c r="E5331" s="2"/>
      <c r="F5331" s="2" t="str">
        <f>IFERROR(__xludf.DUMMYFUNCTION("IF(E5331&lt;&gt;"""", GOOGLETRANSLATE(E5331, ""en"", ""te""),"""")"),"")</f>
        <v/>
      </c>
      <c r="G5331" s="2"/>
      <c r="H5331" s="2" t="str">
        <f>IFERROR(__xludf.DUMMYFUNCTION("IF(G5331&lt;&gt;"""", GOOGLETRANSLATE(G5331, ""en"", ""te""),"""")"),"")</f>
        <v/>
      </c>
      <c r="I5331" s="3"/>
    </row>
    <row r="5332" customHeight="1" spans="1:9">
      <c r="A5332" s="2"/>
      <c r="B5332" s="2" t="str">
        <f>IFERROR(__xludf.DUMMYFUNCTION("IF(A5332&lt;&gt;"""", GOOGLETRANSLATE(A5332, ""en"", ""te""),"""")"),"")</f>
        <v/>
      </c>
      <c r="C5332" s="2"/>
      <c r="D5332" s="2" t="str">
        <f>IFERROR(__xludf.DUMMYFUNCTION("IF(C5332&lt;&gt;"""", GOOGLETRANSLATE(C5332, ""en"", ""te""),"""")"),"")</f>
        <v/>
      </c>
      <c r="E5332" s="2"/>
      <c r="F5332" s="2" t="str">
        <f>IFERROR(__xludf.DUMMYFUNCTION("IF(E5332&lt;&gt;"""", GOOGLETRANSLATE(E5332, ""en"", ""te""),"""")"),"")</f>
        <v/>
      </c>
      <c r="G5332" s="2"/>
      <c r="H5332" s="2" t="str">
        <f>IFERROR(__xludf.DUMMYFUNCTION("IF(G5332&lt;&gt;"""", GOOGLETRANSLATE(G5332, ""en"", ""te""),"""")"),"")</f>
        <v/>
      </c>
      <c r="I5332" s="3"/>
    </row>
    <row r="5333" customHeight="1" spans="1:9">
      <c r="A5333" s="2"/>
      <c r="B5333" s="2" t="str">
        <f>IFERROR(__xludf.DUMMYFUNCTION("IF(A5333&lt;&gt;"""", GOOGLETRANSLATE(A5333, ""en"", ""te""),"""")"),"")</f>
        <v/>
      </c>
      <c r="C5333" s="2"/>
      <c r="D5333" s="2" t="str">
        <f>IFERROR(__xludf.DUMMYFUNCTION("IF(C5333&lt;&gt;"""", GOOGLETRANSLATE(C5333, ""en"", ""te""),"""")"),"")</f>
        <v/>
      </c>
      <c r="E5333" s="2"/>
      <c r="F5333" s="2" t="str">
        <f>IFERROR(__xludf.DUMMYFUNCTION("IF(E5333&lt;&gt;"""", GOOGLETRANSLATE(E5333, ""en"", ""te""),"""")"),"")</f>
        <v/>
      </c>
      <c r="G5333" s="2"/>
      <c r="H5333" s="2" t="str">
        <f>IFERROR(__xludf.DUMMYFUNCTION("IF(G5333&lt;&gt;"""", GOOGLETRANSLATE(G5333, ""en"", ""te""),"""")"),"")</f>
        <v/>
      </c>
      <c r="I5333" s="3"/>
    </row>
    <row r="5334" customHeight="1" spans="1:9">
      <c r="A5334" s="2"/>
      <c r="B5334" s="2" t="str">
        <f>IFERROR(__xludf.DUMMYFUNCTION("IF(A5334&lt;&gt;"""", GOOGLETRANSLATE(A5334, ""en"", ""te""),"""")"),"")</f>
        <v/>
      </c>
      <c r="C5334" s="2"/>
      <c r="D5334" s="2" t="str">
        <f>IFERROR(__xludf.DUMMYFUNCTION("IF(C5334&lt;&gt;"""", GOOGLETRANSLATE(C5334, ""en"", ""te""),"""")"),"")</f>
        <v/>
      </c>
      <c r="E5334" s="2"/>
      <c r="F5334" s="2" t="str">
        <f>IFERROR(__xludf.DUMMYFUNCTION("IF(E5334&lt;&gt;"""", GOOGLETRANSLATE(E5334, ""en"", ""te""),"""")"),"")</f>
        <v/>
      </c>
      <c r="G5334" s="2"/>
      <c r="H5334" s="2" t="str">
        <f>IFERROR(__xludf.DUMMYFUNCTION("IF(G5334&lt;&gt;"""", GOOGLETRANSLATE(G5334, ""en"", ""te""),"""")"),"")</f>
        <v/>
      </c>
      <c r="I5334" s="3"/>
    </row>
    <row r="5335" customHeight="1" spans="1:9">
      <c r="A5335" s="2"/>
      <c r="B5335" s="2" t="str">
        <f>IFERROR(__xludf.DUMMYFUNCTION("IF(A5335&lt;&gt;"""", GOOGLETRANSLATE(A5335, ""en"", ""te""),"""")"),"")</f>
        <v/>
      </c>
      <c r="C5335" s="2"/>
      <c r="D5335" s="2" t="str">
        <f>IFERROR(__xludf.DUMMYFUNCTION("IF(C5335&lt;&gt;"""", GOOGLETRANSLATE(C5335, ""en"", ""te""),"""")"),"")</f>
        <v/>
      </c>
      <c r="E5335" s="2"/>
      <c r="F5335" s="2" t="str">
        <f>IFERROR(__xludf.DUMMYFUNCTION("IF(E5335&lt;&gt;"""", GOOGLETRANSLATE(E5335, ""en"", ""te""),"""")"),"")</f>
        <v/>
      </c>
      <c r="G5335" s="2"/>
      <c r="H5335" s="2" t="str">
        <f>IFERROR(__xludf.DUMMYFUNCTION("IF(G5335&lt;&gt;"""", GOOGLETRANSLATE(G5335, ""en"", ""te""),"""")"),"")</f>
        <v/>
      </c>
      <c r="I5335" s="3"/>
    </row>
    <row r="5336" customHeight="1" spans="1:9">
      <c r="A5336" s="2"/>
      <c r="B5336" s="2" t="str">
        <f>IFERROR(__xludf.DUMMYFUNCTION("IF(A5336&lt;&gt;"""", GOOGLETRANSLATE(A5336, ""en"", ""te""),"""")"),"")</f>
        <v/>
      </c>
      <c r="C5336" s="2"/>
      <c r="D5336" s="2" t="str">
        <f>IFERROR(__xludf.DUMMYFUNCTION("IF(C5336&lt;&gt;"""", GOOGLETRANSLATE(C5336, ""en"", ""te""),"""")"),"")</f>
        <v/>
      </c>
      <c r="E5336" s="2"/>
      <c r="F5336" s="2" t="str">
        <f>IFERROR(__xludf.DUMMYFUNCTION("IF(E5336&lt;&gt;"""", GOOGLETRANSLATE(E5336, ""en"", ""te""),"""")"),"")</f>
        <v/>
      </c>
      <c r="G5336" s="2"/>
      <c r="H5336" s="2" t="str">
        <f>IFERROR(__xludf.DUMMYFUNCTION("IF(G5336&lt;&gt;"""", GOOGLETRANSLATE(G5336, ""en"", ""te""),"""")"),"")</f>
        <v/>
      </c>
      <c r="I5336" s="3"/>
    </row>
    <row r="5337" customHeight="1" spans="1:9">
      <c r="A5337" s="2"/>
      <c r="B5337" s="2" t="str">
        <f>IFERROR(__xludf.DUMMYFUNCTION("IF(A5337&lt;&gt;"""", GOOGLETRANSLATE(A5337, ""en"", ""te""),"""")"),"")</f>
        <v/>
      </c>
      <c r="C5337" s="2"/>
      <c r="D5337" s="2" t="str">
        <f>IFERROR(__xludf.DUMMYFUNCTION("IF(C5337&lt;&gt;"""", GOOGLETRANSLATE(C5337, ""en"", ""te""),"""")"),"")</f>
        <v/>
      </c>
      <c r="E5337" s="2"/>
      <c r="F5337" s="2" t="str">
        <f>IFERROR(__xludf.DUMMYFUNCTION("IF(E5337&lt;&gt;"""", GOOGLETRANSLATE(E5337, ""en"", ""te""),"""")"),"")</f>
        <v/>
      </c>
      <c r="G5337" s="2"/>
      <c r="H5337" s="2" t="str">
        <f>IFERROR(__xludf.DUMMYFUNCTION("IF(G5337&lt;&gt;"""", GOOGLETRANSLATE(G5337, ""en"", ""te""),"""")"),"")</f>
        <v/>
      </c>
      <c r="I5337" s="3"/>
    </row>
    <row r="5338" customHeight="1" spans="1:9">
      <c r="A5338" s="2"/>
      <c r="B5338" s="2" t="str">
        <f>IFERROR(__xludf.DUMMYFUNCTION("IF(A5338&lt;&gt;"""", GOOGLETRANSLATE(A5338, ""en"", ""te""),"""")"),"")</f>
        <v/>
      </c>
      <c r="C5338" s="2"/>
      <c r="D5338" s="2" t="str">
        <f>IFERROR(__xludf.DUMMYFUNCTION("IF(C5338&lt;&gt;"""", GOOGLETRANSLATE(C5338, ""en"", ""te""),"""")"),"")</f>
        <v/>
      </c>
      <c r="E5338" s="2"/>
      <c r="F5338" s="2" t="str">
        <f>IFERROR(__xludf.DUMMYFUNCTION("IF(E5338&lt;&gt;"""", GOOGLETRANSLATE(E5338, ""en"", ""te""),"""")"),"")</f>
        <v/>
      </c>
      <c r="G5338" s="2"/>
      <c r="H5338" s="2" t="str">
        <f>IFERROR(__xludf.DUMMYFUNCTION("IF(G5338&lt;&gt;"""", GOOGLETRANSLATE(G5338, ""en"", ""te""),"""")"),"")</f>
        <v/>
      </c>
      <c r="I5338" s="3"/>
    </row>
    <row r="5339" customHeight="1" spans="1:9">
      <c r="A5339" s="2"/>
      <c r="B5339" s="2" t="str">
        <f>IFERROR(__xludf.DUMMYFUNCTION("IF(A5339&lt;&gt;"""", GOOGLETRANSLATE(A5339, ""en"", ""te""),"""")"),"")</f>
        <v/>
      </c>
      <c r="C5339" s="2"/>
      <c r="D5339" s="2" t="str">
        <f>IFERROR(__xludf.DUMMYFUNCTION("IF(C5339&lt;&gt;"""", GOOGLETRANSLATE(C5339, ""en"", ""te""),"""")"),"")</f>
        <v/>
      </c>
      <c r="E5339" s="2"/>
      <c r="F5339" s="2" t="str">
        <f>IFERROR(__xludf.DUMMYFUNCTION("IF(E5339&lt;&gt;"""", GOOGLETRANSLATE(E5339, ""en"", ""te""),"""")"),"")</f>
        <v/>
      </c>
      <c r="G5339" s="2"/>
      <c r="H5339" s="2" t="str">
        <f>IFERROR(__xludf.DUMMYFUNCTION("IF(G5339&lt;&gt;"""", GOOGLETRANSLATE(G5339, ""en"", ""te""),"""")"),"")</f>
        <v/>
      </c>
      <c r="I5339" s="3"/>
    </row>
    <row r="5340" customHeight="1" spans="1:9">
      <c r="A5340" s="2" t="s">
        <v>1574</v>
      </c>
      <c r="B5340" s="2" t="str">
        <f>IFERROR(__xludf.DUMMYFUNCTION("IF(A5340&lt;&gt;"""", GOOGLETRANSLATE(A5340, ""en"", ""te""),"""")"),"[ 'తొలి ఇన్నింగ్స్లో 4 వ ఉత్తమ బొమ్మలు (4)']")</f>
        <v>[ 'తొలి ఇన్నింగ్స్లో 4 వ ఉత్తమ బొమ్మలు (4)']</v>
      </c>
      <c r="C5340" s="2" t="s">
        <v>3521</v>
      </c>
      <c r="D5340" s="2" t="str">
        <f>IFERROR(__xludf.DUMMYFUNCTION("IF(C5340&lt;&gt;"""", GOOGLETRANSLATE(C5340, ""en"", ""te""),"""")"),"[ '27 వేగవంతమైన 100 వికెట్లు (22) కు' '21 వ అత్యధిక వికెట్లు స్టంప్ (11) తీసుకున్న ']")</f>
        <v>[ '27 వేగవంతమైన 100 వికెట్లు (22) కు' '21 వ అత్యధిక వికెట్లు స్టంప్ (11) తీసుకున్న ']</v>
      </c>
      <c r="E5340" s="2"/>
      <c r="F5340" s="2" t="str">
        <f>IFERROR(__xludf.DUMMYFUNCTION("IF(E5340&lt;&gt;"""", GOOGLETRANSLATE(E5340, ""en"", ""te""),"""")"),"")</f>
        <v/>
      </c>
      <c r="G5340" s="2" t="s">
        <v>1574</v>
      </c>
      <c r="H5340" s="2" t="str">
        <f>IFERROR(__xludf.DUMMYFUNCTION("IF(G5340&lt;&gt;"""", GOOGLETRANSLATE(G5340, ""en"", ""te""),"""")"),"[ 'తొలి ఇన్నింగ్స్లో 4 వ ఉత్తమ బొమ్మలు (4)']")</f>
        <v>[ 'తొలి ఇన్నింగ్స్లో 4 వ ఉత్తమ బొమ్మలు (4)']</v>
      </c>
      <c r="I5340" s="3"/>
    </row>
    <row r="5341" customHeight="1" spans="1:9">
      <c r="A5341" s="2"/>
      <c r="B5341" s="2" t="str">
        <f>IFERROR(__xludf.DUMMYFUNCTION("IF(A5341&lt;&gt;"""", GOOGLETRANSLATE(A5341, ""en"", ""te""),"""")"),"")</f>
        <v/>
      </c>
      <c r="C5341" s="2"/>
      <c r="D5341" s="2" t="str">
        <f>IFERROR(__xludf.DUMMYFUNCTION("IF(C5341&lt;&gt;"""", GOOGLETRANSLATE(C5341, ""en"", ""te""),"""")"),"")</f>
        <v/>
      </c>
      <c r="E5341" s="2"/>
      <c r="F5341" s="2" t="str">
        <f>IFERROR(__xludf.DUMMYFUNCTION("IF(E5341&lt;&gt;"""", GOOGLETRANSLATE(E5341, ""en"", ""te""),"""")"),"")</f>
        <v/>
      </c>
      <c r="G5341" s="2"/>
      <c r="H5341" s="2" t="str">
        <f>IFERROR(__xludf.DUMMYFUNCTION("IF(G5341&lt;&gt;"""", GOOGLETRANSLATE(G5341, ""en"", ""te""),"""")"),"")</f>
        <v/>
      </c>
      <c r="I5341" s="3"/>
    </row>
    <row r="5342" customHeight="1" spans="1:9">
      <c r="A5342" s="2" t="s">
        <v>3522</v>
      </c>
      <c r="B5342" s="2" t="str">
        <f>IFERROR(__xludf.DUMMYFUNCTION("IF(A5342&lt;&gt;"""", GOOGLETRANSLATE(A5342, ""en"", ""te""),"""")"),"[ '4 వ అత్యధిక కెరీర్ సమ్మె రేటు (117.31)']")</f>
        <v>[ '4 వ అత్యధిక కెరీర్ సమ్మె రేటు (117.31)']</v>
      </c>
      <c r="C5342" s="2" t="s">
        <v>3523</v>
      </c>
      <c r="D5342" s="2" t="str">
        <f>IFERROR(__xludf.DUMMYFUNCTION("IF(C5342&lt;&gt;"""", GOOGLETRANSLATE(C5342, ""en"", ""te""),"""")"),"[ '19 ఇన్నింగ్స్ లో వచ్చిన ఎక్కువ సిక్స్ (7)', 'ఇన్నింగ్స్ లో 20 వ ఉత్తమ సమ్మె రేటు (7.2)']")</f>
        <v>[ '19 ఇన్నింగ్స్ లో వచ్చిన ఎక్కువ సిక్స్ (7)', 'ఇన్నింగ్స్ లో 20 వ ఉత్తమ సమ్మె రేటు (7.2)']</v>
      </c>
      <c r="E5342" s="2" t="s">
        <v>3524</v>
      </c>
      <c r="F5342" s="2" t="str">
        <f>IFERROR(__xludf.DUMMYFUNCTION("IF(E5342&lt;&gt;"""", GOOGLETRANSLATE(E5342, ""en"", ""te""),"""")"),"[ '4 వ అత్యధిక కెరీర్ సమ్మె రేటు (117.31)', 'ఆరవ వికెట్కు 16 అత్యధిక భాగస్వామ్యం (150 *)']")</f>
        <v>[ '4 వ అత్యధిక కెరీర్ సమ్మె రేటు (117.31)', 'ఆరవ వికెట్కు 16 అత్యధిక భాగస్వామ్యం (150 *)']</v>
      </c>
      <c r="G5342" s="2" t="s">
        <v>3525</v>
      </c>
      <c r="H5342" s="2" t="str">
        <f>IFERROR(__xludf.DUMMYFUNCTION("IF(G5342&lt;&gt;"""", GOOGLETRANSLATE(G5342, ""en"", ""te""),"""")"),"[ '16 వ అత్యధిక కెరీర్ సమ్మె రేటు (147.66)', 'ఇన్నింగ్స్ లో 9 వ అత్యధిక స్ట్రైక్ రేట్ (355.55)', '25 వ అత్యుత్తమ బౌలింగ్ ఇన్నింగ్స్ లో విశ్లేషించడం (3/8)', '29th చెత్త కెరీర్లో ఆర్థిక రేటు (8.17)' , '42 వ కెరీర్ లో సాధించిన (1094) అత్యధిక పరుగులు' '17 వ "&amp;"బౌలర్ / బ్యాట్స్ కలయికలు (3)', '26th బౌలర్ / ఫీల్డర్ కలయికలు (7)', '29 వ అత్యధిక వికెట్లు తీసుకున్న ఆకర్షించింది (35)', '33 వ అత్యధిక వికెట్లు ఒక ఫీల్డర్ తీసుకున్న ఆకర్షించింది (28) ',' 22 వ అత్యధిక వికెట్లు ఒక వికెట్ కీపర్ చే కాట్ తీసుకున్న (7) ',' 29th "&amp;"కెరీర్ (30) లో అత్యధిక క్యాచ్లు ']")</f>
        <v>[ '16 వ అత్యధిక కెరీర్ సమ్మె రేటు (147.66)', 'ఇన్నింగ్స్ లో 9 వ అత్యధిక స్ట్రైక్ రేట్ (355.55)', '25 వ అత్యుత్తమ బౌలింగ్ ఇన్నింగ్స్ లో విశ్లేషించడం (3/8)', '29th చెత్త కెరీర్లో ఆర్థిక రేటు (8.17)' , '42 వ కెరీర్ లో సాధించిన (1094) అత్యధిక పరుగులు' '17 వ బౌలర్ / బ్యాట్స్ కలయికలు (3)', '26th బౌలర్ / ఫీల్డర్ కలయికలు (7)', '29 వ అత్యధిక వికెట్లు తీసుకున్న ఆకర్షించింది (35)', '33 వ అత్యధిక వికెట్లు ఒక ఫీల్డర్ తీసుకున్న ఆకర్షించింది (28) ',' 22 వ అత్యధిక వికెట్లు ఒక వికెట్ కీపర్ చే కాట్ తీసుకున్న (7) ',' 29th కెరీర్ (30) లో అత్యధిక క్యాచ్లు ']</v>
      </c>
      <c r="I5342" s="3"/>
    </row>
    <row r="5343" customHeight="1" spans="1:9">
      <c r="A5343" s="2"/>
      <c r="B5343" s="2" t="str">
        <f>IFERROR(__xludf.DUMMYFUNCTION("IF(A5343&lt;&gt;"""", GOOGLETRANSLATE(A5343, ""en"", ""te""),"""")"),"")</f>
        <v/>
      </c>
      <c r="C5343" s="2"/>
      <c r="D5343" s="2" t="str">
        <f>IFERROR(__xludf.DUMMYFUNCTION("IF(C5343&lt;&gt;"""", GOOGLETRANSLATE(C5343, ""en"", ""te""),"""")"),"")</f>
        <v/>
      </c>
      <c r="E5343" s="2"/>
      <c r="F5343" s="2" t="str">
        <f>IFERROR(__xludf.DUMMYFUNCTION("IF(E5343&lt;&gt;"""", GOOGLETRANSLATE(E5343, ""en"", ""te""),"""")"),"")</f>
        <v/>
      </c>
      <c r="G5343" s="2"/>
      <c r="H5343" s="2" t="str">
        <f>IFERROR(__xludf.DUMMYFUNCTION("IF(G5343&lt;&gt;"""", GOOGLETRANSLATE(G5343, ""en"", ""te""),"""")"),"")</f>
        <v/>
      </c>
      <c r="I5343" s="3"/>
    </row>
    <row r="5344" customHeight="1" spans="1:9">
      <c r="A5344" s="2"/>
      <c r="B5344" s="2" t="str">
        <f>IFERROR(__xludf.DUMMYFUNCTION("IF(A5344&lt;&gt;"""", GOOGLETRANSLATE(A5344, ""en"", ""te""),"""")"),"")</f>
        <v/>
      </c>
      <c r="C5344" s="2"/>
      <c r="D5344" s="2" t="str">
        <f>IFERROR(__xludf.DUMMYFUNCTION("IF(C5344&lt;&gt;"""", GOOGLETRANSLATE(C5344, ""en"", ""te""),"""")"),"")</f>
        <v/>
      </c>
      <c r="E5344" s="2"/>
      <c r="F5344" s="2" t="str">
        <f>IFERROR(__xludf.DUMMYFUNCTION("IF(E5344&lt;&gt;"""", GOOGLETRANSLATE(E5344, ""en"", ""te""),"""")"),"")</f>
        <v/>
      </c>
      <c r="G5344" s="2"/>
      <c r="H5344" s="2" t="str">
        <f>IFERROR(__xludf.DUMMYFUNCTION("IF(G5344&lt;&gt;"""", GOOGLETRANSLATE(G5344, ""en"", ""te""),"""")"),"")</f>
        <v/>
      </c>
      <c r="I5344" s="3"/>
    </row>
    <row r="5345" customHeight="1" spans="1:9">
      <c r="A5345" s="2"/>
      <c r="B5345" s="2" t="str">
        <f>IFERROR(__xludf.DUMMYFUNCTION("IF(A5345&lt;&gt;"""", GOOGLETRANSLATE(A5345, ""en"", ""te""),"""")"),"")</f>
        <v/>
      </c>
      <c r="C5345" s="2"/>
      <c r="D5345" s="2" t="str">
        <f>IFERROR(__xludf.DUMMYFUNCTION("IF(C5345&lt;&gt;"""", GOOGLETRANSLATE(C5345, ""en"", ""te""),"""")"),"")</f>
        <v/>
      </c>
      <c r="E5345" s="2"/>
      <c r="F5345" s="2" t="str">
        <f>IFERROR(__xludf.DUMMYFUNCTION("IF(E5345&lt;&gt;"""", GOOGLETRANSLATE(E5345, ""en"", ""te""),"""")"),"")</f>
        <v/>
      </c>
      <c r="G5345" s="2"/>
      <c r="H5345" s="2" t="str">
        <f>IFERROR(__xludf.DUMMYFUNCTION("IF(G5345&lt;&gt;"""", GOOGLETRANSLATE(G5345, ""en"", ""te""),"""")"),"")</f>
        <v/>
      </c>
      <c r="I5345" s="3"/>
    </row>
    <row r="5346" customHeight="1" spans="1:9">
      <c r="A5346" s="2"/>
      <c r="B5346" s="2" t="str">
        <f>IFERROR(__xludf.DUMMYFUNCTION("IF(A5346&lt;&gt;"""", GOOGLETRANSLATE(A5346, ""en"", ""te""),"""")"),"")</f>
        <v/>
      </c>
      <c r="C5346" s="2"/>
      <c r="D5346" s="2" t="str">
        <f>IFERROR(__xludf.DUMMYFUNCTION("IF(C5346&lt;&gt;"""", GOOGLETRANSLATE(C5346, ""en"", ""te""),"""")"),"")</f>
        <v/>
      </c>
      <c r="E5346" s="2"/>
      <c r="F5346" s="2" t="str">
        <f>IFERROR(__xludf.DUMMYFUNCTION("IF(E5346&lt;&gt;"""", GOOGLETRANSLATE(E5346, ""en"", ""te""),"""")"),"")</f>
        <v/>
      </c>
      <c r="G5346" s="2"/>
      <c r="H5346" s="2" t="str">
        <f>IFERROR(__xludf.DUMMYFUNCTION("IF(G5346&lt;&gt;"""", GOOGLETRANSLATE(G5346, ""en"", ""te""),"""")"),"")</f>
        <v/>
      </c>
      <c r="I5346" s="3"/>
    </row>
    <row r="5347" customHeight="1" spans="1:9">
      <c r="A5347" s="2"/>
      <c r="B5347" s="2" t="str">
        <f>IFERROR(__xludf.DUMMYFUNCTION("IF(A5347&lt;&gt;"""", GOOGLETRANSLATE(A5347, ""en"", ""te""),"""")"),"")</f>
        <v/>
      </c>
      <c r="C5347" s="2"/>
      <c r="D5347" s="2" t="str">
        <f>IFERROR(__xludf.DUMMYFUNCTION("IF(C5347&lt;&gt;"""", GOOGLETRANSLATE(C5347, ""en"", ""te""),"""")"),"")</f>
        <v/>
      </c>
      <c r="E5347" s="2"/>
      <c r="F5347" s="2" t="str">
        <f>IFERROR(__xludf.DUMMYFUNCTION("IF(E5347&lt;&gt;"""", GOOGLETRANSLATE(E5347, ""en"", ""te""),"""")"),"")</f>
        <v/>
      </c>
      <c r="G5347" s="2"/>
      <c r="H5347" s="2" t="str">
        <f>IFERROR(__xludf.DUMMYFUNCTION("IF(G5347&lt;&gt;"""", GOOGLETRANSLATE(G5347, ""en"", ""te""),"""")"),"")</f>
        <v/>
      </c>
      <c r="I5347" s="3"/>
    </row>
    <row r="5348" customHeight="1" spans="1:9">
      <c r="A5348" s="2"/>
      <c r="B5348" s="2" t="str">
        <f>IFERROR(__xludf.DUMMYFUNCTION("IF(A5348&lt;&gt;"""", GOOGLETRANSLATE(A5348, ""en"", ""te""),"""")"),"")</f>
        <v/>
      </c>
      <c r="C5348" s="2"/>
      <c r="D5348" s="2" t="str">
        <f>IFERROR(__xludf.DUMMYFUNCTION("IF(C5348&lt;&gt;"""", GOOGLETRANSLATE(C5348, ""en"", ""te""),"""")"),"")</f>
        <v/>
      </c>
      <c r="E5348" s="2"/>
      <c r="F5348" s="2" t="str">
        <f>IFERROR(__xludf.DUMMYFUNCTION("IF(E5348&lt;&gt;"""", GOOGLETRANSLATE(E5348, ""en"", ""te""),"""")"),"")</f>
        <v/>
      </c>
      <c r="G5348" s="2"/>
      <c r="H5348" s="2" t="str">
        <f>IFERROR(__xludf.DUMMYFUNCTION("IF(G5348&lt;&gt;"""", GOOGLETRANSLATE(G5348, ""en"", ""te""),"""")"),"")</f>
        <v/>
      </c>
      <c r="I5348" s="3"/>
    </row>
    <row r="5349" customHeight="1" spans="1:9">
      <c r="A5349" s="2"/>
      <c r="B5349" s="2" t="str">
        <f>IFERROR(__xludf.DUMMYFUNCTION("IF(A5349&lt;&gt;"""", GOOGLETRANSLATE(A5349, ""en"", ""te""),"""")"),"")</f>
        <v/>
      </c>
      <c r="C5349" s="2"/>
      <c r="D5349" s="2" t="str">
        <f>IFERROR(__xludf.DUMMYFUNCTION("IF(C5349&lt;&gt;"""", GOOGLETRANSLATE(C5349, ""en"", ""te""),"""")"),"")</f>
        <v/>
      </c>
      <c r="E5349" s="2"/>
      <c r="F5349" s="2" t="str">
        <f>IFERROR(__xludf.DUMMYFUNCTION("IF(E5349&lt;&gt;"""", GOOGLETRANSLATE(E5349, ""en"", ""te""),"""")"),"")</f>
        <v/>
      </c>
      <c r="G5349" s="2"/>
      <c r="H5349" s="2" t="str">
        <f>IFERROR(__xludf.DUMMYFUNCTION("IF(G5349&lt;&gt;"""", GOOGLETRANSLATE(G5349, ""en"", ""te""),"""")"),"")</f>
        <v/>
      </c>
      <c r="I5349" s="3"/>
    </row>
    <row r="5350" customHeight="1" spans="1:9">
      <c r="A5350" s="2"/>
      <c r="B5350" s="2" t="str">
        <f>IFERROR(__xludf.DUMMYFUNCTION("IF(A5350&lt;&gt;"""", GOOGLETRANSLATE(A5350, ""en"", ""te""),"""")"),"")</f>
        <v/>
      </c>
      <c r="C5350" s="2"/>
      <c r="D5350" s="2" t="str">
        <f>IFERROR(__xludf.DUMMYFUNCTION("IF(C5350&lt;&gt;"""", GOOGLETRANSLATE(C5350, ""en"", ""te""),"""")"),"")</f>
        <v/>
      </c>
      <c r="E5350" s="2"/>
      <c r="F5350" s="2" t="str">
        <f>IFERROR(__xludf.DUMMYFUNCTION("IF(E5350&lt;&gt;"""", GOOGLETRANSLATE(E5350, ""en"", ""te""),"""")"),"")</f>
        <v/>
      </c>
      <c r="G5350" s="2"/>
      <c r="H5350" s="2" t="str">
        <f>IFERROR(__xludf.DUMMYFUNCTION("IF(G5350&lt;&gt;"""", GOOGLETRANSLATE(G5350, ""en"", ""te""),"""")"),"")</f>
        <v/>
      </c>
      <c r="I5350" s="3"/>
    </row>
    <row r="5351" customHeight="1" spans="1:9">
      <c r="A5351" s="2" t="s">
        <v>3526</v>
      </c>
      <c r="B5351" s="2" t="str">
        <f>IFERROR(__xludf.DUMMYFUNCTION("IF(A5351&lt;&gt;"""", GOOGLETRANSLATE(A5351, ""en"", ""te""),"""")"),"[ '10 వ తొలి మ్యాచ్లో అత్యధిక పరుగులు (75 *)']")</f>
        <v>[ '10 వ తొలి మ్యాచ్లో అత్యధిక పరుగులు (75 *)']</v>
      </c>
      <c r="C5351" s="2"/>
      <c r="D5351" s="2" t="str">
        <f>IFERROR(__xludf.DUMMYFUNCTION("IF(C5351&lt;&gt;"""", GOOGLETRANSLATE(C5351, ""en"", ""te""),"""")"),"")</f>
        <v/>
      </c>
      <c r="E5351" s="2" t="s">
        <v>3526</v>
      </c>
      <c r="F5351" s="2" t="str">
        <f>IFERROR(__xludf.DUMMYFUNCTION("IF(E5351&lt;&gt;"""", GOOGLETRANSLATE(E5351, ""en"", ""te""),"""")"),"[ '10 వ తొలి మ్యాచ్లో అత్యధిక పరుగులు (75 *)']")</f>
        <v>[ '10 వ తొలి మ్యాచ్లో అత్యధిక పరుగులు (75 *)']</v>
      </c>
      <c r="G5351" s="2"/>
      <c r="H5351" s="2" t="str">
        <f>IFERROR(__xludf.DUMMYFUNCTION("IF(G5351&lt;&gt;"""", GOOGLETRANSLATE(G5351, ""en"", ""te""),"""")"),"")</f>
        <v/>
      </c>
      <c r="I5351" s="3"/>
    </row>
    <row r="5352" customHeight="1" spans="1:9">
      <c r="A5352" s="2"/>
      <c r="B5352" s="2" t="str">
        <f>IFERROR(__xludf.DUMMYFUNCTION("IF(A5352&lt;&gt;"""", GOOGLETRANSLATE(A5352, ""en"", ""te""),"""")"),"")</f>
        <v/>
      </c>
      <c r="C5352" s="2"/>
      <c r="D5352" s="2" t="str">
        <f>IFERROR(__xludf.DUMMYFUNCTION("IF(C5352&lt;&gt;"""", GOOGLETRANSLATE(C5352, ""en"", ""te""),"""")"),"")</f>
        <v/>
      </c>
      <c r="E5352" s="2"/>
      <c r="F5352" s="2" t="str">
        <f>IFERROR(__xludf.DUMMYFUNCTION("IF(E5352&lt;&gt;"""", GOOGLETRANSLATE(E5352, ""en"", ""te""),"""")"),"")</f>
        <v/>
      </c>
      <c r="G5352" s="2"/>
      <c r="H5352" s="2" t="str">
        <f>IFERROR(__xludf.DUMMYFUNCTION("IF(G5352&lt;&gt;"""", GOOGLETRANSLATE(G5352, ""en"", ""te""),"""")"),"")</f>
        <v/>
      </c>
      <c r="I5352" s="3"/>
    </row>
    <row r="5353" customHeight="1" spans="1:9">
      <c r="A5353" s="2" t="s">
        <v>352</v>
      </c>
      <c r="B5353" s="2" t="str">
        <f>IFERROR(__xludf.DUMMYFUNCTION("IF(A5353&lt;&gt;"""", GOOGLETRANSLATE(A5353, ""en"", ""te""),"""")"),"[ 'బ్యాటింగ్ ప్రారంభించుటకు మరియు అదే మ్యాచ్ లో బౌలింగ్']")</f>
        <v>[ 'బ్యాటింగ్ ప్రారంభించుటకు మరియు అదే మ్యాచ్ లో బౌలింగ్']</v>
      </c>
      <c r="C5353" s="2"/>
      <c r="D5353" s="2" t="str">
        <f>IFERROR(__xludf.DUMMYFUNCTION("IF(C5353&lt;&gt;"""", GOOGLETRANSLATE(C5353, ""en"", ""te""),"""")"),"")</f>
        <v/>
      </c>
      <c r="E5353" s="2"/>
      <c r="F5353" s="2" t="str">
        <f>IFERROR(__xludf.DUMMYFUNCTION("IF(E5353&lt;&gt;"""", GOOGLETRANSLATE(E5353, ""en"", ""te""),"""")"),"")</f>
        <v/>
      </c>
      <c r="G5353" s="2"/>
      <c r="H5353" s="2" t="str">
        <f>IFERROR(__xludf.DUMMYFUNCTION("IF(G5353&lt;&gt;"""", GOOGLETRANSLATE(G5353, ""en"", ""te""),"""")"),"")</f>
        <v/>
      </c>
      <c r="I5353" s="3"/>
    </row>
    <row r="5354" customHeight="1" spans="1:9">
      <c r="A5354" s="2"/>
      <c r="B5354" s="2" t="str">
        <f>IFERROR(__xludf.DUMMYFUNCTION("IF(A5354&lt;&gt;"""", GOOGLETRANSLATE(A5354, ""en"", ""te""),"""")"),"")</f>
        <v/>
      </c>
      <c r="C5354" s="2"/>
      <c r="D5354" s="2" t="str">
        <f>IFERROR(__xludf.DUMMYFUNCTION("IF(C5354&lt;&gt;"""", GOOGLETRANSLATE(C5354, ""en"", ""te""),"""")"),"")</f>
        <v/>
      </c>
      <c r="E5354" s="2"/>
      <c r="F5354" s="2" t="str">
        <f>IFERROR(__xludf.DUMMYFUNCTION("IF(E5354&lt;&gt;"""", GOOGLETRANSLATE(E5354, ""en"", ""te""),"""")"),"")</f>
        <v/>
      </c>
      <c r="G5354" s="2"/>
      <c r="H5354" s="2" t="str">
        <f>IFERROR(__xludf.DUMMYFUNCTION("IF(G5354&lt;&gt;"""", GOOGLETRANSLATE(G5354, ""en"", ""te""),"""")"),"")</f>
        <v/>
      </c>
      <c r="I5354" s="3"/>
    </row>
    <row r="5355" customHeight="1" spans="1:9">
      <c r="A5355" s="2" t="s">
        <v>3527</v>
      </c>
      <c r="B5355" s="2" t="str">
        <f>IFERROR(__xludf.DUMMYFUNCTION("IF(A5355&lt;&gt;"""", GOOGLETRANSLATE(A5355, ""en"", ""te""),"""")"),"[ 'బ్యాటింగ్ ప్రారంభించుటకు మరియు అదే మ్యాచ్ లో బౌలింగ్', '9 వ అత్యుత్తమ బౌలింగ్ ఇన్నింగ్స్ లో విశ్లేషించడం (3/5)', 'బ్యాటింగ్ తెరవడం మరియు అదే మ్యాచ్ లో బౌలింగ్']")</f>
        <v>[ 'బ్యాటింగ్ ప్రారంభించుటకు మరియు అదే మ్యాచ్ లో బౌలింగ్', '9 వ అత్యుత్తమ బౌలింగ్ ఇన్నింగ్స్ లో విశ్లేషించడం (3/5)', 'బ్యాటింగ్ తెరవడం మరియు అదే మ్యాచ్ లో బౌలింగ్']</v>
      </c>
      <c r="C5355" s="2"/>
      <c r="D5355" s="2" t="str">
        <f>IFERROR(__xludf.DUMMYFUNCTION("IF(C5355&lt;&gt;"""", GOOGLETRANSLATE(C5355, ""en"", ""te""),"""")"),"")</f>
        <v/>
      </c>
      <c r="E5355" s="2" t="s">
        <v>3528</v>
      </c>
      <c r="F5355" s="2" t="str">
        <f>IFERROR(__xludf.DUMMYFUNCTION("IF(E5355&lt;&gt;"""", GOOGLETRANSLATE(E5355, ""en"", ""te""),"""")"),"[ '9 వ అత్యుత్తమ ఇన్నింగ్స్ లో బౌలింగ్ విశ్లేషణలు (3/5)', 'ఇన్నింగ్స్ లో 48 వ బెస్ట్ ఆర్థిక రేటు (1.00)', '43 వ అత్యంత ఐదు-వికెట్ల లో-ఒక-ఇన్నింగ్స్ కెరీర్లో (2)', ' 13 వ వరుస నాలుగు వికెట్లు-ఇన్-ఒక-ఇన్నింగ్స్ (2) ',' ఒక ఐదు మైడెన్-wickets- తీసుకుని ఐదు-వ"&amp;"ికెట్ల-ఒక ఇన్నింగ్స్లో తీసుకోవాలని 32 వ అత్యంత వృద్ధ ఆటగాడు (32y 217d) ',' 38 వ అత్యంత వృద్ధ ఆటగాడు లో-ఒక-ఇన్నింగ్స్ (30y 309d) ',' 38 వ అత్యధిక వికెట్లు బౌల్డ్ (49) ',' 48 వ వేగంగా 150 వికెట్లు (123) '] తీసుకోవాలి")</f>
        <v>[ '9 వ అత్యుత్తమ ఇన్నింగ్స్ లో బౌలింగ్ విశ్లేషణలు (3/5)', 'ఇన్నింగ్స్ లో 48 వ బెస్ట్ ఆర్థిక రేటు (1.00)', '43 వ అత్యంత ఐదు-వికెట్ల లో-ఒక-ఇన్నింగ్స్ కెరీర్లో (2)', ' 13 వ వరుస నాలుగు వికెట్లు-ఇన్-ఒక-ఇన్నింగ్స్ (2) ',' ఒక ఐదు మైడెన్-wickets- తీసుకుని ఐదు-వికెట్ల-ఒక ఇన్నింగ్స్లో తీసుకోవాలని 32 వ అత్యంత వృద్ధ ఆటగాడు (32y 217d) ',' 38 వ అత్యంత వృద్ధ ఆటగాడు లో-ఒక-ఇన్నింగ్స్ (30y 309d) ',' 38 వ అత్యధిక వికెట్లు బౌల్డ్ (49) ',' 48 వ వేగంగా 150 వికెట్లు (123) '] తీసుకోవాలి</v>
      </c>
      <c r="G5355" s="2"/>
      <c r="H5355" s="2" t="str">
        <f>IFERROR(__xludf.DUMMYFUNCTION("IF(G5355&lt;&gt;"""", GOOGLETRANSLATE(G5355, ""en"", ""te""),"""")"),"")</f>
        <v/>
      </c>
      <c r="I5355" s="3"/>
    </row>
    <row r="5356" customHeight="1" spans="1:9">
      <c r="A5356" s="2"/>
      <c r="B5356" s="2" t="str">
        <f>IFERROR(__xludf.DUMMYFUNCTION("IF(A5356&lt;&gt;"""", GOOGLETRANSLATE(A5356, ""en"", ""te""),"""")"),"")</f>
        <v/>
      </c>
      <c r="C5356" s="2"/>
      <c r="D5356" s="2" t="str">
        <f>IFERROR(__xludf.DUMMYFUNCTION("IF(C5356&lt;&gt;"""", GOOGLETRANSLATE(C5356, ""en"", ""te""),"""")"),"")</f>
        <v/>
      </c>
      <c r="E5356" s="2"/>
      <c r="F5356" s="2" t="str">
        <f>IFERROR(__xludf.DUMMYFUNCTION("IF(E5356&lt;&gt;"""", GOOGLETRANSLATE(E5356, ""en"", ""te""),"""")"),"")</f>
        <v/>
      </c>
      <c r="G5356" s="2"/>
      <c r="H5356" s="2" t="str">
        <f>IFERROR(__xludf.DUMMYFUNCTION("IF(G5356&lt;&gt;"""", GOOGLETRANSLATE(G5356, ""en"", ""te""),"""")"),"")</f>
        <v/>
      </c>
      <c r="I5356" s="3"/>
    </row>
    <row r="5357" customHeight="1" spans="1:9">
      <c r="A5357" s="2"/>
      <c r="B5357" s="2" t="str">
        <f>IFERROR(__xludf.DUMMYFUNCTION("IF(A5357&lt;&gt;"""", GOOGLETRANSLATE(A5357, ""en"", ""te""),"""")"),"")</f>
        <v/>
      </c>
      <c r="C5357" s="2"/>
      <c r="D5357" s="2" t="str">
        <f>IFERROR(__xludf.DUMMYFUNCTION("IF(C5357&lt;&gt;"""", GOOGLETRANSLATE(C5357, ""en"", ""te""),"""")"),"")</f>
        <v/>
      </c>
      <c r="E5357" s="2"/>
      <c r="F5357" s="2" t="str">
        <f>IFERROR(__xludf.DUMMYFUNCTION("IF(E5357&lt;&gt;"""", GOOGLETRANSLATE(E5357, ""en"", ""te""),"""")"),"")</f>
        <v/>
      </c>
      <c r="G5357" s="2"/>
      <c r="H5357" s="2" t="str">
        <f>IFERROR(__xludf.DUMMYFUNCTION("IF(G5357&lt;&gt;"""", GOOGLETRANSLATE(G5357, ""en"", ""te""),"""")"),"")</f>
        <v/>
      </c>
      <c r="I5357" s="3"/>
    </row>
    <row r="5358" customHeight="1" spans="1:9">
      <c r="A5358" s="2" t="s">
        <v>3529</v>
      </c>
      <c r="B5358" s="2" t="str">
        <f>IFERROR(__xludf.DUMMYFUNCTION("IF(A5358&lt;&gt;"""", GOOGLETRANSLATE(A5358, ""en"", ""te""),"""")"),"[ '4 వ ఉత్తమ కెరీర్ బౌలింగ్ సరాసరి (అర్హత లేకుండా) (4.00)']")</f>
        <v>[ '4 వ ఉత్తమ కెరీర్ బౌలింగ్ సరాసరి (అర్హత లేకుండా) (4.00)']</v>
      </c>
      <c r="C5358" s="2"/>
      <c r="D5358" s="2" t="str">
        <f>IFERROR(__xludf.DUMMYFUNCTION("IF(C5358&lt;&gt;"""", GOOGLETRANSLATE(C5358, ""en"", ""te""),"""")"),"")</f>
        <v/>
      </c>
      <c r="E5358" s="2" t="s">
        <v>3529</v>
      </c>
      <c r="F5358" s="2" t="str">
        <f>IFERROR(__xludf.DUMMYFUNCTION("IF(E5358&lt;&gt;"""", GOOGLETRANSLATE(E5358, ""en"", ""te""),"""")"),"[ '4 వ ఉత్తమ కెరీర్ బౌలింగ్ సరాసరి (అర్హత లేకుండా) (4.00)']")</f>
        <v>[ '4 వ ఉత్తమ కెరీర్ బౌలింగ్ సరాసరి (అర్హత లేకుండా) (4.00)']</v>
      </c>
      <c r="G5358" s="2"/>
      <c r="H5358" s="2" t="str">
        <f>IFERROR(__xludf.DUMMYFUNCTION("IF(G5358&lt;&gt;"""", GOOGLETRANSLATE(G5358, ""en"", ""te""),"""")"),"")</f>
        <v/>
      </c>
      <c r="I5358" s="3"/>
    </row>
    <row r="5359" customHeight="1" spans="1:9">
      <c r="A5359" s="2"/>
      <c r="B5359" s="2" t="str">
        <f>IFERROR(__xludf.DUMMYFUNCTION("IF(A5359&lt;&gt;"""", GOOGLETRANSLATE(A5359, ""en"", ""te""),"""")"),"")</f>
        <v/>
      </c>
      <c r="C5359" s="2"/>
      <c r="D5359" s="2" t="str">
        <f>IFERROR(__xludf.DUMMYFUNCTION("IF(C5359&lt;&gt;"""", GOOGLETRANSLATE(C5359, ""en"", ""te""),"""")"),"")</f>
        <v/>
      </c>
      <c r="E5359" s="2"/>
      <c r="F5359" s="2" t="str">
        <f>IFERROR(__xludf.DUMMYFUNCTION("IF(E5359&lt;&gt;"""", GOOGLETRANSLATE(E5359, ""en"", ""te""),"""")"),"")</f>
        <v/>
      </c>
      <c r="G5359" s="2"/>
      <c r="H5359" s="2" t="str">
        <f>IFERROR(__xludf.DUMMYFUNCTION("IF(G5359&lt;&gt;"""", GOOGLETRANSLATE(G5359, ""en"", ""te""),"""")"),"")</f>
        <v/>
      </c>
      <c r="I5359" s="3"/>
    </row>
    <row r="5360" customHeight="1" spans="1:9">
      <c r="A5360" s="2"/>
      <c r="B5360" s="2" t="str">
        <f>IFERROR(__xludf.DUMMYFUNCTION("IF(A5360&lt;&gt;"""", GOOGLETRANSLATE(A5360, ""en"", ""te""),"""")"),"")</f>
        <v/>
      </c>
      <c r="C5360" s="2"/>
      <c r="D5360" s="2" t="str">
        <f>IFERROR(__xludf.DUMMYFUNCTION("IF(C5360&lt;&gt;"""", GOOGLETRANSLATE(C5360, ""en"", ""te""),"""")"),"")</f>
        <v/>
      </c>
      <c r="E5360" s="2"/>
      <c r="F5360" s="2" t="str">
        <f>IFERROR(__xludf.DUMMYFUNCTION("IF(E5360&lt;&gt;"""", GOOGLETRANSLATE(E5360, ""en"", ""te""),"""")"),"")</f>
        <v/>
      </c>
      <c r="G5360" s="2"/>
      <c r="H5360" s="2" t="str">
        <f>IFERROR(__xludf.DUMMYFUNCTION("IF(G5360&lt;&gt;"""", GOOGLETRANSLATE(G5360, ""en"", ""te""),"""")"),"")</f>
        <v/>
      </c>
      <c r="I5360" s="3"/>
    </row>
    <row r="5361" customHeight="1" spans="1:9">
      <c r="A5361" s="2"/>
      <c r="B5361" s="2" t="str">
        <f>IFERROR(__xludf.DUMMYFUNCTION("IF(A5361&lt;&gt;"""", GOOGLETRANSLATE(A5361, ""en"", ""te""),"""")"),"")</f>
        <v/>
      </c>
      <c r="C5361" s="2"/>
      <c r="D5361" s="2" t="str">
        <f>IFERROR(__xludf.DUMMYFUNCTION("IF(C5361&lt;&gt;"""", GOOGLETRANSLATE(C5361, ""en"", ""te""),"""")"),"")</f>
        <v/>
      </c>
      <c r="E5361" s="2"/>
      <c r="F5361" s="2" t="str">
        <f>IFERROR(__xludf.DUMMYFUNCTION("IF(E5361&lt;&gt;"""", GOOGLETRANSLATE(E5361, ""en"", ""te""),"""")"),"")</f>
        <v/>
      </c>
      <c r="G5361" s="2"/>
      <c r="H5361" s="2" t="str">
        <f>IFERROR(__xludf.DUMMYFUNCTION("IF(G5361&lt;&gt;"""", GOOGLETRANSLATE(G5361, ""en"", ""te""),"""")"),"")</f>
        <v/>
      </c>
      <c r="I5361" s="3"/>
    </row>
    <row r="5362" customHeight="1" spans="1:9">
      <c r="A5362" s="2"/>
      <c r="B5362" s="2" t="str">
        <f>IFERROR(__xludf.DUMMYFUNCTION("IF(A5362&lt;&gt;"""", GOOGLETRANSLATE(A5362, ""en"", ""te""),"""")"),"")</f>
        <v/>
      </c>
      <c r="C5362" s="2"/>
      <c r="D5362" s="2" t="str">
        <f>IFERROR(__xludf.DUMMYFUNCTION("IF(C5362&lt;&gt;"""", GOOGLETRANSLATE(C5362, ""en"", ""te""),"""")"),"")</f>
        <v/>
      </c>
      <c r="E5362" s="2"/>
      <c r="F5362" s="2" t="str">
        <f>IFERROR(__xludf.DUMMYFUNCTION("IF(E5362&lt;&gt;"""", GOOGLETRANSLATE(E5362, ""en"", ""te""),"""")"),"")</f>
        <v/>
      </c>
      <c r="G5362" s="2"/>
      <c r="H5362" s="2" t="str">
        <f>IFERROR(__xludf.DUMMYFUNCTION("IF(G5362&lt;&gt;"""", GOOGLETRANSLATE(G5362, ""en"", ""te""),"""")"),"")</f>
        <v/>
      </c>
      <c r="I5362" s="3"/>
    </row>
    <row r="5363" customHeight="1" spans="1:9">
      <c r="A5363" s="2" t="s">
        <v>3530</v>
      </c>
      <c r="B5363" s="2" t="str">
        <f>IFERROR(__xludf.DUMMYFUNCTION("IF(A5363&lt;&gt;"""", GOOGLETRANSLATE(A5363, ""en"", ""te""),"""")"),"[ '9 వ పిన్న ఆటగాడు పది వికెట్లు లో ఒక మ్యాచ్ (20y 44d) తీసుకోవాలని', 'బ్యాటింగ్ తెరవడం మరియు అదే మ్యాచ్ లో బౌలింగ్', 'ఇన్నింగ్స్ లో అత్యధిక పరుగులు 7 వ (బ్యాటింగ్ స్థానంలో ప్రకారం) (50)' 'ఇన్నింగ్స్ లో 7 వ అత్యధిక పరుగులు (బ్యాటింగ్ స్థానంలో ప్రకారం) (33"&amp;" *)' 'బ్యాటింగ్ తెరవడం మరియు అదే మ్యాచ్ లో బౌలింగ్',]")</f>
        <v>[ '9 వ పిన్న ఆటగాడు పది వికెట్లు లో ఒక మ్యాచ్ (20y 44d) తీసుకోవాలని', 'బ్యాటింగ్ తెరవడం మరియు అదే మ్యాచ్ లో బౌలింగ్', 'ఇన్నింగ్స్ లో అత్యధిక పరుగులు 7 వ (బ్యాటింగ్ స్థానంలో ప్రకారం) (50)' 'ఇన్నింగ్స్ లో 7 వ అత్యధిక పరుగులు (బ్యాటింగ్ స్థానంలో ప్రకారం) (33 *)' 'బ్యాటింగ్ తెరవడం మరియు అదే మ్యాచ్ లో బౌలింగ్',]</v>
      </c>
      <c r="C5363" s="2" t="s">
        <v>3531</v>
      </c>
      <c r="D5363" s="2" t="str">
        <f>IFERROR(__xludf.DUMMYFUNCTION("IF(C5363&lt;&gt;"""", GOOGLETRANSLATE(C5363, ""en"", ""te""),"""")"),"[ 'పది వికెట్లు లో ఒక మ్యాచ్ (20y 44d) తీసుకోవాలని 9 వ పిన్న ఆటగాడు' '37 వ పిన్న వయస్కుడిగా నిలిచాడు (20y 44d) ఐదు వికెట్లు-ఇన్-ఒక-ఇన్నింగ్స్ తీసుకోవాలని',]")</f>
        <v>[ 'పది వికెట్లు లో ఒక మ్యాచ్ (20y 44d) తీసుకోవాలని 9 వ పిన్న ఆటగాడు' '37 వ పిన్న వయస్కుడిగా నిలిచాడు (20y 44d) ఐదు వికెట్లు-ఇన్-ఒక-ఇన్నింగ్స్ తీసుకోవాలని',]</v>
      </c>
      <c r="E5363" s="2" t="s">
        <v>3532</v>
      </c>
      <c r="F5363" s="2" t="str">
        <f>IFERROR(__xludf.DUMMYFUNCTION("IF(E5363&lt;&gt;"""", GOOGLETRANSLATE(E5363, ""en"", ""te""),"""")"),"[ '38 వ అత్యధిక పరుగులు జీవితంలో వంద (1544) లేకుండా', '7 వ అత్యంత ఇన్నింగ్స్ లో (బ్యాటింగ్ స్థానం) పరుగులు (50)', 'ఒక క్యాలెండర్ సంవత్సరంలో 24 వ అత్యధిక వికెట్లు (47)', '43 వ అత్యంత ఐదు -wickets-ఇన్-ఒక-ఇన్నింగ్స్ కెరీర్లో (2) ',' ఐదు వికెట్ల లో-ఒక-ఇన్నింగ"&amp;"్స్ (20y 306d) ',' 25 వ బౌలర్ / బ్యాట్స్ కలయికలు (8) ',' 29th తీసుకోవాలని 20 వ పిన్న ఆటగాడు ఎక్కువ వికెట్లు తీసుకున్న ఎల్బిడబ్ల్యు (31) ',' ఫాస్టెస్ట్ 50 వికెట్లు 45 వ (31) ',' 12 వ 100 వికెట్లు వేగంగా (59) ',' 29th 150 వికెట్లు (106) '] వేగంగా")</f>
        <v>[ '38 వ అత్యధిక పరుగులు జీవితంలో వంద (1544) లేకుండా', '7 వ అత్యంత ఇన్నింగ్స్ లో (బ్యాటింగ్ స్థానం) పరుగులు (50)', 'ఒక క్యాలెండర్ సంవత్సరంలో 24 వ అత్యధిక వికెట్లు (47)', '43 వ అత్యంత ఐదు -wickets-ఇన్-ఒక-ఇన్నింగ్స్ కెరీర్లో (2) ',' ఐదు వికెట్ల లో-ఒక-ఇన్నింగ్స్ (20y 306d) ',' 25 వ బౌలర్ / బ్యాట్స్ కలయికలు (8) ',' 29th తీసుకోవాలని 20 వ పిన్న ఆటగాడు ఎక్కువ వికెట్లు తీసుకున్న ఎల్బిడబ్ల్యు (31) ',' ఫాస్టెస్ట్ 50 వికెట్లు 45 వ (31) ',' 12 వ 100 వికెట్లు వేగంగా (59) ',' 29th 150 వికెట్లు (106) '] వేగంగా</v>
      </c>
      <c r="G5363" s="2" t="s">
        <v>3533</v>
      </c>
      <c r="H5363" s="2" t="str">
        <f>IFERROR(__xludf.DUMMYFUNCTION("IF(G5363&lt;&gt;"""", GOOGLETRANSLATE(G5363, ""en"", ""te""),"""")"),"[ 'ఇన్నింగ్స్ లో 7 వ అత్యధిక పరుగులు (బ్యాటింగ్ స్థానంలో ప్రకారం) (33 *)', 'కెరీర్లో 47 వ లేవు బాతులు (14)', '48 వ అత్యధిక వికెట్లు తీసుకున్న బౌల్డ్ (10)']")</f>
        <v>[ 'ఇన్నింగ్స్ లో 7 వ అత్యధిక పరుగులు (బ్యాటింగ్ స్థానంలో ప్రకారం) (33 *)', 'కెరీర్లో 47 వ లేవు బాతులు (14)', '48 వ అత్యధిక వికెట్లు తీసుకున్న బౌల్డ్ (10)']</v>
      </c>
      <c r="I5363" s="3"/>
    </row>
    <row r="5364" customHeight="1" spans="1:9">
      <c r="A5364" s="2" t="s">
        <v>3534</v>
      </c>
      <c r="B5364" s="2" t="str">
        <f>IFERROR(__xludf.DUMMYFUNCTION("IF(A5364&lt;&gt;"""", GOOGLETRANSLATE(A5364, ""en"", ""te""),"""")"),"[ 'ఇన్నింగ్స్ లో 8 వ అత్యధిక పరుగులు (బ్యాటింగ్ స్థానంలో ప్రకారం) (123 *)', '8 వ అత్యధిక కెరీర్ సమ్మె రేటు (113.60)', 'తొమ్మిదవ వికెట్ (100) కోసం 7 వ అత్యధిక భాగస్వామ్యం']")</f>
        <v>[ 'ఇన్నింగ్స్ లో 8 వ అత్యధిక పరుగులు (బ్యాటింగ్ స్థానంలో ప్రకారం) (123 *)', '8 వ అత్యధిక కెరీర్ సమ్మె రేటు (113.60)', 'తొమ్మిదవ వికెట్ (100) కోసం 7 వ అత్యధిక భాగస్వామ్యం']</v>
      </c>
      <c r="C5364" s="2"/>
      <c r="D5364" s="2" t="str">
        <f>IFERROR(__xludf.DUMMYFUNCTION("IF(C5364&lt;&gt;"""", GOOGLETRANSLATE(C5364, ""en"", ""te""),"""")"),"")</f>
        <v/>
      </c>
      <c r="E5364" s="2" t="s">
        <v>3535</v>
      </c>
      <c r="F5364" s="2" t="str">
        <f>IFERROR(__xludf.DUMMYFUNCTION("IF(E5364&lt;&gt;"""", GOOGLETRANSLATE(E5364, ""en"", ""te""),"""")"),"[ 'ఇన్నింగ్స్ లో 8 వ అత్యధిక పరుగులు (బ్యాటింగ్ స్థానంలో ప్రకారం) (123 *)', '8 వ అత్యధిక కెరీర్ సమ్మె రేటు (113.60)', '44th ఎక్కువ సిక్స్ ఇన్నింగ్స్ లో (8)' ఆరవ వికెట్కు, '27th అత్యధిక భాగస్వామ్యం (133 *) ',' తొమ్మిదవ వికెట్కు 7 వ అత్యధిక భాగస్వామ్యం (100"&amp;") ']")</f>
        <v>[ 'ఇన్నింగ్స్ లో 8 వ అత్యధిక పరుగులు (బ్యాటింగ్ స్థానంలో ప్రకారం) (123 *)', '8 వ అత్యధిక కెరీర్ సమ్మె రేటు (113.60)', '44th ఎక్కువ సిక్స్ ఇన్నింగ్స్ లో (8)' ఆరవ వికెట్కు, '27th అత్యధిక భాగస్వామ్యం (133 *) ',' తొమ్మిదవ వికెట్కు 7 వ అత్యధిక భాగస్వామ్యం (100) ']</v>
      </c>
      <c r="G5364" s="2" t="s">
        <v>3536</v>
      </c>
      <c r="H5364" s="2" t="str">
        <f>IFERROR(__xludf.DUMMYFUNCTION("IF(G5364&lt;&gt;"""", GOOGLETRANSLATE(G5364, ""en"", ""te""),"""")"),"[ 'ఎనిమిదవ వికెట్కు 4 వ అత్యధిక భాగస్వామ్యం (59 *)']")</f>
        <v>[ 'ఎనిమిదవ వికెట్కు 4 వ అత్యధిక భాగస్వామ్యం (59 *)']</v>
      </c>
      <c r="I5364" s="3"/>
    </row>
    <row r="5365" customHeight="1" spans="1:9">
      <c r="A5365" s="2"/>
      <c r="B5365" s="2" t="str">
        <f>IFERROR(__xludf.DUMMYFUNCTION("IF(A5365&lt;&gt;"""", GOOGLETRANSLATE(A5365, ""en"", ""te""),"""")"),"")</f>
        <v/>
      </c>
      <c r="C5365" s="2"/>
      <c r="D5365" s="2" t="str">
        <f>IFERROR(__xludf.DUMMYFUNCTION("IF(C5365&lt;&gt;"""", GOOGLETRANSLATE(C5365, ""en"", ""te""),"""")"),"")</f>
        <v/>
      </c>
      <c r="E5365" s="2"/>
      <c r="F5365" s="2" t="str">
        <f>IFERROR(__xludf.DUMMYFUNCTION("IF(E5365&lt;&gt;"""", GOOGLETRANSLATE(E5365, ""en"", ""te""),"""")"),"")</f>
        <v/>
      </c>
      <c r="G5365" s="2"/>
      <c r="H5365" s="2" t="str">
        <f>IFERROR(__xludf.DUMMYFUNCTION("IF(G5365&lt;&gt;"""", GOOGLETRANSLATE(G5365, ""en"", ""te""),"""")"),"")</f>
        <v/>
      </c>
      <c r="I5365" s="3"/>
    </row>
    <row r="5366" customHeight="1" spans="1:9">
      <c r="A5366" s="2"/>
      <c r="B5366" s="2" t="str">
        <f>IFERROR(__xludf.DUMMYFUNCTION("IF(A5366&lt;&gt;"""", GOOGLETRANSLATE(A5366, ""en"", ""te""),"""")"),"")</f>
        <v/>
      </c>
      <c r="C5366" s="2"/>
      <c r="D5366" s="2" t="str">
        <f>IFERROR(__xludf.DUMMYFUNCTION("IF(C5366&lt;&gt;"""", GOOGLETRANSLATE(C5366, ""en"", ""te""),"""")"),"")</f>
        <v/>
      </c>
      <c r="E5366" s="2"/>
      <c r="F5366" s="2" t="str">
        <f>IFERROR(__xludf.DUMMYFUNCTION("IF(E5366&lt;&gt;"""", GOOGLETRANSLATE(E5366, ""en"", ""te""),"""")"),"")</f>
        <v/>
      </c>
      <c r="G5366" s="2"/>
      <c r="H5366" s="2" t="str">
        <f>IFERROR(__xludf.DUMMYFUNCTION("IF(G5366&lt;&gt;"""", GOOGLETRANSLATE(G5366, ""en"", ""te""),"""")"),"")</f>
        <v/>
      </c>
      <c r="I5366" s="3"/>
    </row>
    <row r="5367" customHeight="1" spans="1:9">
      <c r="A5367" s="2"/>
      <c r="B5367" s="2" t="str">
        <f>IFERROR(__xludf.DUMMYFUNCTION("IF(A5367&lt;&gt;"""", GOOGLETRANSLATE(A5367, ""en"", ""te""),"""")"),"")</f>
        <v/>
      </c>
      <c r="C5367" s="2"/>
      <c r="D5367" s="2" t="str">
        <f>IFERROR(__xludf.DUMMYFUNCTION("IF(C5367&lt;&gt;"""", GOOGLETRANSLATE(C5367, ""en"", ""te""),"""")"),"")</f>
        <v/>
      </c>
      <c r="E5367" s="2"/>
      <c r="F5367" s="2" t="str">
        <f>IFERROR(__xludf.DUMMYFUNCTION("IF(E5367&lt;&gt;"""", GOOGLETRANSLATE(E5367, ""en"", ""te""),"""")"),"")</f>
        <v/>
      </c>
      <c r="G5367" s="2"/>
      <c r="H5367" s="2" t="str">
        <f>IFERROR(__xludf.DUMMYFUNCTION("IF(G5367&lt;&gt;"""", GOOGLETRANSLATE(G5367, ""en"", ""te""),"""")"),"")</f>
        <v/>
      </c>
      <c r="I5367" s="3"/>
    </row>
    <row r="5368" customHeight="1" spans="1:9">
      <c r="A5368" s="2" t="s">
        <v>3537</v>
      </c>
      <c r="B5368" s="2" t="str">
        <f>IFERROR(__xludf.DUMMYFUNCTION("IF(A5368&lt;&gt;"""", GOOGLETRANSLATE(A5368, ""en"", ""te""),"""")"),"[ 'వరుస 5 వ అత్యధిక వికెట్లు (29)', '6 వ అత్యధిక వికెట్లు తీసుకున్న క్యాచ్ మరియు బౌల్డ్ (9)', '1 వ అత్యుత్తమ బౌలింగ్ ఇన్నింగ్స్ లో విశ్లేషించడం (2/0)', ​​ఒక ఇన్నింగ్స్ లో '1st ఉత్తమ ఆర్థిక రేటు ( 0.00) ',' 1 వ వరుస నాలుగు వికెట్లు-ఇన్-ఒక-ఇన్నింగ్స్ (2) ',"&amp;"' 1 వ అత్యధిక వికెట్లు తీసుకున్న స్టంప్ (18) ']")</f>
        <v>[ 'వరుస 5 వ అత్యధిక వికెట్లు (29)', '6 వ అత్యధిక వికెట్లు తీసుకున్న క్యాచ్ మరియు బౌల్డ్ (9)', '1 వ అత్యుత్తమ బౌలింగ్ ఇన్నింగ్స్ లో విశ్లేషించడం (2/0)', ​​ఒక ఇన్నింగ్స్ లో '1st ఉత్తమ ఆర్థిక రేటు ( 0.00) ',' 1 వ వరుస నాలుగు వికెట్లు-ఇన్-ఒక-ఇన్నింగ్స్ (2) ',' 1 వ అత్యధిక వికెట్లు తీసుకున్న స్టంప్ (18) ']</v>
      </c>
      <c r="C5368" s="2"/>
      <c r="D5368" s="2" t="str">
        <f>IFERROR(__xludf.DUMMYFUNCTION("IF(C5368&lt;&gt;"""", GOOGLETRANSLATE(C5368, ""en"", ""te""),"""")"),"")</f>
        <v/>
      </c>
      <c r="E5368" s="2" t="s">
        <v>3538</v>
      </c>
      <c r="F5368" s="2" t="str">
        <f>IFERROR(__xludf.DUMMYFUNCTION("IF(E5368&lt;&gt;"""", GOOGLETRANSLATE(E5368, ""en"", ""te""),"""")"),"[ '44 వ కెరీర్ లో అత్యధిక వికెట్లు (72)', '5 వ ఒక సిరీస్లో అత్యధిక వికెట్లు (29)', '45 వ ఉత్తమ కెరీర్ సమ్మె రేటు (36.1)', 'తొలి ఇన్నింగ్స్ 15 వ బెస్ట్ ఫిగర్స్ (3)', ' 25 అత్యంత నాలుగు వికెట్లు-ఇన్-ఒక-ఇన్నింగ్స్ కెరీర్లో (4) ',' 50 వ కెరీర్ లో సాధించిన అత్"&amp;"యధిక పరుగులు (1652) ',' 25 వ అత్యధిక వికెట్లు తీసుకున్న ఆకర్షించింది (50) ',' 6 వ అత్యధిక వికెట్లు క్యాచ్ మరియు బౌల్డ్ తీసుకున్న (9) ',' 23 వ అత్యధిక వికెట్లు ఒక ఫీల్డర్ చేత క్యాచ్ తీసుకున్న (43) ',' 16 వ అత్యధిక వికెట్లు తీసుకున్న స్టంప్ (11) ']")</f>
        <v>[ '44 వ కెరీర్ లో అత్యధిక వికెట్లు (72)', '5 వ ఒక సిరీస్లో అత్యధిక వికెట్లు (29)', '45 వ ఉత్తమ కెరీర్ సమ్మె రేటు (36.1)', 'తొలి ఇన్నింగ్స్ 15 వ బెస్ట్ ఫిగర్స్ (3)', ' 25 అత్యంత నాలుగు వికెట్లు-ఇన్-ఒక-ఇన్నింగ్స్ కెరీర్లో (4) ',' 50 వ కెరీర్ లో సాధించిన అత్యధిక పరుగులు (1652) ',' 25 వ అత్యధిక వికెట్లు తీసుకున్న ఆకర్షించింది (50) ',' 6 వ అత్యధిక వికెట్లు క్యాచ్ మరియు బౌల్డ్ తీసుకున్న (9) ',' 23 వ అత్యధిక వికెట్లు ఒక ఫీల్డర్ చేత క్యాచ్ తీసుకున్న (43) ',' 16 వ అత్యధిక వికెట్లు తీసుకున్న స్టంప్ (11) ']</v>
      </c>
      <c r="G5368" s="2" t="s">
        <v>3539</v>
      </c>
      <c r="H5368" s="2" t="str">
        <f>IFERROR(__xludf.DUMMYFUNCTION("IF(G5368&lt;&gt;"""", GOOGLETRANSLATE(G5368, ""en"", ""te""),"""")"),"[ 'కెరీర్లో 7 వ అత్యధిక వికెట్లు (95)', 'ఒక క్యాలెండర్ సంవత్సరంలో 3 వ అత్యధిక వికెట్లు (35)', '1 వ అత్యుత్తమ బౌలింగ్ ఇన్నింగ్స్ లో విశ్లేషించడం (2/0)', ​​'19 ఒకే మైదానంలో అత్యధిక వికెట్లు (10 ) ',' 5 వ ఒక ఇన్నింగ్స్ లోని బెస్ట్ ఫిగర్స్ ఉన్నప్పుడు పరాజయం "&amp;"వైపు (4) ',' 7 వ సగటు (14.52) ',' 38 వ ఉత్తమ కెరీర్ ఆర్థిక రేటు (5.65) ',' 4 వ ఉత్తమ కెరీర్ సమ్మె రేటు బౌలింగ్ ఉత్తమ వృత్తిని (15.4 ) ',' ఇన్నింగ్స్ లో 1 వ ఉత్తమ ఆర్థిక రేటు (0.00) ',' ఇన్నింగ్స్ లో 33 వ ఉత్తమ సమ్మె రేటు (4.0) ',' 12 వ అరంగేట్రంలోనే ఇన్న"&amp;"ింగ్స్ లోని బెస్ట్ ఫిగర్స్ (3) ',' 4 వ అత్యంత నాలుగు wickets- లో-ఒక-ఇన్నింగ్స్ కెరీర్లో (3) ',' 1 వ వరుస నాలుగు వికెట్లు-ఇన్-ఒక-ఇన్నింగ్స్ (2) ',' 14 వ కెరీర్ (1464) లో బౌల్డ్ చాలా బంతుల్లో ',' 15 వ అత్యధిక పరుగులు కెరీర్లో సాధించిన (1380) ',' 18 వ బౌలర్ "&amp;"/ బ్యాట్స్ కలయికలు (4) ',' 1 వ బౌలర్ / ఫీల్డర్ కలయికలు (17) ',' 27 వ అత్యధిక వికెట్లు తీసుకున్న బౌల్డ్ (14) ',' 5 వ అత్యధిక వికెట్లు తీసుకున్న ఆకర్షించింది (58) ',' 8 వ అత్యంత క్యాచ్ మరియు బౌల్డ్ తీసుకోబడిన వికెట్ల (5) ',' 5 వ అత్యధిక వికెట్లు ఒక ఫీల్డర్ "&amp;"చేత క్యాచ్ తీసుకున్న (51) ',' 12 వ అత్యధిక వికెట్లు ఒక wicketkee పట్టుకుంటే తీసుకున్న పర్ (7) ',' 1 వ అత్యధిక వికెట్లు బృందం స్టంప్ (18) ',' 42 వ వరుస మ్యాచ్లు తీసుకున్న (38) ',' 41 వ కెరీర్ పనికత్తెలయొద్ద (5) ',' 12 వ ఇన్నింగ్స్ లో వచ్చిన ఎక్కువ పనికత్తె"&amp;"లయొద్ద (2 ) ']")</f>
        <v>[ 'కెరీర్లో 7 వ అత్యధిక వికెట్లు (95)', 'ఒక క్యాలెండర్ సంవత్సరంలో 3 వ అత్యధిక వికెట్లు (35)', '1 వ అత్యుత్తమ బౌలింగ్ ఇన్నింగ్స్ లో విశ్లేషించడం (2/0)', ​​'19 ఒకే మైదానంలో అత్యధిక వికెట్లు (10 ) ',' 5 వ ఒక ఇన్నింగ్స్ లోని బెస్ట్ ఫిగర్స్ ఉన్నప్పుడు పరాజయం వైపు (4) ',' 7 వ సగటు (14.52) ',' 38 వ ఉత్తమ కెరీర్ ఆర్థిక రేటు (5.65) ',' 4 వ ఉత్తమ కెరీర్ సమ్మె రేటు బౌలింగ్ ఉత్తమ వృత్తిని (15.4 ) ',' ఇన్నింగ్స్ లో 1 వ ఉత్తమ ఆర్థిక రేటు (0.00) ',' ఇన్నింగ్స్ లో 33 వ ఉత్తమ సమ్మె రేటు (4.0) ',' 12 వ అరంగేట్రంలోనే ఇన్నింగ్స్ లోని బెస్ట్ ఫిగర్స్ (3) ',' 4 వ అత్యంత నాలుగు wickets- లో-ఒక-ఇన్నింగ్స్ కెరీర్లో (3) ',' 1 వ వరుస నాలుగు వికెట్లు-ఇన్-ఒక-ఇన్నింగ్స్ (2) ',' 14 వ కెరీర్ (1464) లో బౌల్డ్ చాలా బంతుల్లో ',' 15 వ అత్యధిక పరుగులు కెరీర్లో సాధించిన (1380) ',' 18 వ బౌలర్ / బ్యాట్స్ కలయికలు (4) ',' 1 వ బౌలర్ / ఫీల్డర్ కలయికలు (17) ',' 27 వ అత్యధిక వికెట్లు తీసుకున్న బౌల్డ్ (14) ',' 5 వ అత్యధిక వికెట్లు తీసుకున్న ఆకర్షించింది (58) ',' 8 వ అత్యంత క్యాచ్ మరియు బౌల్డ్ తీసుకోబడిన వికెట్ల (5) ',' 5 వ అత్యధిక వికెట్లు ఒక ఫీల్డర్ చేత క్యాచ్ తీసుకున్న (51) ',' 12 వ అత్యధిక వికెట్లు ఒక wicketkee పట్టుకుంటే తీసుకున్న పర్ (7) ',' 1 వ అత్యధిక వికెట్లు బృందం స్టంప్ (18) ',' 42 వ వరుస మ్యాచ్లు తీసుకున్న (38) ',' 41 వ కెరీర్ పనికత్తెలయొద్ద (5) ',' 12 వ ఇన్నింగ్స్ లో వచ్చిన ఎక్కువ పనికత్తెలయొద్ద (2 ) ']</v>
      </c>
      <c r="I5368" s="3"/>
    </row>
    <row r="5369" customHeight="1" spans="1:9">
      <c r="A5369" s="2"/>
      <c r="B5369" s="2" t="str">
        <f>IFERROR(__xludf.DUMMYFUNCTION("IF(A5369&lt;&gt;"""", GOOGLETRANSLATE(A5369, ""en"", ""te""),"""")"),"")</f>
        <v/>
      </c>
      <c r="C5369" s="2"/>
      <c r="D5369" s="2" t="str">
        <f>IFERROR(__xludf.DUMMYFUNCTION("IF(C5369&lt;&gt;"""", GOOGLETRANSLATE(C5369, ""en"", ""te""),"""")"),"")</f>
        <v/>
      </c>
      <c r="E5369" s="2"/>
      <c r="F5369" s="2" t="str">
        <f>IFERROR(__xludf.DUMMYFUNCTION("IF(E5369&lt;&gt;"""", GOOGLETRANSLATE(E5369, ""en"", ""te""),"""")"),"")</f>
        <v/>
      </c>
      <c r="G5369" s="2"/>
      <c r="H5369" s="2" t="str">
        <f>IFERROR(__xludf.DUMMYFUNCTION("IF(G5369&lt;&gt;"""", GOOGLETRANSLATE(G5369, ""en"", ""te""),"""")"),"")</f>
        <v/>
      </c>
      <c r="I5369" s="3"/>
    </row>
    <row r="5370" customHeight="1" spans="1:9">
      <c r="A5370" s="2"/>
      <c r="B5370" s="2" t="str">
        <f>IFERROR(__xludf.DUMMYFUNCTION("IF(A5370&lt;&gt;"""", GOOGLETRANSLATE(A5370, ""en"", ""te""),"""")"),"")</f>
        <v/>
      </c>
      <c r="C5370" s="2"/>
      <c r="D5370" s="2" t="str">
        <f>IFERROR(__xludf.DUMMYFUNCTION("IF(C5370&lt;&gt;"""", GOOGLETRANSLATE(C5370, ""en"", ""te""),"""")"),"")</f>
        <v/>
      </c>
      <c r="E5370" s="2"/>
      <c r="F5370" s="2" t="str">
        <f>IFERROR(__xludf.DUMMYFUNCTION("IF(E5370&lt;&gt;"""", GOOGLETRANSLATE(E5370, ""en"", ""te""),"""")"),"")</f>
        <v/>
      </c>
      <c r="G5370" s="2"/>
      <c r="H5370" s="2" t="str">
        <f>IFERROR(__xludf.DUMMYFUNCTION("IF(G5370&lt;&gt;"""", GOOGLETRANSLATE(G5370, ""en"", ""te""),"""")"),"")</f>
        <v/>
      </c>
      <c r="I5370" s="3"/>
    </row>
    <row r="5371" customHeight="1" spans="1:9">
      <c r="A5371" s="2"/>
      <c r="B5371" s="2" t="str">
        <f>IFERROR(__xludf.DUMMYFUNCTION("IF(A5371&lt;&gt;"""", GOOGLETRANSLATE(A5371, ""en"", ""te""),"""")"),"")</f>
        <v/>
      </c>
      <c r="C5371" s="2"/>
      <c r="D5371" s="2" t="str">
        <f>IFERROR(__xludf.DUMMYFUNCTION("IF(C5371&lt;&gt;"""", GOOGLETRANSLATE(C5371, ""en"", ""te""),"""")"),"")</f>
        <v/>
      </c>
      <c r="E5371" s="2"/>
      <c r="F5371" s="2" t="str">
        <f>IFERROR(__xludf.DUMMYFUNCTION("IF(E5371&lt;&gt;"""", GOOGLETRANSLATE(E5371, ""en"", ""te""),"""")"),"")</f>
        <v/>
      </c>
      <c r="G5371" s="2"/>
      <c r="H5371" s="2" t="str">
        <f>IFERROR(__xludf.DUMMYFUNCTION("IF(G5371&lt;&gt;"""", GOOGLETRANSLATE(G5371, ""en"", ""te""),"""")"),"")</f>
        <v/>
      </c>
      <c r="I5371" s="3"/>
    </row>
    <row r="5372" customHeight="1" spans="1:9">
      <c r="A5372" s="2"/>
      <c r="B5372" s="2" t="str">
        <f>IFERROR(__xludf.DUMMYFUNCTION("IF(A5372&lt;&gt;"""", GOOGLETRANSLATE(A5372, ""en"", ""te""),"""")"),"")</f>
        <v/>
      </c>
      <c r="C5372" s="2"/>
      <c r="D5372" s="2" t="str">
        <f>IFERROR(__xludf.DUMMYFUNCTION("IF(C5372&lt;&gt;"""", GOOGLETRANSLATE(C5372, ""en"", ""te""),"""")"),"")</f>
        <v/>
      </c>
      <c r="E5372" s="2"/>
      <c r="F5372" s="2" t="str">
        <f>IFERROR(__xludf.DUMMYFUNCTION("IF(E5372&lt;&gt;"""", GOOGLETRANSLATE(E5372, ""en"", ""te""),"""")"),"")</f>
        <v/>
      </c>
      <c r="G5372" s="2"/>
      <c r="H5372" s="2" t="str">
        <f>IFERROR(__xludf.DUMMYFUNCTION("IF(G5372&lt;&gt;"""", GOOGLETRANSLATE(G5372, ""en"", ""te""),"""")"),"")</f>
        <v/>
      </c>
      <c r="I5372" s="3"/>
    </row>
    <row r="5373" customHeight="1" spans="1:9">
      <c r="A5373" s="2" t="s">
        <v>3540</v>
      </c>
      <c r="B5373" s="2" t="str">
        <f>IFERROR(__xludf.DUMMYFUNCTION("IF(A5373&lt;&gt;"""", GOOGLETRANSLATE(A5373, ""en"", ""te""),"""")"),"[ 'వరుస 2nd అత్యంత స్టంపింగ్లు (6)']")</f>
        <v>[ 'వరుస 2nd అత్యంత స్టంపింగ్లు (6)']</v>
      </c>
      <c r="C5373" s="2"/>
      <c r="D5373" s="2" t="str">
        <f>IFERROR(__xludf.DUMMYFUNCTION("IF(C5373&lt;&gt;"""", GOOGLETRANSLATE(C5373, ""en"", ""te""),"""")"),"")</f>
        <v/>
      </c>
      <c r="E5373" s="2" t="s">
        <v>3541</v>
      </c>
      <c r="F5373" s="2" t="str">
        <f>IFERROR(__xludf.DUMMYFUNCTION("IF(E5373&lt;&gt;"""", GOOGLETRANSLATE(E5373, ""en"", ""te""),"""")"),"[ 'వరుస (6) లో 2 వ పెద్ద స్టంపింగ్లు' '25 వ అత్యధిక కెరీర్ లో స్టంపింగ్లు (15)',]")</f>
        <v>[ 'వరుస (6) లో 2 వ పెద్ద స్టంపింగ్లు' '25 వ అత్యధిక కెరీర్ లో స్టంపింగ్లు (15)',]</v>
      </c>
      <c r="G5373" s="2"/>
      <c r="H5373" s="2" t="str">
        <f>IFERROR(__xludf.DUMMYFUNCTION("IF(G5373&lt;&gt;"""", GOOGLETRANSLATE(G5373, ""en"", ""te""),"""")"),"")</f>
        <v/>
      </c>
      <c r="I5373" s="3"/>
    </row>
    <row r="5374" customHeight="1" spans="1:9">
      <c r="A5374" s="2"/>
      <c r="B5374" s="2" t="str">
        <f>IFERROR(__xludf.DUMMYFUNCTION("IF(A5374&lt;&gt;"""", GOOGLETRANSLATE(A5374, ""en"", ""te""),"""")"),"")</f>
        <v/>
      </c>
      <c r="C5374" s="2"/>
      <c r="D5374" s="2" t="str">
        <f>IFERROR(__xludf.DUMMYFUNCTION("IF(C5374&lt;&gt;"""", GOOGLETRANSLATE(C5374, ""en"", ""te""),"""")"),"")</f>
        <v/>
      </c>
      <c r="E5374" s="2"/>
      <c r="F5374" s="2" t="str">
        <f>IFERROR(__xludf.DUMMYFUNCTION("IF(E5374&lt;&gt;"""", GOOGLETRANSLATE(E5374, ""en"", ""te""),"""")"),"")</f>
        <v/>
      </c>
      <c r="G5374" s="2"/>
      <c r="H5374" s="2" t="str">
        <f>IFERROR(__xludf.DUMMYFUNCTION("IF(G5374&lt;&gt;"""", GOOGLETRANSLATE(G5374, ""en"", ""te""),"""")"),"")</f>
        <v/>
      </c>
      <c r="I5374" s="3"/>
    </row>
    <row r="5375" customHeight="1" spans="1:9">
      <c r="A5375" s="2"/>
      <c r="B5375" s="2" t="str">
        <f>IFERROR(__xludf.DUMMYFUNCTION("IF(A5375&lt;&gt;"""", GOOGLETRANSLATE(A5375, ""en"", ""te""),"""")"),"")</f>
        <v/>
      </c>
      <c r="C5375" s="2"/>
      <c r="D5375" s="2" t="str">
        <f>IFERROR(__xludf.DUMMYFUNCTION("IF(C5375&lt;&gt;"""", GOOGLETRANSLATE(C5375, ""en"", ""te""),"""")"),"")</f>
        <v/>
      </c>
      <c r="E5375" s="2"/>
      <c r="F5375" s="2" t="str">
        <f>IFERROR(__xludf.DUMMYFUNCTION("IF(E5375&lt;&gt;"""", GOOGLETRANSLATE(E5375, ""en"", ""te""),"""")"),"")</f>
        <v/>
      </c>
      <c r="G5375" s="2"/>
      <c r="H5375" s="2" t="str">
        <f>IFERROR(__xludf.DUMMYFUNCTION("IF(G5375&lt;&gt;"""", GOOGLETRANSLATE(G5375, ""en"", ""te""),"""")"),"")</f>
        <v/>
      </c>
      <c r="I5375" s="3"/>
    </row>
    <row r="5376" customHeight="1" spans="1:9">
      <c r="A5376" s="2"/>
      <c r="B5376" s="2" t="str">
        <f>IFERROR(__xludf.DUMMYFUNCTION("IF(A5376&lt;&gt;"""", GOOGLETRANSLATE(A5376, ""en"", ""te""),"""")"),"")</f>
        <v/>
      </c>
      <c r="C5376" s="2"/>
      <c r="D5376" s="2" t="str">
        <f>IFERROR(__xludf.DUMMYFUNCTION("IF(C5376&lt;&gt;"""", GOOGLETRANSLATE(C5376, ""en"", ""te""),"""")"),"")</f>
        <v/>
      </c>
      <c r="E5376" s="2"/>
      <c r="F5376" s="2" t="str">
        <f>IFERROR(__xludf.DUMMYFUNCTION("IF(E5376&lt;&gt;"""", GOOGLETRANSLATE(E5376, ""en"", ""te""),"""")"),"")</f>
        <v/>
      </c>
      <c r="G5376" s="2"/>
      <c r="H5376" s="2" t="str">
        <f>IFERROR(__xludf.DUMMYFUNCTION("IF(G5376&lt;&gt;"""", GOOGLETRANSLATE(G5376, ""en"", ""te""),"""")"),"")</f>
        <v/>
      </c>
      <c r="I5376" s="3"/>
    </row>
    <row r="5377" customHeight="1" spans="1:9">
      <c r="A5377" s="2"/>
      <c r="B5377" s="2" t="str">
        <f>IFERROR(__xludf.DUMMYFUNCTION("IF(A5377&lt;&gt;"""", GOOGLETRANSLATE(A5377, ""en"", ""te""),"""")"),"")</f>
        <v/>
      </c>
      <c r="C5377" s="2"/>
      <c r="D5377" s="2" t="str">
        <f>IFERROR(__xludf.DUMMYFUNCTION("IF(C5377&lt;&gt;"""", GOOGLETRANSLATE(C5377, ""en"", ""te""),"""")"),"")</f>
        <v/>
      </c>
      <c r="E5377" s="2"/>
      <c r="F5377" s="2" t="str">
        <f>IFERROR(__xludf.DUMMYFUNCTION("IF(E5377&lt;&gt;"""", GOOGLETRANSLATE(E5377, ""en"", ""te""),"""")"),"")</f>
        <v/>
      </c>
      <c r="G5377" s="2"/>
      <c r="H5377" s="2" t="str">
        <f>IFERROR(__xludf.DUMMYFUNCTION("IF(G5377&lt;&gt;"""", GOOGLETRANSLATE(G5377, ""en"", ""te""),"""")"),"")</f>
        <v/>
      </c>
      <c r="I5377" s="3"/>
    </row>
    <row r="5378" customHeight="1" spans="1:9">
      <c r="A5378" s="2"/>
      <c r="B5378" s="2" t="str">
        <f>IFERROR(__xludf.DUMMYFUNCTION("IF(A5378&lt;&gt;"""", GOOGLETRANSLATE(A5378, ""en"", ""te""),"""")"),"")</f>
        <v/>
      </c>
      <c r="C5378" s="2"/>
      <c r="D5378" s="2" t="str">
        <f>IFERROR(__xludf.DUMMYFUNCTION("IF(C5378&lt;&gt;"""", GOOGLETRANSLATE(C5378, ""en"", ""te""),"""")"),"")</f>
        <v/>
      </c>
      <c r="E5378" s="2"/>
      <c r="F5378" s="2" t="str">
        <f>IFERROR(__xludf.DUMMYFUNCTION("IF(E5378&lt;&gt;"""", GOOGLETRANSLATE(E5378, ""en"", ""te""),"""")"),"")</f>
        <v/>
      </c>
      <c r="G5378" s="2"/>
      <c r="H5378" s="2" t="str">
        <f>IFERROR(__xludf.DUMMYFUNCTION("IF(G5378&lt;&gt;"""", GOOGLETRANSLATE(G5378, ""en"", ""te""),"""")"),"")</f>
        <v/>
      </c>
      <c r="I5378" s="3"/>
    </row>
    <row r="5379" customHeight="1" spans="1:9">
      <c r="A5379" s="2"/>
      <c r="B5379" s="2" t="str">
        <f>IFERROR(__xludf.DUMMYFUNCTION("IF(A5379&lt;&gt;"""", GOOGLETRANSLATE(A5379, ""en"", ""te""),"""")"),"")</f>
        <v/>
      </c>
      <c r="C5379" s="2"/>
      <c r="D5379" s="2" t="str">
        <f>IFERROR(__xludf.DUMMYFUNCTION("IF(C5379&lt;&gt;"""", GOOGLETRANSLATE(C5379, ""en"", ""te""),"""")"),"")</f>
        <v/>
      </c>
      <c r="E5379" s="2"/>
      <c r="F5379" s="2" t="str">
        <f>IFERROR(__xludf.DUMMYFUNCTION("IF(E5379&lt;&gt;"""", GOOGLETRANSLATE(E5379, ""en"", ""te""),"""")"),"")</f>
        <v/>
      </c>
      <c r="G5379" s="2"/>
      <c r="H5379" s="2" t="str">
        <f>IFERROR(__xludf.DUMMYFUNCTION("IF(G5379&lt;&gt;"""", GOOGLETRANSLATE(G5379, ""en"", ""te""),"""")"),"")</f>
        <v/>
      </c>
      <c r="I5379" s="3"/>
    </row>
    <row r="5380" customHeight="1" spans="1:9">
      <c r="A5380" s="2"/>
      <c r="B5380" s="2" t="str">
        <f>IFERROR(__xludf.DUMMYFUNCTION("IF(A5380&lt;&gt;"""", GOOGLETRANSLATE(A5380, ""en"", ""te""),"""")"),"")</f>
        <v/>
      </c>
      <c r="C5380" s="2"/>
      <c r="D5380" s="2" t="str">
        <f>IFERROR(__xludf.DUMMYFUNCTION("IF(C5380&lt;&gt;"""", GOOGLETRANSLATE(C5380, ""en"", ""te""),"""")"),"")</f>
        <v/>
      </c>
      <c r="E5380" s="2"/>
      <c r="F5380" s="2" t="str">
        <f>IFERROR(__xludf.DUMMYFUNCTION("IF(E5380&lt;&gt;"""", GOOGLETRANSLATE(E5380, ""en"", ""te""),"""")"),"")</f>
        <v/>
      </c>
      <c r="G5380" s="2"/>
      <c r="H5380" s="2" t="str">
        <f>IFERROR(__xludf.DUMMYFUNCTION("IF(G5380&lt;&gt;"""", GOOGLETRANSLATE(G5380, ""en"", ""te""),"""")"),"")</f>
        <v/>
      </c>
      <c r="I5380" s="3"/>
    </row>
    <row r="5381" customHeight="1" spans="1:9">
      <c r="A5381" s="2"/>
      <c r="B5381" s="2" t="str">
        <f>IFERROR(__xludf.DUMMYFUNCTION("IF(A5381&lt;&gt;"""", GOOGLETRANSLATE(A5381, ""en"", ""te""),"""")"),"")</f>
        <v/>
      </c>
      <c r="C5381" s="2"/>
      <c r="D5381" s="2" t="str">
        <f>IFERROR(__xludf.DUMMYFUNCTION("IF(C5381&lt;&gt;"""", GOOGLETRANSLATE(C5381, ""en"", ""te""),"""")"),"")</f>
        <v/>
      </c>
      <c r="E5381" s="2"/>
      <c r="F5381" s="2" t="str">
        <f>IFERROR(__xludf.DUMMYFUNCTION("IF(E5381&lt;&gt;"""", GOOGLETRANSLATE(E5381, ""en"", ""te""),"""")"),"")</f>
        <v/>
      </c>
      <c r="G5381" s="2"/>
      <c r="H5381" s="2" t="str">
        <f>IFERROR(__xludf.DUMMYFUNCTION("IF(G5381&lt;&gt;"""", GOOGLETRANSLATE(G5381, ""en"", ""te""),"""")"),"")</f>
        <v/>
      </c>
      <c r="I5381" s="3"/>
    </row>
    <row r="5382" customHeight="1" spans="1:9">
      <c r="A5382" s="2"/>
      <c r="B5382" s="2" t="str">
        <f>IFERROR(__xludf.DUMMYFUNCTION("IF(A5382&lt;&gt;"""", GOOGLETRANSLATE(A5382, ""en"", ""te""),"""")"),"")</f>
        <v/>
      </c>
      <c r="C5382" s="2"/>
      <c r="D5382" s="2" t="str">
        <f>IFERROR(__xludf.DUMMYFUNCTION("IF(C5382&lt;&gt;"""", GOOGLETRANSLATE(C5382, ""en"", ""te""),"""")"),"")</f>
        <v/>
      </c>
      <c r="E5382" s="2"/>
      <c r="F5382" s="2" t="str">
        <f>IFERROR(__xludf.DUMMYFUNCTION("IF(E5382&lt;&gt;"""", GOOGLETRANSLATE(E5382, ""en"", ""te""),"""")"),"")</f>
        <v/>
      </c>
      <c r="G5382" s="2"/>
      <c r="H5382" s="2" t="str">
        <f>IFERROR(__xludf.DUMMYFUNCTION("IF(G5382&lt;&gt;"""", GOOGLETRANSLATE(G5382, ""en"", ""te""),"""")"),"")</f>
        <v/>
      </c>
      <c r="I5382" s="3"/>
    </row>
    <row r="5383" customHeight="1" spans="1:9">
      <c r="A5383" s="2"/>
      <c r="B5383" s="2" t="str">
        <f>IFERROR(__xludf.DUMMYFUNCTION("IF(A5383&lt;&gt;"""", GOOGLETRANSLATE(A5383, ""en"", ""te""),"""")"),"")</f>
        <v/>
      </c>
      <c r="C5383" s="2"/>
      <c r="D5383" s="2" t="str">
        <f>IFERROR(__xludf.DUMMYFUNCTION("IF(C5383&lt;&gt;"""", GOOGLETRANSLATE(C5383, ""en"", ""te""),"""")"),"")</f>
        <v/>
      </c>
      <c r="E5383" s="2"/>
      <c r="F5383" s="2" t="str">
        <f>IFERROR(__xludf.DUMMYFUNCTION("IF(E5383&lt;&gt;"""", GOOGLETRANSLATE(E5383, ""en"", ""te""),"""")"),"")</f>
        <v/>
      </c>
      <c r="G5383" s="2"/>
      <c r="H5383" s="2" t="str">
        <f>IFERROR(__xludf.DUMMYFUNCTION("IF(G5383&lt;&gt;"""", GOOGLETRANSLATE(G5383, ""en"", ""te""),"""")"),"")</f>
        <v/>
      </c>
      <c r="I5383" s="3"/>
    </row>
    <row r="5384" customHeight="1" spans="1:9">
      <c r="A5384" s="2"/>
      <c r="B5384" s="2" t="str">
        <f>IFERROR(__xludf.DUMMYFUNCTION("IF(A5384&lt;&gt;"""", GOOGLETRANSLATE(A5384, ""en"", ""te""),"""")"),"")</f>
        <v/>
      </c>
      <c r="C5384" s="2"/>
      <c r="D5384" s="2" t="str">
        <f>IFERROR(__xludf.DUMMYFUNCTION("IF(C5384&lt;&gt;"""", GOOGLETRANSLATE(C5384, ""en"", ""te""),"""")"),"")</f>
        <v/>
      </c>
      <c r="E5384" s="2"/>
      <c r="F5384" s="2" t="str">
        <f>IFERROR(__xludf.DUMMYFUNCTION("IF(E5384&lt;&gt;"""", GOOGLETRANSLATE(E5384, ""en"", ""te""),"""")"),"")</f>
        <v/>
      </c>
      <c r="G5384" s="2"/>
      <c r="H5384" s="2" t="str">
        <f>IFERROR(__xludf.DUMMYFUNCTION("IF(G5384&lt;&gt;"""", GOOGLETRANSLATE(G5384, ""en"", ""te""),"""")"),"")</f>
        <v/>
      </c>
      <c r="I5384" s="3"/>
    </row>
    <row r="5385" customHeight="1" spans="1:9">
      <c r="A5385" s="2"/>
      <c r="B5385" s="2" t="str">
        <f>IFERROR(__xludf.DUMMYFUNCTION("IF(A5385&lt;&gt;"""", GOOGLETRANSLATE(A5385, ""en"", ""te""),"""")"),"")</f>
        <v/>
      </c>
      <c r="C5385" s="2"/>
      <c r="D5385" s="2" t="str">
        <f>IFERROR(__xludf.DUMMYFUNCTION("IF(C5385&lt;&gt;"""", GOOGLETRANSLATE(C5385, ""en"", ""te""),"""")"),"")</f>
        <v/>
      </c>
      <c r="E5385" s="2"/>
      <c r="F5385" s="2" t="str">
        <f>IFERROR(__xludf.DUMMYFUNCTION("IF(E5385&lt;&gt;"""", GOOGLETRANSLATE(E5385, ""en"", ""te""),"""")"),"")</f>
        <v/>
      </c>
      <c r="G5385" s="2"/>
      <c r="H5385" s="2" t="str">
        <f>IFERROR(__xludf.DUMMYFUNCTION("IF(G5385&lt;&gt;"""", GOOGLETRANSLATE(G5385, ""en"", ""te""),"""")"),"")</f>
        <v/>
      </c>
      <c r="I5385" s="3"/>
    </row>
    <row r="5386" customHeight="1" spans="1:9">
      <c r="A5386" s="2" t="s">
        <v>3542</v>
      </c>
      <c r="B5386" s="2" t="str">
        <f>IFERROR(__xludf.DUMMYFUNCTION("IF(A5386&lt;&gt;"""", GOOGLETRANSLATE(A5386, ""en"", ""te""),"""")"),"[ 'రెండు దేశాలకు ప్రాతినిధ్యం', 'వరుస అన్ని టాస్ గెలిచి 8 వ (3)', 'హండ్రెడ్ ప్రవేశం (102) న', 'రెండు దేశాలకు ప్రాతినిధ్యం']")</f>
        <v>[ 'రెండు దేశాలకు ప్రాతినిధ్యం', 'వరుస అన్ని టాస్ గెలిచి 8 వ (3)', 'హండ్రెడ్ ప్రవేశం (102) న', 'రెండు దేశాలకు ప్రాతినిధ్యం']</v>
      </c>
      <c r="C5386" s="2" t="s">
        <v>3543</v>
      </c>
      <c r="D5386" s="2" t="str">
        <f>IFERROR(__xludf.DUMMYFUNCTION("IF(C5386&lt;&gt;"""", GOOGLETRANSLATE(C5386, ""en"", ""te""),"""")"),"[ 'ప్రదర్శనలు (12y 10d) మధ్య 10 వ లాంగెస్ట్ వ్యవధిలో', '8 వ వరుస అన్ని టాస్ గెలిచిన (3)', 'కెప్టెన్సీ ప్రవేశం (36y 98d) 38 ఓల్డెస్ట్ కెప్టెన్లు']")</f>
        <v>[ 'ప్రదర్శనలు (12y 10d) మధ్య 10 వ లాంగెస్ట్ వ్యవధిలో', '8 వ వరుస అన్ని టాస్ గెలిచిన (3)', 'కెప్టెన్సీ ప్రవేశం (36y 98d) 38 ఓల్డెస్ట్ కెప్టెన్లు']</v>
      </c>
      <c r="E5386" s="2"/>
      <c r="F5386" s="2" t="str">
        <f>IFERROR(__xludf.DUMMYFUNCTION("IF(E5386&lt;&gt;"""", GOOGLETRANSLATE(E5386, ""en"", ""te""),"""")"),"")</f>
        <v/>
      </c>
      <c r="G5386" s="2"/>
      <c r="H5386" s="2" t="str">
        <f>IFERROR(__xludf.DUMMYFUNCTION("IF(G5386&lt;&gt;"""", GOOGLETRANSLATE(G5386, ""en"", ""te""),"""")"),"")</f>
        <v/>
      </c>
      <c r="I5386" s="3"/>
    </row>
    <row r="5387" customHeight="1" spans="1:9">
      <c r="A5387" s="2"/>
      <c r="B5387" s="2" t="str">
        <f>IFERROR(__xludf.DUMMYFUNCTION("IF(A5387&lt;&gt;"""", GOOGLETRANSLATE(A5387, ""en"", ""te""),"""")"),"")</f>
        <v/>
      </c>
      <c r="C5387" s="2"/>
      <c r="D5387" s="2" t="str">
        <f>IFERROR(__xludf.DUMMYFUNCTION("IF(C5387&lt;&gt;"""", GOOGLETRANSLATE(C5387, ""en"", ""te""),"""")"),"")</f>
        <v/>
      </c>
      <c r="E5387" s="2"/>
      <c r="F5387" s="2" t="str">
        <f>IFERROR(__xludf.DUMMYFUNCTION("IF(E5387&lt;&gt;"""", GOOGLETRANSLATE(E5387, ""en"", ""te""),"""")"),"")</f>
        <v/>
      </c>
      <c r="G5387" s="2"/>
      <c r="H5387" s="2" t="str">
        <f>IFERROR(__xludf.DUMMYFUNCTION("IF(G5387&lt;&gt;"""", GOOGLETRANSLATE(G5387, ""en"", ""te""),"""")"),"")</f>
        <v/>
      </c>
      <c r="I5387" s="3"/>
    </row>
    <row r="5388" customHeight="1" spans="1:9">
      <c r="A5388" s="2"/>
      <c r="B5388" s="2" t="str">
        <f>IFERROR(__xludf.DUMMYFUNCTION("IF(A5388&lt;&gt;"""", GOOGLETRANSLATE(A5388, ""en"", ""te""),"""")"),"")</f>
        <v/>
      </c>
      <c r="C5388" s="2"/>
      <c r="D5388" s="2" t="str">
        <f>IFERROR(__xludf.DUMMYFUNCTION("IF(C5388&lt;&gt;"""", GOOGLETRANSLATE(C5388, ""en"", ""te""),"""")"),"")</f>
        <v/>
      </c>
      <c r="E5388" s="2"/>
      <c r="F5388" s="2" t="str">
        <f>IFERROR(__xludf.DUMMYFUNCTION("IF(E5388&lt;&gt;"""", GOOGLETRANSLATE(E5388, ""en"", ""te""),"""")"),"")</f>
        <v/>
      </c>
      <c r="G5388" s="2"/>
      <c r="H5388" s="2" t="str">
        <f>IFERROR(__xludf.DUMMYFUNCTION("IF(G5388&lt;&gt;"""", GOOGLETRANSLATE(G5388, ""en"", ""te""),"""")"),"")</f>
        <v/>
      </c>
      <c r="I5388" s="3"/>
    </row>
    <row r="5389" customHeight="1" spans="1:9">
      <c r="A5389" s="2" t="s">
        <v>3544</v>
      </c>
      <c r="B5389" s="2" t="str">
        <f>IFERROR(__xludf.DUMMYFUNCTION("IF(A5389&lt;&gt;"""", GOOGLETRANSLATE(A5389, ""en"", ""te""),"""")"),"[ '8 వ వరుస మ్యాచ్లు ఆడి (191) మధ్య ఒక జట్టుకు దూరమయ్యాడు' 'వరుస (5) 7 వ అత్యంత స్టంపింగ్లు']")</f>
        <v>[ '8 వ వరుస మ్యాచ్లు ఆడి (191) మధ్య ఒక జట్టుకు దూరమయ్యాడు' 'వరుస (5) 7 వ అత్యంత స్టంపింగ్లు']</v>
      </c>
      <c r="C5389" s="2" t="s">
        <v>3545</v>
      </c>
      <c r="D5389" s="2" t="str">
        <f>IFERROR(__xludf.DUMMYFUNCTION("IF(C5389&lt;&gt;"""", GOOGLETRANSLATE(C5389, ""en"", ""te""),"""")"),"[ 'బై (556) గూడా ఇవ్వకుండా 37 వ అత్యధిక ఇన్నింగ్స్ మొత్తం' '23 వ పిన్న క్రీడాకారులు (17y 152d)', '12 వ వరుస మ్యాచ్లు ప్రదర్శనల మధ్య బృందం (83) కోసం తప్పిన',]")</f>
        <v>[ 'బై (556) గూడా ఇవ్వకుండా 37 వ అత్యధిక ఇన్నింగ్స్ మొత్తం' '23 వ పిన్న క్రీడాకారులు (17y 152d)', '12 వ వరుస మ్యాచ్లు ప్రదర్శనల మధ్య బృందం (83) కోసం తప్పిన',]</v>
      </c>
      <c r="E5389" s="2" t="s">
        <v>3546</v>
      </c>
      <c r="F5389" s="2" t="str">
        <f>IFERROR(__xludf.DUMMYFUNCTION("IF(E5389&lt;&gt;"""", GOOGLETRANSLATE(E5389, ""en"", ""te""),"""")"),"[ '46 వ పిన్న క్రీడాకారులు (17y 301d)', '8 వ వరుస మ్యాచ్లు ఆడి (191) మధ్య ఒక జట్టుకు దూరమయ్యాడు', 'వరుస (5) 7 వ అత్యంత స్టంపింగ్లు']")</f>
        <v>[ '46 వ పిన్న క్రీడాకారులు (17y 301d)', '8 వ వరుస మ్యాచ్లు ఆడి (191) మధ్య ఒక జట్టుకు దూరమయ్యాడు', 'వరుస (5) 7 వ అత్యంత స్టంపింగ్లు']</v>
      </c>
      <c r="G5389" s="2"/>
      <c r="H5389" s="2" t="str">
        <f>IFERROR(__xludf.DUMMYFUNCTION("IF(G5389&lt;&gt;"""", GOOGLETRANSLATE(G5389, ""en"", ""te""),"""")"),"")</f>
        <v/>
      </c>
      <c r="I5389" s="3"/>
    </row>
    <row r="5390" customHeight="1" spans="1:9">
      <c r="A5390" s="2"/>
      <c r="B5390" s="2" t="str">
        <f>IFERROR(__xludf.DUMMYFUNCTION("IF(A5390&lt;&gt;"""", GOOGLETRANSLATE(A5390, ""en"", ""te""),"""")"),"")</f>
        <v/>
      </c>
      <c r="C5390" s="2" t="s">
        <v>3547</v>
      </c>
      <c r="D5390" s="2" t="str">
        <f>IFERROR(__xludf.DUMMYFUNCTION("IF(C5390&lt;&gt;"""", GOOGLETRANSLATE(C5390, ""en"", ""te""),"""")"),"[ '38 వ చెత్త కెరీర్ బౌలింగ్ సరాసరి (అర్హత లేకుండా) (146.00)']")</f>
        <v>[ '38 వ చెత్త కెరీర్ బౌలింగ్ సరాసరి (అర్హత లేకుండా) (146.00)']</v>
      </c>
      <c r="E5390" s="2"/>
      <c r="F5390" s="2" t="str">
        <f>IFERROR(__xludf.DUMMYFUNCTION("IF(E5390&lt;&gt;"""", GOOGLETRANSLATE(E5390, ""en"", ""te""),"""")"),"")</f>
        <v/>
      </c>
      <c r="G5390" s="2"/>
      <c r="H5390" s="2" t="str">
        <f>IFERROR(__xludf.DUMMYFUNCTION("IF(G5390&lt;&gt;"""", GOOGLETRANSLATE(G5390, ""en"", ""te""),"""")"),"")</f>
        <v/>
      </c>
      <c r="I5390" s="3"/>
    </row>
    <row r="5391" customHeight="1" spans="1:9">
      <c r="A5391" s="2"/>
      <c r="B5391" s="2" t="str">
        <f>IFERROR(__xludf.DUMMYFUNCTION("IF(A5391&lt;&gt;"""", GOOGLETRANSLATE(A5391, ""en"", ""te""),"""")"),"")</f>
        <v/>
      </c>
      <c r="C5391" s="2"/>
      <c r="D5391" s="2" t="str">
        <f>IFERROR(__xludf.DUMMYFUNCTION("IF(C5391&lt;&gt;"""", GOOGLETRANSLATE(C5391, ""en"", ""te""),"""")"),"")</f>
        <v/>
      </c>
      <c r="E5391" s="2"/>
      <c r="F5391" s="2" t="str">
        <f>IFERROR(__xludf.DUMMYFUNCTION("IF(E5391&lt;&gt;"""", GOOGLETRANSLATE(E5391, ""en"", ""te""),"""")"),"")</f>
        <v/>
      </c>
      <c r="G5391" s="2"/>
      <c r="H5391" s="2" t="str">
        <f>IFERROR(__xludf.DUMMYFUNCTION("IF(G5391&lt;&gt;"""", GOOGLETRANSLATE(G5391, ""en"", ""te""),"""")"),"")</f>
        <v/>
      </c>
      <c r="I5391" s="3"/>
    </row>
    <row r="5392" customHeight="1" spans="1:9">
      <c r="A5392" s="2"/>
      <c r="B5392" s="2" t="str">
        <f>IFERROR(__xludf.DUMMYFUNCTION("IF(A5392&lt;&gt;"""", GOOGLETRANSLATE(A5392, ""en"", ""te""),"""")"),"")</f>
        <v/>
      </c>
      <c r="C5392" s="2"/>
      <c r="D5392" s="2" t="str">
        <f>IFERROR(__xludf.DUMMYFUNCTION("IF(C5392&lt;&gt;"""", GOOGLETRANSLATE(C5392, ""en"", ""te""),"""")"),"")</f>
        <v/>
      </c>
      <c r="E5392" s="2"/>
      <c r="F5392" s="2" t="str">
        <f>IFERROR(__xludf.DUMMYFUNCTION("IF(E5392&lt;&gt;"""", GOOGLETRANSLATE(E5392, ""en"", ""te""),"""")"),"")</f>
        <v/>
      </c>
      <c r="G5392" s="2"/>
      <c r="H5392" s="2" t="str">
        <f>IFERROR(__xludf.DUMMYFUNCTION("IF(G5392&lt;&gt;"""", GOOGLETRANSLATE(G5392, ""en"", ""te""),"""")"),"")</f>
        <v/>
      </c>
      <c r="I5392" s="3"/>
    </row>
    <row r="5393" customHeight="1" spans="1:9">
      <c r="A5393" s="2"/>
      <c r="B5393" s="2" t="str">
        <f>IFERROR(__xludf.DUMMYFUNCTION("IF(A5393&lt;&gt;"""", GOOGLETRANSLATE(A5393, ""en"", ""te""),"""")"),"")</f>
        <v/>
      </c>
      <c r="C5393" s="2"/>
      <c r="D5393" s="2" t="str">
        <f>IFERROR(__xludf.DUMMYFUNCTION("IF(C5393&lt;&gt;"""", GOOGLETRANSLATE(C5393, ""en"", ""te""),"""")"),"")</f>
        <v/>
      </c>
      <c r="E5393" s="2"/>
      <c r="F5393" s="2" t="str">
        <f>IFERROR(__xludf.DUMMYFUNCTION("IF(E5393&lt;&gt;"""", GOOGLETRANSLATE(E5393, ""en"", ""te""),"""")"),"")</f>
        <v/>
      </c>
      <c r="G5393" s="2"/>
      <c r="H5393" s="2" t="str">
        <f>IFERROR(__xludf.DUMMYFUNCTION("IF(G5393&lt;&gt;"""", GOOGLETRANSLATE(G5393, ""en"", ""te""),"""")"),"")</f>
        <v/>
      </c>
      <c r="I5393" s="3"/>
    </row>
    <row r="5394" customHeight="1" spans="1:9">
      <c r="A5394" s="2"/>
      <c r="B5394" s="2" t="str">
        <f>IFERROR(__xludf.DUMMYFUNCTION("IF(A5394&lt;&gt;"""", GOOGLETRANSLATE(A5394, ""en"", ""te""),"""")"),"")</f>
        <v/>
      </c>
      <c r="C5394" s="2"/>
      <c r="D5394" s="2" t="str">
        <f>IFERROR(__xludf.DUMMYFUNCTION("IF(C5394&lt;&gt;"""", GOOGLETRANSLATE(C5394, ""en"", ""te""),"""")"),"")</f>
        <v/>
      </c>
      <c r="E5394" s="2"/>
      <c r="F5394" s="2" t="str">
        <f>IFERROR(__xludf.DUMMYFUNCTION("IF(E5394&lt;&gt;"""", GOOGLETRANSLATE(E5394, ""en"", ""te""),"""")"),"")</f>
        <v/>
      </c>
      <c r="G5394" s="2"/>
      <c r="H5394" s="2" t="str">
        <f>IFERROR(__xludf.DUMMYFUNCTION("IF(G5394&lt;&gt;"""", GOOGLETRANSLATE(G5394, ""en"", ""te""),"""")"),"")</f>
        <v/>
      </c>
      <c r="I5394" s="3"/>
    </row>
    <row r="5395" customHeight="1" spans="1:9">
      <c r="A5395" s="2"/>
      <c r="B5395" s="2" t="str">
        <f>IFERROR(__xludf.DUMMYFUNCTION("IF(A5395&lt;&gt;"""", GOOGLETRANSLATE(A5395, ""en"", ""te""),"""")"),"")</f>
        <v/>
      </c>
      <c r="C5395" s="2"/>
      <c r="D5395" s="2" t="str">
        <f>IFERROR(__xludf.DUMMYFUNCTION("IF(C5395&lt;&gt;"""", GOOGLETRANSLATE(C5395, ""en"", ""te""),"""")"),"")</f>
        <v/>
      </c>
      <c r="E5395" s="2"/>
      <c r="F5395" s="2" t="str">
        <f>IFERROR(__xludf.DUMMYFUNCTION("IF(E5395&lt;&gt;"""", GOOGLETRANSLATE(E5395, ""en"", ""te""),"""")"),"")</f>
        <v/>
      </c>
      <c r="G5395" s="2"/>
      <c r="H5395" s="2" t="str">
        <f>IFERROR(__xludf.DUMMYFUNCTION("IF(G5395&lt;&gt;"""", GOOGLETRANSLATE(G5395, ""en"", ""te""),"""")"),"")</f>
        <v/>
      </c>
      <c r="I5395" s="3"/>
    </row>
    <row r="5396" customHeight="1" spans="1:9">
      <c r="A5396" s="2"/>
      <c r="B5396" s="2" t="str">
        <f>IFERROR(__xludf.DUMMYFUNCTION("IF(A5396&lt;&gt;"""", GOOGLETRANSLATE(A5396, ""en"", ""te""),"""")"),"")</f>
        <v/>
      </c>
      <c r="C5396" s="2" t="s">
        <v>1575</v>
      </c>
      <c r="D5396" s="2" t="str">
        <f>IFERROR(__xludf.DUMMYFUNCTION("IF(C5396&lt;&gt;"""", GOOGLETRANSLATE(C5396, ""en"", ""te""),"""")"),"[ '24 ఒక ఇన్నింగ్స్ లోని బెస్ట్ ఫిగర్స్ ఉన్నప్పుడు పరాజయం వైపు (7)']")</f>
        <v>[ '24 ఒక ఇన్నింగ్స్ లోని బెస్ట్ ఫిగర్స్ ఉన్నప్పుడు పరాజయం వైపు (7)']</v>
      </c>
      <c r="E5396" s="2"/>
      <c r="F5396" s="2" t="str">
        <f>IFERROR(__xludf.DUMMYFUNCTION("IF(E5396&lt;&gt;"""", GOOGLETRANSLATE(E5396, ""en"", ""te""),"""")"),"")</f>
        <v/>
      </c>
      <c r="G5396" s="2"/>
      <c r="H5396" s="2" t="str">
        <f>IFERROR(__xludf.DUMMYFUNCTION("IF(G5396&lt;&gt;"""", GOOGLETRANSLATE(G5396, ""en"", ""te""),"""")"),"")</f>
        <v/>
      </c>
      <c r="I5396" s="3"/>
    </row>
    <row r="5397" customHeight="1" spans="1:9">
      <c r="A5397" s="2"/>
      <c r="B5397" s="2" t="str">
        <f>IFERROR(__xludf.DUMMYFUNCTION("IF(A5397&lt;&gt;"""", GOOGLETRANSLATE(A5397, ""en"", ""te""),"""")"),"")</f>
        <v/>
      </c>
      <c r="C5397" s="2"/>
      <c r="D5397" s="2" t="str">
        <f>IFERROR(__xludf.DUMMYFUNCTION("IF(C5397&lt;&gt;"""", GOOGLETRANSLATE(C5397, ""en"", ""te""),"""")"),"")</f>
        <v/>
      </c>
      <c r="E5397" s="2"/>
      <c r="F5397" s="2" t="str">
        <f>IFERROR(__xludf.DUMMYFUNCTION("IF(E5397&lt;&gt;"""", GOOGLETRANSLATE(E5397, ""en"", ""te""),"""")"),"")</f>
        <v/>
      </c>
      <c r="G5397" s="2"/>
      <c r="H5397" s="2" t="str">
        <f>IFERROR(__xludf.DUMMYFUNCTION("IF(G5397&lt;&gt;"""", GOOGLETRANSLATE(G5397, ""en"", ""te""),"""")"),"")</f>
        <v/>
      </c>
      <c r="I5397" s="3"/>
    </row>
    <row r="5398" customHeight="1" spans="1:9">
      <c r="A5398" s="2"/>
      <c r="B5398" s="2" t="str">
        <f>IFERROR(__xludf.DUMMYFUNCTION("IF(A5398&lt;&gt;"""", GOOGLETRANSLATE(A5398, ""en"", ""te""),"""")"),"")</f>
        <v/>
      </c>
      <c r="C5398" s="2"/>
      <c r="D5398" s="2" t="str">
        <f>IFERROR(__xludf.DUMMYFUNCTION("IF(C5398&lt;&gt;"""", GOOGLETRANSLATE(C5398, ""en"", ""te""),"""")"),"")</f>
        <v/>
      </c>
      <c r="E5398" s="2"/>
      <c r="F5398" s="2" t="str">
        <f>IFERROR(__xludf.DUMMYFUNCTION("IF(E5398&lt;&gt;"""", GOOGLETRANSLATE(E5398, ""en"", ""te""),"""")"),"")</f>
        <v/>
      </c>
      <c r="G5398" s="2"/>
      <c r="H5398" s="2" t="str">
        <f>IFERROR(__xludf.DUMMYFUNCTION("IF(G5398&lt;&gt;"""", GOOGLETRANSLATE(G5398, ""en"", ""te""),"""")"),"")</f>
        <v/>
      </c>
      <c r="I5398" s="3"/>
    </row>
    <row r="5399" customHeight="1" spans="1:9">
      <c r="A5399" s="2"/>
      <c r="B5399" s="2" t="str">
        <f>IFERROR(__xludf.DUMMYFUNCTION("IF(A5399&lt;&gt;"""", GOOGLETRANSLATE(A5399, ""en"", ""te""),"""")"),"")</f>
        <v/>
      </c>
      <c r="C5399" s="2"/>
      <c r="D5399" s="2" t="str">
        <f>IFERROR(__xludf.DUMMYFUNCTION("IF(C5399&lt;&gt;"""", GOOGLETRANSLATE(C5399, ""en"", ""te""),"""")"),"")</f>
        <v/>
      </c>
      <c r="E5399" s="2"/>
      <c r="F5399" s="2" t="str">
        <f>IFERROR(__xludf.DUMMYFUNCTION("IF(E5399&lt;&gt;"""", GOOGLETRANSLATE(E5399, ""en"", ""te""),"""")"),"")</f>
        <v/>
      </c>
      <c r="G5399" s="2"/>
      <c r="H5399" s="2" t="str">
        <f>IFERROR(__xludf.DUMMYFUNCTION("IF(G5399&lt;&gt;"""", GOOGLETRANSLATE(G5399, ""en"", ""te""),"""")"),"")</f>
        <v/>
      </c>
      <c r="I5399" s="3"/>
    </row>
    <row r="5400" customHeight="1" spans="1:9">
      <c r="A5400" s="2"/>
      <c r="B5400" s="2" t="str">
        <f>IFERROR(__xludf.DUMMYFUNCTION("IF(A5400&lt;&gt;"""", GOOGLETRANSLATE(A5400, ""en"", ""te""),"""")"),"")</f>
        <v/>
      </c>
      <c r="C5400" s="2"/>
      <c r="D5400" s="2" t="str">
        <f>IFERROR(__xludf.DUMMYFUNCTION("IF(C5400&lt;&gt;"""", GOOGLETRANSLATE(C5400, ""en"", ""te""),"""")"),"")</f>
        <v/>
      </c>
      <c r="E5400" s="2"/>
      <c r="F5400" s="2" t="str">
        <f>IFERROR(__xludf.DUMMYFUNCTION("IF(E5400&lt;&gt;"""", GOOGLETRANSLATE(E5400, ""en"", ""te""),"""")"),"")</f>
        <v/>
      </c>
      <c r="G5400" s="2"/>
      <c r="H5400" s="2" t="str">
        <f>IFERROR(__xludf.DUMMYFUNCTION("IF(G5400&lt;&gt;"""", GOOGLETRANSLATE(G5400, ""en"", ""te""),"""")"),"")</f>
        <v/>
      </c>
      <c r="I5400" s="3"/>
    </row>
    <row r="5401" customHeight="1" spans="1:9">
      <c r="A5401" s="2"/>
      <c r="B5401" s="2" t="str">
        <f>IFERROR(__xludf.DUMMYFUNCTION("IF(A5401&lt;&gt;"""", GOOGLETRANSLATE(A5401, ""en"", ""te""),"""")"),"")</f>
        <v/>
      </c>
      <c r="C5401" s="2"/>
      <c r="D5401" s="2" t="str">
        <f>IFERROR(__xludf.DUMMYFUNCTION("IF(C5401&lt;&gt;"""", GOOGLETRANSLATE(C5401, ""en"", ""te""),"""")"),"")</f>
        <v/>
      </c>
      <c r="E5401" s="2"/>
      <c r="F5401" s="2" t="str">
        <f>IFERROR(__xludf.DUMMYFUNCTION("IF(E5401&lt;&gt;"""", GOOGLETRANSLATE(E5401, ""en"", ""te""),"""")"),"")</f>
        <v/>
      </c>
      <c r="G5401" s="2"/>
      <c r="H5401" s="2" t="str">
        <f>IFERROR(__xludf.DUMMYFUNCTION("IF(G5401&lt;&gt;"""", GOOGLETRANSLATE(G5401, ""en"", ""te""),"""")"),"")</f>
        <v/>
      </c>
      <c r="I5401" s="3"/>
    </row>
    <row r="5402" customHeight="1" spans="1:9">
      <c r="A5402" s="2"/>
      <c r="B5402" s="2" t="str">
        <f>IFERROR(__xludf.DUMMYFUNCTION("IF(A5402&lt;&gt;"""", GOOGLETRANSLATE(A5402, ""en"", ""te""),"""")"),"")</f>
        <v/>
      </c>
      <c r="C5402" s="2"/>
      <c r="D5402" s="2" t="str">
        <f>IFERROR(__xludf.DUMMYFUNCTION("IF(C5402&lt;&gt;"""", GOOGLETRANSLATE(C5402, ""en"", ""te""),"""")"),"")</f>
        <v/>
      </c>
      <c r="E5402" s="2"/>
      <c r="F5402" s="2" t="str">
        <f>IFERROR(__xludf.DUMMYFUNCTION("IF(E5402&lt;&gt;"""", GOOGLETRANSLATE(E5402, ""en"", ""te""),"""")"),"")</f>
        <v/>
      </c>
      <c r="G5402" s="2"/>
      <c r="H5402" s="2" t="str">
        <f>IFERROR(__xludf.DUMMYFUNCTION("IF(G5402&lt;&gt;"""", GOOGLETRANSLATE(G5402, ""en"", ""te""),"""")"),"")</f>
        <v/>
      </c>
      <c r="I5402" s="3"/>
    </row>
    <row r="5403" customHeight="1" spans="1:9">
      <c r="A5403" s="2"/>
      <c r="B5403" s="2" t="str">
        <f>IFERROR(__xludf.DUMMYFUNCTION("IF(A5403&lt;&gt;"""", GOOGLETRANSLATE(A5403, ""en"", ""te""),"""")"),"")</f>
        <v/>
      </c>
      <c r="C5403" s="2"/>
      <c r="D5403" s="2" t="str">
        <f>IFERROR(__xludf.DUMMYFUNCTION("IF(C5403&lt;&gt;"""", GOOGLETRANSLATE(C5403, ""en"", ""te""),"""")"),"")</f>
        <v/>
      </c>
      <c r="E5403" s="2"/>
      <c r="F5403" s="2" t="str">
        <f>IFERROR(__xludf.DUMMYFUNCTION("IF(E5403&lt;&gt;"""", GOOGLETRANSLATE(E5403, ""en"", ""te""),"""")"),"")</f>
        <v/>
      </c>
      <c r="G5403" s="2"/>
      <c r="H5403" s="2" t="str">
        <f>IFERROR(__xludf.DUMMYFUNCTION("IF(G5403&lt;&gt;"""", GOOGLETRANSLATE(G5403, ""en"", ""te""),"""")"),"")</f>
        <v/>
      </c>
      <c r="I5403" s="3"/>
    </row>
    <row r="5404" customHeight="1" spans="1:9">
      <c r="A5404" s="2"/>
      <c r="B5404" s="2" t="str">
        <f>IFERROR(__xludf.DUMMYFUNCTION("IF(A5404&lt;&gt;"""", GOOGLETRANSLATE(A5404, ""en"", ""te""),"""")"),"")</f>
        <v/>
      </c>
      <c r="C5404" s="2" t="s">
        <v>3548</v>
      </c>
      <c r="D5404" s="2" t="str">
        <f>IFERROR(__xludf.DUMMYFUNCTION("IF(C5404&lt;&gt;"""", GOOGLETRANSLATE(C5404, ""en"", ""te""),"""")"),"[40 వ మ్యాచ్ లో బెస్ట్ ఫిగర్స్ పరాజయం వైపు (10) పై ఉన్నప్పుడు ']")</f>
        <v>[40 వ మ్యాచ్ లో బెస్ట్ ఫిగర్స్ పరాజయం వైపు (10) పై ఉన్నప్పుడు ']</v>
      </c>
      <c r="E5404" s="2" t="s">
        <v>3549</v>
      </c>
      <c r="F5404" s="2" t="str">
        <f>IFERROR(__xludf.DUMMYFUNCTION("IF(E5404&lt;&gt;"""", GOOGLETRANSLATE(E5404, ""en"", ""te""),"""")"),"[ 'కెరీర్లో 40 వ అత్యధిక వికెట్లు (196)', 'ఒక క్యాలెండర్ సంవత్సరంలో 27 అత్యధిక వికెట్లు (46)', 'ఒకే మైదానంలో 33 వ అత్యధిక వికెట్లు (37)', '39 వ కెరీర్ లో బౌల్డ్ చాలా బంతుల్లో (8129)', 'కెరీర్ లో సాధించిన 36 వ అత్యధిక పరుగులు (6332)', '25 వ బౌలర్ / బ్యాట్"&amp;"స్ కలయికలు (8)', '33 వ బౌలర్ / ఫీల్డర్ కలయికలు (28)', '29 వ అత్యధిక వికెట్లు తీసుకున్న ఆకర్షించింది (147)', '32 వ అత్యధిక వికెట్లు తీసుకున్న ఒక ఫీల్డర్ చేత క్యాచ్ (101) ',' 24 వ అత్యధిక వికెట్లు సాధించిన వికెట్కీపర్గా (46) పట్టుకుంటే తీసిన]")</f>
        <v>[ 'కెరీర్లో 40 వ అత్యధిక వికెట్లు (196)', 'ఒక క్యాలెండర్ సంవత్సరంలో 27 అత్యధిక వికెట్లు (46)', 'ఒకే మైదానంలో 33 వ అత్యధిక వికెట్లు (37)', '39 వ కెరీర్ లో బౌల్డ్ చాలా బంతుల్లో (8129)', 'కెరీర్ లో సాధించిన 36 వ అత్యధిక పరుగులు (6332)', '25 వ బౌలర్ / బ్యాట్స్ కలయికలు (8)', '33 వ బౌలర్ / ఫీల్డర్ కలయికలు (28)', '29 వ అత్యధిక వికెట్లు తీసుకున్న ఆకర్షించింది (147)', '32 వ అత్యధిక వికెట్లు తీసుకున్న ఒక ఫీల్డర్ చేత క్యాచ్ (101) ',' 24 వ అత్యధిక వికెట్లు సాధించిన వికెట్కీపర్గా (46) పట్టుకుంటే తీసిన]</v>
      </c>
      <c r="G5404" s="2"/>
      <c r="H5404" s="2" t="str">
        <f>IFERROR(__xludf.DUMMYFUNCTION("IF(G5404&lt;&gt;"""", GOOGLETRANSLATE(G5404, ""en"", ""te""),"""")"),"")</f>
        <v/>
      </c>
      <c r="I5404" s="3"/>
    </row>
    <row r="5405" customHeight="1" spans="1:9">
      <c r="A5405" s="2"/>
      <c r="B5405" s="2" t="str">
        <f>IFERROR(__xludf.DUMMYFUNCTION("IF(A5405&lt;&gt;"""", GOOGLETRANSLATE(A5405, ""en"", ""te""),"""")"),"")</f>
        <v/>
      </c>
      <c r="C5405" s="2"/>
      <c r="D5405" s="2" t="str">
        <f>IFERROR(__xludf.DUMMYFUNCTION("IF(C5405&lt;&gt;"""", GOOGLETRANSLATE(C5405, ""en"", ""te""),"""")"),"")</f>
        <v/>
      </c>
      <c r="E5405" s="2"/>
      <c r="F5405" s="2" t="str">
        <f>IFERROR(__xludf.DUMMYFUNCTION("IF(E5405&lt;&gt;"""", GOOGLETRANSLATE(E5405, ""en"", ""te""),"""")"),"")</f>
        <v/>
      </c>
      <c r="G5405" s="2"/>
      <c r="H5405" s="2" t="str">
        <f>IFERROR(__xludf.DUMMYFUNCTION("IF(G5405&lt;&gt;"""", GOOGLETRANSLATE(G5405, ""en"", ""te""),"""")"),"")</f>
        <v/>
      </c>
      <c r="I5405" s="3"/>
    </row>
    <row r="5406" customHeight="1" spans="1:9">
      <c r="A5406" s="2"/>
      <c r="B5406" s="2" t="str">
        <f>IFERROR(__xludf.DUMMYFUNCTION("IF(A5406&lt;&gt;"""", GOOGLETRANSLATE(A5406, ""en"", ""te""),"""")"),"")</f>
        <v/>
      </c>
      <c r="C5406" s="2"/>
      <c r="D5406" s="2" t="str">
        <f>IFERROR(__xludf.DUMMYFUNCTION("IF(C5406&lt;&gt;"""", GOOGLETRANSLATE(C5406, ""en"", ""te""),"""")"),"")</f>
        <v/>
      </c>
      <c r="E5406" s="2"/>
      <c r="F5406" s="2" t="str">
        <f>IFERROR(__xludf.DUMMYFUNCTION("IF(E5406&lt;&gt;"""", GOOGLETRANSLATE(E5406, ""en"", ""te""),"""")"),"")</f>
        <v/>
      </c>
      <c r="G5406" s="2"/>
      <c r="H5406" s="2" t="str">
        <f>IFERROR(__xludf.DUMMYFUNCTION("IF(G5406&lt;&gt;"""", GOOGLETRANSLATE(G5406, ""en"", ""te""),"""")"),"")</f>
        <v/>
      </c>
      <c r="I5406" s="3"/>
    </row>
    <row r="5407" customHeight="1" spans="1:9">
      <c r="A5407" s="2"/>
      <c r="B5407" s="2" t="str">
        <f>IFERROR(__xludf.DUMMYFUNCTION("IF(A5407&lt;&gt;"""", GOOGLETRANSLATE(A5407, ""en"", ""te""),"""")"),"")</f>
        <v/>
      </c>
      <c r="C5407" s="2"/>
      <c r="D5407" s="2" t="str">
        <f>IFERROR(__xludf.DUMMYFUNCTION("IF(C5407&lt;&gt;"""", GOOGLETRANSLATE(C5407, ""en"", ""te""),"""")"),"")</f>
        <v/>
      </c>
      <c r="E5407" s="2"/>
      <c r="F5407" s="2" t="str">
        <f>IFERROR(__xludf.DUMMYFUNCTION("IF(E5407&lt;&gt;"""", GOOGLETRANSLATE(E5407, ""en"", ""te""),"""")"),"")</f>
        <v/>
      </c>
      <c r="G5407" s="2"/>
      <c r="H5407" s="2" t="str">
        <f>IFERROR(__xludf.DUMMYFUNCTION("IF(G5407&lt;&gt;"""", GOOGLETRANSLATE(G5407, ""en"", ""te""),"""")"),"")</f>
        <v/>
      </c>
      <c r="I5407" s="3"/>
    </row>
    <row r="5408" customHeight="1" spans="1:9">
      <c r="A5408" s="2"/>
      <c r="B5408" s="2" t="str">
        <f>IFERROR(__xludf.DUMMYFUNCTION("IF(A5408&lt;&gt;"""", GOOGLETRANSLATE(A5408, ""en"", ""te""),"""")"),"")</f>
        <v/>
      </c>
      <c r="C5408" s="2"/>
      <c r="D5408" s="2" t="str">
        <f>IFERROR(__xludf.DUMMYFUNCTION("IF(C5408&lt;&gt;"""", GOOGLETRANSLATE(C5408, ""en"", ""te""),"""")"),"")</f>
        <v/>
      </c>
      <c r="E5408" s="2"/>
      <c r="F5408" s="2" t="str">
        <f>IFERROR(__xludf.DUMMYFUNCTION("IF(E5408&lt;&gt;"""", GOOGLETRANSLATE(E5408, ""en"", ""te""),"""")"),"")</f>
        <v/>
      </c>
      <c r="G5408" s="2"/>
      <c r="H5408" s="2" t="str">
        <f>IFERROR(__xludf.DUMMYFUNCTION("IF(G5408&lt;&gt;"""", GOOGLETRANSLATE(G5408, ""en"", ""te""),"""")"),"")</f>
        <v/>
      </c>
      <c r="I5408" s="3"/>
    </row>
    <row r="5409" customHeight="1" spans="1:9">
      <c r="A5409" s="2" t="s">
        <v>3550</v>
      </c>
      <c r="B5409" s="2" t="str">
        <f>IFERROR(__xludf.DUMMYFUNCTION("IF(A5409&lt;&gt;"""", GOOGLETRANSLATE(A5409, ""en"", ""te""),"""")"),"[ '3 వ కెరీర్ (38) వెనుదిరిగాడు']")</f>
        <v>[ '3 వ కెరీర్ (38) వెనుదిరిగాడు']</v>
      </c>
      <c r="C5409" s="2" t="s">
        <v>3550</v>
      </c>
      <c r="D5409" s="2" t="str">
        <f>IFERROR(__xludf.DUMMYFUNCTION("IF(C5409&lt;&gt;"""", GOOGLETRANSLATE(C5409, ""en"", ""te""),"""")"),"[ '3 వ కెరీర్ (38) వెనుదిరిగాడు']")</f>
        <v>[ '3 వ కెరీర్ (38) వెనుదిరిగాడు']</v>
      </c>
      <c r="E5409" s="2" t="s">
        <v>3551</v>
      </c>
      <c r="F5409" s="2" t="str">
        <f>IFERROR(__xludf.DUMMYFUNCTION("IF(E5409&lt;&gt;"""", GOOGLETRANSLATE(E5409, ""en"", ""te""),"""")"),"[ '27 తొలి మ్యాచ్లో అత్యధిక పరుగులు (82)']")</f>
        <v>[ '27 తొలి మ్యాచ్లో అత్యధిక పరుగులు (82)']</v>
      </c>
      <c r="G5409" s="2"/>
      <c r="H5409" s="2" t="str">
        <f>IFERROR(__xludf.DUMMYFUNCTION("IF(G5409&lt;&gt;"""", GOOGLETRANSLATE(G5409, ""en"", ""te""),"""")"),"")</f>
        <v/>
      </c>
      <c r="I5409" s="3"/>
    </row>
    <row r="5410" customHeight="1" spans="1:9">
      <c r="A5410" s="2"/>
      <c r="B5410" s="2" t="str">
        <f>IFERROR(__xludf.DUMMYFUNCTION("IF(A5410&lt;&gt;"""", GOOGLETRANSLATE(A5410, ""en"", ""te""),"""")"),"")</f>
        <v/>
      </c>
      <c r="C5410" s="2"/>
      <c r="D5410" s="2" t="str">
        <f>IFERROR(__xludf.DUMMYFUNCTION("IF(C5410&lt;&gt;"""", GOOGLETRANSLATE(C5410, ""en"", ""te""),"""")"),"")</f>
        <v/>
      </c>
      <c r="E5410" s="2"/>
      <c r="F5410" s="2" t="str">
        <f>IFERROR(__xludf.DUMMYFUNCTION("IF(E5410&lt;&gt;"""", GOOGLETRANSLATE(E5410, ""en"", ""te""),"""")"),"")</f>
        <v/>
      </c>
      <c r="G5410" s="2"/>
      <c r="H5410" s="2" t="str">
        <f>IFERROR(__xludf.DUMMYFUNCTION("IF(G5410&lt;&gt;"""", GOOGLETRANSLATE(G5410, ""en"", ""te""),"""")"),"")</f>
        <v/>
      </c>
      <c r="I5410" s="3"/>
    </row>
    <row r="5411" customHeight="1" spans="1:9">
      <c r="A5411" s="2"/>
      <c r="B5411" s="2" t="str">
        <f>IFERROR(__xludf.DUMMYFUNCTION("IF(A5411&lt;&gt;"""", GOOGLETRANSLATE(A5411, ""en"", ""te""),"""")"),"")</f>
        <v/>
      </c>
      <c r="C5411" s="2"/>
      <c r="D5411" s="2" t="str">
        <f>IFERROR(__xludf.DUMMYFUNCTION("IF(C5411&lt;&gt;"""", GOOGLETRANSLATE(C5411, ""en"", ""te""),"""")"),"")</f>
        <v/>
      </c>
      <c r="E5411" s="2" t="s">
        <v>3552</v>
      </c>
      <c r="F5411" s="2" t="str">
        <f>IFERROR(__xludf.DUMMYFUNCTION("IF(E5411&lt;&gt;"""", GOOGLETRANSLATE(E5411, ""en"", ""te""),"""")"),"[ '14 వ ఉత్తమ కెరీర్ బౌలింగ్ సరాసరి (అర్హత లేకుండా) (10.00)']")</f>
        <v>[ '14 వ ఉత్తమ కెరీర్ బౌలింగ్ సరాసరి (అర్హత లేకుండా) (10.00)']</v>
      </c>
      <c r="G5411" s="2"/>
      <c r="H5411" s="2" t="str">
        <f>IFERROR(__xludf.DUMMYFUNCTION("IF(G5411&lt;&gt;"""", GOOGLETRANSLATE(G5411, ""en"", ""te""),"""")"),"")</f>
        <v/>
      </c>
      <c r="I5411" s="3"/>
    </row>
    <row r="5412" customHeight="1" spans="1:9">
      <c r="A5412" s="2"/>
      <c r="B5412" s="2" t="str">
        <f>IFERROR(__xludf.DUMMYFUNCTION("IF(A5412&lt;&gt;"""", GOOGLETRANSLATE(A5412, ""en"", ""te""),"""")"),"")</f>
        <v/>
      </c>
      <c r="C5412" s="2"/>
      <c r="D5412" s="2" t="str">
        <f>IFERROR(__xludf.DUMMYFUNCTION("IF(C5412&lt;&gt;"""", GOOGLETRANSLATE(C5412, ""en"", ""te""),"""")"),"")</f>
        <v/>
      </c>
      <c r="E5412" s="2"/>
      <c r="F5412" s="2" t="str">
        <f>IFERROR(__xludf.DUMMYFUNCTION("IF(E5412&lt;&gt;"""", GOOGLETRANSLATE(E5412, ""en"", ""te""),"""")"),"")</f>
        <v/>
      </c>
      <c r="G5412" s="2"/>
      <c r="H5412" s="2" t="str">
        <f>IFERROR(__xludf.DUMMYFUNCTION("IF(G5412&lt;&gt;"""", GOOGLETRANSLATE(G5412, ""en"", ""te""),"""")"),"")</f>
        <v/>
      </c>
      <c r="I5412" s="3"/>
    </row>
    <row r="5413" customHeight="1" spans="1:9">
      <c r="A5413" s="2" t="s">
        <v>3553</v>
      </c>
      <c r="B5413" s="2" t="str">
        <f>IFERROR(__xludf.DUMMYFUNCTION("IF(A5413&lt;&gt;"""", GOOGLETRANSLATE(A5413, ""en"", ""te""),"""")"),"[ '6 వ అత్యధిక కెరీర్ బ్యాటింగ్ సగటు (44.31)', 'ఐదవ వికెట్కు 5 వ అత్యధిక భాగస్వామ్యం (98 *)']")</f>
        <v>[ '6 వ అత్యధిక కెరీర్ బ్యాటింగ్ సగటు (44.31)', 'ఐదవ వికెట్కు 5 వ అత్యధిక భాగస్వామ్యం (98 *)']</v>
      </c>
      <c r="C5413" s="2"/>
      <c r="D5413" s="2" t="str">
        <f>IFERROR(__xludf.DUMMYFUNCTION("IF(C5413&lt;&gt;"""", GOOGLETRANSLATE(C5413, ""en"", ""te""),"""")"),"")</f>
        <v/>
      </c>
      <c r="E5413" s="2" t="s">
        <v>3554</v>
      </c>
      <c r="F5413" s="2" t="str">
        <f>IFERROR(__xludf.DUMMYFUNCTION("IF(E5413&lt;&gt;"""", GOOGLETRANSLATE(E5413, ""en"", ""te""),"""")"),"[ '47 వ తొలి మ్యాచ్లో అత్యధిక పరుగులు (71)']")</f>
        <v>[ '47 వ తొలి మ్యాచ్లో అత్యధిక పరుగులు (71)']</v>
      </c>
      <c r="G5413" s="2" t="s">
        <v>3555</v>
      </c>
      <c r="H5413" s="2" t="str">
        <f>IFERROR(__xludf.DUMMYFUNCTION("IF(G5413&lt;&gt;"""", GOOGLETRANSLATE(G5413, ""en"", ""te""),"""")"),"[ '12 వ ఇన్నింగ్స్ లో అత్యధిక పరుగులు (బ్యాటింగ్ స్థానంలో ప్రకారం) (79 *)', '42 వ పరాజయం వైపు (79 *) ఒక మ్యాచ్లో అత్యధిక పరుగులు', '6 వ అత్యధిక కెరీర్ బ్యాటింగ్ సగటు (44.31)', '5 వ అత్యధిక ఐదవ వికెట్కు భాగస్వామ్యం (98 *) ']")</f>
        <v>[ '12 వ ఇన్నింగ్స్ లో అత్యధిక పరుగులు (బ్యాటింగ్ స్థానంలో ప్రకారం) (79 *)', '42 వ పరాజయం వైపు (79 *) ఒక మ్యాచ్లో అత్యధిక పరుగులు', '6 వ అత్యధిక కెరీర్ బ్యాటింగ్ సగటు (44.31)', '5 వ అత్యధిక ఐదవ వికెట్కు భాగస్వామ్యం (98 *) ']</v>
      </c>
      <c r="I5413" s="3"/>
    </row>
    <row r="5414" customHeight="1" spans="1:9">
      <c r="A5414" s="2"/>
      <c r="B5414" s="2" t="str">
        <f>IFERROR(__xludf.DUMMYFUNCTION("IF(A5414&lt;&gt;"""", GOOGLETRANSLATE(A5414, ""en"", ""te""),"""")"),"")</f>
        <v/>
      </c>
      <c r="C5414" s="2"/>
      <c r="D5414" s="2" t="str">
        <f>IFERROR(__xludf.DUMMYFUNCTION("IF(C5414&lt;&gt;"""", GOOGLETRANSLATE(C5414, ""en"", ""te""),"""")"),"")</f>
        <v/>
      </c>
      <c r="E5414" s="2"/>
      <c r="F5414" s="2" t="str">
        <f>IFERROR(__xludf.DUMMYFUNCTION("IF(E5414&lt;&gt;"""", GOOGLETRANSLATE(E5414, ""en"", ""te""),"""")"),"")</f>
        <v/>
      </c>
      <c r="G5414" s="2"/>
      <c r="H5414" s="2" t="str">
        <f>IFERROR(__xludf.DUMMYFUNCTION("IF(G5414&lt;&gt;"""", GOOGLETRANSLATE(G5414, ""en"", ""te""),"""")"),"")</f>
        <v/>
      </c>
      <c r="I5414" s="3"/>
    </row>
    <row r="5415" customHeight="1" spans="1:9">
      <c r="A5415" s="2"/>
      <c r="B5415" s="2" t="str">
        <f>IFERROR(__xludf.DUMMYFUNCTION("IF(A5415&lt;&gt;"""", GOOGLETRANSLATE(A5415, ""en"", ""te""),"""")"),"")</f>
        <v/>
      </c>
      <c r="C5415" s="2"/>
      <c r="D5415" s="2" t="str">
        <f>IFERROR(__xludf.DUMMYFUNCTION("IF(C5415&lt;&gt;"""", GOOGLETRANSLATE(C5415, ""en"", ""te""),"""")"),"")</f>
        <v/>
      </c>
      <c r="E5415" s="2"/>
      <c r="F5415" s="2" t="str">
        <f>IFERROR(__xludf.DUMMYFUNCTION("IF(E5415&lt;&gt;"""", GOOGLETRANSLATE(E5415, ""en"", ""te""),"""")"),"")</f>
        <v/>
      </c>
      <c r="G5415" s="2"/>
      <c r="H5415" s="2" t="str">
        <f>IFERROR(__xludf.DUMMYFUNCTION("IF(G5415&lt;&gt;"""", GOOGLETRANSLATE(G5415, ""en"", ""te""),"""")"),"")</f>
        <v/>
      </c>
      <c r="I5415" s="3"/>
    </row>
    <row r="5416" customHeight="1" spans="1:9">
      <c r="A5416" s="2"/>
      <c r="B5416" s="2" t="str">
        <f>IFERROR(__xludf.DUMMYFUNCTION("IF(A5416&lt;&gt;"""", GOOGLETRANSLATE(A5416, ""en"", ""te""),"""")"),"")</f>
        <v/>
      </c>
      <c r="C5416" s="2"/>
      <c r="D5416" s="2" t="str">
        <f>IFERROR(__xludf.DUMMYFUNCTION("IF(C5416&lt;&gt;"""", GOOGLETRANSLATE(C5416, ""en"", ""te""),"""")"),"")</f>
        <v/>
      </c>
      <c r="E5416" s="2"/>
      <c r="F5416" s="2" t="str">
        <f>IFERROR(__xludf.DUMMYFUNCTION("IF(E5416&lt;&gt;"""", GOOGLETRANSLATE(E5416, ""en"", ""te""),"""")"),"")</f>
        <v/>
      </c>
      <c r="G5416" s="2"/>
      <c r="H5416" s="2" t="str">
        <f>IFERROR(__xludf.DUMMYFUNCTION("IF(G5416&lt;&gt;"""", GOOGLETRANSLATE(G5416, ""en"", ""te""),"""")"),"")</f>
        <v/>
      </c>
      <c r="I5416" s="3"/>
    </row>
    <row r="5417" customHeight="1" spans="1:9">
      <c r="A5417" s="2"/>
      <c r="B5417" s="2" t="str">
        <f>IFERROR(__xludf.DUMMYFUNCTION("IF(A5417&lt;&gt;"""", GOOGLETRANSLATE(A5417, ""en"", ""te""),"""")"),"")</f>
        <v/>
      </c>
      <c r="C5417" s="2"/>
      <c r="D5417" s="2" t="str">
        <f>IFERROR(__xludf.DUMMYFUNCTION("IF(C5417&lt;&gt;"""", GOOGLETRANSLATE(C5417, ""en"", ""te""),"""")"),"")</f>
        <v/>
      </c>
      <c r="E5417" s="2"/>
      <c r="F5417" s="2" t="str">
        <f>IFERROR(__xludf.DUMMYFUNCTION("IF(E5417&lt;&gt;"""", GOOGLETRANSLATE(E5417, ""en"", ""te""),"""")"),"")</f>
        <v/>
      </c>
      <c r="G5417" s="2"/>
      <c r="H5417" s="2" t="str">
        <f>IFERROR(__xludf.DUMMYFUNCTION("IF(G5417&lt;&gt;"""", GOOGLETRANSLATE(G5417, ""en"", ""te""),"""")"),"")</f>
        <v/>
      </c>
      <c r="I5417" s="3"/>
    </row>
    <row r="5418" customHeight="1" spans="1:9">
      <c r="A5418" s="2"/>
      <c r="B5418" s="2" t="str">
        <f>IFERROR(__xludf.DUMMYFUNCTION("IF(A5418&lt;&gt;"""", GOOGLETRANSLATE(A5418, ""en"", ""te""),"""")"),"")</f>
        <v/>
      </c>
      <c r="C5418" s="2"/>
      <c r="D5418" s="2" t="str">
        <f>IFERROR(__xludf.DUMMYFUNCTION("IF(C5418&lt;&gt;"""", GOOGLETRANSLATE(C5418, ""en"", ""te""),"""")"),"")</f>
        <v/>
      </c>
      <c r="E5418" s="2"/>
      <c r="F5418" s="2" t="str">
        <f>IFERROR(__xludf.DUMMYFUNCTION("IF(E5418&lt;&gt;"""", GOOGLETRANSLATE(E5418, ""en"", ""te""),"""")"),"")</f>
        <v/>
      </c>
      <c r="G5418" s="2"/>
      <c r="H5418" s="2" t="str">
        <f>IFERROR(__xludf.DUMMYFUNCTION("IF(G5418&lt;&gt;"""", GOOGLETRANSLATE(G5418, ""en"", ""te""),"""")"),"")</f>
        <v/>
      </c>
      <c r="I5418" s="3"/>
    </row>
    <row r="5419" customHeight="1" spans="1:9">
      <c r="A5419" s="2"/>
      <c r="B5419" s="2" t="str">
        <f>IFERROR(__xludf.DUMMYFUNCTION("IF(A5419&lt;&gt;"""", GOOGLETRANSLATE(A5419, ""en"", ""te""),"""")"),"")</f>
        <v/>
      </c>
      <c r="C5419" s="2"/>
      <c r="D5419" s="2" t="str">
        <f>IFERROR(__xludf.DUMMYFUNCTION("IF(C5419&lt;&gt;"""", GOOGLETRANSLATE(C5419, ""en"", ""te""),"""")"),"")</f>
        <v/>
      </c>
      <c r="E5419" s="2"/>
      <c r="F5419" s="2" t="str">
        <f>IFERROR(__xludf.DUMMYFUNCTION("IF(E5419&lt;&gt;"""", GOOGLETRANSLATE(E5419, ""en"", ""te""),"""")"),"")</f>
        <v/>
      </c>
      <c r="G5419" s="2"/>
      <c r="H5419" s="2" t="str">
        <f>IFERROR(__xludf.DUMMYFUNCTION("IF(G5419&lt;&gt;"""", GOOGLETRANSLATE(G5419, ""en"", ""te""),"""")"),"")</f>
        <v/>
      </c>
      <c r="I5419" s="3"/>
    </row>
    <row r="5420" customHeight="1" spans="1:9">
      <c r="A5420" s="2" t="s">
        <v>3556</v>
      </c>
      <c r="B5420" s="2" t="str">
        <f>IFERROR(__xludf.DUMMYFUNCTION("IF(A5420&lt;&gt;"""", GOOGLETRANSLATE(A5420, ""en"", ""te""),"""")"),"[ '3 వ పిన్న కాప్టెన్ (21y 77d)']")</f>
        <v>[ '3 వ పిన్న కాప్టెన్ (21y 77d)']</v>
      </c>
      <c r="C5420" s="2" t="s">
        <v>3557</v>
      </c>
      <c r="D5420" s="2" t="str">
        <f>IFERROR(__xludf.DUMMYFUNCTION("IF(C5420&lt;&gt;"""", GOOGLETRANSLATE(C5420, ""en"", ""te""),"""")"),"[ '48 వ పరాజయం వైపు ఒక మ్యాచ్లో అత్యధిక పరుగులు (212)', కెప్టెన్ 'కెప్టెన్ (40) 28 వ అత్యధిక మ్యాచ్లు', '49 వ వరుస మ్యాచ్లు వంటి' 19 పిన్న ఆటగాడు డబుల్ సెంచరీ (23y 34d) స్కోర్ ' ఒక జట్టు (21) ',' 16 వ వరుస అన్ని టాస్ గెలిచిన (5) ',' 3 వ పిన్న కాప్టెన్ (2"&amp;"1y 77d) ']")</f>
        <v>[ '48 వ పరాజయం వైపు ఒక మ్యాచ్లో అత్యధిక పరుగులు (212)', కెప్టెన్ 'కెప్టెన్ (40) 28 వ అత్యధిక మ్యాచ్లు', '49 వ వరుస మ్యాచ్లు వంటి' 19 పిన్న ఆటగాడు డబుల్ సెంచరీ (23y 34d) స్కోర్ ' ఒక జట్టు (21) ',' 16 వ వరుస అన్ని టాస్ గెలిచిన (5) ',' 3 వ పిన్న కాప్టెన్ (21y 77d) ']</v>
      </c>
      <c r="E5420" s="2" t="s">
        <v>476</v>
      </c>
      <c r="F5420" s="2" t="str">
        <f>IFERROR(__xludf.DUMMYFUNCTION("IF(E5420&lt;&gt;"""", GOOGLETRANSLATE(E5420, ""en"", ""te""),"""")"),"[40 వ ఒక మ్యాచ్ రిఫరీ గా అత్యధిక మ్యాచ్లు (10) ']")</f>
        <v>[40 వ ఒక మ్యాచ్ రిఫరీ గా అత్యధిక మ్యాచ్లు (10) ']</v>
      </c>
      <c r="G5420" s="2"/>
      <c r="H5420" s="2" t="str">
        <f>IFERROR(__xludf.DUMMYFUNCTION("IF(G5420&lt;&gt;"""", GOOGLETRANSLATE(G5420, ""en"", ""te""),"""")"),"")</f>
        <v/>
      </c>
      <c r="I5420" s="3"/>
    </row>
    <row r="5421" customHeight="1" spans="1:9">
      <c r="A5421" s="2"/>
      <c r="B5421" s="2" t="str">
        <f>IFERROR(__xludf.DUMMYFUNCTION("IF(A5421&lt;&gt;"""", GOOGLETRANSLATE(A5421, ""en"", ""te""),"""")"),"")</f>
        <v/>
      </c>
      <c r="C5421" s="2"/>
      <c r="D5421" s="2" t="str">
        <f>IFERROR(__xludf.DUMMYFUNCTION("IF(C5421&lt;&gt;"""", GOOGLETRANSLATE(C5421, ""en"", ""te""),"""")"),"")</f>
        <v/>
      </c>
      <c r="E5421" s="2"/>
      <c r="F5421" s="2" t="str">
        <f>IFERROR(__xludf.DUMMYFUNCTION("IF(E5421&lt;&gt;"""", GOOGLETRANSLATE(E5421, ""en"", ""te""),"""")"),"")</f>
        <v/>
      </c>
      <c r="G5421" s="2"/>
      <c r="H5421" s="2" t="str">
        <f>IFERROR(__xludf.DUMMYFUNCTION("IF(G5421&lt;&gt;"""", GOOGLETRANSLATE(G5421, ""en"", ""te""),"""")"),"")</f>
        <v/>
      </c>
      <c r="I5421" s="3"/>
    </row>
    <row r="5422" customHeight="1" spans="1:9">
      <c r="A5422" s="2"/>
      <c r="B5422" s="2" t="str">
        <f>IFERROR(__xludf.DUMMYFUNCTION("IF(A5422&lt;&gt;"""", GOOGLETRANSLATE(A5422, ""en"", ""te""),"""")"),"")</f>
        <v/>
      </c>
      <c r="C5422" s="2"/>
      <c r="D5422" s="2" t="str">
        <f>IFERROR(__xludf.DUMMYFUNCTION("IF(C5422&lt;&gt;"""", GOOGLETRANSLATE(C5422, ""en"", ""te""),"""")"),"")</f>
        <v/>
      </c>
      <c r="E5422" s="2"/>
      <c r="F5422" s="2" t="str">
        <f>IFERROR(__xludf.DUMMYFUNCTION("IF(E5422&lt;&gt;"""", GOOGLETRANSLATE(E5422, ""en"", ""te""),"""")"),"")</f>
        <v/>
      </c>
      <c r="G5422" s="2"/>
      <c r="H5422" s="2" t="str">
        <f>IFERROR(__xludf.DUMMYFUNCTION("IF(G5422&lt;&gt;"""", GOOGLETRANSLATE(G5422, ""en"", ""te""),"""")"),"")</f>
        <v/>
      </c>
      <c r="I5422" s="3"/>
    </row>
    <row r="5423" customHeight="1" spans="1:9">
      <c r="A5423" s="2"/>
      <c r="B5423" s="2" t="str">
        <f>IFERROR(__xludf.DUMMYFUNCTION("IF(A5423&lt;&gt;"""", GOOGLETRANSLATE(A5423, ""en"", ""te""),"""")"),"")</f>
        <v/>
      </c>
      <c r="C5423" s="2" t="s">
        <v>3558</v>
      </c>
      <c r="D5423" s="2" t="str">
        <f>IFERROR(__xludf.DUMMYFUNCTION("IF(C5423&lt;&gt;"""", GOOGLETRANSLATE(C5423, ""en"", ""te""),"""")"),"[40 వ మ్యాచ్ లో బెస్ట్ ఫిగర్స్ ఉన్నప్పుడు పరాజయం వైపు (10) ',' ఇన్నింగ్స్ లో 18 వ ఉత్తమ ఆర్థిక రేటు (0.46) ',' 18 వ అత్యంత వృద్ధ ఆటగాడు పది వికెట్లు లో ఒక మ్యాచ్ తీసుకోవాలని (35y 247d) ',' 39 వ అత్యధిక వికెట్లు చిక్కుకున్న ఫీల్డర్ (116) ',' ఫాస్టెస్ట్ 13"&amp;" ద్వారా 100 వికెట్లు (20) ',' 18 వ వేగంగా 150 వికెట్లు తీసుకున్న (34) ']")</f>
        <v>[40 వ మ్యాచ్ లో బెస్ట్ ఫిగర్స్ ఉన్నప్పుడు పరాజయం వైపు (10) ',' ఇన్నింగ్స్ లో 18 వ ఉత్తమ ఆర్థిక రేటు (0.46) ',' 18 వ అత్యంత వృద్ధ ఆటగాడు పది వికెట్లు లో ఒక మ్యాచ్ తీసుకోవాలని (35y 247d) ',' 39 వ అత్యధిక వికెట్లు చిక్కుకున్న ఫీల్డర్ (116) ',' ఫాస్టెస్ట్ 13 ద్వారా 100 వికెట్లు (20) ',' 18 వ వేగంగా 150 వికెట్లు తీసుకున్న (34) ']</v>
      </c>
      <c r="E5423" s="2"/>
      <c r="F5423" s="2" t="str">
        <f>IFERROR(__xludf.DUMMYFUNCTION("IF(E5423&lt;&gt;"""", GOOGLETRANSLATE(E5423, ""en"", ""te""),"""")"),"")</f>
        <v/>
      </c>
      <c r="G5423" s="2"/>
      <c r="H5423" s="2" t="str">
        <f>IFERROR(__xludf.DUMMYFUNCTION("IF(G5423&lt;&gt;"""", GOOGLETRANSLATE(G5423, ""en"", ""te""),"""")"),"")</f>
        <v/>
      </c>
      <c r="I5423" s="3"/>
    </row>
    <row r="5424" customHeight="1" spans="1:9">
      <c r="A5424" s="2"/>
      <c r="B5424" s="2" t="str">
        <f>IFERROR(__xludf.DUMMYFUNCTION("IF(A5424&lt;&gt;"""", GOOGLETRANSLATE(A5424, ""en"", ""te""),"""")"),"")</f>
        <v/>
      </c>
      <c r="C5424" s="2"/>
      <c r="D5424" s="2" t="str">
        <f>IFERROR(__xludf.DUMMYFUNCTION("IF(C5424&lt;&gt;"""", GOOGLETRANSLATE(C5424, ""en"", ""te""),"""")"),"")</f>
        <v/>
      </c>
      <c r="E5424" s="2"/>
      <c r="F5424" s="2" t="str">
        <f>IFERROR(__xludf.DUMMYFUNCTION("IF(E5424&lt;&gt;"""", GOOGLETRANSLATE(E5424, ""en"", ""te""),"""")"),"")</f>
        <v/>
      </c>
      <c r="G5424" s="2"/>
      <c r="H5424" s="2" t="str">
        <f>IFERROR(__xludf.DUMMYFUNCTION("IF(G5424&lt;&gt;"""", GOOGLETRANSLATE(G5424, ""en"", ""te""),"""")"),"")</f>
        <v/>
      </c>
      <c r="I5424" s="3"/>
    </row>
    <row r="5425" customHeight="1" spans="1:9">
      <c r="A5425" s="2"/>
      <c r="B5425" s="2" t="str">
        <f>IFERROR(__xludf.DUMMYFUNCTION("IF(A5425&lt;&gt;"""", GOOGLETRANSLATE(A5425, ""en"", ""te""),"""")"),"")</f>
        <v/>
      </c>
      <c r="C5425" s="2"/>
      <c r="D5425" s="2" t="str">
        <f>IFERROR(__xludf.DUMMYFUNCTION("IF(C5425&lt;&gt;"""", GOOGLETRANSLATE(C5425, ""en"", ""te""),"""")"),"")</f>
        <v/>
      </c>
      <c r="E5425" s="2"/>
      <c r="F5425" s="2" t="str">
        <f>IFERROR(__xludf.DUMMYFUNCTION("IF(E5425&lt;&gt;"""", GOOGLETRANSLATE(E5425, ""en"", ""te""),"""")"),"")</f>
        <v/>
      </c>
      <c r="G5425" s="2"/>
      <c r="H5425" s="2" t="str">
        <f>IFERROR(__xludf.DUMMYFUNCTION("IF(G5425&lt;&gt;"""", GOOGLETRANSLATE(G5425, ""en"", ""te""),"""")"),"")</f>
        <v/>
      </c>
      <c r="I5425" s="3"/>
    </row>
    <row r="5426" customHeight="1" spans="1:9">
      <c r="A5426" s="2"/>
      <c r="B5426" s="2" t="str">
        <f>IFERROR(__xludf.DUMMYFUNCTION("IF(A5426&lt;&gt;"""", GOOGLETRANSLATE(A5426, ""en"", ""te""),"""")"),"")</f>
        <v/>
      </c>
      <c r="C5426" s="2"/>
      <c r="D5426" s="2" t="str">
        <f>IFERROR(__xludf.DUMMYFUNCTION("IF(C5426&lt;&gt;"""", GOOGLETRANSLATE(C5426, ""en"", ""te""),"""")"),"")</f>
        <v/>
      </c>
      <c r="E5426" s="2"/>
      <c r="F5426" s="2" t="str">
        <f>IFERROR(__xludf.DUMMYFUNCTION("IF(E5426&lt;&gt;"""", GOOGLETRANSLATE(E5426, ""en"", ""te""),"""")"),"")</f>
        <v/>
      </c>
      <c r="G5426" s="2"/>
      <c r="H5426" s="2" t="str">
        <f>IFERROR(__xludf.DUMMYFUNCTION("IF(G5426&lt;&gt;"""", GOOGLETRANSLATE(G5426, ""en"", ""te""),"""")"),"")</f>
        <v/>
      </c>
      <c r="I5426" s="3"/>
    </row>
    <row r="5427" customHeight="1" spans="1:9">
      <c r="A5427" s="2"/>
      <c r="B5427" s="2" t="str">
        <f>IFERROR(__xludf.DUMMYFUNCTION("IF(A5427&lt;&gt;"""", GOOGLETRANSLATE(A5427, ""en"", ""te""),"""")"),"")</f>
        <v/>
      </c>
      <c r="C5427" s="2"/>
      <c r="D5427" s="2" t="str">
        <f>IFERROR(__xludf.DUMMYFUNCTION("IF(C5427&lt;&gt;"""", GOOGLETRANSLATE(C5427, ""en"", ""te""),"""")"),"")</f>
        <v/>
      </c>
      <c r="E5427" s="2"/>
      <c r="F5427" s="2" t="str">
        <f>IFERROR(__xludf.DUMMYFUNCTION("IF(E5427&lt;&gt;"""", GOOGLETRANSLATE(E5427, ""en"", ""te""),"""")"),"")</f>
        <v/>
      </c>
      <c r="G5427" s="2"/>
      <c r="H5427" s="2" t="str">
        <f>IFERROR(__xludf.DUMMYFUNCTION("IF(G5427&lt;&gt;"""", GOOGLETRANSLATE(G5427, ""en"", ""te""),"""")"),"")</f>
        <v/>
      </c>
      <c r="I5427" s="3"/>
    </row>
    <row r="5428" customHeight="1" spans="1:9">
      <c r="A5428" s="2" t="s">
        <v>3559</v>
      </c>
      <c r="B5428" s="2" t="str">
        <f>IFERROR(__xludf.DUMMYFUNCTION("IF(A5428&lt;&gt;"""", GOOGLETRANSLATE(A5428, ""en"", ""te""),"""")"),"[ '10 వ ఒక క్యాలెండర్ సంవత్సరంలో అత్యధిక వికెట్లు (28)']")</f>
        <v>[ '10 వ ఒక క్యాలెండర్ సంవత్సరంలో అత్యధిక వికెట్లు (28)']</v>
      </c>
      <c r="C5428" s="2"/>
      <c r="D5428" s="2" t="str">
        <f>IFERROR(__xludf.DUMMYFUNCTION("IF(C5428&lt;&gt;"""", GOOGLETRANSLATE(C5428, ""en"", ""te""),"""")"),"")</f>
        <v/>
      </c>
      <c r="E5428" s="2" t="s">
        <v>3560</v>
      </c>
      <c r="F5428" s="2" t="str">
        <f>IFERROR(__xludf.DUMMYFUNCTION("IF(E5428&lt;&gt;"""", GOOGLETRANSLATE(E5428, ""en"", ""te""),"""")"),"[40 వ కెరీర్ లో అత్యధిక వికెట్లు (73) ',' 11 వ ఒక సిరీస్లో అత్యధిక వికెట్లు (24) ',' ఒక క్యాలెండర్ సంవత్సరంలో 10 వ అత్యధిక వికెట్లు (28) ',' 14 వ ఉత్తమ కెరీర్ సమ్మె రేటు (32.0) ',' 31 బౌలర్ / బ్యాట్స్ కలయికలు (5) ',' 48 వ అత్యధిక వికెట్లు తీసుకున్న బౌల్డ్"&amp;" (16) ',' 45 వ అత్యధిక వికెట్లు తీసుకున్న ఆకర్షించింది (40) ',' 43 వ అత్యధిక వికెట్లు ఒక ఫీల్డర్ చేత క్యాచ్ తీసుకున్న (32) ',' 18 వ అత్యధిక వికెట్లు తీసుకున్న LBW (17) ']")</f>
        <v>[40 వ కెరీర్ లో అత్యధిక వికెట్లు (73) ',' 11 వ ఒక సిరీస్లో అత్యధిక వికెట్లు (24) ',' ఒక క్యాలెండర్ సంవత్సరంలో 10 వ అత్యధిక వికెట్లు (28) ',' 14 వ ఉత్తమ కెరీర్ సమ్మె రేటు (32.0) ',' 31 బౌలర్ / బ్యాట్స్ కలయికలు (5) ',' 48 వ అత్యధిక వికెట్లు తీసుకున్న బౌల్డ్ (16) ',' 45 వ అత్యధిక వికెట్లు తీసుకున్న ఆకర్షించింది (40) ',' 43 వ అత్యధిక వికెట్లు ఒక ఫీల్డర్ చేత క్యాచ్ తీసుకున్న (32) ',' 18 వ అత్యధిక వికెట్లు తీసుకున్న LBW (17) ']</v>
      </c>
      <c r="G5428" s="2" t="s">
        <v>3561</v>
      </c>
      <c r="H5428" s="2" t="str">
        <f>IFERROR(__xludf.DUMMYFUNCTION("IF(G5428&lt;&gt;"""", GOOGLETRANSLATE(G5428, ""en"", ""te""),"""")"),"[ 'కెరీర్లో 18 వ అతి తక్కువ బాతులు (26)', '14 వ చెత్త కెరీర్లో ఆర్థిక రేటు (6.39)', '27 వ అత్యుత్తమ బౌలింగ్ ఇన్నింగ్స్ (1/2) విశ్లేషణలలో' 'కెరీర్లో సాధించిన 47 వ అత్యధిక పరుగులు (897)', '14 వ అత్యధిక పరుగులు ఇన్నింగ్స్ (52) లో సాధించిన', '32 వ అత్యధిక విక"&amp;"ెట్లు బౌల్డ్ తీసుకోకూడదు (13)', '20 వ అత్యధిక వికెట్లు ఆకర్షించింది తీసుకున్న మరియు బౌల్డ్ (3)', '41 వ అత్యధిక వికెట్లు ఒక ఫీల్డర్ (22) పట్టుకుంటే తీసిన '46 వ కెరీర్ లో అత్యధిక క్యాచ్లు (18)', 'ఎనిమిదవ వికెట్కు 43 వ అత్యధిక భాగస్వామ్యం (22)', 'తొమ్మిదవ వి"&amp;"కెట్కు 35 వ అత్యధిక భాగస్వామ్యం (17)']")</f>
        <v>[ 'కెరీర్లో 18 వ అతి తక్కువ బాతులు (26)', '14 వ చెత్త కెరీర్లో ఆర్థిక రేటు (6.39)', '27 వ అత్యుత్తమ బౌలింగ్ ఇన్నింగ్స్ (1/2) విశ్లేషణలలో' 'కెరీర్లో సాధించిన 47 వ అత్యధిక పరుగులు (897)', '14 వ అత్యధిక పరుగులు ఇన్నింగ్స్ (52) లో సాధించిన', '32 వ అత్యధిక వికెట్లు బౌల్డ్ తీసుకోకూడదు (13)', '20 వ అత్యధిక వికెట్లు ఆకర్షించింది తీసుకున్న మరియు బౌల్డ్ (3)', '41 వ అత్యధిక వికెట్లు ఒక ఫీల్డర్ (22) పట్టుకుంటే తీసిన '46 వ కెరీర్ లో అత్యధిక క్యాచ్లు (18)', 'ఎనిమిదవ వికెట్కు 43 వ అత్యధిక భాగస్వామ్యం (22)', 'తొమ్మిదవ వికెట్కు 35 వ అత్యధిక భాగస్వామ్యం (17)']</v>
      </c>
      <c r="I5428" s="3"/>
    </row>
    <row r="5429" customHeight="1" spans="1:9">
      <c r="A5429" s="2"/>
      <c r="B5429" s="2" t="str">
        <f>IFERROR(__xludf.DUMMYFUNCTION("IF(A5429&lt;&gt;"""", GOOGLETRANSLATE(A5429, ""en"", ""te""),"""")"),"")</f>
        <v/>
      </c>
      <c r="C5429" s="2"/>
      <c r="D5429" s="2" t="str">
        <f>IFERROR(__xludf.DUMMYFUNCTION("IF(C5429&lt;&gt;"""", GOOGLETRANSLATE(C5429, ""en"", ""te""),"""")"),"")</f>
        <v/>
      </c>
      <c r="E5429" s="2"/>
      <c r="F5429" s="2" t="str">
        <f>IFERROR(__xludf.DUMMYFUNCTION("IF(E5429&lt;&gt;"""", GOOGLETRANSLATE(E5429, ""en"", ""te""),"""")"),"")</f>
        <v/>
      </c>
      <c r="G5429" s="2"/>
      <c r="H5429" s="2" t="str">
        <f>IFERROR(__xludf.DUMMYFUNCTION("IF(G5429&lt;&gt;"""", GOOGLETRANSLATE(G5429, ""en"", ""te""),"""")"),"")</f>
        <v/>
      </c>
      <c r="I5429" s="3"/>
    </row>
    <row r="5430" customHeight="1" spans="1:9">
      <c r="A5430" s="2"/>
      <c r="B5430" s="2" t="str">
        <f>IFERROR(__xludf.DUMMYFUNCTION("IF(A5430&lt;&gt;"""", GOOGLETRANSLATE(A5430, ""en"", ""te""),"""")"),"")</f>
        <v/>
      </c>
      <c r="C5430" s="2"/>
      <c r="D5430" s="2" t="str">
        <f>IFERROR(__xludf.DUMMYFUNCTION("IF(C5430&lt;&gt;"""", GOOGLETRANSLATE(C5430, ""en"", ""te""),"""")"),"")</f>
        <v/>
      </c>
      <c r="E5430" s="2"/>
      <c r="F5430" s="2" t="str">
        <f>IFERROR(__xludf.DUMMYFUNCTION("IF(E5430&lt;&gt;"""", GOOGLETRANSLATE(E5430, ""en"", ""te""),"""")"),"")</f>
        <v/>
      </c>
      <c r="G5430" s="2"/>
      <c r="H5430" s="2" t="str">
        <f>IFERROR(__xludf.DUMMYFUNCTION("IF(G5430&lt;&gt;"""", GOOGLETRANSLATE(G5430, ""en"", ""te""),"""")"),"")</f>
        <v/>
      </c>
      <c r="I5430" s="3"/>
    </row>
    <row r="5431" customHeight="1" spans="1:9">
      <c r="A5431" s="2" t="s">
        <v>3562</v>
      </c>
      <c r="B5431" s="2" t="str">
        <f>IFERROR(__xludf.DUMMYFUNCTION("IF(A5431&lt;&gt;"""", GOOGLETRANSLATE(A5431, ""en"", ""te""),"""")"),"[ 'ఒక మ్యాచ్లో 1st అత్యధిక వికెట్లు (11)', '1st ఒక మ్యాచ్లో అత్యధిక క్యాచ్లు (11)', '300 పరుగులు మరియు ఒక సిరీస్లో 15 వికెట్కీపింగ్ తొలగింపులకు']")</f>
        <v>[ 'ఒక మ్యాచ్లో 1st అత్యధిక వికెట్లు (11)', '1st ఒక మ్యాచ్లో అత్యధిక క్యాచ్లు (11)', '300 పరుగులు మరియు ఒక సిరీస్లో 15 వికెట్కీపింగ్ తొలగింపులకు']</v>
      </c>
      <c r="C5431" s="2" t="s">
        <v>3563</v>
      </c>
      <c r="D5431" s="2" t="str">
        <f>IFERROR(__xludf.DUMMYFUNCTION("IF(C5431&lt;&gt;"""", GOOGLETRANSLATE(C5431, ""en"", ""te""),"""")"),"[ 'అత్యధిక వికెట్లు ఇన్నింగ్స్ లో 29 వ అత్యధిక పరుగులు (159 *)', 'ఇన్నింగ్స్ లో 44 వ అత్యధిక స్ట్రైక్ రేట్ (175.00)', '44th హండ్రెడ్ గత లో' 28 మోస్ట్ వరుస వికెట్లు (350) పరుగులు ' ఒక ఇన్నింగ్స్ లో వంద (20y 338d) ',' ఏడవ వికెట్కు 17 అత్యధిక భాగస్వామ్యం (2"&amp;"04) ',' 5 వ అత్యధిక వికెట్లు సాధించిన మ్యాచ్ (101) ',' 48 వ పిన్న వయస్కుడిగా నిలిచాడు (6) ',' 1st ఎక్కువ సార్లు అవుట్ లో ఒక మ్యాచ్ (11) ',' 47 వ ఒక సిరీస్లో అత్యధిక అవుట్లను ఇన్నింగ్స్ మ్యాచ్ లో (6) ',' 1 వ అత్యధిక క్యాచ్లు లో (20) ',' 5 వ అత్యధిక క్యాచ్ల"&amp;"ు (11) ',' చాలా 5 వ వరుస క్యాచ్లు (35) ',' 18 వ ఒక సిరీస్లో అత్యధిక స్టంపింగ్లు (5) ',' 20 వ అత్యంత ఇన్నింగ్స్ లో సాధించిన బైస్ (26) ']")</f>
        <v>[ 'అత్యధిక వికెట్లు ఇన్నింగ్స్ లో 29 వ అత్యధిక పరుగులు (159 *)', 'ఇన్నింగ్స్ లో 44 వ అత్యధిక స్ట్రైక్ రేట్ (175.00)', '44th హండ్రెడ్ గత లో' 28 మోస్ట్ వరుస వికెట్లు (350) పరుగులు ' ఒక ఇన్నింగ్స్ లో వంద (20y 338d) ',' ఏడవ వికెట్కు 17 అత్యధిక భాగస్వామ్యం (204) ',' 5 వ అత్యధిక వికెట్లు సాధించిన మ్యాచ్ (101) ',' 48 వ పిన్న వయస్కుడిగా నిలిచాడు (6) ',' 1st ఎక్కువ సార్లు అవుట్ లో ఒక మ్యాచ్ (11) ',' 47 వ ఒక సిరీస్లో అత్యధిక అవుట్లను ఇన్నింగ్స్ మ్యాచ్ లో (6) ',' 1 వ అత్యధిక క్యాచ్లు లో (20) ',' 5 వ అత్యధిక క్యాచ్లు (11) ',' చాలా 5 వ వరుస క్యాచ్లు (35) ',' 18 వ ఒక సిరీస్లో అత్యధిక స్టంపింగ్లు (5) ',' 20 వ అత్యంత ఇన్నింగ్స్ లో సాధించిన బైస్ (26) ']</v>
      </c>
      <c r="E5431" s="2"/>
      <c r="F5431" s="2" t="str">
        <f>IFERROR(__xludf.DUMMYFUNCTION("IF(E5431&lt;&gt;"""", GOOGLETRANSLATE(E5431, ""en"", ""te""),"""")"),"")</f>
        <v/>
      </c>
      <c r="G5431" s="2" t="s">
        <v>3564</v>
      </c>
      <c r="H5431" s="2" t="str">
        <f>IFERROR(__xludf.DUMMYFUNCTION("IF(G5431&lt;&gt;"""", GOOGLETRANSLATE(G5431, ""en"", ""te""),"""")"),"[ 'కెరీర్ లో 24 వ అత్యంత స్టంపింగ్లు (5)']")</f>
        <v>[ 'కెరీర్ లో 24 వ అత్యంత స్టంపింగ్లు (5)']</v>
      </c>
      <c r="I5431" s="3"/>
    </row>
    <row r="5432" customHeight="1" spans="1:9">
      <c r="A5432" s="2"/>
      <c r="B5432" s="2" t="str">
        <f>IFERROR(__xludf.DUMMYFUNCTION("IF(A5432&lt;&gt;"""", GOOGLETRANSLATE(A5432, ""en"", ""te""),"""")"),"")</f>
        <v/>
      </c>
      <c r="C5432" s="2"/>
      <c r="D5432" s="2" t="str">
        <f>IFERROR(__xludf.DUMMYFUNCTION("IF(C5432&lt;&gt;"""", GOOGLETRANSLATE(C5432, ""en"", ""te""),"""")"),"")</f>
        <v/>
      </c>
      <c r="E5432" s="2"/>
      <c r="F5432" s="2" t="str">
        <f>IFERROR(__xludf.DUMMYFUNCTION("IF(E5432&lt;&gt;"""", GOOGLETRANSLATE(E5432, ""en"", ""te""),"""")"),"")</f>
        <v/>
      </c>
      <c r="G5432" s="2"/>
      <c r="H5432" s="2" t="str">
        <f>IFERROR(__xludf.DUMMYFUNCTION("IF(G5432&lt;&gt;"""", GOOGLETRANSLATE(G5432, ""en"", ""te""),"""")"),"")</f>
        <v/>
      </c>
      <c r="I5432" s="3"/>
    </row>
    <row r="5433" customHeight="1" spans="1:9">
      <c r="A5433" s="2"/>
      <c r="B5433" s="2" t="str">
        <f>IFERROR(__xludf.DUMMYFUNCTION("IF(A5433&lt;&gt;"""", GOOGLETRANSLATE(A5433, ""en"", ""te""),"""")"),"")</f>
        <v/>
      </c>
      <c r="C5433" s="2"/>
      <c r="D5433" s="2" t="str">
        <f>IFERROR(__xludf.DUMMYFUNCTION("IF(C5433&lt;&gt;"""", GOOGLETRANSLATE(C5433, ""en"", ""te""),"""")"),"")</f>
        <v/>
      </c>
      <c r="E5433" s="2"/>
      <c r="F5433" s="2" t="str">
        <f>IFERROR(__xludf.DUMMYFUNCTION("IF(E5433&lt;&gt;"""", GOOGLETRANSLATE(E5433, ""en"", ""te""),"""")"),"")</f>
        <v/>
      </c>
      <c r="G5433" s="2"/>
      <c r="H5433" s="2" t="str">
        <f>IFERROR(__xludf.DUMMYFUNCTION("IF(G5433&lt;&gt;"""", GOOGLETRANSLATE(G5433, ""en"", ""te""),"""")"),"")</f>
        <v/>
      </c>
      <c r="I5433" s="3"/>
    </row>
    <row r="5434" customHeight="1" spans="1:9">
      <c r="A5434" s="2"/>
      <c r="B5434" s="2" t="str">
        <f>IFERROR(__xludf.DUMMYFUNCTION("IF(A5434&lt;&gt;"""", GOOGLETRANSLATE(A5434, ""en"", ""te""),"""")"),"")</f>
        <v/>
      </c>
      <c r="C5434" s="2"/>
      <c r="D5434" s="2" t="str">
        <f>IFERROR(__xludf.DUMMYFUNCTION("IF(C5434&lt;&gt;"""", GOOGLETRANSLATE(C5434, ""en"", ""te""),"""")"),"")</f>
        <v/>
      </c>
      <c r="E5434" s="2"/>
      <c r="F5434" s="2" t="str">
        <f>IFERROR(__xludf.DUMMYFUNCTION("IF(E5434&lt;&gt;"""", GOOGLETRANSLATE(E5434, ""en"", ""te""),"""")"),"")</f>
        <v/>
      </c>
      <c r="G5434" s="2"/>
      <c r="H5434" s="2" t="str">
        <f>IFERROR(__xludf.DUMMYFUNCTION("IF(G5434&lt;&gt;"""", GOOGLETRANSLATE(G5434, ""en"", ""te""),"""")"),"")</f>
        <v/>
      </c>
      <c r="I5434" s="3"/>
    </row>
    <row r="5435" customHeight="1" spans="1:9">
      <c r="A5435" s="2"/>
      <c r="B5435" s="2" t="str">
        <f>IFERROR(__xludf.DUMMYFUNCTION("IF(A5435&lt;&gt;"""", GOOGLETRANSLATE(A5435, ""en"", ""te""),"""")"),"")</f>
        <v/>
      </c>
      <c r="C5435" s="2"/>
      <c r="D5435" s="2" t="str">
        <f>IFERROR(__xludf.DUMMYFUNCTION("IF(C5435&lt;&gt;"""", GOOGLETRANSLATE(C5435, ""en"", ""te""),"""")"),"")</f>
        <v/>
      </c>
      <c r="E5435" s="2"/>
      <c r="F5435" s="2" t="str">
        <f>IFERROR(__xludf.DUMMYFUNCTION("IF(E5435&lt;&gt;"""", GOOGLETRANSLATE(E5435, ""en"", ""te""),"""")"),"")</f>
        <v/>
      </c>
      <c r="G5435" s="2"/>
      <c r="H5435" s="2" t="str">
        <f>IFERROR(__xludf.DUMMYFUNCTION("IF(G5435&lt;&gt;"""", GOOGLETRANSLATE(G5435, ""en"", ""te""),"""")"),"")</f>
        <v/>
      </c>
      <c r="I5435" s="3"/>
    </row>
    <row r="5436" customHeight="1" spans="1:9">
      <c r="A5436" s="2"/>
      <c r="B5436" s="2" t="str">
        <f>IFERROR(__xludf.DUMMYFUNCTION("IF(A5436&lt;&gt;"""", GOOGLETRANSLATE(A5436, ""en"", ""te""),"""")"),"")</f>
        <v/>
      </c>
      <c r="C5436" s="2"/>
      <c r="D5436" s="2" t="str">
        <f>IFERROR(__xludf.DUMMYFUNCTION("IF(C5436&lt;&gt;"""", GOOGLETRANSLATE(C5436, ""en"", ""te""),"""")"),"")</f>
        <v/>
      </c>
      <c r="E5436" s="2"/>
      <c r="F5436" s="2" t="str">
        <f>IFERROR(__xludf.DUMMYFUNCTION("IF(E5436&lt;&gt;"""", GOOGLETRANSLATE(E5436, ""en"", ""te""),"""")"),"")</f>
        <v/>
      </c>
      <c r="G5436" s="2"/>
      <c r="H5436" s="2" t="str">
        <f>IFERROR(__xludf.DUMMYFUNCTION("IF(G5436&lt;&gt;"""", GOOGLETRANSLATE(G5436, ""en"", ""te""),"""")"),"")</f>
        <v/>
      </c>
      <c r="I5436" s="3"/>
    </row>
    <row r="5437" customHeight="1" spans="1:9">
      <c r="A5437" s="2"/>
      <c r="B5437" s="2" t="str">
        <f>IFERROR(__xludf.DUMMYFUNCTION("IF(A5437&lt;&gt;"""", GOOGLETRANSLATE(A5437, ""en"", ""te""),"""")"),"")</f>
        <v/>
      </c>
      <c r="C5437" s="2"/>
      <c r="D5437" s="2" t="str">
        <f>IFERROR(__xludf.DUMMYFUNCTION("IF(C5437&lt;&gt;"""", GOOGLETRANSLATE(C5437, ""en"", ""te""),"""")"),"")</f>
        <v/>
      </c>
      <c r="E5437" s="2" t="s">
        <v>3565</v>
      </c>
      <c r="F5437" s="2" t="str">
        <f>IFERROR(__xludf.DUMMYFUNCTION("IF(E5437&lt;&gt;"""", GOOGLETRANSLATE(E5437, ""en"", ""te""),"""")"),"[ '50 వ చెత్త ఇన్నింగ్స్ లో ఆర్థిక రేటు (10.77)']")</f>
        <v>[ '50 వ చెత్త ఇన్నింగ్స్ లో ఆర్థిక రేటు (10.77)']</v>
      </c>
      <c r="G5437" s="2"/>
      <c r="H5437" s="2" t="str">
        <f>IFERROR(__xludf.DUMMYFUNCTION("IF(G5437&lt;&gt;"""", GOOGLETRANSLATE(G5437, ""en"", ""te""),"""")"),"")</f>
        <v/>
      </c>
      <c r="I5437" s="3"/>
    </row>
    <row r="5438" customHeight="1" spans="1:9">
      <c r="A5438" s="2"/>
      <c r="B5438" s="2" t="str">
        <f>IFERROR(__xludf.DUMMYFUNCTION("IF(A5438&lt;&gt;"""", GOOGLETRANSLATE(A5438, ""en"", ""te""),"""")"),"")</f>
        <v/>
      </c>
      <c r="C5438" s="2"/>
      <c r="D5438" s="2" t="str">
        <f>IFERROR(__xludf.DUMMYFUNCTION("IF(C5438&lt;&gt;"""", GOOGLETRANSLATE(C5438, ""en"", ""te""),"""")"),"")</f>
        <v/>
      </c>
      <c r="E5438" s="2"/>
      <c r="F5438" s="2" t="str">
        <f>IFERROR(__xludf.DUMMYFUNCTION("IF(E5438&lt;&gt;"""", GOOGLETRANSLATE(E5438, ""en"", ""te""),"""")"),"")</f>
        <v/>
      </c>
      <c r="G5438" s="2"/>
      <c r="H5438" s="2" t="str">
        <f>IFERROR(__xludf.DUMMYFUNCTION("IF(G5438&lt;&gt;"""", GOOGLETRANSLATE(G5438, ""en"", ""te""),"""")"),"")</f>
        <v/>
      </c>
      <c r="I5438" s="3"/>
    </row>
    <row r="5439" customHeight="1" spans="1:9">
      <c r="A5439" s="2"/>
      <c r="B5439" s="2" t="str">
        <f>IFERROR(__xludf.DUMMYFUNCTION("IF(A5439&lt;&gt;"""", GOOGLETRANSLATE(A5439, ""en"", ""te""),"""")"),"")</f>
        <v/>
      </c>
      <c r="C5439" s="2"/>
      <c r="D5439" s="2" t="str">
        <f>IFERROR(__xludf.DUMMYFUNCTION("IF(C5439&lt;&gt;"""", GOOGLETRANSLATE(C5439, ""en"", ""te""),"""")"),"")</f>
        <v/>
      </c>
      <c r="E5439" s="2"/>
      <c r="F5439" s="2" t="str">
        <f>IFERROR(__xludf.DUMMYFUNCTION("IF(E5439&lt;&gt;"""", GOOGLETRANSLATE(E5439, ""en"", ""te""),"""")"),"")</f>
        <v/>
      </c>
      <c r="G5439" s="2"/>
      <c r="H5439" s="2" t="str">
        <f>IFERROR(__xludf.DUMMYFUNCTION("IF(G5439&lt;&gt;"""", GOOGLETRANSLATE(G5439, ""en"", ""te""),"""")"),"")</f>
        <v/>
      </c>
      <c r="I5439" s="3"/>
    </row>
    <row r="5440" customHeight="1" spans="1:9">
      <c r="A5440" s="2"/>
      <c r="B5440" s="2" t="str">
        <f>IFERROR(__xludf.DUMMYFUNCTION("IF(A5440&lt;&gt;"""", GOOGLETRANSLATE(A5440, ""en"", ""te""),"""")"),"")</f>
        <v/>
      </c>
      <c r="C5440" s="2"/>
      <c r="D5440" s="2" t="str">
        <f>IFERROR(__xludf.DUMMYFUNCTION("IF(C5440&lt;&gt;"""", GOOGLETRANSLATE(C5440, ""en"", ""te""),"""")"),"")</f>
        <v/>
      </c>
      <c r="E5440" s="2"/>
      <c r="F5440" s="2" t="str">
        <f>IFERROR(__xludf.DUMMYFUNCTION("IF(E5440&lt;&gt;"""", GOOGLETRANSLATE(E5440, ""en"", ""te""),"""")"),"")</f>
        <v/>
      </c>
      <c r="G5440" s="2"/>
      <c r="H5440" s="2" t="str">
        <f>IFERROR(__xludf.DUMMYFUNCTION("IF(G5440&lt;&gt;"""", GOOGLETRANSLATE(G5440, ""en"", ""te""),"""")"),"")</f>
        <v/>
      </c>
      <c r="I5440" s="3"/>
    </row>
    <row r="5441" customHeight="1" spans="1:9">
      <c r="A5441" s="2"/>
      <c r="B5441" s="2" t="str">
        <f>IFERROR(__xludf.DUMMYFUNCTION("IF(A5441&lt;&gt;"""", GOOGLETRANSLATE(A5441, ""en"", ""te""),"""")"),"")</f>
        <v/>
      </c>
      <c r="C5441" s="2"/>
      <c r="D5441" s="2" t="str">
        <f>IFERROR(__xludf.DUMMYFUNCTION("IF(C5441&lt;&gt;"""", GOOGLETRANSLATE(C5441, ""en"", ""te""),"""")"),"")</f>
        <v/>
      </c>
      <c r="E5441" s="2"/>
      <c r="F5441" s="2" t="str">
        <f>IFERROR(__xludf.DUMMYFUNCTION("IF(E5441&lt;&gt;"""", GOOGLETRANSLATE(E5441, ""en"", ""te""),"""")"),"")</f>
        <v/>
      </c>
      <c r="G5441" s="2"/>
      <c r="H5441" s="2" t="str">
        <f>IFERROR(__xludf.DUMMYFUNCTION("IF(G5441&lt;&gt;"""", GOOGLETRANSLATE(G5441, ""en"", ""te""),"""")"),"")</f>
        <v/>
      </c>
      <c r="I5441" s="3"/>
    </row>
    <row r="5442" customHeight="1" spans="1:9">
      <c r="A5442" s="2" t="s">
        <v>3566</v>
      </c>
      <c r="B5442" s="2" t="str">
        <f>IFERROR(__xludf.DUMMYFUNCTION("IF(A5442&lt;&gt;"""", GOOGLETRANSLATE(A5442, ""en"", ""te""),"""")"),"[ '8 వ అత్యుత్తమ ఇన్నింగ్స్ (9/69) విశ్లేషణలలో బౌలింగ్']")</f>
        <v>[ '8 వ అత్యుత్తమ ఇన్నింగ్స్ (9/69) విశ్లేషణలలో బౌలింగ్']</v>
      </c>
      <c r="C5442" s="2" t="s">
        <v>3567</v>
      </c>
      <c r="D5442" s="2" t="str">
        <f>IFERROR(__xludf.DUMMYFUNCTION("IF(C5442&lt;&gt;"""", GOOGLETRANSLATE(C5442, ""en"", ""te""),"""")"),"[ '10 వ ఉత్తమ ఇన్నింగ్స్ లో సంఖ్యలు (9/69)', 'ఒక మ్యాచ్లో 13 వ బెస్ట్ ఫిగర్స్ (14)', '8 వ అత్యుత్తమ బౌలింగ్ ఇన్నింగ్స్ లో విశ్లేషించడం (9/69)', '24 వ ఓల్డెస్ట్ ten- ఆటగాడు వికెట్లు లో ఒక మ్యాచ్ (35y 23d) ',' 30 వ అత్యంత వృద్ధ ఆటగాడు తొలి తీసుకుని ఐదు-వికె"&amp;"ట్ల లో-ఒక-ఇన్నింగ్స్ (35y 23d) ']")</f>
        <v>[ '10 వ ఉత్తమ ఇన్నింగ్స్ లో సంఖ్యలు (9/69)', 'ఒక మ్యాచ్లో 13 వ బెస్ట్ ఫిగర్స్ (14)', '8 వ అత్యుత్తమ బౌలింగ్ ఇన్నింగ్స్ లో విశ్లేషించడం (9/69)', '24 వ ఓల్డెస్ట్ ten- ఆటగాడు వికెట్లు లో ఒక మ్యాచ్ (35y 23d) ',' 30 వ అత్యంత వృద్ధ ఆటగాడు తొలి తీసుకుని ఐదు-వికెట్ల లో-ఒక-ఇన్నింగ్స్ (35y 23d) ']</v>
      </c>
      <c r="E5442" s="2"/>
      <c r="F5442" s="2" t="str">
        <f>IFERROR(__xludf.DUMMYFUNCTION("IF(E5442&lt;&gt;"""", GOOGLETRANSLATE(E5442, ""en"", ""te""),"""")"),"")</f>
        <v/>
      </c>
      <c r="G5442" s="2"/>
      <c r="H5442" s="2" t="str">
        <f>IFERROR(__xludf.DUMMYFUNCTION("IF(G5442&lt;&gt;"""", GOOGLETRANSLATE(G5442, ""en"", ""te""),"""")"),"")</f>
        <v/>
      </c>
      <c r="I5442" s="3"/>
    </row>
    <row r="5443" customHeight="1" spans="1:9">
      <c r="A5443" s="2"/>
      <c r="B5443" s="2" t="str">
        <f>IFERROR(__xludf.DUMMYFUNCTION("IF(A5443&lt;&gt;"""", GOOGLETRANSLATE(A5443, ""en"", ""te""),"""")"),"")</f>
        <v/>
      </c>
      <c r="C5443" s="2"/>
      <c r="D5443" s="2" t="str">
        <f>IFERROR(__xludf.DUMMYFUNCTION("IF(C5443&lt;&gt;"""", GOOGLETRANSLATE(C5443, ""en"", ""te""),"""")"),"")</f>
        <v/>
      </c>
      <c r="E5443" s="2"/>
      <c r="F5443" s="2" t="str">
        <f>IFERROR(__xludf.DUMMYFUNCTION("IF(E5443&lt;&gt;"""", GOOGLETRANSLATE(E5443, ""en"", ""te""),"""")"),"")</f>
        <v/>
      </c>
      <c r="G5443" s="2"/>
      <c r="H5443" s="2" t="str">
        <f>IFERROR(__xludf.DUMMYFUNCTION("IF(G5443&lt;&gt;"""", GOOGLETRANSLATE(G5443, ""en"", ""te""),"""")"),"")</f>
        <v/>
      </c>
      <c r="I5443" s="3"/>
    </row>
    <row r="5444" customHeight="1" spans="1:9">
      <c r="A5444" s="2"/>
      <c r="B5444" s="2" t="str">
        <f>IFERROR(__xludf.DUMMYFUNCTION("IF(A5444&lt;&gt;"""", GOOGLETRANSLATE(A5444, ""en"", ""te""),"""")"),"")</f>
        <v/>
      </c>
      <c r="C5444" s="2"/>
      <c r="D5444" s="2" t="str">
        <f>IFERROR(__xludf.DUMMYFUNCTION("IF(C5444&lt;&gt;"""", GOOGLETRANSLATE(C5444, ""en"", ""te""),"""")"),"")</f>
        <v/>
      </c>
      <c r="E5444" s="2" t="s">
        <v>832</v>
      </c>
      <c r="F5444" s="2" t="str">
        <f>IFERROR(__xludf.DUMMYFUNCTION("IF(E5444&lt;&gt;"""", GOOGLETRANSLATE(E5444, ""en"", ""te""),"""")"),"[ 'తొలి ఇన్నింగ్స్ 15 వ బెస్ట్ ఫిగర్స్ (3)']")</f>
        <v>[ 'తొలి ఇన్నింగ్స్ 15 వ బెస్ట్ ఫిగర్స్ (3)']</v>
      </c>
      <c r="G5444" s="2"/>
      <c r="H5444" s="2" t="str">
        <f>IFERROR(__xludf.DUMMYFUNCTION("IF(G5444&lt;&gt;"""", GOOGLETRANSLATE(G5444, ""en"", ""te""),"""")"),"")</f>
        <v/>
      </c>
      <c r="I5444" s="3"/>
    </row>
    <row r="5445" customHeight="1" spans="1:9">
      <c r="A5445" s="2" t="s">
        <v>2429</v>
      </c>
      <c r="B5445" s="2" t="str">
        <f>IFERROR(__xludf.DUMMYFUNCTION("IF(A5445&lt;&gt;"""", GOOGLETRANSLATE(A5445, ""en"", ""te""),"""")"),"[ '10 వ చెత్త ఇన్నింగ్స్ లో ఆర్థిక రేటు (12.00)']")</f>
        <v>[ '10 వ చెత్త ఇన్నింగ్స్ లో ఆర్థిక రేటు (12.00)']</v>
      </c>
      <c r="C5445" s="2"/>
      <c r="D5445" s="2" t="str">
        <f>IFERROR(__xludf.DUMMYFUNCTION("IF(C5445&lt;&gt;"""", GOOGLETRANSLATE(C5445, ""en"", ""te""),"""")"),"")</f>
        <v/>
      </c>
      <c r="E5445" s="2" t="s">
        <v>3568</v>
      </c>
      <c r="F5445" s="2" t="str">
        <f>IFERROR(__xludf.DUMMYFUNCTION("IF(E5445&lt;&gt;"""", GOOGLETRANSLATE(E5445, ""en"", ""te""),"""")"),"[ '13 వ చెత్త కెరీర్ (160.00) (అర్హత లేకుండా) సగటు బౌలింగ్', 'ఇన్నింగ్స్ లో 10 వ చెత్త ఆర్థిక రేటు (12.00)']")</f>
        <v>[ '13 వ చెత్త కెరీర్ (160.00) (అర్హత లేకుండా) సగటు బౌలింగ్', 'ఇన్నింగ్స్ లో 10 వ చెత్త ఆర్థిక రేటు (12.00)']</v>
      </c>
      <c r="G5445" s="2" t="s">
        <v>3569</v>
      </c>
      <c r="H5445" s="2" t="str">
        <f>IFERROR(__xludf.DUMMYFUNCTION("IF(G5445&lt;&gt;"""", GOOGLETRANSLATE(G5445, ""en"", ""te""),"""")"),"[ '32 వ అత్యధిక వికెట్లు తీసుకున్న ఎల్బిడబ్ల్యు (5)']")</f>
        <v>[ '32 వ అత్యధిక వికెట్లు తీసుకున్న ఎల్బిడబ్ల్యు (5)']</v>
      </c>
      <c r="I5445" s="3"/>
    </row>
    <row r="5446" customHeight="1" spans="1:9">
      <c r="A5446" s="2"/>
      <c r="B5446" s="2" t="str">
        <f>IFERROR(__xludf.DUMMYFUNCTION("IF(A5446&lt;&gt;"""", GOOGLETRANSLATE(A5446, ""en"", ""te""),"""")"),"")</f>
        <v/>
      </c>
      <c r="C5446" s="2"/>
      <c r="D5446" s="2" t="str">
        <f>IFERROR(__xludf.DUMMYFUNCTION("IF(C5446&lt;&gt;"""", GOOGLETRANSLATE(C5446, ""en"", ""te""),"""")"),"")</f>
        <v/>
      </c>
      <c r="E5446" s="2"/>
      <c r="F5446" s="2" t="str">
        <f>IFERROR(__xludf.DUMMYFUNCTION("IF(E5446&lt;&gt;"""", GOOGLETRANSLATE(E5446, ""en"", ""te""),"""")"),"")</f>
        <v/>
      </c>
      <c r="G5446" s="2"/>
      <c r="H5446" s="2" t="str">
        <f>IFERROR(__xludf.DUMMYFUNCTION("IF(G5446&lt;&gt;"""", GOOGLETRANSLATE(G5446, ""en"", ""te""),"""")"),"")</f>
        <v/>
      </c>
      <c r="I5446" s="3"/>
    </row>
    <row r="5447" customHeight="1" spans="1:9">
      <c r="A5447" s="2"/>
      <c r="B5447" s="2" t="str">
        <f>IFERROR(__xludf.DUMMYFUNCTION("IF(A5447&lt;&gt;"""", GOOGLETRANSLATE(A5447, ""en"", ""te""),"""")"),"")</f>
        <v/>
      </c>
      <c r="C5447" s="2"/>
      <c r="D5447" s="2" t="str">
        <f>IFERROR(__xludf.DUMMYFUNCTION("IF(C5447&lt;&gt;"""", GOOGLETRANSLATE(C5447, ""en"", ""te""),"""")"),"")</f>
        <v/>
      </c>
      <c r="E5447" s="2"/>
      <c r="F5447" s="2" t="str">
        <f>IFERROR(__xludf.DUMMYFUNCTION("IF(E5447&lt;&gt;"""", GOOGLETRANSLATE(E5447, ""en"", ""te""),"""")"),"")</f>
        <v/>
      </c>
      <c r="G5447" s="2"/>
      <c r="H5447" s="2" t="str">
        <f>IFERROR(__xludf.DUMMYFUNCTION("IF(G5447&lt;&gt;"""", GOOGLETRANSLATE(G5447, ""en"", ""te""),"""")"),"")</f>
        <v/>
      </c>
      <c r="I5447" s="3"/>
    </row>
    <row r="5448" customHeight="1" spans="1:9">
      <c r="A5448" s="2"/>
      <c r="B5448" s="2" t="str">
        <f>IFERROR(__xludf.DUMMYFUNCTION("IF(A5448&lt;&gt;"""", GOOGLETRANSLATE(A5448, ""en"", ""te""),"""")"),"")</f>
        <v/>
      </c>
      <c r="C5448" s="2"/>
      <c r="D5448" s="2" t="str">
        <f>IFERROR(__xludf.DUMMYFUNCTION("IF(C5448&lt;&gt;"""", GOOGLETRANSLATE(C5448, ""en"", ""te""),"""")"),"")</f>
        <v/>
      </c>
      <c r="E5448" s="2"/>
      <c r="F5448" s="2" t="str">
        <f>IFERROR(__xludf.DUMMYFUNCTION("IF(E5448&lt;&gt;"""", GOOGLETRANSLATE(E5448, ""en"", ""te""),"""")"),"")</f>
        <v/>
      </c>
      <c r="G5448" s="2"/>
      <c r="H5448" s="2" t="str">
        <f>IFERROR(__xludf.DUMMYFUNCTION("IF(G5448&lt;&gt;"""", GOOGLETRANSLATE(G5448, ""en"", ""te""),"""")"),"")</f>
        <v/>
      </c>
      <c r="I5448" s="3"/>
    </row>
    <row r="5449" customHeight="1" spans="1:9">
      <c r="A5449" s="2"/>
      <c r="B5449" s="2" t="str">
        <f>IFERROR(__xludf.DUMMYFUNCTION("IF(A5449&lt;&gt;"""", GOOGLETRANSLATE(A5449, ""en"", ""te""),"""")"),"")</f>
        <v/>
      </c>
      <c r="C5449" s="2"/>
      <c r="D5449" s="2" t="str">
        <f>IFERROR(__xludf.DUMMYFUNCTION("IF(C5449&lt;&gt;"""", GOOGLETRANSLATE(C5449, ""en"", ""te""),"""")"),"")</f>
        <v/>
      </c>
      <c r="E5449" s="2"/>
      <c r="F5449" s="2" t="str">
        <f>IFERROR(__xludf.DUMMYFUNCTION("IF(E5449&lt;&gt;"""", GOOGLETRANSLATE(E5449, ""en"", ""te""),"""")"),"")</f>
        <v/>
      </c>
      <c r="G5449" s="2"/>
      <c r="H5449" s="2" t="str">
        <f>IFERROR(__xludf.DUMMYFUNCTION("IF(G5449&lt;&gt;"""", GOOGLETRANSLATE(G5449, ""en"", ""te""),"""")"),"")</f>
        <v/>
      </c>
      <c r="I5449" s="3"/>
    </row>
    <row r="5450" customHeight="1" spans="1:9">
      <c r="A5450" s="2"/>
      <c r="B5450" s="2" t="str">
        <f>IFERROR(__xludf.DUMMYFUNCTION("IF(A5450&lt;&gt;"""", GOOGLETRANSLATE(A5450, ""en"", ""te""),"""")"),"")</f>
        <v/>
      </c>
      <c r="C5450" s="2"/>
      <c r="D5450" s="2" t="str">
        <f>IFERROR(__xludf.DUMMYFUNCTION("IF(C5450&lt;&gt;"""", GOOGLETRANSLATE(C5450, ""en"", ""te""),"""")"),"")</f>
        <v/>
      </c>
      <c r="E5450" s="2"/>
      <c r="F5450" s="2" t="str">
        <f>IFERROR(__xludf.DUMMYFUNCTION("IF(E5450&lt;&gt;"""", GOOGLETRANSLATE(E5450, ""en"", ""te""),"""")"),"")</f>
        <v/>
      </c>
      <c r="G5450" s="2"/>
      <c r="H5450" s="2" t="str">
        <f>IFERROR(__xludf.DUMMYFUNCTION("IF(G5450&lt;&gt;"""", GOOGLETRANSLATE(G5450, ""en"", ""te""),"""")"),"")</f>
        <v/>
      </c>
      <c r="I5450" s="3"/>
    </row>
    <row r="5451" customHeight="1" spans="1:9">
      <c r="A5451" s="2"/>
      <c r="B5451" s="2" t="str">
        <f>IFERROR(__xludf.DUMMYFUNCTION("IF(A5451&lt;&gt;"""", GOOGLETRANSLATE(A5451, ""en"", ""te""),"""")"),"")</f>
        <v/>
      </c>
      <c r="C5451" s="2"/>
      <c r="D5451" s="2" t="str">
        <f>IFERROR(__xludf.DUMMYFUNCTION("IF(C5451&lt;&gt;"""", GOOGLETRANSLATE(C5451, ""en"", ""te""),"""")"),"")</f>
        <v/>
      </c>
      <c r="E5451" s="2"/>
      <c r="F5451" s="2" t="str">
        <f>IFERROR(__xludf.DUMMYFUNCTION("IF(E5451&lt;&gt;"""", GOOGLETRANSLATE(E5451, ""en"", ""te""),"""")"),"")</f>
        <v/>
      </c>
      <c r="G5451" s="2"/>
      <c r="H5451" s="2" t="str">
        <f>IFERROR(__xludf.DUMMYFUNCTION("IF(G5451&lt;&gt;"""", GOOGLETRANSLATE(G5451, ""en"", ""te""),"""")"),"")</f>
        <v/>
      </c>
      <c r="I5451" s="3"/>
    </row>
    <row r="5452" customHeight="1" spans="1:9">
      <c r="A5452" s="2"/>
      <c r="B5452" s="2" t="str">
        <f>IFERROR(__xludf.DUMMYFUNCTION("IF(A5452&lt;&gt;"""", GOOGLETRANSLATE(A5452, ""en"", ""te""),"""")"),"")</f>
        <v/>
      </c>
      <c r="C5452" s="2"/>
      <c r="D5452" s="2" t="str">
        <f>IFERROR(__xludf.DUMMYFUNCTION("IF(C5452&lt;&gt;"""", GOOGLETRANSLATE(C5452, ""en"", ""te""),"""")"),"")</f>
        <v/>
      </c>
      <c r="E5452" s="2" t="s">
        <v>549</v>
      </c>
      <c r="F5452" s="2" t="str">
        <f>IFERROR(__xludf.DUMMYFUNCTION("IF(E5452&lt;&gt;"""", GOOGLETRANSLATE(E5452, ""en"", ""te""),"""")"),"[ 'తొలి ఇన్నింగ్స్ 15 వ బెస్ట్ ఫిగర్స్ (4)']")</f>
        <v>[ 'తొలి ఇన్నింగ్స్ 15 వ బెస్ట్ ఫిగర్స్ (4)']</v>
      </c>
      <c r="G5452" s="2"/>
      <c r="H5452" s="2" t="str">
        <f>IFERROR(__xludf.DUMMYFUNCTION("IF(G5452&lt;&gt;"""", GOOGLETRANSLATE(G5452, ""en"", ""te""),"""")"),"")</f>
        <v/>
      </c>
      <c r="I5452" s="3"/>
    </row>
    <row r="5453" customHeight="1" spans="1:9">
      <c r="A5453" s="2"/>
      <c r="B5453" s="2" t="str">
        <f>IFERROR(__xludf.DUMMYFUNCTION("IF(A5453&lt;&gt;"""", GOOGLETRANSLATE(A5453, ""en"", ""te""),"""")"),"")</f>
        <v/>
      </c>
      <c r="C5453" s="2"/>
      <c r="D5453" s="2" t="str">
        <f>IFERROR(__xludf.DUMMYFUNCTION("IF(C5453&lt;&gt;"""", GOOGLETRANSLATE(C5453, ""en"", ""te""),"""")"),"")</f>
        <v/>
      </c>
      <c r="E5453" s="2"/>
      <c r="F5453" s="2" t="str">
        <f>IFERROR(__xludf.DUMMYFUNCTION("IF(E5453&lt;&gt;"""", GOOGLETRANSLATE(E5453, ""en"", ""te""),"""")"),"")</f>
        <v/>
      </c>
      <c r="G5453" s="2"/>
      <c r="H5453" s="2" t="str">
        <f>IFERROR(__xludf.DUMMYFUNCTION("IF(G5453&lt;&gt;"""", GOOGLETRANSLATE(G5453, ""en"", ""te""),"""")"),"")</f>
        <v/>
      </c>
      <c r="I5453" s="3"/>
    </row>
    <row r="5454" customHeight="1" spans="1:9">
      <c r="A5454" s="2"/>
      <c r="B5454" s="2" t="str">
        <f>IFERROR(__xludf.DUMMYFUNCTION("IF(A5454&lt;&gt;"""", GOOGLETRANSLATE(A5454, ""en"", ""te""),"""")"),"")</f>
        <v/>
      </c>
      <c r="C5454" s="2"/>
      <c r="D5454" s="2" t="str">
        <f>IFERROR(__xludf.DUMMYFUNCTION("IF(C5454&lt;&gt;"""", GOOGLETRANSLATE(C5454, ""en"", ""te""),"""")"),"")</f>
        <v/>
      </c>
      <c r="E5454" s="2" t="s">
        <v>3570</v>
      </c>
      <c r="F5454" s="2" t="str">
        <f>IFERROR(__xludf.DUMMYFUNCTION("IF(E5454&lt;&gt;"""", GOOGLETRANSLATE(E5454, ""en"", ""te""),"""")"),"[ '16 వ ఇన్నింగ్స్ లో అత్యధిక వికెట్లు (5)']")</f>
        <v>[ '16 వ ఇన్నింగ్స్ లో అత్యధిక వికెట్లు (5)']</v>
      </c>
      <c r="G5454" s="2"/>
      <c r="H5454" s="2" t="str">
        <f>IFERROR(__xludf.DUMMYFUNCTION("IF(G5454&lt;&gt;"""", GOOGLETRANSLATE(G5454, ""en"", ""te""),"""")"),"")</f>
        <v/>
      </c>
      <c r="I5454" s="3"/>
    </row>
    <row r="5455" customHeight="1" spans="1:9">
      <c r="A5455" s="2"/>
      <c r="B5455" s="2" t="str">
        <f>IFERROR(__xludf.DUMMYFUNCTION("IF(A5455&lt;&gt;"""", GOOGLETRANSLATE(A5455, ""en"", ""te""),"""")"),"")</f>
        <v/>
      </c>
      <c r="C5455" s="2"/>
      <c r="D5455" s="2" t="str">
        <f>IFERROR(__xludf.DUMMYFUNCTION("IF(C5455&lt;&gt;"""", GOOGLETRANSLATE(C5455, ""en"", ""te""),"""")"),"")</f>
        <v/>
      </c>
      <c r="E5455" s="2"/>
      <c r="F5455" s="2" t="str">
        <f>IFERROR(__xludf.DUMMYFUNCTION("IF(E5455&lt;&gt;"""", GOOGLETRANSLATE(E5455, ""en"", ""te""),"""")"),"")</f>
        <v/>
      </c>
      <c r="G5455" s="2"/>
      <c r="H5455" s="2" t="str">
        <f>IFERROR(__xludf.DUMMYFUNCTION("IF(G5455&lt;&gt;"""", GOOGLETRANSLATE(G5455, ""en"", ""te""),"""")"),"")</f>
        <v/>
      </c>
      <c r="I5455" s="3"/>
    </row>
    <row r="5456" customHeight="1" spans="1:9">
      <c r="A5456" s="2"/>
      <c r="B5456" s="2" t="str">
        <f>IFERROR(__xludf.DUMMYFUNCTION("IF(A5456&lt;&gt;"""", GOOGLETRANSLATE(A5456, ""en"", ""te""),"""")"),"")</f>
        <v/>
      </c>
      <c r="C5456" s="2"/>
      <c r="D5456" s="2" t="str">
        <f>IFERROR(__xludf.DUMMYFUNCTION("IF(C5456&lt;&gt;"""", GOOGLETRANSLATE(C5456, ""en"", ""te""),"""")"),"")</f>
        <v/>
      </c>
      <c r="E5456" s="2"/>
      <c r="F5456" s="2" t="str">
        <f>IFERROR(__xludf.DUMMYFUNCTION("IF(E5456&lt;&gt;"""", GOOGLETRANSLATE(E5456, ""en"", ""te""),"""")"),"")</f>
        <v/>
      </c>
      <c r="G5456" s="2"/>
      <c r="H5456" s="2" t="str">
        <f>IFERROR(__xludf.DUMMYFUNCTION("IF(G5456&lt;&gt;"""", GOOGLETRANSLATE(G5456, ""en"", ""te""),"""")"),"")</f>
        <v/>
      </c>
      <c r="I5456" s="3"/>
    </row>
    <row r="5457" customHeight="1" spans="1:9">
      <c r="A5457" s="2"/>
      <c r="B5457" s="2" t="str">
        <f>IFERROR(__xludf.DUMMYFUNCTION("IF(A5457&lt;&gt;"""", GOOGLETRANSLATE(A5457, ""en"", ""te""),"""")"),"")</f>
        <v/>
      </c>
      <c r="C5457" s="2"/>
      <c r="D5457" s="2" t="str">
        <f>IFERROR(__xludf.DUMMYFUNCTION("IF(C5457&lt;&gt;"""", GOOGLETRANSLATE(C5457, ""en"", ""te""),"""")"),"")</f>
        <v/>
      </c>
      <c r="E5457" s="2"/>
      <c r="F5457" s="2" t="str">
        <f>IFERROR(__xludf.DUMMYFUNCTION("IF(E5457&lt;&gt;"""", GOOGLETRANSLATE(E5457, ""en"", ""te""),"""")"),"")</f>
        <v/>
      </c>
      <c r="G5457" s="2"/>
      <c r="H5457" s="2" t="str">
        <f>IFERROR(__xludf.DUMMYFUNCTION("IF(G5457&lt;&gt;"""", GOOGLETRANSLATE(G5457, ""en"", ""te""),"""")"),"")</f>
        <v/>
      </c>
      <c r="I5457" s="3"/>
    </row>
    <row r="5458" customHeight="1" spans="1:9">
      <c r="A5458" s="2"/>
      <c r="B5458" s="2" t="str">
        <f>IFERROR(__xludf.DUMMYFUNCTION("IF(A5458&lt;&gt;"""", GOOGLETRANSLATE(A5458, ""en"", ""te""),"""")"),"")</f>
        <v/>
      </c>
      <c r="C5458" s="2"/>
      <c r="D5458" s="2" t="str">
        <f>IFERROR(__xludf.DUMMYFUNCTION("IF(C5458&lt;&gt;"""", GOOGLETRANSLATE(C5458, ""en"", ""te""),"""")"),"")</f>
        <v/>
      </c>
      <c r="E5458" s="2"/>
      <c r="F5458" s="2" t="str">
        <f>IFERROR(__xludf.DUMMYFUNCTION("IF(E5458&lt;&gt;"""", GOOGLETRANSLATE(E5458, ""en"", ""te""),"""")"),"")</f>
        <v/>
      </c>
      <c r="G5458" s="2"/>
      <c r="H5458" s="2" t="str">
        <f>IFERROR(__xludf.DUMMYFUNCTION("IF(G5458&lt;&gt;"""", GOOGLETRANSLATE(G5458, ""en"", ""te""),"""")"),"")</f>
        <v/>
      </c>
      <c r="I5458" s="3"/>
    </row>
    <row r="5459" customHeight="1" spans="1:9">
      <c r="A5459" s="2" t="s">
        <v>3571</v>
      </c>
      <c r="B5459" s="2" t="str">
        <f>IFERROR(__xludf.DUMMYFUNCTION("IF(A5459&lt;&gt;"""", GOOGLETRANSLATE(A5459, ""en"", ""te""),"""")"),"[ '6 వ అత్యధిక వరుస నాలుగు వికెట్లు-ఇన్-ఒక-ఇన్నింగ్స్ (5)']")</f>
        <v>[ '6 వ అత్యధిక వరుస నాలుగు వికెట్లు-ఇన్-ఒక-ఇన్నింగ్స్ (5)']</v>
      </c>
      <c r="C5459" s="2" t="s">
        <v>3572</v>
      </c>
      <c r="D5459" s="2" t="str">
        <f>IFERROR(__xludf.DUMMYFUNCTION("IF(C5459&lt;&gt;"""", GOOGLETRANSLATE(C5459, ""en"", ""te""),"""")"),"[ '30 వ ఉత్తమ కెరీర్ (10.59) (అర్హత లేకుండా) సగటు బౌలింగ్', '18 వ వరుస ఐదు వికెట్ల తేడాతో-ఒక ఇన్నింగ్స్లో (3)']")</f>
        <v>[ '30 వ ఉత్తమ కెరీర్ (10.59) (అర్హత లేకుండా) సగటు బౌలింగ్', '18 వ వరుస ఐదు వికెట్ల తేడాతో-ఒక ఇన్నింగ్స్లో (3)']</v>
      </c>
      <c r="E5459" s="2"/>
      <c r="F5459" s="2" t="str">
        <f>IFERROR(__xludf.DUMMYFUNCTION("IF(E5459&lt;&gt;"""", GOOGLETRANSLATE(E5459, ""en"", ""te""),"""")"),"")</f>
        <v/>
      </c>
      <c r="G5459" s="2" t="s">
        <v>3484</v>
      </c>
      <c r="H5459" s="2" t="str">
        <f>IFERROR(__xludf.DUMMYFUNCTION("IF(G5459&lt;&gt;"""", GOOGLETRANSLATE(G5459, ""en"", ""te""),"""")"),"[ '30 వ వరుస మ్యాచ్లు ప్రదర్శనల మధ్య (43) జట్టు తప్పిన']")</f>
        <v>[ '30 వ వరుస మ్యాచ్లు ప్రదర్శనల మధ్య (43) జట్టు తప్పిన']</v>
      </c>
      <c r="I5459" s="3"/>
    </row>
    <row r="5460" customHeight="1" spans="1:9">
      <c r="A5460" s="2" t="s">
        <v>399</v>
      </c>
      <c r="B5460" s="2" t="str">
        <f>IFERROR(__xludf.DUMMYFUNCTION("IF(A5460&lt;&gt;"""", GOOGLETRANSLATE(A5460, ""en"", ""te""),"""")"),"[ 'తొలి పెయిర్']")</f>
        <v>[ 'తొలి పెయిర్']</v>
      </c>
      <c r="C5460" s="2"/>
      <c r="D5460" s="2" t="str">
        <f>IFERROR(__xludf.DUMMYFUNCTION("IF(C5460&lt;&gt;"""", GOOGLETRANSLATE(C5460, ""en"", ""te""),"""")"),"")</f>
        <v/>
      </c>
      <c r="E5460" s="2"/>
      <c r="F5460" s="2" t="str">
        <f>IFERROR(__xludf.DUMMYFUNCTION("IF(E5460&lt;&gt;"""", GOOGLETRANSLATE(E5460, ""en"", ""te""),"""")"),"")</f>
        <v/>
      </c>
      <c r="G5460" s="2"/>
      <c r="H5460" s="2" t="str">
        <f>IFERROR(__xludf.DUMMYFUNCTION("IF(G5460&lt;&gt;"""", GOOGLETRANSLATE(G5460, ""en"", ""te""),"""")"),"")</f>
        <v/>
      </c>
      <c r="I5460" s="3"/>
    </row>
    <row r="5461" customHeight="1" spans="1:9">
      <c r="A5461" s="2"/>
      <c r="B5461" s="2" t="str">
        <f>IFERROR(__xludf.DUMMYFUNCTION("IF(A5461&lt;&gt;"""", GOOGLETRANSLATE(A5461, ""en"", ""te""),"""")"),"")</f>
        <v/>
      </c>
      <c r="C5461" s="2"/>
      <c r="D5461" s="2" t="str">
        <f>IFERROR(__xludf.DUMMYFUNCTION("IF(C5461&lt;&gt;"""", GOOGLETRANSLATE(C5461, ""en"", ""te""),"""")"),"")</f>
        <v/>
      </c>
      <c r="E5461" s="2"/>
      <c r="F5461" s="2" t="str">
        <f>IFERROR(__xludf.DUMMYFUNCTION("IF(E5461&lt;&gt;"""", GOOGLETRANSLATE(E5461, ""en"", ""te""),"""")"),"")</f>
        <v/>
      </c>
      <c r="G5461" s="2"/>
      <c r="H5461" s="2" t="str">
        <f>IFERROR(__xludf.DUMMYFUNCTION("IF(G5461&lt;&gt;"""", GOOGLETRANSLATE(G5461, ""en"", ""te""),"""")"),"")</f>
        <v/>
      </c>
      <c r="I5461" s="3"/>
    </row>
    <row r="5462" customHeight="1" spans="1:9">
      <c r="A5462" s="2"/>
      <c r="B5462" s="2" t="str">
        <f>IFERROR(__xludf.DUMMYFUNCTION("IF(A5462&lt;&gt;"""", GOOGLETRANSLATE(A5462, ""en"", ""te""),"""")"),"")</f>
        <v/>
      </c>
      <c r="C5462" s="2"/>
      <c r="D5462" s="2" t="str">
        <f>IFERROR(__xludf.DUMMYFUNCTION("IF(C5462&lt;&gt;"""", GOOGLETRANSLATE(C5462, ""en"", ""te""),"""")"),"")</f>
        <v/>
      </c>
      <c r="E5462" s="2"/>
      <c r="F5462" s="2" t="str">
        <f>IFERROR(__xludf.DUMMYFUNCTION("IF(E5462&lt;&gt;"""", GOOGLETRANSLATE(E5462, ""en"", ""te""),"""")"),"")</f>
        <v/>
      </c>
      <c r="G5462" s="2"/>
      <c r="H5462" s="2" t="str">
        <f>IFERROR(__xludf.DUMMYFUNCTION("IF(G5462&lt;&gt;"""", GOOGLETRANSLATE(G5462, ""en"", ""te""),"""")"),"")</f>
        <v/>
      </c>
      <c r="I5462" s="3"/>
    </row>
    <row r="5463" customHeight="1" spans="1:9">
      <c r="A5463" s="2"/>
      <c r="B5463" s="2" t="str">
        <f>IFERROR(__xludf.DUMMYFUNCTION("IF(A5463&lt;&gt;"""", GOOGLETRANSLATE(A5463, ""en"", ""te""),"""")"),"")</f>
        <v/>
      </c>
      <c r="C5463" s="2"/>
      <c r="D5463" s="2" t="str">
        <f>IFERROR(__xludf.DUMMYFUNCTION("IF(C5463&lt;&gt;"""", GOOGLETRANSLATE(C5463, ""en"", ""te""),"""")"),"")</f>
        <v/>
      </c>
      <c r="E5463" s="2"/>
      <c r="F5463" s="2" t="str">
        <f>IFERROR(__xludf.DUMMYFUNCTION("IF(E5463&lt;&gt;"""", GOOGLETRANSLATE(E5463, ""en"", ""te""),"""")"),"")</f>
        <v/>
      </c>
      <c r="G5463" s="2"/>
      <c r="H5463" s="2" t="str">
        <f>IFERROR(__xludf.DUMMYFUNCTION("IF(G5463&lt;&gt;"""", GOOGLETRANSLATE(G5463, ""en"", ""te""),"""")"),"")</f>
        <v/>
      </c>
      <c r="I5463" s="3"/>
    </row>
    <row r="5464" customHeight="1" spans="1:9">
      <c r="A5464" s="2"/>
      <c r="B5464" s="2" t="str">
        <f>IFERROR(__xludf.DUMMYFUNCTION("IF(A5464&lt;&gt;"""", GOOGLETRANSLATE(A5464, ""en"", ""te""),"""")"),"")</f>
        <v/>
      </c>
      <c r="C5464" s="2"/>
      <c r="D5464" s="2" t="str">
        <f>IFERROR(__xludf.DUMMYFUNCTION("IF(C5464&lt;&gt;"""", GOOGLETRANSLATE(C5464, ""en"", ""te""),"""")"),"")</f>
        <v/>
      </c>
      <c r="E5464" s="2"/>
      <c r="F5464" s="2" t="str">
        <f>IFERROR(__xludf.DUMMYFUNCTION("IF(E5464&lt;&gt;"""", GOOGLETRANSLATE(E5464, ""en"", ""te""),"""")"),"")</f>
        <v/>
      </c>
      <c r="G5464" s="2"/>
      <c r="H5464" s="2" t="str">
        <f>IFERROR(__xludf.DUMMYFUNCTION("IF(G5464&lt;&gt;"""", GOOGLETRANSLATE(G5464, ""en"", ""te""),"""")"),"")</f>
        <v/>
      </c>
      <c r="I5464" s="3"/>
    </row>
    <row r="5465" customHeight="1" spans="1:9">
      <c r="A5465" s="2"/>
      <c r="B5465" s="2" t="str">
        <f>IFERROR(__xludf.DUMMYFUNCTION("IF(A5465&lt;&gt;"""", GOOGLETRANSLATE(A5465, ""en"", ""te""),"""")"),"")</f>
        <v/>
      </c>
      <c r="C5465" s="2"/>
      <c r="D5465" s="2" t="str">
        <f>IFERROR(__xludf.DUMMYFUNCTION("IF(C5465&lt;&gt;"""", GOOGLETRANSLATE(C5465, ""en"", ""te""),"""")"),"")</f>
        <v/>
      </c>
      <c r="E5465" s="2"/>
      <c r="F5465" s="2" t="str">
        <f>IFERROR(__xludf.DUMMYFUNCTION("IF(E5465&lt;&gt;"""", GOOGLETRANSLATE(E5465, ""en"", ""te""),"""")"),"")</f>
        <v/>
      </c>
      <c r="G5465" s="2"/>
      <c r="H5465" s="2" t="str">
        <f>IFERROR(__xludf.DUMMYFUNCTION("IF(G5465&lt;&gt;"""", GOOGLETRANSLATE(G5465, ""en"", ""te""),"""")"),"")</f>
        <v/>
      </c>
      <c r="I5465" s="3"/>
    </row>
    <row r="5466" customHeight="1" spans="1:9">
      <c r="A5466" s="2"/>
      <c r="B5466" s="2" t="str">
        <f>IFERROR(__xludf.DUMMYFUNCTION("IF(A5466&lt;&gt;"""", GOOGLETRANSLATE(A5466, ""en"", ""te""),"""")"),"")</f>
        <v/>
      </c>
      <c r="C5466" s="2"/>
      <c r="D5466" s="2" t="str">
        <f>IFERROR(__xludf.DUMMYFUNCTION("IF(C5466&lt;&gt;"""", GOOGLETRANSLATE(C5466, ""en"", ""te""),"""")"),"")</f>
        <v/>
      </c>
      <c r="E5466" s="2"/>
      <c r="F5466" s="2" t="str">
        <f>IFERROR(__xludf.DUMMYFUNCTION("IF(E5466&lt;&gt;"""", GOOGLETRANSLATE(E5466, ""en"", ""te""),"""")"),"")</f>
        <v/>
      </c>
      <c r="G5466" s="2"/>
      <c r="H5466" s="2" t="str">
        <f>IFERROR(__xludf.DUMMYFUNCTION("IF(G5466&lt;&gt;"""", GOOGLETRANSLATE(G5466, ""en"", ""te""),"""")"),"")</f>
        <v/>
      </c>
      <c r="I5466" s="3"/>
    </row>
    <row r="5467" customHeight="1" spans="1:9">
      <c r="A5467" s="2"/>
      <c r="B5467" s="2" t="str">
        <f>IFERROR(__xludf.DUMMYFUNCTION("IF(A5467&lt;&gt;"""", GOOGLETRANSLATE(A5467, ""en"", ""te""),"""")"),"")</f>
        <v/>
      </c>
      <c r="C5467" s="2"/>
      <c r="D5467" s="2" t="str">
        <f>IFERROR(__xludf.DUMMYFUNCTION("IF(C5467&lt;&gt;"""", GOOGLETRANSLATE(C5467, ""en"", ""te""),"""")"),"")</f>
        <v/>
      </c>
      <c r="E5467" s="2"/>
      <c r="F5467" s="2" t="str">
        <f>IFERROR(__xludf.DUMMYFUNCTION("IF(E5467&lt;&gt;"""", GOOGLETRANSLATE(E5467, ""en"", ""te""),"""")"),"")</f>
        <v/>
      </c>
      <c r="G5467" s="2"/>
      <c r="H5467" s="2" t="str">
        <f>IFERROR(__xludf.DUMMYFUNCTION("IF(G5467&lt;&gt;"""", GOOGLETRANSLATE(G5467, ""en"", ""te""),"""")"),"")</f>
        <v/>
      </c>
      <c r="I5467" s="3"/>
    </row>
    <row r="5468" customHeight="1" spans="1:9">
      <c r="A5468" s="2"/>
      <c r="B5468" s="2" t="str">
        <f>IFERROR(__xludf.DUMMYFUNCTION("IF(A5468&lt;&gt;"""", GOOGLETRANSLATE(A5468, ""en"", ""te""),"""")"),"")</f>
        <v/>
      </c>
      <c r="C5468" s="2"/>
      <c r="D5468" s="2" t="str">
        <f>IFERROR(__xludf.DUMMYFUNCTION("IF(C5468&lt;&gt;"""", GOOGLETRANSLATE(C5468, ""en"", ""te""),"""")"),"")</f>
        <v/>
      </c>
      <c r="E5468" s="2"/>
      <c r="F5468" s="2" t="str">
        <f>IFERROR(__xludf.DUMMYFUNCTION("IF(E5468&lt;&gt;"""", GOOGLETRANSLATE(E5468, ""en"", ""te""),"""")"),"")</f>
        <v/>
      </c>
      <c r="G5468" s="2"/>
      <c r="H5468" s="2" t="str">
        <f>IFERROR(__xludf.DUMMYFUNCTION("IF(G5468&lt;&gt;"""", GOOGLETRANSLATE(G5468, ""en"", ""te""),"""")"),"")</f>
        <v/>
      </c>
      <c r="I5468" s="3"/>
    </row>
    <row r="5469" customHeight="1" spans="1:9">
      <c r="A5469" s="2"/>
      <c r="B5469" s="2" t="str">
        <f>IFERROR(__xludf.DUMMYFUNCTION("IF(A5469&lt;&gt;"""", GOOGLETRANSLATE(A5469, ""en"", ""te""),"""")"),"")</f>
        <v/>
      </c>
      <c r="C5469" s="2"/>
      <c r="D5469" s="2" t="str">
        <f>IFERROR(__xludf.DUMMYFUNCTION("IF(C5469&lt;&gt;"""", GOOGLETRANSLATE(C5469, ""en"", ""te""),"""")"),"")</f>
        <v/>
      </c>
      <c r="E5469" s="2" t="s">
        <v>832</v>
      </c>
      <c r="F5469" s="2" t="str">
        <f>IFERROR(__xludf.DUMMYFUNCTION("IF(E5469&lt;&gt;"""", GOOGLETRANSLATE(E5469, ""en"", ""te""),"""")"),"[ 'తొలి ఇన్నింగ్స్ 15 వ బెస్ట్ ఫిగర్స్ (3)']")</f>
        <v>[ 'తొలి ఇన్నింగ్స్ 15 వ బెస్ట్ ఫిగర్స్ (3)']</v>
      </c>
      <c r="G5469" s="2"/>
      <c r="H5469" s="2" t="str">
        <f>IFERROR(__xludf.DUMMYFUNCTION("IF(G5469&lt;&gt;"""", GOOGLETRANSLATE(G5469, ""en"", ""te""),"""")"),"")</f>
        <v/>
      </c>
      <c r="I5469" s="3"/>
    </row>
    <row r="5470" customHeight="1" spans="1:9">
      <c r="A5470" s="2"/>
      <c r="B5470" s="2" t="str">
        <f>IFERROR(__xludf.DUMMYFUNCTION("IF(A5470&lt;&gt;"""", GOOGLETRANSLATE(A5470, ""en"", ""te""),"""")"),"")</f>
        <v/>
      </c>
      <c r="C5470" s="2"/>
      <c r="D5470" s="2" t="str">
        <f>IFERROR(__xludf.DUMMYFUNCTION("IF(C5470&lt;&gt;"""", GOOGLETRANSLATE(C5470, ""en"", ""te""),"""")"),"")</f>
        <v/>
      </c>
      <c r="E5470" s="2"/>
      <c r="F5470" s="2" t="str">
        <f>IFERROR(__xludf.DUMMYFUNCTION("IF(E5470&lt;&gt;"""", GOOGLETRANSLATE(E5470, ""en"", ""te""),"""")"),"")</f>
        <v/>
      </c>
      <c r="G5470" s="2"/>
      <c r="H5470" s="2" t="str">
        <f>IFERROR(__xludf.DUMMYFUNCTION("IF(G5470&lt;&gt;"""", GOOGLETRANSLATE(G5470, ""en"", ""te""),"""")"),"")</f>
        <v/>
      </c>
      <c r="I5470" s="3"/>
    </row>
    <row r="5471" customHeight="1" spans="1:9">
      <c r="A5471" s="2"/>
      <c r="B5471" s="2" t="str">
        <f>IFERROR(__xludf.DUMMYFUNCTION("IF(A5471&lt;&gt;"""", GOOGLETRANSLATE(A5471, ""en"", ""te""),"""")"),"")</f>
        <v/>
      </c>
      <c r="C5471" s="2"/>
      <c r="D5471" s="2" t="str">
        <f>IFERROR(__xludf.DUMMYFUNCTION("IF(C5471&lt;&gt;"""", GOOGLETRANSLATE(C5471, ""en"", ""te""),"""")"),"")</f>
        <v/>
      </c>
      <c r="E5471" s="2"/>
      <c r="F5471" s="2" t="str">
        <f>IFERROR(__xludf.DUMMYFUNCTION("IF(E5471&lt;&gt;"""", GOOGLETRANSLATE(E5471, ""en"", ""te""),"""")"),"")</f>
        <v/>
      </c>
      <c r="G5471" s="2"/>
      <c r="H5471" s="2" t="str">
        <f>IFERROR(__xludf.DUMMYFUNCTION("IF(G5471&lt;&gt;"""", GOOGLETRANSLATE(G5471, ""en"", ""te""),"""")"),"")</f>
        <v/>
      </c>
      <c r="I5471" s="3"/>
    </row>
    <row r="5472" customHeight="1" spans="1:9">
      <c r="A5472" s="2"/>
      <c r="B5472" s="2" t="str">
        <f>IFERROR(__xludf.DUMMYFUNCTION("IF(A5472&lt;&gt;"""", GOOGLETRANSLATE(A5472, ""en"", ""te""),"""")"),"")</f>
        <v/>
      </c>
      <c r="C5472" s="2"/>
      <c r="D5472" s="2" t="str">
        <f>IFERROR(__xludf.DUMMYFUNCTION("IF(C5472&lt;&gt;"""", GOOGLETRANSLATE(C5472, ""en"", ""te""),"""")"),"")</f>
        <v/>
      </c>
      <c r="E5472" s="2"/>
      <c r="F5472" s="2" t="str">
        <f>IFERROR(__xludf.DUMMYFUNCTION("IF(E5472&lt;&gt;"""", GOOGLETRANSLATE(E5472, ""en"", ""te""),"""")"),"")</f>
        <v/>
      </c>
      <c r="G5472" s="2"/>
      <c r="H5472" s="2" t="str">
        <f>IFERROR(__xludf.DUMMYFUNCTION("IF(G5472&lt;&gt;"""", GOOGLETRANSLATE(G5472, ""en"", ""te""),"""")"),"")</f>
        <v/>
      </c>
      <c r="I5472" s="3"/>
    </row>
    <row r="5473" customHeight="1" spans="1:9">
      <c r="A5473" s="2" t="s">
        <v>3573</v>
      </c>
      <c r="B5473" s="2" t="str">
        <f>IFERROR(__xludf.DUMMYFUNCTION("IF(A5473&lt;&gt;"""", GOOGLETRANSLATE(A5473, ""en"", ""te""),"""")"),"[ '1st వరుస బాతులు (3)', '1st అసాధారణ వికెట్లు (అడ్డుకోవడం)']")</f>
        <v>[ '1st వరుస బాతులు (3)', '1st అసాధారణ వికెట్లు (అడ్డుకోవడం)']</v>
      </c>
      <c r="C5473" s="2"/>
      <c r="D5473" s="2" t="str">
        <f>IFERROR(__xludf.DUMMYFUNCTION("IF(C5473&lt;&gt;"""", GOOGLETRANSLATE(C5473, ""en"", ""te""),"""")"),"")</f>
        <v/>
      </c>
      <c r="E5473" s="2"/>
      <c r="F5473" s="2" t="str">
        <f>IFERROR(__xludf.DUMMYFUNCTION("IF(E5473&lt;&gt;"""", GOOGLETRANSLATE(E5473, ""en"", ""te""),"""")"),"")</f>
        <v/>
      </c>
      <c r="G5473" s="2" t="s">
        <v>3574</v>
      </c>
      <c r="H5473" s="2" t="str">
        <f>IFERROR(__xludf.DUMMYFUNCTION("IF(G5473&lt;&gt;"""", GOOGLETRANSLATE(G5473, ""en"", ""te""),"""")"),"[ '15 వ ఇన్నింగ్స్ లో అత్యధిక పరుగులు (బ్యాటింగ్ స్థానంలో ప్రకారం) (54 *)', '34 వ కెరీర్ బాతులు (5)', '1 వ వరుస బాతులు (3)', '1st అసాధారణ వికెట్లు (అడ్డుకోవడం)', '42 వ కెరీర్ లో అత్యధిక వికెట్లు (48)', '22 వ ఒక క్యాలెండర్ సంవత్సరంలో అత్యధిక వికెట్లు (20)'"&amp;", '26 అత్యుత్తమ బౌలింగ్ ఇన్నింగ్స్ లో విశ్లేషించడం (2/3)', '38 వ కెరీర్ (1036) లో బౌల్డ్ చాలా బంతుల్లో' '37 వ కెరీర్ లో సాధించిన అత్యధిక పరుగులు (1008)', '43 వ ఇన్నింగ్స్ లో సాధించిన అత్యధిక పరుగులు (44)', '18 వ బౌలర్ / బ్యాట్స్ కలయికలు (4)', '43 వ అత్యధి"&amp;"క వికెట్లు తీసుకున్న ఆకర్షించింది (26)', '12 వ ఎక్కువ వికెట్లు క్యాచ్ మరియు బౌల్డ్ తీసుకోకూడదు (4) ',' 45 వ అత్యధిక వికెట్లు చిక్కుకున్న ఫీల్డర్ తీసుకున్న (21) ',' 23 వ అత్యధిక వికెట్లు ఆకర్షించింది అత్యధిక వికెట్లు తీసిన (5) ',' 16 వ అత్యధిక వికెట్లు తీస"&amp;"ుకున్న ఎల్బిడబ్ల్యు (9) ', '32 వ అత్యంత తీసుకోబడిన వికెట్ల స్టంప్ (6)', 'ఆరవ వికెట్కు 16 అత్యధిక భాగస్వామ్యం (53 *)']")</f>
        <v>[ '15 వ ఇన్నింగ్స్ లో అత్యధిక పరుగులు (బ్యాటింగ్ స్థానంలో ప్రకారం) (54 *)', '34 వ కెరీర్ బాతులు (5)', '1 వ వరుస బాతులు (3)', '1st అసాధారణ వికెట్లు (అడ్డుకోవడం)', '42 వ కెరీర్ లో అత్యధిక వికెట్లు (48)', '22 వ ఒక క్యాలెండర్ సంవత్సరంలో అత్యధిక వికెట్లు (20)', '26 అత్యుత్తమ బౌలింగ్ ఇన్నింగ్స్ లో విశ్లేషించడం (2/3)', '38 వ కెరీర్ (1036) లో బౌల్డ్ చాలా బంతుల్లో' '37 వ కెరీర్ లో సాధించిన అత్యధిక పరుగులు (1008)', '43 వ ఇన్నింగ్స్ లో సాధించిన అత్యధిక పరుగులు (44)', '18 వ బౌలర్ / బ్యాట్స్ కలయికలు (4)', '43 వ అత్యధిక వికెట్లు తీసుకున్న ఆకర్షించింది (26)', '12 వ ఎక్కువ వికెట్లు క్యాచ్ మరియు బౌల్డ్ తీసుకోకూడదు (4) ',' 45 వ అత్యధిక వికెట్లు చిక్కుకున్న ఫీల్డర్ తీసుకున్న (21) ',' 23 వ అత్యధిక వికెట్లు ఆకర్షించింది అత్యధిక వికెట్లు తీసిన (5) ',' 16 వ అత్యధిక వికెట్లు తీసుకున్న ఎల్బిడబ్ల్యు (9) ', '32 వ అత్యంత తీసుకోబడిన వికెట్ల స్టంప్ (6)', 'ఆరవ వికెట్కు 16 అత్యధిక భాగస్వామ్యం (53 *)']</v>
      </c>
      <c r="I5473" s="3"/>
    </row>
    <row r="5474" customHeight="1" spans="1:9">
      <c r="A5474" s="2"/>
      <c r="B5474" s="2" t="str">
        <f>IFERROR(__xludf.DUMMYFUNCTION("IF(A5474&lt;&gt;"""", GOOGLETRANSLATE(A5474, ""en"", ""te""),"""")"),"")</f>
        <v/>
      </c>
      <c r="C5474" s="2"/>
      <c r="D5474" s="2" t="str">
        <f>IFERROR(__xludf.DUMMYFUNCTION("IF(C5474&lt;&gt;"""", GOOGLETRANSLATE(C5474, ""en"", ""te""),"""")"),"")</f>
        <v/>
      </c>
      <c r="E5474" s="2"/>
      <c r="F5474" s="2" t="str">
        <f>IFERROR(__xludf.DUMMYFUNCTION("IF(E5474&lt;&gt;"""", GOOGLETRANSLATE(E5474, ""en"", ""te""),"""")"),"")</f>
        <v/>
      </c>
      <c r="G5474" s="2"/>
      <c r="H5474" s="2" t="str">
        <f>IFERROR(__xludf.DUMMYFUNCTION("IF(G5474&lt;&gt;"""", GOOGLETRANSLATE(G5474, ""en"", ""te""),"""")"),"")</f>
        <v/>
      </c>
      <c r="I5474" s="3"/>
    </row>
    <row r="5475" customHeight="1" spans="1:9">
      <c r="A5475" s="2"/>
      <c r="B5475" s="2" t="str">
        <f>IFERROR(__xludf.DUMMYFUNCTION("IF(A5475&lt;&gt;"""", GOOGLETRANSLATE(A5475, ""en"", ""te""),"""")"),"")</f>
        <v/>
      </c>
      <c r="C5475" s="2"/>
      <c r="D5475" s="2" t="str">
        <f>IFERROR(__xludf.DUMMYFUNCTION("IF(C5475&lt;&gt;"""", GOOGLETRANSLATE(C5475, ""en"", ""te""),"""")"),"")</f>
        <v/>
      </c>
      <c r="E5475" s="2"/>
      <c r="F5475" s="2" t="str">
        <f>IFERROR(__xludf.DUMMYFUNCTION("IF(E5475&lt;&gt;"""", GOOGLETRANSLATE(E5475, ""en"", ""te""),"""")"),"")</f>
        <v/>
      </c>
      <c r="G5475" s="2"/>
      <c r="H5475" s="2" t="str">
        <f>IFERROR(__xludf.DUMMYFUNCTION("IF(G5475&lt;&gt;"""", GOOGLETRANSLATE(G5475, ""en"", ""te""),"""")"),"")</f>
        <v/>
      </c>
      <c r="I5475" s="3"/>
    </row>
    <row r="5476" customHeight="1" spans="1:9">
      <c r="A5476" s="2" t="s">
        <v>3575</v>
      </c>
      <c r="B5476" s="2" t="str">
        <f>IFERROR(__xludf.DUMMYFUNCTION("IF(A5476&lt;&gt;"""", GOOGLETRANSLATE(A5476, ""en"", ""te""),"""")"),"[ 'హండ్రెడ్ మరియు ఒక మ్యాచ్లో ఒక డక్', 'ఐదు రోజుల మ్యాచ్లో ప్రతి రోజు బ్యాటింగ్', '5000 పరుగులు మరియు 50 ఫీల్డింగ్ వికెట్లు']")</f>
        <v>[ 'హండ్రెడ్ మరియు ఒక మ్యాచ్లో ఒక డక్', 'ఐదు రోజుల మ్యాచ్లో ప్రతి రోజు బ్యాటింగ్', '5000 పరుగులు మరియు 50 ఫీల్డింగ్ వికెట్లు']</v>
      </c>
      <c r="C5476" s="2" t="s">
        <v>3576</v>
      </c>
      <c r="D5476" s="2" t="str">
        <f>IFERROR(__xludf.DUMMYFUNCTION("IF(C5476&lt;&gt;"""", GOOGLETRANSLATE(C5476, ""en"", ""te""),"""")"),"[ '27 వ ఒక వృత్తిలో డబుల్ సెంచరీలు (3)', 'వరుస మ్యాచ్లలో 21 వందల (3)', '24 వ అత్యంత ఇన్నింగ్స్ ముందు మొదటి డక్ (38)', '44th లాంగెస్ట్ వ్యక్తిగత ఇన్నింగ్స్ (నిమిషాలు) (672)' '1000 పరుగులు 13 వ వేగంగా (18)' '30 వ లాంగెస్ట్ వ్యక్తిగత ఇన్నింగ్స్ (బంతులతో) (52"&amp;"5)', '48 వ 2000 పరుగులు వేగంగా (46)', '34 వ 3000 పరుగులు (67) వేగంగా', '17 వ వేగవంతమైన 4000 పరుగులు (84) ',' ఫాస్టెస్ట్ 5000 పరుగులు (108) ',' 30 వ అత్యంత వేగంగా చేయడానికి 6000 పరుగులు 24 (134) ',' ఏడవ వికెట్ (199) 19 వ అత్యధిక భాగస్వామ్యం ']")</f>
        <v>[ '27 వ ఒక వృత్తిలో డబుల్ సెంచరీలు (3)', 'వరుస మ్యాచ్లలో 21 వందల (3)', '24 వ అత్యంత ఇన్నింగ్స్ ముందు మొదటి డక్ (38)', '44th లాంగెస్ట్ వ్యక్తిగత ఇన్నింగ్స్ (నిమిషాలు) (672)' '1000 పరుగులు 13 వ వేగంగా (18)' '30 వ లాంగెస్ట్ వ్యక్తిగత ఇన్నింగ్స్ (బంతులతో) (525)', '48 వ 2000 పరుగులు వేగంగా (46)', '34 వ 3000 పరుగులు (67) వేగంగా', '17 వ వేగవంతమైన 4000 పరుగులు (84) ',' ఫాస్టెస్ట్ 5000 పరుగులు (108) ',' 30 వ అత్యంత వేగంగా చేయడానికి 6000 పరుగులు 24 (134) ',' ఏడవ వికెట్ (199) 19 వ అత్యధిక భాగస్వామ్యం ']</v>
      </c>
      <c r="E5476" s="2"/>
      <c r="F5476" s="2" t="str">
        <f>IFERROR(__xludf.DUMMYFUNCTION("IF(E5476&lt;&gt;"""", GOOGLETRANSLATE(E5476, ""en"", ""te""),"""")"),"")</f>
        <v/>
      </c>
      <c r="G5476" s="2"/>
      <c r="H5476" s="2" t="str">
        <f>IFERROR(__xludf.DUMMYFUNCTION("IF(G5476&lt;&gt;"""", GOOGLETRANSLATE(G5476, ""en"", ""te""),"""")"),"")</f>
        <v/>
      </c>
      <c r="I5476" s="3"/>
    </row>
    <row r="5477" customHeight="1" spans="1:9">
      <c r="A5477" s="2"/>
      <c r="B5477" s="2" t="str">
        <f>IFERROR(__xludf.DUMMYFUNCTION("IF(A5477&lt;&gt;"""", GOOGLETRANSLATE(A5477, ""en"", ""te""),"""")"),"")</f>
        <v/>
      </c>
      <c r="C5477" s="2"/>
      <c r="D5477" s="2" t="str">
        <f>IFERROR(__xludf.DUMMYFUNCTION("IF(C5477&lt;&gt;"""", GOOGLETRANSLATE(C5477, ""en"", ""te""),"""")"),"")</f>
        <v/>
      </c>
      <c r="E5477" s="2"/>
      <c r="F5477" s="2" t="str">
        <f>IFERROR(__xludf.DUMMYFUNCTION("IF(E5477&lt;&gt;"""", GOOGLETRANSLATE(E5477, ""en"", ""te""),"""")"),"")</f>
        <v/>
      </c>
      <c r="G5477" s="2"/>
      <c r="H5477" s="2" t="str">
        <f>IFERROR(__xludf.DUMMYFUNCTION("IF(G5477&lt;&gt;"""", GOOGLETRANSLATE(G5477, ""en"", ""te""),"""")"),"")</f>
        <v/>
      </c>
      <c r="I5477" s="3"/>
    </row>
    <row r="5478" customHeight="1" spans="1:9">
      <c r="A5478" s="2"/>
      <c r="B5478" s="2" t="str">
        <f>IFERROR(__xludf.DUMMYFUNCTION("IF(A5478&lt;&gt;"""", GOOGLETRANSLATE(A5478, ""en"", ""te""),"""")"),"")</f>
        <v/>
      </c>
      <c r="C5478" s="2"/>
      <c r="D5478" s="2" t="str">
        <f>IFERROR(__xludf.DUMMYFUNCTION("IF(C5478&lt;&gt;"""", GOOGLETRANSLATE(C5478, ""en"", ""te""),"""")"),"")</f>
        <v/>
      </c>
      <c r="E5478" s="2"/>
      <c r="F5478" s="2" t="str">
        <f>IFERROR(__xludf.DUMMYFUNCTION("IF(E5478&lt;&gt;"""", GOOGLETRANSLATE(E5478, ""en"", ""te""),"""")"),"")</f>
        <v/>
      </c>
      <c r="G5478" s="2"/>
      <c r="H5478" s="2" t="str">
        <f>IFERROR(__xludf.DUMMYFUNCTION("IF(G5478&lt;&gt;"""", GOOGLETRANSLATE(G5478, ""en"", ""te""),"""")"),"")</f>
        <v/>
      </c>
      <c r="I5478" s="3"/>
    </row>
    <row r="5479" customHeight="1" spans="1:9">
      <c r="A5479" s="2"/>
      <c r="B5479" s="2" t="str">
        <f>IFERROR(__xludf.DUMMYFUNCTION("IF(A5479&lt;&gt;"""", GOOGLETRANSLATE(A5479, ""en"", ""te""),"""")"),"")</f>
        <v/>
      </c>
      <c r="C5479" s="2"/>
      <c r="D5479" s="2" t="str">
        <f>IFERROR(__xludf.DUMMYFUNCTION("IF(C5479&lt;&gt;"""", GOOGLETRANSLATE(C5479, ""en"", ""te""),"""")"),"")</f>
        <v/>
      </c>
      <c r="E5479" s="2"/>
      <c r="F5479" s="2" t="str">
        <f>IFERROR(__xludf.DUMMYFUNCTION("IF(E5479&lt;&gt;"""", GOOGLETRANSLATE(E5479, ""en"", ""te""),"""")"),"")</f>
        <v/>
      </c>
      <c r="G5479" s="2"/>
      <c r="H5479" s="2" t="str">
        <f>IFERROR(__xludf.DUMMYFUNCTION("IF(G5479&lt;&gt;"""", GOOGLETRANSLATE(G5479, ""en"", ""te""),"""")"),"")</f>
        <v/>
      </c>
      <c r="I5479" s="3"/>
    </row>
    <row r="5480" customHeight="1" spans="1:9">
      <c r="A5480" s="2"/>
      <c r="B5480" s="2" t="str">
        <f>IFERROR(__xludf.DUMMYFUNCTION("IF(A5480&lt;&gt;"""", GOOGLETRANSLATE(A5480, ""en"", ""te""),"""")"),"")</f>
        <v/>
      </c>
      <c r="C5480" s="2"/>
      <c r="D5480" s="2" t="str">
        <f>IFERROR(__xludf.DUMMYFUNCTION("IF(C5480&lt;&gt;"""", GOOGLETRANSLATE(C5480, ""en"", ""te""),"""")"),"")</f>
        <v/>
      </c>
      <c r="E5480" s="2"/>
      <c r="F5480" s="2" t="str">
        <f>IFERROR(__xludf.DUMMYFUNCTION("IF(E5480&lt;&gt;"""", GOOGLETRANSLATE(E5480, ""en"", ""te""),"""")"),"")</f>
        <v/>
      </c>
      <c r="G5480" s="2"/>
      <c r="H5480" s="2" t="str">
        <f>IFERROR(__xludf.DUMMYFUNCTION("IF(G5480&lt;&gt;"""", GOOGLETRANSLATE(G5480, ""en"", ""te""),"""")"),"")</f>
        <v/>
      </c>
      <c r="I5480" s="3"/>
    </row>
    <row r="5481" customHeight="1" spans="1:9">
      <c r="A5481" s="2"/>
      <c r="B5481" s="2" t="str">
        <f>IFERROR(__xludf.DUMMYFUNCTION("IF(A5481&lt;&gt;"""", GOOGLETRANSLATE(A5481, ""en"", ""te""),"""")"),"")</f>
        <v/>
      </c>
      <c r="C5481" s="2"/>
      <c r="D5481" s="2" t="str">
        <f>IFERROR(__xludf.DUMMYFUNCTION("IF(C5481&lt;&gt;"""", GOOGLETRANSLATE(C5481, ""en"", ""te""),"""")"),"")</f>
        <v/>
      </c>
      <c r="E5481" s="2"/>
      <c r="F5481" s="2" t="str">
        <f>IFERROR(__xludf.DUMMYFUNCTION("IF(E5481&lt;&gt;"""", GOOGLETRANSLATE(E5481, ""en"", ""te""),"""")"),"")</f>
        <v/>
      </c>
      <c r="G5481" s="2"/>
      <c r="H5481" s="2" t="str">
        <f>IFERROR(__xludf.DUMMYFUNCTION("IF(G5481&lt;&gt;"""", GOOGLETRANSLATE(G5481, ""en"", ""te""),"""")"),"")</f>
        <v/>
      </c>
      <c r="I5481" s="3"/>
    </row>
    <row r="5482" customHeight="1" spans="1:9">
      <c r="A5482" s="2"/>
      <c r="B5482" s="2" t="str">
        <f>IFERROR(__xludf.DUMMYFUNCTION("IF(A5482&lt;&gt;"""", GOOGLETRANSLATE(A5482, ""en"", ""te""),"""")"),"")</f>
        <v/>
      </c>
      <c r="C5482" s="2"/>
      <c r="D5482" s="2" t="str">
        <f>IFERROR(__xludf.DUMMYFUNCTION("IF(C5482&lt;&gt;"""", GOOGLETRANSLATE(C5482, ""en"", ""te""),"""")"),"")</f>
        <v/>
      </c>
      <c r="E5482" s="2"/>
      <c r="F5482" s="2" t="str">
        <f>IFERROR(__xludf.DUMMYFUNCTION("IF(E5482&lt;&gt;"""", GOOGLETRANSLATE(E5482, ""en"", ""te""),"""")"),"")</f>
        <v/>
      </c>
      <c r="G5482" s="2"/>
      <c r="H5482" s="2" t="str">
        <f>IFERROR(__xludf.DUMMYFUNCTION("IF(G5482&lt;&gt;"""", GOOGLETRANSLATE(G5482, ""en"", ""te""),"""")"),"")</f>
        <v/>
      </c>
      <c r="I5482" s="3"/>
    </row>
    <row r="5483" customHeight="1" spans="1:9">
      <c r="A5483" s="2"/>
      <c r="B5483" s="2" t="str">
        <f>IFERROR(__xludf.DUMMYFUNCTION("IF(A5483&lt;&gt;"""", GOOGLETRANSLATE(A5483, ""en"", ""te""),"""")"),"")</f>
        <v/>
      </c>
      <c r="C5483" s="2"/>
      <c r="D5483" s="2" t="str">
        <f>IFERROR(__xludf.DUMMYFUNCTION("IF(C5483&lt;&gt;"""", GOOGLETRANSLATE(C5483, ""en"", ""te""),"""")"),"")</f>
        <v/>
      </c>
      <c r="E5483" s="2"/>
      <c r="F5483" s="2" t="str">
        <f>IFERROR(__xludf.DUMMYFUNCTION("IF(E5483&lt;&gt;"""", GOOGLETRANSLATE(E5483, ""en"", ""te""),"""")"),"")</f>
        <v/>
      </c>
      <c r="G5483" s="2"/>
      <c r="H5483" s="2" t="str">
        <f>IFERROR(__xludf.DUMMYFUNCTION("IF(G5483&lt;&gt;"""", GOOGLETRANSLATE(G5483, ""en"", ""te""),"""")"),"")</f>
        <v/>
      </c>
      <c r="I5483" s="3"/>
    </row>
    <row r="5484" customHeight="1" spans="1:9">
      <c r="A5484" s="2"/>
      <c r="B5484" s="2" t="str">
        <f>IFERROR(__xludf.DUMMYFUNCTION("IF(A5484&lt;&gt;"""", GOOGLETRANSLATE(A5484, ""en"", ""te""),"""")"),"")</f>
        <v/>
      </c>
      <c r="C5484" s="2"/>
      <c r="D5484" s="2" t="str">
        <f>IFERROR(__xludf.DUMMYFUNCTION("IF(C5484&lt;&gt;"""", GOOGLETRANSLATE(C5484, ""en"", ""te""),"""")"),"")</f>
        <v/>
      </c>
      <c r="E5484" s="2"/>
      <c r="F5484" s="2" t="str">
        <f>IFERROR(__xludf.DUMMYFUNCTION("IF(E5484&lt;&gt;"""", GOOGLETRANSLATE(E5484, ""en"", ""te""),"""")"),"")</f>
        <v/>
      </c>
      <c r="G5484" s="2"/>
      <c r="H5484" s="2" t="str">
        <f>IFERROR(__xludf.DUMMYFUNCTION("IF(G5484&lt;&gt;"""", GOOGLETRANSLATE(G5484, ""en"", ""te""),"""")"),"")</f>
        <v/>
      </c>
      <c r="I5484" s="3"/>
    </row>
    <row r="5485" customHeight="1" spans="1:9">
      <c r="A5485" s="2" t="s">
        <v>3577</v>
      </c>
      <c r="B5485" s="2" t="str">
        <f>IFERROR(__xludf.DUMMYFUNCTION("IF(A5485&lt;&gt;"""", GOOGLETRANSLATE(A5485, ""en"", ""te""),"""")"),"'వరుస 2 వ అత్యధిక క్యాచ్లు (14)' [ 'వరుస ఇన్నింగ్స్లో 1st యాభైల్లో (7)', 'తొలి హండ్రెడ్ (100 *)', 'ఇన్నింగ్స్ లో 2 వ అత్యధిక పరుగులు (బ్యాటింగ్ స్థానంలో ప్రకారం) (110 *) ',' 7 వ అత్యధిక కెరీర్ బ్యాటింగ్ సగటు (39.92) ',' వరుస ఇన్నింగ్స్లో 3 వ యాభైల్లో (3"&amp;") ',' 1000 పరుగులు 4 వ వేగవంతమైన (29) ',' వరుస ఇన్నింగ్స్లో 2 వ యాభైల్లో (7) ']")</f>
        <v>'వరుస 2 వ అత్యధిక క్యాచ్లు (14)' [ 'వరుస ఇన్నింగ్స్లో 1st యాభైల్లో (7)', 'తొలి హండ్రెడ్ (100 *)', 'ఇన్నింగ్స్ లో 2 వ అత్యధిక పరుగులు (బ్యాటింగ్ స్థానంలో ప్రకారం) (110 *) ',' 7 వ అత్యధిక కెరీర్ బ్యాటింగ్ సగటు (39.92) ',' వరుస ఇన్నింగ్స్లో 3 వ యాభైల్లో (3) ',' 1000 పరుగులు 4 వ వేగవంతమైన (29) ',' వరుస ఇన్నింగ్స్లో 2 వ యాభైల్లో (7) ']</v>
      </c>
      <c r="C5485" s="2" t="s">
        <v>3578</v>
      </c>
      <c r="D5485" s="2" t="str">
        <f>IFERROR(__xludf.DUMMYFUNCTION("IF(C5485&lt;&gt;"""", GOOGLETRANSLATE(C5485, ""en"", ""te""),"""")"),"[ 'వరుస ఇన్నింగ్స్లో 1st యాభైల్లో (7)', 'ఒక మ్యాచ్లో 2nd అత్యధిక క్యాచ్లు (7)' 'వరుస మ్యాచ్లలో 26 యాభైల్లో (7)', '13 వ ఒక ఇన్నింగ్స్లో పరుగుల అత్యధిక శాతం (60.95)', 'వరుస 2 వ అత్యధిక క్యాచ్లు (14)', 'ఆరవ వికెట్ (204) కోసం 49 వ అత్యధిక భాగస్వామ్యం']")</f>
        <v>[ 'వరుస ఇన్నింగ్స్లో 1st యాభైల్లో (7)', 'ఒక మ్యాచ్లో 2nd అత్యధిక క్యాచ్లు (7)' 'వరుస మ్యాచ్లలో 26 యాభైల్లో (7)', '13 వ ఒక ఇన్నింగ్స్లో పరుగుల అత్యధిక శాతం (60.95)', 'వరుస 2 వ అత్యధిక క్యాచ్లు (14)', 'ఆరవ వికెట్ (204) కోసం 49 వ అత్యధిక భాగస్వామ్యం']</v>
      </c>
      <c r="E5485" s="2" t="s">
        <v>3579</v>
      </c>
      <c r="F5485" s="2" t="str">
        <f>IFERROR(__xludf.DUMMYFUNCTION("IF(E5485&lt;&gt;"""", GOOGLETRANSLATE(E5485, ""en"", ""te""),"""")"),"[ '16 వ అత్యధిక కెరీర్ బ్యాటింగ్ సగటు (48.67)', '15 వ తొలి మ్యాచ్ (100 *) లో అత్యధిక పరుగులు', '1000 పరుగులు వేగంగా 27 వ (27)']")</f>
        <v>[ '16 వ అత్యధిక కెరీర్ బ్యాటింగ్ సగటు (48.67)', '15 వ తొలి మ్యాచ్ (100 *) లో అత్యధిక పరుగులు', '1000 పరుగులు వేగంగా 27 వ (27)']</v>
      </c>
      <c r="G5485" s="2" t="s">
        <v>3580</v>
      </c>
      <c r="H5485" s="2" t="str">
        <f>IFERROR(__xludf.DUMMYFUNCTION("IF(G5485&lt;&gt;"""", GOOGLETRANSLATE(G5485, ""en"", ""te""),"""")"),"[(బ్యాటింగ్ స్థానంలో ద్వారా) 'కెరీర్లో 32 వ అత్యధిక పరుగులు (1557)', '27 వ ఇన్నింగ్స్ లో అత్యధిక పరుగులు (110 *)', '41 వ ఒక క్యాలెండర్ సంవత్సరంలో అత్యధిక పరుగులు (404)', '2 వ అత్యధిక పరుగులు ఇన్నింగ్స్ లో (110 *) ',' పరాజయం వైపు ఒక మ్యాచ్లో 5 వ అత్యధిక ప"&amp;"రుగులు (110 *) ',' 7 వ అత్యధిక కెరీర్ బ్యాటింగ్ సగటు (39.92) ',' 30 వ అత్యధిక కెరీర్ సమ్మె రేటు (142.19) ',' 10 వ అత్యంత యాభైలలో ఒక డక్ లేకుండా కెరీర్ (14) ',' వరుస ఇన్నింగ్స్లో 3 వ యాభైల్లో (3) ',' 23 వ వరుస ఇన్నింగ్స్ (39) ',' 29th కెరీర్లో ఎక్కువ సిక"&amp;"్స్ (63) ',' 32 వ కెరీర్ ఫోర్లు (138) ',' 30 వ ఇన్నింగ్స్ లో వచ్చిన ఎక్కువ సిక్స్ (8) ',' 12 వ ఇన్నింగ్స్ లో వచ్చిన ఎక్కువ ఫోర్లు (12) ',' ఇన్నింగ్స్ లో ఫోర్లు, సిక్సర్లు నుండి 29 వ అత్యధిక పరుగులు (78) ',' ఫాస్టెస్ట్ 1000 పరుగులు 4 (29 ) ',' రెండవ వికెట్"&amp;"కు 45 వ అత్యధిక భాగస్వామ్యం (106) ',' మూడో వికెట్కు 44 వ అత్యధిక భాగస్వామ్యం (95) ',' నాలుగవ వికెట్కు 11 వ అత్యధిక భాగస్వామ్యం (107) ',' 20 వ అత్యంత బైలు ఇన్నింగ్స్ లో సాధించిన (6) ']")</f>
        <v>[(బ్యాటింగ్ స్థానంలో ద్వారా) 'కెరీర్లో 32 వ అత్యధిక పరుగులు (1557)', '27 వ ఇన్నింగ్స్ లో అత్యధిక పరుగులు (110 *)', '41 వ ఒక క్యాలెండర్ సంవత్సరంలో అత్యధిక పరుగులు (404)', '2 వ అత్యధిక పరుగులు ఇన్నింగ్స్ లో (110 *) ',' పరాజయం వైపు ఒక మ్యాచ్లో 5 వ అత్యధిక పరుగులు (110 *) ',' 7 వ అత్యధిక కెరీర్ బ్యాటింగ్ సగటు (39.92) ',' 30 వ అత్యధిక కెరీర్ సమ్మె రేటు (142.19) ',' 10 వ అత్యంత యాభైలలో ఒక డక్ లేకుండా కెరీర్ (14) ',' వరుస ఇన్నింగ్స్లో 3 వ యాభైల్లో (3) ',' 23 వ వరుస ఇన్నింగ్స్ (39) ',' 29th కెరీర్లో ఎక్కువ సిక్స్ (63) ',' 32 వ కెరీర్ ఫోర్లు (138) ',' 30 వ ఇన్నింగ్స్ లో వచ్చిన ఎక్కువ సిక్స్ (8) ',' 12 వ ఇన్నింగ్స్ లో వచ్చిన ఎక్కువ ఫోర్లు (12) ',' ఇన్నింగ్స్ లో ఫోర్లు, సిక్సర్లు నుండి 29 వ అత్యధిక పరుగులు (78) ',' ఫాస్టెస్ట్ 1000 పరుగులు 4 (29 ) ',' రెండవ వికెట్కు 45 వ అత్యధిక భాగస్వామ్యం (106) ',' మూడో వికెట్కు 44 వ అత్యధిక భాగస్వామ్యం (95) ',' నాలుగవ వికెట్కు 11 వ అత్యధిక భాగస్వామ్యం (107) ',' 20 వ అత్యంత బైలు ఇన్నింగ్స్ లో సాధించిన (6) ']</v>
      </c>
      <c r="I5485" s="3"/>
    </row>
    <row r="5486" customHeight="1" spans="1:9">
      <c r="A5486" s="2" t="s">
        <v>3581</v>
      </c>
      <c r="B5486" s="2" t="str">
        <f>IFERROR(__xludf.DUMMYFUNCTION("IF(A5486&lt;&gt;"""", GOOGLETRANSLATE(A5486, ""en"", ""te""),"""")"),"[ '3 వ పిన్న కాప్టెన్ (22y 353d)', '1 వ ఇన్నింగ్స్ లో అత్యధిక పరుగులు (బ్యాటింగ్ స్థానంలో ప్రకారం) (214)', '9 వ అత్యధిక కెరీర్ బ్యాటింగ్ సగటు (51.00)', '1st పిన్న ఆటగాడు డబుల్ సెంచరీ (19y స్కోర్ 254d) ',' 1 వ ఇన్నింగ్స్ లో అత్యధిక క్యాచ్లు (3) ',' ఏడవ విక"&amp;"ెట్కు 1st అత్యధిక భాగస్వామ్యం (157) ',' 1st లాంగెస్ట్ కెరీర్లు (21y 264d) ',' 1 వ అత్యధిక మ్యాచ్లు కెప్టెన్గా (137) ', 'కెరీర్ లో 1 వ అత్యధిక పరుగులు (7098)', '6 వ అత్యధిక కెరీర్ బ్యాటింగ్ సగటు (51.06)', 'హండ్రెడ్ తొలి (114 *)', '1st పిన్న ఆటగాడు వంద (16y"&amp;" 205d) స్కోర్', '1 వ అత్యంత తొంభైల కెరీర్లో (5) ',' ఒక డక్ లేకుండా వరుసగా ఇన్నింగ్స్ (7) ',' 2 వ వరుస ఇన్నింగ్స్లో 1st యాభైల్లో (74) ',' ఒక ఇన్నింగ్స్లో పరుగుల 9 వ అత్యధిక శాతం (57.36) ',' 4 వ అత్యధిక క్యాచ్లు కెరీర్లో (57) ',' 5000 పరుగులు మరియు 50 ఫీల"&amp;"్డింగ్ వికెట్లు ',' ఒక క్యాలెండర్ సంవత్సరంలో 7 వ అత్యధిక పరుగులు (575) ',' 1 వ అత్యధిక కెరీర్ బ్యాటింగ్ సగటు (37.52) ',' వరుస ఇన్నింగ్స్లో 2 వ యాభైల్లో (4) ' '7 వ అత్యంత ఇన్నింగ్స్ తొలి డక్ ముందు (28)', '2nd 2000 పరుగులు వేగంగా (7 0) ',' 7 వ ఐదవ వికెట్కు"&amp;" అత్యధిక భాగస్వామ్యం (77) ']")</f>
        <v>[ '3 వ పిన్న కాప్టెన్ (22y 353d)', '1 వ ఇన్నింగ్స్ లో అత్యధిక పరుగులు (బ్యాటింగ్ స్థానంలో ప్రకారం) (214)', '9 వ అత్యధిక కెరీర్ బ్యాటింగ్ సగటు (51.00)', '1st పిన్న ఆటగాడు డబుల్ సెంచరీ (19y స్కోర్ 254d) ',' 1 వ ఇన్నింగ్స్ లో అత్యధిక క్యాచ్లు (3) ',' ఏడవ వికెట్కు 1st అత్యధిక భాగస్వామ్యం (157) ',' 1st లాంగెస్ట్ కెరీర్లు (21y 264d) ',' 1 వ అత్యధిక మ్యాచ్లు కెప్టెన్గా (137) ', 'కెరీర్ లో 1 వ అత్యధిక పరుగులు (7098)', '6 వ అత్యధిక కెరీర్ బ్యాటింగ్ సగటు (51.06)', 'హండ్రెడ్ తొలి (114 *)', '1st పిన్న ఆటగాడు వంద (16y 205d) స్కోర్', '1 వ అత్యంత తొంభైల కెరీర్లో (5) ',' ఒక డక్ లేకుండా వరుసగా ఇన్నింగ్స్ (7) ',' 2 వ వరుస ఇన్నింగ్స్లో 1st యాభైల్లో (74) ',' ఒక ఇన్నింగ్స్లో పరుగుల 9 వ అత్యధిక శాతం (57.36) ',' 4 వ అత్యధిక క్యాచ్లు కెరీర్లో (57) ',' 5000 పరుగులు మరియు 50 ఫీల్డింగ్ వికెట్లు ',' ఒక క్యాలెండర్ సంవత్సరంలో 7 వ అత్యధిక పరుగులు (575) ',' 1 వ అత్యధిక కెరీర్ బ్యాటింగ్ సగటు (37.52) ',' వరుస ఇన్నింగ్స్లో 2 వ యాభైల్లో (4) ' '7 వ అత్యంత ఇన్నింగ్స్ తొలి డక్ ముందు (28)', '2nd 2000 పరుగులు వేగంగా (7 0) ',' 7 వ ఐదవ వికెట్కు అత్యధిక భాగస్వామ్యం (77) ']</v>
      </c>
      <c r="C5486" s="2" t="s">
        <v>3582</v>
      </c>
      <c r="D5486" s="2" t="str">
        <f>IFERROR(__xludf.DUMMYFUNCTION("IF(C5486&lt;&gt;"""", GOOGLETRANSLATE(C5486, ""en"", ""te""),"""")"),"[ '23 వ కెరీర్ లో అత్యధిక పరుగులు (663)', ఒక మ్యాచ్లో 'ఇన్నింగ్స్ లో 9 వ అత్యధిక పరుగులు (ప్రగతిశీల రికార్డు హోల్డర్) (214)', '5 వ అత్యధిక పరుగులు' ఇన్నింగ్స్ (214) లో 2 వ అత్యధిక పరుగులు '(214 ) ',' 1 వ ఇన్నింగ్స్ లో అత్యధిక పరుగులు (బ్యాటింగ్ స్థానంలో ప"&amp;"్రకారం) (214) ',' 4 వ ఒకే మైదానంలో అత్యధిక పరుగులు (301) ',' 9 వ అత్యధిక కెరీర్ బ్యాటింగ్ సగటు (51.00) ',' 1 వ అధిక రెండొందల పరుగులు ఒక కెరీర్ (1) ',' 2 వ అత్యధిక తొలి వంద (214) ',' 3 వ పిన్న ఆటగాడు డబుల్ సెంచరీ (19y 254d) ',' 19 వ అత్యంత అర్థ శతకాలు సాధ"&amp;"ించాడు ',' 1st పిన్న ఆటగాడు వంద (254d 19y) స్కోర్ కెరీర్లో (5) ',' 19 వ అత్యధిక క్యాచ్లు కెరీర్లో (11) ',' 1 వ ఇన్నింగ్స్ (3) ',' 2 వ అత్యధిక క్యాచ్లు లో అత్యధిక క్యాచ్లు ఒక మ్యాచ్లో (4) ',' 23 వ ఎత్తైన ఏ వికెట్కు పార్టనర్ షిప్ ( 157) ',' వికెట్ తేడాతో 7"&amp;" వ అత్యధిక భాగస్వామ్యాల (7) ',' మూడో వికెట్కు 7 వ అత్యధిక భాగస్వామ్యం (136) నాలుగవ వికెట్కు ',' 8 వ అత్యధిక భాగస్వామ్యం (144) ',' ఏడవ వికెట్కు 1st అత్యధిక భాగస్వామ్యం ( 157) ',' 33 వ లాంగెస్ట్ కెరీర్లు (12y 309d) ',' 3 వ పిన్న కాప్టెన్ (22y 353d) ']")</f>
        <v>[ '23 వ కెరీర్ లో అత్యధిక పరుగులు (663)', ఒక మ్యాచ్లో 'ఇన్నింగ్స్ లో 9 వ అత్యధిక పరుగులు (ప్రగతిశీల రికార్డు హోల్డర్) (214)', '5 వ అత్యధిక పరుగులు' ఇన్నింగ్స్ (214) లో 2 వ అత్యధిక పరుగులు '(214 ) ',' 1 వ ఇన్నింగ్స్ లో అత్యధిక పరుగులు (బ్యాటింగ్ స్థానంలో ప్రకారం) (214) ',' 4 వ ఒకే మైదానంలో అత్యధిక పరుగులు (301) ',' 9 వ అత్యధిక కెరీర్ బ్యాటింగ్ సగటు (51.00) ',' 1 వ అధిక రెండొందల పరుగులు ఒక కెరీర్ (1) ',' 2 వ అత్యధిక తొలి వంద (214) ',' 3 వ పిన్న ఆటగాడు డబుల్ సెంచరీ (19y 254d) ',' 19 వ అత్యంత అర్థ శతకాలు సాధించాడు ',' 1st పిన్న ఆటగాడు వంద (254d 19y) స్కోర్ కెరీర్లో (5) ',' 19 వ అత్యధిక క్యాచ్లు కెరీర్లో (11) ',' 1 వ ఇన్నింగ్స్ (3) ',' 2 వ అత్యధిక క్యాచ్లు లో అత్యధిక క్యాచ్లు ఒక మ్యాచ్లో (4) ',' 23 వ ఎత్తైన ఏ వికెట్కు పార్టనర్ షిప్ ( 157) ',' వికెట్ తేడాతో 7 వ అత్యధిక భాగస్వామ్యాల (7) ',' మూడో వికెట్కు 7 వ అత్యధిక భాగస్వామ్యం (136) నాలుగవ వికెట్కు ',' 8 వ అత్యధిక భాగస్వామ్యం (144) ',' ఏడవ వికెట్కు 1st అత్యధిక భాగస్వామ్యం ( 157) ',' 33 వ లాంగెస్ట్ కెరీర్లు (12y 309d) ',' 3 వ పిన్న కాప్టెన్ (22y 353d) ']</v>
      </c>
      <c r="E5486" s="2" t="s">
        <v>3583</v>
      </c>
      <c r="F5486" s="2" t="str">
        <f>IFERROR(__xludf.DUMMYFUNCTION("IF(E5486&lt;&gt;"""", GOOGLETRANSLATE(E5486, ""en"", ""te""),"""")"),"[ '1st అత్యధిక కెరీర్ లో పరుగులు (7098)', 'వరుస 32 వ అత్యధిక పరుగులు (535)', '7th ఒక క్యాలెండర్ సంవత్సరంలో అత్యధిక పరుగులు (783)' పరాజయం వైపు మ్యాచ్లో '2 వ అత్యధిక పరుగులు (125 *) ',' 24th ఒకే మైదానంలో అత్యధిక పరుగులు (386) ',' ఒక కెప్టెన్ ద్వారా ఒక సిర"&amp;"ీస్ లో 7 వ అత్యధిక పరుగులు (535) ',' ఒక కెప్టెన్తో ఇన్నింగ్స్ 12 వ అత్యధిక పరుగులు (125 *) ',' 6 వ అత్యధిక కెరీర్ బ్యాటింగ్ సగటు (51.06) ',' 3 వ అత్యంత తొలి మ్యాచ్ (114 *) లో ఒక జట్టు (3) ',' 32 వ అత్యధిక తొలి వ్యతిరేకంగా (7) ',' 2 వ అత్యధిక వందలు నడుస్తు"&amp;"ంది ',' ఒక వృత్తిలో 6 వ అత్యధిక వందలు వందల (114 *) ',' 1st పిన్న ఆటగాడు కెరీర్లో వంద (35y 287d) ',' 1 వ అత్యంత తొంభైల స్కోర్ (5) ',' 1st చాలా అర్ధ వంద (16y 205d) ',' 5 వ అత్యంత వృద్ధ ఆటగాడు స్కోర్ కెరీర్లో (62) ',' ఒక డక్ లేకుండా (7) ',' 2 వ వరుస ఇన్నింగ"&amp;"్స్ వరుస ఇన్నింగ్స్లో 1st యాభైల్లో కెరీర్లో (74) ',' 12 వ అతి తక్కువ బాతులు (32.16) ',' 9 వ పరుగులు అత్యధిక శాతం పూర్తి ఇన్నింగ్స్ (57.36) ',' 25 వ ఉత్తమ కెరీర్ బౌలింగ్ కెరీర్లో సగటు (అర్హత లేకుండా) (11.37) ',' 4 వ అత్యధిక క్యాచ్లు (57) ',' 26th పలు c వర"&amp;"ుస atches (7) మూడవ వికెట్కు ',' 29th అత్యధిక భాగస్వామ్యం (132) ',' ఐదవ వికెట్కు 12 వ అత్యధిక భాగస్వామ్యం (108) ',' ఆరవ వికెట్కు 20 వ అత్యధిక భాగస్వామ్యం (81 *) ',' ఎనిమిదో వికెట్కు 13 వ అత్యధిక భాగస్వామ్యం (59 *) ',' 1st కెరీర్లో అత్యధిక మ్యాచ్లు (214) ',"&amp;"' బృందం కోసం 1 వ వరుస మ్యాచ్లు (109) ',' 40 వ పిన్న క్రీడాకారులు (16y 205d) ',' 36 వ ఓల్డెస్ట్ క్రీడాకారులు (38y 104d) ',' 1st లాంగెస్ట్ కెరీర్లు (21y 264d) ',' 1 వ కెప్టెన్గా అత్యధిక మ్యాచ్లు (137) ',' ఒక జట్టు కెప్టెన్గా 2 వ వరుస మ్యాచ్లు (57) ',' 7 వ ప"&amp;"ిన్న కాప్టెన్ (21y 94d ) ',' 11 వ ఓల్డెస్ట్ కాప్టెన్ (38y 104d) ']")</f>
        <v>[ '1st అత్యధిక కెరీర్ లో పరుగులు (7098)', 'వరుస 32 వ అత్యధిక పరుగులు (535)', '7th ఒక క్యాలెండర్ సంవత్సరంలో అత్యధిక పరుగులు (783)' పరాజయం వైపు మ్యాచ్లో '2 వ అత్యధిక పరుగులు (125 *) ',' 24th ఒకే మైదానంలో అత్యధిక పరుగులు (386) ',' ఒక కెప్టెన్ ద్వారా ఒక సిరీస్ లో 7 వ అత్యధిక పరుగులు (535) ',' ఒక కెప్టెన్తో ఇన్నింగ్స్ 12 వ అత్యధిక పరుగులు (125 *) ',' 6 వ అత్యధిక కెరీర్ బ్యాటింగ్ సగటు (51.06) ',' 3 వ అత్యంత తొలి మ్యాచ్ (114 *) లో ఒక జట్టు (3) ',' 32 వ అత్యధిక తొలి వ్యతిరేకంగా (7) ',' 2 వ అత్యధిక వందలు నడుస్తుంది ',' ఒక వృత్తిలో 6 వ అత్యధిక వందలు వందల (114 *) ',' 1st పిన్న ఆటగాడు కెరీర్లో వంద (35y 287d) ',' 1 వ అత్యంత తొంభైల స్కోర్ (5) ',' 1st చాలా అర్ధ వంద (16y 205d) ',' 5 వ అత్యంత వృద్ధ ఆటగాడు స్కోర్ కెరీర్లో (62) ',' ఒక డక్ లేకుండా (7) ',' 2 వ వరుస ఇన్నింగ్స్ వరుస ఇన్నింగ్స్లో 1st యాభైల్లో కెరీర్లో (74) ',' 12 వ అతి తక్కువ బాతులు (32.16) ',' 9 వ పరుగులు అత్యధిక శాతం పూర్తి ఇన్నింగ్స్ (57.36) ',' 25 వ ఉత్తమ కెరీర్ బౌలింగ్ కెరీర్లో సగటు (అర్హత లేకుండా) (11.37) ',' 4 వ అత్యధిక క్యాచ్లు (57) ',' 26th పలు c వరుస atches (7) మూడవ వికెట్కు ',' 29th అత్యధిక భాగస్వామ్యం (132) ',' ఐదవ వికెట్కు 12 వ అత్యధిక భాగస్వామ్యం (108) ',' ఆరవ వికెట్కు 20 వ అత్యధిక భాగస్వామ్యం (81 *) ',' ఎనిమిదో వికెట్కు 13 వ అత్యధిక భాగస్వామ్యం (59 *) ',' 1st కెరీర్లో అత్యధిక మ్యాచ్లు (214) ',' బృందం కోసం 1 వ వరుస మ్యాచ్లు (109) ',' 40 వ పిన్న క్రీడాకారులు (16y 205d) ',' 36 వ ఓల్డెస్ట్ క్రీడాకారులు (38y 104d) ',' 1st లాంగెస్ట్ కెరీర్లు (21y 264d) ',' 1 వ కెప్టెన్గా అత్యధిక మ్యాచ్లు (137) ',' ఒక జట్టు కెప్టెన్గా 2 వ వరుస మ్యాచ్లు (57) ',' 7 వ పిన్న కాప్టెన్ (21y 94d ) ',' 11 వ ఓల్డెస్ట్ కాప్టెన్ (38y 104d) ']</v>
      </c>
      <c r="G5486" s="2" t="s">
        <v>3584</v>
      </c>
      <c r="H5486" s="2" t="str">
        <f>IFERROR(__xludf.DUMMYFUNCTION("IF(G5486&lt;&gt;"""", GOOGLETRANSLATE(G5486, ""en"", ""te""),"""")"),"[ 'కెరీర్లో 7 వ అత్యధిక పరుగులు (2364)', '29th ఇన్నింగ్స్ (97 *) లో అత్యధిక పరుగులు' 'ఒక క్యాలెండర్ సంవత్సరంలో 7 వ అత్యధిక పరుగులు (575)', '20 వ ఇన్నింగ్స్ లో అత్యధిక పరుగులు (బ్యాటింగ్ స్థానంలో ద్వారా) (97 *) ',' 22 వ అత్యధిక పరుగులు పరాజయం వైపు ఒక మ్యా"&amp;"చ్లో (67) ',' 16 వ ఒకే మైదానంలో అత్యధిక పరుగులు (220) ',' 1 వ అత్యధిక కెరీర్ బ్యాటింగ్ సగటు (37.52) ',' 3 వ అత్యంత అర్ధ కెరీర్లో (17) ',' వరుస ఇన్నింగ్స్లో 2 వ యాభైల్లో (4) ',' 7 వ అత్యంత ఇన్నింగ్స్ తొలి డక్ ముందు (28) ',' ఒక డక్ లేకుండా 41 వ వరుస ఇన్ని"&amp;"ంగ్స్ (28) ',' 38 వ కెరీర్ లో అతి తక్కువ బాతులు ( 16.8) ',' 34 వ కెరీర్ బాతులు (5) ',' ఒక ఇన్నింగ్స్లో పరుగుల 18 అత్యధిక శాతం (60.33) ',' 1000 పరుగులు 6 వ వేగవంతమైన (40) ',' 2000 పరుగులు 2 వ వేగవంతమైన (70) ',' 44 వ కెరీర్ లో అత్యధిక క్యాచ్లు (19) ',' ఏ "&amp;"వికెట్కు 31 అత్యధిక భాగస్వామ్యాల (129) ',' మొదటి వికెట్కు 16 అత్యధిక భాగస్వామ్యం (129) ',' రెండవ వికెట్కు 30 వ అత్యధిక భాగస్వామ్యం (98 *) ',' మూడో వికెట్కు 29 అత్యధిక భాగస్వామ్యం (86) ',' ఐదవ వికెట్కు 7 వ అత్యధిక భాగస్వామ్యం (77) ', '27 ఆరవ వికెట్కు వ అత్"&amp;"యధిక భాగస్వామ్యం (47) ',' 26th కెరీర్లో అత్యధిక మ్యాచ్లు (89) ',' 15 వ కెప్టెన్గా అత్యధిక మ్యాచ్లు (32) ']")</f>
        <v>[ 'కెరీర్లో 7 వ అత్యధిక పరుగులు (2364)', '29th ఇన్నింగ్స్ (97 *) లో అత్యధిక పరుగులు' 'ఒక క్యాలెండర్ సంవత్సరంలో 7 వ అత్యధిక పరుగులు (575)', '20 వ ఇన్నింగ్స్ లో అత్యధిక పరుగులు (బ్యాటింగ్ స్థానంలో ద్వారా) (97 *) ',' 22 వ అత్యధిక పరుగులు పరాజయం వైపు ఒక మ్యాచ్లో (67) ',' 16 వ ఒకే మైదానంలో అత్యధిక పరుగులు (220) ',' 1 వ అత్యధిక కెరీర్ బ్యాటింగ్ సగటు (37.52) ',' 3 వ అత్యంత అర్ధ కెరీర్లో (17) ',' వరుస ఇన్నింగ్స్లో 2 వ యాభైల్లో (4) ',' 7 వ అత్యంత ఇన్నింగ్స్ తొలి డక్ ముందు (28) ',' ఒక డక్ లేకుండా 41 వ వరుస ఇన్నింగ్స్ (28) ',' 38 వ కెరీర్ లో అతి తక్కువ బాతులు ( 16.8) ',' 34 వ కెరీర్ బాతులు (5) ',' ఒక ఇన్నింగ్స్లో పరుగుల 18 అత్యధిక శాతం (60.33) ',' 1000 పరుగులు 6 వ వేగవంతమైన (40) ',' 2000 పరుగులు 2 వ వేగవంతమైన (70) ',' 44 వ కెరీర్ లో అత్యధిక క్యాచ్లు (19) ',' ఏ వికెట్కు 31 అత్యధిక భాగస్వామ్యాల (129) ',' మొదటి వికెట్కు 16 అత్యధిక భాగస్వామ్యం (129) ',' రెండవ వికెట్కు 30 వ అత్యధిక భాగస్వామ్యం (98 *) ',' మూడో వికెట్కు 29 అత్యధిక భాగస్వామ్యం (86) ',' ఐదవ వికెట్కు 7 వ అత్యధిక భాగస్వామ్యం (77) ', '27 ఆరవ వికెట్కు వ అత్యధిక భాగస్వామ్యం (47) ',' 26th కెరీర్లో అత్యధిక మ్యాచ్లు (89) ',' 15 వ కెప్టెన్గా అత్యధిక మ్యాచ్లు (32) ']</v>
      </c>
      <c r="I5486" s="3"/>
    </row>
    <row r="5487" customHeight="1" spans="1:9">
      <c r="A5487" s="2"/>
      <c r="B5487" s="2" t="str">
        <f>IFERROR(__xludf.DUMMYFUNCTION("IF(A5487&lt;&gt;"""", GOOGLETRANSLATE(A5487, ""en"", ""te""),"""")"),"")</f>
        <v/>
      </c>
      <c r="C5487" s="2"/>
      <c r="D5487" s="2" t="str">
        <f>IFERROR(__xludf.DUMMYFUNCTION("IF(C5487&lt;&gt;"""", GOOGLETRANSLATE(C5487, ""en"", ""te""),"""")"),"")</f>
        <v/>
      </c>
      <c r="E5487" s="2"/>
      <c r="F5487" s="2" t="str">
        <f>IFERROR(__xludf.DUMMYFUNCTION("IF(E5487&lt;&gt;"""", GOOGLETRANSLATE(E5487, ""en"", ""te""),"""")"),"")</f>
        <v/>
      </c>
      <c r="G5487" s="2"/>
      <c r="H5487" s="2" t="str">
        <f>IFERROR(__xludf.DUMMYFUNCTION("IF(G5487&lt;&gt;"""", GOOGLETRANSLATE(G5487, ""en"", ""te""),"""")"),"")</f>
        <v/>
      </c>
      <c r="I5487" s="3"/>
    </row>
    <row r="5488" customHeight="1" spans="1:9">
      <c r="A5488" s="2"/>
      <c r="B5488" s="2" t="str">
        <f>IFERROR(__xludf.DUMMYFUNCTION("IF(A5488&lt;&gt;"""", GOOGLETRANSLATE(A5488, ""en"", ""te""),"""")"),"")</f>
        <v/>
      </c>
      <c r="C5488" s="2"/>
      <c r="D5488" s="2" t="str">
        <f>IFERROR(__xludf.DUMMYFUNCTION("IF(C5488&lt;&gt;"""", GOOGLETRANSLATE(C5488, ""en"", ""te""),"""")"),"")</f>
        <v/>
      </c>
      <c r="E5488" s="2"/>
      <c r="F5488" s="2" t="str">
        <f>IFERROR(__xludf.DUMMYFUNCTION("IF(E5488&lt;&gt;"""", GOOGLETRANSLATE(E5488, ""en"", ""te""),"""")"),"")</f>
        <v/>
      </c>
      <c r="G5488" s="2"/>
      <c r="H5488" s="2" t="str">
        <f>IFERROR(__xludf.DUMMYFUNCTION("IF(G5488&lt;&gt;"""", GOOGLETRANSLATE(G5488, ""en"", ""te""),"""")"),"")</f>
        <v/>
      </c>
      <c r="I5488" s="3"/>
    </row>
    <row r="5489" customHeight="1" spans="1:9">
      <c r="A5489" s="2"/>
      <c r="B5489" s="2" t="str">
        <f>IFERROR(__xludf.DUMMYFUNCTION("IF(A5489&lt;&gt;"""", GOOGLETRANSLATE(A5489, ""en"", ""te""),"""")"),"")</f>
        <v/>
      </c>
      <c r="C5489" s="2"/>
      <c r="D5489" s="2" t="str">
        <f>IFERROR(__xludf.DUMMYFUNCTION("IF(C5489&lt;&gt;"""", GOOGLETRANSLATE(C5489, ""en"", ""te""),"""")"),"")</f>
        <v/>
      </c>
      <c r="E5489" s="2"/>
      <c r="F5489" s="2" t="str">
        <f>IFERROR(__xludf.DUMMYFUNCTION("IF(E5489&lt;&gt;"""", GOOGLETRANSLATE(E5489, ""en"", ""te""),"""")"),"")</f>
        <v/>
      </c>
      <c r="G5489" s="2"/>
      <c r="H5489" s="2" t="str">
        <f>IFERROR(__xludf.DUMMYFUNCTION("IF(G5489&lt;&gt;"""", GOOGLETRANSLATE(G5489, ""en"", ""te""),"""")"),"")</f>
        <v/>
      </c>
      <c r="I5489" s="3"/>
    </row>
    <row r="5490" customHeight="1" spans="1:9">
      <c r="A5490" s="2"/>
      <c r="B5490" s="2" t="str">
        <f>IFERROR(__xludf.DUMMYFUNCTION("IF(A5490&lt;&gt;"""", GOOGLETRANSLATE(A5490, ""en"", ""te""),"""")"),"")</f>
        <v/>
      </c>
      <c r="C5490" s="2"/>
      <c r="D5490" s="2" t="str">
        <f>IFERROR(__xludf.DUMMYFUNCTION("IF(C5490&lt;&gt;"""", GOOGLETRANSLATE(C5490, ""en"", ""te""),"""")"),"")</f>
        <v/>
      </c>
      <c r="E5490" s="2"/>
      <c r="F5490" s="2" t="str">
        <f>IFERROR(__xludf.DUMMYFUNCTION("IF(E5490&lt;&gt;"""", GOOGLETRANSLATE(E5490, ""en"", ""te""),"""")"),"")</f>
        <v/>
      </c>
      <c r="G5490" s="2"/>
      <c r="H5490" s="2" t="str">
        <f>IFERROR(__xludf.DUMMYFUNCTION("IF(G5490&lt;&gt;"""", GOOGLETRANSLATE(G5490, ""en"", ""te""),"""")"),"")</f>
        <v/>
      </c>
      <c r="I5490" s="3"/>
    </row>
    <row r="5491" customHeight="1" spans="1:9">
      <c r="A5491" s="2"/>
      <c r="B5491" s="2" t="str">
        <f>IFERROR(__xludf.DUMMYFUNCTION("IF(A5491&lt;&gt;"""", GOOGLETRANSLATE(A5491, ""en"", ""te""),"""")"),"")</f>
        <v/>
      </c>
      <c r="C5491" s="2"/>
      <c r="D5491" s="2" t="str">
        <f>IFERROR(__xludf.DUMMYFUNCTION("IF(C5491&lt;&gt;"""", GOOGLETRANSLATE(C5491, ""en"", ""te""),"""")"),"")</f>
        <v/>
      </c>
      <c r="E5491" s="2"/>
      <c r="F5491" s="2" t="str">
        <f>IFERROR(__xludf.DUMMYFUNCTION("IF(E5491&lt;&gt;"""", GOOGLETRANSLATE(E5491, ""en"", ""te""),"""")"),"")</f>
        <v/>
      </c>
      <c r="G5491" s="2"/>
      <c r="H5491" s="2" t="str">
        <f>IFERROR(__xludf.DUMMYFUNCTION("IF(G5491&lt;&gt;"""", GOOGLETRANSLATE(G5491, ""en"", ""te""),"""")"),"")</f>
        <v/>
      </c>
      <c r="I5491" s="3"/>
    </row>
    <row r="5492" customHeight="1" spans="1:9">
      <c r="A5492" s="2"/>
      <c r="B5492" s="2" t="str">
        <f>IFERROR(__xludf.DUMMYFUNCTION("IF(A5492&lt;&gt;"""", GOOGLETRANSLATE(A5492, ""en"", ""te""),"""")"),"")</f>
        <v/>
      </c>
      <c r="C5492" s="2"/>
      <c r="D5492" s="2" t="str">
        <f>IFERROR(__xludf.DUMMYFUNCTION("IF(C5492&lt;&gt;"""", GOOGLETRANSLATE(C5492, ""en"", ""te""),"""")"),"")</f>
        <v/>
      </c>
      <c r="E5492" s="2"/>
      <c r="F5492" s="2" t="str">
        <f>IFERROR(__xludf.DUMMYFUNCTION("IF(E5492&lt;&gt;"""", GOOGLETRANSLATE(E5492, ""en"", ""te""),"""")"),"")</f>
        <v/>
      </c>
      <c r="G5492" s="2"/>
      <c r="H5492" s="2" t="str">
        <f>IFERROR(__xludf.DUMMYFUNCTION("IF(G5492&lt;&gt;"""", GOOGLETRANSLATE(G5492, ""en"", ""te""),"""")"),"")</f>
        <v/>
      </c>
      <c r="I5492" s="3"/>
    </row>
    <row r="5493" customHeight="1" spans="1:9">
      <c r="A5493" s="2"/>
      <c r="B5493" s="2" t="str">
        <f>IFERROR(__xludf.DUMMYFUNCTION("IF(A5493&lt;&gt;"""", GOOGLETRANSLATE(A5493, ""en"", ""te""),"""")"),"")</f>
        <v/>
      </c>
      <c r="C5493" s="2"/>
      <c r="D5493" s="2" t="str">
        <f>IFERROR(__xludf.DUMMYFUNCTION("IF(C5493&lt;&gt;"""", GOOGLETRANSLATE(C5493, ""en"", ""te""),"""")"),"")</f>
        <v/>
      </c>
      <c r="E5493" s="2"/>
      <c r="F5493" s="2" t="str">
        <f>IFERROR(__xludf.DUMMYFUNCTION("IF(E5493&lt;&gt;"""", GOOGLETRANSLATE(E5493, ""en"", ""te""),"""")"),"")</f>
        <v/>
      </c>
      <c r="G5493" s="2"/>
      <c r="H5493" s="2" t="str">
        <f>IFERROR(__xludf.DUMMYFUNCTION("IF(G5493&lt;&gt;"""", GOOGLETRANSLATE(G5493, ""en"", ""te""),"""")"),"")</f>
        <v/>
      </c>
      <c r="I5493" s="3"/>
    </row>
    <row r="5494" customHeight="1" spans="1:9">
      <c r="A5494" s="2"/>
      <c r="B5494" s="2" t="str">
        <f>IFERROR(__xludf.DUMMYFUNCTION("IF(A5494&lt;&gt;"""", GOOGLETRANSLATE(A5494, ""en"", ""te""),"""")"),"")</f>
        <v/>
      </c>
      <c r="C5494" s="2"/>
      <c r="D5494" s="2" t="str">
        <f>IFERROR(__xludf.DUMMYFUNCTION("IF(C5494&lt;&gt;"""", GOOGLETRANSLATE(C5494, ""en"", ""te""),"""")"),"")</f>
        <v/>
      </c>
      <c r="E5494" s="2"/>
      <c r="F5494" s="2" t="str">
        <f>IFERROR(__xludf.DUMMYFUNCTION("IF(E5494&lt;&gt;"""", GOOGLETRANSLATE(E5494, ""en"", ""te""),"""")"),"")</f>
        <v/>
      </c>
      <c r="G5494" s="2"/>
      <c r="H5494" s="2" t="str">
        <f>IFERROR(__xludf.DUMMYFUNCTION("IF(G5494&lt;&gt;"""", GOOGLETRANSLATE(G5494, ""en"", ""te""),"""")"),"")</f>
        <v/>
      </c>
      <c r="I5494" s="3"/>
    </row>
    <row r="5495" customHeight="1" spans="1:9">
      <c r="A5495" s="2"/>
      <c r="B5495" s="2" t="str">
        <f>IFERROR(__xludf.DUMMYFUNCTION("IF(A5495&lt;&gt;"""", GOOGLETRANSLATE(A5495, ""en"", ""te""),"""")"),"")</f>
        <v/>
      </c>
      <c r="C5495" s="2"/>
      <c r="D5495" s="2" t="str">
        <f>IFERROR(__xludf.DUMMYFUNCTION("IF(C5495&lt;&gt;"""", GOOGLETRANSLATE(C5495, ""en"", ""te""),"""")"),"")</f>
        <v/>
      </c>
      <c r="E5495" s="2"/>
      <c r="F5495" s="2" t="str">
        <f>IFERROR(__xludf.DUMMYFUNCTION("IF(E5495&lt;&gt;"""", GOOGLETRANSLATE(E5495, ""en"", ""te""),"""")"),"")</f>
        <v/>
      </c>
      <c r="G5495" s="2"/>
      <c r="H5495" s="2" t="str">
        <f>IFERROR(__xludf.DUMMYFUNCTION("IF(G5495&lt;&gt;"""", GOOGLETRANSLATE(G5495, ""en"", ""te""),"""")"),"")</f>
        <v/>
      </c>
      <c r="I5495" s="3"/>
    </row>
    <row r="5496" customHeight="1" spans="1:9">
      <c r="A5496" s="2"/>
      <c r="B5496" s="2" t="str">
        <f>IFERROR(__xludf.DUMMYFUNCTION("IF(A5496&lt;&gt;"""", GOOGLETRANSLATE(A5496, ""en"", ""te""),"""")"),"")</f>
        <v/>
      </c>
      <c r="C5496" s="2"/>
      <c r="D5496" s="2" t="str">
        <f>IFERROR(__xludf.DUMMYFUNCTION("IF(C5496&lt;&gt;"""", GOOGLETRANSLATE(C5496, ""en"", ""te""),"""")"),"")</f>
        <v/>
      </c>
      <c r="E5496" s="2"/>
      <c r="F5496" s="2" t="str">
        <f>IFERROR(__xludf.DUMMYFUNCTION("IF(E5496&lt;&gt;"""", GOOGLETRANSLATE(E5496, ""en"", ""te""),"""")"),"")</f>
        <v/>
      </c>
      <c r="G5496" s="2"/>
      <c r="H5496" s="2" t="str">
        <f>IFERROR(__xludf.DUMMYFUNCTION("IF(G5496&lt;&gt;"""", GOOGLETRANSLATE(G5496, ""en"", ""te""),"""")"),"")</f>
        <v/>
      </c>
      <c r="I5496" s="3"/>
    </row>
    <row r="5497" customHeight="1" spans="1:9">
      <c r="A5497" s="2"/>
      <c r="B5497" s="2" t="str">
        <f>IFERROR(__xludf.DUMMYFUNCTION("IF(A5497&lt;&gt;"""", GOOGLETRANSLATE(A5497, ""en"", ""te""),"""")"),"")</f>
        <v/>
      </c>
      <c r="C5497" s="2"/>
      <c r="D5497" s="2" t="str">
        <f>IFERROR(__xludf.DUMMYFUNCTION("IF(C5497&lt;&gt;"""", GOOGLETRANSLATE(C5497, ""en"", ""te""),"""")"),"")</f>
        <v/>
      </c>
      <c r="E5497" s="2"/>
      <c r="F5497" s="2" t="str">
        <f>IFERROR(__xludf.DUMMYFUNCTION("IF(E5497&lt;&gt;"""", GOOGLETRANSLATE(E5497, ""en"", ""te""),"""")"),"")</f>
        <v/>
      </c>
      <c r="G5497" s="2"/>
      <c r="H5497" s="2" t="str">
        <f>IFERROR(__xludf.DUMMYFUNCTION("IF(G5497&lt;&gt;"""", GOOGLETRANSLATE(G5497, ""en"", ""te""),"""")"),"")</f>
        <v/>
      </c>
      <c r="I5497" s="3"/>
    </row>
    <row r="5498" customHeight="1" spans="1:9">
      <c r="A5498" s="2"/>
      <c r="B5498" s="2" t="str">
        <f>IFERROR(__xludf.DUMMYFUNCTION("IF(A5498&lt;&gt;"""", GOOGLETRANSLATE(A5498, ""en"", ""te""),"""")"),"")</f>
        <v/>
      </c>
      <c r="C5498" s="2"/>
      <c r="D5498" s="2" t="str">
        <f>IFERROR(__xludf.DUMMYFUNCTION("IF(C5498&lt;&gt;"""", GOOGLETRANSLATE(C5498, ""en"", ""te""),"""")"),"")</f>
        <v/>
      </c>
      <c r="E5498" s="2"/>
      <c r="F5498" s="2" t="str">
        <f>IFERROR(__xludf.DUMMYFUNCTION("IF(E5498&lt;&gt;"""", GOOGLETRANSLATE(E5498, ""en"", ""te""),"""")"),"")</f>
        <v/>
      </c>
      <c r="G5498" s="2"/>
      <c r="H5498" s="2" t="str">
        <f>IFERROR(__xludf.DUMMYFUNCTION("IF(G5498&lt;&gt;"""", GOOGLETRANSLATE(G5498, ""en"", ""te""),"""")"),"")</f>
        <v/>
      </c>
      <c r="I5498" s="3"/>
    </row>
    <row r="5499" customHeight="1" spans="1:9">
      <c r="A5499" s="2"/>
      <c r="B5499" s="2" t="str">
        <f>IFERROR(__xludf.DUMMYFUNCTION("IF(A5499&lt;&gt;"""", GOOGLETRANSLATE(A5499, ""en"", ""te""),"""")"),"")</f>
        <v/>
      </c>
      <c r="C5499" s="2"/>
      <c r="D5499" s="2" t="str">
        <f>IFERROR(__xludf.DUMMYFUNCTION("IF(C5499&lt;&gt;"""", GOOGLETRANSLATE(C5499, ""en"", ""te""),"""")"),"")</f>
        <v/>
      </c>
      <c r="E5499" s="2"/>
      <c r="F5499" s="2" t="str">
        <f>IFERROR(__xludf.DUMMYFUNCTION("IF(E5499&lt;&gt;"""", GOOGLETRANSLATE(E5499, ""en"", ""te""),"""")"),"")</f>
        <v/>
      </c>
      <c r="G5499" s="2"/>
      <c r="H5499" s="2" t="str">
        <f>IFERROR(__xludf.DUMMYFUNCTION("IF(G5499&lt;&gt;"""", GOOGLETRANSLATE(G5499, ""en"", ""te""),"""")"),"")</f>
        <v/>
      </c>
      <c r="I5499" s="3"/>
    </row>
    <row r="5500" customHeight="1" spans="1:9">
      <c r="A5500" s="2"/>
      <c r="B5500" s="2" t="str">
        <f>IFERROR(__xludf.DUMMYFUNCTION("IF(A5500&lt;&gt;"""", GOOGLETRANSLATE(A5500, ""en"", ""te""),"""")"),"")</f>
        <v/>
      </c>
      <c r="C5500" s="2"/>
      <c r="D5500" s="2" t="str">
        <f>IFERROR(__xludf.DUMMYFUNCTION("IF(C5500&lt;&gt;"""", GOOGLETRANSLATE(C5500, ""en"", ""te""),"""")"),"")</f>
        <v/>
      </c>
      <c r="E5500" s="2"/>
      <c r="F5500" s="2" t="str">
        <f>IFERROR(__xludf.DUMMYFUNCTION("IF(E5500&lt;&gt;"""", GOOGLETRANSLATE(E5500, ""en"", ""te""),"""")"),"")</f>
        <v/>
      </c>
      <c r="G5500" s="2"/>
      <c r="H5500" s="2" t="str">
        <f>IFERROR(__xludf.DUMMYFUNCTION("IF(G5500&lt;&gt;"""", GOOGLETRANSLATE(G5500, ""en"", ""te""),"""")"),"")</f>
        <v/>
      </c>
      <c r="I5500" s="3"/>
    </row>
    <row r="5501" customHeight="1" spans="1:9">
      <c r="A5501" s="2"/>
      <c r="B5501" s="2" t="str">
        <f>IFERROR(__xludf.DUMMYFUNCTION("IF(A5501&lt;&gt;"""", GOOGLETRANSLATE(A5501, ""en"", ""te""),"""")"),"")</f>
        <v/>
      </c>
      <c r="C5501" s="2"/>
      <c r="D5501" s="2" t="str">
        <f>IFERROR(__xludf.DUMMYFUNCTION("IF(C5501&lt;&gt;"""", GOOGLETRANSLATE(C5501, ""en"", ""te""),"""")"),"")</f>
        <v/>
      </c>
      <c r="E5501" s="2"/>
      <c r="F5501" s="2" t="str">
        <f>IFERROR(__xludf.DUMMYFUNCTION("IF(E5501&lt;&gt;"""", GOOGLETRANSLATE(E5501, ""en"", ""te""),"""")"),"")</f>
        <v/>
      </c>
      <c r="G5501" s="2"/>
      <c r="H5501" s="2" t="str">
        <f>IFERROR(__xludf.DUMMYFUNCTION("IF(G5501&lt;&gt;"""", GOOGLETRANSLATE(G5501, ""en"", ""te""),"""")"),"")</f>
        <v/>
      </c>
      <c r="I5501" s="3"/>
    </row>
    <row r="5502" customHeight="1" spans="1:9">
      <c r="A5502" s="2"/>
      <c r="B5502" s="2" t="str">
        <f>IFERROR(__xludf.DUMMYFUNCTION("IF(A5502&lt;&gt;"""", GOOGLETRANSLATE(A5502, ""en"", ""te""),"""")"),"")</f>
        <v/>
      </c>
      <c r="C5502" s="2"/>
      <c r="D5502" s="2" t="str">
        <f>IFERROR(__xludf.DUMMYFUNCTION("IF(C5502&lt;&gt;"""", GOOGLETRANSLATE(C5502, ""en"", ""te""),"""")"),"")</f>
        <v/>
      </c>
      <c r="E5502" s="2"/>
      <c r="F5502" s="2" t="str">
        <f>IFERROR(__xludf.DUMMYFUNCTION("IF(E5502&lt;&gt;"""", GOOGLETRANSLATE(E5502, ""en"", ""te""),"""")"),"")</f>
        <v/>
      </c>
      <c r="G5502" s="2"/>
      <c r="H5502" s="2" t="str">
        <f>IFERROR(__xludf.DUMMYFUNCTION("IF(G5502&lt;&gt;"""", GOOGLETRANSLATE(G5502, ""en"", ""te""),"""")"),"")</f>
        <v/>
      </c>
      <c r="I5502" s="3"/>
    </row>
    <row r="5503" customHeight="1" spans="1:9">
      <c r="A5503" s="2"/>
      <c r="B5503" s="2" t="str">
        <f>IFERROR(__xludf.DUMMYFUNCTION("IF(A5503&lt;&gt;"""", GOOGLETRANSLATE(A5503, ""en"", ""te""),"""")"),"")</f>
        <v/>
      </c>
      <c r="C5503" s="2"/>
      <c r="D5503" s="2" t="str">
        <f>IFERROR(__xludf.DUMMYFUNCTION("IF(C5503&lt;&gt;"""", GOOGLETRANSLATE(C5503, ""en"", ""te""),"""")"),"")</f>
        <v/>
      </c>
      <c r="E5503" s="2"/>
      <c r="F5503" s="2" t="str">
        <f>IFERROR(__xludf.DUMMYFUNCTION("IF(E5503&lt;&gt;"""", GOOGLETRANSLATE(E5503, ""en"", ""te""),"""")"),"")</f>
        <v/>
      </c>
      <c r="G5503" s="2"/>
      <c r="H5503" s="2" t="str">
        <f>IFERROR(__xludf.DUMMYFUNCTION("IF(G5503&lt;&gt;"""", GOOGLETRANSLATE(G5503, ""en"", ""te""),"""")"),"")</f>
        <v/>
      </c>
      <c r="I5503" s="3"/>
    </row>
    <row r="5504" customHeight="1" spans="1:9">
      <c r="A5504" s="2"/>
      <c r="B5504" s="2" t="str">
        <f>IFERROR(__xludf.DUMMYFUNCTION("IF(A5504&lt;&gt;"""", GOOGLETRANSLATE(A5504, ""en"", ""te""),"""")"),"")</f>
        <v/>
      </c>
      <c r="C5504" s="2"/>
      <c r="D5504" s="2" t="str">
        <f>IFERROR(__xludf.DUMMYFUNCTION("IF(C5504&lt;&gt;"""", GOOGLETRANSLATE(C5504, ""en"", ""te""),"""")"),"")</f>
        <v/>
      </c>
      <c r="E5504" s="2"/>
      <c r="F5504" s="2" t="str">
        <f>IFERROR(__xludf.DUMMYFUNCTION("IF(E5504&lt;&gt;"""", GOOGLETRANSLATE(E5504, ""en"", ""te""),"""")"),"")</f>
        <v/>
      </c>
      <c r="G5504" s="2"/>
      <c r="H5504" s="2" t="str">
        <f>IFERROR(__xludf.DUMMYFUNCTION("IF(G5504&lt;&gt;"""", GOOGLETRANSLATE(G5504, ""en"", ""te""),"""")"),"")</f>
        <v/>
      </c>
      <c r="I5504" s="3"/>
    </row>
    <row r="5505" customHeight="1" spans="1:9">
      <c r="A5505" s="2"/>
      <c r="B5505" s="2" t="str">
        <f>IFERROR(__xludf.DUMMYFUNCTION("IF(A5505&lt;&gt;"""", GOOGLETRANSLATE(A5505, ""en"", ""te""),"""")"),"")</f>
        <v/>
      </c>
      <c r="C5505" s="2"/>
      <c r="D5505" s="2" t="str">
        <f>IFERROR(__xludf.DUMMYFUNCTION("IF(C5505&lt;&gt;"""", GOOGLETRANSLATE(C5505, ""en"", ""te""),"""")"),"")</f>
        <v/>
      </c>
      <c r="E5505" s="2"/>
      <c r="F5505" s="2" t="str">
        <f>IFERROR(__xludf.DUMMYFUNCTION("IF(E5505&lt;&gt;"""", GOOGLETRANSLATE(E5505, ""en"", ""te""),"""")"),"")</f>
        <v/>
      </c>
      <c r="G5505" s="2" t="s">
        <v>3585</v>
      </c>
      <c r="H5505" s="2" t="str">
        <f>IFERROR(__xludf.DUMMYFUNCTION("IF(G5505&lt;&gt;"""", GOOGLETRANSLATE(G5505, ""en"", ""te""),"""")"),"[ '39 వ అత్యధిక పరుగులు ఇన్నింగ్స్ (45) లో సాధించిన]")</f>
        <v>[ '39 వ అత్యధిక పరుగులు ఇన్నింగ్స్ (45) లో సాధించిన]</v>
      </c>
      <c r="I5505" s="3"/>
    </row>
    <row r="5506" customHeight="1" spans="1:9">
      <c r="A5506" s="2" t="s">
        <v>3586</v>
      </c>
      <c r="B5506" s="2" t="str">
        <f>IFERROR(__xludf.DUMMYFUNCTION("IF(A5506&lt;&gt;"""", GOOGLETRANSLATE(A5506, ""en"", ""te""),"""")"),"[ '7th చెత్త కెరీర్ బౌలింగ్ సరాసరి (అర్హత లేకుండా) (118.00)']")</f>
        <v>[ '7th చెత్త కెరీర్ బౌలింగ్ సరాసరి (అర్హత లేకుండా) (118.00)']</v>
      </c>
      <c r="C5506" s="2"/>
      <c r="D5506" s="2" t="str">
        <f>IFERROR(__xludf.DUMMYFUNCTION("IF(C5506&lt;&gt;"""", GOOGLETRANSLATE(C5506, ""en"", ""te""),"""")"),"")</f>
        <v/>
      </c>
      <c r="E5506" s="2"/>
      <c r="F5506" s="2" t="str">
        <f>IFERROR(__xludf.DUMMYFUNCTION("IF(E5506&lt;&gt;"""", GOOGLETRANSLATE(E5506, ""en"", ""te""),"""")"),"")</f>
        <v/>
      </c>
      <c r="G5506" s="2" t="s">
        <v>3587</v>
      </c>
      <c r="H5506" s="2" t="str">
        <f>IFERROR(__xludf.DUMMYFUNCTION("IF(G5506&lt;&gt;"""", GOOGLETRANSLATE(G5506, ""en"", ""te""),"""")"),"[ 'ఎనిమిదవ వికెట్కు 20 వ అత్యధిక భాగస్వామ్యం (27)' '7th చెత్త కెరీర్ సగటు (118.00) (అర్హత లేకుండా) బౌలింగ్',]")</f>
        <v>[ 'ఎనిమిదవ వికెట్కు 20 వ అత్యధిక భాగస్వామ్యం (27)' '7th చెత్త కెరీర్ సగటు (118.00) (అర్హత లేకుండా) బౌలింగ్',]</v>
      </c>
      <c r="I5506" s="3"/>
    </row>
    <row r="5507" customHeight="1" spans="1:9">
      <c r="A5507" s="2"/>
      <c r="B5507" s="2" t="str">
        <f>IFERROR(__xludf.DUMMYFUNCTION("IF(A5507&lt;&gt;"""", GOOGLETRANSLATE(A5507, ""en"", ""te""),"""")"),"")</f>
        <v/>
      </c>
      <c r="C5507" s="2"/>
      <c r="D5507" s="2" t="str">
        <f>IFERROR(__xludf.DUMMYFUNCTION("IF(C5507&lt;&gt;"""", GOOGLETRANSLATE(C5507, ""en"", ""te""),"""")"),"")</f>
        <v/>
      </c>
      <c r="E5507" s="2"/>
      <c r="F5507" s="2" t="str">
        <f>IFERROR(__xludf.DUMMYFUNCTION("IF(E5507&lt;&gt;"""", GOOGLETRANSLATE(E5507, ""en"", ""te""),"""")"),"")</f>
        <v/>
      </c>
      <c r="G5507" s="2"/>
      <c r="H5507" s="2" t="str">
        <f>IFERROR(__xludf.DUMMYFUNCTION("IF(G5507&lt;&gt;"""", GOOGLETRANSLATE(G5507, ""en"", ""te""),"""")"),"")</f>
        <v/>
      </c>
      <c r="I5507" s="3"/>
    </row>
    <row r="5508" customHeight="1" spans="1:9">
      <c r="A5508" s="2"/>
      <c r="B5508" s="2" t="str">
        <f>IFERROR(__xludf.DUMMYFUNCTION("IF(A5508&lt;&gt;"""", GOOGLETRANSLATE(A5508, ""en"", ""te""),"""")"),"")</f>
        <v/>
      </c>
      <c r="C5508" s="2"/>
      <c r="D5508" s="2" t="str">
        <f>IFERROR(__xludf.DUMMYFUNCTION("IF(C5508&lt;&gt;"""", GOOGLETRANSLATE(C5508, ""en"", ""te""),"""")"),"")</f>
        <v/>
      </c>
      <c r="E5508" s="2"/>
      <c r="F5508" s="2" t="str">
        <f>IFERROR(__xludf.DUMMYFUNCTION("IF(E5508&lt;&gt;"""", GOOGLETRANSLATE(E5508, ""en"", ""te""),"""")"),"")</f>
        <v/>
      </c>
      <c r="G5508" s="2"/>
      <c r="H5508" s="2" t="str">
        <f>IFERROR(__xludf.DUMMYFUNCTION("IF(G5508&lt;&gt;"""", GOOGLETRANSLATE(G5508, ""en"", ""te""),"""")"),"")</f>
        <v/>
      </c>
      <c r="I5508" s="3"/>
    </row>
    <row r="5509" customHeight="1" spans="1:9">
      <c r="A5509" s="2"/>
      <c r="B5509" s="2" t="str">
        <f>IFERROR(__xludf.DUMMYFUNCTION("IF(A5509&lt;&gt;"""", GOOGLETRANSLATE(A5509, ""en"", ""te""),"""")"),"")</f>
        <v/>
      </c>
      <c r="C5509" s="2"/>
      <c r="D5509" s="2" t="str">
        <f>IFERROR(__xludf.DUMMYFUNCTION("IF(C5509&lt;&gt;"""", GOOGLETRANSLATE(C5509, ""en"", ""te""),"""")"),"")</f>
        <v/>
      </c>
      <c r="E5509" s="2"/>
      <c r="F5509" s="2" t="str">
        <f>IFERROR(__xludf.DUMMYFUNCTION("IF(E5509&lt;&gt;"""", GOOGLETRANSLATE(E5509, ""en"", ""te""),"""")"),"")</f>
        <v/>
      </c>
      <c r="G5509" s="2"/>
      <c r="H5509" s="2" t="str">
        <f>IFERROR(__xludf.DUMMYFUNCTION("IF(G5509&lt;&gt;"""", GOOGLETRANSLATE(G5509, ""en"", ""te""),"""")"),"")</f>
        <v/>
      </c>
      <c r="I5509" s="3"/>
    </row>
    <row r="5510" customHeight="1" spans="1:9">
      <c r="A5510" s="2" t="s">
        <v>3588</v>
      </c>
      <c r="B5510" s="2" t="str">
        <f>IFERROR(__xludf.DUMMYFUNCTION("IF(A5510&lt;&gt;"""", GOOGLETRANSLATE(A5510, ""en"", ""te""),"""")"),"[ఒక ఇన్నింగ్స్ లో బౌల్డ్, '8 వ అత్యంత బంతుల్లో' 7th అత్యంత వృద్ధ ఆటగాడు ఒక ఐదు మైడెన్-వికెట్ల లో-ఒక-ఇన్నింగ్స్ (32y 166d) తీసుకోవాలని '' 9 వ అత్యుత్తమ బౌలింగ్ (5/24) ఇన్నింగ్స్ విశ్లేషణలలో '(324) ',' ఒక ఇన్నింగ్స్లో పరుగుల 10 వ అత్యధిక శాతం (57.26) ',' 6"&amp;" వ అత్యధిక వికెట్లు స్టంప్ తీసుకున్న (16) ']")</f>
        <v>[ఒక ఇన్నింగ్స్ లో బౌల్డ్, '8 వ అత్యంత బంతుల్లో' 7th అత్యంత వృద్ధ ఆటగాడు ఒక ఐదు మైడెన్-వికెట్ల లో-ఒక-ఇన్నింగ్స్ (32y 166d) తీసుకోవాలని '' 9 వ అత్యుత్తమ బౌలింగ్ (5/24) ఇన్నింగ్స్ విశ్లేషణలలో '(324) ',' ఒక ఇన్నింగ్స్లో పరుగుల 10 వ అత్యధిక శాతం (57.26) ',' 6 వ అత్యధిక వికెట్లు స్టంప్ తీసుకున్న (16) ']</v>
      </c>
      <c r="C5510" s="2" t="s">
        <v>3589</v>
      </c>
      <c r="D5510" s="2" t="str">
        <f>IFERROR(__xludf.DUMMYFUNCTION("IF(C5510&lt;&gt;"""", GOOGLETRANSLATE(C5510, ""en"", ""te""),"""")"),"[ '9 వ అత్యుత్తమ బౌలింగ్ ఇన్నింగ్స్ లో విశ్లేషించడం (5/24)', '32 వ సగటు (21.26) బౌలింగ్ ఉత్తమ జీవితం' '27 వ ఉత్తమ కెరీర్ ఆర్థిక రేటు (1.64)', 'ఐదు వికెట్ల తేడాతో in- తీసుకోవాలని 11 వ అత్యంత వృద్ధ ఆటగాడు ఒక-ఇన్నింగ్స్ (32y 166d) ',' 7 వ అత్యంత వృద్ధ ఆటగాడు"&amp;" ఒక ఐదు మైడెన్-వికెట్ల లో-ఒక-ఇన్నింగ్స్ ఇన్నింగ్స్ లో బౌల్డ్ (32y 166d) ',' 8 వ అత్యంత బంతుల్లో తీసుకోవాలని (324) ',' 27 వ బంతులను బౌలింగ్ చేశాడు ఒక మ్యాచ్లో (396) ']")</f>
        <v>[ '9 వ అత్యుత్తమ బౌలింగ్ ఇన్నింగ్స్ లో విశ్లేషించడం (5/24)', '32 వ సగటు (21.26) బౌలింగ్ ఉత్తమ జీవితం' '27 వ ఉత్తమ కెరీర్ ఆర్థిక రేటు (1.64)', 'ఐదు వికెట్ల తేడాతో in- తీసుకోవాలని 11 వ అత్యంత వృద్ధ ఆటగాడు ఒక-ఇన్నింగ్స్ (32y 166d) ',' 7 వ అత్యంత వృద్ధ ఆటగాడు ఒక ఐదు మైడెన్-వికెట్ల లో-ఒక-ఇన్నింగ్స్ ఇన్నింగ్స్ లో బౌల్డ్ (32y 166d) ',' 8 వ అత్యంత బంతుల్లో తీసుకోవాలని (324) ',' 27 వ బంతులను బౌలింగ్ చేశాడు ఒక మ్యాచ్లో (396) ']</v>
      </c>
      <c r="E5510" s="2" t="s">
        <v>3590</v>
      </c>
      <c r="F5510" s="2" t="str">
        <f>IFERROR(__xludf.DUMMYFUNCTION("IF(E5510&lt;&gt;"""", GOOGLETRANSLATE(E5510, ""en"", ""te""),"""")"),"[ '10 వ అత్యధిక ఒక ఇన్నింగ్స్లో పరుగుల శాతం (57.26)', '11 వ ఒక ఇన్నింగ్స్ లోని బెస్ట్ ఫిగర్స్ ఉన్నప్పుడు పరాజయం వైపు (4)', '18 వ సగటు (16.88) బౌలింగ్ ఉత్తమ జీవితం', '12 వ ఉత్తమ కెరీర్ సమ్మె రేటు (31.1) ',' 20 వ బౌలర్ / ఫీల్డర్ కలయికలు (13) ',' 6 వ అత్యధి"&amp;"క వికెట్లు స్టంప్ తీసుకున్న (16) ']")</f>
        <v>[ '10 వ అత్యధిక ఒక ఇన్నింగ్స్లో పరుగుల శాతం (57.26)', '11 వ ఒక ఇన్నింగ్స్ లోని బెస్ట్ ఫిగర్స్ ఉన్నప్పుడు పరాజయం వైపు (4)', '18 వ సగటు (16.88) బౌలింగ్ ఉత్తమ జీవితం', '12 వ ఉత్తమ కెరీర్ సమ్మె రేటు (31.1) ',' 20 వ బౌలర్ / ఫీల్డర్ కలయికలు (13) ',' 6 వ అత్యధిక వికెట్లు స్టంప్ తీసుకున్న (16) ']</v>
      </c>
      <c r="G5510" s="2"/>
      <c r="H5510" s="2" t="str">
        <f>IFERROR(__xludf.DUMMYFUNCTION("IF(G5510&lt;&gt;"""", GOOGLETRANSLATE(G5510, ""en"", ""te""),"""")"),"")</f>
        <v/>
      </c>
      <c r="I5510" s="3"/>
    </row>
    <row r="5511" customHeight="1" spans="1:9">
      <c r="A5511" s="2"/>
      <c r="B5511" s="2" t="str">
        <f>IFERROR(__xludf.DUMMYFUNCTION("IF(A5511&lt;&gt;"""", GOOGLETRANSLATE(A5511, ""en"", ""te""),"""")"),"")</f>
        <v/>
      </c>
      <c r="C5511" s="2"/>
      <c r="D5511" s="2" t="str">
        <f>IFERROR(__xludf.DUMMYFUNCTION("IF(C5511&lt;&gt;"""", GOOGLETRANSLATE(C5511, ""en"", ""te""),"""")"),"")</f>
        <v/>
      </c>
      <c r="E5511" s="2"/>
      <c r="F5511" s="2" t="str">
        <f>IFERROR(__xludf.DUMMYFUNCTION("IF(E5511&lt;&gt;"""", GOOGLETRANSLATE(E5511, ""en"", ""te""),"""")"),"")</f>
        <v/>
      </c>
      <c r="G5511" s="2"/>
      <c r="H5511" s="2" t="str">
        <f>IFERROR(__xludf.DUMMYFUNCTION("IF(G5511&lt;&gt;"""", GOOGLETRANSLATE(G5511, ""en"", ""te""),"""")"),"")</f>
        <v/>
      </c>
      <c r="I5511" s="3"/>
    </row>
    <row r="5512" customHeight="1" spans="1:9">
      <c r="A5512" s="2"/>
      <c r="B5512" s="2" t="str">
        <f>IFERROR(__xludf.DUMMYFUNCTION("IF(A5512&lt;&gt;"""", GOOGLETRANSLATE(A5512, ""en"", ""te""),"""")"),"")</f>
        <v/>
      </c>
      <c r="C5512" s="2"/>
      <c r="D5512" s="2" t="str">
        <f>IFERROR(__xludf.DUMMYFUNCTION("IF(C5512&lt;&gt;"""", GOOGLETRANSLATE(C5512, ""en"", ""te""),"""")"),"")</f>
        <v/>
      </c>
      <c r="E5512" s="2"/>
      <c r="F5512" s="2" t="str">
        <f>IFERROR(__xludf.DUMMYFUNCTION("IF(E5512&lt;&gt;"""", GOOGLETRANSLATE(E5512, ""en"", ""te""),"""")"),"")</f>
        <v/>
      </c>
      <c r="G5512" s="2"/>
      <c r="H5512" s="2" t="str">
        <f>IFERROR(__xludf.DUMMYFUNCTION("IF(G5512&lt;&gt;"""", GOOGLETRANSLATE(G5512, ""en"", ""te""),"""")"),"")</f>
        <v/>
      </c>
      <c r="I5512" s="3"/>
    </row>
    <row r="5513" customHeight="1" spans="1:9">
      <c r="A5513" s="2"/>
      <c r="B5513" s="2" t="str">
        <f>IFERROR(__xludf.DUMMYFUNCTION("IF(A5513&lt;&gt;"""", GOOGLETRANSLATE(A5513, ""en"", ""te""),"""")"),"")</f>
        <v/>
      </c>
      <c r="C5513" s="2"/>
      <c r="D5513" s="2" t="str">
        <f>IFERROR(__xludf.DUMMYFUNCTION("IF(C5513&lt;&gt;"""", GOOGLETRANSLATE(C5513, ""en"", ""te""),"""")"),"")</f>
        <v/>
      </c>
      <c r="E5513" s="2"/>
      <c r="F5513" s="2" t="str">
        <f>IFERROR(__xludf.DUMMYFUNCTION("IF(E5513&lt;&gt;"""", GOOGLETRANSLATE(E5513, ""en"", ""te""),"""")"),"")</f>
        <v/>
      </c>
      <c r="G5513" s="2"/>
      <c r="H5513" s="2" t="str">
        <f>IFERROR(__xludf.DUMMYFUNCTION("IF(G5513&lt;&gt;"""", GOOGLETRANSLATE(G5513, ""en"", ""te""),"""")"),"")</f>
        <v/>
      </c>
      <c r="I5513" s="3"/>
    </row>
    <row r="5514" customHeight="1" spans="1:9">
      <c r="A5514" s="2"/>
      <c r="B5514" s="2" t="str">
        <f>IFERROR(__xludf.DUMMYFUNCTION("IF(A5514&lt;&gt;"""", GOOGLETRANSLATE(A5514, ""en"", ""te""),"""")"),"")</f>
        <v/>
      </c>
      <c r="C5514" s="2"/>
      <c r="D5514" s="2" t="str">
        <f>IFERROR(__xludf.DUMMYFUNCTION("IF(C5514&lt;&gt;"""", GOOGLETRANSLATE(C5514, ""en"", ""te""),"""")"),"")</f>
        <v/>
      </c>
      <c r="E5514" s="2"/>
      <c r="F5514" s="2" t="str">
        <f>IFERROR(__xludf.DUMMYFUNCTION("IF(E5514&lt;&gt;"""", GOOGLETRANSLATE(E5514, ""en"", ""te""),"""")"),"")</f>
        <v/>
      </c>
      <c r="G5514" s="2"/>
      <c r="H5514" s="2" t="str">
        <f>IFERROR(__xludf.DUMMYFUNCTION("IF(G5514&lt;&gt;"""", GOOGLETRANSLATE(G5514, ""en"", ""te""),"""")"),"")</f>
        <v/>
      </c>
      <c r="I5514" s="3"/>
    </row>
    <row r="5515" customHeight="1" spans="1:9">
      <c r="A5515" s="2"/>
      <c r="B5515" s="2" t="str">
        <f>IFERROR(__xludf.DUMMYFUNCTION("IF(A5515&lt;&gt;"""", GOOGLETRANSLATE(A5515, ""en"", ""te""),"""")"),"")</f>
        <v/>
      </c>
      <c r="C5515" s="2"/>
      <c r="D5515" s="2" t="str">
        <f>IFERROR(__xludf.DUMMYFUNCTION("IF(C5515&lt;&gt;"""", GOOGLETRANSLATE(C5515, ""en"", ""te""),"""")"),"")</f>
        <v/>
      </c>
      <c r="E5515" s="2"/>
      <c r="F5515" s="2" t="str">
        <f>IFERROR(__xludf.DUMMYFUNCTION("IF(E5515&lt;&gt;"""", GOOGLETRANSLATE(E5515, ""en"", ""te""),"""")"),"")</f>
        <v/>
      </c>
      <c r="G5515" s="2"/>
      <c r="H5515" s="2" t="str">
        <f>IFERROR(__xludf.DUMMYFUNCTION("IF(G5515&lt;&gt;"""", GOOGLETRANSLATE(G5515, ""en"", ""te""),"""")"),"")</f>
        <v/>
      </c>
      <c r="I5515" s="3"/>
    </row>
    <row r="5516" customHeight="1" spans="1:9">
      <c r="A5516" s="2"/>
      <c r="B5516" s="2" t="str">
        <f>IFERROR(__xludf.DUMMYFUNCTION("IF(A5516&lt;&gt;"""", GOOGLETRANSLATE(A5516, ""en"", ""te""),"""")"),"")</f>
        <v/>
      </c>
      <c r="C5516" s="2"/>
      <c r="D5516" s="2" t="str">
        <f>IFERROR(__xludf.DUMMYFUNCTION("IF(C5516&lt;&gt;"""", GOOGLETRANSLATE(C5516, ""en"", ""te""),"""")"),"")</f>
        <v/>
      </c>
      <c r="E5516" s="2"/>
      <c r="F5516" s="2" t="str">
        <f>IFERROR(__xludf.DUMMYFUNCTION("IF(E5516&lt;&gt;"""", GOOGLETRANSLATE(E5516, ""en"", ""te""),"""")"),"")</f>
        <v/>
      </c>
      <c r="G5516" s="2"/>
      <c r="H5516" s="2" t="str">
        <f>IFERROR(__xludf.DUMMYFUNCTION("IF(G5516&lt;&gt;"""", GOOGLETRANSLATE(G5516, ""en"", ""te""),"""")"),"")</f>
        <v/>
      </c>
      <c r="I5516" s="3"/>
    </row>
    <row r="5517" customHeight="1" spans="1:9">
      <c r="A5517" s="2"/>
      <c r="B5517" s="2" t="str">
        <f>IFERROR(__xludf.DUMMYFUNCTION("IF(A5517&lt;&gt;"""", GOOGLETRANSLATE(A5517, ""en"", ""te""),"""")"),"")</f>
        <v/>
      </c>
      <c r="C5517" s="2"/>
      <c r="D5517" s="2" t="str">
        <f>IFERROR(__xludf.DUMMYFUNCTION("IF(C5517&lt;&gt;"""", GOOGLETRANSLATE(C5517, ""en"", ""te""),"""")"),"")</f>
        <v/>
      </c>
      <c r="E5517" s="2"/>
      <c r="F5517" s="2" t="str">
        <f>IFERROR(__xludf.DUMMYFUNCTION("IF(E5517&lt;&gt;"""", GOOGLETRANSLATE(E5517, ""en"", ""te""),"""")"),"")</f>
        <v/>
      </c>
      <c r="G5517" s="2"/>
      <c r="H5517" s="2" t="str">
        <f>IFERROR(__xludf.DUMMYFUNCTION("IF(G5517&lt;&gt;"""", GOOGLETRANSLATE(G5517, ""en"", ""te""),"""")"),"")</f>
        <v/>
      </c>
      <c r="I5517" s="3"/>
    </row>
    <row r="5518" customHeight="1" spans="1:9">
      <c r="A5518" s="2"/>
      <c r="B5518" s="2" t="str">
        <f>IFERROR(__xludf.DUMMYFUNCTION("IF(A5518&lt;&gt;"""", GOOGLETRANSLATE(A5518, ""en"", ""te""),"""")"),"")</f>
        <v/>
      </c>
      <c r="C5518" s="2"/>
      <c r="D5518" s="2" t="str">
        <f>IFERROR(__xludf.DUMMYFUNCTION("IF(C5518&lt;&gt;"""", GOOGLETRANSLATE(C5518, ""en"", ""te""),"""")"),"")</f>
        <v/>
      </c>
      <c r="E5518" s="2"/>
      <c r="F5518" s="2" t="str">
        <f>IFERROR(__xludf.DUMMYFUNCTION("IF(E5518&lt;&gt;"""", GOOGLETRANSLATE(E5518, ""en"", ""te""),"""")"),"")</f>
        <v/>
      </c>
      <c r="G5518" s="2"/>
      <c r="H5518" s="2" t="str">
        <f>IFERROR(__xludf.DUMMYFUNCTION("IF(G5518&lt;&gt;"""", GOOGLETRANSLATE(G5518, ""en"", ""te""),"""")"),"")</f>
        <v/>
      </c>
      <c r="I5518" s="3"/>
    </row>
    <row r="5519" customHeight="1" spans="1:9">
      <c r="A5519" s="2" t="s">
        <v>399</v>
      </c>
      <c r="B5519" s="2" t="str">
        <f>IFERROR(__xludf.DUMMYFUNCTION("IF(A5519&lt;&gt;"""", GOOGLETRANSLATE(A5519, ""en"", ""te""),"""")"),"[ 'తొలి పెయిర్']")</f>
        <v>[ 'తొలి పెయిర్']</v>
      </c>
      <c r="C5519" s="2" t="s">
        <v>3591</v>
      </c>
      <c r="D5519" s="2" t="str">
        <f>IFERROR(__xludf.DUMMYFUNCTION("IF(C5519&lt;&gt;"""", GOOGLETRANSLATE(C5519, ""en"", ""te""),"""")"),"[ '26 చెత్త కెరీర్లో సమ్మె రేటు (121.3)']")</f>
        <v>[ '26 చెత్త కెరీర్లో సమ్మె రేటు (121.3)']</v>
      </c>
      <c r="E5519" s="2"/>
      <c r="F5519" s="2" t="str">
        <f>IFERROR(__xludf.DUMMYFUNCTION("IF(E5519&lt;&gt;"""", GOOGLETRANSLATE(E5519, ""en"", ""te""),"""")"),"")</f>
        <v/>
      </c>
      <c r="G5519" s="2"/>
      <c r="H5519" s="2" t="str">
        <f>IFERROR(__xludf.DUMMYFUNCTION("IF(G5519&lt;&gt;"""", GOOGLETRANSLATE(G5519, ""en"", ""te""),"""")"),"")</f>
        <v/>
      </c>
      <c r="I5519" s="3"/>
    </row>
    <row r="5520" customHeight="1" spans="1:9">
      <c r="A5520" s="2"/>
      <c r="B5520" s="2" t="str">
        <f>IFERROR(__xludf.DUMMYFUNCTION("IF(A5520&lt;&gt;"""", GOOGLETRANSLATE(A5520, ""en"", ""te""),"""")"),"")</f>
        <v/>
      </c>
      <c r="C5520" s="2"/>
      <c r="D5520" s="2" t="str">
        <f>IFERROR(__xludf.DUMMYFUNCTION("IF(C5520&lt;&gt;"""", GOOGLETRANSLATE(C5520, ""en"", ""te""),"""")"),"")</f>
        <v/>
      </c>
      <c r="E5520" s="2"/>
      <c r="F5520" s="2" t="str">
        <f>IFERROR(__xludf.DUMMYFUNCTION("IF(E5520&lt;&gt;"""", GOOGLETRANSLATE(E5520, ""en"", ""te""),"""")"),"")</f>
        <v/>
      </c>
      <c r="G5520" s="2"/>
      <c r="H5520" s="2" t="str">
        <f>IFERROR(__xludf.DUMMYFUNCTION("IF(G5520&lt;&gt;"""", GOOGLETRANSLATE(G5520, ""en"", ""te""),"""")"),"")</f>
        <v/>
      </c>
      <c r="I5520" s="3"/>
    </row>
    <row r="5521" customHeight="1" spans="1:9">
      <c r="A5521" s="2"/>
      <c r="B5521" s="2" t="str">
        <f>IFERROR(__xludf.DUMMYFUNCTION("IF(A5521&lt;&gt;"""", GOOGLETRANSLATE(A5521, ""en"", ""te""),"""")"),"")</f>
        <v/>
      </c>
      <c r="C5521" s="2"/>
      <c r="D5521" s="2" t="str">
        <f>IFERROR(__xludf.DUMMYFUNCTION("IF(C5521&lt;&gt;"""", GOOGLETRANSLATE(C5521, ""en"", ""te""),"""")"),"")</f>
        <v/>
      </c>
      <c r="E5521" s="2"/>
      <c r="F5521" s="2" t="str">
        <f>IFERROR(__xludf.DUMMYFUNCTION("IF(E5521&lt;&gt;"""", GOOGLETRANSLATE(E5521, ""en"", ""te""),"""")"),"")</f>
        <v/>
      </c>
      <c r="G5521" s="2"/>
      <c r="H5521" s="2" t="str">
        <f>IFERROR(__xludf.DUMMYFUNCTION("IF(G5521&lt;&gt;"""", GOOGLETRANSLATE(G5521, ""en"", ""te""),"""")"),"")</f>
        <v/>
      </c>
      <c r="I5521" s="3"/>
    </row>
    <row r="5522" customHeight="1" spans="1:9">
      <c r="A5522" s="2"/>
      <c r="B5522" s="2" t="str">
        <f>IFERROR(__xludf.DUMMYFUNCTION("IF(A5522&lt;&gt;"""", GOOGLETRANSLATE(A5522, ""en"", ""te""),"""")"),"")</f>
        <v/>
      </c>
      <c r="C5522" s="2"/>
      <c r="D5522" s="2" t="str">
        <f>IFERROR(__xludf.DUMMYFUNCTION("IF(C5522&lt;&gt;"""", GOOGLETRANSLATE(C5522, ""en"", ""te""),"""")"),"")</f>
        <v/>
      </c>
      <c r="E5522" s="2"/>
      <c r="F5522" s="2" t="str">
        <f>IFERROR(__xludf.DUMMYFUNCTION("IF(E5522&lt;&gt;"""", GOOGLETRANSLATE(E5522, ""en"", ""te""),"""")"),"")</f>
        <v/>
      </c>
      <c r="G5522" s="2"/>
      <c r="H5522" s="2" t="str">
        <f>IFERROR(__xludf.DUMMYFUNCTION("IF(G5522&lt;&gt;"""", GOOGLETRANSLATE(G5522, ""en"", ""te""),"""")"),"")</f>
        <v/>
      </c>
      <c r="I5522" s="3"/>
    </row>
    <row r="5523" customHeight="1" spans="1:9">
      <c r="A5523" s="2"/>
      <c r="B5523" s="2" t="str">
        <f>IFERROR(__xludf.DUMMYFUNCTION("IF(A5523&lt;&gt;"""", GOOGLETRANSLATE(A5523, ""en"", ""te""),"""")"),"")</f>
        <v/>
      </c>
      <c r="C5523" s="2"/>
      <c r="D5523" s="2" t="str">
        <f>IFERROR(__xludf.DUMMYFUNCTION("IF(C5523&lt;&gt;"""", GOOGLETRANSLATE(C5523, ""en"", ""te""),"""")"),"")</f>
        <v/>
      </c>
      <c r="E5523" s="2"/>
      <c r="F5523" s="2" t="str">
        <f>IFERROR(__xludf.DUMMYFUNCTION("IF(E5523&lt;&gt;"""", GOOGLETRANSLATE(E5523, ""en"", ""te""),"""")"),"")</f>
        <v/>
      </c>
      <c r="G5523" s="2"/>
      <c r="H5523" s="2" t="str">
        <f>IFERROR(__xludf.DUMMYFUNCTION("IF(G5523&lt;&gt;"""", GOOGLETRANSLATE(G5523, ""en"", ""te""),"""")"),"")</f>
        <v/>
      </c>
      <c r="I5523" s="3"/>
    </row>
    <row r="5524" customHeight="1" spans="1:9">
      <c r="A5524" s="2"/>
      <c r="B5524" s="2" t="str">
        <f>IFERROR(__xludf.DUMMYFUNCTION("IF(A5524&lt;&gt;"""", GOOGLETRANSLATE(A5524, ""en"", ""te""),"""")"),"")</f>
        <v/>
      </c>
      <c r="C5524" s="2"/>
      <c r="D5524" s="2" t="str">
        <f>IFERROR(__xludf.DUMMYFUNCTION("IF(C5524&lt;&gt;"""", GOOGLETRANSLATE(C5524, ""en"", ""te""),"""")"),"")</f>
        <v/>
      </c>
      <c r="E5524" s="2"/>
      <c r="F5524" s="2" t="str">
        <f>IFERROR(__xludf.DUMMYFUNCTION("IF(E5524&lt;&gt;"""", GOOGLETRANSLATE(E5524, ""en"", ""te""),"""")"),"")</f>
        <v/>
      </c>
      <c r="G5524" s="2"/>
      <c r="H5524" s="2" t="str">
        <f>IFERROR(__xludf.DUMMYFUNCTION("IF(G5524&lt;&gt;"""", GOOGLETRANSLATE(G5524, ""en"", ""te""),"""")"),"")</f>
        <v/>
      </c>
      <c r="I5524" s="3"/>
    </row>
    <row r="5525" customHeight="1" spans="1:9">
      <c r="A5525" s="2"/>
      <c r="B5525" s="2" t="str">
        <f>IFERROR(__xludf.DUMMYFUNCTION("IF(A5525&lt;&gt;"""", GOOGLETRANSLATE(A5525, ""en"", ""te""),"""")"),"")</f>
        <v/>
      </c>
      <c r="C5525" s="2"/>
      <c r="D5525" s="2" t="str">
        <f>IFERROR(__xludf.DUMMYFUNCTION("IF(C5525&lt;&gt;"""", GOOGLETRANSLATE(C5525, ""en"", ""te""),"""")"),"")</f>
        <v/>
      </c>
      <c r="E5525" s="2"/>
      <c r="F5525" s="2" t="str">
        <f>IFERROR(__xludf.DUMMYFUNCTION("IF(E5525&lt;&gt;"""", GOOGLETRANSLATE(E5525, ""en"", ""te""),"""")"),"")</f>
        <v/>
      </c>
      <c r="G5525" s="2"/>
      <c r="H5525" s="2" t="str">
        <f>IFERROR(__xludf.DUMMYFUNCTION("IF(G5525&lt;&gt;"""", GOOGLETRANSLATE(G5525, ""en"", ""te""),"""")"),"")</f>
        <v/>
      </c>
      <c r="I5525" s="3"/>
    </row>
    <row r="5526" customHeight="1" spans="1:9">
      <c r="A5526" s="2"/>
      <c r="B5526" s="2" t="str">
        <f>IFERROR(__xludf.DUMMYFUNCTION("IF(A5526&lt;&gt;"""", GOOGLETRANSLATE(A5526, ""en"", ""te""),"""")"),"")</f>
        <v/>
      </c>
      <c r="C5526" s="2"/>
      <c r="D5526" s="2" t="str">
        <f>IFERROR(__xludf.DUMMYFUNCTION("IF(C5526&lt;&gt;"""", GOOGLETRANSLATE(C5526, ""en"", ""te""),"""")"),"")</f>
        <v/>
      </c>
      <c r="E5526" s="2"/>
      <c r="F5526" s="2" t="str">
        <f>IFERROR(__xludf.DUMMYFUNCTION("IF(E5526&lt;&gt;"""", GOOGLETRANSLATE(E5526, ""en"", ""te""),"""")"),"")</f>
        <v/>
      </c>
      <c r="G5526" s="2"/>
      <c r="H5526" s="2" t="str">
        <f>IFERROR(__xludf.DUMMYFUNCTION("IF(G5526&lt;&gt;"""", GOOGLETRANSLATE(G5526, ""en"", ""te""),"""")"),"")</f>
        <v/>
      </c>
      <c r="I5526" s="3"/>
    </row>
    <row r="5527" customHeight="1" spans="1:9">
      <c r="A5527" s="2" t="s">
        <v>3592</v>
      </c>
      <c r="B5527" s="2" t="str">
        <f>IFERROR(__xludf.DUMMYFUNCTION("IF(A5527&lt;&gt;"""", GOOGLETRANSLATE(A5527, ""en"", ""te""),"""")"),"[ 'వరుస 1st చాలా బాతులు (5)', '3 వ ఇన్నింగ్స్ లో అత్యధిక క్యాచ్లు' మొదటి డక్ (24) ముందు 10 వ అత్యంత ఇన్నింగ్స్ '7th ఉత్తమ కెరీర్ సగటు (6.00) (అర్హత లేకుండా) బౌలింగ్', (3) ',' నాలుగవ వికెట్కు (134) 4 వ అత్యధిక భాగస్వామ్యం ']")</f>
        <v>[ 'వరుస 1st చాలా బాతులు (5)', '3 వ ఇన్నింగ్స్ లో అత్యధిక క్యాచ్లు' మొదటి డక్ (24) ముందు 10 వ అత్యంత ఇన్నింగ్స్ '7th ఉత్తమ కెరీర్ సగటు (6.00) (అర్హత లేకుండా) బౌలింగ్', (3) ',' నాలుగవ వికెట్కు (134) 4 వ అత్యధిక భాగస్వామ్యం ']</v>
      </c>
      <c r="C5527" s="2"/>
      <c r="D5527" s="2" t="str">
        <f>IFERROR(__xludf.DUMMYFUNCTION("IF(C5527&lt;&gt;"""", GOOGLETRANSLATE(C5527, ""en"", ""te""),"""")"),"")</f>
        <v/>
      </c>
      <c r="E5527" s="2" t="s">
        <v>3593</v>
      </c>
      <c r="F5527" s="2" t="str">
        <f>IFERROR(__xludf.DUMMYFUNCTION("IF(E5527&lt;&gt;"""", GOOGLETRANSLATE(E5527, ""en"", ""te""),"""")"),"[ 'వరుస (5) లో 1 వ అత్యంత బాతులు' '7th ఉత్తమ కెరీర్ (6.00) (అర్హత లేకుండా) సగటు బౌలింగ్', 'ఏ వికెట్కు 29 అత్యధిక భాగస్వామ్యాల (190)' మొదటి వికెట్కు, '12 వ అత్యధిక భాగస్వామ్యం (190 ) ']")</f>
        <v>[ 'వరుస (5) లో 1 వ అత్యంత బాతులు' '7th ఉత్తమ కెరీర్ (6.00) (అర్హత లేకుండా) సగటు బౌలింగ్', 'ఏ వికెట్కు 29 అత్యధిక భాగస్వామ్యాల (190)' మొదటి వికెట్కు, '12 వ అత్యధిక భాగస్వామ్యం (190 ) ']</v>
      </c>
      <c r="G5527" s="2" t="s">
        <v>3594</v>
      </c>
      <c r="H5527" s="2" t="str">
        <f>IFERROR(__xludf.DUMMYFUNCTION("IF(G5527&lt;&gt;"""", GOOGLETRANSLATE(G5527, ""en"", ""te""),"""")"),"[ '(976) 37 వ కెరీర్ లో అత్యధిక పరుగులు', '18 వ ఒక క్యాలెండర్ సంవత్సరంలో అత్యధిక పరుగులు (461)', '24 వ ఇన్నింగ్స్ లో అత్యధిక పరుగులు (బ్యాటింగ్ స్థానంలో ప్రకారం) (72)', '14 వ మ్యాచ్ లో అత్యధిక పరుగులు న పరాజయం వైపు (72) ',' ఒకే మైదానంలో 33 వ అత్యధిక పరు"&amp;"గులు (195) ',' 22 వ అత్యధిక కెరీర్ బ్యాటింగ్ సగటు (26.37) ',' 22 వ కెరీర్ అర్ధ (6) ',' 10th మొదటి డక్ ముందు అత్యంత ఇన్నింగ్స్ (24) ',' కెరీర్లో 25 వ అతి తక్కువ బాతులు (20) ',' ఇన్నింగ్స్ ఏ వికెట్కు (3) ',' 26th అత్యధిక భాగస్వామ్య 3 వ అత్యధిక క్యాచ్లు (134"&amp;") ',' మూడో వికెట్కు 6 వ అత్యధిక భాగస్వామ్యం (117 ) ',' నాలుగవ వికెట్కు (134 4 వ అత్యధిక భాగస్వామ్యం) ']")</f>
        <v>[ '(976) 37 వ కెరీర్ లో అత్యధిక పరుగులు', '18 వ ఒక క్యాలెండర్ సంవత్సరంలో అత్యధిక పరుగులు (461)', '24 వ ఇన్నింగ్స్ లో అత్యధిక పరుగులు (బ్యాటింగ్ స్థానంలో ప్రకారం) (72)', '14 వ మ్యాచ్ లో అత్యధిక పరుగులు న పరాజయం వైపు (72) ',' ఒకే మైదానంలో 33 వ అత్యధిక పరుగులు (195) ',' 22 వ అత్యధిక కెరీర్ బ్యాటింగ్ సగటు (26.37) ',' 22 వ కెరీర్ అర్ధ (6) ',' 10th మొదటి డక్ ముందు అత్యంత ఇన్నింగ్స్ (24) ',' కెరీర్లో 25 వ అతి తక్కువ బాతులు (20) ',' ఇన్నింగ్స్ ఏ వికెట్కు (3) ',' 26th అత్యధిక భాగస్వామ్య 3 వ అత్యధిక క్యాచ్లు (134) ',' మూడో వికెట్కు 6 వ అత్యధిక భాగస్వామ్యం (117 ) ',' నాలుగవ వికెట్కు (134 4 వ అత్యధిక భాగస్వామ్యం) ']</v>
      </c>
      <c r="I5527" s="3"/>
    </row>
    <row r="5528" customHeight="1" spans="1:9">
      <c r="A5528" s="2"/>
      <c r="B5528" s="2" t="str">
        <f>IFERROR(__xludf.DUMMYFUNCTION("IF(A5528&lt;&gt;"""", GOOGLETRANSLATE(A5528, ""en"", ""te""),"""")"),"")</f>
        <v/>
      </c>
      <c r="C5528" s="2"/>
      <c r="D5528" s="2" t="str">
        <f>IFERROR(__xludf.DUMMYFUNCTION("IF(C5528&lt;&gt;"""", GOOGLETRANSLATE(C5528, ""en"", ""te""),"""")"),"")</f>
        <v/>
      </c>
      <c r="E5528" s="2"/>
      <c r="F5528" s="2" t="str">
        <f>IFERROR(__xludf.DUMMYFUNCTION("IF(E5528&lt;&gt;"""", GOOGLETRANSLATE(E5528, ""en"", ""te""),"""")"),"")</f>
        <v/>
      </c>
      <c r="G5528" s="2"/>
      <c r="H5528" s="2" t="str">
        <f>IFERROR(__xludf.DUMMYFUNCTION("IF(G5528&lt;&gt;"""", GOOGLETRANSLATE(G5528, ""en"", ""te""),"""")"),"")</f>
        <v/>
      </c>
      <c r="I5528" s="3"/>
    </row>
    <row r="5529" customHeight="1" spans="1:9">
      <c r="A5529" s="2"/>
      <c r="B5529" s="2" t="str">
        <f>IFERROR(__xludf.DUMMYFUNCTION("IF(A5529&lt;&gt;"""", GOOGLETRANSLATE(A5529, ""en"", ""te""),"""")"),"")</f>
        <v/>
      </c>
      <c r="C5529" s="2"/>
      <c r="D5529" s="2" t="str">
        <f>IFERROR(__xludf.DUMMYFUNCTION("IF(C5529&lt;&gt;"""", GOOGLETRANSLATE(C5529, ""en"", ""te""),"""")"),"")</f>
        <v/>
      </c>
      <c r="E5529" s="2"/>
      <c r="F5529" s="2" t="str">
        <f>IFERROR(__xludf.DUMMYFUNCTION("IF(E5529&lt;&gt;"""", GOOGLETRANSLATE(E5529, ""en"", ""te""),"""")"),"")</f>
        <v/>
      </c>
      <c r="G5529" s="2"/>
      <c r="H5529" s="2" t="str">
        <f>IFERROR(__xludf.DUMMYFUNCTION("IF(G5529&lt;&gt;"""", GOOGLETRANSLATE(G5529, ""en"", ""te""),"""")"),"")</f>
        <v/>
      </c>
      <c r="I5529" s="3"/>
    </row>
    <row r="5530" customHeight="1" spans="1:9">
      <c r="A5530" s="2"/>
      <c r="B5530" s="2" t="str">
        <f>IFERROR(__xludf.DUMMYFUNCTION("IF(A5530&lt;&gt;"""", GOOGLETRANSLATE(A5530, ""en"", ""te""),"""")"),"")</f>
        <v/>
      </c>
      <c r="C5530" s="2"/>
      <c r="D5530" s="2" t="str">
        <f>IFERROR(__xludf.DUMMYFUNCTION("IF(C5530&lt;&gt;"""", GOOGLETRANSLATE(C5530, ""en"", ""te""),"""")"),"")</f>
        <v/>
      </c>
      <c r="E5530" s="2"/>
      <c r="F5530" s="2" t="str">
        <f>IFERROR(__xludf.DUMMYFUNCTION("IF(E5530&lt;&gt;"""", GOOGLETRANSLATE(E5530, ""en"", ""te""),"""")"),"")</f>
        <v/>
      </c>
      <c r="G5530" s="2"/>
      <c r="H5530" s="2" t="str">
        <f>IFERROR(__xludf.DUMMYFUNCTION("IF(G5530&lt;&gt;"""", GOOGLETRANSLATE(G5530, ""en"", ""te""),"""")"),"")</f>
        <v/>
      </c>
      <c r="I5530" s="3"/>
    </row>
    <row r="5531" customHeight="1" spans="1:9">
      <c r="A5531" s="2"/>
      <c r="B5531" s="2" t="str">
        <f>IFERROR(__xludf.DUMMYFUNCTION("IF(A5531&lt;&gt;"""", GOOGLETRANSLATE(A5531, ""en"", ""te""),"""")"),"")</f>
        <v/>
      </c>
      <c r="C5531" s="2"/>
      <c r="D5531" s="2" t="str">
        <f>IFERROR(__xludf.DUMMYFUNCTION("IF(C5531&lt;&gt;"""", GOOGLETRANSLATE(C5531, ""en"", ""te""),"""")"),"")</f>
        <v/>
      </c>
      <c r="E5531" s="2"/>
      <c r="F5531" s="2" t="str">
        <f>IFERROR(__xludf.DUMMYFUNCTION("IF(E5531&lt;&gt;"""", GOOGLETRANSLATE(E5531, ""en"", ""te""),"""")"),"")</f>
        <v/>
      </c>
      <c r="G5531" s="2"/>
      <c r="H5531" s="2" t="str">
        <f>IFERROR(__xludf.DUMMYFUNCTION("IF(G5531&lt;&gt;"""", GOOGLETRANSLATE(G5531, ""en"", ""te""),"""")"),"")</f>
        <v/>
      </c>
      <c r="I5531" s="3"/>
    </row>
    <row r="5532" customHeight="1" spans="1:9">
      <c r="A5532" s="2"/>
      <c r="B5532" s="2" t="str">
        <f>IFERROR(__xludf.DUMMYFUNCTION("IF(A5532&lt;&gt;"""", GOOGLETRANSLATE(A5532, ""en"", ""te""),"""")"),"")</f>
        <v/>
      </c>
      <c r="C5532" s="2"/>
      <c r="D5532" s="2" t="str">
        <f>IFERROR(__xludf.DUMMYFUNCTION("IF(C5532&lt;&gt;"""", GOOGLETRANSLATE(C5532, ""en"", ""te""),"""")"),"")</f>
        <v/>
      </c>
      <c r="E5532" s="2"/>
      <c r="F5532" s="2" t="str">
        <f>IFERROR(__xludf.DUMMYFUNCTION("IF(E5532&lt;&gt;"""", GOOGLETRANSLATE(E5532, ""en"", ""te""),"""")"),"")</f>
        <v/>
      </c>
      <c r="G5532" s="2"/>
      <c r="H5532" s="2" t="str">
        <f>IFERROR(__xludf.DUMMYFUNCTION("IF(G5532&lt;&gt;"""", GOOGLETRANSLATE(G5532, ""en"", ""te""),"""")"),"")</f>
        <v/>
      </c>
      <c r="I5532" s="3"/>
    </row>
    <row r="5533" customHeight="1" spans="1:9">
      <c r="A5533" s="2"/>
      <c r="B5533" s="2" t="str">
        <f>IFERROR(__xludf.DUMMYFUNCTION("IF(A5533&lt;&gt;"""", GOOGLETRANSLATE(A5533, ""en"", ""te""),"""")"),"")</f>
        <v/>
      </c>
      <c r="C5533" s="2"/>
      <c r="D5533" s="2" t="str">
        <f>IFERROR(__xludf.DUMMYFUNCTION("IF(C5533&lt;&gt;"""", GOOGLETRANSLATE(C5533, ""en"", ""te""),"""")"),"")</f>
        <v/>
      </c>
      <c r="E5533" s="2"/>
      <c r="F5533" s="2" t="str">
        <f>IFERROR(__xludf.DUMMYFUNCTION("IF(E5533&lt;&gt;"""", GOOGLETRANSLATE(E5533, ""en"", ""te""),"""")"),"")</f>
        <v/>
      </c>
      <c r="G5533" s="2"/>
      <c r="H5533" s="2" t="str">
        <f>IFERROR(__xludf.DUMMYFUNCTION("IF(G5533&lt;&gt;"""", GOOGLETRANSLATE(G5533, ""en"", ""te""),"""")"),"")</f>
        <v/>
      </c>
      <c r="I5533" s="3"/>
    </row>
    <row r="5534" customHeight="1" spans="1:9">
      <c r="A5534" s="2"/>
      <c r="B5534" s="2" t="str">
        <f>IFERROR(__xludf.DUMMYFUNCTION("IF(A5534&lt;&gt;"""", GOOGLETRANSLATE(A5534, ""en"", ""te""),"""")"),"")</f>
        <v/>
      </c>
      <c r="C5534" s="2"/>
      <c r="D5534" s="2" t="str">
        <f>IFERROR(__xludf.DUMMYFUNCTION("IF(C5534&lt;&gt;"""", GOOGLETRANSLATE(C5534, ""en"", ""te""),"""")"),"")</f>
        <v/>
      </c>
      <c r="E5534" s="2"/>
      <c r="F5534" s="2" t="str">
        <f>IFERROR(__xludf.DUMMYFUNCTION("IF(E5534&lt;&gt;"""", GOOGLETRANSLATE(E5534, ""en"", ""te""),"""")"),"")</f>
        <v/>
      </c>
      <c r="G5534" s="2"/>
      <c r="H5534" s="2" t="str">
        <f>IFERROR(__xludf.DUMMYFUNCTION("IF(G5534&lt;&gt;"""", GOOGLETRANSLATE(G5534, ""en"", ""te""),"""")"),"")</f>
        <v/>
      </c>
      <c r="I5534" s="3"/>
    </row>
    <row r="5535" customHeight="1" spans="1:9">
      <c r="A5535" s="2"/>
      <c r="B5535" s="2" t="str">
        <f>IFERROR(__xludf.DUMMYFUNCTION("IF(A5535&lt;&gt;"""", GOOGLETRANSLATE(A5535, ""en"", ""te""),"""")"),"")</f>
        <v/>
      </c>
      <c r="C5535" s="2"/>
      <c r="D5535" s="2" t="str">
        <f>IFERROR(__xludf.DUMMYFUNCTION("IF(C5535&lt;&gt;"""", GOOGLETRANSLATE(C5535, ""en"", ""te""),"""")"),"")</f>
        <v/>
      </c>
      <c r="E5535" s="2"/>
      <c r="F5535" s="2" t="str">
        <f>IFERROR(__xludf.DUMMYFUNCTION("IF(E5535&lt;&gt;"""", GOOGLETRANSLATE(E5535, ""en"", ""te""),"""")"),"")</f>
        <v/>
      </c>
      <c r="G5535" s="2"/>
      <c r="H5535" s="2" t="str">
        <f>IFERROR(__xludf.DUMMYFUNCTION("IF(G5535&lt;&gt;"""", GOOGLETRANSLATE(G5535, ""en"", ""te""),"""")"),"")</f>
        <v/>
      </c>
      <c r="I5535" s="3"/>
    </row>
    <row r="5536" customHeight="1" spans="1:9">
      <c r="A5536" s="2"/>
      <c r="B5536" s="2" t="str">
        <f>IFERROR(__xludf.DUMMYFUNCTION("IF(A5536&lt;&gt;"""", GOOGLETRANSLATE(A5536, ""en"", ""te""),"""")"),"")</f>
        <v/>
      </c>
      <c r="C5536" s="2"/>
      <c r="D5536" s="2" t="str">
        <f>IFERROR(__xludf.DUMMYFUNCTION("IF(C5536&lt;&gt;"""", GOOGLETRANSLATE(C5536, ""en"", ""te""),"""")"),"")</f>
        <v/>
      </c>
      <c r="E5536" s="2"/>
      <c r="F5536" s="2" t="str">
        <f>IFERROR(__xludf.DUMMYFUNCTION("IF(E5536&lt;&gt;"""", GOOGLETRANSLATE(E5536, ""en"", ""te""),"""")"),"")</f>
        <v/>
      </c>
      <c r="G5536" s="2"/>
      <c r="H5536" s="2" t="str">
        <f>IFERROR(__xludf.DUMMYFUNCTION("IF(G5536&lt;&gt;"""", GOOGLETRANSLATE(G5536, ""en"", ""te""),"""")"),"")</f>
        <v/>
      </c>
      <c r="I5536" s="3"/>
    </row>
    <row r="5537" customHeight="1" spans="1:9">
      <c r="A5537" s="2"/>
      <c r="B5537" s="2" t="str">
        <f>IFERROR(__xludf.DUMMYFUNCTION("IF(A5537&lt;&gt;"""", GOOGLETRANSLATE(A5537, ""en"", ""te""),"""")"),"")</f>
        <v/>
      </c>
      <c r="C5537" s="2"/>
      <c r="D5537" s="2" t="str">
        <f>IFERROR(__xludf.DUMMYFUNCTION("IF(C5537&lt;&gt;"""", GOOGLETRANSLATE(C5537, ""en"", ""te""),"""")"),"")</f>
        <v/>
      </c>
      <c r="E5537" s="2"/>
      <c r="F5537" s="2" t="str">
        <f>IFERROR(__xludf.DUMMYFUNCTION("IF(E5537&lt;&gt;"""", GOOGLETRANSLATE(E5537, ""en"", ""te""),"""")"),"")</f>
        <v/>
      </c>
      <c r="G5537" s="2"/>
      <c r="H5537" s="2" t="str">
        <f>IFERROR(__xludf.DUMMYFUNCTION("IF(G5537&lt;&gt;"""", GOOGLETRANSLATE(G5537, ""en"", ""te""),"""")"),"")</f>
        <v/>
      </c>
      <c r="I5537" s="3"/>
    </row>
    <row r="5538" customHeight="1" spans="1:9">
      <c r="A5538" s="2"/>
      <c r="B5538" s="2" t="str">
        <f>IFERROR(__xludf.DUMMYFUNCTION("IF(A5538&lt;&gt;"""", GOOGLETRANSLATE(A5538, ""en"", ""te""),"""")"),"")</f>
        <v/>
      </c>
      <c r="C5538" s="2"/>
      <c r="D5538" s="2" t="str">
        <f>IFERROR(__xludf.DUMMYFUNCTION("IF(C5538&lt;&gt;"""", GOOGLETRANSLATE(C5538, ""en"", ""te""),"""")"),"")</f>
        <v/>
      </c>
      <c r="E5538" s="2"/>
      <c r="F5538" s="2" t="str">
        <f>IFERROR(__xludf.DUMMYFUNCTION("IF(E5538&lt;&gt;"""", GOOGLETRANSLATE(E5538, ""en"", ""te""),"""")"),"")</f>
        <v/>
      </c>
      <c r="G5538" s="2"/>
      <c r="H5538" s="2" t="str">
        <f>IFERROR(__xludf.DUMMYFUNCTION("IF(G5538&lt;&gt;"""", GOOGLETRANSLATE(G5538, ""en"", ""te""),"""")"),"")</f>
        <v/>
      </c>
      <c r="I5538" s="3"/>
    </row>
    <row r="5539" customHeight="1" spans="1:9">
      <c r="A5539" s="2"/>
      <c r="B5539" s="2" t="str">
        <f>IFERROR(__xludf.DUMMYFUNCTION("IF(A5539&lt;&gt;"""", GOOGLETRANSLATE(A5539, ""en"", ""te""),"""")"),"")</f>
        <v/>
      </c>
      <c r="C5539" s="2"/>
      <c r="D5539" s="2" t="str">
        <f>IFERROR(__xludf.DUMMYFUNCTION("IF(C5539&lt;&gt;"""", GOOGLETRANSLATE(C5539, ""en"", ""te""),"""")"),"")</f>
        <v/>
      </c>
      <c r="E5539" s="2"/>
      <c r="F5539" s="2" t="str">
        <f>IFERROR(__xludf.DUMMYFUNCTION("IF(E5539&lt;&gt;"""", GOOGLETRANSLATE(E5539, ""en"", ""te""),"""")"),"")</f>
        <v/>
      </c>
      <c r="G5539" s="2"/>
      <c r="H5539" s="2" t="str">
        <f>IFERROR(__xludf.DUMMYFUNCTION("IF(G5539&lt;&gt;"""", GOOGLETRANSLATE(G5539, ""en"", ""te""),"""")"),"")</f>
        <v/>
      </c>
      <c r="I5539" s="3"/>
    </row>
    <row r="5540" customHeight="1" spans="1:9">
      <c r="A5540" s="2"/>
      <c r="B5540" s="2" t="str">
        <f>IFERROR(__xludf.DUMMYFUNCTION("IF(A5540&lt;&gt;"""", GOOGLETRANSLATE(A5540, ""en"", ""te""),"""")"),"")</f>
        <v/>
      </c>
      <c r="C5540" s="2"/>
      <c r="D5540" s="2" t="str">
        <f>IFERROR(__xludf.DUMMYFUNCTION("IF(C5540&lt;&gt;"""", GOOGLETRANSLATE(C5540, ""en"", ""te""),"""")"),"")</f>
        <v/>
      </c>
      <c r="E5540" s="2"/>
      <c r="F5540" s="2" t="str">
        <f>IFERROR(__xludf.DUMMYFUNCTION("IF(E5540&lt;&gt;"""", GOOGLETRANSLATE(E5540, ""en"", ""te""),"""")"),"")</f>
        <v/>
      </c>
      <c r="G5540" s="2"/>
      <c r="H5540" s="2" t="str">
        <f>IFERROR(__xludf.DUMMYFUNCTION("IF(G5540&lt;&gt;"""", GOOGLETRANSLATE(G5540, ""en"", ""te""),"""")"),"")</f>
        <v/>
      </c>
      <c r="I5540" s="3"/>
    </row>
    <row r="5541" customHeight="1" spans="1:9">
      <c r="A5541" s="2"/>
      <c r="B5541" s="2" t="str">
        <f>IFERROR(__xludf.DUMMYFUNCTION("IF(A5541&lt;&gt;"""", GOOGLETRANSLATE(A5541, ""en"", ""te""),"""")"),"")</f>
        <v/>
      </c>
      <c r="C5541" s="2"/>
      <c r="D5541" s="2" t="str">
        <f>IFERROR(__xludf.DUMMYFUNCTION("IF(C5541&lt;&gt;"""", GOOGLETRANSLATE(C5541, ""en"", ""te""),"""")"),"")</f>
        <v/>
      </c>
      <c r="E5541" s="2"/>
      <c r="F5541" s="2" t="str">
        <f>IFERROR(__xludf.DUMMYFUNCTION("IF(E5541&lt;&gt;"""", GOOGLETRANSLATE(E5541, ""en"", ""te""),"""")"),"")</f>
        <v/>
      </c>
      <c r="G5541" s="2"/>
      <c r="H5541" s="2" t="str">
        <f>IFERROR(__xludf.DUMMYFUNCTION("IF(G5541&lt;&gt;"""", GOOGLETRANSLATE(G5541, ""en"", ""te""),"""")"),"")</f>
        <v/>
      </c>
      <c r="I5541" s="3"/>
    </row>
    <row r="5542" customHeight="1" spans="1:9">
      <c r="A5542" s="2"/>
      <c r="B5542" s="2" t="str">
        <f>IFERROR(__xludf.DUMMYFUNCTION("IF(A5542&lt;&gt;"""", GOOGLETRANSLATE(A5542, ""en"", ""te""),"""")"),"")</f>
        <v/>
      </c>
      <c r="C5542" s="2"/>
      <c r="D5542" s="2" t="str">
        <f>IFERROR(__xludf.DUMMYFUNCTION("IF(C5542&lt;&gt;"""", GOOGLETRANSLATE(C5542, ""en"", ""te""),"""")"),"")</f>
        <v/>
      </c>
      <c r="E5542" s="2"/>
      <c r="F5542" s="2" t="str">
        <f>IFERROR(__xludf.DUMMYFUNCTION("IF(E5542&lt;&gt;"""", GOOGLETRANSLATE(E5542, ""en"", ""te""),"""")"),"")</f>
        <v/>
      </c>
      <c r="G5542" s="2"/>
      <c r="H5542" s="2" t="str">
        <f>IFERROR(__xludf.DUMMYFUNCTION("IF(G5542&lt;&gt;"""", GOOGLETRANSLATE(G5542, ""en"", ""te""),"""")"),"")</f>
        <v/>
      </c>
      <c r="I5542" s="3"/>
    </row>
    <row r="5543" customHeight="1" spans="1:9">
      <c r="A5543" s="2"/>
      <c r="B5543" s="2" t="str">
        <f>IFERROR(__xludf.DUMMYFUNCTION("IF(A5543&lt;&gt;"""", GOOGLETRANSLATE(A5543, ""en"", ""te""),"""")"),"")</f>
        <v/>
      </c>
      <c r="C5543" s="2"/>
      <c r="D5543" s="2" t="str">
        <f>IFERROR(__xludf.DUMMYFUNCTION("IF(C5543&lt;&gt;"""", GOOGLETRANSLATE(C5543, ""en"", ""te""),"""")"),"")</f>
        <v/>
      </c>
      <c r="E5543" s="2"/>
      <c r="F5543" s="2" t="str">
        <f>IFERROR(__xludf.DUMMYFUNCTION("IF(E5543&lt;&gt;"""", GOOGLETRANSLATE(E5543, ""en"", ""te""),"""")"),"")</f>
        <v/>
      </c>
      <c r="G5543" s="2"/>
      <c r="H5543" s="2" t="str">
        <f>IFERROR(__xludf.DUMMYFUNCTION("IF(G5543&lt;&gt;"""", GOOGLETRANSLATE(G5543, ""en"", ""te""),"""")"),"")</f>
        <v/>
      </c>
      <c r="I5543" s="3"/>
    </row>
    <row r="5544" customHeight="1" spans="1:9">
      <c r="A5544" s="2"/>
      <c r="B5544" s="2" t="str">
        <f>IFERROR(__xludf.DUMMYFUNCTION("IF(A5544&lt;&gt;"""", GOOGLETRANSLATE(A5544, ""en"", ""te""),"""")"),"")</f>
        <v/>
      </c>
      <c r="C5544" s="2"/>
      <c r="D5544" s="2" t="str">
        <f>IFERROR(__xludf.DUMMYFUNCTION("IF(C5544&lt;&gt;"""", GOOGLETRANSLATE(C5544, ""en"", ""te""),"""")"),"")</f>
        <v/>
      </c>
      <c r="E5544" s="2"/>
      <c r="F5544" s="2" t="str">
        <f>IFERROR(__xludf.DUMMYFUNCTION("IF(E5544&lt;&gt;"""", GOOGLETRANSLATE(E5544, ""en"", ""te""),"""")"),"")</f>
        <v/>
      </c>
      <c r="G5544" s="2"/>
      <c r="H5544" s="2" t="str">
        <f>IFERROR(__xludf.DUMMYFUNCTION("IF(G5544&lt;&gt;"""", GOOGLETRANSLATE(G5544, ""en"", ""te""),"""")"),"")</f>
        <v/>
      </c>
      <c r="I5544" s="3"/>
    </row>
    <row r="5545" customHeight="1" spans="1:9">
      <c r="A5545" s="2"/>
      <c r="B5545" s="2" t="str">
        <f>IFERROR(__xludf.DUMMYFUNCTION("IF(A5545&lt;&gt;"""", GOOGLETRANSLATE(A5545, ""en"", ""te""),"""")"),"")</f>
        <v/>
      </c>
      <c r="C5545" s="2"/>
      <c r="D5545" s="2" t="str">
        <f>IFERROR(__xludf.DUMMYFUNCTION("IF(C5545&lt;&gt;"""", GOOGLETRANSLATE(C5545, ""en"", ""te""),"""")"),"")</f>
        <v/>
      </c>
      <c r="E5545" s="2"/>
      <c r="F5545" s="2" t="str">
        <f>IFERROR(__xludf.DUMMYFUNCTION("IF(E5545&lt;&gt;"""", GOOGLETRANSLATE(E5545, ""en"", ""te""),"""")"),"")</f>
        <v/>
      </c>
      <c r="G5545" s="2"/>
      <c r="H5545" s="2" t="str">
        <f>IFERROR(__xludf.DUMMYFUNCTION("IF(G5545&lt;&gt;"""", GOOGLETRANSLATE(G5545, ""en"", ""te""),"""")"),"")</f>
        <v/>
      </c>
      <c r="I5545" s="3"/>
    </row>
    <row r="5546" customHeight="1" spans="1:9">
      <c r="A5546" s="2"/>
      <c r="B5546" s="2" t="str">
        <f>IFERROR(__xludf.DUMMYFUNCTION("IF(A5546&lt;&gt;"""", GOOGLETRANSLATE(A5546, ""en"", ""te""),"""")"),"")</f>
        <v/>
      </c>
      <c r="C5546" s="2"/>
      <c r="D5546" s="2" t="str">
        <f>IFERROR(__xludf.DUMMYFUNCTION("IF(C5546&lt;&gt;"""", GOOGLETRANSLATE(C5546, ""en"", ""te""),"""")"),"")</f>
        <v/>
      </c>
      <c r="E5546" s="2"/>
      <c r="F5546" s="2" t="str">
        <f>IFERROR(__xludf.DUMMYFUNCTION("IF(E5546&lt;&gt;"""", GOOGLETRANSLATE(E5546, ""en"", ""te""),"""")"),"")</f>
        <v/>
      </c>
      <c r="G5546" s="2"/>
      <c r="H5546" s="2" t="str">
        <f>IFERROR(__xludf.DUMMYFUNCTION("IF(G5546&lt;&gt;"""", GOOGLETRANSLATE(G5546, ""en"", ""te""),"""")"),"")</f>
        <v/>
      </c>
      <c r="I5546" s="3"/>
    </row>
    <row r="5547" customHeight="1" spans="1:9">
      <c r="A5547" s="2"/>
      <c r="B5547" s="2" t="str">
        <f>IFERROR(__xludf.DUMMYFUNCTION("IF(A5547&lt;&gt;"""", GOOGLETRANSLATE(A5547, ""en"", ""te""),"""")"),"")</f>
        <v/>
      </c>
      <c r="C5547" s="2"/>
      <c r="D5547" s="2" t="str">
        <f>IFERROR(__xludf.DUMMYFUNCTION("IF(C5547&lt;&gt;"""", GOOGLETRANSLATE(C5547, ""en"", ""te""),"""")"),"")</f>
        <v/>
      </c>
      <c r="E5547" s="2"/>
      <c r="F5547" s="2" t="str">
        <f>IFERROR(__xludf.DUMMYFUNCTION("IF(E5547&lt;&gt;"""", GOOGLETRANSLATE(E5547, ""en"", ""te""),"""")"),"")</f>
        <v/>
      </c>
      <c r="G5547" s="2"/>
      <c r="H5547" s="2" t="str">
        <f>IFERROR(__xludf.DUMMYFUNCTION("IF(G5547&lt;&gt;"""", GOOGLETRANSLATE(G5547, ""en"", ""te""),"""")"),"")</f>
        <v/>
      </c>
      <c r="I5547" s="3"/>
    </row>
    <row r="5548" customHeight="1" spans="1:9">
      <c r="A5548" s="2"/>
      <c r="B5548" s="2" t="str">
        <f>IFERROR(__xludf.DUMMYFUNCTION("IF(A5548&lt;&gt;"""", GOOGLETRANSLATE(A5548, ""en"", ""te""),"""")"),"")</f>
        <v/>
      </c>
      <c r="C5548" s="2"/>
      <c r="D5548" s="2" t="str">
        <f>IFERROR(__xludf.DUMMYFUNCTION("IF(C5548&lt;&gt;"""", GOOGLETRANSLATE(C5548, ""en"", ""te""),"""")"),"")</f>
        <v/>
      </c>
      <c r="E5548" s="2"/>
      <c r="F5548" s="2" t="str">
        <f>IFERROR(__xludf.DUMMYFUNCTION("IF(E5548&lt;&gt;"""", GOOGLETRANSLATE(E5548, ""en"", ""te""),"""")"),"")</f>
        <v/>
      </c>
      <c r="G5548" s="2"/>
      <c r="H5548" s="2" t="str">
        <f>IFERROR(__xludf.DUMMYFUNCTION("IF(G5548&lt;&gt;"""", GOOGLETRANSLATE(G5548, ""en"", ""te""),"""")"),"")</f>
        <v/>
      </c>
      <c r="I5548" s="3"/>
    </row>
    <row r="5549" customHeight="1" spans="1:9">
      <c r="A5549" s="2"/>
      <c r="B5549" s="2" t="str">
        <f>IFERROR(__xludf.DUMMYFUNCTION("IF(A5549&lt;&gt;"""", GOOGLETRANSLATE(A5549, ""en"", ""te""),"""")"),"")</f>
        <v/>
      </c>
      <c r="C5549" s="2"/>
      <c r="D5549" s="2" t="str">
        <f>IFERROR(__xludf.DUMMYFUNCTION("IF(C5549&lt;&gt;"""", GOOGLETRANSLATE(C5549, ""en"", ""te""),"""")"),"")</f>
        <v/>
      </c>
      <c r="E5549" s="2"/>
      <c r="F5549" s="2" t="str">
        <f>IFERROR(__xludf.DUMMYFUNCTION("IF(E5549&lt;&gt;"""", GOOGLETRANSLATE(E5549, ""en"", ""te""),"""")"),"")</f>
        <v/>
      </c>
      <c r="G5549" s="2"/>
      <c r="H5549" s="2" t="str">
        <f>IFERROR(__xludf.DUMMYFUNCTION("IF(G5549&lt;&gt;"""", GOOGLETRANSLATE(G5549, ""en"", ""te""),"""")"),"")</f>
        <v/>
      </c>
      <c r="I5549" s="3"/>
    </row>
    <row r="5550" customHeight="1" spans="1:9">
      <c r="A5550" s="2"/>
      <c r="B5550" s="2" t="str">
        <f>IFERROR(__xludf.DUMMYFUNCTION("IF(A5550&lt;&gt;"""", GOOGLETRANSLATE(A5550, ""en"", ""te""),"""")"),"")</f>
        <v/>
      </c>
      <c r="C5550" s="2"/>
      <c r="D5550" s="2" t="str">
        <f>IFERROR(__xludf.DUMMYFUNCTION("IF(C5550&lt;&gt;"""", GOOGLETRANSLATE(C5550, ""en"", ""te""),"""")"),"")</f>
        <v/>
      </c>
      <c r="E5550" s="2"/>
      <c r="F5550" s="2" t="str">
        <f>IFERROR(__xludf.DUMMYFUNCTION("IF(E5550&lt;&gt;"""", GOOGLETRANSLATE(E5550, ""en"", ""te""),"""")"),"")</f>
        <v/>
      </c>
      <c r="G5550" s="2"/>
      <c r="H5550" s="2" t="str">
        <f>IFERROR(__xludf.DUMMYFUNCTION("IF(G5550&lt;&gt;"""", GOOGLETRANSLATE(G5550, ""en"", ""te""),"""")"),"")</f>
        <v/>
      </c>
      <c r="I5550" s="3"/>
    </row>
    <row r="5551" customHeight="1" spans="1:9">
      <c r="A5551" s="2"/>
      <c r="B5551" s="2" t="str">
        <f>IFERROR(__xludf.DUMMYFUNCTION("IF(A5551&lt;&gt;"""", GOOGLETRANSLATE(A5551, ""en"", ""te""),"""")"),"")</f>
        <v/>
      </c>
      <c r="C5551" s="2"/>
      <c r="D5551" s="2" t="str">
        <f>IFERROR(__xludf.DUMMYFUNCTION("IF(C5551&lt;&gt;"""", GOOGLETRANSLATE(C5551, ""en"", ""te""),"""")"),"")</f>
        <v/>
      </c>
      <c r="E5551" s="2"/>
      <c r="F5551" s="2" t="str">
        <f>IFERROR(__xludf.DUMMYFUNCTION("IF(E5551&lt;&gt;"""", GOOGLETRANSLATE(E5551, ""en"", ""te""),"""")"),"")</f>
        <v/>
      </c>
      <c r="G5551" s="2"/>
      <c r="H5551" s="2" t="str">
        <f>IFERROR(__xludf.DUMMYFUNCTION("IF(G5551&lt;&gt;"""", GOOGLETRANSLATE(G5551, ""en"", ""te""),"""")"),"")</f>
        <v/>
      </c>
      <c r="I5551" s="3"/>
    </row>
    <row r="5552" customHeight="1" spans="1:9">
      <c r="A5552" s="2" t="s">
        <v>253</v>
      </c>
      <c r="B5552" s="2" t="str">
        <f>IFERROR(__xludf.DUMMYFUNCTION("IF(A5552&lt;&gt;"""", GOOGLETRANSLATE(A5552, ""en"", ""te""),"""")"),"[ 'ఒక ఆటలో బదులు 6 వ అత్యధిక క్యాచ్లు (3)']")</f>
        <v>[ 'ఒక ఆటలో బదులు 6 వ అత్యధిక క్యాచ్లు (3)']</v>
      </c>
      <c r="C5552" s="2" t="s">
        <v>253</v>
      </c>
      <c r="D5552" s="2" t="str">
        <f>IFERROR(__xludf.DUMMYFUNCTION("IF(C5552&lt;&gt;"""", GOOGLETRANSLATE(C5552, ""en"", ""te""),"""")"),"[ 'ఒక ఆటలో బదులు 6 వ అత్యధిక క్యాచ్లు (3)']")</f>
        <v>[ 'ఒక ఆటలో బదులు 6 వ అత్యధిక క్యాచ్లు (3)']</v>
      </c>
      <c r="E5552" s="2"/>
      <c r="F5552" s="2" t="str">
        <f>IFERROR(__xludf.DUMMYFUNCTION("IF(E5552&lt;&gt;"""", GOOGLETRANSLATE(E5552, ""en"", ""te""),"""")"),"")</f>
        <v/>
      </c>
      <c r="G5552" s="2"/>
      <c r="H5552" s="2" t="str">
        <f>IFERROR(__xludf.DUMMYFUNCTION("IF(G5552&lt;&gt;"""", GOOGLETRANSLATE(G5552, ""en"", ""te""),"""")"),"")</f>
        <v/>
      </c>
      <c r="I5552" s="3"/>
    </row>
    <row r="5553" customHeight="1" spans="1:9">
      <c r="A5553" s="2"/>
      <c r="B5553" s="2" t="str">
        <f>IFERROR(__xludf.DUMMYFUNCTION("IF(A5553&lt;&gt;"""", GOOGLETRANSLATE(A5553, ""en"", ""te""),"""")"),"")</f>
        <v/>
      </c>
      <c r="C5553" s="2"/>
      <c r="D5553" s="2" t="str">
        <f>IFERROR(__xludf.DUMMYFUNCTION("IF(C5553&lt;&gt;"""", GOOGLETRANSLATE(C5553, ""en"", ""te""),"""")"),"")</f>
        <v/>
      </c>
      <c r="E5553" s="2"/>
      <c r="F5553" s="2" t="str">
        <f>IFERROR(__xludf.DUMMYFUNCTION("IF(E5553&lt;&gt;"""", GOOGLETRANSLATE(E5553, ""en"", ""te""),"""")"),"")</f>
        <v/>
      </c>
      <c r="G5553" s="2"/>
      <c r="H5553" s="2" t="str">
        <f>IFERROR(__xludf.DUMMYFUNCTION("IF(G5553&lt;&gt;"""", GOOGLETRANSLATE(G5553, ""en"", ""te""),"""")"),"")</f>
        <v/>
      </c>
      <c r="I5553" s="3"/>
    </row>
    <row r="5554" customHeight="1" spans="1:9">
      <c r="A5554" s="2"/>
      <c r="B5554" s="2" t="str">
        <f>IFERROR(__xludf.DUMMYFUNCTION("IF(A5554&lt;&gt;"""", GOOGLETRANSLATE(A5554, ""en"", ""te""),"""")"),"")</f>
        <v/>
      </c>
      <c r="C5554" s="2"/>
      <c r="D5554" s="2" t="str">
        <f>IFERROR(__xludf.DUMMYFUNCTION("IF(C5554&lt;&gt;"""", GOOGLETRANSLATE(C5554, ""en"", ""te""),"""")"),"")</f>
        <v/>
      </c>
      <c r="E5554" s="2"/>
      <c r="F5554" s="2" t="str">
        <f>IFERROR(__xludf.DUMMYFUNCTION("IF(E5554&lt;&gt;"""", GOOGLETRANSLATE(E5554, ""en"", ""te""),"""")"),"")</f>
        <v/>
      </c>
      <c r="G5554" s="2"/>
      <c r="H5554" s="2" t="str">
        <f>IFERROR(__xludf.DUMMYFUNCTION("IF(G5554&lt;&gt;"""", GOOGLETRANSLATE(G5554, ""en"", ""te""),"""")"),"")</f>
        <v/>
      </c>
      <c r="I5554" s="3"/>
    </row>
    <row r="5555" customHeight="1" spans="1:9">
      <c r="A5555" s="2"/>
      <c r="B5555" s="2" t="str">
        <f>IFERROR(__xludf.DUMMYFUNCTION("IF(A5555&lt;&gt;"""", GOOGLETRANSLATE(A5555, ""en"", ""te""),"""")"),"")</f>
        <v/>
      </c>
      <c r="C5555" s="2"/>
      <c r="D5555" s="2" t="str">
        <f>IFERROR(__xludf.DUMMYFUNCTION("IF(C5555&lt;&gt;"""", GOOGLETRANSLATE(C5555, ""en"", ""te""),"""")"),"")</f>
        <v/>
      </c>
      <c r="E5555" s="2" t="s">
        <v>3595</v>
      </c>
      <c r="F5555" s="2" t="str">
        <f>IFERROR(__xludf.DUMMYFUNCTION("IF(E5555&lt;&gt;"""", GOOGLETRANSLATE(E5555, ""en"", ""te""),"""")"),"[ 'వరుస ఇన్నింగ్స్లో 28 యాభైల్లో (3)']")</f>
        <v>[ 'వరుస ఇన్నింగ్స్లో 28 యాభైల్లో (3)']</v>
      </c>
      <c r="G5555" s="2"/>
      <c r="H5555" s="2" t="str">
        <f>IFERROR(__xludf.DUMMYFUNCTION("IF(G5555&lt;&gt;"""", GOOGLETRANSLATE(G5555, ""en"", ""te""),"""")"),"")</f>
        <v/>
      </c>
      <c r="I5555" s="3"/>
    </row>
    <row r="5556" customHeight="1" spans="1:9">
      <c r="A5556" s="2"/>
      <c r="B5556" s="2" t="str">
        <f>IFERROR(__xludf.DUMMYFUNCTION("IF(A5556&lt;&gt;"""", GOOGLETRANSLATE(A5556, ""en"", ""te""),"""")"),"")</f>
        <v/>
      </c>
      <c r="C5556" s="2"/>
      <c r="D5556" s="2" t="str">
        <f>IFERROR(__xludf.DUMMYFUNCTION("IF(C5556&lt;&gt;"""", GOOGLETRANSLATE(C5556, ""en"", ""te""),"""")"),"")</f>
        <v/>
      </c>
      <c r="E5556" s="2"/>
      <c r="F5556" s="2" t="str">
        <f>IFERROR(__xludf.DUMMYFUNCTION("IF(E5556&lt;&gt;"""", GOOGLETRANSLATE(E5556, ""en"", ""te""),"""")"),"")</f>
        <v/>
      </c>
      <c r="G5556" s="2"/>
      <c r="H5556" s="2" t="str">
        <f>IFERROR(__xludf.DUMMYFUNCTION("IF(G5556&lt;&gt;"""", GOOGLETRANSLATE(G5556, ""en"", ""te""),"""")"),"")</f>
        <v/>
      </c>
      <c r="I5556" s="3"/>
    </row>
    <row r="5557" customHeight="1" spans="1:9">
      <c r="A5557" s="2"/>
      <c r="B5557" s="2" t="str">
        <f>IFERROR(__xludf.DUMMYFUNCTION("IF(A5557&lt;&gt;"""", GOOGLETRANSLATE(A5557, ""en"", ""te""),"""")"),"")</f>
        <v/>
      </c>
      <c r="C5557" s="2"/>
      <c r="D5557" s="2" t="str">
        <f>IFERROR(__xludf.DUMMYFUNCTION("IF(C5557&lt;&gt;"""", GOOGLETRANSLATE(C5557, ""en"", ""te""),"""")"),"")</f>
        <v/>
      </c>
      <c r="E5557" s="2"/>
      <c r="F5557" s="2" t="str">
        <f>IFERROR(__xludf.DUMMYFUNCTION("IF(E5557&lt;&gt;"""", GOOGLETRANSLATE(E5557, ""en"", ""te""),"""")"),"")</f>
        <v/>
      </c>
      <c r="G5557" s="2"/>
      <c r="H5557" s="2" t="str">
        <f>IFERROR(__xludf.DUMMYFUNCTION("IF(G5557&lt;&gt;"""", GOOGLETRANSLATE(G5557, ""en"", ""te""),"""")"),"")</f>
        <v/>
      </c>
      <c r="I5557" s="3"/>
    </row>
    <row r="5558" customHeight="1" spans="1:9">
      <c r="A5558" s="2" t="s">
        <v>3596</v>
      </c>
      <c r="B5558" s="2" t="str">
        <f>IFERROR(__xludf.DUMMYFUNCTION("IF(A5558&lt;&gt;"""", GOOGLETRANSLATE(A5558, ""en"", ""te""),"""")"),"[ 'ఒక ఇన్నింగ్స్ లో 5 వ ఉత్తమ సంఖ్యలు ఉన్నప్పుడు పరాజయం వైపు (4)', 'ఇన్నింగ్స్ లో 3 వ అత్యధిక క్యాచ్లు (3)']")</f>
        <v>[ 'ఒక ఇన్నింగ్స్ లో 5 వ ఉత్తమ సంఖ్యలు ఉన్నప్పుడు పరాజయం వైపు (4)', 'ఇన్నింగ్స్ లో 3 వ అత్యధిక క్యాచ్లు (3)']</v>
      </c>
      <c r="C5558" s="2"/>
      <c r="D5558" s="2" t="str">
        <f>IFERROR(__xludf.DUMMYFUNCTION("IF(C5558&lt;&gt;"""", GOOGLETRANSLATE(C5558, ""en"", ""te""),"""")"),"")</f>
        <v/>
      </c>
      <c r="E5558" s="2"/>
      <c r="F5558" s="2" t="str">
        <f>IFERROR(__xludf.DUMMYFUNCTION("IF(E5558&lt;&gt;"""", GOOGLETRANSLATE(E5558, ""en"", ""te""),"""")"),"")</f>
        <v/>
      </c>
      <c r="G5558" s="2" t="s">
        <v>3597</v>
      </c>
      <c r="H5558" s="2" t="str">
        <f>IFERROR(__xludf.DUMMYFUNCTION("IF(G5558&lt;&gt;"""", GOOGLETRANSLATE(G5558, ""en"", ""te""),"""")"),"[ '32 వ ఇన్నింగ్స్ లో బెస్ట్ ఫిగర్స్ (5/16)', 'ఒక ఇన్నింగ్స్ లో 5 వ ఉత్తమ సంఖ్యలు ఉన్నప్పుడు పరాజయం వైపు (4)', '13 వ అత్యంత నాలుగు వికెట్లు-ఇన్-ఒక-ఇన్నింగ్స్ కెరీర్లో (2) ',' 12 వ అత్యధిక వికెట్లు స్టంప్ తీసుకున్న (10) ',' (3) ఇన్నింగ్స్ లో 3 వ అత్యధిక క"&amp;"్యాచ్లు ']")</f>
        <v>[ '32 వ ఇన్నింగ్స్ లో బెస్ట్ ఫిగర్స్ (5/16)', 'ఒక ఇన్నింగ్స్ లో 5 వ ఉత్తమ సంఖ్యలు ఉన్నప్పుడు పరాజయం వైపు (4)', '13 వ అత్యంత నాలుగు వికెట్లు-ఇన్-ఒక-ఇన్నింగ్స్ కెరీర్లో (2) ',' 12 వ అత్యధిక వికెట్లు స్టంప్ తీసుకున్న (10) ',' (3) ఇన్నింగ్స్ లో 3 వ అత్యధిక క్యాచ్లు ']</v>
      </c>
      <c r="I5558" s="3"/>
    </row>
    <row r="5559" customHeight="1" spans="1:9">
      <c r="A5559" s="2" t="s">
        <v>3598</v>
      </c>
      <c r="B5559" s="2" t="str">
        <f>IFERROR(__xludf.DUMMYFUNCTION("IF(A5559&lt;&gt;"""", GOOGLETRANSLATE(A5559, ""en"", ""te""),"""")"),"[ '99 పరుగుల 1st (మరియు 199, 299 etc) (99)', 'హండ్రెడ్ మరియు ఒక మ్యాచ్లో ఒక డక్', 'బ్యాటింగ్ తెరవడం మరియు అదే మ్యాచ్ లో బౌలింగ్', '4 వ అత్యధిక వరుస బాతులు (4)']")</f>
        <v>[ '99 పరుగుల 1st (మరియు 199, 299 etc) (99)', 'హండ్రెడ్ మరియు ఒక మ్యాచ్లో ఒక డక్', 'బ్యాటింగ్ తెరవడం మరియు అదే మ్యాచ్ లో బౌలింగ్', '4 వ అత్యధిక వరుస బాతులు (4)']</v>
      </c>
      <c r="C5559" s="2" t="s">
        <v>3599</v>
      </c>
      <c r="D5559" s="2" t="str">
        <f>IFERROR(__xludf.DUMMYFUNCTION("IF(C5559&lt;&gt;"""", GOOGLETRANSLATE(C5559, ""en"", ""te""),"""")"),"[ '99 పరుగుల 1st (మరియు 199, 299 etc) (99)', 'వరుస 2nd అత్యంత బాతులు (5)', '4 వ అత్యధిక వరుస బాతులు (4)']")</f>
        <v>[ '99 పరుగుల 1st (మరియు 199, 299 etc) (99)', 'వరుస 2nd అత్యంత బాతులు (5)', '4 వ అత్యధిక వరుస బాతులు (4)']</v>
      </c>
      <c r="E5559" s="2"/>
      <c r="F5559" s="2" t="str">
        <f>IFERROR(__xludf.DUMMYFUNCTION("IF(E5559&lt;&gt;"""", GOOGLETRANSLATE(E5559, ""en"", ""te""),"""")"),"")</f>
        <v/>
      </c>
      <c r="G5559" s="2"/>
      <c r="H5559" s="2" t="str">
        <f>IFERROR(__xludf.DUMMYFUNCTION("IF(G5559&lt;&gt;"""", GOOGLETRANSLATE(G5559, ""en"", ""te""),"""")"),"")</f>
        <v/>
      </c>
      <c r="I5559" s="3"/>
    </row>
    <row r="5560" customHeight="1" spans="1:9">
      <c r="A5560" s="2"/>
      <c r="B5560" s="2" t="str">
        <f>IFERROR(__xludf.DUMMYFUNCTION("IF(A5560&lt;&gt;"""", GOOGLETRANSLATE(A5560, ""en"", ""te""),"""")"),"")</f>
        <v/>
      </c>
      <c r="C5560" s="2"/>
      <c r="D5560" s="2" t="str">
        <f>IFERROR(__xludf.DUMMYFUNCTION("IF(C5560&lt;&gt;"""", GOOGLETRANSLATE(C5560, ""en"", ""te""),"""")"),"")</f>
        <v/>
      </c>
      <c r="E5560" s="2"/>
      <c r="F5560" s="2" t="str">
        <f>IFERROR(__xludf.DUMMYFUNCTION("IF(E5560&lt;&gt;"""", GOOGLETRANSLATE(E5560, ""en"", ""te""),"""")"),"")</f>
        <v/>
      </c>
      <c r="G5560" s="2"/>
      <c r="H5560" s="2" t="str">
        <f>IFERROR(__xludf.DUMMYFUNCTION("IF(G5560&lt;&gt;"""", GOOGLETRANSLATE(G5560, ""en"", ""te""),"""")"),"")</f>
        <v/>
      </c>
      <c r="I5560" s="3"/>
    </row>
    <row r="5561" customHeight="1" spans="1:9">
      <c r="A5561" s="2"/>
      <c r="B5561" s="2" t="str">
        <f>IFERROR(__xludf.DUMMYFUNCTION("IF(A5561&lt;&gt;"""", GOOGLETRANSLATE(A5561, ""en"", ""te""),"""")"),"")</f>
        <v/>
      </c>
      <c r="C5561" s="2"/>
      <c r="D5561" s="2" t="str">
        <f>IFERROR(__xludf.DUMMYFUNCTION("IF(C5561&lt;&gt;"""", GOOGLETRANSLATE(C5561, ""en"", ""te""),"""")"),"")</f>
        <v/>
      </c>
      <c r="E5561" s="2"/>
      <c r="F5561" s="2" t="str">
        <f>IFERROR(__xludf.DUMMYFUNCTION("IF(E5561&lt;&gt;"""", GOOGLETRANSLATE(E5561, ""en"", ""te""),"""")"),"")</f>
        <v/>
      </c>
      <c r="G5561" s="2"/>
      <c r="H5561" s="2" t="str">
        <f>IFERROR(__xludf.DUMMYFUNCTION("IF(G5561&lt;&gt;"""", GOOGLETRANSLATE(G5561, ""en"", ""te""),"""")"),"")</f>
        <v/>
      </c>
      <c r="I5561" s="3"/>
    </row>
    <row r="5562" customHeight="1" spans="1:9">
      <c r="A5562" s="2"/>
      <c r="B5562" s="2" t="str">
        <f>IFERROR(__xludf.DUMMYFUNCTION("IF(A5562&lt;&gt;"""", GOOGLETRANSLATE(A5562, ""en"", ""te""),"""")"),"")</f>
        <v/>
      </c>
      <c r="C5562" s="2"/>
      <c r="D5562" s="2" t="str">
        <f>IFERROR(__xludf.DUMMYFUNCTION("IF(C5562&lt;&gt;"""", GOOGLETRANSLATE(C5562, ""en"", ""te""),"""")"),"")</f>
        <v/>
      </c>
      <c r="E5562" s="2"/>
      <c r="F5562" s="2" t="str">
        <f>IFERROR(__xludf.DUMMYFUNCTION("IF(E5562&lt;&gt;"""", GOOGLETRANSLATE(E5562, ""en"", ""te""),"""")"),"")</f>
        <v/>
      </c>
      <c r="G5562" s="2"/>
      <c r="H5562" s="2" t="str">
        <f>IFERROR(__xludf.DUMMYFUNCTION("IF(G5562&lt;&gt;"""", GOOGLETRANSLATE(G5562, ""en"", ""te""),"""")"),"")</f>
        <v/>
      </c>
      <c r="I5562" s="3"/>
    </row>
    <row r="5563" customHeight="1" spans="1:9">
      <c r="A5563" s="2"/>
      <c r="B5563" s="2" t="str">
        <f>IFERROR(__xludf.DUMMYFUNCTION("IF(A5563&lt;&gt;"""", GOOGLETRANSLATE(A5563, ""en"", ""te""),"""")"),"")</f>
        <v/>
      </c>
      <c r="C5563" s="2"/>
      <c r="D5563" s="2" t="str">
        <f>IFERROR(__xludf.DUMMYFUNCTION("IF(C5563&lt;&gt;"""", GOOGLETRANSLATE(C5563, ""en"", ""te""),"""")"),"")</f>
        <v/>
      </c>
      <c r="E5563" s="2"/>
      <c r="F5563" s="2" t="str">
        <f>IFERROR(__xludf.DUMMYFUNCTION("IF(E5563&lt;&gt;"""", GOOGLETRANSLATE(E5563, ""en"", ""te""),"""")"),"")</f>
        <v/>
      </c>
      <c r="G5563" s="2"/>
      <c r="H5563" s="2" t="str">
        <f>IFERROR(__xludf.DUMMYFUNCTION("IF(G5563&lt;&gt;"""", GOOGLETRANSLATE(G5563, ""en"", ""te""),"""")"),"")</f>
        <v/>
      </c>
      <c r="I5563" s="3"/>
    </row>
    <row r="5564" customHeight="1" spans="1:9">
      <c r="A5564" s="2" t="s">
        <v>3600</v>
      </c>
      <c r="B5564" s="2" t="str">
        <f>IFERROR(__xludf.DUMMYFUNCTION("IF(A5564&lt;&gt;"""", GOOGLETRANSLATE(A5564, ""en"", ""te""),"""")"),"[ 'ఒక మ్యాచ్లో ప్రతి ఇన్నింగ్స్లో హండ్రెడ్' 'ఒక మ్యాచ్లో 1st అత్యధిక క్యాచ్లు (8)']")</f>
        <v>[ 'ఒక మ్యాచ్లో ప్రతి ఇన్నింగ్స్లో హండ్రెడ్' 'ఒక మ్యాచ్లో 1st అత్యధిక క్యాచ్లు (8)']</v>
      </c>
      <c r="C5564" s="2" t="s">
        <v>3601</v>
      </c>
      <c r="D5564" s="2" t="str">
        <f>IFERROR(__xludf.DUMMYFUNCTION("IF(C5564&lt;&gt;"""", GOOGLETRANSLATE(C5564, ""en"", ""te""),"""")"),"[ '43 వ కెరీర్ లో అత్యధిక క్యాచ్లు (95)', 'ఇన్నింగ్స్ (5) లో 1 వ అత్యధిక క్యాచ్లు' 'ఒక మ్యాచ్లో 1st అత్యధిక క్యాచ్లు (8)', '42 వ ఒక సిరీస్లో అత్యధిక క్యాచ్లు (10)']")</f>
        <v>[ '43 వ కెరీర్ లో అత్యధిక క్యాచ్లు (95)', 'ఇన్నింగ్స్ (5) లో 1 వ అత్యధిక క్యాచ్లు' 'ఒక మ్యాచ్లో 1st అత్యధిక క్యాచ్లు (8)', '42 వ ఒక సిరీస్లో అత్యధిక క్యాచ్లు (10)']</v>
      </c>
      <c r="E5564" s="2" t="s">
        <v>3602</v>
      </c>
      <c r="F5564" s="2" t="str">
        <f>IFERROR(__xludf.DUMMYFUNCTION("IF(E5564&lt;&gt;"""", GOOGLETRANSLATE(E5564, ""en"", ""te""),"""")"),"[ 'వరుస ఇన్నింగ్స్ (5) 11 వ యాభైల్లో' 'ఏ వికెట్కు 47 వ అత్యధిక భాగస్వామ్యాల (231)', 'తొలి వికెట్కు (231) 20 అత్యధిక భాగస్వామ్యం']")</f>
        <v>[ 'వరుస ఇన్నింగ్స్ (5) 11 వ యాభైల్లో' 'ఏ వికెట్కు 47 వ అత్యధిక భాగస్వామ్యాల (231)', 'తొలి వికెట్కు (231) 20 అత్యధిక భాగస్వామ్యం']</v>
      </c>
      <c r="G5564" s="2" t="s">
        <v>3603</v>
      </c>
      <c r="H5564" s="2" t="str">
        <f>IFERROR(__xludf.DUMMYFUNCTION("IF(G5564&lt;&gt;"""", GOOGLETRANSLATE(G5564, ""en"", ""te""),"""")"),"[ '25 తొలి మ్యాచ్లో అత్యధిక పరుగులు (61)', '1 వ అత్యంత ఇన్నింగ్స్ లో క్యాచ్లు (4)']")</f>
        <v>[ '25 తొలి మ్యాచ్లో అత్యధిక పరుగులు (61)', '1 వ అత్యంత ఇన్నింగ్స్ లో క్యాచ్లు (4)']</v>
      </c>
      <c r="I5564" s="3"/>
    </row>
    <row r="5565" customHeight="1" spans="1:9">
      <c r="A5565" s="2"/>
      <c r="B5565" s="2" t="str">
        <f>IFERROR(__xludf.DUMMYFUNCTION("IF(A5565&lt;&gt;"""", GOOGLETRANSLATE(A5565, ""en"", ""te""),"""")"),"")</f>
        <v/>
      </c>
      <c r="C5565" s="2"/>
      <c r="D5565" s="2" t="str">
        <f>IFERROR(__xludf.DUMMYFUNCTION("IF(C5565&lt;&gt;"""", GOOGLETRANSLATE(C5565, ""en"", ""te""),"""")"),"")</f>
        <v/>
      </c>
      <c r="E5565" s="2"/>
      <c r="F5565" s="2" t="str">
        <f>IFERROR(__xludf.DUMMYFUNCTION("IF(E5565&lt;&gt;"""", GOOGLETRANSLATE(E5565, ""en"", ""te""),"""")"),"")</f>
        <v/>
      </c>
      <c r="G5565" s="2"/>
      <c r="H5565" s="2" t="str">
        <f>IFERROR(__xludf.DUMMYFUNCTION("IF(G5565&lt;&gt;"""", GOOGLETRANSLATE(G5565, ""en"", ""te""),"""")"),"")</f>
        <v/>
      </c>
      <c r="I5565" s="3"/>
    </row>
    <row r="5566" customHeight="1" spans="1:9">
      <c r="A5566" s="2"/>
      <c r="B5566" s="2" t="str">
        <f>IFERROR(__xludf.DUMMYFUNCTION("IF(A5566&lt;&gt;"""", GOOGLETRANSLATE(A5566, ""en"", ""te""),"""")"),"")</f>
        <v/>
      </c>
      <c r="C5566" s="2"/>
      <c r="D5566" s="2" t="str">
        <f>IFERROR(__xludf.DUMMYFUNCTION("IF(C5566&lt;&gt;"""", GOOGLETRANSLATE(C5566, ""en"", ""te""),"""")"),"")</f>
        <v/>
      </c>
      <c r="E5566" s="2"/>
      <c r="F5566" s="2" t="str">
        <f>IFERROR(__xludf.DUMMYFUNCTION("IF(E5566&lt;&gt;"""", GOOGLETRANSLATE(E5566, ""en"", ""te""),"""")"),"")</f>
        <v/>
      </c>
      <c r="G5566" s="2"/>
      <c r="H5566" s="2" t="str">
        <f>IFERROR(__xludf.DUMMYFUNCTION("IF(G5566&lt;&gt;"""", GOOGLETRANSLATE(G5566, ""en"", ""te""),"""")"),"")</f>
        <v/>
      </c>
      <c r="I5566" s="3"/>
    </row>
    <row r="5567" customHeight="1" spans="1:9">
      <c r="A5567" s="2"/>
      <c r="B5567" s="2" t="str">
        <f>IFERROR(__xludf.DUMMYFUNCTION("IF(A5567&lt;&gt;"""", GOOGLETRANSLATE(A5567, ""en"", ""te""),"""")"),"")</f>
        <v/>
      </c>
      <c r="C5567" s="2"/>
      <c r="D5567" s="2" t="str">
        <f>IFERROR(__xludf.DUMMYFUNCTION("IF(C5567&lt;&gt;"""", GOOGLETRANSLATE(C5567, ""en"", ""te""),"""")"),"")</f>
        <v/>
      </c>
      <c r="E5567" s="2"/>
      <c r="F5567" s="2" t="str">
        <f>IFERROR(__xludf.DUMMYFUNCTION("IF(E5567&lt;&gt;"""", GOOGLETRANSLATE(E5567, ""en"", ""te""),"""")"),"")</f>
        <v/>
      </c>
      <c r="G5567" s="2"/>
      <c r="H5567" s="2" t="str">
        <f>IFERROR(__xludf.DUMMYFUNCTION("IF(G5567&lt;&gt;"""", GOOGLETRANSLATE(G5567, ""en"", ""te""),"""")"),"")</f>
        <v/>
      </c>
      <c r="I5567" s="3"/>
    </row>
    <row r="5568" customHeight="1" spans="1:9">
      <c r="A5568" s="2"/>
      <c r="B5568" s="2" t="str">
        <f>IFERROR(__xludf.DUMMYFUNCTION("IF(A5568&lt;&gt;"""", GOOGLETRANSLATE(A5568, ""en"", ""te""),"""")"),"")</f>
        <v/>
      </c>
      <c r="C5568" s="2"/>
      <c r="D5568" s="2" t="str">
        <f>IFERROR(__xludf.DUMMYFUNCTION("IF(C5568&lt;&gt;"""", GOOGLETRANSLATE(C5568, ""en"", ""te""),"""")"),"")</f>
        <v/>
      </c>
      <c r="E5568" s="2"/>
      <c r="F5568" s="2" t="str">
        <f>IFERROR(__xludf.DUMMYFUNCTION("IF(E5568&lt;&gt;"""", GOOGLETRANSLATE(E5568, ""en"", ""te""),"""")"),"")</f>
        <v/>
      </c>
      <c r="G5568" s="2"/>
      <c r="H5568" s="2" t="str">
        <f>IFERROR(__xludf.DUMMYFUNCTION("IF(G5568&lt;&gt;"""", GOOGLETRANSLATE(G5568, ""en"", ""te""),"""")"),"")</f>
        <v/>
      </c>
      <c r="I5568" s="3"/>
    </row>
    <row r="5569" customHeight="1" spans="1:9">
      <c r="A5569" s="2"/>
      <c r="B5569" s="2" t="str">
        <f>IFERROR(__xludf.DUMMYFUNCTION("IF(A5569&lt;&gt;"""", GOOGLETRANSLATE(A5569, ""en"", ""te""),"""")"),"")</f>
        <v/>
      </c>
      <c r="C5569" s="2" t="s">
        <v>3604</v>
      </c>
      <c r="D5569" s="2" t="str">
        <f>IFERROR(__xludf.DUMMYFUNCTION("IF(C5569&lt;&gt;"""", GOOGLETRANSLATE(C5569, ""en"", ""te""),"""")"),"[ '36 వ పిన్న ఆటగాడు వంద (20y 148d) స్కోర్']")</f>
        <v>[ '36 వ పిన్న ఆటగాడు వంద (20y 148d) స్కోర్']</v>
      </c>
      <c r="E5569" s="2"/>
      <c r="F5569" s="2" t="str">
        <f>IFERROR(__xludf.DUMMYFUNCTION("IF(E5569&lt;&gt;"""", GOOGLETRANSLATE(E5569, ""en"", ""te""),"""")"),"")</f>
        <v/>
      </c>
      <c r="G5569" s="2"/>
      <c r="H5569" s="2" t="str">
        <f>IFERROR(__xludf.DUMMYFUNCTION("IF(G5569&lt;&gt;"""", GOOGLETRANSLATE(G5569, ""en"", ""te""),"""")"),"")</f>
        <v/>
      </c>
      <c r="I5569" s="3"/>
    </row>
    <row r="5570" customHeight="1" spans="1:9">
      <c r="A5570" s="2"/>
      <c r="B5570" s="2" t="str">
        <f>IFERROR(__xludf.DUMMYFUNCTION("IF(A5570&lt;&gt;"""", GOOGLETRANSLATE(A5570, ""en"", ""te""),"""")"),"")</f>
        <v/>
      </c>
      <c r="C5570" s="2"/>
      <c r="D5570" s="2" t="str">
        <f>IFERROR(__xludf.DUMMYFUNCTION("IF(C5570&lt;&gt;"""", GOOGLETRANSLATE(C5570, ""en"", ""te""),"""")"),"")</f>
        <v/>
      </c>
      <c r="E5570" s="2"/>
      <c r="F5570" s="2" t="str">
        <f>IFERROR(__xludf.DUMMYFUNCTION("IF(E5570&lt;&gt;"""", GOOGLETRANSLATE(E5570, ""en"", ""te""),"""")"),"")</f>
        <v/>
      </c>
      <c r="G5570" s="2"/>
      <c r="H5570" s="2" t="str">
        <f>IFERROR(__xludf.DUMMYFUNCTION("IF(G5570&lt;&gt;"""", GOOGLETRANSLATE(G5570, ""en"", ""te""),"""")"),"")</f>
        <v/>
      </c>
      <c r="I5570" s="3"/>
    </row>
    <row r="5571" customHeight="1" spans="1:9">
      <c r="A5571" s="2"/>
      <c r="B5571" s="2" t="str">
        <f>IFERROR(__xludf.DUMMYFUNCTION("IF(A5571&lt;&gt;"""", GOOGLETRANSLATE(A5571, ""en"", ""te""),"""")"),"")</f>
        <v/>
      </c>
      <c r="C5571" s="2"/>
      <c r="D5571" s="2" t="str">
        <f>IFERROR(__xludf.DUMMYFUNCTION("IF(C5571&lt;&gt;"""", GOOGLETRANSLATE(C5571, ""en"", ""te""),"""")"),"")</f>
        <v/>
      </c>
      <c r="E5571" s="2"/>
      <c r="F5571" s="2" t="str">
        <f>IFERROR(__xludf.DUMMYFUNCTION("IF(E5571&lt;&gt;"""", GOOGLETRANSLATE(E5571, ""en"", ""te""),"""")"),"")</f>
        <v/>
      </c>
      <c r="G5571" s="2"/>
      <c r="H5571" s="2" t="str">
        <f>IFERROR(__xludf.DUMMYFUNCTION("IF(G5571&lt;&gt;"""", GOOGLETRANSLATE(G5571, ""en"", ""te""),"""")"),"")</f>
        <v/>
      </c>
      <c r="I5571" s="3"/>
    </row>
    <row r="5572" customHeight="1" spans="1:9">
      <c r="A5572" s="2" t="s">
        <v>3605</v>
      </c>
      <c r="B5572" s="2" t="str">
        <f>IFERROR(__xludf.DUMMYFUNCTION("IF(A5572&lt;&gt;"""", GOOGLETRANSLATE(A5572, ""en"", ""te""),"""")"),"[ '7th అత్యుత్తమ ఇన్నింగ్స్ (6/12) విశ్లేషణలలో బౌలింగ్']")</f>
        <v>[ '7th అత్యుత్తమ ఇన్నింగ్స్ (6/12) విశ్లేషణలలో బౌలింగ్']</v>
      </c>
      <c r="C5572" s="2" t="s">
        <v>3605</v>
      </c>
      <c r="D5572" s="2" t="str">
        <f>IFERROR(__xludf.DUMMYFUNCTION("IF(C5572&lt;&gt;"""", GOOGLETRANSLATE(C5572, ""en"", ""te""),"""")"),"[ '7th అత్యుత్తమ ఇన్నింగ్స్ (6/12) విశ్లేషణలలో బౌలింగ్']")</f>
        <v>[ '7th అత్యుత్తమ ఇన్నింగ్స్ (6/12) విశ్లేషణలలో బౌలింగ్']</v>
      </c>
      <c r="E5572" s="2"/>
      <c r="F5572" s="2" t="str">
        <f>IFERROR(__xludf.DUMMYFUNCTION("IF(E5572&lt;&gt;"""", GOOGLETRANSLATE(E5572, ""en"", ""te""),"""")"),"")</f>
        <v/>
      </c>
      <c r="G5572" s="2"/>
      <c r="H5572" s="2" t="str">
        <f>IFERROR(__xludf.DUMMYFUNCTION("IF(G5572&lt;&gt;"""", GOOGLETRANSLATE(G5572, ""en"", ""te""),"""")"),"")</f>
        <v/>
      </c>
      <c r="I5572" s="3"/>
    </row>
    <row r="5573" customHeight="1" spans="1:9">
      <c r="A5573" s="2"/>
      <c r="B5573" s="2" t="str">
        <f>IFERROR(__xludf.DUMMYFUNCTION("IF(A5573&lt;&gt;"""", GOOGLETRANSLATE(A5573, ""en"", ""te""),"""")"),"")</f>
        <v/>
      </c>
      <c r="C5573" s="2"/>
      <c r="D5573" s="2" t="str">
        <f>IFERROR(__xludf.DUMMYFUNCTION("IF(C5573&lt;&gt;"""", GOOGLETRANSLATE(C5573, ""en"", ""te""),"""")"),"")</f>
        <v/>
      </c>
      <c r="E5573" s="2"/>
      <c r="F5573" s="2" t="str">
        <f>IFERROR(__xludf.DUMMYFUNCTION("IF(E5573&lt;&gt;"""", GOOGLETRANSLATE(E5573, ""en"", ""te""),"""")"),"")</f>
        <v/>
      </c>
      <c r="G5573" s="2"/>
      <c r="H5573" s="2" t="str">
        <f>IFERROR(__xludf.DUMMYFUNCTION("IF(G5573&lt;&gt;"""", GOOGLETRANSLATE(G5573, ""en"", ""te""),"""")"),"")</f>
        <v/>
      </c>
      <c r="I5573" s="3"/>
    </row>
    <row r="5574" customHeight="1" spans="1:9">
      <c r="A5574" s="2"/>
      <c r="B5574" s="2" t="str">
        <f>IFERROR(__xludf.DUMMYFUNCTION("IF(A5574&lt;&gt;"""", GOOGLETRANSLATE(A5574, ""en"", ""te""),"""")"),"")</f>
        <v/>
      </c>
      <c r="C5574" s="2" t="s">
        <v>3606</v>
      </c>
      <c r="D5574" s="2" t="str">
        <f>IFERROR(__xludf.DUMMYFUNCTION("IF(C5574&lt;&gt;"""", GOOGLETRANSLATE(C5574, ""en"", ""te""),"""")"),"[ '42 వ పిన్న ఆటగాడు ఐదు వికెట్ల లో-ఒక-ఇన్నింగ్స్ తీసుకోవాలని (20y 106d)']")</f>
        <v>[ '42 వ పిన్న ఆటగాడు ఐదు వికెట్ల లో-ఒక-ఇన్నింగ్స్ తీసుకోవాలని (20y 106d)']</v>
      </c>
      <c r="E5574" s="2"/>
      <c r="F5574" s="2" t="str">
        <f>IFERROR(__xludf.DUMMYFUNCTION("IF(E5574&lt;&gt;"""", GOOGLETRANSLATE(E5574, ""en"", ""te""),"""")"),"")</f>
        <v/>
      </c>
      <c r="G5574" s="2"/>
      <c r="H5574" s="2" t="str">
        <f>IFERROR(__xludf.DUMMYFUNCTION("IF(G5574&lt;&gt;"""", GOOGLETRANSLATE(G5574, ""en"", ""te""),"""")"),"")</f>
        <v/>
      </c>
      <c r="I5574" s="3"/>
    </row>
    <row r="5575" customHeight="1" spans="1:9">
      <c r="A5575" s="2"/>
      <c r="B5575" s="2" t="str">
        <f>IFERROR(__xludf.DUMMYFUNCTION("IF(A5575&lt;&gt;"""", GOOGLETRANSLATE(A5575, ""en"", ""te""),"""")"),"")</f>
        <v/>
      </c>
      <c r="C5575" s="2"/>
      <c r="D5575" s="2" t="str">
        <f>IFERROR(__xludf.DUMMYFUNCTION("IF(C5575&lt;&gt;"""", GOOGLETRANSLATE(C5575, ""en"", ""te""),"""")"),"")</f>
        <v/>
      </c>
      <c r="E5575" s="2"/>
      <c r="F5575" s="2" t="str">
        <f>IFERROR(__xludf.DUMMYFUNCTION("IF(E5575&lt;&gt;"""", GOOGLETRANSLATE(E5575, ""en"", ""te""),"""")"),"")</f>
        <v/>
      </c>
      <c r="G5575" s="2"/>
      <c r="H5575" s="2" t="str">
        <f>IFERROR(__xludf.DUMMYFUNCTION("IF(G5575&lt;&gt;"""", GOOGLETRANSLATE(G5575, ""en"", ""te""),"""")"),"")</f>
        <v/>
      </c>
      <c r="I5575" s="3"/>
    </row>
    <row r="5576" customHeight="1" spans="1:9">
      <c r="A5576" s="2" t="s">
        <v>3607</v>
      </c>
      <c r="B5576" s="2" t="str">
        <f>IFERROR(__xludf.DUMMYFUNCTION("IF(A5576&lt;&gt;"""", GOOGLETRANSLATE(A5576, ""en"", ""te""),"""")"),"[ 'తొలి హండ్రెడ్ (120)', '2 వ అత్యుత్తమ బౌలింగ్ ఇన్నింగ్స్ లో విశ్లేషించడం (2/1)', '5000 పరుగులు మరియు 50 ఫీల్డింగ్ వికెట్లు', 'ఐదవ వికెట్కు 7 వ అత్యధిక భాగస్వామ్యం (196 *)', '9 వ ఒక ఇన్నింగ్స్ లో అత్యధిక పరుగులు (బ్యాటింగ్ స్థానంలో ప్రకారం) (101) ',' కెర"&amp;"ీర్లో 9 వ అత్యధిక క్యాచ్లు (42) ',' ఎనిమిదవ వికెట్కు 3 వ అత్యధిక భాగస్వామ్యం (61) ']")</f>
        <v>[ 'తొలి హండ్రెడ్ (120)', '2 వ అత్యుత్తమ బౌలింగ్ ఇన్నింగ్స్ లో విశ్లేషించడం (2/1)', '5000 పరుగులు మరియు 50 ఫీల్డింగ్ వికెట్లు', 'ఐదవ వికెట్కు 7 వ అత్యధిక భాగస్వామ్యం (196 *)', '9 వ ఒక ఇన్నింగ్స్ లో అత్యధిక పరుగులు (బ్యాటింగ్ స్థానంలో ప్రకారం) (101) ',' కెరీర్లో 9 వ అత్యధిక క్యాచ్లు (42) ',' ఎనిమిదవ వికెట్కు 3 వ అత్యధిక భాగస్వామ్యం (61) ']</v>
      </c>
      <c r="C5576" s="2" t="s">
        <v>3608</v>
      </c>
      <c r="D5576" s="2" t="str">
        <f>IFERROR(__xludf.DUMMYFUNCTION("IF(C5576&lt;&gt;"""", GOOGLETRANSLATE(C5576, ""en"", ""te""),"""")"),"[ '2 వ అత్యుత్తమ ఇన్నింగ్స్ (2/1) విశ్లేషణలలో బౌలింగ్']")</f>
        <v>[ '2 వ అత్యుత్తమ ఇన్నింగ్స్ (2/1) విశ్లేషణలలో బౌలింగ్']</v>
      </c>
      <c r="E5576" s="2" t="s">
        <v>3609</v>
      </c>
      <c r="F5576" s="2" t="str">
        <f>IFERROR(__xludf.DUMMYFUNCTION("IF(E5576&lt;&gt;"""", GOOGLETRANSLATE(E5576, ""en"", ""te""),"""")"),"[ 'వరుస ఇన్నింగ్స్లో 44 వ యాభైల్లో (4)', '30 వ ఎక్కువ సిక్స్ కెరీర్లో (120)', '28th చెత్త కెరీర్ బౌలింగ్ సరాసరి (50.30)', '30 వ' 45 వ పిన్న ఆటగాడు వంద (211d 21y) స్కోర్ ' కెరీర్లో అత్యధిక క్యాచ్లు (102) ',' ఐదో వికెట్కు (196 *) కోసం 7 వ అత్యధిక భాగస్వామ్"&amp;"యం ',' 37 వ వరుస మ్యాచ్లు జట్టు (78) ',' 15 వ పిన్న కాప్టెన్ (23y 182d) ']")</f>
        <v>[ 'వరుస ఇన్నింగ్స్లో 44 వ యాభైల్లో (4)', '30 వ ఎక్కువ సిక్స్ కెరీర్లో (120)', '28th చెత్త కెరీర్ బౌలింగ్ సరాసరి (50.30)', '30 వ' 45 వ పిన్న ఆటగాడు వంద (211d 21y) స్కోర్ ' కెరీర్లో అత్యధిక క్యాచ్లు (102) ',' ఐదో వికెట్కు (196 *) కోసం 7 వ అత్యధిక భాగస్వామ్యం ',' 37 వ వరుస మ్యాచ్లు జట్టు (78) ',' 15 వ పిన్న కాప్టెన్ (23y 182d) ']</v>
      </c>
      <c r="G5576" s="2" t="s">
        <v>3610</v>
      </c>
      <c r="H5576" s="2" t="str">
        <f>IFERROR(__xludf.DUMMYFUNCTION("IF(G5576&lt;&gt;"""", GOOGLETRANSLATE(G5576, ""en"", ""te""),"""")"),"[ '30 వ కెరీర్ లో అత్యధిక పరుగులు (1605)', 'ఇన్నింగ్స్ లో 9 వ అత్యధిక పరుగులు (బ్యాటింగ్ స్థానంలో ప్రకారం) (101)', '48 వ కెరీర్ అర్ధ (6)', 'ఒక డక్ లేకుండా 18 వరుస ఇన్నింగ్స్ (45 ) ',' 25 వ అతి తక్కువ బాతులు కెరీర్ లో (22) ',' 32 వ ఎక్కువ సిక్స్ కెరీర్లో ("&amp;"58) ',' 24 వ అత్యంత ఫోర్లు కెరీర్లో (145) ',' ఫాస్టెస్ట్ 1000 పరుగులు 28 (41) ',' 9 వ అత్యంత కెరీర్లో క్యాచ్లు (42) ',' 15 వ ఇన్నింగ్స్ (3) ',' ఆరవ వికెట్కు 50 వ అత్యధిక భాగస్వామ్యం (60) ',' ఎనిమిదవ వికెట్కు 3 వ అత్యధిక భాగస్వామ్యం (61) ',' 25 వ అత్యధిక మ"&amp;"్యాచ్లు లో అత్యధిక క్యాచ్లు కెరీర్ (78) ',' 15 వ వరుస జట్టు మ్యాచ్లు (43) ',' 46 వ లాంగెస్ట్ కెరీర్లు (11y 219d) ',' 18 వ పిన్న కాప్టెన్ (23y 197d) '] లో")</f>
        <v>[ '30 వ కెరీర్ లో అత్యధిక పరుగులు (1605)', 'ఇన్నింగ్స్ లో 9 వ అత్యధిక పరుగులు (బ్యాటింగ్ స్థానంలో ప్రకారం) (101)', '48 వ కెరీర్ అర్ధ (6)', 'ఒక డక్ లేకుండా 18 వరుస ఇన్నింగ్స్ (45 ) ',' 25 వ అతి తక్కువ బాతులు కెరీర్ లో (22) ',' 32 వ ఎక్కువ సిక్స్ కెరీర్లో (58) ',' 24 వ అత్యంత ఫోర్లు కెరీర్లో (145) ',' ఫాస్టెస్ట్ 1000 పరుగులు 28 (41) ',' 9 వ అత్యంత కెరీర్లో క్యాచ్లు (42) ',' 15 వ ఇన్నింగ్స్ (3) ',' ఆరవ వికెట్కు 50 వ అత్యధిక భాగస్వామ్యం (60) ',' ఎనిమిదవ వికెట్కు 3 వ అత్యధిక భాగస్వామ్యం (61) ',' 25 వ అత్యధిక మ్యాచ్లు లో అత్యధిక క్యాచ్లు కెరీర్ (78) ',' 15 వ వరుస జట్టు మ్యాచ్లు (43) ',' 46 వ లాంగెస్ట్ కెరీర్లు (11y 219d) ',' 18 వ పిన్న కాప్టెన్ (23y 197d) '] లో</v>
      </c>
      <c r="I5576" s="3"/>
    </row>
    <row r="5577" customHeight="1" spans="1:9">
      <c r="A5577" s="2"/>
      <c r="B5577" s="2" t="str">
        <f>IFERROR(__xludf.DUMMYFUNCTION("IF(A5577&lt;&gt;"""", GOOGLETRANSLATE(A5577, ""en"", ""te""),"""")"),"")</f>
        <v/>
      </c>
      <c r="C5577" s="2"/>
      <c r="D5577" s="2" t="str">
        <f>IFERROR(__xludf.DUMMYFUNCTION("IF(C5577&lt;&gt;"""", GOOGLETRANSLATE(C5577, ""en"", ""te""),"""")"),"")</f>
        <v/>
      </c>
      <c r="E5577" s="2"/>
      <c r="F5577" s="2" t="str">
        <f>IFERROR(__xludf.DUMMYFUNCTION("IF(E5577&lt;&gt;"""", GOOGLETRANSLATE(E5577, ""en"", ""te""),"""")"),"")</f>
        <v/>
      </c>
      <c r="G5577" s="2"/>
      <c r="H5577" s="2" t="str">
        <f>IFERROR(__xludf.DUMMYFUNCTION("IF(G5577&lt;&gt;"""", GOOGLETRANSLATE(G5577, ""en"", ""te""),"""")"),"")</f>
        <v/>
      </c>
      <c r="I5577" s="3"/>
    </row>
    <row r="5578" customHeight="1" spans="1:9">
      <c r="A5578" s="2"/>
      <c r="B5578" s="2" t="str">
        <f>IFERROR(__xludf.DUMMYFUNCTION("IF(A5578&lt;&gt;"""", GOOGLETRANSLATE(A5578, ""en"", ""te""),"""")"),"")</f>
        <v/>
      </c>
      <c r="C5578" s="2"/>
      <c r="D5578" s="2" t="str">
        <f>IFERROR(__xludf.DUMMYFUNCTION("IF(C5578&lt;&gt;"""", GOOGLETRANSLATE(C5578, ""en"", ""te""),"""")"),"")</f>
        <v/>
      </c>
      <c r="E5578" s="2"/>
      <c r="F5578" s="2" t="str">
        <f>IFERROR(__xludf.DUMMYFUNCTION("IF(E5578&lt;&gt;"""", GOOGLETRANSLATE(E5578, ""en"", ""te""),"""")"),"")</f>
        <v/>
      </c>
      <c r="G5578" s="2"/>
      <c r="H5578" s="2" t="str">
        <f>IFERROR(__xludf.DUMMYFUNCTION("IF(G5578&lt;&gt;"""", GOOGLETRANSLATE(G5578, ""en"", ""te""),"""")"),"")</f>
        <v/>
      </c>
      <c r="I5578" s="3"/>
    </row>
    <row r="5579" customHeight="1" spans="1:9">
      <c r="A5579" s="2"/>
      <c r="B5579" s="2" t="str">
        <f>IFERROR(__xludf.DUMMYFUNCTION("IF(A5579&lt;&gt;"""", GOOGLETRANSLATE(A5579, ""en"", ""te""),"""")"),"")</f>
        <v/>
      </c>
      <c r="C5579" s="2"/>
      <c r="D5579" s="2" t="str">
        <f>IFERROR(__xludf.DUMMYFUNCTION("IF(C5579&lt;&gt;"""", GOOGLETRANSLATE(C5579, ""en"", ""te""),"""")"),"")</f>
        <v/>
      </c>
      <c r="E5579" s="2"/>
      <c r="F5579" s="2" t="str">
        <f>IFERROR(__xludf.DUMMYFUNCTION("IF(E5579&lt;&gt;"""", GOOGLETRANSLATE(E5579, ""en"", ""te""),"""")"),"")</f>
        <v/>
      </c>
      <c r="G5579" s="2"/>
      <c r="H5579" s="2" t="str">
        <f>IFERROR(__xludf.DUMMYFUNCTION("IF(G5579&lt;&gt;"""", GOOGLETRANSLATE(G5579, ""en"", ""te""),"""")"),"")</f>
        <v/>
      </c>
      <c r="I5579" s="3"/>
    </row>
    <row r="5580" customHeight="1" spans="1:9">
      <c r="A5580" s="2"/>
      <c r="B5580" s="2" t="str">
        <f>IFERROR(__xludf.DUMMYFUNCTION("IF(A5580&lt;&gt;"""", GOOGLETRANSLATE(A5580, ""en"", ""te""),"""")"),"")</f>
        <v/>
      </c>
      <c r="C5580" s="2"/>
      <c r="D5580" s="2" t="str">
        <f>IFERROR(__xludf.DUMMYFUNCTION("IF(C5580&lt;&gt;"""", GOOGLETRANSLATE(C5580, ""en"", ""te""),"""")"),"")</f>
        <v/>
      </c>
      <c r="E5580" s="2"/>
      <c r="F5580" s="2" t="str">
        <f>IFERROR(__xludf.DUMMYFUNCTION("IF(E5580&lt;&gt;"""", GOOGLETRANSLATE(E5580, ""en"", ""te""),"""")"),"")</f>
        <v/>
      </c>
      <c r="G5580" s="2"/>
      <c r="H5580" s="2" t="str">
        <f>IFERROR(__xludf.DUMMYFUNCTION("IF(G5580&lt;&gt;"""", GOOGLETRANSLATE(G5580, ""en"", ""te""),"""")"),"")</f>
        <v/>
      </c>
      <c r="I5580" s="3"/>
    </row>
    <row r="5581" customHeight="1" spans="1:9">
      <c r="A5581" s="2"/>
      <c r="B5581" s="2" t="str">
        <f>IFERROR(__xludf.DUMMYFUNCTION("IF(A5581&lt;&gt;"""", GOOGLETRANSLATE(A5581, ""en"", ""te""),"""")"),"")</f>
        <v/>
      </c>
      <c r="C5581" s="2"/>
      <c r="D5581" s="2" t="str">
        <f>IFERROR(__xludf.DUMMYFUNCTION("IF(C5581&lt;&gt;"""", GOOGLETRANSLATE(C5581, ""en"", ""te""),"""")"),"")</f>
        <v/>
      </c>
      <c r="E5581" s="2"/>
      <c r="F5581" s="2" t="str">
        <f>IFERROR(__xludf.DUMMYFUNCTION("IF(E5581&lt;&gt;"""", GOOGLETRANSLATE(E5581, ""en"", ""te""),"""")"),"")</f>
        <v/>
      </c>
      <c r="G5581" s="2"/>
      <c r="H5581" s="2" t="str">
        <f>IFERROR(__xludf.DUMMYFUNCTION("IF(G5581&lt;&gt;"""", GOOGLETRANSLATE(G5581, ""en"", ""te""),"""")"),"")</f>
        <v/>
      </c>
      <c r="I5581" s="3"/>
    </row>
    <row r="5582" customHeight="1" spans="1:9">
      <c r="A5582" s="2"/>
      <c r="B5582" s="2" t="str">
        <f>IFERROR(__xludf.DUMMYFUNCTION("IF(A5582&lt;&gt;"""", GOOGLETRANSLATE(A5582, ""en"", ""te""),"""")"),"")</f>
        <v/>
      </c>
      <c r="C5582" s="2"/>
      <c r="D5582" s="2" t="str">
        <f>IFERROR(__xludf.DUMMYFUNCTION("IF(C5582&lt;&gt;"""", GOOGLETRANSLATE(C5582, ""en"", ""te""),"""")"),"")</f>
        <v/>
      </c>
      <c r="E5582" s="2"/>
      <c r="F5582" s="2" t="str">
        <f>IFERROR(__xludf.DUMMYFUNCTION("IF(E5582&lt;&gt;"""", GOOGLETRANSLATE(E5582, ""en"", ""te""),"""")"),"")</f>
        <v/>
      </c>
      <c r="G5582" s="2"/>
      <c r="H5582" s="2" t="str">
        <f>IFERROR(__xludf.DUMMYFUNCTION("IF(G5582&lt;&gt;"""", GOOGLETRANSLATE(G5582, ""en"", ""te""),"""")"),"")</f>
        <v/>
      </c>
      <c r="I5582" s="3"/>
    </row>
    <row r="5583" customHeight="1" spans="1:9">
      <c r="A5583" s="2"/>
      <c r="B5583" s="2" t="str">
        <f>IFERROR(__xludf.DUMMYFUNCTION("IF(A5583&lt;&gt;"""", GOOGLETRANSLATE(A5583, ""en"", ""te""),"""")"),"")</f>
        <v/>
      </c>
      <c r="C5583" s="2"/>
      <c r="D5583" s="2" t="str">
        <f>IFERROR(__xludf.DUMMYFUNCTION("IF(C5583&lt;&gt;"""", GOOGLETRANSLATE(C5583, ""en"", ""te""),"""")"),"")</f>
        <v/>
      </c>
      <c r="E5583" s="2"/>
      <c r="F5583" s="2" t="str">
        <f>IFERROR(__xludf.DUMMYFUNCTION("IF(E5583&lt;&gt;"""", GOOGLETRANSLATE(E5583, ""en"", ""te""),"""")"),"")</f>
        <v/>
      </c>
      <c r="G5583" s="2"/>
      <c r="H5583" s="2" t="str">
        <f>IFERROR(__xludf.DUMMYFUNCTION("IF(G5583&lt;&gt;"""", GOOGLETRANSLATE(G5583, ""en"", ""te""),"""")"),"")</f>
        <v/>
      </c>
      <c r="I5583" s="3"/>
    </row>
    <row r="5584" customHeight="1" spans="1:9">
      <c r="A5584" s="2"/>
      <c r="B5584" s="2" t="str">
        <f>IFERROR(__xludf.DUMMYFUNCTION("IF(A5584&lt;&gt;"""", GOOGLETRANSLATE(A5584, ""en"", ""te""),"""")"),"")</f>
        <v/>
      </c>
      <c r="C5584" s="2"/>
      <c r="D5584" s="2" t="str">
        <f>IFERROR(__xludf.DUMMYFUNCTION("IF(C5584&lt;&gt;"""", GOOGLETRANSLATE(C5584, ""en"", ""te""),"""")"),"")</f>
        <v/>
      </c>
      <c r="E5584" s="2"/>
      <c r="F5584" s="2" t="str">
        <f>IFERROR(__xludf.DUMMYFUNCTION("IF(E5584&lt;&gt;"""", GOOGLETRANSLATE(E5584, ""en"", ""te""),"""")"),"")</f>
        <v/>
      </c>
      <c r="G5584" s="2"/>
      <c r="H5584" s="2" t="str">
        <f>IFERROR(__xludf.DUMMYFUNCTION("IF(G5584&lt;&gt;"""", GOOGLETRANSLATE(G5584, ""en"", ""te""),"""")"),"")</f>
        <v/>
      </c>
      <c r="I5584" s="3"/>
    </row>
    <row r="5585" customHeight="1" spans="1:9">
      <c r="A5585" s="2"/>
      <c r="B5585" s="2" t="str">
        <f>IFERROR(__xludf.DUMMYFUNCTION("IF(A5585&lt;&gt;"""", GOOGLETRANSLATE(A5585, ""en"", ""te""),"""")"),"")</f>
        <v/>
      </c>
      <c r="C5585" s="2"/>
      <c r="D5585" s="2" t="str">
        <f>IFERROR(__xludf.DUMMYFUNCTION("IF(C5585&lt;&gt;"""", GOOGLETRANSLATE(C5585, ""en"", ""te""),"""")"),"")</f>
        <v/>
      </c>
      <c r="E5585" s="2"/>
      <c r="F5585" s="2" t="str">
        <f>IFERROR(__xludf.DUMMYFUNCTION("IF(E5585&lt;&gt;"""", GOOGLETRANSLATE(E5585, ""en"", ""te""),"""")"),"")</f>
        <v/>
      </c>
      <c r="G5585" s="2"/>
      <c r="H5585" s="2" t="str">
        <f>IFERROR(__xludf.DUMMYFUNCTION("IF(G5585&lt;&gt;"""", GOOGLETRANSLATE(G5585, ""en"", ""te""),"""")"),"")</f>
        <v/>
      </c>
      <c r="I5585" s="3"/>
    </row>
    <row r="5586" customHeight="1" spans="1:9">
      <c r="A5586" s="2"/>
      <c r="B5586" s="2" t="str">
        <f>IFERROR(__xludf.DUMMYFUNCTION("IF(A5586&lt;&gt;"""", GOOGLETRANSLATE(A5586, ""en"", ""te""),"""")"),"")</f>
        <v/>
      </c>
      <c r="C5586" s="2"/>
      <c r="D5586" s="2" t="str">
        <f>IFERROR(__xludf.DUMMYFUNCTION("IF(C5586&lt;&gt;"""", GOOGLETRANSLATE(C5586, ""en"", ""te""),"""")"),"")</f>
        <v/>
      </c>
      <c r="E5586" s="2"/>
      <c r="F5586" s="2" t="str">
        <f>IFERROR(__xludf.DUMMYFUNCTION("IF(E5586&lt;&gt;"""", GOOGLETRANSLATE(E5586, ""en"", ""te""),"""")"),"")</f>
        <v/>
      </c>
      <c r="G5586" s="2"/>
      <c r="H5586" s="2" t="str">
        <f>IFERROR(__xludf.DUMMYFUNCTION("IF(G5586&lt;&gt;"""", GOOGLETRANSLATE(G5586, ""en"", ""te""),"""")"),"")</f>
        <v/>
      </c>
      <c r="I5586" s="3"/>
    </row>
    <row r="5587" customHeight="1" spans="1:9">
      <c r="A5587" s="2"/>
      <c r="B5587" s="2" t="str">
        <f>IFERROR(__xludf.DUMMYFUNCTION("IF(A5587&lt;&gt;"""", GOOGLETRANSLATE(A5587, ""en"", ""te""),"""")"),"")</f>
        <v/>
      </c>
      <c r="C5587" s="2"/>
      <c r="D5587" s="2" t="str">
        <f>IFERROR(__xludf.DUMMYFUNCTION("IF(C5587&lt;&gt;"""", GOOGLETRANSLATE(C5587, ""en"", ""te""),"""")"),"")</f>
        <v/>
      </c>
      <c r="E5587" s="2"/>
      <c r="F5587" s="2" t="str">
        <f>IFERROR(__xludf.DUMMYFUNCTION("IF(E5587&lt;&gt;"""", GOOGLETRANSLATE(E5587, ""en"", ""te""),"""")"),"")</f>
        <v/>
      </c>
      <c r="G5587" s="2"/>
      <c r="H5587" s="2" t="str">
        <f>IFERROR(__xludf.DUMMYFUNCTION("IF(G5587&lt;&gt;"""", GOOGLETRANSLATE(G5587, ""en"", ""te""),"""")"),"")</f>
        <v/>
      </c>
      <c r="I5587" s="3"/>
    </row>
    <row r="5588" customHeight="1" spans="1:9">
      <c r="A5588" s="2"/>
      <c r="B5588" s="2" t="str">
        <f>IFERROR(__xludf.DUMMYFUNCTION("IF(A5588&lt;&gt;"""", GOOGLETRANSLATE(A5588, ""en"", ""te""),"""")"),"")</f>
        <v/>
      </c>
      <c r="C5588" s="2"/>
      <c r="D5588" s="2" t="str">
        <f>IFERROR(__xludf.DUMMYFUNCTION("IF(C5588&lt;&gt;"""", GOOGLETRANSLATE(C5588, ""en"", ""te""),"""")"),"")</f>
        <v/>
      </c>
      <c r="E5588" s="2" t="s">
        <v>3611</v>
      </c>
      <c r="F5588" s="2" t="str">
        <f>IFERROR(__xludf.DUMMYFUNCTION("IF(E5588&lt;&gt;"""", GOOGLETRANSLATE(E5588, ""en"", ""te""),"""")"),"[ '23 వ అత్యధిక కెరీర్ బ్యాటింగ్ సగటు (47.05)', '45 వ వేగవంతమైన 1000 పరుగులు (29)', 'ఆరవ వికెట్ (160) 11 వ అత్యధిక భాగస్వామ్యం']")</f>
        <v>[ '23 వ అత్యధిక కెరీర్ బ్యాటింగ్ సగటు (47.05)', '45 వ వేగవంతమైన 1000 పరుగులు (29)', 'ఆరవ వికెట్ (160) 11 వ అత్యధిక భాగస్వామ్యం']</v>
      </c>
      <c r="G5588" s="2"/>
      <c r="H5588" s="2" t="str">
        <f>IFERROR(__xludf.DUMMYFUNCTION("IF(G5588&lt;&gt;"""", GOOGLETRANSLATE(G5588, ""en"", ""te""),"""")"),"")</f>
        <v/>
      </c>
      <c r="I5588" s="3"/>
    </row>
    <row r="5589" customHeight="1" spans="1:9">
      <c r="A5589" s="2"/>
      <c r="B5589" s="2" t="str">
        <f>IFERROR(__xludf.DUMMYFUNCTION("IF(A5589&lt;&gt;"""", GOOGLETRANSLATE(A5589, ""en"", ""te""),"""")"),"")</f>
        <v/>
      </c>
      <c r="C5589" s="2"/>
      <c r="D5589" s="2" t="str">
        <f>IFERROR(__xludf.DUMMYFUNCTION("IF(C5589&lt;&gt;"""", GOOGLETRANSLATE(C5589, ""en"", ""te""),"""")"),"")</f>
        <v/>
      </c>
      <c r="E5589" s="2"/>
      <c r="F5589" s="2" t="str">
        <f>IFERROR(__xludf.DUMMYFUNCTION("IF(E5589&lt;&gt;"""", GOOGLETRANSLATE(E5589, ""en"", ""te""),"""")"),"")</f>
        <v/>
      </c>
      <c r="G5589" s="2"/>
      <c r="H5589" s="2" t="str">
        <f>IFERROR(__xludf.DUMMYFUNCTION("IF(G5589&lt;&gt;"""", GOOGLETRANSLATE(G5589, ""en"", ""te""),"""")"),"")</f>
        <v/>
      </c>
      <c r="I5589" s="3"/>
    </row>
    <row r="5590" customHeight="1" spans="1:9">
      <c r="A5590" s="2" t="s">
        <v>3612</v>
      </c>
      <c r="B5590" s="2" t="str">
        <f>IFERROR(__xludf.DUMMYFUNCTION("IF(A5590&lt;&gt;"""", GOOGLETRANSLATE(A5590, ""en"", ""te""),"""")"),"[ 'ఒక జట్టు కెప్టెన్గా 2 వ వరుస మ్యాచ్లు (12)', 'ఒక కెప్టెన్ ద్వారా ఒక సిరీస్లో 1st అత్యధిక పరుగులు (381)', 'వరుస ఇన్నింగ్స్లో 5 వ యాభైల్లో (3)', 'ఒక లో పరుగులు 2 వ అత్యధిక శాతం పూర్తి ఇన్నింగ్స్ (61.01) ',' 6 వ చెత్త కెరీర్లో ఆర్థిక రేటు (2.56) ',' 6 వ "&amp;"ఒక సిరీస్లో అత్యధిక క్యాచ్లు (7) ']")</f>
        <v>[ 'ఒక జట్టు కెప్టెన్గా 2 వ వరుస మ్యాచ్లు (12)', 'ఒక కెప్టెన్ ద్వారా ఒక సిరీస్లో 1st అత్యధిక పరుగులు (381)', 'వరుస ఇన్నింగ్స్లో 5 వ యాభైల్లో (3)', 'ఒక లో పరుగులు 2 వ అత్యధిక శాతం పూర్తి ఇన్నింగ్స్ (61.01) ',' 6 వ చెత్త కెరీర్లో ఆర్థిక రేటు (2.56) ',' 6 వ ఒక సిరీస్లో అత్యధిక క్యాచ్లు (7) ']</v>
      </c>
      <c r="C5590" s="2" t="s">
        <v>3613</v>
      </c>
      <c r="D5590" s="2" t="str">
        <f>IFERROR(__xludf.DUMMYFUNCTION("IF(C5590&lt;&gt;"""", GOOGLETRANSLATE(C5590, ""en"", ""te""),"""")"),"[ '19 కెరీర్లో అత్యధిక పరుగులు (750)', '5 వ ఒక సిరీస్లో అత్యధిక పరుగులు (381)', '7th ఒక క్యాలెండర్ సంవత్సరంలో అత్యధిక పరుగులు (381)', '10 వ ఇన్నింగ్స్ లో అత్యధిక పరుగులు (బ్యాటింగ్ స్థానంలో ప్రకారం) ( 108) ',' 1st ఒక కెప్టెన్ ద్వారా ఒక సిరీస్లో అత్యధిక పర"&amp;"ుగులు (381) ',' ఒక కెప్టెన్తో ఇన్నింగ్స్ లో 14 వ అత్యధిక పరుగులు (108) ',' 38 వ అత్యధిక కెరీర్ బ్యాటింగ్ సగటు (32.60) ',' 44 వ అత్యధిక తొలి వందల (108) ',' 11 వ కెరీర్ అర్ధ (7) ',' వరుస ఇన్నింగ్స్లో తొలి డక్ ముందు (3) ',' 11 వ అత్యంత ఇన్నింగ్స్లో 5 వ యాభై"&amp;"ల్లో (12) ',' ఒక ఇన్నింగ్స్లో పరుగుల 2 వ అత్యధిక శాతం ( 61.01) ',' 44 వ కెరీర్ లో అత్యధిక వికెట్లు (21) ',' 24th చెత్త కెరీర్ బౌలింగ్ సరాసరి (31.61) ',' 6 వ చెత్త కెరీర్లో ఆర్థిక రేటు (2.56) ',' ఇన్నింగ్స్ లో 35 వ చెత్త ఆర్థిక రేటు (4.00) ', 'కెరీర్ లో 23"&amp;" వ అత్యధిక క్యాచ్లు (10)', '6 వ ఒక సిరీస్లో అత్యధిక క్యాచ్లు (7)', '13 వ అత్యధిక మ్యాచ్లు కెరీర్లో (16)', '23 వ వరుస జట్టు మ్యాచ్లు (12)', '24th లాంగెస్ట్ కెరీర్లు (14y 90D) ',' 2 వ అత్యంత కెప్టెన్గా (12) ',' 2 వ వరుస మ్యాచ్లు బృందం (12) కెప్టెన్ గా పేర్క"&amp;"ొంటే ']")</f>
        <v>[ '19 కెరీర్లో అత్యధిక పరుగులు (750)', '5 వ ఒక సిరీస్లో అత్యధిక పరుగులు (381)', '7th ఒక క్యాలెండర్ సంవత్సరంలో అత్యధిక పరుగులు (381)', '10 వ ఇన్నింగ్స్ లో అత్యధిక పరుగులు (బ్యాటింగ్ స్థానంలో ప్రకారం) ( 108) ',' 1st ఒక కెప్టెన్ ద్వారా ఒక సిరీస్లో అత్యధిక పరుగులు (381) ',' ఒక కెప్టెన్తో ఇన్నింగ్స్ లో 14 వ అత్యధిక పరుగులు (108) ',' 38 వ అత్యధిక కెరీర్ బ్యాటింగ్ సగటు (32.60) ',' 44 వ అత్యధిక తొలి వందల (108) ',' 11 వ కెరీర్ అర్ధ (7) ',' వరుస ఇన్నింగ్స్లో తొలి డక్ ముందు (3) ',' 11 వ అత్యంత ఇన్నింగ్స్లో 5 వ యాభైల్లో (12) ',' ఒక ఇన్నింగ్స్లో పరుగుల 2 వ అత్యధిక శాతం ( 61.01) ',' 44 వ కెరీర్ లో అత్యధిక వికెట్లు (21) ',' 24th చెత్త కెరీర్ బౌలింగ్ సరాసరి (31.61) ',' 6 వ చెత్త కెరీర్లో ఆర్థిక రేటు (2.56) ',' ఇన్నింగ్స్ లో 35 వ చెత్త ఆర్థిక రేటు (4.00) ', 'కెరీర్ లో 23 వ అత్యధిక క్యాచ్లు (10)', '6 వ ఒక సిరీస్లో అత్యధిక క్యాచ్లు (7)', '13 వ అత్యధిక మ్యాచ్లు కెరీర్లో (16)', '23 వ వరుస జట్టు మ్యాచ్లు (12)', '24th లాంగెస్ట్ కెరీర్లు (14y 90D) ',' 2 వ అత్యంత కెప్టెన్గా (12) ',' 2 వ వరుస మ్యాచ్లు బృందం (12) కెప్టెన్ గా పేర్కొంటే ']</v>
      </c>
      <c r="E5590" s="2" t="s">
        <v>3614</v>
      </c>
      <c r="F5590" s="2" t="str">
        <f>IFERROR(__xludf.DUMMYFUNCTION("IF(E5590&lt;&gt;"""", GOOGLETRANSLATE(E5590, ""en"", ""te""),"""")"),"[ '15 వ కెరీర్ లో బాతులు (19)', '48 వ అత్యధిక మ్యాచ్లు కెప్టెన్గా (16)', 'బృందం (16) కెప్టెన్ గా 41 వ వరుస మ్యాచ్లు']")</f>
        <v>[ '15 వ కెరీర్ లో బాతులు (19)', '48 వ అత్యధిక మ్యాచ్లు కెప్టెన్గా (16)', 'బృందం (16) కెప్టెన్ గా 41 వ వరుస మ్యాచ్లు']</v>
      </c>
      <c r="G5590" s="2"/>
      <c r="H5590" s="2" t="str">
        <f>IFERROR(__xludf.DUMMYFUNCTION("IF(G5590&lt;&gt;"""", GOOGLETRANSLATE(G5590, ""en"", ""te""),"""")"),"")</f>
        <v/>
      </c>
      <c r="I5590" s="3"/>
    </row>
    <row r="5591" customHeight="1" spans="1:9">
      <c r="A5591" s="2"/>
      <c r="B5591" s="2" t="str">
        <f>IFERROR(__xludf.DUMMYFUNCTION("IF(A5591&lt;&gt;"""", GOOGLETRANSLATE(A5591, ""en"", ""te""),"""")"),"")</f>
        <v/>
      </c>
      <c r="C5591" s="2"/>
      <c r="D5591" s="2" t="str">
        <f>IFERROR(__xludf.DUMMYFUNCTION("IF(C5591&lt;&gt;"""", GOOGLETRANSLATE(C5591, ""en"", ""te""),"""")"),"")</f>
        <v/>
      </c>
      <c r="E5591" s="2"/>
      <c r="F5591" s="2" t="str">
        <f>IFERROR(__xludf.DUMMYFUNCTION("IF(E5591&lt;&gt;"""", GOOGLETRANSLATE(E5591, ""en"", ""te""),"""")"),"")</f>
        <v/>
      </c>
      <c r="G5591" s="2"/>
      <c r="H5591" s="2" t="str">
        <f>IFERROR(__xludf.DUMMYFUNCTION("IF(G5591&lt;&gt;"""", GOOGLETRANSLATE(G5591, ""en"", ""te""),"""")"),"")</f>
        <v/>
      </c>
      <c r="I5591" s="3"/>
    </row>
    <row r="5592" customHeight="1" spans="1:9">
      <c r="A5592" s="2"/>
      <c r="B5592" s="2" t="str">
        <f>IFERROR(__xludf.DUMMYFUNCTION("IF(A5592&lt;&gt;"""", GOOGLETRANSLATE(A5592, ""en"", ""te""),"""")"),"")</f>
        <v/>
      </c>
      <c r="C5592" s="2"/>
      <c r="D5592" s="2" t="str">
        <f>IFERROR(__xludf.DUMMYFUNCTION("IF(C5592&lt;&gt;"""", GOOGLETRANSLATE(C5592, ""en"", ""te""),"""")"),"")</f>
        <v/>
      </c>
      <c r="E5592" s="2"/>
      <c r="F5592" s="2" t="str">
        <f>IFERROR(__xludf.DUMMYFUNCTION("IF(E5592&lt;&gt;"""", GOOGLETRANSLATE(E5592, ""en"", ""te""),"""")"),"")</f>
        <v/>
      </c>
      <c r="G5592" s="2"/>
      <c r="H5592" s="2" t="str">
        <f>IFERROR(__xludf.DUMMYFUNCTION("IF(G5592&lt;&gt;"""", GOOGLETRANSLATE(G5592, ""en"", ""te""),"""")"),"")</f>
        <v/>
      </c>
      <c r="I5592" s="3"/>
    </row>
    <row r="5593" customHeight="1" spans="1:9">
      <c r="A5593" s="2"/>
      <c r="B5593" s="2" t="str">
        <f>IFERROR(__xludf.DUMMYFUNCTION("IF(A5593&lt;&gt;"""", GOOGLETRANSLATE(A5593, ""en"", ""te""),"""")"),"")</f>
        <v/>
      </c>
      <c r="C5593" s="2"/>
      <c r="D5593" s="2" t="str">
        <f>IFERROR(__xludf.DUMMYFUNCTION("IF(C5593&lt;&gt;"""", GOOGLETRANSLATE(C5593, ""en"", ""te""),"""")"),"")</f>
        <v/>
      </c>
      <c r="E5593" s="2"/>
      <c r="F5593" s="2" t="str">
        <f>IFERROR(__xludf.DUMMYFUNCTION("IF(E5593&lt;&gt;"""", GOOGLETRANSLATE(E5593, ""en"", ""te""),"""")"),"")</f>
        <v/>
      </c>
      <c r="G5593" s="2"/>
      <c r="H5593" s="2" t="str">
        <f>IFERROR(__xludf.DUMMYFUNCTION("IF(G5593&lt;&gt;"""", GOOGLETRANSLATE(G5593, ""en"", ""te""),"""")"),"")</f>
        <v/>
      </c>
      <c r="I5593" s="3"/>
    </row>
    <row r="5594" customHeight="1" spans="1:9">
      <c r="A5594" s="2"/>
      <c r="B5594" s="2" t="str">
        <f>IFERROR(__xludf.DUMMYFUNCTION("IF(A5594&lt;&gt;"""", GOOGLETRANSLATE(A5594, ""en"", ""te""),"""")"),"")</f>
        <v/>
      </c>
      <c r="C5594" s="2"/>
      <c r="D5594" s="2" t="str">
        <f>IFERROR(__xludf.DUMMYFUNCTION("IF(C5594&lt;&gt;"""", GOOGLETRANSLATE(C5594, ""en"", ""te""),"""")"),"")</f>
        <v/>
      </c>
      <c r="E5594" s="2"/>
      <c r="F5594" s="2" t="str">
        <f>IFERROR(__xludf.DUMMYFUNCTION("IF(E5594&lt;&gt;"""", GOOGLETRANSLATE(E5594, ""en"", ""te""),"""")"),"")</f>
        <v/>
      </c>
      <c r="G5594" s="2"/>
      <c r="H5594" s="2" t="str">
        <f>IFERROR(__xludf.DUMMYFUNCTION("IF(G5594&lt;&gt;"""", GOOGLETRANSLATE(G5594, ""en"", ""te""),"""")"),"")</f>
        <v/>
      </c>
      <c r="I5594" s="3"/>
    </row>
    <row r="5595" customHeight="1" spans="1:9">
      <c r="A5595" s="2"/>
      <c r="B5595" s="2" t="str">
        <f>IFERROR(__xludf.DUMMYFUNCTION("IF(A5595&lt;&gt;"""", GOOGLETRANSLATE(A5595, ""en"", ""te""),"""")"),"")</f>
        <v/>
      </c>
      <c r="C5595" s="2"/>
      <c r="D5595" s="2" t="str">
        <f>IFERROR(__xludf.DUMMYFUNCTION("IF(C5595&lt;&gt;"""", GOOGLETRANSLATE(C5595, ""en"", ""te""),"""")"),"")</f>
        <v/>
      </c>
      <c r="E5595" s="2"/>
      <c r="F5595" s="2" t="str">
        <f>IFERROR(__xludf.DUMMYFUNCTION("IF(E5595&lt;&gt;"""", GOOGLETRANSLATE(E5595, ""en"", ""te""),"""")"),"")</f>
        <v/>
      </c>
      <c r="G5595" s="2"/>
      <c r="H5595" s="2" t="str">
        <f>IFERROR(__xludf.DUMMYFUNCTION("IF(G5595&lt;&gt;"""", GOOGLETRANSLATE(G5595, ""en"", ""te""),"""")"),"")</f>
        <v/>
      </c>
      <c r="I5595" s="3"/>
    </row>
    <row r="5596" customHeight="1" spans="1:9">
      <c r="A5596" s="2"/>
      <c r="B5596" s="2" t="str">
        <f>IFERROR(__xludf.DUMMYFUNCTION("IF(A5596&lt;&gt;"""", GOOGLETRANSLATE(A5596, ""en"", ""te""),"""")"),"")</f>
        <v/>
      </c>
      <c r="C5596" s="2"/>
      <c r="D5596" s="2" t="str">
        <f>IFERROR(__xludf.DUMMYFUNCTION("IF(C5596&lt;&gt;"""", GOOGLETRANSLATE(C5596, ""en"", ""te""),"""")"),"")</f>
        <v/>
      </c>
      <c r="E5596" s="2"/>
      <c r="F5596" s="2" t="str">
        <f>IFERROR(__xludf.DUMMYFUNCTION("IF(E5596&lt;&gt;"""", GOOGLETRANSLATE(E5596, ""en"", ""te""),"""")"),"")</f>
        <v/>
      </c>
      <c r="G5596" s="2"/>
      <c r="H5596" s="2" t="str">
        <f>IFERROR(__xludf.DUMMYFUNCTION("IF(G5596&lt;&gt;"""", GOOGLETRANSLATE(G5596, ""en"", ""te""),"""")"),"")</f>
        <v/>
      </c>
      <c r="I5596" s="3"/>
    </row>
    <row r="5597" customHeight="1" spans="1:9">
      <c r="A5597" s="2" t="s">
        <v>3615</v>
      </c>
      <c r="B5597" s="2" t="str">
        <f>IFERROR(__xludf.DUMMYFUNCTION("IF(A5597&lt;&gt;"""", GOOGLETRANSLATE(A5597, ""en"", ""te""),"""")"),"[ '10 వ ఇన్నింగ్స్ లో అత్యధిక పరుగులు (బ్యాటింగ్ స్థానంలో ప్రకారం) (130)', '5 వ ఒక క్యాలెండర్ సంవత్సరంలో అత్యధిక వందలు (2)', '4 వ ఉత్తమ కెరీర్ సగటు (4.00) (అర్హత లేకుండా) బౌలింగ్']")</f>
        <v>[ '10 వ ఇన్నింగ్స్ లో అత్యధిక పరుగులు (బ్యాటింగ్ స్థానంలో ప్రకారం) (130)', '5 వ ఒక క్యాలెండర్ సంవత్సరంలో అత్యధిక వందలు (2)', '4 వ ఉత్తమ కెరీర్ సగటు (4.00) (అర్హత లేకుండా) బౌలింగ్']</v>
      </c>
      <c r="C5597" s="2" t="s">
        <v>3616</v>
      </c>
      <c r="D5597" s="2" t="str">
        <f>IFERROR(__xludf.DUMMYFUNCTION("IF(C5597&lt;&gt;"""", GOOGLETRANSLATE(C5597, ""en"", ""te""),"""")"),"[ '35 వ ఇన్నింగ్స్ లో అత్యధిక పరుగులు (130)', '10 వ ఇన్నింగ్స్ లో అత్యధిక పరుగులు (బ్యాటింగ్ స్థానంలో ప్రకారం) (130)', '12 వ హండ్రెడ్ గత మ్యాచ్లో (130)', '24 వ అత్యధిక తొలి వంద (130)' ]")</f>
        <v>[ '35 వ ఇన్నింగ్స్ లో అత్యధిక పరుగులు (130)', '10 వ ఇన్నింగ్స్ లో అత్యధిక పరుగులు (బ్యాటింగ్ స్థానంలో ప్రకారం) (130)', '12 వ హండ్రెడ్ గత మ్యాచ్లో (130)', '24 వ అత్యధిక తొలి వంద (130)' ]</v>
      </c>
      <c r="E5597" s="2" t="s">
        <v>3617</v>
      </c>
      <c r="F5597" s="2" t="str">
        <f>IFERROR(__xludf.DUMMYFUNCTION("IF(E5597&lt;&gt;"""", GOOGLETRANSLATE(E5597, ""en"", ""te""),"""")"),"[ '32 వ కెరీర్ లో అత్యధిక పరుగులు (2267)', '18 వ ఒక క్యాలెండర్ సంవత్సరంలో అత్యధిక పరుగులు (653)', '11 వ పరాజయం వైపు ఒక మ్యాచ్లో అత్యధిక పరుగులు (106)', '39 వ అత్యధిక కెరీర్ బ్యాటింగ్ సగటు (34.87) ',' 19 ఒక వృత్తిలో అత్యధిక వందలు (3) ',' ఒక క్యాలెండర్ సంవ"&amp;"త్సరంలో 5 వ అత్యధిక వందలు (2) ',' 45 వ అత్యధిక తొలి వంద (109 *) ',' 29th అత్యంత వృద్ధ ఆటగాడు వంద (31y 151d) స్కోర్ ',' కెరీర్ లో 25 వ అత్యంత అర్ధ (18) ',' వరుస ఇన్నింగ్స్లో 28 యాభైల్లో (3) ',' 4 వ ఏ వికెట్కు (175) కోసం సగటు (అర్హత లేకుండా) (4.00) ',' 49 "&amp;"వ అత్యధిక భాగస్వామ్యాలు బౌలింగ్ ఉత్తమ కెరీర్లో ' 'తొలి వికెట్కు 17 అత్యధిక భాగస్వామ్యం (175)', 'రెండవ వికెట్కు 28 అత్యధిక భాగస్వామ్యం (157)', 'మూడో వికెట్ (129) కోసం 34 వ అత్యధిక భాగస్వామ్యం']")</f>
        <v>[ '32 వ కెరీర్ లో అత్యధిక పరుగులు (2267)', '18 వ ఒక క్యాలెండర్ సంవత్సరంలో అత్యధిక పరుగులు (653)', '11 వ పరాజయం వైపు ఒక మ్యాచ్లో అత్యధిక పరుగులు (106)', '39 వ అత్యధిక కెరీర్ బ్యాటింగ్ సగటు (34.87) ',' 19 ఒక వృత్తిలో అత్యధిక వందలు (3) ',' ఒక క్యాలెండర్ సంవత్సరంలో 5 వ అత్యధిక వందలు (2) ',' 45 వ అత్యధిక తొలి వంద (109 *) ',' 29th అత్యంత వృద్ధ ఆటగాడు వంద (31y 151d) స్కోర్ ',' కెరీర్ లో 25 వ అత్యంత అర్ధ (18) ',' వరుస ఇన్నింగ్స్లో 28 యాభైల్లో (3) ',' 4 వ ఏ వికెట్కు (175) కోసం సగటు (అర్హత లేకుండా) (4.00) ',' 49 వ అత్యధిక భాగస్వామ్యాలు బౌలింగ్ ఉత్తమ కెరీర్లో ' 'తొలి వికెట్కు 17 అత్యధిక భాగస్వామ్యం (175)', 'రెండవ వికెట్కు 28 అత్యధిక భాగస్వామ్యం (157)', 'మూడో వికెట్ (129) కోసం 34 వ అత్యధిక భాగస్వామ్యం']</v>
      </c>
      <c r="G5597" s="2" t="s">
        <v>3618</v>
      </c>
      <c r="H5597" s="2" t="str">
        <f>IFERROR(__xludf.DUMMYFUNCTION("IF(G5597&lt;&gt;"""", GOOGLETRANSLATE(G5597, ""en"", ""te""),"""")"),"[ '16 వ అత్యధిక కెరీర్ బ్యాటింగ్ సగటు (27.65)', '26th కెరీర్ అర్ధ (4)', 'ఒక డక్ లేకుండా 49 వ వరుస ఇన్నింగ్స్ (26 *)', 'కెరీర్లో 43 వ అతి తక్కువ బాతులు (15.5)', '29th ఏ వికెట్కు అత్యధిక భాగస్వామ్యాల (130) ',' మొదటి వికెట్కు 14 అత్యధిక భాగస్వామ్యం (130) ','"&amp;" ఏడవ వికెట్కు 29 అత్యధిక భాగస్వామ్యం (37) ']")</f>
        <v>[ '16 వ అత్యధిక కెరీర్ బ్యాటింగ్ సగటు (27.65)', '26th కెరీర్ అర్ధ (4)', 'ఒక డక్ లేకుండా 49 వ వరుస ఇన్నింగ్స్ (26 *)', 'కెరీర్లో 43 వ అతి తక్కువ బాతులు (15.5)', '29th ఏ వికెట్కు అత్యధిక భాగస్వామ్యాల (130) ',' మొదటి వికెట్కు 14 అత్యధిక భాగస్వామ్యం (130) ',' ఏడవ వికెట్కు 29 అత్యధిక భాగస్వామ్యం (37) ']</v>
      </c>
      <c r="I5597" s="3"/>
    </row>
    <row r="5598" customHeight="1" spans="1:9">
      <c r="A5598" s="2"/>
      <c r="B5598" s="2" t="str">
        <f>IFERROR(__xludf.DUMMYFUNCTION("IF(A5598&lt;&gt;"""", GOOGLETRANSLATE(A5598, ""en"", ""te""),"""")"),"")</f>
        <v/>
      </c>
      <c r="C5598" s="2"/>
      <c r="D5598" s="2" t="str">
        <f>IFERROR(__xludf.DUMMYFUNCTION("IF(C5598&lt;&gt;"""", GOOGLETRANSLATE(C5598, ""en"", ""te""),"""")"),"")</f>
        <v/>
      </c>
      <c r="E5598" s="2"/>
      <c r="F5598" s="2" t="str">
        <f>IFERROR(__xludf.DUMMYFUNCTION("IF(E5598&lt;&gt;"""", GOOGLETRANSLATE(E5598, ""en"", ""te""),"""")"),"")</f>
        <v/>
      </c>
      <c r="G5598" s="2"/>
      <c r="H5598" s="2" t="str">
        <f>IFERROR(__xludf.DUMMYFUNCTION("IF(G5598&lt;&gt;"""", GOOGLETRANSLATE(G5598, ""en"", ""te""),"""")"),"")</f>
        <v/>
      </c>
      <c r="I5598" s="3"/>
    </row>
    <row r="5599" customHeight="1" spans="1:9">
      <c r="A5599" s="2"/>
      <c r="B5599" s="2" t="str">
        <f>IFERROR(__xludf.DUMMYFUNCTION("IF(A5599&lt;&gt;"""", GOOGLETRANSLATE(A5599, ""en"", ""te""),"""")"),"")</f>
        <v/>
      </c>
      <c r="C5599" s="2"/>
      <c r="D5599" s="2" t="str">
        <f>IFERROR(__xludf.DUMMYFUNCTION("IF(C5599&lt;&gt;"""", GOOGLETRANSLATE(C5599, ""en"", ""te""),"""")"),"")</f>
        <v/>
      </c>
      <c r="E5599" s="2"/>
      <c r="F5599" s="2" t="str">
        <f>IFERROR(__xludf.DUMMYFUNCTION("IF(E5599&lt;&gt;"""", GOOGLETRANSLATE(E5599, ""en"", ""te""),"""")"),"")</f>
        <v/>
      </c>
      <c r="G5599" s="2"/>
      <c r="H5599" s="2" t="str">
        <f>IFERROR(__xludf.DUMMYFUNCTION("IF(G5599&lt;&gt;"""", GOOGLETRANSLATE(G5599, ""en"", ""te""),"""")"),"")</f>
        <v/>
      </c>
      <c r="I5599" s="3"/>
    </row>
    <row r="5600" customHeight="1" spans="1:9">
      <c r="A5600" s="2"/>
      <c r="B5600" s="2" t="str">
        <f>IFERROR(__xludf.DUMMYFUNCTION("IF(A5600&lt;&gt;"""", GOOGLETRANSLATE(A5600, ""en"", ""te""),"""")"),"")</f>
        <v/>
      </c>
      <c r="C5600" s="2"/>
      <c r="D5600" s="2" t="str">
        <f>IFERROR(__xludf.DUMMYFUNCTION("IF(C5600&lt;&gt;"""", GOOGLETRANSLATE(C5600, ""en"", ""te""),"""")"),"")</f>
        <v/>
      </c>
      <c r="E5600" s="2"/>
      <c r="F5600" s="2" t="str">
        <f>IFERROR(__xludf.DUMMYFUNCTION("IF(E5600&lt;&gt;"""", GOOGLETRANSLATE(E5600, ""en"", ""te""),"""")"),"")</f>
        <v/>
      </c>
      <c r="G5600" s="2"/>
      <c r="H5600" s="2" t="str">
        <f>IFERROR(__xludf.DUMMYFUNCTION("IF(G5600&lt;&gt;"""", GOOGLETRANSLATE(G5600, ""en"", ""te""),"""")"),"")</f>
        <v/>
      </c>
      <c r="I5600" s="3"/>
    </row>
    <row r="5601" customHeight="1" spans="1:9">
      <c r="A5601" s="2"/>
      <c r="B5601" s="2" t="str">
        <f>IFERROR(__xludf.DUMMYFUNCTION("IF(A5601&lt;&gt;"""", GOOGLETRANSLATE(A5601, ""en"", ""te""),"""")"),"")</f>
        <v/>
      </c>
      <c r="C5601" s="2"/>
      <c r="D5601" s="2" t="str">
        <f>IFERROR(__xludf.DUMMYFUNCTION("IF(C5601&lt;&gt;"""", GOOGLETRANSLATE(C5601, ""en"", ""te""),"""")"),"")</f>
        <v/>
      </c>
      <c r="E5601" s="2"/>
      <c r="F5601" s="2" t="str">
        <f>IFERROR(__xludf.DUMMYFUNCTION("IF(E5601&lt;&gt;"""", GOOGLETRANSLATE(E5601, ""en"", ""te""),"""")"),"")</f>
        <v/>
      </c>
      <c r="G5601" s="2"/>
      <c r="H5601" s="2" t="str">
        <f>IFERROR(__xludf.DUMMYFUNCTION("IF(G5601&lt;&gt;"""", GOOGLETRANSLATE(G5601, ""en"", ""te""),"""")"),"")</f>
        <v/>
      </c>
      <c r="I5601" s="3"/>
    </row>
    <row r="5602" customHeight="1" spans="1:9">
      <c r="A5602" s="2"/>
      <c r="B5602" s="2" t="str">
        <f>IFERROR(__xludf.DUMMYFUNCTION("IF(A5602&lt;&gt;"""", GOOGLETRANSLATE(A5602, ""en"", ""te""),"""")"),"")</f>
        <v/>
      </c>
      <c r="C5602" s="2"/>
      <c r="D5602" s="2" t="str">
        <f>IFERROR(__xludf.DUMMYFUNCTION("IF(C5602&lt;&gt;"""", GOOGLETRANSLATE(C5602, ""en"", ""te""),"""")"),"")</f>
        <v/>
      </c>
      <c r="E5602" s="2"/>
      <c r="F5602" s="2" t="str">
        <f>IFERROR(__xludf.DUMMYFUNCTION("IF(E5602&lt;&gt;"""", GOOGLETRANSLATE(E5602, ""en"", ""te""),"""")"),"")</f>
        <v/>
      </c>
      <c r="G5602" s="2"/>
      <c r="H5602" s="2" t="str">
        <f>IFERROR(__xludf.DUMMYFUNCTION("IF(G5602&lt;&gt;"""", GOOGLETRANSLATE(G5602, ""en"", ""te""),"""")"),"")</f>
        <v/>
      </c>
      <c r="I5602" s="3"/>
    </row>
    <row r="5603" customHeight="1" spans="1:9">
      <c r="A5603" s="2"/>
      <c r="B5603" s="2" t="str">
        <f>IFERROR(__xludf.DUMMYFUNCTION("IF(A5603&lt;&gt;"""", GOOGLETRANSLATE(A5603, ""en"", ""te""),"""")"),"")</f>
        <v/>
      </c>
      <c r="C5603" s="2"/>
      <c r="D5603" s="2" t="str">
        <f>IFERROR(__xludf.DUMMYFUNCTION("IF(C5603&lt;&gt;"""", GOOGLETRANSLATE(C5603, ""en"", ""te""),"""")"),"")</f>
        <v/>
      </c>
      <c r="E5603" s="2"/>
      <c r="F5603" s="2" t="str">
        <f>IFERROR(__xludf.DUMMYFUNCTION("IF(E5603&lt;&gt;"""", GOOGLETRANSLATE(E5603, ""en"", ""te""),"""")"),"")</f>
        <v/>
      </c>
      <c r="G5603" s="2"/>
      <c r="H5603" s="2" t="str">
        <f>IFERROR(__xludf.DUMMYFUNCTION("IF(G5603&lt;&gt;"""", GOOGLETRANSLATE(G5603, ""en"", ""te""),"""")"),"")</f>
        <v/>
      </c>
      <c r="I5603" s="3"/>
    </row>
    <row r="5604" customHeight="1" spans="1:9">
      <c r="A5604" s="2"/>
      <c r="B5604" s="2" t="str">
        <f>IFERROR(__xludf.DUMMYFUNCTION("IF(A5604&lt;&gt;"""", GOOGLETRANSLATE(A5604, ""en"", ""te""),"""")"),"")</f>
        <v/>
      </c>
      <c r="C5604" s="2"/>
      <c r="D5604" s="2" t="str">
        <f>IFERROR(__xludf.DUMMYFUNCTION("IF(C5604&lt;&gt;"""", GOOGLETRANSLATE(C5604, ""en"", ""te""),"""")"),"")</f>
        <v/>
      </c>
      <c r="E5604" s="2"/>
      <c r="F5604" s="2" t="str">
        <f>IFERROR(__xludf.DUMMYFUNCTION("IF(E5604&lt;&gt;"""", GOOGLETRANSLATE(E5604, ""en"", ""te""),"""")"),"")</f>
        <v/>
      </c>
      <c r="G5604" s="2"/>
      <c r="H5604" s="2" t="str">
        <f>IFERROR(__xludf.DUMMYFUNCTION("IF(G5604&lt;&gt;"""", GOOGLETRANSLATE(G5604, ""en"", ""te""),"""")"),"")</f>
        <v/>
      </c>
      <c r="I5604" s="3"/>
    </row>
    <row r="5605" customHeight="1" spans="1:9">
      <c r="A5605" s="2"/>
      <c r="B5605" s="2" t="str">
        <f>IFERROR(__xludf.DUMMYFUNCTION("IF(A5605&lt;&gt;"""", GOOGLETRANSLATE(A5605, ""en"", ""te""),"""")"),"")</f>
        <v/>
      </c>
      <c r="C5605" s="2"/>
      <c r="D5605" s="2" t="str">
        <f>IFERROR(__xludf.DUMMYFUNCTION("IF(C5605&lt;&gt;"""", GOOGLETRANSLATE(C5605, ""en"", ""te""),"""")"),"")</f>
        <v/>
      </c>
      <c r="E5605" s="2"/>
      <c r="F5605" s="2" t="str">
        <f>IFERROR(__xludf.DUMMYFUNCTION("IF(E5605&lt;&gt;"""", GOOGLETRANSLATE(E5605, ""en"", ""te""),"""")"),"")</f>
        <v/>
      </c>
      <c r="G5605" s="2"/>
      <c r="H5605" s="2" t="str">
        <f>IFERROR(__xludf.DUMMYFUNCTION("IF(G5605&lt;&gt;"""", GOOGLETRANSLATE(G5605, ""en"", ""te""),"""")"),"")</f>
        <v/>
      </c>
      <c r="I5605" s="3"/>
    </row>
    <row r="5606" customHeight="1" spans="1:9">
      <c r="A5606" s="2"/>
      <c r="B5606" s="2" t="str">
        <f>IFERROR(__xludf.DUMMYFUNCTION("IF(A5606&lt;&gt;"""", GOOGLETRANSLATE(A5606, ""en"", ""te""),"""")"),"")</f>
        <v/>
      </c>
      <c r="C5606" s="2"/>
      <c r="D5606" s="2" t="str">
        <f>IFERROR(__xludf.DUMMYFUNCTION("IF(C5606&lt;&gt;"""", GOOGLETRANSLATE(C5606, ""en"", ""te""),"""")"),"")</f>
        <v/>
      </c>
      <c r="E5606" s="2" t="s">
        <v>3619</v>
      </c>
      <c r="F5606" s="2" t="str">
        <f>IFERROR(__xludf.DUMMYFUNCTION("IF(E5606&lt;&gt;"""", GOOGLETRANSLATE(E5606, ""en"", ""te""),"""")"),"[ 'రెండవ వికెట్ (143) కోసం 40 వ అత్యధిక భాగస్వామ్యం']")</f>
        <v>[ 'రెండవ వికెట్ (143) కోసం 40 వ అత్యధిక భాగస్వామ్యం']</v>
      </c>
      <c r="G5606" s="2"/>
      <c r="H5606" s="2" t="str">
        <f>IFERROR(__xludf.DUMMYFUNCTION("IF(G5606&lt;&gt;"""", GOOGLETRANSLATE(G5606, ""en"", ""te""),"""")"),"")</f>
        <v/>
      </c>
      <c r="I5606" s="3"/>
    </row>
    <row r="5607" customHeight="1" spans="1:9">
      <c r="A5607" s="2"/>
      <c r="B5607" s="2" t="str">
        <f>IFERROR(__xludf.DUMMYFUNCTION("IF(A5607&lt;&gt;"""", GOOGLETRANSLATE(A5607, ""en"", ""te""),"""")"),"")</f>
        <v/>
      </c>
      <c r="C5607" s="2"/>
      <c r="D5607" s="2" t="str">
        <f>IFERROR(__xludf.DUMMYFUNCTION("IF(C5607&lt;&gt;"""", GOOGLETRANSLATE(C5607, ""en"", ""te""),"""")"),"")</f>
        <v/>
      </c>
      <c r="E5607" s="2"/>
      <c r="F5607" s="2" t="str">
        <f>IFERROR(__xludf.DUMMYFUNCTION("IF(E5607&lt;&gt;"""", GOOGLETRANSLATE(E5607, ""en"", ""te""),"""")"),"")</f>
        <v/>
      </c>
      <c r="G5607" s="2"/>
      <c r="H5607" s="2" t="str">
        <f>IFERROR(__xludf.DUMMYFUNCTION("IF(G5607&lt;&gt;"""", GOOGLETRANSLATE(G5607, ""en"", ""te""),"""")"),"")</f>
        <v/>
      </c>
      <c r="I5607" s="3"/>
    </row>
    <row r="5608" customHeight="1" spans="1:9">
      <c r="A5608" s="2" t="s">
        <v>3620</v>
      </c>
      <c r="B5608" s="2" t="str">
        <f>IFERROR(__xludf.DUMMYFUNCTION("IF(A5608&lt;&gt;"""", GOOGLETRANSLATE(A5608, ""en"", ""te""),"""")"),"[ '9 వ అత్యధిక కెరీర్ బ్యాటింగ్ సగటు (29.38)']")</f>
        <v>[ '9 వ అత్యధిక కెరీర్ బ్యాటింగ్ సగటు (29.38)']</v>
      </c>
      <c r="C5608" s="2"/>
      <c r="D5608" s="2" t="str">
        <f>IFERROR(__xludf.DUMMYFUNCTION("IF(C5608&lt;&gt;"""", GOOGLETRANSLATE(C5608, ""en"", ""te""),"""")"),"")</f>
        <v/>
      </c>
      <c r="E5608" s="2"/>
      <c r="F5608" s="2" t="str">
        <f>IFERROR(__xludf.DUMMYFUNCTION("IF(E5608&lt;&gt;"""", GOOGLETRANSLATE(E5608, ""en"", ""te""),"""")"),"")</f>
        <v/>
      </c>
      <c r="G5608" s="2" t="s">
        <v>3621</v>
      </c>
      <c r="H5608" s="2" t="str">
        <f>IFERROR(__xludf.DUMMYFUNCTION("IF(G5608&lt;&gt;"""", GOOGLETRANSLATE(G5608, ""en"", ""te""),"""")"),"[ '9 వ అత్యధిక కెరీర్ బ్యాటింగ్ సగటు (29.38)', '34 వ కెరీర్ అర్ధ (3)', '20 వ అత్యధిక భాగస్వామ్యాలు ఏ వికెట్కు (143)', 'తొలి వికెట్కు (143) కోసం 12 వ అత్యధిక భాగస్వామ్యం']")</f>
        <v>[ '9 వ అత్యధిక కెరీర్ బ్యాటింగ్ సగటు (29.38)', '34 వ కెరీర్ అర్ధ (3)', '20 వ అత్యధిక భాగస్వామ్యాలు ఏ వికెట్కు (143)', 'తొలి వికెట్కు (143) కోసం 12 వ అత్యధిక భాగస్వామ్యం']</v>
      </c>
      <c r="I5608" s="3"/>
    </row>
    <row r="5609" customHeight="1" spans="1:9">
      <c r="A5609" s="2"/>
      <c r="B5609" s="2" t="str">
        <f>IFERROR(__xludf.DUMMYFUNCTION("IF(A5609&lt;&gt;"""", GOOGLETRANSLATE(A5609, ""en"", ""te""),"""")"),"")</f>
        <v/>
      </c>
      <c r="C5609" s="2"/>
      <c r="D5609" s="2" t="str">
        <f>IFERROR(__xludf.DUMMYFUNCTION("IF(C5609&lt;&gt;"""", GOOGLETRANSLATE(C5609, ""en"", ""te""),"""")"),"")</f>
        <v/>
      </c>
      <c r="E5609" s="2"/>
      <c r="F5609" s="2" t="str">
        <f>IFERROR(__xludf.DUMMYFUNCTION("IF(E5609&lt;&gt;"""", GOOGLETRANSLATE(E5609, ""en"", ""te""),"""")"),"")</f>
        <v/>
      </c>
      <c r="G5609" s="2"/>
      <c r="H5609" s="2" t="str">
        <f>IFERROR(__xludf.DUMMYFUNCTION("IF(G5609&lt;&gt;"""", GOOGLETRANSLATE(G5609, ""en"", ""te""),"""")"),"")</f>
        <v/>
      </c>
      <c r="I5609" s="3"/>
    </row>
    <row r="5610" customHeight="1" spans="1:9">
      <c r="A5610" s="2"/>
      <c r="B5610" s="2" t="str">
        <f>IFERROR(__xludf.DUMMYFUNCTION("IF(A5610&lt;&gt;"""", GOOGLETRANSLATE(A5610, ""en"", ""te""),"""")"),"")</f>
        <v/>
      </c>
      <c r="C5610" s="2"/>
      <c r="D5610" s="2" t="str">
        <f>IFERROR(__xludf.DUMMYFUNCTION("IF(C5610&lt;&gt;"""", GOOGLETRANSLATE(C5610, ""en"", ""te""),"""")"),"")</f>
        <v/>
      </c>
      <c r="E5610" s="2"/>
      <c r="F5610" s="2" t="str">
        <f>IFERROR(__xludf.DUMMYFUNCTION("IF(E5610&lt;&gt;"""", GOOGLETRANSLATE(E5610, ""en"", ""te""),"""")"),"")</f>
        <v/>
      </c>
      <c r="G5610" s="2"/>
      <c r="H5610" s="2" t="str">
        <f>IFERROR(__xludf.DUMMYFUNCTION("IF(G5610&lt;&gt;"""", GOOGLETRANSLATE(G5610, ""en"", ""te""),"""")"),"")</f>
        <v/>
      </c>
      <c r="I5610" s="3"/>
    </row>
    <row r="5611" customHeight="1" spans="1:9">
      <c r="A5611" s="2"/>
      <c r="B5611" s="2" t="str">
        <f>IFERROR(__xludf.DUMMYFUNCTION("IF(A5611&lt;&gt;"""", GOOGLETRANSLATE(A5611, ""en"", ""te""),"""")"),"")</f>
        <v/>
      </c>
      <c r="C5611" s="2"/>
      <c r="D5611" s="2" t="str">
        <f>IFERROR(__xludf.DUMMYFUNCTION("IF(C5611&lt;&gt;"""", GOOGLETRANSLATE(C5611, ""en"", ""te""),"""")"),"")</f>
        <v/>
      </c>
      <c r="E5611" s="2"/>
      <c r="F5611" s="2" t="str">
        <f>IFERROR(__xludf.DUMMYFUNCTION("IF(E5611&lt;&gt;"""", GOOGLETRANSLATE(E5611, ""en"", ""te""),"""")"),"")</f>
        <v/>
      </c>
      <c r="G5611" s="2"/>
      <c r="H5611" s="2" t="str">
        <f>IFERROR(__xludf.DUMMYFUNCTION("IF(G5611&lt;&gt;"""", GOOGLETRANSLATE(G5611, ""en"", ""te""),"""")"),"")</f>
        <v/>
      </c>
      <c r="I5611" s="3"/>
    </row>
    <row r="5612" customHeight="1" spans="1:9">
      <c r="A5612" s="2"/>
      <c r="B5612" s="2" t="str">
        <f>IFERROR(__xludf.DUMMYFUNCTION("IF(A5612&lt;&gt;"""", GOOGLETRANSLATE(A5612, ""en"", ""te""),"""")"),"")</f>
        <v/>
      </c>
      <c r="C5612" s="2"/>
      <c r="D5612" s="2" t="str">
        <f>IFERROR(__xludf.DUMMYFUNCTION("IF(C5612&lt;&gt;"""", GOOGLETRANSLATE(C5612, ""en"", ""te""),"""")"),"")</f>
        <v/>
      </c>
      <c r="E5612" s="2"/>
      <c r="F5612" s="2" t="str">
        <f>IFERROR(__xludf.DUMMYFUNCTION("IF(E5612&lt;&gt;"""", GOOGLETRANSLATE(E5612, ""en"", ""te""),"""")"),"")</f>
        <v/>
      </c>
      <c r="G5612" s="2"/>
      <c r="H5612" s="2" t="str">
        <f>IFERROR(__xludf.DUMMYFUNCTION("IF(G5612&lt;&gt;"""", GOOGLETRANSLATE(G5612, ""en"", ""te""),"""")"),"")</f>
        <v/>
      </c>
      <c r="I5612" s="3"/>
    </row>
    <row r="5613" customHeight="1" spans="1:9">
      <c r="A5613" s="2"/>
      <c r="B5613" s="2" t="str">
        <f>IFERROR(__xludf.DUMMYFUNCTION("IF(A5613&lt;&gt;"""", GOOGLETRANSLATE(A5613, ""en"", ""te""),"""")"),"")</f>
        <v/>
      </c>
      <c r="C5613" s="2"/>
      <c r="D5613" s="2" t="str">
        <f>IFERROR(__xludf.DUMMYFUNCTION("IF(C5613&lt;&gt;"""", GOOGLETRANSLATE(C5613, ""en"", ""te""),"""")"),"")</f>
        <v/>
      </c>
      <c r="E5613" s="2"/>
      <c r="F5613" s="2" t="str">
        <f>IFERROR(__xludf.DUMMYFUNCTION("IF(E5613&lt;&gt;"""", GOOGLETRANSLATE(E5613, ""en"", ""te""),"""")"),"")</f>
        <v/>
      </c>
      <c r="G5613" s="2"/>
      <c r="H5613" s="2" t="str">
        <f>IFERROR(__xludf.DUMMYFUNCTION("IF(G5613&lt;&gt;"""", GOOGLETRANSLATE(G5613, ""en"", ""te""),"""")"),"")</f>
        <v/>
      </c>
      <c r="I5613" s="3"/>
    </row>
    <row r="5614" customHeight="1" spans="1:9">
      <c r="A5614" s="2"/>
      <c r="B5614" s="2" t="str">
        <f>IFERROR(__xludf.DUMMYFUNCTION("IF(A5614&lt;&gt;"""", GOOGLETRANSLATE(A5614, ""en"", ""te""),"""")"),"")</f>
        <v/>
      </c>
      <c r="C5614" s="2"/>
      <c r="D5614" s="2" t="str">
        <f>IFERROR(__xludf.DUMMYFUNCTION("IF(C5614&lt;&gt;"""", GOOGLETRANSLATE(C5614, ""en"", ""te""),"""")"),"")</f>
        <v/>
      </c>
      <c r="E5614" s="2"/>
      <c r="F5614" s="2" t="str">
        <f>IFERROR(__xludf.DUMMYFUNCTION("IF(E5614&lt;&gt;"""", GOOGLETRANSLATE(E5614, ""en"", ""te""),"""")"),"")</f>
        <v/>
      </c>
      <c r="G5614" s="2"/>
      <c r="H5614" s="2" t="str">
        <f>IFERROR(__xludf.DUMMYFUNCTION("IF(G5614&lt;&gt;"""", GOOGLETRANSLATE(G5614, ""en"", ""te""),"""")"),"")</f>
        <v/>
      </c>
      <c r="I5614" s="3"/>
    </row>
    <row r="5615" customHeight="1" spans="1:9">
      <c r="A5615" s="2"/>
      <c r="B5615" s="2" t="str">
        <f>IFERROR(__xludf.DUMMYFUNCTION("IF(A5615&lt;&gt;"""", GOOGLETRANSLATE(A5615, ""en"", ""te""),"""")"),"")</f>
        <v/>
      </c>
      <c r="C5615" s="2"/>
      <c r="D5615" s="2" t="str">
        <f>IFERROR(__xludf.DUMMYFUNCTION("IF(C5615&lt;&gt;"""", GOOGLETRANSLATE(C5615, ""en"", ""te""),"""")"),"")</f>
        <v/>
      </c>
      <c r="E5615" s="2"/>
      <c r="F5615" s="2" t="str">
        <f>IFERROR(__xludf.DUMMYFUNCTION("IF(E5615&lt;&gt;"""", GOOGLETRANSLATE(E5615, ""en"", ""te""),"""")"),"")</f>
        <v/>
      </c>
      <c r="G5615" s="2"/>
      <c r="H5615" s="2" t="str">
        <f>IFERROR(__xludf.DUMMYFUNCTION("IF(G5615&lt;&gt;"""", GOOGLETRANSLATE(G5615, ""en"", ""te""),"""")"),"")</f>
        <v/>
      </c>
      <c r="I5615" s="3"/>
    </row>
    <row r="5616" customHeight="1" spans="1:9">
      <c r="A5616" s="2"/>
      <c r="B5616" s="2" t="str">
        <f>IFERROR(__xludf.DUMMYFUNCTION("IF(A5616&lt;&gt;"""", GOOGLETRANSLATE(A5616, ""en"", ""te""),"""")"),"")</f>
        <v/>
      </c>
      <c r="C5616" s="2"/>
      <c r="D5616" s="2" t="str">
        <f>IFERROR(__xludf.DUMMYFUNCTION("IF(C5616&lt;&gt;"""", GOOGLETRANSLATE(C5616, ""en"", ""te""),"""")"),"")</f>
        <v/>
      </c>
      <c r="E5616" s="2"/>
      <c r="F5616" s="2" t="str">
        <f>IFERROR(__xludf.DUMMYFUNCTION("IF(E5616&lt;&gt;"""", GOOGLETRANSLATE(E5616, ""en"", ""te""),"""")"),"")</f>
        <v/>
      </c>
      <c r="G5616" s="2"/>
      <c r="H5616" s="2" t="str">
        <f>IFERROR(__xludf.DUMMYFUNCTION("IF(G5616&lt;&gt;"""", GOOGLETRANSLATE(G5616, ""en"", ""te""),"""")"),"")</f>
        <v/>
      </c>
      <c r="I5616" s="3"/>
    </row>
    <row r="5617" customHeight="1" spans="1:9">
      <c r="A5617" s="2"/>
      <c r="B5617" s="2" t="str">
        <f>IFERROR(__xludf.DUMMYFUNCTION("IF(A5617&lt;&gt;"""", GOOGLETRANSLATE(A5617, ""en"", ""te""),"""")"),"")</f>
        <v/>
      </c>
      <c r="C5617" s="2"/>
      <c r="D5617" s="2" t="str">
        <f>IFERROR(__xludf.DUMMYFUNCTION("IF(C5617&lt;&gt;"""", GOOGLETRANSLATE(C5617, ""en"", ""te""),"""")"),"")</f>
        <v/>
      </c>
      <c r="E5617" s="2"/>
      <c r="F5617" s="2" t="str">
        <f>IFERROR(__xludf.DUMMYFUNCTION("IF(E5617&lt;&gt;"""", GOOGLETRANSLATE(E5617, ""en"", ""te""),"""")"),"")</f>
        <v/>
      </c>
      <c r="G5617" s="2"/>
      <c r="H5617" s="2" t="str">
        <f>IFERROR(__xludf.DUMMYFUNCTION("IF(G5617&lt;&gt;"""", GOOGLETRANSLATE(G5617, ""en"", ""te""),"""")"),"")</f>
        <v/>
      </c>
      <c r="I5617" s="3"/>
    </row>
    <row r="5618" customHeight="1" spans="1:9">
      <c r="A5618" s="2"/>
      <c r="B5618" s="2" t="str">
        <f>IFERROR(__xludf.DUMMYFUNCTION("IF(A5618&lt;&gt;"""", GOOGLETRANSLATE(A5618, ""en"", ""te""),"""")"),"")</f>
        <v/>
      </c>
      <c r="C5618" s="2"/>
      <c r="D5618" s="2" t="str">
        <f>IFERROR(__xludf.DUMMYFUNCTION("IF(C5618&lt;&gt;"""", GOOGLETRANSLATE(C5618, ""en"", ""te""),"""")"),"")</f>
        <v/>
      </c>
      <c r="E5618" s="2"/>
      <c r="F5618" s="2" t="str">
        <f>IFERROR(__xludf.DUMMYFUNCTION("IF(E5618&lt;&gt;"""", GOOGLETRANSLATE(E5618, ""en"", ""te""),"""")"),"")</f>
        <v/>
      </c>
      <c r="G5618" s="2"/>
      <c r="H5618" s="2" t="str">
        <f>IFERROR(__xludf.DUMMYFUNCTION("IF(G5618&lt;&gt;"""", GOOGLETRANSLATE(G5618, ""en"", ""te""),"""")"),"")</f>
        <v/>
      </c>
      <c r="I5618" s="3"/>
    </row>
    <row r="5619" customHeight="1" spans="1:9">
      <c r="A5619" s="2" t="s">
        <v>1574</v>
      </c>
      <c r="B5619" s="2" t="str">
        <f>IFERROR(__xludf.DUMMYFUNCTION("IF(A5619&lt;&gt;"""", GOOGLETRANSLATE(A5619, ""en"", ""te""),"""")"),"[ 'తొలి ఇన్నింగ్స్లో 4 వ ఉత్తమ బొమ్మలు (4)']")</f>
        <v>[ 'తొలి ఇన్నింగ్స్లో 4 వ ఉత్తమ బొమ్మలు (4)']</v>
      </c>
      <c r="C5619" s="2"/>
      <c r="D5619" s="2" t="str">
        <f>IFERROR(__xludf.DUMMYFUNCTION("IF(C5619&lt;&gt;"""", GOOGLETRANSLATE(C5619, ""en"", ""te""),"""")"),"")</f>
        <v/>
      </c>
      <c r="E5619" s="2"/>
      <c r="F5619" s="2" t="str">
        <f>IFERROR(__xludf.DUMMYFUNCTION("IF(E5619&lt;&gt;"""", GOOGLETRANSLATE(E5619, ""en"", ""te""),"""")"),"")</f>
        <v/>
      </c>
      <c r="G5619" s="2" t="s">
        <v>3622</v>
      </c>
      <c r="H5619" s="2" t="str">
        <f>IFERROR(__xludf.DUMMYFUNCTION("IF(G5619&lt;&gt;"""", GOOGLETRANSLATE(G5619, ""en"", ""te""),"""")"),"[ '15 వ అత్యుత్తమ ఇన్నింగ్స్ లో విశ్లేషణలు బౌలింగ్ (4/10)', '28th ఉత్తమ కెరీర్ బౌలింగ్ సరాసరి (అర్హత లేకుండా) (6.83)', 'ప్రవేశం (4) ఒక ఇన్నింగ్స్ లో 4 వ బెస్ట్ ఫిగర్స్']")</f>
        <v>[ '15 వ అత్యుత్తమ ఇన్నింగ్స్ లో విశ్లేషణలు బౌలింగ్ (4/10)', '28th ఉత్తమ కెరీర్ బౌలింగ్ సరాసరి (అర్హత లేకుండా) (6.83)', 'ప్రవేశం (4) ఒక ఇన్నింగ్స్ లో 4 వ బెస్ట్ ఫిగర్స్']</v>
      </c>
      <c r="I5619" s="3"/>
    </row>
    <row r="5620" customHeight="1" spans="1:9">
      <c r="A5620" s="2"/>
      <c r="B5620" s="2" t="str">
        <f>IFERROR(__xludf.DUMMYFUNCTION("IF(A5620&lt;&gt;"""", GOOGLETRANSLATE(A5620, ""en"", ""te""),"""")"),"")</f>
        <v/>
      </c>
      <c r="C5620" s="2"/>
      <c r="D5620" s="2" t="str">
        <f>IFERROR(__xludf.DUMMYFUNCTION("IF(C5620&lt;&gt;"""", GOOGLETRANSLATE(C5620, ""en"", ""te""),"""")"),"")</f>
        <v/>
      </c>
      <c r="E5620" s="2"/>
      <c r="F5620" s="2" t="str">
        <f>IFERROR(__xludf.DUMMYFUNCTION("IF(E5620&lt;&gt;"""", GOOGLETRANSLATE(E5620, ""en"", ""te""),"""")"),"")</f>
        <v/>
      </c>
      <c r="G5620" s="2"/>
      <c r="H5620" s="2" t="str">
        <f>IFERROR(__xludf.DUMMYFUNCTION("IF(G5620&lt;&gt;"""", GOOGLETRANSLATE(G5620, ""en"", ""te""),"""")"),"")</f>
        <v/>
      </c>
      <c r="I5620" s="3"/>
    </row>
    <row r="5621" customHeight="1" spans="1:9">
      <c r="A5621" s="2"/>
      <c r="B5621" s="2" t="str">
        <f>IFERROR(__xludf.DUMMYFUNCTION("IF(A5621&lt;&gt;"""", GOOGLETRANSLATE(A5621, ""en"", ""te""),"""")"),"")</f>
        <v/>
      </c>
      <c r="C5621" s="2"/>
      <c r="D5621" s="2" t="str">
        <f>IFERROR(__xludf.DUMMYFUNCTION("IF(C5621&lt;&gt;"""", GOOGLETRANSLATE(C5621, ""en"", ""te""),"""")"),"")</f>
        <v/>
      </c>
      <c r="E5621" s="2"/>
      <c r="F5621" s="2" t="str">
        <f>IFERROR(__xludf.DUMMYFUNCTION("IF(E5621&lt;&gt;"""", GOOGLETRANSLATE(E5621, ""en"", ""te""),"""")"),"")</f>
        <v/>
      </c>
      <c r="G5621" s="2"/>
      <c r="H5621" s="2" t="str">
        <f>IFERROR(__xludf.DUMMYFUNCTION("IF(G5621&lt;&gt;"""", GOOGLETRANSLATE(G5621, ""en"", ""te""),"""")"),"")</f>
        <v/>
      </c>
      <c r="I5621" s="3"/>
    </row>
    <row r="5622" customHeight="1" spans="1:9">
      <c r="A5622" s="2" t="s">
        <v>3623</v>
      </c>
      <c r="B5622" s="2" t="str">
        <f>IFERROR(__xludf.DUMMYFUNCTION("IF(A5622&lt;&gt;"""", GOOGLETRANSLATE(A5622, ""en"", ""te""),"""")"),"[ '10 వ అత్యంత వృద్ధ ఆటగాడు ఐదు వికెట్ల లో-ఒక-ఇన్నింగ్స్ తీసుకోవాలని (35y 254d)']")</f>
        <v>[ '10 వ అత్యంత వృద్ధ ఆటగాడు ఐదు వికెట్ల లో-ఒక-ఇన్నింగ్స్ తీసుకోవాలని (35y 254d)']</v>
      </c>
      <c r="C5622" s="2"/>
      <c r="D5622" s="2" t="str">
        <f>IFERROR(__xludf.DUMMYFUNCTION("IF(C5622&lt;&gt;"""", GOOGLETRANSLATE(C5622, ""en"", ""te""),"""")"),"")</f>
        <v/>
      </c>
      <c r="E5622" s="2" t="s">
        <v>3624</v>
      </c>
      <c r="F5622" s="2" t="str">
        <f>IFERROR(__xludf.DUMMYFUNCTION("IF(E5622&lt;&gt;"""", GOOGLETRANSLATE(E5622, ""en"", ""te""),"""")"),"[ '21 వ అత్యంత వృద్ధ ఆటగాడు తొలి శతకాలను సాధించిన (33y 343d)', 'ఇన్నింగ్స్ లో 12 వ ఉత్తమ సమ్మె రేటు (6.0)', '43 వ అత్యంత ఐదు-వికెట్ల లో-ఒక-ఇన్నింగ్స్ కెరీర్లో (2)', ' 10 వ అత్యంత వృద్ధ ఆటగాడు (35y 254d) కన్య తీసుకుని ఐదు-వికెట్ల లో-ఒక-ఇన్నింగ్స్ తీసుకోవాల"&amp;"ని ',' 11 వ అత్యంత వృద్ధ ఆటగాడు ఐదు వికెట్ల లో-ఒక-ఇన్నింగ్స్ (34y 99d) ',' (ప్రదర్శనల మధ్య 21 వ లాంగెస్ట్ వ్యవధిలో 7y 230d) ',' 26 వరుస మ్యాచ్లు (ప్రదర్శనల మధ్య ఒక జట్టు 146 దూరమయ్యాడు) ']")</f>
        <v>[ '21 వ అత్యంత వృద్ధ ఆటగాడు తొలి శతకాలను సాధించిన (33y 343d)', 'ఇన్నింగ్స్ లో 12 వ ఉత్తమ సమ్మె రేటు (6.0)', '43 వ అత్యంత ఐదు-వికెట్ల లో-ఒక-ఇన్నింగ్స్ కెరీర్లో (2)', ' 10 వ అత్యంత వృద్ధ ఆటగాడు (35y 254d) కన్య తీసుకుని ఐదు-వికెట్ల లో-ఒక-ఇన్నింగ్స్ తీసుకోవాలని ',' 11 వ అత్యంత వృద్ధ ఆటగాడు ఐదు వికెట్ల లో-ఒక-ఇన్నింగ్స్ (34y 99d) ',' (ప్రదర్శనల మధ్య 21 వ లాంగెస్ట్ వ్యవధిలో 7y 230d) ',' 26 వరుస మ్యాచ్లు (ప్రదర్శనల మధ్య ఒక జట్టు 146 దూరమయ్యాడు) ']</v>
      </c>
      <c r="G5622" s="2"/>
      <c r="H5622" s="2" t="str">
        <f>IFERROR(__xludf.DUMMYFUNCTION("IF(G5622&lt;&gt;"""", GOOGLETRANSLATE(G5622, ""en"", ""te""),"""")"),"")</f>
        <v/>
      </c>
      <c r="I5622" s="3"/>
    </row>
    <row r="5623" customHeight="1" spans="1:9">
      <c r="A5623" s="2"/>
      <c r="B5623" s="2" t="str">
        <f>IFERROR(__xludf.DUMMYFUNCTION("IF(A5623&lt;&gt;"""", GOOGLETRANSLATE(A5623, ""en"", ""te""),"""")"),"")</f>
        <v/>
      </c>
      <c r="C5623" s="2"/>
      <c r="D5623" s="2" t="str">
        <f>IFERROR(__xludf.DUMMYFUNCTION("IF(C5623&lt;&gt;"""", GOOGLETRANSLATE(C5623, ""en"", ""te""),"""")"),"")</f>
        <v/>
      </c>
      <c r="E5623" s="2"/>
      <c r="F5623" s="2" t="str">
        <f>IFERROR(__xludf.DUMMYFUNCTION("IF(E5623&lt;&gt;"""", GOOGLETRANSLATE(E5623, ""en"", ""te""),"""")"),"")</f>
        <v/>
      </c>
      <c r="G5623" s="2"/>
      <c r="H5623" s="2" t="str">
        <f>IFERROR(__xludf.DUMMYFUNCTION("IF(G5623&lt;&gt;"""", GOOGLETRANSLATE(G5623, ""en"", ""te""),"""")"),"")</f>
        <v/>
      </c>
      <c r="I5623" s="3"/>
    </row>
    <row r="5624" customHeight="1" spans="1:9">
      <c r="A5624" s="2"/>
      <c r="B5624" s="2" t="str">
        <f>IFERROR(__xludf.DUMMYFUNCTION("IF(A5624&lt;&gt;"""", GOOGLETRANSLATE(A5624, ""en"", ""te""),"""")"),"")</f>
        <v/>
      </c>
      <c r="C5624" s="2"/>
      <c r="D5624" s="2" t="str">
        <f>IFERROR(__xludf.DUMMYFUNCTION("IF(C5624&lt;&gt;"""", GOOGLETRANSLATE(C5624, ""en"", ""te""),"""")"),"")</f>
        <v/>
      </c>
      <c r="E5624" s="2"/>
      <c r="F5624" s="2" t="str">
        <f>IFERROR(__xludf.DUMMYFUNCTION("IF(E5624&lt;&gt;"""", GOOGLETRANSLATE(E5624, ""en"", ""te""),"""")"),"")</f>
        <v/>
      </c>
      <c r="G5624" s="2"/>
      <c r="H5624" s="2" t="str">
        <f>IFERROR(__xludf.DUMMYFUNCTION("IF(G5624&lt;&gt;"""", GOOGLETRANSLATE(G5624, ""en"", ""te""),"""")"),"")</f>
        <v/>
      </c>
      <c r="I5624" s="3"/>
    </row>
    <row r="5625" customHeight="1" spans="1:9">
      <c r="A5625" s="2"/>
      <c r="B5625" s="2" t="str">
        <f>IFERROR(__xludf.DUMMYFUNCTION("IF(A5625&lt;&gt;"""", GOOGLETRANSLATE(A5625, ""en"", ""te""),"""")"),"")</f>
        <v/>
      </c>
      <c r="C5625" s="2"/>
      <c r="D5625" s="2" t="str">
        <f>IFERROR(__xludf.DUMMYFUNCTION("IF(C5625&lt;&gt;"""", GOOGLETRANSLATE(C5625, ""en"", ""te""),"""")"),"")</f>
        <v/>
      </c>
      <c r="E5625" s="2"/>
      <c r="F5625" s="2" t="str">
        <f>IFERROR(__xludf.DUMMYFUNCTION("IF(E5625&lt;&gt;"""", GOOGLETRANSLATE(E5625, ""en"", ""te""),"""")"),"")</f>
        <v/>
      </c>
      <c r="G5625" s="2"/>
      <c r="H5625" s="2" t="str">
        <f>IFERROR(__xludf.DUMMYFUNCTION("IF(G5625&lt;&gt;"""", GOOGLETRANSLATE(G5625, ""en"", ""te""),"""")"),"")</f>
        <v/>
      </c>
      <c r="I5625" s="3"/>
    </row>
    <row r="5626" customHeight="1" spans="1:9">
      <c r="A5626" s="2" t="s">
        <v>3625</v>
      </c>
      <c r="B5626" s="2" t="str">
        <f>IFERROR(__xludf.DUMMYFUNCTION("IF(A5626&lt;&gt;"""", GOOGLETRANSLATE(A5626, ""en"", ""te""),"""")"),"[ '4 వ వరుస మ్యాచ్లు ప్రదర్శనల మధ్య (73) జట్టు తప్పిన']")</f>
        <v>[ '4 వ వరుస మ్యాచ్లు ప్రదర్శనల మధ్య (73) జట్టు తప్పిన']</v>
      </c>
      <c r="C5626" s="2"/>
      <c r="D5626" s="2" t="str">
        <f>IFERROR(__xludf.DUMMYFUNCTION("IF(C5626&lt;&gt;"""", GOOGLETRANSLATE(C5626, ""en"", ""te""),"""")"),"")</f>
        <v/>
      </c>
      <c r="E5626" s="2"/>
      <c r="F5626" s="2" t="str">
        <f>IFERROR(__xludf.DUMMYFUNCTION("IF(E5626&lt;&gt;"""", GOOGLETRANSLATE(E5626, ""en"", ""te""),"""")"),"")</f>
        <v/>
      </c>
      <c r="G5626" s="2" t="s">
        <v>3625</v>
      </c>
      <c r="H5626" s="2" t="str">
        <f>IFERROR(__xludf.DUMMYFUNCTION("IF(G5626&lt;&gt;"""", GOOGLETRANSLATE(G5626, ""en"", ""te""),"""")"),"[ '4 వ వరుస మ్యాచ్లు ప్రదర్శనల మధ్య (73) జట్టు తప్పిన']")</f>
        <v>[ '4 వ వరుస మ్యాచ్లు ప్రదర్శనల మధ్య (73) జట్టు తప్పిన']</v>
      </c>
      <c r="I5626" s="3"/>
    </row>
    <row r="5627" customHeight="1" spans="1:9">
      <c r="A5627" s="2"/>
      <c r="B5627" s="2" t="str">
        <f>IFERROR(__xludf.DUMMYFUNCTION("IF(A5627&lt;&gt;"""", GOOGLETRANSLATE(A5627, ""en"", ""te""),"""")"),"")</f>
        <v/>
      </c>
      <c r="C5627" s="2"/>
      <c r="D5627" s="2" t="str">
        <f>IFERROR(__xludf.DUMMYFUNCTION("IF(C5627&lt;&gt;"""", GOOGLETRANSLATE(C5627, ""en"", ""te""),"""")"),"")</f>
        <v/>
      </c>
      <c r="E5627" s="2"/>
      <c r="F5627" s="2" t="str">
        <f>IFERROR(__xludf.DUMMYFUNCTION("IF(E5627&lt;&gt;"""", GOOGLETRANSLATE(E5627, ""en"", ""te""),"""")"),"")</f>
        <v/>
      </c>
      <c r="G5627" s="2"/>
      <c r="H5627" s="2" t="str">
        <f>IFERROR(__xludf.DUMMYFUNCTION("IF(G5627&lt;&gt;"""", GOOGLETRANSLATE(G5627, ""en"", ""te""),"""")"),"")</f>
        <v/>
      </c>
      <c r="I5627" s="3"/>
    </row>
    <row r="5628" customHeight="1" spans="1:9">
      <c r="A5628" s="2" t="s">
        <v>3626</v>
      </c>
      <c r="B5628" s="2" t="str">
        <f>IFERROR(__xludf.DUMMYFUNCTION("IF(A5628&lt;&gt;"""", GOOGLETRANSLATE(A5628, ""en"", ""te""),"""")"),"[ 'ఒక మ్యాచ్లో 2nd అత్యంత స్టంపింగ్లు (5)']")</f>
        <v>[ 'ఒక మ్యాచ్లో 2nd అత్యంత స్టంపింగ్లు (5)']</v>
      </c>
      <c r="C5628" s="2" t="s">
        <v>3627</v>
      </c>
      <c r="D5628" s="2" t="str">
        <f>IFERROR(__xludf.DUMMYFUNCTION("IF(C5628&lt;&gt;"""", GOOGLETRANSLATE(C5628, ""en"", ""te""),"""")"),"[ 'ఇన్నింగ్స్ లో 2 వ పెద్ద స్టంపింగ్లు (4)' '43 వ అత్యధిక కెరీర్ లో స్టంపింగ్లు (11)', 'ఒక మ్యాచ్లో 2nd అత్యంత స్టంపింగ్లు (5)', '5 వ ఒక సిరీస్లో అత్యధిక స్టంపింగ్లు (7)']")</f>
        <v>[ 'ఇన్నింగ్స్ లో 2 వ పెద్ద స్టంపింగ్లు (4)' '43 వ అత్యధిక కెరీర్ లో స్టంపింగ్లు (11)', 'ఒక మ్యాచ్లో 2nd అత్యంత స్టంపింగ్లు (5)', '5 వ ఒక సిరీస్లో అత్యధిక స్టంపింగ్లు (7)']</v>
      </c>
      <c r="E5628" s="2"/>
      <c r="F5628" s="2" t="str">
        <f>IFERROR(__xludf.DUMMYFUNCTION("IF(E5628&lt;&gt;"""", GOOGLETRANSLATE(E5628, ""en"", ""te""),"""")"),"")</f>
        <v/>
      </c>
      <c r="G5628" s="2"/>
      <c r="H5628" s="2" t="str">
        <f>IFERROR(__xludf.DUMMYFUNCTION("IF(G5628&lt;&gt;"""", GOOGLETRANSLATE(G5628, ""en"", ""te""),"""")"),"")</f>
        <v/>
      </c>
      <c r="I5628" s="3"/>
    </row>
    <row r="5629" customHeight="1" spans="1:9">
      <c r="A5629" s="2"/>
      <c r="B5629" s="2" t="str">
        <f>IFERROR(__xludf.DUMMYFUNCTION("IF(A5629&lt;&gt;"""", GOOGLETRANSLATE(A5629, ""en"", ""te""),"""")"),"")</f>
        <v/>
      </c>
      <c r="C5629" s="2"/>
      <c r="D5629" s="2" t="str">
        <f>IFERROR(__xludf.DUMMYFUNCTION("IF(C5629&lt;&gt;"""", GOOGLETRANSLATE(C5629, ""en"", ""te""),"""")"),"")</f>
        <v/>
      </c>
      <c r="E5629" s="2"/>
      <c r="F5629" s="2" t="str">
        <f>IFERROR(__xludf.DUMMYFUNCTION("IF(E5629&lt;&gt;"""", GOOGLETRANSLATE(E5629, ""en"", ""te""),"""")"),"")</f>
        <v/>
      </c>
      <c r="G5629" s="2"/>
      <c r="H5629" s="2" t="str">
        <f>IFERROR(__xludf.DUMMYFUNCTION("IF(G5629&lt;&gt;"""", GOOGLETRANSLATE(G5629, ""en"", ""te""),"""")"),"")</f>
        <v/>
      </c>
      <c r="I5629" s="3"/>
    </row>
    <row r="5630" customHeight="1" spans="1:9">
      <c r="A5630" s="2"/>
      <c r="B5630" s="2" t="str">
        <f>IFERROR(__xludf.DUMMYFUNCTION("IF(A5630&lt;&gt;"""", GOOGLETRANSLATE(A5630, ""en"", ""te""),"""")"),"")</f>
        <v/>
      </c>
      <c r="C5630" s="2"/>
      <c r="D5630" s="2" t="str">
        <f>IFERROR(__xludf.DUMMYFUNCTION("IF(C5630&lt;&gt;"""", GOOGLETRANSLATE(C5630, ""en"", ""te""),"""")"),"")</f>
        <v/>
      </c>
      <c r="E5630" s="2"/>
      <c r="F5630" s="2" t="str">
        <f>IFERROR(__xludf.DUMMYFUNCTION("IF(E5630&lt;&gt;"""", GOOGLETRANSLATE(E5630, ""en"", ""te""),"""")"),"")</f>
        <v/>
      </c>
      <c r="G5630" s="2"/>
      <c r="H5630" s="2" t="str">
        <f>IFERROR(__xludf.DUMMYFUNCTION("IF(G5630&lt;&gt;"""", GOOGLETRANSLATE(G5630, ""en"", ""te""),"""")"),"")</f>
        <v/>
      </c>
      <c r="I5630" s="3"/>
    </row>
    <row r="5631" customHeight="1" spans="1:9">
      <c r="A5631" s="2"/>
      <c r="B5631" s="2" t="str">
        <f>IFERROR(__xludf.DUMMYFUNCTION("IF(A5631&lt;&gt;"""", GOOGLETRANSLATE(A5631, ""en"", ""te""),"""")"),"")</f>
        <v/>
      </c>
      <c r="C5631" s="2"/>
      <c r="D5631" s="2" t="str">
        <f>IFERROR(__xludf.DUMMYFUNCTION("IF(C5631&lt;&gt;"""", GOOGLETRANSLATE(C5631, ""en"", ""te""),"""")"),"")</f>
        <v/>
      </c>
      <c r="E5631" s="2"/>
      <c r="F5631" s="2" t="str">
        <f>IFERROR(__xludf.DUMMYFUNCTION("IF(E5631&lt;&gt;"""", GOOGLETRANSLATE(E5631, ""en"", ""te""),"""")"),"")</f>
        <v/>
      </c>
      <c r="G5631" s="2"/>
      <c r="H5631" s="2" t="str">
        <f>IFERROR(__xludf.DUMMYFUNCTION("IF(G5631&lt;&gt;"""", GOOGLETRANSLATE(G5631, ""en"", ""te""),"""")"),"")</f>
        <v/>
      </c>
      <c r="I5631" s="3"/>
    </row>
    <row r="5632" customHeight="1" spans="1:9">
      <c r="A5632" s="2"/>
      <c r="B5632" s="2" t="str">
        <f>IFERROR(__xludf.DUMMYFUNCTION("IF(A5632&lt;&gt;"""", GOOGLETRANSLATE(A5632, ""en"", ""te""),"""")"),"")</f>
        <v/>
      </c>
      <c r="C5632" s="2"/>
      <c r="D5632" s="2" t="str">
        <f>IFERROR(__xludf.DUMMYFUNCTION("IF(C5632&lt;&gt;"""", GOOGLETRANSLATE(C5632, ""en"", ""te""),"""")"),"")</f>
        <v/>
      </c>
      <c r="E5632" s="2"/>
      <c r="F5632" s="2" t="str">
        <f>IFERROR(__xludf.DUMMYFUNCTION("IF(E5632&lt;&gt;"""", GOOGLETRANSLATE(E5632, ""en"", ""te""),"""")"),"")</f>
        <v/>
      </c>
      <c r="G5632" s="2"/>
      <c r="H5632" s="2" t="str">
        <f>IFERROR(__xludf.DUMMYFUNCTION("IF(G5632&lt;&gt;"""", GOOGLETRANSLATE(G5632, ""en"", ""te""),"""")"),"")</f>
        <v/>
      </c>
      <c r="I5632" s="3"/>
    </row>
    <row r="5633" customHeight="1" spans="1:9">
      <c r="A5633" s="2"/>
      <c r="B5633" s="2" t="str">
        <f>IFERROR(__xludf.DUMMYFUNCTION("IF(A5633&lt;&gt;"""", GOOGLETRANSLATE(A5633, ""en"", ""te""),"""")"),"")</f>
        <v/>
      </c>
      <c r="C5633" s="2"/>
      <c r="D5633" s="2" t="str">
        <f>IFERROR(__xludf.DUMMYFUNCTION("IF(C5633&lt;&gt;"""", GOOGLETRANSLATE(C5633, ""en"", ""te""),"""")"),"")</f>
        <v/>
      </c>
      <c r="E5633" s="2"/>
      <c r="F5633" s="2" t="str">
        <f>IFERROR(__xludf.DUMMYFUNCTION("IF(E5633&lt;&gt;"""", GOOGLETRANSLATE(E5633, ""en"", ""te""),"""")"),"")</f>
        <v/>
      </c>
      <c r="G5633" s="2"/>
      <c r="H5633" s="2" t="str">
        <f>IFERROR(__xludf.DUMMYFUNCTION("IF(G5633&lt;&gt;"""", GOOGLETRANSLATE(G5633, ""en"", ""te""),"""")"),"")</f>
        <v/>
      </c>
      <c r="I5633" s="3"/>
    </row>
    <row r="5634" customHeight="1" spans="1:9">
      <c r="A5634" s="2"/>
      <c r="B5634" s="2" t="str">
        <f>IFERROR(__xludf.DUMMYFUNCTION("IF(A5634&lt;&gt;"""", GOOGLETRANSLATE(A5634, ""en"", ""te""),"""")"),"")</f>
        <v/>
      </c>
      <c r="C5634" s="2"/>
      <c r="D5634" s="2" t="str">
        <f>IFERROR(__xludf.DUMMYFUNCTION("IF(C5634&lt;&gt;"""", GOOGLETRANSLATE(C5634, ""en"", ""te""),"""")"),"")</f>
        <v/>
      </c>
      <c r="E5634" s="2"/>
      <c r="F5634" s="2" t="str">
        <f>IFERROR(__xludf.DUMMYFUNCTION("IF(E5634&lt;&gt;"""", GOOGLETRANSLATE(E5634, ""en"", ""te""),"""")"),"")</f>
        <v/>
      </c>
      <c r="G5634" s="2"/>
      <c r="H5634" s="2" t="str">
        <f>IFERROR(__xludf.DUMMYFUNCTION("IF(G5634&lt;&gt;"""", GOOGLETRANSLATE(G5634, ""en"", ""te""),"""")"),"")</f>
        <v/>
      </c>
      <c r="I5634" s="3"/>
    </row>
    <row r="5635" customHeight="1" spans="1:9">
      <c r="A5635" s="2"/>
      <c r="B5635" s="2" t="str">
        <f>IFERROR(__xludf.DUMMYFUNCTION("IF(A5635&lt;&gt;"""", GOOGLETRANSLATE(A5635, ""en"", ""te""),"""")"),"")</f>
        <v/>
      </c>
      <c r="C5635" s="2"/>
      <c r="D5635" s="2" t="str">
        <f>IFERROR(__xludf.DUMMYFUNCTION("IF(C5635&lt;&gt;"""", GOOGLETRANSLATE(C5635, ""en"", ""te""),"""")"),"")</f>
        <v/>
      </c>
      <c r="E5635" s="2"/>
      <c r="F5635" s="2" t="str">
        <f>IFERROR(__xludf.DUMMYFUNCTION("IF(E5635&lt;&gt;"""", GOOGLETRANSLATE(E5635, ""en"", ""te""),"""")"),"")</f>
        <v/>
      </c>
      <c r="G5635" s="2"/>
      <c r="H5635" s="2" t="str">
        <f>IFERROR(__xludf.DUMMYFUNCTION("IF(G5635&lt;&gt;"""", GOOGLETRANSLATE(G5635, ""en"", ""te""),"""")"),"")</f>
        <v/>
      </c>
      <c r="I5635" s="3"/>
    </row>
    <row r="5636" customHeight="1" spans="1:9">
      <c r="A5636" s="2"/>
      <c r="B5636" s="2" t="str">
        <f>IFERROR(__xludf.DUMMYFUNCTION("IF(A5636&lt;&gt;"""", GOOGLETRANSLATE(A5636, ""en"", ""te""),"""")"),"")</f>
        <v/>
      </c>
      <c r="C5636" s="2"/>
      <c r="D5636" s="2" t="str">
        <f>IFERROR(__xludf.DUMMYFUNCTION("IF(C5636&lt;&gt;"""", GOOGLETRANSLATE(C5636, ""en"", ""te""),"""")"),"")</f>
        <v/>
      </c>
      <c r="E5636" s="2"/>
      <c r="F5636" s="2" t="str">
        <f>IFERROR(__xludf.DUMMYFUNCTION("IF(E5636&lt;&gt;"""", GOOGLETRANSLATE(E5636, ""en"", ""te""),"""")"),"")</f>
        <v/>
      </c>
      <c r="G5636" s="2"/>
      <c r="H5636" s="2" t="str">
        <f>IFERROR(__xludf.DUMMYFUNCTION("IF(G5636&lt;&gt;"""", GOOGLETRANSLATE(G5636, ""en"", ""te""),"""")"),"")</f>
        <v/>
      </c>
      <c r="I5636" s="3"/>
    </row>
    <row r="5637" customHeight="1" spans="1:9">
      <c r="A5637" s="2"/>
      <c r="B5637" s="2" t="str">
        <f>IFERROR(__xludf.DUMMYFUNCTION("IF(A5637&lt;&gt;"""", GOOGLETRANSLATE(A5637, ""en"", ""te""),"""")"),"")</f>
        <v/>
      </c>
      <c r="C5637" s="2"/>
      <c r="D5637" s="2" t="str">
        <f>IFERROR(__xludf.DUMMYFUNCTION("IF(C5637&lt;&gt;"""", GOOGLETRANSLATE(C5637, ""en"", ""te""),"""")"),"")</f>
        <v/>
      </c>
      <c r="E5637" s="2" t="s">
        <v>3628</v>
      </c>
      <c r="F5637" s="2" t="str">
        <f>IFERROR(__xludf.DUMMYFUNCTION("IF(E5637&lt;&gt;"""", GOOGLETRANSLATE(E5637, ""en"", ""te""),"""")"),"[ '38 వ చెత్త కెరీర్ బౌలింగ్ సరాసరి (47.68)', '13 వ చెత్త కెరీర్లో సమ్మె రేటు (69.3)']")</f>
        <v>[ '38 వ చెత్త కెరీర్ బౌలింగ్ సరాసరి (47.68)', '13 వ చెత్త కెరీర్లో సమ్మె రేటు (69.3)']</v>
      </c>
      <c r="G5637" s="2"/>
      <c r="H5637" s="2" t="str">
        <f>IFERROR(__xludf.DUMMYFUNCTION("IF(G5637&lt;&gt;"""", GOOGLETRANSLATE(G5637, ""en"", ""te""),"""")"),"")</f>
        <v/>
      </c>
      <c r="I5637" s="3"/>
    </row>
    <row r="5638" customHeight="1" spans="1:9">
      <c r="A5638" s="2"/>
      <c r="B5638" s="2" t="str">
        <f>IFERROR(__xludf.DUMMYFUNCTION("IF(A5638&lt;&gt;"""", GOOGLETRANSLATE(A5638, ""en"", ""te""),"""")"),"")</f>
        <v/>
      </c>
      <c r="C5638" s="2"/>
      <c r="D5638" s="2" t="str">
        <f>IFERROR(__xludf.DUMMYFUNCTION("IF(C5638&lt;&gt;"""", GOOGLETRANSLATE(C5638, ""en"", ""te""),"""")"),"")</f>
        <v/>
      </c>
      <c r="E5638" s="2"/>
      <c r="F5638" s="2" t="str">
        <f>IFERROR(__xludf.DUMMYFUNCTION("IF(E5638&lt;&gt;"""", GOOGLETRANSLATE(E5638, ""en"", ""te""),"""")"),"")</f>
        <v/>
      </c>
      <c r="G5638" s="2"/>
      <c r="H5638" s="2" t="str">
        <f>IFERROR(__xludf.DUMMYFUNCTION("IF(G5638&lt;&gt;"""", GOOGLETRANSLATE(G5638, ""en"", ""te""),"""")"),"")</f>
        <v/>
      </c>
      <c r="I5638" s="3"/>
    </row>
    <row r="5639" customHeight="1" spans="1:9">
      <c r="A5639" s="2"/>
      <c r="B5639" s="2" t="str">
        <f>IFERROR(__xludf.DUMMYFUNCTION("IF(A5639&lt;&gt;"""", GOOGLETRANSLATE(A5639, ""en"", ""te""),"""")"),"")</f>
        <v/>
      </c>
      <c r="C5639" s="2"/>
      <c r="D5639" s="2" t="str">
        <f>IFERROR(__xludf.DUMMYFUNCTION("IF(C5639&lt;&gt;"""", GOOGLETRANSLATE(C5639, ""en"", ""te""),"""")"),"")</f>
        <v/>
      </c>
      <c r="E5639" s="2"/>
      <c r="F5639" s="2" t="str">
        <f>IFERROR(__xludf.DUMMYFUNCTION("IF(E5639&lt;&gt;"""", GOOGLETRANSLATE(E5639, ""en"", ""te""),"""")"),"")</f>
        <v/>
      </c>
      <c r="G5639" s="2"/>
      <c r="H5639" s="2" t="str">
        <f>IFERROR(__xludf.DUMMYFUNCTION("IF(G5639&lt;&gt;"""", GOOGLETRANSLATE(G5639, ""en"", ""te""),"""")"),"")</f>
        <v/>
      </c>
      <c r="I5639" s="3"/>
    </row>
    <row r="5640" customHeight="1" spans="1:9">
      <c r="A5640" s="2"/>
      <c r="B5640" s="2" t="str">
        <f>IFERROR(__xludf.DUMMYFUNCTION("IF(A5640&lt;&gt;"""", GOOGLETRANSLATE(A5640, ""en"", ""te""),"""")"),"")</f>
        <v/>
      </c>
      <c r="C5640" s="2"/>
      <c r="D5640" s="2" t="str">
        <f>IFERROR(__xludf.DUMMYFUNCTION("IF(C5640&lt;&gt;"""", GOOGLETRANSLATE(C5640, ""en"", ""te""),"""")"),"")</f>
        <v/>
      </c>
      <c r="E5640" s="2"/>
      <c r="F5640" s="2" t="str">
        <f>IFERROR(__xludf.DUMMYFUNCTION("IF(E5640&lt;&gt;"""", GOOGLETRANSLATE(E5640, ""en"", ""te""),"""")"),"")</f>
        <v/>
      </c>
      <c r="G5640" s="2"/>
      <c r="H5640" s="2" t="str">
        <f>IFERROR(__xludf.DUMMYFUNCTION("IF(G5640&lt;&gt;"""", GOOGLETRANSLATE(G5640, ""en"", ""te""),"""")"),"")</f>
        <v/>
      </c>
      <c r="I5640" s="3"/>
    </row>
    <row r="5641" customHeight="1" spans="1:9">
      <c r="A5641" s="2"/>
      <c r="B5641" s="2" t="str">
        <f>IFERROR(__xludf.DUMMYFUNCTION("IF(A5641&lt;&gt;"""", GOOGLETRANSLATE(A5641, ""en"", ""te""),"""")"),"")</f>
        <v/>
      </c>
      <c r="C5641" s="2"/>
      <c r="D5641" s="2" t="str">
        <f>IFERROR(__xludf.DUMMYFUNCTION("IF(C5641&lt;&gt;"""", GOOGLETRANSLATE(C5641, ""en"", ""te""),"""")"),"")</f>
        <v/>
      </c>
      <c r="E5641" s="2"/>
      <c r="F5641" s="2" t="str">
        <f>IFERROR(__xludf.DUMMYFUNCTION("IF(E5641&lt;&gt;"""", GOOGLETRANSLATE(E5641, ""en"", ""te""),"""")"),"")</f>
        <v/>
      </c>
      <c r="G5641" s="2"/>
      <c r="H5641" s="2" t="str">
        <f>IFERROR(__xludf.DUMMYFUNCTION("IF(G5641&lt;&gt;"""", GOOGLETRANSLATE(G5641, ""en"", ""te""),"""")"),"")</f>
        <v/>
      </c>
      <c r="I5641" s="3"/>
    </row>
    <row r="5642" customHeight="1" spans="1:9">
      <c r="A5642" s="2" t="s">
        <v>3629</v>
      </c>
      <c r="B5642" s="2" t="str">
        <f>IFERROR(__xludf.DUMMYFUNCTION("IF(A5642&lt;&gt;"""", GOOGLETRANSLATE(A5642, ""en"", ""te""),"""")"),"[ 'ఇన్నింగ్స్ లో 3 వ అత్యధిక పరుగులు (బ్యాటింగ్ స్థానంలో ప్రకారం) (33)', '5 వ అత్యధిక వికెట్లు తీసుకున్న ఎల్బిడబ్ల్యు (29)', 'పదవ వికెట్కు 3 వ అత్యధిక భాగస్వామ్యం (58)', '8 వ ఇన్నింగ్స్ లో అత్యధిక పరుగులు ( బ్యాటింగ్ స్థానంలో) (28 *) ',' 2 వ చెత్త కెరీర్ల"&amp;"ో సమ్మె రేటు (35.3) ',' తొమ్మిదవ వికెట్ (27 * కోసం 10 వ అత్యధిక భాగస్వామ్యం) '] ద్వారా")</f>
        <v>[ 'ఇన్నింగ్స్ లో 3 వ అత్యధిక పరుగులు (బ్యాటింగ్ స్థానంలో ప్రకారం) (33)', '5 వ అత్యధిక వికెట్లు తీసుకున్న ఎల్బిడబ్ల్యు (29)', 'పదవ వికెట్కు 3 వ అత్యధిక భాగస్వామ్యం (58)', '8 వ ఇన్నింగ్స్ లో అత్యధిక పరుగులు ( బ్యాటింగ్ స్థానంలో) (28 *) ',' 2 వ చెత్త కెరీర్లో సమ్మె రేటు (35.3) ',' తొమ్మిదవ వికెట్ (27 * కోసం 10 వ అత్యధిక భాగస్వామ్యం) '] ద్వారా</v>
      </c>
      <c r="C5642" s="2" t="s">
        <v>3630</v>
      </c>
      <c r="D5642" s="2" t="str">
        <f>IFERROR(__xludf.DUMMYFUNCTION("IF(C5642&lt;&gt;"""", GOOGLETRANSLATE(C5642, ""en"", ""te""),"""")"),"[ '16 వ ఇన్నింగ్స్ లో అత్యధిక పరుగులు (బ్యాటింగ్ స్థానంలో ప్రకారం) (50)']")</f>
        <v>[ '16 వ ఇన్నింగ్స్ లో అత్యధిక పరుగులు (బ్యాటింగ్ స్థానంలో ప్రకారం) (50)']</v>
      </c>
      <c r="E5642" s="2" t="s">
        <v>3631</v>
      </c>
      <c r="F5642" s="2" t="str">
        <f>IFERROR(__xludf.DUMMYFUNCTION("IF(E5642&lt;&gt;"""", GOOGLETRANSLATE(E5642, ""en"", ""te""),"""")"),"[ '41 వ అత్యధిక పరుగులు జీవితంలో వంద (926) లేకుండా' '3 వ అత్యంత ఇన్నింగ్స్ లో నడుస్తుంది (బ్యాటింగ్ స్థానం) (33)', '40 వ కెరీర్ బాతులు (8)', '28th అత్యధిక కెరీర్ వికెట్లు (87) ', '21 వ ఒక క్యాలెండర్ సంవత్సరంలో అత్యధిక వికెట్లు (24)', 'బౌలింగ్ 36th చెత్త క"&amp;"ెరీర్ సగటు (32.52)', '47 వ చెత్త కెరీర్లో సమ్మె రేటు (52.3)', '17 వ కెరీర్ లో బౌల్డ్ చాలా బంతుల్లో (4552) ',' 16 వ కెరీర్ లో సాధించిన అత్యధిక పరుగులు (2830) ',' 12 వ బౌలర్ / బ్యాట్స్ కలయికలు (6) ',' 42 వ అత్యధిక వికెట్లు తీసుకున్న ఆకర్షించింది (42) ',' 31"&amp;" అత్యధిక వికెట్లు క్యాచ్ మరియు బౌల్డ్ తీసుకోకూడదు (5) ',' 19 చాలా వికెట్ కీపర్ చే కాట్ తీసుకోబడిన వికెట్ల (12) ',' 5 వ అత్యధిక వికెట్లు తీసుకున్న ఎల్బిడబ్ల్యు (29) ',' 26th అత్యధిక క్యాచ్లు కెరీర్లో (35) ',' పదవ వికెట్కు 3 వ అత్యధిక భాగస్వామ్యం (58) ',' 2"&amp;"6 కెరీర్లో అత్యధిక మ్యాచ్లు (116) ']")</f>
        <v>[ '41 వ అత్యధిక పరుగులు జీవితంలో వంద (926) లేకుండా' '3 వ అత్యంత ఇన్నింగ్స్ లో నడుస్తుంది (బ్యాటింగ్ స్థానం) (33)', '40 వ కెరీర్ బాతులు (8)', '28th అత్యధిక కెరీర్ వికెట్లు (87) ', '21 వ ఒక క్యాలెండర్ సంవత్సరంలో అత్యధిక వికెట్లు (24)', 'బౌలింగ్ 36th చెత్త కెరీర్ సగటు (32.52)', '47 వ చెత్త కెరీర్లో సమ్మె రేటు (52.3)', '17 వ కెరీర్ లో బౌల్డ్ చాలా బంతుల్లో (4552) ',' 16 వ కెరీర్ లో సాధించిన అత్యధిక పరుగులు (2830) ',' 12 వ బౌలర్ / బ్యాట్స్ కలయికలు (6) ',' 42 వ అత్యధిక వికెట్లు తీసుకున్న ఆకర్షించింది (42) ',' 31 అత్యధిక వికెట్లు క్యాచ్ మరియు బౌల్డ్ తీసుకోకూడదు (5) ',' 19 చాలా వికెట్ కీపర్ చే కాట్ తీసుకోబడిన వికెట్ల (12) ',' 5 వ అత్యధిక వికెట్లు తీసుకున్న ఎల్బిడబ్ల్యు (29) ',' 26th అత్యధిక క్యాచ్లు కెరీర్లో (35) ',' పదవ వికెట్కు 3 వ అత్యధిక భాగస్వామ్యం (58) ',' 26 కెరీర్లో అత్యధిక మ్యాచ్లు (116) ']</v>
      </c>
      <c r="G5642" s="2" t="s">
        <v>3632</v>
      </c>
      <c r="H5642" s="2" t="str">
        <f>IFERROR(__xludf.DUMMYFUNCTION("IF(G5642&lt;&gt;"""", GOOGLETRANSLATE(G5642, ""en"", ""te""),"""")"),"[ 'ఇన్నింగ్స్ లో 8 వ అత్యధిక పరుగులు (బ్యాటింగ్ స్థానంలో ద్వారా) (28 *)', '34 వ కెరీర్ బాతులు (5)', '3 వ చెత్త కెరీర్ బౌలింగ్ సరాసరి (35.25)', '2 వ చెత్త కెరీర్లో సమ్మె రేటు (35.3) ',' ఏడవ వికెట్కు 18 అత్యధిక భాగస్వామ్యం (44) ',' తొమ్మిదవ వికెట్ (27 *) కో"&amp;"సం 10 వ అత్యధిక భాగస్వామ్యం ',' బృందం (38) 42 వ వరుస మ్యాచ్లు ']")</f>
        <v>[ 'ఇన్నింగ్స్ లో 8 వ అత్యధిక పరుగులు (బ్యాటింగ్ స్థానంలో ద్వారా) (28 *)', '34 వ కెరీర్ బాతులు (5)', '3 వ చెత్త కెరీర్ బౌలింగ్ సరాసరి (35.25)', '2 వ చెత్త కెరీర్లో సమ్మె రేటు (35.3) ',' ఏడవ వికెట్కు 18 అత్యధిక భాగస్వామ్యం (44) ',' తొమ్మిదవ వికెట్ (27 *) కోసం 10 వ అత్యధిక భాగస్వామ్యం ',' బృందం (38) 42 వ వరుస మ్యాచ్లు ']</v>
      </c>
      <c r="I5642" s="3"/>
    </row>
    <row r="5643" customHeight="1" spans="1:9">
      <c r="A5643" s="2"/>
      <c r="B5643" s="2" t="str">
        <f>IFERROR(__xludf.DUMMYFUNCTION("IF(A5643&lt;&gt;"""", GOOGLETRANSLATE(A5643, ""en"", ""te""),"""")"),"")</f>
        <v/>
      </c>
      <c r="C5643" s="2"/>
      <c r="D5643" s="2" t="str">
        <f>IFERROR(__xludf.DUMMYFUNCTION("IF(C5643&lt;&gt;"""", GOOGLETRANSLATE(C5643, ""en"", ""te""),"""")"),"")</f>
        <v/>
      </c>
      <c r="E5643" s="2"/>
      <c r="F5643" s="2" t="str">
        <f>IFERROR(__xludf.DUMMYFUNCTION("IF(E5643&lt;&gt;"""", GOOGLETRANSLATE(E5643, ""en"", ""te""),"""")"),"")</f>
        <v/>
      </c>
      <c r="G5643" s="2"/>
      <c r="H5643" s="2" t="str">
        <f>IFERROR(__xludf.DUMMYFUNCTION("IF(G5643&lt;&gt;"""", GOOGLETRANSLATE(G5643, ""en"", ""te""),"""")"),"")</f>
        <v/>
      </c>
      <c r="I5643" s="3"/>
    </row>
    <row r="5644" customHeight="1" spans="1:9">
      <c r="A5644" s="2" t="s">
        <v>352</v>
      </c>
      <c r="B5644" s="2" t="str">
        <f>IFERROR(__xludf.DUMMYFUNCTION("IF(A5644&lt;&gt;"""", GOOGLETRANSLATE(A5644, ""en"", ""te""),"""")"),"[ 'బ్యాటింగ్ ప్రారంభించుటకు మరియు అదే మ్యాచ్ లో బౌలింగ్']")</f>
        <v>[ 'బ్యాటింగ్ ప్రారంభించుటకు మరియు అదే మ్యాచ్ లో బౌలింగ్']</v>
      </c>
      <c r="C5644" s="2"/>
      <c r="D5644" s="2" t="str">
        <f>IFERROR(__xludf.DUMMYFUNCTION("IF(C5644&lt;&gt;"""", GOOGLETRANSLATE(C5644, ""en"", ""te""),"""")"),"")</f>
        <v/>
      </c>
      <c r="E5644" s="2"/>
      <c r="F5644" s="2" t="str">
        <f>IFERROR(__xludf.DUMMYFUNCTION("IF(E5644&lt;&gt;"""", GOOGLETRANSLATE(E5644, ""en"", ""te""),"""")"),"")</f>
        <v/>
      </c>
      <c r="G5644" s="2"/>
      <c r="H5644" s="2" t="str">
        <f>IFERROR(__xludf.DUMMYFUNCTION("IF(G5644&lt;&gt;"""", GOOGLETRANSLATE(G5644, ""en"", ""te""),"""")"),"")</f>
        <v/>
      </c>
      <c r="I5644" s="3"/>
    </row>
    <row r="5645" customHeight="1" spans="1:9">
      <c r="A5645" s="2"/>
      <c r="B5645" s="2" t="str">
        <f>IFERROR(__xludf.DUMMYFUNCTION("IF(A5645&lt;&gt;"""", GOOGLETRANSLATE(A5645, ""en"", ""te""),"""")"),"")</f>
        <v/>
      </c>
      <c r="C5645" s="2"/>
      <c r="D5645" s="2" t="str">
        <f>IFERROR(__xludf.DUMMYFUNCTION("IF(C5645&lt;&gt;"""", GOOGLETRANSLATE(C5645, ""en"", ""te""),"""")"),"")</f>
        <v/>
      </c>
      <c r="E5645" s="2"/>
      <c r="F5645" s="2" t="str">
        <f>IFERROR(__xludf.DUMMYFUNCTION("IF(E5645&lt;&gt;"""", GOOGLETRANSLATE(E5645, ""en"", ""te""),"""")"),"")</f>
        <v/>
      </c>
      <c r="G5645" s="2"/>
      <c r="H5645" s="2" t="str">
        <f>IFERROR(__xludf.DUMMYFUNCTION("IF(G5645&lt;&gt;"""", GOOGLETRANSLATE(G5645, ""en"", ""te""),"""")"),"")</f>
        <v/>
      </c>
      <c r="I5645" s="3"/>
    </row>
    <row r="5646" customHeight="1" spans="1:9">
      <c r="A5646" s="2"/>
      <c r="B5646" s="2" t="str">
        <f>IFERROR(__xludf.DUMMYFUNCTION("IF(A5646&lt;&gt;"""", GOOGLETRANSLATE(A5646, ""en"", ""te""),"""")"),"")</f>
        <v/>
      </c>
      <c r="C5646" s="2"/>
      <c r="D5646" s="2" t="str">
        <f>IFERROR(__xludf.DUMMYFUNCTION("IF(C5646&lt;&gt;"""", GOOGLETRANSLATE(C5646, ""en"", ""te""),"""")"),"")</f>
        <v/>
      </c>
      <c r="E5646" s="2"/>
      <c r="F5646" s="2" t="str">
        <f>IFERROR(__xludf.DUMMYFUNCTION("IF(E5646&lt;&gt;"""", GOOGLETRANSLATE(E5646, ""en"", ""te""),"""")"),"")</f>
        <v/>
      </c>
      <c r="G5646" s="2"/>
      <c r="H5646" s="2" t="str">
        <f>IFERROR(__xludf.DUMMYFUNCTION("IF(G5646&lt;&gt;"""", GOOGLETRANSLATE(G5646, ""en"", ""te""),"""")"),"")</f>
        <v/>
      </c>
      <c r="I5646" s="3"/>
    </row>
    <row r="5647" customHeight="1" spans="1:9">
      <c r="A5647" s="2" t="s">
        <v>3633</v>
      </c>
      <c r="B5647" s="2" t="str">
        <f>IFERROR(__xludf.DUMMYFUNCTION("IF(A5647&lt;&gt;"""", GOOGLETRANSLATE(A5647, ""en"", ""te""),"""")"),"[ 'ఐదు రోజుల మ్యాచ్లో ప్రతి రోజు బ్యాటింగ్', '1000 పరుగులు మరియు 100 వికెట్లు' 9 వ అత్యధిక భాగస్వామ్యం ఏడవ వికెట్కు 'అయిదు వికెట్లు-ఇన్-ఒక-ఇన్నింగ్స్ (18y 290d) పడుతుంది 10 వ పిన్న ఆటగాడు', ' (235) ',' 9 వ అత్యధిక వికెట్లు తీసుకున్న స్టంప్ (22) ',' 1000 ప"&amp;"రుగులు మరియు 100 వికెట్లు ']")</f>
        <v>[ 'ఐదు రోజుల మ్యాచ్లో ప్రతి రోజు బ్యాటింగ్', '1000 పరుగులు మరియు 100 వికెట్లు' 9 వ అత్యధిక భాగస్వామ్యం ఏడవ వికెట్కు 'అయిదు వికెట్లు-ఇన్-ఒక-ఇన్నింగ్స్ (18y 290d) పడుతుంది 10 వ పిన్న ఆటగాడు', ' (235) ',' 9 వ అత్యధిక వికెట్లు తీసుకున్న స్టంప్ (22) ',' 1000 పరుగులు మరియు 100 వికెట్లు ']</v>
      </c>
      <c r="C5647" s="2" t="s">
        <v>3634</v>
      </c>
      <c r="D5647" s="2" t="str">
        <f>IFERROR(__xludf.DUMMYFUNCTION("IF(C5647&lt;&gt;"""", GOOGLETRANSLATE(C5647, ""en"", ""te""),"""")"),"[ '41 వ పిన్న ఆటగాడు వంద (20y 248d) స్కోర్', 'ఇన్నింగ్స్ లో 36 వ ఎక్కువ సిక్స్ (6)', '47 వ' అయిదు వికెట్లు-ఇన్-ఒక-ఇన్నింగ్స్ (18y 290d) తీసుకోవాలని 10 వ పిన్న ఆటగాడు ' కెరీర్లో బౌల్డ్ అత్యంత బంతుల్లో (15751) ',' ఏడవ వికెట్కు 9 వ అత్యధిక భాగస్వామ్యం (235) "&amp;"',' ఎనిమిదవ వికెట్కు 41 వ అత్యధిక భాగస్వామ్యం (128) తొమ్మిదవ వికెట్కు ',' 44 వ అత్యధిక భాగస్వామ్యం (104) ',' 40 వ పిన్న కాప్టెన్ (25y 229d) ']")</f>
        <v>[ '41 వ పిన్న ఆటగాడు వంద (20y 248d) స్కోర్', 'ఇన్నింగ్స్ లో 36 వ ఎక్కువ సిక్స్ (6)', '47 వ' అయిదు వికెట్లు-ఇన్-ఒక-ఇన్నింగ్స్ (18y 290d) తీసుకోవాలని 10 వ పిన్న ఆటగాడు ' కెరీర్లో బౌల్డ్ అత్యంత బంతుల్లో (15751) ',' ఏడవ వికెట్కు 9 వ అత్యధిక భాగస్వామ్యం (235) ',' ఎనిమిదవ వికెట్కు 41 వ అత్యధిక భాగస్వామ్యం (128) తొమ్మిదవ వికెట్కు ',' 44 వ అత్యధిక భాగస్వామ్యం (104) ',' 40 వ పిన్న కాప్టెన్ (25y 229d) ']</v>
      </c>
      <c r="E5647" s="2" t="s">
        <v>3635</v>
      </c>
      <c r="F5647" s="2" t="str">
        <f>IFERROR(__xludf.DUMMYFUNCTION("IF(E5647&lt;&gt;"""", GOOGLETRANSLATE(E5647, ""en"", ""te""),"""")"),"[ 'మొదటి డక్ ముందు 40 వ అత్యంత ఇన్నింగ్స్ (30)', 'ఇన్నింగ్స్ లో 18 వ అత్యుత్తమ బౌలింగ్ విశ్లేషణలు (5/15)', '25 వ అత్యధిక వికెట్లు క్యాచ్ మరియు బౌల్డ్ తీసిన ఇన్నింగ్స్ (11.00) లో 39 వ చెత్త ఆర్థిక రేటు' ( 11) ',' 9 వ అత్యధిక వికెట్లు తీసుకున్న స్టంప్ (22) "&amp;"',' పదవ వికెట్కు 31 అత్యధిక భాగస్వామ్యం (53) ',' 24 వ అత్యంత ప్లేయర్ ఆఫ్ ది సిరీస్ అవార్డులు (4) ',' 37 వ పిన్న కాప్టెన్ (24y 245d) ']")</f>
        <v>[ 'మొదటి డక్ ముందు 40 వ అత్యంత ఇన్నింగ్స్ (30)', 'ఇన్నింగ్స్ లో 18 వ అత్యుత్తమ బౌలింగ్ విశ్లేషణలు (5/15)', '25 వ అత్యధిక వికెట్లు క్యాచ్ మరియు బౌల్డ్ తీసిన ఇన్నింగ్స్ (11.00) లో 39 వ చెత్త ఆర్థిక రేటు' ( 11) ',' 9 వ అత్యధిక వికెట్లు తీసుకున్న స్టంప్ (22) ',' పదవ వికెట్కు 31 అత్యధిక భాగస్వామ్యం (53) ',' 24 వ అత్యంత ప్లేయర్ ఆఫ్ ది సిరీస్ అవార్డులు (4) ',' 37 వ పిన్న కాప్టెన్ (24y 245d) ']</v>
      </c>
      <c r="G5647" s="2"/>
      <c r="H5647" s="2" t="str">
        <f>IFERROR(__xludf.DUMMYFUNCTION("IF(G5647&lt;&gt;"""", GOOGLETRANSLATE(G5647, ""en"", ""te""),"""")"),"")</f>
        <v/>
      </c>
      <c r="I5647" s="3"/>
    </row>
    <row r="5648" customHeight="1" spans="1:9">
      <c r="A5648" s="2"/>
      <c r="B5648" s="2" t="str">
        <f>IFERROR(__xludf.DUMMYFUNCTION("IF(A5648&lt;&gt;"""", GOOGLETRANSLATE(A5648, ""en"", ""te""),"""")"),"")</f>
        <v/>
      </c>
      <c r="C5648" s="2"/>
      <c r="D5648" s="2" t="str">
        <f>IFERROR(__xludf.DUMMYFUNCTION("IF(C5648&lt;&gt;"""", GOOGLETRANSLATE(C5648, ""en"", ""te""),"""")"),"")</f>
        <v/>
      </c>
      <c r="E5648" s="2"/>
      <c r="F5648" s="2" t="str">
        <f>IFERROR(__xludf.DUMMYFUNCTION("IF(E5648&lt;&gt;"""", GOOGLETRANSLATE(E5648, ""en"", ""te""),"""")"),"")</f>
        <v/>
      </c>
      <c r="G5648" s="2"/>
      <c r="H5648" s="2" t="str">
        <f>IFERROR(__xludf.DUMMYFUNCTION("IF(G5648&lt;&gt;"""", GOOGLETRANSLATE(G5648, ""en"", ""te""),"""")"),"")</f>
        <v/>
      </c>
      <c r="I5648" s="3"/>
    </row>
    <row r="5649" customHeight="1" spans="1:9">
      <c r="A5649" s="2" t="s">
        <v>3636</v>
      </c>
      <c r="B5649" s="2" t="str">
        <f>IFERROR(__xludf.DUMMYFUNCTION("IF(A5649&lt;&gt;"""", GOOGLETRANSLATE(A5649, ""en"", ""te""),"""")"),"[ '6 వ చెత్త కెరీర్ బౌలింగ్ సరాసరి (58.33)']")</f>
        <v>[ '6 వ చెత్త కెరీర్ బౌలింగ్ సరాసరి (58.33)']</v>
      </c>
      <c r="C5649" s="2"/>
      <c r="D5649" s="2" t="str">
        <f>IFERROR(__xludf.DUMMYFUNCTION("IF(C5649&lt;&gt;"""", GOOGLETRANSLATE(C5649, ""en"", ""te""),"""")"),"")</f>
        <v/>
      </c>
      <c r="E5649" s="2" t="s">
        <v>3637</v>
      </c>
      <c r="F5649" s="2" t="str">
        <f>IFERROR(__xludf.DUMMYFUNCTION("IF(E5649&lt;&gt;"""", GOOGLETRANSLATE(E5649, ""en"", ""te""),"""")"),"[ '6 వ చెత్త కెరీర్ బౌలింగ్ సరాసరి (58.33)', '7 వ చెత్త కెరీర్లో సమ్మె రేటు (76.0)']")</f>
        <v>[ '6 వ చెత్త కెరీర్ బౌలింగ్ సరాసరి (58.33)', '7 వ చెత్త కెరీర్లో సమ్మె రేటు (76.0)']</v>
      </c>
      <c r="G5649" s="2"/>
      <c r="H5649" s="2" t="str">
        <f>IFERROR(__xludf.DUMMYFUNCTION("IF(G5649&lt;&gt;"""", GOOGLETRANSLATE(G5649, ""en"", ""te""),"""")"),"")</f>
        <v/>
      </c>
      <c r="I5649" s="3"/>
    </row>
    <row r="5650" customHeight="1" spans="1:9">
      <c r="A5650" s="2"/>
      <c r="B5650" s="2" t="str">
        <f>IFERROR(__xludf.DUMMYFUNCTION("IF(A5650&lt;&gt;"""", GOOGLETRANSLATE(A5650, ""en"", ""te""),"""")"),"")</f>
        <v/>
      </c>
      <c r="C5650" s="2"/>
      <c r="D5650" s="2" t="str">
        <f>IFERROR(__xludf.DUMMYFUNCTION("IF(C5650&lt;&gt;"""", GOOGLETRANSLATE(C5650, ""en"", ""te""),"""")"),"")</f>
        <v/>
      </c>
      <c r="E5650" s="2"/>
      <c r="F5650" s="2" t="str">
        <f>IFERROR(__xludf.DUMMYFUNCTION("IF(E5650&lt;&gt;"""", GOOGLETRANSLATE(E5650, ""en"", ""te""),"""")"),"")</f>
        <v/>
      </c>
      <c r="G5650" s="2"/>
      <c r="H5650" s="2" t="str">
        <f>IFERROR(__xludf.DUMMYFUNCTION("IF(G5650&lt;&gt;"""", GOOGLETRANSLATE(G5650, ""en"", ""te""),"""")"),"")</f>
        <v/>
      </c>
      <c r="I5650" s="3"/>
    </row>
    <row r="5651" customHeight="1" spans="1:9">
      <c r="A5651" s="2"/>
      <c r="B5651" s="2" t="str">
        <f>IFERROR(__xludf.DUMMYFUNCTION("IF(A5651&lt;&gt;"""", GOOGLETRANSLATE(A5651, ""en"", ""te""),"""")"),"")</f>
        <v/>
      </c>
      <c r="C5651" s="2"/>
      <c r="D5651" s="2" t="str">
        <f>IFERROR(__xludf.DUMMYFUNCTION("IF(C5651&lt;&gt;"""", GOOGLETRANSLATE(C5651, ""en"", ""te""),"""")"),"")</f>
        <v/>
      </c>
      <c r="E5651" s="2"/>
      <c r="F5651" s="2" t="str">
        <f>IFERROR(__xludf.DUMMYFUNCTION("IF(E5651&lt;&gt;"""", GOOGLETRANSLATE(E5651, ""en"", ""te""),"""")"),"")</f>
        <v/>
      </c>
      <c r="G5651" s="2"/>
      <c r="H5651" s="2" t="str">
        <f>IFERROR(__xludf.DUMMYFUNCTION("IF(G5651&lt;&gt;"""", GOOGLETRANSLATE(G5651, ""en"", ""te""),"""")"),"")</f>
        <v/>
      </c>
      <c r="I5651" s="3"/>
    </row>
    <row r="5652" customHeight="1" spans="1:9">
      <c r="A5652" s="2"/>
      <c r="B5652" s="2" t="str">
        <f>IFERROR(__xludf.DUMMYFUNCTION("IF(A5652&lt;&gt;"""", GOOGLETRANSLATE(A5652, ""en"", ""te""),"""")"),"")</f>
        <v/>
      </c>
      <c r="C5652" s="2"/>
      <c r="D5652" s="2" t="str">
        <f>IFERROR(__xludf.DUMMYFUNCTION("IF(C5652&lt;&gt;"""", GOOGLETRANSLATE(C5652, ""en"", ""te""),"""")"),"")</f>
        <v/>
      </c>
      <c r="E5652" s="2"/>
      <c r="F5652" s="2" t="str">
        <f>IFERROR(__xludf.DUMMYFUNCTION("IF(E5652&lt;&gt;"""", GOOGLETRANSLATE(E5652, ""en"", ""te""),"""")"),"")</f>
        <v/>
      </c>
      <c r="G5652" s="2"/>
      <c r="H5652" s="2" t="str">
        <f>IFERROR(__xludf.DUMMYFUNCTION("IF(G5652&lt;&gt;"""", GOOGLETRANSLATE(G5652, ""en"", ""te""),"""")"),"")</f>
        <v/>
      </c>
      <c r="I5652" s="3"/>
    </row>
    <row r="5653" customHeight="1" spans="1:9">
      <c r="A5653" s="2"/>
      <c r="B5653" s="2" t="str">
        <f>IFERROR(__xludf.DUMMYFUNCTION("IF(A5653&lt;&gt;"""", GOOGLETRANSLATE(A5653, ""en"", ""te""),"""")"),"")</f>
        <v/>
      </c>
      <c r="C5653" s="2"/>
      <c r="D5653" s="2" t="str">
        <f>IFERROR(__xludf.DUMMYFUNCTION("IF(C5653&lt;&gt;"""", GOOGLETRANSLATE(C5653, ""en"", ""te""),"""")"),"")</f>
        <v/>
      </c>
      <c r="E5653" s="2"/>
      <c r="F5653" s="2" t="str">
        <f>IFERROR(__xludf.DUMMYFUNCTION("IF(E5653&lt;&gt;"""", GOOGLETRANSLATE(E5653, ""en"", ""te""),"""")"),"")</f>
        <v/>
      </c>
      <c r="G5653" s="2"/>
      <c r="H5653" s="2" t="str">
        <f>IFERROR(__xludf.DUMMYFUNCTION("IF(G5653&lt;&gt;"""", GOOGLETRANSLATE(G5653, ""en"", ""te""),"""")"),"")</f>
        <v/>
      </c>
      <c r="I5653" s="3"/>
    </row>
    <row r="5654" customHeight="1" spans="1:9">
      <c r="A5654" s="2"/>
      <c r="B5654" s="2" t="str">
        <f>IFERROR(__xludf.DUMMYFUNCTION("IF(A5654&lt;&gt;"""", GOOGLETRANSLATE(A5654, ""en"", ""te""),"""")"),"")</f>
        <v/>
      </c>
      <c r="C5654" s="2"/>
      <c r="D5654" s="2" t="str">
        <f>IFERROR(__xludf.DUMMYFUNCTION("IF(C5654&lt;&gt;"""", GOOGLETRANSLATE(C5654, ""en"", ""te""),"""")"),"")</f>
        <v/>
      </c>
      <c r="E5654" s="2"/>
      <c r="F5654" s="2" t="str">
        <f>IFERROR(__xludf.DUMMYFUNCTION("IF(E5654&lt;&gt;"""", GOOGLETRANSLATE(E5654, ""en"", ""te""),"""")"),"")</f>
        <v/>
      </c>
      <c r="G5654" s="2"/>
      <c r="H5654" s="2" t="str">
        <f>IFERROR(__xludf.DUMMYFUNCTION("IF(G5654&lt;&gt;"""", GOOGLETRANSLATE(G5654, ""en"", ""te""),"""")"),"")</f>
        <v/>
      </c>
      <c r="I5654" s="3"/>
    </row>
    <row r="5655" customHeight="1" spans="1:9">
      <c r="A5655" s="2"/>
      <c r="B5655" s="2" t="str">
        <f>IFERROR(__xludf.DUMMYFUNCTION("IF(A5655&lt;&gt;"""", GOOGLETRANSLATE(A5655, ""en"", ""te""),"""")"),"")</f>
        <v/>
      </c>
      <c r="C5655" s="2"/>
      <c r="D5655" s="2" t="str">
        <f>IFERROR(__xludf.DUMMYFUNCTION("IF(C5655&lt;&gt;"""", GOOGLETRANSLATE(C5655, ""en"", ""te""),"""")"),"")</f>
        <v/>
      </c>
      <c r="E5655" s="2"/>
      <c r="F5655" s="2" t="str">
        <f>IFERROR(__xludf.DUMMYFUNCTION("IF(E5655&lt;&gt;"""", GOOGLETRANSLATE(E5655, ""en"", ""te""),"""")"),"")</f>
        <v/>
      </c>
      <c r="G5655" s="2"/>
      <c r="H5655" s="2" t="str">
        <f>IFERROR(__xludf.DUMMYFUNCTION("IF(G5655&lt;&gt;"""", GOOGLETRANSLATE(G5655, ""en"", ""te""),"""")"),"")</f>
        <v/>
      </c>
      <c r="I5655" s="3"/>
    </row>
    <row r="5656" customHeight="1" spans="1:9">
      <c r="A5656" s="2"/>
      <c r="B5656" s="2" t="str">
        <f>IFERROR(__xludf.DUMMYFUNCTION("IF(A5656&lt;&gt;"""", GOOGLETRANSLATE(A5656, ""en"", ""te""),"""")"),"")</f>
        <v/>
      </c>
      <c r="C5656" s="2"/>
      <c r="D5656" s="2" t="str">
        <f>IFERROR(__xludf.DUMMYFUNCTION("IF(C5656&lt;&gt;"""", GOOGLETRANSLATE(C5656, ""en"", ""te""),"""")"),"")</f>
        <v/>
      </c>
      <c r="E5656" s="2"/>
      <c r="F5656" s="2" t="str">
        <f>IFERROR(__xludf.DUMMYFUNCTION("IF(E5656&lt;&gt;"""", GOOGLETRANSLATE(E5656, ""en"", ""te""),"""")"),"")</f>
        <v/>
      </c>
      <c r="G5656" s="2"/>
      <c r="H5656" s="2" t="str">
        <f>IFERROR(__xludf.DUMMYFUNCTION("IF(G5656&lt;&gt;"""", GOOGLETRANSLATE(G5656, ""en"", ""te""),"""")"),"")</f>
        <v/>
      </c>
      <c r="I5656" s="3"/>
    </row>
    <row r="5657" customHeight="1" spans="1:9">
      <c r="A5657" s="2" t="s">
        <v>3638</v>
      </c>
      <c r="B5657" s="2" t="str">
        <f>IFERROR(__xludf.DUMMYFUNCTION("IF(A5657&lt;&gt;"""", GOOGLETRANSLATE(A5657, ""en"", ""te""),"""")"),"[ '2 వ చెత్త కెరీర్లో ఆర్థిక రేటు (3.98)']")</f>
        <v>[ '2 వ చెత్త కెరీర్లో ఆర్థిక రేటు (3.98)']</v>
      </c>
      <c r="C5657" s="2" t="s">
        <v>3638</v>
      </c>
      <c r="D5657" s="2" t="str">
        <f>IFERROR(__xludf.DUMMYFUNCTION("IF(C5657&lt;&gt;"""", GOOGLETRANSLATE(C5657, ""en"", ""te""),"""")"),"[ '2 వ చెత్త కెరీర్లో ఆర్థిక రేటు (3.98)']")</f>
        <v>[ '2 వ చెత్త కెరీర్లో ఆర్థిక రేటు (3.98)']</v>
      </c>
      <c r="E5657" s="2"/>
      <c r="F5657" s="2" t="str">
        <f>IFERROR(__xludf.DUMMYFUNCTION("IF(E5657&lt;&gt;"""", GOOGLETRANSLATE(E5657, ""en"", ""te""),"""")"),"")</f>
        <v/>
      </c>
      <c r="G5657" s="2"/>
      <c r="H5657" s="2" t="str">
        <f>IFERROR(__xludf.DUMMYFUNCTION("IF(G5657&lt;&gt;"""", GOOGLETRANSLATE(G5657, ""en"", ""te""),"""")"),"")</f>
        <v/>
      </c>
      <c r="I5657" s="3"/>
    </row>
    <row r="5658" customHeight="1" spans="1:9">
      <c r="A5658" s="2"/>
      <c r="B5658" s="2" t="str">
        <f>IFERROR(__xludf.DUMMYFUNCTION("IF(A5658&lt;&gt;"""", GOOGLETRANSLATE(A5658, ""en"", ""te""),"""")"),"")</f>
        <v/>
      </c>
      <c r="C5658" s="2"/>
      <c r="D5658" s="2" t="str">
        <f>IFERROR(__xludf.DUMMYFUNCTION("IF(C5658&lt;&gt;"""", GOOGLETRANSLATE(C5658, ""en"", ""te""),"""")"),"")</f>
        <v/>
      </c>
      <c r="E5658" s="2"/>
      <c r="F5658" s="2" t="str">
        <f>IFERROR(__xludf.DUMMYFUNCTION("IF(E5658&lt;&gt;"""", GOOGLETRANSLATE(E5658, ""en"", ""te""),"""")"),"")</f>
        <v/>
      </c>
      <c r="G5658" s="2"/>
      <c r="H5658" s="2" t="str">
        <f>IFERROR(__xludf.DUMMYFUNCTION("IF(G5658&lt;&gt;"""", GOOGLETRANSLATE(G5658, ""en"", ""te""),"""")"),"")</f>
        <v/>
      </c>
      <c r="I5658" s="3"/>
    </row>
    <row r="5659" customHeight="1" spans="1:9">
      <c r="A5659" s="2"/>
      <c r="B5659" s="2" t="str">
        <f>IFERROR(__xludf.DUMMYFUNCTION("IF(A5659&lt;&gt;"""", GOOGLETRANSLATE(A5659, ""en"", ""te""),"""")"),"")</f>
        <v/>
      </c>
      <c r="C5659" s="2"/>
      <c r="D5659" s="2" t="str">
        <f>IFERROR(__xludf.DUMMYFUNCTION("IF(C5659&lt;&gt;"""", GOOGLETRANSLATE(C5659, ""en"", ""te""),"""")"),"")</f>
        <v/>
      </c>
      <c r="E5659" s="2"/>
      <c r="F5659" s="2" t="str">
        <f>IFERROR(__xludf.DUMMYFUNCTION("IF(E5659&lt;&gt;"""", GOOGLETRANSLATE(E5659, ""en"", ""te""),"""")"),"")</f>
        <v/>
      </c>
      <c r="G5659" s="2"/>
      <c r="H5659" s="2" t="str">
        <f>IFERROR(__xludf.DUMMYFUNCTION("IF(G5659&lt;&gt;"""", GOOGLETRANSLATE(G5659, ""en"", ""te""),"""")"),"")</f>
        <v/>
      </c>
      <c r="I5659" s="3"/>
    </row>
    <row r="5660" customHeight="1" spans="1:9">
      <c r="A5660" s="2"/>
      <c r="B5660" s="2" t="str">
        <f>IFERROR(__xludf.DUMMYFUNCTION("IF(A5660&lt;&gt;"""", GOOGLETRANSLATE(A5660, ""en"", ""te""),"""")"),"")</f>
        <v/>
      </c>
      <c r="C5660" s="2"/>
      <c r="D5660" s="2" t="str">
        <f>IFERROR(__xludf.DUMMYFUNCTION("IF(C5660&lt;&gt;"""", GOOGLETRANSLATE(C5660, ""en"", ""te""),"""")"),"")</f>
        <v/>
      </c>
      <c r="E5660" s="2"/>
      <c r="F5660" s="2" t="str">
        <f>IFERROR(__xludf.DUMMYFUNCTION("IF(E5660&lt;&gt;"""", GOOGLETRANSLATE(E5660, ""en"", ""te""),"""")"),"")</f>
        <v/>
      </c>
      <c r="G5660" s="2"/>
      <c r="H5660" s="2" t="str">
        <f>IFERROR(__xludf.DUMMYFUNCTION("IF(G5660&lt;&gt;"""", GOOGLETRANSLATE(G5660, ""en"", ""te""),"""")"),"")</f>
        <v/>
      </c>
      <c r="I5660" s="3"/>
    </row>
    <row r="5661" customHeight="1" spans="1:9">
      <c r="A5661" s="2"/>
      <c r="B5661" s="2" t="str">
        <f>IFERROR(__xludf.DUMMYFUNCTION("IF(A5661&lt;&gt;"""", GOOGLETRANSLATE(A5661, ""en"", ""te""),"""")"),"")</f>
        <v/>
      </c>
      <c r="C5661" s="2"/>
      <c r="D5661" s="2" t="str">
        <f>IFERROR(__xludf.DUMMYFUNCTION("IF(C5661&lt;&gt;"""", GOOGLETRANSLATE(C5661, ""en"", ""te""),"""")"),"")</f>
        <v/>
      </c>
      <c r="E5661" s="2"/>
      <c r="F5661" s="2" t="str">
        <f>IFERROR(__xludf.DUMMYFUNCTION("IF(E5661&lt;&gt;"""", GOOGLETRANSLATE(E5661, ""en"", ""te""),"""")"),"")</f>
        <v/>
      </c>
      <c r="G5661" s="2"/>
      <c r="H5661" s="2" t="str">
        <f>IFERROR(__xludf.DUMMYFUNCTION("IF(G5661&lt;&gt;"""", GOOGLETRANSLATE(G5661, ""en"", ""te""),"""")"),"")</f>
        <v/>
      </c>
      <c r="I5661" s="3"/>
    </row>
    <row r="5662" customHeight="1" spans="1:9">
      <c r="A5662" s="2"/>
      <c r="B5662" s="2" t="str">
        <f>IFERROR(__xludf.DUMMYFUNCTION("IF(A5662&lt;&gt;"""", GOOGLETRANSLATE(A5662, ""en"", ""te""),"""")"),"")</f>
        <v/>
      </c>
      <c r="C5662" s="2"/>
      <c r="D5662" s="2" t="str">
        <f>IFERROR(__xludf.DUMMYFUNCTION("IF(C5662&lt;&gt;"""", GOOGLETRANSLATE(C5662, ""en"", ""te""),"""")"),"")</f>
        <v/>
      </c>
      <c r="E5662" s="2"/>
      <c r="F5662" s="2" t="str">
        <f>IFERROR(__xludf.DUMMYFUNCTION("IF(E5662&lt;&gt;"""", GOOGLETRANSLATE(E5662, ""en"", ""te""),"""")"),"")</f>
        <v/>
      </c>
      <c r="G5662" s="2"/>
      <c r="H5662" s="2" t="str">
        <f>IFERROR(__xludf.DUMMYFUNCTION("IF(G5662&lt;&gt;"""", GOOGLETRANSLATE(G5662, ""en"", ""te""),"""")"),"")</f>
        <v/>
      </c>
      <c r="I5662" s="3"/>
    </row>
    <row r="5663" customHeight="1" spans="1:9">
      <c r="A5663" s="2" t="s">
        <v>3639</v>
      </c>
      <c r="B5663" s="2" t="str">
        <f>IFERROR(__xludf.DUMMYFUNCTION("IF(A5663&lt;&gt;"""", GOOGLETRANSLATE(A5663, ""en"", ""te""),"""")"),"[ 'ఒక మ్యాచ్లో 4 వ అత్యధిక వికెట్లు (10)', '4 వ మ్యాచ్ లో అత్యధిక క్యాచ్లు (10)', 'ఒక మ్యాచ్ లో రెండు అజేయంగా అర్ధ', 'ఒక ఆటలో బదులు ద్వారా 1st అత్యధిక క్యాచ్లు (4)']")</f>
        <v>[ 'ఒక మ్యాచ్లో 4 వ అత్యధిక వికెట్లు (10)', '4 వ మ్యాచ్ లో అత్యధిక క్యాచ్లు (10)', 'ఒక మ్యాచ్ లో రెండు అజేయంగా అర్ధ', 'ఒక ఆటలో బదులు ద్వారా 1st అత్యధిక క్యాచ్లు (4)']</v>
      </c>
      <c r="C5663" s="2" t="s">
        <v>3640</v>
      </c>
      <c r="D5663" s="2" t="str">
        <f>IFERROR(__xludf.DUMMYFUNCTION("IF(C5663&lt;&gt;"""", GOOGLETRANSLATE(C5663, ""en"", ""te""),"""")"),"[ 'ఒక ఇన్నింగ్స్ లో ఒక ప్రత్యామ్నాయంగా ద్వారా 1st అత్యధిక క్యాచ్లు (4)', '1st ఒక ఆటలో బదులు ద్వారా అత్యధిక క్యాచ్లు (4)', '46 వ కెరీర్ లో అత్యధిక వికెట్లు (103)', '5 వ ఇన్నింగ్స్ లో అత్యధిక వికెట్లు ( 6) ',' 4 వ అత్యధిక కెరీర్ లో ఒక మ్యాచ్లో కెరీర్ లో ఒక "&amp;"మ్యాచ్లో వికెట్లు (10) ',' 46 వ అత్యధిక క్యాచ్లు (92) ',' 4 వ అత్యధిక క్యాచ్లు (10) ',' 43 వ అత్యంత స్టంపింగ్లు (11) ', '29th అత్యధిక ఇన్నింగ్స్ బై (572 / 7D) గూడా ఇవ్వకుండా మొత్తం']")</f>
        <v>[ 'ఒక ఇన్నింగ్స్ లో ఒక ప్రత్యామ్నాయంగా ద్వారా 1st అత్యధిక క్యాచ్లు (4)', '1st ఒక ఆటలో బదులు ద్వారా అత్యధిక క్యాచ్లు (4)', '46 వ కెరీర్ లో అత్యధిక వికెట్లు (103)', '5 వ ఇన్నింగ్స్ లో అత్యధిక వికెట్లు ( 6) ',' 4 వ అత్యధిక కెరీర్ లో ఒక మ్యాచ్లో కెరీర్ లో ఒక మ్యాచ్లో వికెట్లు (10) ',' 46 వ అత్యధిక క్యాచ్లు (92) ',' 4 వ అత్యధిక క్యాచ్లు (10) ',' 43 వ అత్యంత స్టంపింగ్లు (11) ', '29th అత్యధిక ఇన్నింగ్స్ బై (572 / 7D) గూడా ఇవ్వకుండా మొత్తం']</v>
      </c>
      <c r="E5663" s="2"/>
      <c r="F5663" s="2" t="str">
        <f>IFERROR(__xludf.DUMMYFUNCTION("IF(E5663&lt;&gt;"""", GOOGLETRANSLATE(E5663, ""en"", ""te""),"""")"),"")</f>
        <v/>
      </c>
      <c r="G5663" s="2"/>
      <c r="H5663" s="2" t="str">
        <f>IFERROR(__xludf.DUMMYFUNCTION("IF(G5663&lt;&gt;"""", GOOGLETRANSLATE(G5663, ""en"", ""te""),"""")"),"")</f>
        <v/>
      </c>
      <c r="I5663" s="3"/>
    </row>
    <row r="5664" customHeight="1" spans="1:9">
      <c r="A5664" s="2"/>
      <c r="B5664" s="2" t="str">
        <f>IFERROR(__xludf.DUMMYFUNCTION("IF(A5664&lt;&gt;"""", GOOGLETRANSLATE(A5664, ""en"", ""te""),"""")"),"")</f>
        <v/>
      </c>
      <c r="C5664" s="2"/>
      <c r="D5664" s="2" t="str">
        <f>IFERROR(__xludf.DUMMYFUNCTION("IF(C5664&lt;&gt;"""", GOOGLETRANSLATE(C5664, ""en"", ""te""),"""")"),"")</f>
        <v/>
      </c>
      <c r="E5664" s="2"/>
      <c r="F5664" s="2" t="str">
        <f>IFERROR(__xludf.DUMMYFUNCTION("IF(E5664&lt;&gt;"""", GOOGLETRANSLATE(E5664, ""en"", ""te""),"""")"),"")</f>
        <v/>
      </c>
      <c r="G5664" s="2"/>
      <c r="H5664" s="2" t="str">
        <f>IFERROR(__xludf.DUMMYFUNCTION("IF(G5664&lt;&gt;"""", GOOGLETRANSLATE(G5664, ""en"", ""te""),"""")"),"")</f>
        <v/>
      </c>
      <c r="I5664" s="3"/>
    </row>
    <row r="5665" customHeight="1" spans="1:9">
      <c r="A5665" s="2"/>
      <c r="B5665" s="2" t="str">
        <f>IFERROR(__xludf.DUMMYFUNCTION("IF(A5665&lt;&gt;"""", GOOGLETRANSLATE(A5665, ""en"", ""te""),"""")"),"")</f>
        <v/>
      </c>
      <c r="C5665" s="2"/>
      <c r="D5665" s="2" t="str">
        <f>IFERROR(__xludf.DUMMYFUNCTION("IF(C5665&lt;&gt;"""", GOOGLETRANSLATE(C5665, ""en"", ""te""),"""")"),"")</f>
        <v/>
      </c>
      <c r="E5665" s="2"/>
      <c r="F5665" s="2" t="str">
        <f>IFERROR(__xludf.DUMMYFUNCTION("IF(E5665&lt;&gt;"""", GOOGLETRANSLATE(E5665, ""en"", ""te""),"""")"),"")</f>
        <v/>
      </c>
      <c r="G5665" s="2"/>
      <c r="H5665" s="2" t="str">
        <f>IFERROR(__xludf.DUMMYFUNCTION("IF(G5665&lt;&gt;"""", GOOGLETRANSLATE(G5665, ""en"", ""te""),"""")"),"")</f>
        <v/>
      </c>
      <c r="I5665" s="3"/>
    </row>
    <row r="5666" customHeight="1" spans="1:9">
      <c r="A5666" s="2"/>
      <c r="B5666" s="2" t="str">
        <f>IFERROR(__xludf.DUMMYFUNCTION("IF(A5666&lt;&gt;"""", GOOGLETRANSLATE(A5666, ""en"", ""te""),"""")"),"")</f>
        <v/>
      </c>
      <c r="C5666" s="2"/>
      <c r="D5666" s="2" t="str">
        <f>IFERROR(__xludf.DUMMYFUNCTION("IF(C5666&lt;&gt;"""", GOOGLETRANSLATE(C5666, ""en"", ""te""),"""")"),"")</f>
        <v/>
      </c>
      <c r="E5666" s="2"/>
      <c r="F5666" s="2" t="str">
        <f>IFERROR(__xludf.DUMMYFUNCTION("IF(E5666&lt;&gt;"""", GOOGLETRANSLATE(E5666, ""en"", ""te""),"""")"),"")</f>
        <v/>
      </c>
      <c r="G5666" s="2"/>
      <c r="H5666" s="2" t="str">
        <f>IFERROR(__xludf.DUMMYFUNCTION("IF(G5666&lt;&gt;"""", GOOGLETRANSLATE(G5666, ""en"", ""te""),"""")"),"")</f>
        <v/>
      </c>
      <c r="I5666" s="3"/>
    </row>
    <row r="5667" customHeight="1" spans="1:9">
      <c r="A5667" s="2"/>
      <c r="B5667" s="2" t="str">
        <f>IFERROR(__xludf.DUMMYFUNCTION("IF(A5667&lt;&gt;"""", GOOGLETRANSLATE(A5667, ""en"", ""te""),"""")"),"")</f>
        <v/>
      </c>
      <c r="C5667" s="2"/>
      <c r="D5667" s="2" t="str">
        <f>IFERROR(__xludf.DUMMYFUNCTION("IF(C5667&lt;&gt;"""", GOOGLETRANSLATE(C5667, ""en"", ""te""),"""")"),"")</f>
        <v/>
      </c>
      <c r="E5667" s="2"/>
      <c r="F5667" s="2" t="str">
        <f>IFERROR(__xludf.DUMMYFUNCTION("IF(E5667&lt;&gt;"""", GOOGLETRANSLATE(E5667, ""en"", ""te""),"""")"),"")</f>
        <v/>
      </c>
      <c r="G5667" s="2"/>
      <c r="H5667" s="2" t="str">
        <f>IFERROR(__xludf.DUMMYFUNCTION("IF(G5667&lt;&gt;"""", GOOGLETRANSLATE(G5667, ""en"", ""te""),"""")"),"")</f>
        <v/>
      </c>
      <c r="I5667" s="3"/>
    </row>
    <row r="5668" customHeight="1" spans="1:9">
      <c r="A5668" s="2"/>
      <c r="B5668" s="2" t="str">
        <f>IFERROR(__xludf.DUMMYFUNCTION("IF(A5668&lt;&gt;"""", GOOGLETRANSLATE(A5668, ""en"", ""te""),"""")"),"")</f>
        <v/>
      </c>
      <c r="C5668" s="2"/>
      <c r="D5668" s="2" t="str">
        <f>IFERROR(__xludf.DUMMYFUNCTION("IF(C5668&lt;&gt;"""", GOOGLETRANSLATE(C5668, ""en"", ""te""),"""")"),"")</f>
        <v/>
      </c>
      <c r="E5668" s="2"/>
      <c r="F5668" s="2" t="str">
        <f>IFERROR(__xludf.DUMMYFUNCTION("IF(E5668&lt;&gt;"""", GOOGLETRANSLATE(E5668, ""en"", ""te""),"""")"),"")</f>
        <v/>
      </c>
      <c r="G5668" s="2"/>
      <c r="H5668" s="2" t="str">
        <f>IFERROR(__xludf.DUMMYFUNCTION("IF(G5668&lt;&gt;"""", GOOGLETRANSLATE(G5668, ""en"", ""te""),"""")"),"")</f>
        <v/>
      </c>
      <c r="I5668" s="3"/>
    </row>
    <row r="5669" customHeight="1" spans="1:9">
      <c r="A5669" s="2"/>
      <c r="B5669" s="2" t="str">
        <f>IFERROR(__xludf.DUMMYFUNCTION("IF(A5669&lt;&gt;"""", GOOGLETRANSLATE(A5669, ""en"", ""te""),"""")"),"")</f>
        <v/>
      </c>
      <c r="C5669" s="2"/>
      <c r="D5669" s="2" t="str">
        <f>IFERROR(__xludf.DUMMYFUNCTION("IF(C5669&lt;&gt;"""", GOOGLETRANSLATE(C5669, ""en"", ""te""),"""")"),"")</f>
        <v/>
      </c>
      <c r="E5669" s="2"/>
      <c r="F5669" s="2" t="str">
        <f>IFERROR(__xludf.DUMMYFUNCTION("IF(E5669&lt;&gt;"""", GOOGLETRANSLATE(E5669, ""en"", ""te""),"""")"),"")</f>
        <v/>
      </c>
      <c r="G5669" s="2"/>
      <c r="H5669" s="2" t="str">
        <f>IFERROR(__xludf.DUMMYFUNCTION("IF(G5669&lt;&gt;"""", GOOGLETRANSLATE(G5669, ""en"", ""te""),"""")"),"")</f>
        <v/>
      </c>
      <c r="I5669" s="3"/>
    </row>
    <row r="5670" customHeight="1" spans="1:9">
      <c r="A5670" s="2"/>
      <c r="B5670" s="2" t="str">
        <f>IFERROR(__xludf.DUMMYFUNCTION("IF(A5670&lt;&gt;"""", GOOGLETRANSLATE(A5670, ""en"", ""te""),"""")"),"")</f>
        <v/>
      </c>
      <c r="C5670" s="2"/>
      <c r="D5670" s="2" t="str">
        <f>IFERROR(__xludf.DUMMYFUNCTION("IF(C5670&lt;&gt;"""", GOOGLETRANSLATE(C5670, ""en"", ""te""),"""")"),"")</f>
        <v/>
      </c>
      <c r="E5670" s="2"/>
      <c r="F5670" s="2" t="str">
        <f>IFERROR(__xludf.DUMMYFUNCTION("IF(E5670&lt;&gt;"""", GOOGLETRANSLATE(E5670, ""en"", ""te""),"""")"),"")</f>
        <v/>
      </c>
      <c r="G5670" s="2"/>
      <c r="H5670" s="2" t="str">
        <f>IFERROR(__xludf.DUMMYFUNCTION("IF(G5670&lt;&gt;"""", GOOGLETRANSLATE(G5670, ""en"", ""te""),"""")"),"")</f>
        <v/>
      </c>
      <c r="I5670" s="3"/>
    </row>
    <row r="5671" customHeight="1" spans="1:9">
      <c r="A5671" s="2"/>
      <c r="B5671" s="2" t="str">
        <f>IFERROR(__xludf.DUMMYFUNCTION("IF(A5671&lt;&gt;"""", GOOGLETRANSLATE(A5671, ""en"", ""te""),"""")"),"")</f>
        <v/>
      </c>
      <c r="C5671" s="2"/>
      <c r="D5671" s="2" t="str">
        <f>IFERROR(__xludf.DUMMYFUNCTION("IF(C5671&lt;&gt;"""", GOOGLETRANSLATE(C5671, ""en"", ""te""),"""")"),"")</f>
        <v/>
      </c>
      <c r="E5671" s="2"/>
      <c r="F5671" s="2" t="str">
        <f>IFERROR(__xludf.DUMMYFUNCTION("IF(E5671&lt;&gt;"""", GOOGLETRANSLATE(E5671, ""en"", ""te""),"""")"),"")</f>
        <v/>
      </c>
      <c r="G5671" s="2"/>
      <c r="H5671" s="2" t="str">
        <f>IFERROR(__xludf.DUMMYFUNCTION("IF(G5671&lt;&gt;"""", GOOGLETRANSLATE(G5671, ""en"", ""te""),"""")"),"")</f>
        <v/>
      </c>
      <c r="I5671" s="3"/>
    </row>
    <row r="5672" customHeight="1" spans="1:9">
      <c r="A5672" s="2"/>
      <c r="B5672" s="2" t="str">
        <f>IFERROR(__xludf.DUMMYFUNCTION("IF(A5672&lt;&gt;"""", GOOGLETRANSLATE(A5672, ""en"", ""te""),"""")"),"")</f>
        <v/>
      </c>
      <c r="C5672" s="2"/>
      <c r="D5672" s="2" t="str">
        <f>IFERROR(__xludf.DUMMYFUNCTION("IF(C5672&lt;&gt;"""", GOOGLETRANSLATE(C5672, ""en"", ""te""),"""")"),"")</f>
        <v/>
      </c>
      <c r="E5672" s="2"/>
      <c r="F5672" s="2" t="str">
        <f>IFERROR(__xludf.DUMMYFUNCTION("IF(E5672&lt;&gt;"""", GOOGLETRANSLATE(E5672, ""en"", ""te""),"""")"),"")</f>
        <v/>
      </c>
      <c r="G5672" s="2"/>
      <c r="H5672" s="2" t="str">
        <f>IFERROR(__xludf.DUMMYFUNCTION("IF(G5672&lt;&gt;"""", GOOGLETRANSLATE(G5672, ""en"", ""te""),"""")"),"")</f>
        <v/>
      </c>
      <c r="I5672" s="3"/>
    </row>
    <row r="5673" customHeight="1" spans="1:9">
      <c r="A5673" s="2"/>
      <c r="B5673" s="2" t="str">
        <f>IFERROR(__xludf.DUMMYFUNCTION("IF(A5673&lt;&gt;"""", GOOGLETRANSLATE(A5673, ""en"", ""te""),"""")"),"")</f>
        <v/>
      </c>
      <c r="C5673" s="2"/>
      <c r="D5673" s="2" t="str">
        <f>IFERROR(__xludf.DUMMYFUNCTION("IF(C5673&lt;&gt;"""", GOOGLETRANSLATE(C5673, ""en"", ""te""),"""")"),"")</f>
        <v/>
      </c>
      <c r="E5673" s="2"/>
      <c r="F5673" s="2" t="str">
        <f>IFERROR(__xludf.DUMMYFUNCTION("IF(E5673&lt;&gt;"""", GOOGLETRANSLATE(E5673, ""en"", ""te""),"""")"),"")</f>
        <v/>
      </c>
      <c r="G5673" s="2"/>
      <c r="H5673" s="2" t="str">
        <f>IFERROR(__xludf.DUMMYFUNCTION("IF(G5673&lt;&gt;"""", GOOGLETRANSLATE(G5673, ""en"", ""te""),"""")"),"")</f>
        <v/>
      </c>
      <c r="I5673" s="3"/>
    </row>
    <row r="5674" customHeight="1" spans="1:9">
      <c r="A5674" s="2"/>
      <c r="B5674" s="2" t="str">
        <f>IFERROR(__xludf.DUMMYFUNCTION("IF(A5674&lt;&gt;"""", GOOGLETRANSLATE(A5674, ""en"", ""te""),"""")"),"")</f>
        <v/>
      </c>
      <c r="C5674" s="2"/>
      <c r="D5674" s="2" t="str">
        <f>IFERROR(__xludf.DUMMYFUNCTION("IF(C5674&lt;&gt;"""", GOOGLETRANSLATE(C5674, ""en"", ""te""),"""")"),"")</f>
        <v/>
      </c>
      <c r="E5674" s="2"/>
      <c r="F5674" s="2" t="str">
        <f>IFERROR(__xludf.DUMMYFUNCTION("IF(E5674&lt;&gt;"""", GOOGLETRANSLATE(E5674, ""en"", ""te""),"""")"),"")</f>
        <v/>
      </c>
      <c r="G5674" s="2"/>
      <c r="H5674" s="2" t="str">
        <f>IFERROR(__xludf.DUMMYFUNCTION("IF(G5674&lt;&gt;"""", GOOGLETRANSLATE(G5674, ""en"", ""te""),"""")"),"")</f>
        <v/>
      </c>
      <c r="I5674" s="3"/>
    </row>
    <row r="5675" customHeight="1" spans="1:9">
      <c r="A5675" s="2"/>
      <c r="B5675" s="2" t="str">
        <f>IFERROR(__xludf.DUMMYFUNCTION("IF(A5675&lt;&gt;"""", GOOGLETRANSLATE(A5675, ""en"", ""te""),"""")"),"")</f>
        <v/>
      </c>
      <c r="C5675" s="2"/>
      <c r="D5675" s="2" t="str">
        <f>IFERROR(__xludf.DUMMYFUNCTION("IF(C5675&lt;&gt;"""", GOOGLETRANSLATE(C5675, ""en"", ""te""),"""")"),"")</f>
        <v/>
      </c>
      <c r="E5675" s="2"/>
      <c r="F5675" s="2" t="str">
        <f>IFERROR(__xludf.DUMMYFUNCTION("IF(E5675&lt;&gt;"""", GOOGLETRANSLATE(E5675, ""en"", ""te""),"""")"),"")</f>
        <v/>
      </c>
      <c r="G5675" s="2"/>
      <c r="H5675" s="2" t="str">
        <f>IFERROR(__xludf.DUMMYFUNCTION("IF(G5675&lt;&gt;"""", GOOGLETRANSLATE(G5675, ""en"", ""te""),"""")"),"")</f>
        <v/>
      </c>
      <c r="I5675" s="3"/>
    </row>
    <row r="5676" customHeight="1" spans="1:9">
      <c r="A5676" s="2"/>
      <c r="B5676" s="2" t="str">
        <f>IFERROR(__xludf.DUMMYFUNCTION("IF(A5676&lt;&gt;"""", GOOGLETRANSLATE(A5676, ""en"", ""te""),"""")"),"")</f>
        <v/>
      </c>
      <c r="C5676" s="2"/>
      <c r="D5676" s="2" t="str">
        <f>IFERROR(__xludf.DUMMYFUNCTION("IF(C5676&lt;&gt;"""", GOOGLETRANSLATE(C5676, ""en"", ""te""),"""")"),"")</f>
        <v/>
      </c>
      <c r="E5676" s="2"/>
      <c r="F5676" s="2" t="str">
        <f>IFERROR(__xludf.DUMMYFUNCTION("IF(E5676&lt;&gt;"""", GOOGLETRANSLATE(E5676, ""en"", ""te""),"""")"),"")</f>
        <v/>
      </c>
      <c r="G5676" s="2"/>
      <c r="H5676" s="2" t="str">
        <f>IFERROR(__xludf.DUMMYFUNCTION("IF(G5676&lt;&gt;"""", GOOGLETRANSLATE(G5676, ""en"", ""te""),"""")"),"")</f>
        <v/>
      </c>
      <c r="I5676" s="3"/>
    </row>
    <row r="5677" customHeight="1" spans="1:9">
      <c r="A5677" s="2"/>
      <c r="B5677" s="2" t="str">
        <f>IFERROR(__xludf.DUMMYFUNCTION("IF(A5677&lt;&gt;"""", GOOGLETRANSLATE(A5677, ""en"", ""te""),"""")"),"")</f>
        <v/>
      </c>
      <c r="C5677" s="2"/>
      <c r="D5677" s="2" t="str">
        <f>IFERROR(__xludf.DUMMYFUNCTION("IF(C5677&lt;&gt;"""", GOOGLETRANSLATE(C5677, ""en"", ""te""),"""")"),"")</f>
        <v/>
      </c>
      <c r="E5677" s="2"/>
      <c r="F5677" s="2" t="str">
        <f>IFERROR(__xludf.DUMMYFUNCTION("IF(E5677&lt;&gt;"""", GOOGLETRANSLATE(E5677, ""en"", ""te""),"""")"),"")</f>
        <v/>
      </c>
      <c r="G5677" s="2"/>
      <c r="H5677" s="2" t="str">
        <f>IFERROR(__xludf.DUMMYFUNCTION("IF(G5677&lt;&gt;"""", GOOGLETRANSLATE(G5677, ""en"", ""te""),"""")"),"")</f>
        <v/>
      </c>
      <c r="I5677" s="3"/>
    </row>
    <row r="5678" customHeight="1" spans="1:9">
      <c r="A5678" s="2"/>
      <c r="B5678" s="2" t="str">
        <f>IFERROR(__xludf.DUMMYFUNCTION("IF(A5678&lt;&gt;"""", GOOGLETRANSLATE(A5678, ""en"", ""te""),"""")"),"")</f>
        <v/>
      </c>
      <c r="C5678" s="2"/>
      <c r="D5678" s="2" t="str">
        <f>IFERROR(__xludf.DUMMYFUNCTION("IF(C5678&lt;&gt;"""", GOOGLETRANSLATE(C5678, ""en"", ""te""),"""")"),"")</f>
        <v/>
      </c>
      <c r="E5678" s="2"/>
      <c r="F5678" s="2" t="str">
        <f>IFERROR(__xludf.DUMMYFUNCTION("IF(E5678&lt;&gt;"""", GOOGLETRANSLATE(E5678, ""en"", ""te""),"""")"),"")</f>
        <v/>
      </c>
      <c r="G5678" s="2"/>
      <c r="H5678" s="2" t="str">
        <f>IFERROR(__xludf.DUMMYFUNCTION("IF(G5678&lt;&gt;"""", GOOGLETRANSLATE(G5678, ""en"", ""te""),"""")"),"")</f>
        <v/>
      </c>
      <c r="I5678" s="3"/>
    </row>
    <row r="5679" customHeight="1" spans="1:9">
      <c r="A5679" s="2"/>
      <c r="B5679" s="2" t="str">
        <f>IFERROR(__xludf.DUMMYFUNCTION("IF(A5679&lt;&gt;"""", GOOGLETRANSLATE(A5679, ""en"", ""te""),"""")"),"")</f>
        <v/>
      </c>
      <c r="C5679" s="2"/>
      <c r="D5679" s="2" t="str">
        <f>IFERROR(__xludf.DUMMYFUNCTION("IF(C5679&lt;&gt;"""", GOOGLETRANSLATE(C5679, ""en"", ""te""),"""")"),"")</f>
        <v/>
      </c>
      <c r="E5679" s="2"/>
      <c r="F5679" s="2" t="str">
        <f>IFERROR(__xludf.DUMMYFUNCTION("IF(E5679&lt;&gt;"""", GOOGLETRANSLATE(E5679, ""en"", ""te""),"""")"),"")</f>
        <v/>
      </c>
      <c r="G5679" s="2"/>
      <c r="H5679" s="2" t="str">
        <f>IFERROR(__xludf.DUMMYFUNCTION("IF(G5679&lt;&gt;"""", GOOGLETRANSLATE(G5679, ""en"", ""te""),"""")"),"")</f>
        <v/>
      </c>
      <c r="I5679" s="3"/>
    </row>
    <row r="5680" customHeight="1" spans="1:9">
      <c r="A5680" s="2"/>
      <c r="B5680" s="2" t="str">
        <f>IFERROR(__xludf.DUMMYFUNCTION("IF(A5680&lt;&gt;"""", GOOGLETRANSLATE(A5680, ""en"", ""te""),"""")"),"")</f>
        <v/>
      </c>
      <c r="C5680" s="2"/>
      <c r="D5680" s="2" t="str">
        <f>IFERROR(__xludf.DUMMYFUNCTION("IF(C5680&lt;&gt;"""", GOOGLETRANSLATE(C5680, ""en"", ""te""),"""")"),"")</f>
        <v/>
      </c>
      <c r="E5680" s="2"/>
      <c r="F5680" s="2" t="str">
        <f>IFERROR(__xludf.DUMMYFUNCTION("IF(E5680&lt;&gt;"""", GOOGLETRANSLATE(E5680, ""en"", ""te""),"""")"),"")</f>
        <v/>
      </c>
      <c r="G5680" s="2"/>
      <c r="H5680" s="2" t="str">
        <f>IFERROR(__xludf.DUMMYFUNCTION("IF(G5680&lt;&gt;"""", GOOGLETRANSLATE(G5680, ""en"", ""te""),"""")"),"")</f>
        <v/>
      </c>
      <c r="I5680" s="3"/>
    </row>
    <row r="5681" customHeight="1" spans="1:9">
      <c r="A5681" s="2"/>
      <c r="B5681" s="2" t="str">
        <f>IFERROR(__xludf.DUMMYFUNCTION("IF(A5681&lt;&gt;"""", GOOGLETRANSLATE(A5681, ""en"", ""te""),"""")"),"")</f>
        <v/>
      </c>
      <c r="C5681" s="2"/>
      <c r="D5681" s="2" t="str">
        <f>IFERROR(__xludf.DUMMYFUNCTION("IF(C5681&lt;&gt;"""", GOOGLETRANSLATE(C5681, ""en"", ""te""),"""")"),"")</f>
        <v/>
      </c>
      <c r="E5681" s="2"/>
      <c r="F5681" s="2" t="str">
        <f>IFERROR(__xludf.DUMMYFUNCTION("IF(E5681&lt;&gt;"""", GOOGLETRANSLATE(E5681, ""en"", ""te""),"""")"),"")</f>
        <v/>
      </c>
      <c r="G5681" s="2"/>
      <c r="H5681" s="2" t="str">
        <f>IFERROR(__xludf.DUMMYFUNCTION("IF(G5681&lt;&gt;"""", GOOGLETRANSLATE(G5681, ""en"", ""te""),"""")"),"")</f>
        <v/>
      </c>
      <c r="I5681" s="3"/>
    </row>
    <row r="5682" customHeight="1" spans="1:9">
      <c r="A5682" s="2"/>
      <c r="B5682" s="2" t="str">
        <f>IFERROR(__xludf.DUMMYFUNCTION("IF(A5682&lt;&gt;"""", GOOGLETRANSLATE(A5682, ""en"", ""te""),"""")"),"")</f>
        <v/>
      </c>
      <c r="C5682" s="2"/>
      <c r="D5682" s="2" t="str">
        <f>IFERROR(__xludf.DUMMYFUNCTION("IF(C5682&lt;&gt;"""", GOOGLETRANSLATE(C5682, ""en"", ""te""),"""")"),"")</f>
        <v/>
      </c>
      <c r="E5682" s="2"/>
      <c r="F5682" s="2" t="str">
        <f>IFERROR(__xludf.DUMMYFUNCTION("IF(E5682&lt;&gt;"""", GOOGLETRANSLATE(E5682, ""en"", ""te""),"""")"),"")</f>
        <v/>
      </c>
      <c r="G5682" s="2"/>
      <c r="H5682" s="2" t="str">
        <f>IFERROR(__xludf.DUMMYFUNCTION("IF(G5682&lt;&gt;"""", GOOGLETRANSLATE(G5682, ""en"", ""te""),"""")"),"")</f>
        <v/>
      </c>
      <c r="I5682" s="3"/>
    </row>
    <row r="5683" customHeight="1" spans="1:9">
      <c r="A5683" s="2"/>
      <c r="B5683" s="2" t="str">
        <f>IFERROR(__xludf.DUMMYFUNCTION("IF(A5683&lt;&gt;"""", GOOGLETRANSLATE(A5683, ""en"", ""te""),"""")"),"")</f>
        <v/>
      </c>
      <c r="C5683" s="2"/>
      <c r="D5683" s="2" t="str">
        <f>IFERROR(__xludf.DUMMYFUNCTION("IF(C5683&lt;&gt;"""", GOOGLETRANSLATE(C5683, ""en"", ""te""),"""")"),"")</f>
        <v/>
      </c>
      <c r="E5683" s="2"/>
      <c r="F5683" s="2" t="str">
        <f>IFERROR(__xludf.DUMMYFUNCTION("IF(E5683&lt;&gt;"""", GOOGLETRANSLATE(E5683, ""en"", ""te""),"""")"),"")</f>
        <v/>
      </c>
      <c r="G5683" s="2"/>
      <c r="H5683" s="2" t="str">
        <f>IFERROR(__xludf.DUMMYFUNCTION("IF(G5683&lt;&gt;"""", GOOGLETRANSLATE(G5683, ""en"", ""te""),"""")"),"")</f>
        <v/>
      </c>
      <c r="I5683" s="3"/>
    </row>
    <row r="5684" customHeight="1" spans="1:9">
      <c r="A5684" s="2"/>
      <c r="B5684" s="2" t="str">
        <f>IFERROR(__xludf.DUMMYFUNCTION("IF(A5684&lt;&gt;"""", GOOGLETRANSLATE(A5684, ""en"", ""te""),"""")"),"")</f>
        <v/>
      </c>
      <c r="C5684" s="2"/>
      <c r="D5684" s="2" t="str">
        <f>IFERROR(__xludf.DUMMYFUNCTION("IF(C5684&lt;&gt;"""", GOOGLETRANSLATE(C5684, ""en"", ""te""),"""")"),"")</f>
        <v/>
      </c>
      <c r="E5684" s="2"/>
      <c r="F5684" s="2" t="str">
        <f>IFERROR(__xludf.DUMMYFUNCTION("IF(E5684&lt;&gt;"""", GOOGLETRANSLATE(E5684, ""en"", ""te""),"""")"),"")</f>
        <v/>
      </c>
      <c r="G5684" s="2"/>
      <c r="H5684" s="2" t="str">
        <f>IFERROR(__xludf.DUMMYFUNCTION("IF(G5684&lt;&gt;"""", GOOGLETRANSLATE(G5684, ""en"", ""te""),"""")"),"")</f>
        <v/>
      </c>
      <c r="I5684" s="3"/>
    </row>
    <row r="5685" customHeight="1" spans="1:9">
      <c r="A5685" s="2" t="s">
        <v>3641</v>
      </c>
      <c r="B5685" s="2" t="str">
        <f>IFERROR(__xludf.DUMMYFUNCTION("IF(A5685&lt;&gt;"""", GOOGLETRANSLATE(A5685, ""en"", ""te""),"""")"),"[ 'తొలి హండ్రెడ్ (134)', '7 వ పిన్న ఆటగాడు వంద (18y 329d) స్కోర్']")</f>
        <v>[ 'తొలి హండ్రెడ్ (134)', '7 వ పిన్న ఆటగాడు వంద (18y 329d) స్కోర్']</v>
      </c>
      <c r="C5685" s="2" t="s">
        <v>3642</v>
      </c>
      <c r="D5685" s="2" t="str">
        <f>IFERROR(__xludf.DUMMYFUNCTION("IF(C5685&lt;&gt;"""", GOOGLETRANSLATE(C5685, ""en"", ""te""),"""")"),"[ '7th పిన్న ఆటగాడు వంద (18y 329d) స్కోర్']")</f>
        <v>[ '7th పిన్న ఆటగాడు వంద (18y 329d) స్కోర్']</v>
      </c>
      <c r="E5685" s="2"/>
      <c r="F5685" s="2" t="str">
        <f>IFERROR(__xludf.DUMMYFUNCTION("IF(E5685&lt;&gt;"""", GOOGLETRANSLATE(E5685, ""en"", ""te""),"""")"),"")</f>
        <v/>
      </c>
      <c r="G5685" s="2"/>
      <c r="H5685" s="2" t="str">
        <f>IFERROR(__xludf.DUMMYFUNCTION("IF(G5685&lt;&gt;"""", GOOGLETRANSLATE(G5685, ""en"", ""te""),"""")"),"")</f>
        <v/>
      </c>
      <c r="I5685" s="3"/>
    </row>
    <row r="5686" customHeight="1" spans="1:9">
      <c r="A5686" s="2"/>
      <c r="B5686" s="2" t="str">
        <f>IFERROR(__xludf.DUMMYFUNCTION("IF(A5686&lt;&gt;"""", GOOGLETRANSLATE(A5686, ""en"", ""te""),"""")"),"")</f>
        <v/>
      </c>
      <c r="C5686" s="2"/>
      <c r="D5686" s="2" t="str">
        <f>IFERROR(__xludf.DUMMYFUNCTION("IF(C5686&lt;&gt;"""", GOOGLETRANSLATE(C5686, ""en"", ""te""),"""")"),"")</f>
        <v/>
      </c>
      <c r="E5686" s="2"/>
      <c r="F5686" s="2" t="str">
        <f>IFERROR(__xludf.DUMMYFUNCTION("IF(E5686&lt;&gt;"""", GOOGLETRANSLATE(E5686, ""en"", ""te""),"""")"),"")</f>
        <v/>
      </c>
      <c r="G5686" s="2"/>
      <c r="H5686" s="2" t="str">
        <f>IFERROR(__xludf.DUMMYFUNCTION("IF(G5686&lt;&gt;"""", GOOGLETRANSLATE(G5686, ""en"", ""te""),"""")"),"")</f>
        <v/>
      </c>
      <c r="I5686" s="3"/>
    </row>
    <row r="5687" customHeight="1" spans="1:9">
      <c r="A5687" s="2"/>
      <c r="B5687" s="2" t="str">
        <f>IFERROR(__xludf.DUMMYFUNCTION("IF(A5687&lt;&gt;"""", GOOGLETRANSLATE(A5687, ""en"", ""te""),"""")"),"")</f>
        <v/>
      </c>
      <c r="C5687" s="2"/>
      <c r="D5687" s="2" t="str">
        <f>IFERROR(__xludf.DUMMYFUNCTION("IF(C5687&lt;&gt;"""", GOOGLETRANSLATE(C5687, ""en"", ""te""),"""")"),"")</f>
        <v/>
      </c>
      <c r="E5687" s="2"/>
      <c r="F5687" s="2" t="str">
        <f>IFERROR(__xludf.DUMMYFUNCTION("IF(E5687&lt;&gt;"""", GOOGLETRANSLATE(E5687, ""en"", ""te""),"""")"),"")</f>
        <v/>
      </c>
      <c r="G5687" s="2"/>
      <c r="H5687" s="2" t="str">
        <f>IFERROR(__xludf.DUMMYFUNCTION("IF(G5687&lt;&gt;"""", GOOGLETRANSLATE(G5687, ""en"", ""te""),"""")"),"")</f>
        <v/>
      </c>
      <c r="I5687" s="3"/>
    </row>
    <row r="5688" customHeight="1" spans="1:9">
      <c r="A5688" s="2"/>
      <c r="B5688" s="2" t="str">
        <f>IFERROR(__xludf.DUMMYFUNCTION("IF(A5688&lt;&gt;"""", GOOGLETRANSLATE(A5688, ""en"", ""te""),"""")"),"")</f>
        <v/>
      </c>
      <c r="C5688" s="2"/>
      <c r="D5688" s="2" t="str">
        <f>IFERROR(__xludf.DUMMYFUNCTION("IF(C5688&lt;&gt;"""", GOOGLETRANSLATE(C5688, ""en"", ""te""),"""")"),"")</f>
        <v/>
      </c>
      <c r="E5688" s="2"/>
      <c r="F5688" s="2" t="str">
        <f>IFERROR(__xludf.DUMMYFUNCTION("IF(E5688&lt;&gt;"""", GOOGLETRANSLATE(E5688, ""en"", ""te""),"""")"),"")</f>
        <v/>
      </c>
      <c r="G5688" s="2"/>
      <c r="H5688" s="2" t="str">
        <f>IFERROR(__xludf.DUMMYFUNCTION("IF(G5688&lt;&gt;"""", GOOGLETRANSLATE(G5688, ""en"", ""te""),"""")"),"")</f>
        <v/>
      </c>
      <c r="I5688" s="3"/>
    </row>
    <row r="5689" customHeight="1" spans="1:9">
      <c r="A5689" s="2"/>
      <c r="B5689" s="2" t="str">
        <f>IFERROR(__xludf.DUMMYFUNCTION("IF(A5689&lt;&gt;"""", GOOGLETRANSLATE(A5689, ""en"", ""te""),"""")"),"")</f>
        <v/>
      </c>
      <c r="C5689" s="2"/>
      <c r="D5689" s="2" t="str">
        <f>IFERROR(__xludf.DUMMYFUNCTION("IF(C5689&lt;&gt;"""", GOOGLETRANSLATE(C5689, ""en"", ""te""),"""")"),"")</f>
        <v/>
      </c>
      <c r="E5689" s="2"/>
      <c r="F5689" s="2" t="str">
        <f>IFERROR(__xludf.DUMMYFUNCTION("IF(E5689&lt;&gt;"""", GOOGLETRANSLATE(E5689, ""en"", ""te""),"""")"),"")</f>
        <v/>
      </c>
      <c r="G5689" s="2"/>
      <c r="H5689" s="2" t="str">
        <f>IFERROR(__xludf.DUMMYFUNCTION("IF(G5689&lt;&gt;"""", GOOGLETRANSLATE(G5689, ""en"", ""te""),"""")"),"")</f>
        <v/>
      </c>
      <c r="I5689" s="3"/>
    </row>
    <row r="5690" customHeight="1" spans="1:9">
      <c r="A5690" s="2"/>
      <c r="B5690" s="2" t="str">
        <f>IFERROR(__xludf.DUMMYFUNCTION("IF(A5690&lt;&gt;"""", GOOGLETRANSLATE(A5690, ""en"", ""te""),"""")"),"")</f>
        <v/>
      </c>
      <c r="C5690" s="2"/>
      <c r="D5690" s="2" t="str">
        <f>IFERROR(__xludf.DUMMYFUNCTION("IF(C5690&lt;&gt;"""", GOOGLETRANSLATE(C5690, ""en"", ""te""),"""")"),"")</f>
        <v/>
      </c>
      <c r="E5690" s="2"/>
      <c r="F5690" s="2" t="str">
        <f>IFERROR(__xludf.DUMMYFUNCTION("IF(E5690&lt;&gt;"""", GOOGLETRANSLATE(E5690, ""en"", ""te""),"""")"),"")</f>
        <v/>
      </c>
      <c r="G5690" s="2"/>
      <c r="H5690" s="2" t="str">
        <f>IFERROR(__xludf.DUMMYFUNCTION("IF(G5690&lt;&gt;"""", GOOGLETRANSLATE(G5690, ""en"", ""te""),"""")"),"")</f>
        <v/>
      </c>
      <c r="I5690" s="3"/>
    </row>
    <row r="5691" customHeight="1" spans="1:9">
      <c r="A5691" s="2"/>
      <c r="B5691" s="2" t="str">
        <f>IFERROR(__xludf.DUMMYFUNCTION("IF(A5691&lt;&gt;"""", GOOGLETRANSLATE(A5691, ""en"", ""te""),"""")"),"")</f>
        <v/>
      </c>
      <c r="C5691" s="2"/>
      <c r="D5691" s="2" t="str">
        <f>IFERROR(__xludf.DUMMYFUNCTION("IF(C5691&lt;&gt;"""", GOOGLETRANSLATE(C5691, ""en"", ""te""),"""")"),"")</f>
        <v/>
      </c>
      <c r="E5691" s="2"/>
      <c r="F5691" s="2" t="str">
        <f>IFERROR(__xludf.DUMMYFUNCTION("IF(E5691&lt;&gt;"""", GOOGLETRANSLATE(E5691, ""en"", ""te""),"""")"),"")</f>
        <v/>
      </c>
      <c r="G5691" s="2"/>
      <c r="H5691" s="2" t="str">
        <f>IFERROR(__xludf.DUMMYFUNCTION("IF(G5691&lt;&gt;"""", GOOGLETRANSLATE(G5691, ""en"", ""te""),"""")"),"")</f>
        <v/>
      </c>
      <c r="I5691" s="3"/>
    </row>
    <row r="5692" customHeight="1" spans="1:9">
      <c r="A5692" s="2"/>
      <c r="B5692" s="2" t="str">
        <f>IFERROR(__xludf.DUMMYFUNCTION("IF(A5692&lt;&gt;"""", GOOGLETRANSLATE(A5692, ""en"", ""te""),"""")"),"")</f>
        <v/>
      </c>
      <c r="C5692" s="2"/>
      <c r="D5692" s="2" t="str">
        <f>IFERROR(__xludf.DUMMYFUNCTION("IF(C5692&lt;&gt;"""", GOOGLETRANSLATE(C5692, ""en"", ""te""),"""")"),"")</f>
        <v/>
      </c>
      <c r="E5692" s="2"/>
      <c r="F5692" s="2" t="str">
        <f>IFERROR(__xludf.DUMMYFUNCTION("IF(E5692&lt;&gt;"""", GOOGLETRANSLATE(E5692, ""en"", ""te""),"""")"),"")</f>
        <v/>
      </c>
      <c r="G5692" s="2"/>
      <c r="H5692" s="2" t="str">
        <f>IFERROR(__xludf.DUMMYFUNCTION("IF(G5692&lt;&gt;"""", GOOGLETRANSLATE(G5692, ""en"", ""te""),"""")"),"")</f>
        <v/>
      </c>
      <c r="I5692" s="3"/>
    </row>
    <row r="5693" customHeight="1" spans="1:9">
      <c r="A5693" s="2"/>
      <c r="B5693" s="2" t="str">
        <f>IFERROR(__xludf.DUMMYFUNCTION("IF(A5693&lt;&gt;"""", GOOGLETRANSLATE(A5693, ""en"", ""te""),"""")"),"")</f>
        <v/>
      </c>
      <c r="C5693" s="2"/>
      <c r="D5693" s="2" t="str">
        <f>IFERROR(__xludf.DUMMYFUNCTION("IF(C5693&lt;&gt;"""", GOOGLETRANSLATE(C5693, ""en"", ""te""),"""")"),"")</f>
        <v/>
      </c>
      <c r="E5693" s="2"/>
      <c r="F5693" s="2" t="str">
        <f>IFERROR(__xludf.DUMMYFUNCTION("IF(E5693&lt;&gt;"""", GOOGLETRANSLATE(E5693, ""en"", ""te""),"""")"),"")</f>
        <v/>
      </c>
      <c r="G5693" s="2"/>
      <c r="H5693" s="2" t="str">
        <f>IFERROR(__xludf.DUMMYFUNCTION("IF(G5693&lt;&gt;"""", GOOGLETRANSLATE(G5693, ""en"", ""te""),"""")"),"")</f>
        <v/>
      </c>
      <c r="I5693" s="3"/>
    </row>
    <row r="5694" customHeight="1" spans="1:9">
      <c r="A5694" s="2"/>
      <c r="B5694" s="2" t="str">
        <f>IFERROR(__xludf.DUMMYFUNCTION("IF(A5694&lt;&gt;"""", GOOGLETRANSLATE(A5694, ""en"", ""te""),"""")"),"")</f>
        <v/>
      </c>
      <c r="C5694" s="2"/>
      <c r="D5694" s="2" t="str">
        <f>IFERROR(__xludf.DUMMYFUNCTION("IF(C5694&lt;&gt;"""", GOOGLETRANSLATE(C5694, ""en"", ""te""),"""")"),"")</f>
        <v/>
      </c>
      <c r="E5694" s="2"/>
      <c r="F5694" s="2" t="str">
        <f>IFERROR(__xludf.DUMMYFUNCTION("IF(E5694&lt;&gt;"""", GOOGLETRANSLATE(E5694, ""en"", ""te""),"""")"),"")</f>
        <v/>
      </c>
      <c r="G5694" s="2"/>
      <c r="H5694" s="2" t="str">
        <f>IFERROR(__xludf.DUMMYFUNCTION("IF(G5694&lt;&gt;"""", GOOGLETRANSLATE(G5694, ""en"", ""te""),"""")"),"")</f>
        <v/>
      </c>
      <c r="I5694" s="3"/>
    </row>
    <row r="5695" customHeight="1" spans="1:9">
      <c r="A5695" s="2"/>
      <c r="B5695" s="2" t="str">
        <f>IFERROR(__xludf.DUMMYFUNCTION("IF(A5695&lt;&gt;"""", GOOGLETRANSLATE(A5695, ""en"", ""te""),"""")"),"")</f>
        <v/>
      </c>
      <c r="C5695" s="2"/>
      <c r="D5695" s="2" t="str">
        <f>IFERROR(__xludf.DUMMYFUNCTION("IF(C5695&lt;&gt;"""", GOOGLETRANSLATE(C5695, ""en"", ""te""),"""")"),"")</f>
        <v/>
      </c>
      <c r="E5695" s="2"/>
      <c r="F5695" s="2" t="str">
        <f>IFERROR(__xludf.DUMMYFUNCTION("IF(E5695&lt;&gt;"""", GOOGLETRANSLATE(E5695, ""en"", ""te""),"""")"),"")</f>
        <v/>
      </c>
      <c r="G5695" s="2"/>
      <c r="H5695" s="2" t="str">
        <f>IFERROR(__xludf.DUMMYFUNCTION("IF(G5695&lt;&gt;"""", GOOGLETRANSLATE(G5695, ""en"", ""te""),"""")"),"")</f>
        <v/>
      </c>
      <c r="I5695" s="3"/>
    </row>
    <row r="5696" customHeight="1" spans="1:9">
      <c r="A5696" s="2"/>
      <c r="B5696" s="2" t="str">
        <f>IFERROR(__xludf.DUMMYFUNCTION("IF(A5696&lt;&gt;"""", GOOGLETRANSLATE(A5696, ""en"", ""te""),"""")"),"")</f>
        <v/>
      </c>
      <c r="C5696" s="2"/>
      <c r="D5696" s="2" t="str">
        <f>IFERROR(__xludf.DUMMYFUNCTION("IF(C5696&lt;&gt;"""", GOOGLETRANSLATE(C5696, ""en"", ""te""),"""")"),"")</f>
        <v/>
      </c>
      <c r="E5696" s="2"/>
      <c r="F5696" s="2" t="str">
        <f>IFERROR(__xludf.DUMMYFUNCTION("IF(E5696&lt;&gt;"""", GOOGLETRANSLATE(E5696, ""en"", ""te""),"""")"),"")</f>
        <v/>
      </c>
      <c r="G5696" s="2"/>
      <c r="H5696" s="2" t="str">
        <f>IFERROR(__xludf.DUMMYFUNCTION("IF(G5696&lt;&gt;"""", GOOGLETRANSLATE(G5696, ""en"", ""te""),"""")"),"")</f>
        <v/>
      </c>
      <c r="I5696" s="3"/>
    </row>
    <row r="5697" customHeight="1" spans="1:9">
      <c r="A5697" s="2"/>
      <c r="B5697" s="2" t="str">
        <f>IFERROR(__xludf.DUMMYFUNCTION("IF(A5697&lt;&gt;"""", GOOGLETRANSLATE(A5697, ""en"", ""te""),"""")"),"")</f>
        <v/>
      </c>
      <c r="C5697" s="2"/>
      <c r="D5697" s="2" t="str">
        <f>IFERROR(__xludf.DUMMYFUNCTION("IF(C5697&lt;&gt;"""", GOOGLETRANSLATE(C5697, ""en"", ""te""),"""")"),"")</f>
        <v/>
      </c>
      <c r="E5697" s="2"/>
      <c r="F5697" s="2" t="str">
        <f>IFERROR(__xludf.DUMMYFUNCTION("IF(E5697&lt;&gt;"""", GOOGLETRANSLATE(E5697, ""en"", ""te""),"""")"),"")</f>
        <v/>
      </c>
      <c r="G5697" s="2"/>
      <c r="H5697" s="2" t="str">
        <f>IFERROR(__xludf.DUMMYFUNCTION("IF(G5697&lt;&gt;"""", GOOGLETRANSLATE(G5697, ""en"", ""te""),"""")"),"")</f>
        <v/>
      </c>
      <c r="I5697" s="3"/>
    </row>
    <row r="5698" customHeight="1" spans="1:9">
      <c r="A5698" s="2"/>
      <c r="B5698" s="2" t="str">
        <f>IFERROR(__xludf.DUMMYFUNCTION("IF(A5698&lt;&gt;"""", GOOGLETRANSLATE(A5698, ""en"", ""te""),"""")"),"")</f>
        <v/>
      </c>
      <c r="C5698" s="2"/>
      <c r="D5698" s="2" t="str">
        <f>IFERROR(__xludf.DUMMYFUNCTION("IF(C5698&lt;&gt;"""", GOOGLETRANSLATE(C5698, ""en"", ""te""),"""")"),"")</f>
        <v/>
      </c>
      <c r="E5698" s="2"/>
      <c r="F5698" s="2" t="str">
        <f>IFERROR(__xludf.DUMMYFUNCTION("IF(E5698&lt;&gt;"""", GOOGLETRANSLATE(E5698, ""en"", ""te""),"""")"),"")</f>
        <v/>
      </c>
      <c r="G5698" s="2"/>
      <c r="H5698" s="2" t="str">
        <f>IFERROR(__xludf.DUMMYFUNCTION("IF(G5698&lt;&gt;"""", GOOGLETRANSLATE(G5698, ""en"", ""te""),"""")"),"")</f>
        <v/>
      </c>
      <c r="I5698" s="3"/>
    </row>
    <row r="5699" customHeight="1" spans="1:9">
      <c r="A5699" s="2"/>
      <c r="B5699" s="2" t="str">
        <f>IFERROR(__xludf.DUMMYFUNCTION("IF(A5699&lt;&gt;"""", GOOGLETRANSLATE(A5699, ""en"", ""te""),"""")"),"")</f>
        <v/>
      </c>
      <c r="C5699" s="2"/>
      <c r="D5699" s="2" t="str">
        <f>IFERROR(__xludf.DUMMYFUNCTION("IF(C5699&lt;&gt;"""", GOOGLETRANSLATE(C5699, ""en"", ""te""),"""")"),"")</f>
        <v/>
      </c>
      <c r="E5699" s="2"/>
      <c r="F5699" s="2" t="str">
        <f>IFERROR(__xludf.DUMMYFUNCTION("IF(E5699&lt;&gt;"""", GOOGLETRANSLATE(E5699, ""en"", ""te""),"""")"),"")</f>
        <v/>
      </c>
      <c r="G5699" s="2"/>
      <c r="H5699" s="2" t="str">
        <f>IFERROR(__xludf.DUMMYFUNCTION("IF(G5699&lt;&gt;"""", GOOGLETRANSLATE(G5699, ""en"", ""te""),"""")"),"")</f>
        <v/>
      </c>
      <c r="I5699" s="3"/>
    </row>
    <row r="5700" customHeight="1" spans="1:9">
      <c r="A5700" s="2"/>
      <c r="B5700" s="2" t="str">
        <f>IFERROR(__xludf.DUMMYFUNCTION("IF(A5700&lt;&gt;"""", GOOGLETRANSLATE(A5700, ""en"", ""te""),"""")"),"")</f>
        <v/>
      </c>
      <c r="C5700" s="2"/>
      <c r="D5700" s="2" t="str">
        <f>IFERROR(__xludf.DUMMYFUNCTION("IF(C5700&lt;&gt;"""", GOOGLETRANSLATE(C5700, ""en"", ""te""),"""")"),"")</f>
        <v/>
      </c>
      <c r="E5700" s="2"/>
      <c r="F5700" s="2" t="str">
        <f>IFERROR(__xludf.DUMMYFUNCTION("IF(E5700&lt;&gt;"""", GOOGLETRANSLATE(E5700, ""en"", ""te""),"""")"),"")</f>
        <v/>
      </c>
      <c r="G5700" s="2"/>
      <c r="H5700" s="2" t="str">
        <f>IFERROR(__xludf.DUMMYFUNCTION("IF(G5700&lt;&gt;"""", GOOGLETRANSLATE(G5700, ""en"", ""te""),"""")"),"")</f>
        <v/>
      </c>
      <c r="I5700" s="3"/>
    </row>
    <row r="5701" customHeight="1" spans="1:9">
      <c r="A5701" s="2"/>
      <c r="B5701" s="2" t="str">
        <f>IFERROR(__xludf.DUMMYFUNCTION("IF(A5701&lt;&gt;"""", GOOGLETRANSLATE(A5701, ""en"", ""te""),"""")"),"")</f>
        <v/>
      </c>
      <c r="C5701" s="2"/>
      <c r="D5701" s="2" t="str">
        <f>IFERROR(__xludf.DUMMYFUNCTION("IF(C5701&lt;&gt;"""", GOOGLETRANSLATE(C5701, ""en"", ""te""),"""")"),"")</f>
        <v/>
      </c>
      <c r="E5701" s="2"/>
      <c r="F5701" s="2" t="str">
        <f>IFERROR(__xludf.DUMMYFUNCTION("IF(E5701&lt;&gt;"""", GOOGLETRANSLATE(E5701, ""en"", ""te""),"""")"),"")</f>
        <v/>
      </c>
      <c r="G5701" s="2"/>
      <c r="H5701" s="2" t="str">
        <f>IFERROR(__xludf.DUMMYFUNCTION("IF(G5701&lt;&gt;"""", GOOGLETRANSLATE(G5701, ""en"", ""te""),"""")"),"")</f>
        <v/>
      </c>
      <c r="I5701" s="3"/>
    </row>
    <row r="5702" customHeight="1" spans="1:9">
      <c r="A5702" s="2"/>
      <c r="B5702" s="2" t="str">
        <f>IFERROR(__xludf.DUMMYFUNCTION("IF(A5702&lt;&gt;"""", GOOGLETRANSLATE(A5702, ""en"", ""te""),"""")"),"")</f>
        <v/>
      </c>
      <c r="C5702" s="2"/>
      <c r="D5702" s="2" t="str">
        <f>IFERROR(__xludf.DUMMYFUNCTION("IF(C5702&lt;&gt;"""", GOOGLETRANSLATE(C5702, ""en"", ""te""),"""")"),"")</f>
        <v/>
      </c>
      <c r="E5702" s="2"/>
      <c r="F5702" s="2" t="str">
        <f>IFERROR(__xludf.DUMMYFUNCTION("IF(E5702&lt;&gt;"""", GOOGLETRANSLATE(E5702, ""en"", ""te""),"""")"),"")</f>
        <v/>
      </c>
      <c r="G5702" s="2"/>
      <c r="H5702" s="2" t="str">
        <f>IFERROR(__xludf.DUMMYFUNCTION("IF(G5702&lt;&gt;"""", GOOGLETRANSLATE(G5702, ""en"", ""te""),"""")"),"")</f>
        <v/>
      </c>
      <c r="I5702" s="3"/>
    </row>
    <row r="5703" customHeight="1" spans="1:9">
      <c r="A5703" s="2" t="s">
        <v>3643</v>
      </c>
      <c r="B5703" s="2" t="str">
        <f>IFERROR(__xludf.DUMMYFUNCTION("IF(A5703&lt;&gt;"""", GOOGLETRANSLATE(A5703, ""en"", ""te""),"""")"),"[ 'ఒక మ్యాచ్ రిఫరీ ఇది 7 వ అత్యధిక మ్యాచ్లు (57)', '1st ఒక మ్యాచ్లో ఉత్తమ సంఖ్యలు ఉన్నప్పుడు పరాజయం వైపు (13)', '1000 పరుగులు మరియు 100 వికెట్లు', '4 వ మ్యాచ్ రిఫరీ గా అత్యధిక మ్యాచ్లు (226) ',' 6 వ ఒక సిరీస్లో అత్యధిక బాతులు (3) ',' 8 వ అత్యధిక వికెట్లు"&amp;" ఆకర్షించింది (197) ',' ఫాస్టెస్ట్ 8 వ 300 వికెట్లు తీసుకున్న (219) ',' 5 వ ఒక మ్యాచ్ రిఫరీ గా అత్యధిక మ్యాచ్లు (88) ']")</f>
        <v>[ 'ఒక మ్యాచ్ రిఫరీ ఇది 7 వ అత్యధిక మ్యాచ్లు (57)', '1st ఒక మ్యాచ్లో ఉత్తమ సంఖ్యలు ఉన్నప్పుడు పరాజయం వైపు (13)', '1000 పరుగులు మరియు 100 వికెట్లు', '4 వ మ్యాచ్ రిఫరీ గా అత్యధిక మ్యాచ్లు (226) ',' 6 వ ఒక సిరీస్లో అత్యధిక బాతులు (3) ',' 8 వ అత్యధిక వికెట్లు ఆకర్షించింది (197) ',' ఫాస్టెస్ట్ 8 వ 300 వికెట్లు తీసుకున్న (219) ',' 5 వ ఒక మ్యాచ్ రిఫరీ గా అత్యధిక మ్యాచ్లు (88) ']</v>
      </c>
      <c r="C5703" s="2" t="s">
        <v>3644</v>
      </c>
      <c r="D5703" s="2" t="str">
        <f>IFERROR(__xludf.DUMMYFUNCTION("IF(C5703&lt;&gt;"""", GOOGLETRANSLATE(C5703, ""en"", ""te""),"""")"),"[ '5 వ ఒక ఇన్నింగ్స్ లోని బెస్ట్ ఫిగర్స్ ఉన్నప్పుడు పరాజయం వైపు (8)', '1 వ ఉత్తమ పరాజయం వైపు ఒక మ్యాచ్ను లో సంఖ్యలు (13)', '18 వ అత్యంత' 25 వ మ్యాచ్లో (13) ఉత్తమ ప్రముఖులలో వరుసగా ఐదు వికెట్లు-ఇన్-ఒక-ఇన్నింగ్స్ (3) ',' 50 వ అత్యధిక పరుగులు కెరీర్లో సాధి"&amp;"ంచిన (7196) ',' 34 వ అత్యధిక వికెట్లు (63) ',' 7th ఒక మ్యాచ్ రిఫరీ గా అత్యధిక మ్యాచ్లు (ఒక వికెట్ కీపర్ చే కాట్ తీసుకున్న 57) ']")</f>
        <v>[ '5 వ ఒక ఇన్నింగ్స్ లోని బెస్ట్ ఫిగర్స్ ఉన్నప్పుడు పరాజయం వైపు (8)', '1 వ ఉత్తమ పరాజయం వైపు ఒక మ్యాచ్ను లో సంఖ్యలు (13)', '18 వ అత్యంత' 25 వ మ్యాచ్లో (13) ఉత్తమ ప్రముఖులలో వరుసగా ఐదు వికెట్లు-ఇన్-ఒక-ఇన్నింగ్స్ (3) ',' 50 వ అత్యధిక పరుగులు కెరీర్లో సాధించిన (7196) ',' 34 వ అత్యధిక వికెట్లు (63) ',' 7th ఒక మ్యాచ్ రిఫరీ గా అత్యధిక మ్యాచ్లు (ఒక వికెట్ కీపర్ చే కాట్ తీసుకున్న 57) ']</v>
      </c>
      <c r="E5703" s="2" t="s">
        <v>3645</v>
      </c>
      <c r="F5703" s="2" t="str">
        <f>IFERROR(__xludf.DUMMYFUNCTION("IF(E5703&lt;&gt;"""", GOOGLETRANSLATE(E5703, ""en"", ""te""),"""")"),"[ '14 వ ఇన్నింగ్స్ లో అత్యధిక పరుగులు (బ్యాటింగ్ స్థానంలో ప్రకారం) (30)', '18 వ కెరీర్ బాతులు (19)', '6 వ ఒక సిరీస్లో అత్యధిక బాతులు (3)', '12 వ కెరీర్ లో అత్యధిక వికెట్లు (315) ',' 42 వ ఒక సిరీస్లో అత్యధిక వికెట్లు (18) ',' ఒకే మైదానంలో 30 వ అత్యధిక విక"&amp;"ెట్లు (39) ',' 14 వ ఒక ఇన్నింగ్స్ లోని బెస్ట్ ఫిగర్స్ ఉన్నప్పుడు పరాజయం వైపు (5) ',' 45 వ చెత్త ఆర్థిక వ్యవస్థలో రేటు ఇన్నింగ్స్ (10.83) ',' 25 వ అత్యంత ఐదు-వికెట్ల లో-ఒక-ఇన్నింగ్స్ కెరీర్లో (3) ',' 25 వ అత్యంత నాలుగు వికెట్లు-ఇన్-ఒక-ఇన్నింగ్స్ కెరీర్లో "&amp;"(10) ',' 12 వ అత్యంత కెరీర్లో బౌల్ చేయబడిన బంతులలో (11935) ',' 14 వ కెరీర్ (8847) లో సాధించిన అత్యధిక పరుగులు ',' 14 వ అత్యధిక వికెట్లు తీసుకున్న బౌల్డ్ (80) ',' 8 వ అత్యధిక వికెట్లు తీసుకున్న ఆకర్షించింది (197) ',' 13 వ అత్యధిక వికెట్లు పట్టుకుంటే తీసుకు"&amp;"న్న ఒక ఫీల్డర్ (140) ',' 13 వ అత్యధిక వికెట్లు ఒక వికెట్ కీపర్ చే కాట్ తీసుకున్న (57) ',' 23 వ అత్యధిక వికెట్లు తీసుకున్న ఎల్బిడబ్ల్యు (37) ',' 39 వ 100 వికెట్లు వేగంగా (68) ',' 39 వ 150 వికెట్లు వేగవంతమైన ( 115) ',' 20 వ 200 వికెట్లు (147) ',' 15 వ వేగం"&amp;"గా 250 వికెట్లు (182) ',' 300 వికెట్లు (ఒక మ్యాచ్ refe వంటి 219) ',' 4 వ అత్యధిక మ్యాచ్లు 8 వ వేగవంతమైన వేగంగా REE (226) ']")</f>
        <v>[ '14 వ ఇన్నింగ్స్ లో అత్యధిక పరుగులు (బ్యాటింగ్ స్థానంలో ప్రకారం) (30)', '18 వ కెరీర్ బాతులు (19)', '6 వ ఒక సిరీస్లో అత్యధిక బాతులు (3)', '12 వ కెరీర్ లో అత్యధిక వికెట్లు (315) ',' 42 వ ఒక సిరీస్లో అత్యధిక వికెట్లు (18) ',' ఒకే మైదానంలో 30 వ అత్యధిక వికెట్లు (39) ',' 14 వ ఒక ఇన్నింగ్స్ లోని బెస్ట్ ఫిగర్స్ ఉన్నప్పుడు పరాజయం వైపు (5) ',' 45 వ చెత్త ఆర్థిక వ్యవస్థలో రేటు ఇన్నింగ్స్ (10.83) ',' 25 వ అత్యంత ఐదు-వికెట్ల లో-ఒక-ఇన్నింగ్స్ కెరీర్లో (3) ',' 25 వ అత్యంత నాలుగు వికెట్లు-ఇన్-ఒక-ఇన్నింగ్స్ కెరీర్లో (10) ',' 12 వ అత్యంత కెరీర్లో బౌల్ చేయబడిన బంతులలో (11935) ',' 14 వ కెరీర్ (8847) లో సాధించిన అత్యధిక పరుగులు ',' 14 వ అత్యధిక వికెట్లు తీసుకున్న బౌల్డ్ (80) ',' 8 వ అత్యధిక వికెట్లు తీసుకున్న ఆకర్షించింది (197) ',' 13 వ అత్యధిక వికెట్లు పట్టుకుంటే తీసుకున్న ఒక ఫీల్డర్ (140) ',' 13 వ అత్యధిక వికెట్లు ఒక వికెట్ కీపర్ చే కాట్ తీసుకున్న (57) ',' 23 వ అత్యధిక వికెట్లు తీసుకున్న ఎల్బిడబ్ల్యు (37) ',' 39 వ 100 వికెట్లు వేగంగా (68) ',' 39 వ 150 వికెట్లు వేగవంతమైన ( 115) ',' 20 వ 200 వికెట్లు (147) ',' 15 వ వేగంగా 250 వికెట్లు (182) ',' 300 వికెట్లు (ఒక మ్యాచ్ refe వంటి 219) ',' 4 వ అత్యధిక మ్యాచ్లు 8 వ వేగవంతమైన వేగంగా REE (226) ']</v>
      </c>
      <c r="G5703" s="2" t="s">
        <v>3646</v>
      </c>
      <c r="H5703" s="2" t="str">
        <f>IFERROR(__xludf.DUMMYFUNCTION("IF(G5703&lt;&gt;"""", GOOGLETRANSLATE(G5703, ""en"", ""te""),"""")"),"[ 'చాలా 5 వ ఒక మ్యాచ్ రిఫరీ (88) గా పేర్కొంటే']")</f>
        <v>[ 'చాలా 5 వ ఒక మ్యాచ్ రిఫరీ (88) గా పేర్కొంటే']</v>
      </c>
      <c r="I5703" s="3"/>
    </row>
    <row r="5704" customHeight="1" spans="1:9">
      <c r="A5704" s="2"/>
      <c r="B5704" s="2" t="str">
        <f>IFERROR(__xludf.DUMMYFUNCTION("IF(A5704&lt;&gt;"""", GOOGLETRANSLATE(A5704, ""en"", ""te""),"""")"),"")</f>
        <v/>
      </c>
      <c r="C5704" s="2"/>
      <c r="D5704" s="2" t="str">
        <f>IFERROR(__xludf.DUMMYFUNCTION("IF(C5704&lt;&gt;"""", GOOGLETRANSLATE(C5704, ""en"", ""te""),"""")"),"")</f>
        <v/>
      </c>
      <c r="E5704" s="2"/>
      <c r="F5704" s="2" t="str">
        <f>IFERROR(__xludf.DUMMYFUNCTION("IF(E5704&lt;&gt;"""", GOOGLETRANSLATE(E5704, ""en"", ""te""),"""")"),"")</f>
        <v/>
      </c>
      <c r="G5704" s="2"/>
      <c r="H5704" s="2" t="str">
        <f>IFERROR(__xludf.DUMMYFUNCTION("IF(G5704&lt;&gt;"""", GOOGLETRANSLATE(G5704, ""en"", ""te""),"""")"),"")</f>
        <v/>
      </c>
      <c r="I5704" s="3"/>
    </row>
    <row r="5705" customHeight="1" spans="1:9">
      <c r="A5705" s="2"/>
      <c r="B5705" s="2" t="str">
        <f>IFERROR(__xludf.DUMMYFUNCTION("IF(A5705&lt;&gt;"""", GOOGLETRANSLATE(A5705, ""en"", ""te""),"""")"),"")</f>
        <v/>
      </c>
      <c r="C5705" s="2"/>
      <c r="D5705" s="2" t="str">
        <f>IFERROR(__xludf.DUMMYFUNCTION("IF(C5705&lt;&gt;"""", GOOGLETRANSLATE(C5705, ""en"", ""te""),"""")"),"")</f>
        <v/>
      </c>
      <c r="E5705" s="2"/>
      <c r="F5705" s="2" t="str">
        <f>IFERROR(__xludf.DUMMYFUNCTION("IF(E5705&lt;&gt;"""", GOOGLETRANSLATE(E5705, ""en"", ""te""),"""")"),"")</f>
        <v/>
      </c>
      <c r="G5705" s="2"/>
      <c r="H5705" s="2" t="str">
        <f>IFERROR(__xludf.DUMMYFUNCTION("IF(G5705&lt;&gt;"""", GOOGLETRANSLATE(G5705, ""en"", ""te""),"""")"),"")</f>
        <v/>
      </c>
      <c r="I5705" s="3"/>
    </row>
    <row r="5706" customHeight="1" spans="1:9">
      <c r="A5706" s="2"/>
      <c r="B5706" s="2" t="str">
        <f>IFERROR(__xludf.DUMMYFUNCTION("IF(A5706&lt;&gt;"""", GOOGLETRANSLATE(A5706, ""en"", ""te""),"""")"),"")</f>
        <v/>
      </c>
      <c r="C5706" s="2"/>
      <c r="D5706" s="2" t="str">
        <f>IFERROR(__xludf.DUMMYFUNCTION("IF(C5706&lt;&gt;"""", GOOGLETRANSLATE(C5706, ""en"", ""te""),"""")"),"")</f>
        <v/>
      </c>
      <c r="E5706" s="2"/>
      <c r="F5706" s="2" t="str">
        <f>IFERROR(__xludf.DUMMYFUNCTION("IF(E5706&lt;&gt;"""", GOOGLETRANSLATE(E5706, ""en"", ""te""),"""")"),"")</f>
        <v/>
      </c>
      <c r="G5706" s="2"/>
      <c r="H5706" s="2" t="str">
        <f>IFERROR(__xludf.DUMMYFUNCTION("IF(G5706&lt;&gt;"""", GOOGLETRANSLATE(G5706, ""en"", ""te""),"""")"),"")</f>
        <v/>
      </c>
      <c r="I5706" s="3"/>
    </row>
    <row r="5707" customHeight="1" spans="1:9">
      <c r="A5707" s="2" t="s">
        <v>3647</v>
      </c>
      <c r="B5707" s="2" t="str">
        <f>IFERROR(__xludf.DUMMYFUNCTION("IF(A5707&lt;&gt;"""", GOOGLETRANSLATE(A5707, ""en"", ""te""),"""")"),"[ '7th వరుస మ్యాచ్లు ఆడి మధ్య జట్టు (7) కోసం తప్పిన', '8 వ చెత్త కెరీర్ (137.00) (అర్హత లేకుండా) సగటు బౌలింగ్']")</f>
        <v>[ '7th వరుస మ్యాచ్లు ఆడి మధ్య జట్టు (7) కోసం తప్పిన', '8 వ చెత్త కెరీర్ (137.00) (అర్హత లేకుండా) సగటు బౌలింగ్']</v>
      </c>
      <c r="C5707" s="2" t="s">
        <v>3648</v>
      </c>
      <c r="D5707" s="2" t="str">
        <f>IFERROR(__xludf.DUMMYFUNCTION("IF(C5707&lt;&gt;"""", GOOGLETRANSLATE(C5707, ""en"", ""te""),"""")"),"[ '11 వ ఇన్నింగ్స్ లో అత్యధిక పరుగులు (బ్యాటింగ్ స్థానంలో ప్రకారం) (20 *)', '7 వ వరుస మ్యాచ్లు ఆడి మధ్య జట్టు (7) కోసం తప్పిన']")</f>
        <v>[ '11 వ ఇన్నింగ్స్ లో అత్యధిక పరుగులు (బ్యాటింగ్ స్థానంలో ప్రకారం) (20 *)', '7 వ వరుస మ్యాచ్లు ఆడి మధ్య జట్టు (7) కోసం తప్పిన']</v>
      </c>
      <c r="E5707" s="2" t="s">
        <v>3649</v>
      </c>
      <c r="F5707" s="2" t="str">
        <f>IFERROR(__xludf.DUMMYFUNCTION("IF(E5707&lt;&gt;"""", GOOGLETRANSLATE(E5707, ""en"", ""te""),"""")"),"[ '8 వ చెత్త కెరీర్ బౌలింగ్ సరాసరి (అర్హత లేకుండా) (137.00)']")</f>
        <v>[ '8 వ చెత్త కెరీర్ బౌలింగ్ సరాసరి (అర్హత లేకుండా) (137.00)']</v>
      </c>
      <c r="G5707" s="2"/>
      <c r="H5707" s="2" t="str">
        <f>IFERROR(__xludf.DUMMYFUNCTION("IF(G5707&lt;&gt;"""", GOOGLETRANSLATE(G5707, ""en"", ""te""),"""")"),"")</f>
        <v/>
      </c>
      <c r="I5707" s="3"/>
    </row>
    <row r="5708" customHeight="1" spans="1:9">
      <c r="A5708" s="2"/>
      <c r="B5708" s="2" t="str">
        <f>IFERROR(__xludf.DUMMYFUNCTION("IF(A5708&lt;&gt;"""", GOOGLETRANSLATE(A5708, ""en"", ""te""),"""")"),"")</f>
        <v/>
      </c>
      <c r="C5708" s="2"/>
      <c r="D5708" s="2" t="str">
        <f>IFERROR(__xludf.DUMMYFUNCTION("IF(C5708&lt;&gt;"""", GOOGLETRANSLATE(C5708, ""en"", ""te""),"""")"),"")</f>
        <v/>
      </c>
      <c r="E5708" s="2"/>
      <c r="F5708" s="2" t="str">
        <f>IFERROR(__xludf.DUMMYFUNCTION("IF(E5708&lt;&gt;"""", GOOGLETRANSLATE(E5708, ""en"", ""te""),"""")"),"")</f>
        <v/>
      </c>
      <c r="G5708" s="2"/>
      <c r="H5708" s="2" t="str">
        <f>IFERROR(__xludf.DUMMYFUNCTION("IF(G5708&lt;&gt;"""", GOOGLETRANSLATE(G5708, ""en"", ""te""),"""")"),"")</f>
        <v/>
      </c>
      <c r="I5708" s="3"/>
    </row>
    <row r="5709" customHeight="1" spans="1:9">
      <c r="A5709" s="2"/>
      <c r="B5709" s="2" t="str">
        <f>IFERROR(__xludf.DUMMYFUNCTION("IF(A5709&lt;&gt;"""", GOOGLETRANSLATE(A5709, ""en"", ""te""),"""")"),"")</f>
        <v/>
      </c>
      <c r="C5709" s="2"/>
      <c r="D5709" s="2" t="str">
        <f>IFERROR(__xludf.DUMMYFUNCTION("IF(C5709&lt;&gt;"""", GOOGLETRANSLATE(C5709, ""en"", ""te""),"""")"),"")</f>
        <v/>
      </c>
      <c r="E5709" s="2" t="s">
        <v>3650</v>
      </c>
      <c r="F5709" s="2" t="str">
        <f>IFERROR(__xludf.DUMMYFUNCTION("IF(E5709&lt;&gt;"""", GOOGLETRANSLATE(E5709, ""en"", ""te""),"""")"),"[ '50 వ పిన్న క్రీడాకారులు (17y 320d)']")</f>
        <v>[ '50 వ పిన్న క్రీడాకారులు (17y 320d)']</v>
      </c>
      <c r="G5709" s="2"/>
      <c r="H5709" s="2" t="str">
        <f>IFERROR(__xludf.DUMMYFUNCTION("IF(G5709&lt;&gt;"""", GOOGLETRANSLATE(G5709, ""en"", ""te""),"""")"),"")</f>
        <v/>
      </c>
      <c r="I5709" s="3"/>
    </row>
    <row r="5710" customHeight="1" spans="1:9">
      <c r="A5710" s="2"/>
      <c r="B5710" s="2" t="str">
        <f>IFERROR(__xludf.DUMMYFUNCTION("IF(A5710&lt;&gt;"""", GOOGLETRANSLATE(A5710, ""en"", ""te""),"""")"),"")</f>
        <v/>
      </c>
      <c r="C5710" s="2"/>
      <c r="D5710" s="2" t="str">
        <f>IFERROR(__xludf.DUMMYFUNCTION("IF(C5710&lt;&gt;"""", GOOGLETRANSLATE(C5710, ""en"", ""te""),"""")"),"")</f>
        <v/>
      </c>
      <c r="E5710" s="2"/>
      <c r="F5710" s="2" t="str">
        <f>IFERROR(__xludf.DUMMYFUNCTION("IF(E5710&lt;&gt;"""", GOOGLETRANSLATE(E5710, ""en"", ""te""),"""")"),"")</f>
        <v/>
      </c>
      <c r="G5710" s="2"/>
      <c r="H5710" s="2" t="str">
        <f>IFERROR(__xludf.DUMMYFUNCTION("IF(G5710&lt;&gt;"""", GOOGLETRANSLATE(G5710, ""en"", ""te""),"""")"),"")</f>
        <v/>
      </c>
      <c r="I5710" s="3"/>
    </row>
    <row r="5711" customHeight="1" spans="1:9">
      <c r="A5711" s="2"/>
      <c r="B5711" s="2" t="str">
        <f>IFERROR(__xludf.DUMMYFUNCTION("IF(A5711&lt;&gt;"""", GOOGLETRANSLATE(A5711, ""en"", ""te""),"""")"),"")</f>
        <v/>
      </c>
      <c r="C5711" s="2"/>
      <c r="D5711" s="2" t="str">
        <f>IFERROR(__xludf.DUMMYFUNCTION("IF(C5711&lt;&gt;"""", GOOGLETRANSLATE(C5711, ""en"", ""te""),"""")"),"")</f>
        <v/>
      </c>
      <c r="E5711" s="2" t="s">
        <v>3651</v>
      </c>
      <c r="F5711" s="2" t="str">
        <f>IFERROR(__xludf.DUMMYFUNCTION("IF(E5711&lt;&gt;"""", GOOGLETRANSLATE(E5711, ""en"", ""te""),"""")"),"[ '36 వ ఉత్తమ ఇన్నింగ్స్ లో ఆర్థిక రేటు (0.42)']")</f>
        <v>[ '36 వ ఉత్తమ ఇన్నింగ్స్ లో ఆర్థిక రేటు (0.42)']</v>
      </c>
      <c r="G5711" s="2"/>
      <c r="H5711" s="2" t="str">
        <f>IFERROR(__xludf.DUMMYFUNCTION("IF(G5711&lt;&gt;"""", GOOGLETRANSLATE(G5711, ""en"", ""te""),"""")"),"")</f>
        <v/>
      </c>
      <c r="I5711" s="3"/>
    </row>
    <row r="5712" customHeight="1" spans="1:9">
      <c r="A5712" s="2"/>
      <c r="B5712" s="2" t="str">
        <f>IFERROR(__xludf.DUMMYFUNCTION("IF(A5712&lt;&gt;"""", GOOGLETRANSLATE(A5712, ""en"", ""te""),"""")"),"")</f>
        <v/>
      </c>
      <c r="C5712" s="2"/>
      <c r="D5712" s="2" t="str">
        <f>IFERROR(__xludf.DUMMYFUNCTION("IF(C5712&lt;&gt;"""", GOOGLETRANSLATE(C5712, ""en"", ""te""),"""")"),"")</f>
        <v/>
      </c>
      <c r="E5712" s="2"/>
      <c r="F5712" s="2" t="str">
        <f>IFERROR(__xludf.DUMMYFUNCTION("IF(E5712&lt;&gt;"""", GOOGLETRANSLATE(E5712, ""en"", ""te""),"""")"),"")</f>
        <v/>
      </c>
      <c r="G5712" s="2"/>
      <c r="H5712" s="2" t="str">
        <f>IFERROR(__xludf.DUMMYFUNCTION("IF(G5712&lt;&gt;"""", GOOGLETRANSLATE(G5712, ""en"", ""te""),"""")"),"")</f>
        <v/>
      </c>
      <c r="I5712" s="3"/>
    </row>
    <row r="5713" customHeight="1" spans="1:9">
      <c r="A5713" s="2"/>
      <c r="B5713" s="2" t="str">
        <f>IFERROR(__xludf.DUMMYFUNCTION("IF(A5713&lt;&gt;"""", GOOGLETRANSLATE(A5713, ""en"", ""te""),"""")"),"")</f>
        <v/>
      </c>
      <c r="C5713" s="2"/>
      <c r="D5713" s="2" t="str">
        <f>IFERROR(__xludf.DUMMYFUNCTION("IF(C5713&lt;&gt;"""", GOOGLETRANSLATE(C5713, ""en"", ""te""),"""")"),"")</f>
        <v/>
      </c>
      <c r="E5713" s="2"/>
      <c r="F5713" s="2" t="str">
        <f>IFERROR(__xludf.DUMMYFUNCTION("IF(E5713&lt;&gt;"""", GOOGLETRANSLATE(E5713, ""en"", ""te""),"""")"),"")</f>
        <v/>
      </c>
      <c r="G5713" s="2"/>
      <c r="H5713" s="2" t="str">
        <f>IFERROR(__xludf.DUMMYFUNCTION("IF(G5713&lt;&gt;"""", GOOGLETRANSLATE(G5713, ""en"", ""te""),"""")"),"")</f>
        <v/>
      </c>
      <c r="I5713" s="3"/>
    </row>
    <row r="5714" customHeight="1" spans="1:9">
      <c r="A5714" s="2" t="s">
        <v>3652</v>
      </c>
      <c r="B5714" s="2" t="str">
        <f>IFERROR(__xludf.DUMMYFUNCTION("IF(A5714&lt;&gt;"""", GOOGLETRANSLATE(A5714, ""en"", ""te""),"""")"),"[ '3 వ భాగం (బ్యాటింగ్ స్థానంలో ద్వారా) ఒక ఇన్నింగ్స్ లో నడుస్తుంది (66)', 'ఎనిమిదవ వికెట్కు 6 వ అత్యధిక భాగస్వామ్యం (93)']")</f>
        <v>[ '3 వ భాగం (బ్యాటింగ్ స్థానంలో ద్వారా) ఒక ఇన్నింగ్స్ లో నడుస్తుంది (66)', 'ఎనిమిదవ వికెట్కు 6 వ అత్యధిక భాగస్వామ్యం (93)']</v>
      </c>
      <c r="C5714" s="2" t="s">
        <v>3652</v>
      </c>
      <c r="D5714" s="2" t="str">
        <f>IFERROR(__xludf.DUMMYFUNCTION("IF(C5714&lt;&gt;"""", GOOGLETRANSLATE(C5714, ""en"", ""te""),"""")"),"[ '3 వ భాగం (బ్యాటింగ్ స్థానంలో ద్వారా) ఒక ఇన్నింగ్స్ లో నడుస్తుంది (66)', 'ఎనిమిదవ వికెట్కు 6 వ అత్యధిక భాగస్వామ్యం (93)']")</f>
        <v>[ '3 వ భాగం (బ్యాటింగ్ స్థానంలో ద్వారా) ఒక ఇన్నింగ్స్ లో నడుస్తుంది (66)', 'ఎనిమిదవ వికెట్కు 6 వ అత్యధిక భాగస్వామ్యం (93)']</v>
      </c>
      <c r="E5714" s="2"/>
      <c r="F5714" s="2" t="str">
        <f>IFERROR(__xludf.DUMMYFUNCTION("IF(E5714&lt;&gt;"""", GOOGLETRANSLATE(E5714, ""en"", ""te""),"""")"),"")</f>
        <v/>
      </c>
      <c r="G5714" s="2"/>
      <c r="H5714" s="2" t="str">
        <f>IFERROR(__xludf.DUMMYFUNCTION("IF(G5714&lt;&gt;"""", GOOGLETRANSLATE(G5714, ""en"", ""te""),"""")"),"")</f>
        <v/>
      </c>
      <c r="I5714" s="3"/>
    </row>
    <row r="5715" customHeight="1" spans="1:9">
      <c r="A5715" s="2" t="s">
        <v>418</v>
      </c>
      <c r="B5715" s="2" t="str">
        <f>IFERROR(__xludf.DUMMYFUNCTION("IF(A5715&lt;&gt;"""", GOOGLETRANSLATE(A5715, ""en"", ""te""),"""")"),"[ 'ప్రవేశం (110) పై వంద']")</f>
        <v>[ 'ప్రవేశం (110) పై వంద']</v>
      </c>
      <c r="C5715" s="2"/>
      <c r="D5715" s="2" t="str">
        <f>IFERROR(__xludf.DUMMYFUNCTION("IF(C5715&lt;&gt;"""", GOOGLETRANSLATE(C5715, ""en"", ""te""),"""")"),"")</f>
        <v/>
      </c>
      <c r="E5715" s="2"/>
      <c r="F5715" s="2" t="str">
        <f>IFERROR(__xludf.DUMMYFUNCTION("IF(E5715&lt;&gt;"""", GOOGLETRANSLATE(E5715, ""en"", ""te""),"""")"),"")</f>
        <v/>
      </c>
      <c r="G5715" s="2"/>
      <c r="H5715" s="2" t="str">
        <f>IFERROR(__xludf.DUMMYFUNCTION("IF(G5715&lt;&gt;"""", GOOGLETRANSLATE(G5715, ""en"", ""te""),"""")"),"")</f>
        <v/>
      </c>
      <c r="I5715" s="3"/>
    </row>
    <row r="5716" customHeight="1" spans="1:9">
      <c r="A5716" s="2"/>
      <c r="B5716" s="2" t="str">
        <f>IFERROR(__xludf.DUMMYFUNCTION("IF(A5716&lt;&gt;"""", GOOGLETRANSLATE(A5716, ""en"", ""te""),"""")"),"")</f>
        <v/>
      </c>
      <c r="C5716" s="2"/>
      <c r="D5716" s="2" t="str">
        <f>IFERROR(__xludf.DUMMYFUNCTION("IF(C5716&lt;&gt;"""", GOOGLETRANSLATE(C5716, ""en"", ""te""),"""")"),"")</f>
        <v/>
      </c>
      <c r="E5716" s="2"/>
      <c r="F5716" s="2" t="str">
        <f>IFERROR(__xludf.DUMMYFUNCTION("IF(E5716&lt;&gt;"""", GOOGLETRANSLATE(E5716, ""en"", ""te""),"""")"),"")</f>
        <v/>
      </c>
      <c r="G5716" s="2"/>
      <c r="H5716" s="2" t="str">
        <f>IFERROR(__xludf.DUMMYFUNCTION("IF(G5716&lt;&gt;"""", GOOGLETRANSLATE(G5716, ""en"", ""te""),"""")"),"")</f>
        <v/>
      </c>
      <c r="I5716" s="3"/>
    </row>
    <row r="5717" customHeight="1" spans="1:9">
      <c r="A5717" s="2"/>
      <c r="B5717" s="2" t="str">
        <f>IFERROR(__xludf.DUMMYFUNCTION("IF(A5717&lt;&gt;"""", GOOGLETRANSLATE(A5717, ""en"", ""te""),"""")"),"")</f>
        <v/>
      </c>
      <c r="C5717" s="2"/>
      <c r="D5717" s="2" t="str">
        <f>IFERROR(__xludf.DUMMYFUNCTION("IF(C5717&lt;&gt;"""", GOOGLETRANSLATE(C5717, ""en"", ""te""),"""")"),"")</f>
        <v/>
      </c>
      <c r="E5717" s="2"/>
      <c r="F5717" s="2" t="str">
        <f>IFERROR(__xludf.DUMMYFUNCTION("IF(E5717&lt;&gt;"""", GOOGLETRANSLATE(E5717, ""en"", ""te""),"""")"),"")</f>
        <v/>
      </c>
      <c r="G5717" s="2"/>
      <c r="H5717" s="2" t="str">
        <f>IFERROR(__xludf.DUMMYFUNCTION("IF(G5717&lt;&gt;"""", GOOGLETRANSLATE(G5717, ""en"", ""te""),"""")"),"")</f>
        <v/>
      </c>
      <c r="I5717" s="3"/>
    </row>
    <row r="5718" customHeight="1" spans="1:9">
      <c r="A5718" s="2"/>
      <c r="B5718" s="2" t="str">
        <f>IFERROR(__xludf.DUMMYFUNCTION("IF(A5718&lt;&gt;"""", GOOGLETRANSLATE(A5718, ""en"", ""te""),"""")"),"")</f>
        <v/>
      </c>
      <c r="C5718" s="2"/>
      <c r="D5718" s="2" t="str">
        <f>IFERROR(__xludf.DUMMYFUNCTION("IF(C5718&lt;&gt;"""", GOOGLETRANSLATE(C5718, ""en"", ""te""),"""")"),"")</f>
        <v/>
      </c>
      <c r="E5718" s="2"/>
      <c r="F5718" s="2" t="str">
        <f>IFERROR(__xludf.DUMMYFUNCTION("IF(E5718&lt;&gt;"""", GOOGLETRANSLATE(E5718, ""en"", ""te""),"""")"),"")</f>
        <v/>
      </c>
      <c r="G5718" s="2"/>
      <c r="H5718" s="2" t="str">
        <f>IFERROR(__xludf.DUMMYFUNCTION("IF(G5718&lt;&gt;"""", GOOGLETRANSLATE(G5718, ""en"", ""te""),"""")"),"")</f>
        <v/>
      </c>
      <c r="I5718" s="3"/>
    </row>
    <row r="5719" customHeight="1" spans="1:9">
      <c r="A5719" s="2"/>
      <c r="B5719" s="2" t="str">
        <f>IFERROR(__xludf.DUMMYFUNCTION("IF(A5719&lt;&gt;"""", GOOGLETRANSLATE(A5719, ""en"", ""te""),"""")"),"")</f>
        <v/>
      </c>
      <c r="C5719" s="2"/>
      <c r="D5719" s="2" t="str">
        <f>IFERROR(__xludf.DUMMYFUNCTION("IF(C5719&lt;&gt;"""", GOOGLETRANSLATE(C5719, ""en"", ""te""),"""")"),"")</f>
        <v/>
      </c>
      <c r="E5719" s="2"/>
      <c r="F5719" s="2" t="str">
        <f>IFERROR(__xludf.DUMMYFUNCTION("IF(E5719&lt;&gt;"""", GOOGLETRANSLATE(E5719, ""en"", ""te""),"""")"),"")</f>
        <v/>
      </c>
      <c r="G5719" s="2"/>
      <c r="H5719" s="2" t="str">
        <f>IFERROR(__xludf.DUMMYFUNCTION("IF(G5719&lt;&gt;"""", GOOGLETRANSLATE(G5719, ""en"", ""te""),"""")"),"")</f>
        <v/>
      </c>
      <c r="I5719" s="3"/>
    </row>
    <row r="5720" customHeight="1" spans="1:9">
      <c r="A5720" s="2"/>
      <c r="B5720" s="2" t="str">
        <f>IFERROR(__xludf.DUMMYFUNCTION("IF(A5720&lt;&gt;"""", GOOGLETRANSLATE(A5720, ""en"", ""te""),"""")"),"")</f>
        <v/>
      </c>
      <c r="C5720" s="2"/>
      <c r="D5720" s="2" t="str">
        <f>IFERROR(__xludf.DUMMYFUNCTION("IF(C5720&lt;&gt;"""", GOOGLETRANSLATE(C5720, ""en"", ""te""),"""")"),"")</f>
        <v/>
      </c>
      <c r="E5720" s="2"/>
      <c r="F5720" s="2" t="str">
        <f>IFERROR(__xludf.DUMMYFUNCTION("IF(E5720&lt;&gt;"""", GOOGLETRANSLATE(E5720, ""en"", ""te""),"""")"),"")</f>
        <v/>
      </c>
      <c r="G5720" s="2"/>
      <c r="H5720" s="2" t="str">
        <f>IFERROR(__xludf.DUMMYFUNCTION("IF(G5720&lt;&gt;"""", GOOGLETRANSLATE(G5720, ""en"", ""te""),"""")"),"")</f>
        <v/>
      </c>
      <c r="I5720" s="3"/>
    </row>
    <row r="5721" customHeight="1" spans="1:9">
      <c r="A5721" s="2"/>
      <c r="B5721" s="2" t="str">
        <f>IFERROR(__xludf.DUMMYFUNCTION("IF(A5721&lt;&gt;"""", GOOGLETRANSLATE(A5721, ""en"", ""te""),"""")"),"")</f>
        <v/>
      </c>
      <c r="C5721" s="2"/>
      <c r="D5721" s="2" t="str">
        <f>IFERROR(__xludf.DUMMYFUNCTION("IF(C5721&lt;&gt;"""", GOOGLETRANSLATE(C5721, ""en"", ""te""),"""")"),"")</f>
        <v/>
      </c>
      <c r="E5721" s="2"/>
      <c r="F5721" s="2" t="str">
        <f>IFERROR(__xludf.DUMMYFUNCTION("IF(E5721&lt;&gt;"""", GOOGLETRANSLATE(E5721, ""en"", ""te""),"""")"),"")</f>
        <v/>
      </c>
      <c r="G5721" s="2"/>
      <c r="H5721" s="2" t="str">
        <f>IFERROR(__xludf.DUMMYFUNCTION("IF(G5721&lt;&gt;"""", GOOGLETRANSLATE(G5721, ""en"", ""te""),"""")"),"")</f>
        <v/>
      </c>
      <c r="I5721" s="3"/>
    </row>
    <row r="5722" customHeight="1" spans="1:9">
      <c r="A5722" s="2"/>
      <c r="B5722" s="2" t="str">
        <f>IFERROR(__xludf.DUMMYFUNCTION("IF(A5722&lt;&gt;"""", GOOGLETRANSLATE(A5722, ""en"", ""te""),"""")"),"")</f>
        <v/>
      </c>
      <c r="C5722" s="2" t="s">
        <v>3653</v>
      </c>
      <c r="D5722" s="2" t="str">
        <f>IFERROR(__xludf.DUMMYFUNCTION("IF(C5722&lt;&gt;"""", GOOGLETRANSLATE(C5722, ""en"", ""te""),"""")"),"[ '38 వ అత్యధిక తొలి వంద (200 *)', 'ఏడవ వికెట్కు 22 అత్యధిక భాగస్వామ్యం (186)', 'తొమ్మిదవ వికెట్ (122) 25 వ అత్యధిక భాగస్వామ్యం']")</f>
        <v>[ '38 వ అత్యధిక తొలి వంద (200 *)', 'ఏడవ వికెట్కు 22 అత్యధిక భాగస్వామ్యం (186)', 'తొమ్మిదవ వికెట్ (122) 25 వ అత్యధిక భాగస్వామ్యం']</v>
      </c>
      <c r="E5722" s="2"/>
      <c r="F5722" s="2" t="str">
        <f>IFERROR(__xludf.DUMMYFUNCTION("IF(E5722&lt;&gt;"""", GOOGLETRANSLATE(E5722, ""en"", ""te""),"""")"),"")</f>
        <v/>
      </c>
      <c r="G5722" s="2"/>
      <c r="H5722" s="2" t="str">
        <f>IFERROR(__xludf.DUMMYFUNCTION("IF(G5722&lt;&gt;"""", GOOGLETRANSLATE(G5722, ""en"", ""te""),"""")"),"")</f>
        <v/>
      </c>
      <c r="I5722" s="3"/>
    </row>
    <row r="5723" customHeight="1" spans="1:9">
      <c r="A5723" s="2"/>
      <c r="B5723" s="2" t="str">
        <f>IFERROR(__xludf.DUMMYFUNCTION("IF(A5723&lt;&gt;"""", GOOGLETRANSLATE(A5723, ""en"", ""te""),"""")"),"")</f>
        <v/>
      </c>
      <c r="C5723" s="2"/>
      <c r="D5723" s="2" t="str">
        <f>IFERROR(__xludf.DUMMYFUNCTION("IF(C5723&lt;&gt;"""", GOOGLETRANSLATE(C5723, ""en"", ""te""),"""")"),"")</f>
        <v/>
      </c>
      <c r="E5723" s="2"/>
      <c r="F5723" s="2" t="str">
        <f>IFERROR(__xludf.DUMMYFUNCTION("IF(E5723&lt;&gt;"""", GOOGLETRANSLATE(E5723, ""en"", ""te""),"""")"),"")</f>
        <v/>
      </c>
      <c r="G5723" s="2"/>
      <c r="H5723" s="2" t="str">
        <f>IFERROR(__xludf.DUMMYFUNCTION("IF(G5723&lt;&gt;"""", GOOGLETRANSLATE(G5723, ""en"", ""te""),"""")"),"")</f>
        <v/>
      </c>
      <c r="I5723" s="3"/>
    </row>
    <row r="5724" customHeight="1" spans="1:9">
      <c r="A5724" s="2"/>
      <c r="B5724" s="2" t="str">
        <f>IFERROR(__xludf.DUMMYFUNCTION("IF(A5724&lt;&gt;"""", GOOGLETRANSLATE(A5724, ""en"", ""te""),"""")"),"")</f>
        <v/>
      </c>
      <c r="C5724" s="2"/>
      <c r="D5724" s="2" t="str">
        <f>IFERROR(__xludf.DUMMYFUNCTION("IF(C5724&lt;&gt;"""", GOOGLETRANSLATE(C5724, ""en"", ""te""),"""")"),"")</f>
        <v/>
      </c>
      <c r="E5724" s="2"/>
      <c r="F5724" s="2" t="str">
        <f>IFERROR(__xludf.DUMMYFUNCTION("IF(E5724&lt;&gt;"""", GOOGLETRANSLATE(E5724, ""en"", ""te""),"""")"),"")</f>
        <v/>
      </c>
      <c r="G5724" s="2"/>
      <c r="H5724" s="2" t="str">
        <f>IFERROR(__xludf.DUMMYFUNCTION("IF(G5724&lt;&gt;"""", GOOGLETRANSLATE(G5724, ""en"", ""te""),"""")"),"")</f>
        <v/>
      </c>
      <c r="I5724" s="3"/>
    </row>
    <row r="5725" customHeight="1" spans="1:9">
      <c r="A5725" s="2"/>
      <c r="B5725" s="2" t="str">
        <f>IFERROR(__xludf.DUMMYFUNCTION("IF(A5725&lt;&gt;"""", GOOGLETRANSLATE(A5725, ""en"", ""te""),"""")"),"")</f>
        <v/>
      </c>
      <c r="C5725" s="2"/>
      <c r="D5725" s="2" t="str">
        <f>IFERROR(__xludf.DUMMYFUNCTION("IF(C5725&lt;&gt;"""", GOOGLETRANSLATE(C5725, ""en"", ""te""),"""")"),"")</f>
        <v/>
      </c>
      <c r="E5725" s="2"/>
      <c r="F5725" s="2" t="str">
        <f>IFERROR(__xludf.DUMMYFUNCTION("IF(E5725&lt;&gt;"""", GOOGLETRANSLATE(E5725, ""en"", ""te""),"""")"),"")</f>
        <v/>
      </c>
      <c r="G5725" s="2"/>
      <c r="H5725" s="2" t="str">
        <f>IFERROR(__xludf.DUMMYFUNCTION("IF(G5725&lt;&gt;"""", GOOGLETRANSLATE(G5725, ""en"", ""te""),"""")"),"")</f>
        <v/>
      </c>
      <c r="I5725" s="3"/>
    </row>
    <row r="5726" customHeight="1" spans="1:9">
      <c r="A5726" s="2"/>
      <c r="B5726" s="2" t="str">
        <f>IFERROR(__xludf.DUMMYFUNCTION("IF(A5726&lt;&gt;"""", GOOGLETRANSLATE(A5726, ""en"", ""te""),"""")"),"")</f>
        <v/>
      </c>
      <c r="C5726" s="2"/>
      <c r="D5726" s="2" t="str">
        <f>IFERROR(__xludf.DUMMYFUNCTION("IF(C5726&lt;&gt;"""", GOOGLETRANSLATE(C5726, ""en"", ""te""),"""")"),"")</f>
        <v/>
      </c>
      <c r="E5726" s="2"/>
      <c r="F5726" s="2" t="str">
        <f>IFERROR(__xludf.DUMMYFUNCTION("IF(E5726&lt;&gt;"""", GOOGLETRANSLATE(E5726, ""en"", ""te""),"""")"),"")</f>
        <v/>
      </c>
      <c r="G5726" s="2"/>
      <c r="H5726" s="2" t="str">
        <f>IFERROR(__xludf.DUMMYFUNCTION("IF(G5726&lt;&gt;"""", GOOGLETRANSLATE(G5726, ""en"", ""te""),"""")"),"")</f>
        <v/>
      </c>
      <c r="I5726" s="3"/>
    </row>
    <row r="5727" customHeight="1" spans="1:9">
      <c r="A5727" s="2"/>
      <c r="B5727" s="2" t="str">
        <f>IFERROR(__xludf.DUMMYFUNCTION("IF(A5727&lt;&gt;"""", GOOGLETRANSLATE(A5727, ""en"", ""te""),"""")"),"")</f>
        <v/>
      </c>
      <c r="C5727" s="2"/>
      <c r="D5727" s="2" t="str">
        <f>IFERROR(__xludf.DUMMYFUNCTION("IF(C5727&lt;&gt;"""", GOOGLETRANSLATE(C5727, ""en"", ""te""),"""")"),"")</f>
        <v/>
      </c>
      <c r="E5727" s="2"/>
      <c r="F5727" s="2" t="str">
        <f>IFERROR(__xludf.DUMMYFUNCTION("IF(E5727&lt;&gt;"""", GOOGLETRANSLATE(E5727, ""en"", ""te""),"""")"),"")</f>
        <v/>
      </c>
      <c r="G5727" s="2"/>
      <c r="H5727" s="2" t="str">
        <f>IFERROR(__xludf.DUMMYFUNCTION("IF(G5727&lt;&gt;"""", GOOGLETRANSLATE(G5727, ""en"", ""te""),"""")"),"")</f>
        <v/>
      </c>
      <c r="I5727" s="3"/>
    </row>
    <row r="5728" customHeight="1" spans="1:9">
      <c r="A5728" s="2"/>
      <c r="B5728" s="2" t="str">
        <f>IFERROR(__xludf.DUMMYFUNCTION("IF(A5728&lt;&gt;"""", GOOGLETRANSLATE(A5728, ""en"", ""te""),"""")"),"")</f>
        <v/>
      </c>
      <c r="C5728" s="2"/>
      <c r="D5728" s="2" t="str">
        <f>IFERROR(__xludf.DUMMYFUNCTION("IF(C5728&lt;&gt;"""", GOOGLETRANSLATE(C5728, ""en"", ""te""),"""")"),"")</f>
        <v/>
      </c>
      <c r="E5728" s="2"/>
      <c r="F5728" s="2" t="str">
        <f>IFERROR(__xludf.DUMMYFUNCTION("IF(E5728&lt;&gt;"""", GOOGLETRANSLATE(E5728, ""en"", ""te""),"""")"),"")</f>
        <v/>
      </c>
      <c r="G5728" s="2"/>
      <c r="H5728" s="2" t="str">
        <f>IFERROR(__xludf.DUMMYFUNCTION("IF(G5728&lt;&gt;"""", GOOGLETRANSLATE(G5728, ""en"", ""te""),"""")"),"")</f>
        <v/>
      </c>
      <c r="I5728" s="3"/>
    </row>
    <row r="5729" customHeight="1" spans="1:9">
      <c r="A5729" s="2"/>
      <c r="B5729" s="2" t="str">
        <f>IFERROR(__xludf.DUMMYFUNCTION("IF(A5729&lt;&gt;"""", GOOGLETRANSLATE(A5729, ""en"", ""te""),"""")"),"")</f>
        <v/>
      </c>
      <c r="C5729" s="2"/>
      <c r="D5729" s="2" t="str">
        <f>IFERROR(__xludf.DUMMYFUNCTION("IF(C5729&lt;&gt;"""", GOOGLETRANSLATE(C5729, ""en"", ""te""),"""")"),"")</f>
        <v/>
      </c>
      <c r="E5729" s="2"/>
      <c r="F5729" s="2" t="str">
        <f>IFERROR(__xludf.DUMMYFUNCTION("IF(E5729&lt;&gt;"""", GOOGLETRANSLATE(E5729, ""en"", ""te""),"""")"),"")</f>
        <v/>
      </c>
      <c r="G5729" s="2"/>
      <c r="H5729" s="2" t="str">
        <f>IFERROR(__xludf.DUMMYFUNCTION("IF(G5729&lt;&gt;"""", GOOGLETRANSLATE(G5729, ""en"", ""te""),"""")"),"")</f>
        <v/>
      </c>
      <c r="I5729" s="3"/>
    </row>
    <row r="5730" customHeight="1" spans="1:9">
      <c r="A5730" s="2"/>
      <c r="B5730" s="2" t="str">
        <f>IFERROR(__xludf.DUMMYFUNCTION("IF(A5730&lt;&gt;"""", GOOGLETRANSLATE(A5730, ""en"", ""te""),"""")"),"")</f>
        <v/>
      </c>
      <c r="C5730" s="2"/>
      <c r="D5730" s="2" t="str">
        <f>IFERROR(__xludf.DUMMYFUNCTION("IF(C5730&lt;&gt;"""", GOOGLETRANSLATE(C5730, ""en"", ""te""),"""")"),"")</f>
        <v/>
      </c>
      <c r="E5730" s="2"/>
      <c r="F5730" s="2" t="str">
        <f>IFERROR(__xludf.DUMMYFUNCTION("IF(E5730&lt;&gt;"""", GOOGLETRANSLATE(E5730, ""en"", ""te""),"""")"),"")</f>
        <v/>
      </c>
      <c r="G5730" s="2"/>
      <c r="H5730" s="2" t="str">
        <f>IFERROR(__xludf.DUMMYFUNCTION("IF(G5730&lt;&gt;"""", GOOGLETRANSLATE(G5730, ""en"", ""te""),"""")"),"")</f>
        <v/>
      </c>
      <c r="I5730" s="3"/>
    </row>
    <row r="5731" customHeight="1" spans="1:9">
      <c r="A5731" s="2"/>
      <c r="B5731" s="2" t="str">
        <f>IFERROR(__xludf.DUMMYFUNCTION("IF(A5731&lt;&gt;"""", GOOGLETRANSLATE(A5731, ""en"", ""te""),"""")"),"")</f>
        <v/>
      </c>
      <c r="C5731" s="2"/>
      <c r="D5731" s="2" t="str">
        <f>IFERROR(__xludf.DUMMYFUNCTION("IF(C5731&lt;&gt;"""", GOOGLETRANSLATE(C5731, ""en"", ""te""),"""")"),"")</f>
        <v/>
      </c>
      <c r="E5731" s="2"/>
      <c r="F5731" s="2" t="str">
        <f>IFERROR(__xludf.DUMMYFUNCTION("IF(E5731&lt;&gt;"""", GOOGLETRANSLATE(E5731, ""en"", ""te""),"""")"),"")</f>
        <v/>
      </c>
      <c r="G5731" s="2"/>
      <c r="H5731" s="2" t="str">
        <f>IFERROR(__xludf.DUMMYFUNCTION("IF(G5731&lt;&gt;"""", GOOGLETRANSLATE(G5731, ""en"", ""te""),"""")"),"")</f>
        <v/>
      </c>
      <c r="I5731" s="3"/>
    </row>
    <row r="5732" customHeight="1" spans="1:9">
      <c r="A5732" s="2"/>
      <c r="B5732" s="2" t="str">
        <f>IFERROR(__xludf.DUMMYFUNCTION("IF(A5732&lt;&gt;"""", GOOGLETRANSLATE(A5732, ""en"", ""te""),"""")"),"")</f>
        <v/>
      </c>
      <c r="C5732" s="2"/>
      <c r="D5732" s="2" t="str">
        <f>IFERROR(__xludf.DUMMYFUNCTION("IF(C5732&lt;&gt;"""", GOOGLETRANSLATE(C5732, ""en"", ""te""),"""")"),"")</f>
        <v/>
      </c>
      <c r="E5732" s="2"/>
      <c r="F5732" s="2" t="str">
        <f>IFERROR(__xludf.DUMMYFUNCTION("IF(E5732&lt;&gt;"""", GOOGLETRANSLATE(E5732, ""en"", ""te""),"""")"),"")</f>
        <v/>
      </c>
      <c r="G5732" s="2"/>
      <c r="H5732" s="2" t="str">
        <f>IFERROR(__xludf.DUMMYFUNCTION("IF(G5732&lt;&gt;"""", GOOGLETRANSLATE(G5732, ""en"", ""te""),"""")"),"")</f>
        <v/>
      </c>
      <c r="I5732" s="3"/>
    </row>
    <row r="5733" customHeight="1" spans="1:9">
      <c r="A5733" s="2" t="s">
        <v>3654</v>
      </c>
      <c r="B5733" s="2" t="str">
        <f>IFERROR(__xludf.DUMMYFUNCTION("IF(A5733&lt;&gt;"""", GOOGLETRANSLATE(A5733, ""en"", ""te""),"""")"),"[ '8 వ అత్యధిక తొలి వంద (138 *)', 'కెరీర్ లో 10 వ అత్యంత తొంభైల (2)', 'మూడో వికెట్కు 3 వ అత్యధిక భాగస్వామ్యం (223 *)']")</f>
        <v>[ '8 వ అత్యధిక తొలి వంద (138 *)', 'కెరీర్ లో 10 వ అత్యంత తొంభైల (2)', 'మూడో వికెట్కు 3 వ అత్యధిక భాగస్వామ్యం (223 *)']</v>
      </c>
      <c r="C5733" s="2"/>
      <c r="D5733" s="2" t="str">
        <f>IFERROR(__xludf.DUMMYFUNCTION("IF(C5733&lt;&gt;"""", GOOGLETRANSLATE(C5733, ""en"", ""te""),"""")"),"")</f>
        <v/>
      </c>
      <c r="E5733" s="2" t="s">
        <v>3655</v>
      </c>
      <c r="F5733" s="2" t="str">
        <f>IFERROR(__xludf.DUMMYFUNCTION("IF(E5733&lt;&gt;"""", GOOGLETRANSLATE(E5733, ""en"", ""te""),"""")"),"[ '38 వ కెరీర్ లో అత్యధిక పరుగులు (2091)', '30 వ ఇన్నింగ్స్ లో అత్యధిక పరుగులు (138 *)', '40 వ ఒకే మైదానంలో అత్యధిక పరుగులు (298)', '49 వ అత్యధిక కెరీర్ బ్యాటింగ్ సగటు (30.75)', ' ఒక వృత్తిలో 25 అత్యధిక వందలు (2) ',' 8 వ అత్యధిక తొలి వంద (138 *) ',' 10 వ"&amp;" అత్యంత తొంభైల కెరీర్లో (2) ',' 31 కెరీర్ అర్ధ (16) ',' వరుస ఇన్నింగ్స్లో 12 వ యాభైల్లో (4) ', '21 వ కెరీర్ బాతులు (9)', 'ఏ వికెట్కు 14 అత్యధిక భాగస్వామ్యాల (223 *)', 'మూడో వికెట్కు 3 వ అత్యధిక భాగస్వామ్యం (223 *)']")</f>
        <v>[ '38 వ కెరీర్ లో అత్యధిక పరుగులు (2091)', '30 వ ఇన్నింగ్స్ లో అత్యధిక పరుగులు (138 *)', '40 వ ఒకే మైదానంలో అత్యధిక పరుగులు (298)', '49 వ అత్యధిక కెరీర్ బ్యాటింగ్ సగటు (30.75)', ' ఒక వృత్తిలో 25 అత్యధిక వందలు (2) ',' 8 వ అత్యధిక తొలి వంద (138 *) ',' 10 వ అత్యంత తొంభైల కెరీర్లో (2) ',' 31 కెరీర్ అర్ధ (16) ',' వరుస ఇన్నింగ్స్లో 12 వ యాభైల్లో (4) ', '21 వ కెరీర్ బాతులు (9)', 'ఏ వికెట్కు 14 అత్యధిక భాగస్వామ్యాల (223 *)', 'మూడో వికెట్కు 3 వ అత్యధిక భాగస్వామ్యం (223 *)']</v>
      </c>
      <c r="G5733" s="2"/>
      <c r="H5733" s="2" t="str">
        <f>IFERROR(__xludf.DUMMYFUNCTION("IF(G5733&lt;&gt;"""", GOOGLETRANSLATE(G5733, ""en"", ""te""),"""")"),"")</f>
        <v/>
      </c>
      <c r="I5733" s="3"/>
    </row>
    <row r="5734" customHeight="1" spans="1:9">
      <c r="A5734" s="2"/>
      <c r="B5734" s="2" t="str">
        <f>IFERROR(__xludf.DUMMYFUNCTION("IF(A5734&lt;&gt;"""", GOOGLETRANSLATE(A5734, ""en"", ""te""),"""")"),"")</f>
        <v/>
      </c>
      <c r="C5734" s="2"/>
      <c r="D5734" s="2" t="str">
        <f>IFERROR(__xludf.DUMMYFUNCTION("IF(C5734&lt;&gt;"""", GOOGLETRANSLATE(C5734, ""en"", ""te""),"""")"),"")</f>
        <v/>
      </c>
      <c r="E5734" s="2"/>
      <c r="F5734" s="2" t="str">
        <f>IFERROR(__xludf.DUMMYFUNCTION("IF(E5734&lt;&gt;"""", GOOGLETRANSLATE(E5734, ""en"", ""te""),"""")"),"")</f>
        <v/>
      </c>
      <c r="G5734" s="2"/>
      <c r="H5734" s="2" t="str">
        <f>IFERROR(__xludf.DUMMYFUNCTION("IF(G5734&lt;&gt;"""", GOOGLETRANSLATE(G5734, ""en"", ""te""),"""")"),"")</f>
        <v/>
      </c>
      <c r="I5734" s="3"/>
    </row>
    <row r="5735" customHeight="1" spans="1:9">
      <c r="A5735" s="2"/>
      <c r="B5735" s="2" t="str">
        <f>IFERROR(__xludf.DUMMYFUNCTION("IF(A5735&lt;&gt;"""", GOOGLETRANSLATE(A5735, ""en"", ""te""),"""")"),"")</f>
        <v/>
      </c>
      <c r="C5735" s="2"/>
      <c r="D5735" s="2" t="str">
        <f>IFERROR(__xludf.DUMMYFUNCTION("IF(C5735&lt;&gt;"""", GOOGLETRANSLATE(C5735, ""en"", ""te""),"""")"),"")</f>
        <v/>
      </c>
      <c r="E5735" s="2"/>
      <c r="F5735" s="2" t="str">
        <f>IFERROR(__xludf.DUMMYFUNCTION("IF(E5735&lt;&gt;"""", GOOGLETRANSLATE(E5735, ""en"", ""te""),"""")"),"")</f>
        <v/>
      </c>
      <c r="G5735" s="2"/>
      <c r="H5735" s="2" t="str">
        <f>IFERROR(__xludf.DUMMYFUNCTION("IF(G5735&lt;&gt;"""", GOOGLETRANSLATE(G5735, ""en"", ""te""),"""")"),"")</f>
        <v/>
      </c>
      <c r="I5735" s="3"/>
    </row>
    <row r="5736" customHeight="1" spans="1:9">
      <c r="A5736" s="2"/>
      <c r="B5736" s="2" t="str">
        <f>IFERROR(__xludf.DUMMYFUNCTION("IF(A5736&lt;&gt;"""", GOOGLETRANSLATE(A5736, ""en"", ""te""),"""")"),"")</f>
        <v/>
      </c>
      <c r="C5736" s="2"/>
      <c r="D5736" s="2" t="str">
        <f>IFERROR(__xludf.DUMMYFUNCTION("IF(C5736&lt;&gt;"""", GOOGLETRANSLATE(C5736, ""en"", ""te""),"""")"),"")</f>
        <v/>
      </c>
      <c r="E5736" s="2"/>
      <c r="F5736" s="2" t="str">
        <f>IFERROR(__xludf.DUMMYFUNCTION("IF(E5736&lt;&gt;"""", GOOGLETRANSLATE(E5736, ""en"", ""te""),"""")"),"")</f>
        <v/>
      </c>
      <c r="G5736" s="2"/>
      <c r="H5736" s="2" t="str">
        <f>IFERROR(__xludf.DUMMYFUNCTION("IF(G5736&lt;&gt;"""", GOOGLETRANSLATE(G5736, ""en"", ""te""),"""")"),"")</f>
        <v/>
      </c>
      <c r="I5736" s="3"/>
    </row>
    <row r="5737" customHeight="1" spans="1:9">
      <c r="A5737" s="2"/>
      <c r="B5737" s="2" t="str">
        <f>IFERROR(__xludf.DUMMYFUNCTION("IF(A5737&lt;&gt;"""", GOOGLETRANSLATE(A5737, ""en"", ""te""),"""")"),"")</f>
        <v/>
      </c>
      <c r="C5737" s="2"/>
      <c r="D5737" s="2" t="str">
        <f>IFERROR(__xludf.DUMMYFUNCTION("IF(C5737&lt;&gt;"""", GOOGLETRANSLATE(C5737, ""en"", ""te""),"""")"),"")</f>
        <v/>
      </c>
      <c r="E5737" s="2"/>
      <c r="F5737" s="2" t="str">
        <f>IFERROR(__xludf.DUMMYFUNCTION("IF(E5737&lt;&gt;"""", GOOGLETRANSLATE(E5737, ""en"", ""te""),"""")"),"")</f>
        <v/>
      </c>
      <c r="G5737" s="2"/>
      <c r="H5737" s="2" t="str">
        <f>IFERROR(__xludf.DUMMYFUNCTION("IF(G5737&lt;&gt;"""", GOOGLETRANSLATE(G5737, ""en"", ""te""),"""")"),"")</f>
        <v/>
      </c>
      <c r="I5737" s="3"/>
    </row>
    <row r="5738" customHeight="1" spans="1:9">
      <c r="A5738" s="2"/>
      <c r="B5738" s="2" t="str">
        <f>IFERROR(__xludf.DUMMYFUNCTION("IF(A5738&lt;&gt;"""", GOOGLETRANSLATE(A5738, ""en"", ""te""),"""")"),"")</f>
        <v/>
      </c>
      <c r="C5738" s="2"/>
      <c r="D5738" s="2" t="str">
        <f>IFERROR(__xludf.DUMMYFUNCTION("IF(C5738&lt;&gt;"""", GOOGLETRANSLATE(C5738, ""en"", ""te""),"""")"),"")</f>
        <v/>
      </c>
      <c r="E5738" s="2"/>
      <c r="F5738" s="2" t="str">
        <f>IFERROR(__xludf.DUMMYFUNCTION("IF(E5738&lt;&gt;"""", GOOGLETRANSLATE(E5738, ""en"", ""te""),"""")"),"")</f>
        <v/>
      </c>
      <c r="G5738" s="2"/>
      <c r="H5738" s="2" t="str">
        <f>IFERROR(__xludf.DUMMYFUNCTION("IF(G5738&lt;&gt;"""", GOOGLETRANSLATE(G5738, ""en"", ""te""),"""")"),"")</f>
        <v/>
      </c>
      <c r="I5738" s="3"/>
    </row>
    <row r="5739" customHeight="1" spans="1:9">
      <c r="A5739" s="2"/>
      <c r="B5739" s="2" t="str">
        <f>IFERROR(__xludf.DUMMYFUNCTION("IF(A5739&lt;&gt;"""", GOOGLETRANSLATE(A5739, ""en"", ""te""),"""")"),"")</f>
        <v/>
      </c>
      <c r="C5739" s="2"/>
      <c r="D5739" s="2" t="str">
        <f>IFERROR(__xludf.DUMMYFUNCTION("IF(C5739&lt;&gt;"""", GOOGLETRANSLATE(C5739, ""en"", ""te""),"""")"),"")</f>
        <v/>
      </c>
      <c r="E5739" s="2"/>
      <c r="F5739" s="2" t="str">
        <f>IFERROR(__xludf.DUMMYFUNCTION("IF(E5739&lt;&gt;"""", GOOGLETRANSLATE(E5739, ""en"", ""te""),"""")"),"")</f>
        <v/>
      </c>
      <c r="G5739" s="2"/>
      <c r="H5739" s="2" t="str">
        <f>IFERROR(__xludf.DUMMYFUNCTION("IF(G5739&lt;&gt;"""", GOOGLETRANSLATE(G5739, ""en"", ""te""),"""")"),"")</f>
        <v/>
      </c>
      <c r="I5739" s="3"/>
    </row>
    <row r="5740" customHeight="1" spans="1:9">
      <c r="A5740" s="2"/>
      <c r="B5740" s="2" t="str">
        <f>IFERROR(__xludf.DUMMYFUNCTION("IF(A5740&lt;&gt;"""", GOOGLETRANSLATE(A5740, ""en"", ""te""),"""")"),"")</f>
        <v/>
      </c>
      <c r="C5740" s="2"/>
      <c r="D5740" s="2" t="str">
        <f>IFERROR(__xludf.DUMMYFUNCTION("IF(C5740&lt;&gt;"""", GOOGLETRANSLATE(C5740, ""en"", ""te""),"""")"),"")</f>
        <v/>
      </c>
      <c r="E5740" s="2"/>
      <c r="F5740" s="2" t="str">
        <f>IFERROR(__xludf.DUMMYFUNCTION("IF(E5740&lt;&gt;"""", GOOGLETRANSLATE(E5740, ""en"", ""te""),"""")"),"")</f>
        <v/>
      </c>
      <c r="G5740" s="2"/>
      <c r="H5740" s="2" t="str">
        <f>IFERROR(__xludf.DUMMYFUNCTION("IF(G5740&lt;&gt;"""", GOOGLETRANSLATE(G5740, ""en"", ""te""),"""")"),"")</f>
        <v/>
      </c>
      <c r="I5740" s="3"/>
    </row>
    <row r="5741" customHeight="1" spans="1:9">
      <c r="A5741" s="2"/>
      <c r="B5741" s="2" t="str">
        <f>IFERROR(__xludf.DUMMYFUNCTION("IF(A5741&lt;&gt;"""", GOOGLETRANSLATE(A5741, ""en"", ""te""),"""")"),"")</f>
        <v/>
      </c>
      <c r="C5741" s="2"/>
      <c r="D5741" s="2" t="str">
        <f>IFERROR(__xludf.DUMMYFUNCTION("IF(C5741&lt;&gt;"""", GOOGLETRANSLATE(C5741, ""en"", ""te""),"""")"),"")</f>
        <v/>
      </c>
      <c r="E5741" s="2"/>
      <c r="F5741" s="2" t="str">
        <f>IFERROR(__xludf.DUMMYFUNCTION("IF(E5741&lt;&gt;"""", GOOGLETRANSLATE(E5741, ""en"", ""te""),"""")"),"")</f>
        <v/>
      </c>
      <c r="G5741" s="2"/>
      <c r="H5741" s="2" t="str">
        <f>IFERROR(__xludf.DUMMYFUNCTION("IF(G5741&lt;&gt;"""", GOOGLETRANSLATE(G5741, ""en"", ""te""),"""")"),"")</f>
        <v/>
      </c>
      <c r="I5741" s="3"/>
    </row>
    <row r="5742" customHeight="1" spans="1:9">
      <c r="A5742" s="2"/>
      <c r="B5742" s="2" t="str">
        <f>IFERROR(__xludf.DUMMYFUNCTION("IF(A5742&lt;&gt;"""", GOOGLETRANSLATE(A5742, ""en"", ""te""),"""")"),"")</f>
        <v/>
      </c>
      <c r="C5742" s="2"/>
      <c r="D5742" s="2" t="str">
        <f>IFERROR(__xludf.DUMMYFUNCTION("IF(C5742&lt;&gt;"""", GOOGLETRANSLATE(C5742, ""en"", ""te""),"""")"),"")</f>
        <v/>
      </c>
      <c r="E5742" s="2"/>
      <c r="F5742" s="2" t="str">
        <f>IFERROR(__xludf.DUMMYFUNCTION("IF(E5742&lt;&gt;"""", GOOGLETRANSLATE(E5742, ""en"", ""te""),"""")"),"")</f>
        <v/>
      </c>
      <c r="G5742" s="2"/>
      <c r="H5742" s="2" t="str">
        <f>IFERROR(__xludf.DUMMYFUNCTION("IF(G5742&lt;&gt;"""", GOOGLETRANSLATE(G5742, ""en"", ""te""),"""")"),"")</f>
        <v/>
      </c>
      <c r="I5742" s="3"/>
    </row>
    <row r="5743" customHeight="1" spans="1:9">
      <c r="A5743" s="2"/>
      <c r="B5743" s="2" t="str">
        <f>IFERROR(__xludf.DUMMYFUNCTION("IF(A5743&lt;&gt;"""", GOOGLETRANSLATE(A5743, ""en"", ""te""),"""")"),"")</f>
        <v/>
      </c>
      <c r="C5743" s="2"/>
      <c r="D5743" s="2" t="str">
        <f>IFERROR(__xludf.DUMMYFUNCTION("IF(C5743&lt;&gt;"""", GOOGLETRANSLATE(C5743, ""en"", ""te""),"""")"),"")</f>
        <v/>
      </c>
      <c r="E5743" s="2"/>
      <c r="F5743" s="2" t="str">
        <f>IFERROR(__xludf.DUMMYFUNCTION("IF(E5743&lt;&gt;"""", GOOGLETRANSLATE(E5743, ""en"", ""te""),"""")"),"")</f>
        <v/>
      </c>
      <c r="G5743" s="2"/>
      <c r="H5743" s="2" t="str">
        <f>IFERROR(__xludf.DUMMYFUNCTION("IF(G5743&lt;&gt;"""", GOOGLETRANSLATE(G5743, ""en"", ""te""),"""")"),"")</f>
        <v/>
      </c>
      <c r="I5743" s="3"/>
    </row>
    <row r="5744" customHeight="1" spans="1:9">
      <c r="A5744" s="2"/>
      <c r="B5744" s="2" t="str">
        <f>IFERROR(__xludf.DUMMYFUNCTION("IF(A5744&lt;&gt;"""", GOOGLETRANSLATE(A5744, ""en"", ""te""),"""")"),"")</f>
        <v/>
      </c>
      <c r="C5744" s="2"/>
      <c r="D5744" s="2" t="str">
        <f>IFERROR(__xludf.DUMMYFUNCTION("IF(C5744&lt;&gt;"""", GOOGLETRANSLATE(C5744, ""en"", ""te""),"""")"),"")</f>
        <v/>
      </c>
      <c r="E5744" s="2"/>
      <c r="F5744" s="2" t="str">
        <f>IFERROR(__xludf.DUMMYFUNCTION("IF(E5744&lt;&gt;"""", GOOGLETRANSLATE(E5744, ""en"", ""te""),"""")"),"")</f>
        <v/>
      </c>
      <c r="G5744" s="2"/>
      <c r="H5744" s="2" t="str">
        <f>IFERROR(__xludf.DUMMYFUNCTION("IF(G5744&lt;&gt;"""", GOOGLETRANSLATE(G5744, ""en"", ""te""),"""")"),"")</f>
        <v/>
      </c>
      <c r="I5744" s="3"/>
    </row>
    <row r="5745" customHeight="1" spans="1:9">
      <c r="A5745" s="2"/>
      <c r="B5745" s="2" t="str">
        <f>IFERROR(__xludf.DUMMYFUNCTION("IF(A5745&lt;&gt;"""", GOOGLETRANSLATE(A5745, ""en"", ""te""),"""")"),"")</f>
        <v/>
      </c>
      <c r="C5745" s="2"/>
      <c r="D5745" s="2" t="str">
        <f>IFERROR(__xludf.DUMMYFUNCTION("IF(C5745&lt;&gt;"""", GOOGLETRANSLATE(C5745, ""en"", ""te""),"""")"),"")</f>
        <v/>
      </c>
      <c r="E5745" s="2"/>
      <c r="F5745" s="2" t="str">
        <f>IFERROR(__xludf.DUMMYFUNCTION("IF(E5745&lt;&gt;"""", GOOGLETRANSLATE(E5745, ""en"", ""te""),"""")"),"")</f>
        <v/>
      </c>
      <c r="G5745" s="2"/>
      <c r="H5745" s="2" t="str">
        <f>IFERROR(__xludf.DUMMYFUNCTION("IF(G5745&lt;&gt;"""", GOOGLETRANSLATE(G5745, ""en"", ""te""),"""")"),"")</f>
        <v/>
      </c>
      <c r="I5745" s="3"/>
    </row>
    <row r="5746" customHeight="1" spans="1:9">
      <c r="A5746" s="2"/>
      <c r="B5746" s="2" t="str">
        <f>IFERROR(__xludf.DUMMYFUNCTION("IF(A5746&lt;&gt;"""", GOOGLETRANSLATE(A5746, ""en"", ""te""),"""")"),"")</f>
        <v/>
      </c>
      <c r="C5746" s="2"/>
      <c r="D5746" s="2" t="str">
        <f>IFERROR(__xludf.DUMMYFUNCTION("IF(C5746&lt;&gt;"""", GOOGLETRANSLATE(C5746, ""en"", ""te""),"""")"),"")</f>
        <v/>
      </c>
      <c r="E5746" s="2"/>
      <c r="F5746" s="2" t="str">
        <f>IFERROR(__xludf.DUMMYFUNCTION("IF(E5746&lt;&gt;"""", GOOGLETRANSLATE(E5746, ""en"", ""te""),"""")"),"")</f>
        <v/>
      </c>
      <c r="G5746" s="2"/>
      <c r="H5746" s="2" t="str">
        <f>IFERROR(__xludf.DUMMYFUNCTION("IF(G5746&lt;&gt;"""", GOOGLETRANSLATE(G5746, ""en"", ""te""),"""")"),"")</f>
        <v/>
      </c>
      <c r="I5746" s="3"/>
    </row>
    <row r="5747" customHeight="1" spans="1:9">
      <c r="A5747" s="2"/>
      <c r="B5747" s="2" t="str">
        <f>IFERROR(__xludf.DUMMYFUNCTION("IF(A5747&lt;&gt;"""", GOOGLETRANSLATE(A5747, ""en"", ""te""),"""")"),"")</f>
        <v/>
      </c>
      <c r="C5747" s="2"/>
      <c r="D5747" s="2" t="str">
        <f>IFERROR(__xludf.DUMMYFUNCTION("IF(C5747&lt;&gt;"""", GOOGLETRANSLATE(C5747, ""en"", ""te""),"""")"),"")</f>
        <v/>
      </c>
      <c r="E5747" s="2"/>
      <c r="F5747" s="2" t="str">
        <f>IFERROR(__xludf.DUMMYFUNCTION("IF(E5747&lt;&gt;"""", GOOGLETRANSLATE(E5747, ""en"", ""te""),"""")"),"")</f>
        <v/>
      </c>
      <c r="G5747" s="2"/>
      <c r="H5747" s="2" t="str">
        <f>IFERROR(__xludf.DUMMYFUNCTION("IF(G5747&lt;&gt;"""", GOOGLETRANSLATE(G5747, ""en"", ""te""),"""")"),"")</f>
        <v/>
      </c>
      <c r="I5747" s="3"/>
    </row>
    <row r="5748" customHeight="1" spans="1:9">
      <c r="A5748" s="2"/>
      <c r="B5748" s="2" t="str">
        <f>IFERROR(__xludf.DUMMYFUNCTION("IF(A5748&lt;&gt;"""", GOOGLETRANSLATE(A5748, ""en"", ""te""),"""")"),"")</f>
        <v/>
      </c>
      <c r="C5748" s="2"/>
      <c r="D5748" s="2" t="str">
        <f>IFERROR(__xludf.DUMMYFUNCTION("IF(C5748&lt;&gt;"""", GOOGLETRANSLATE(C5748, ""en"", ""te""),"""")"),"")</f>
        <v/>
      </c>
      <c r="E5748" s="2"/>
      <c r="F5748" s="2" t="str">
        <f>IFERROR(__xludf.DUMMYFUNCTION("IF(E5748&lt;&gt;"""", GOOGLETRANSLATE(E5748, ""en"", ""te""),"""")"),"")</f>
        <v/>
      </c>
      <c r="G5748" s="2"/>
      <c r="H5748" s="2" t="str">
        <f>IFERROR(__xludf.DUMMYFUNCTION("IF(G5748&lt;&gt;"""", GOOGLETRANSLATE(G5748, ""en"", ""te""),"""")"),"")</f>
        <v/>
      </c>
      <c r="I5748" s="3"/>
    </row>
    <row r="5749" customHeight="1" spans="1:9">
      <c r="A5749" s="2"/>
      <c r="B5749" s="2" t="str">
        <f>IFERROR(__xludf.DUMMYFUNCTION("IF(A5749&lt;&gt;"""", GOOGLETRANSLATE(A5749, ""en"", ""te""),"""")"),"")</f>
        <v/>
      </c>
      <c r="C5749" s="2"/>
      <c r="D5749" s="2" t="str">
        <f>IFERROR(__xludf.DUMMYFUNCTION("IF(C5749&lt;&gt;"""", GOOGLETRANSLATE(C5749, ""en"", ""te""),"""")"),"")</f>
        <v/>
      </c>
      <c r="E5749" s="2"/>
      <c r="F5749" s="2" t="str">
        <f>IFERROR(__xludf.DUMMYFUNCTION("IF(E5749&lt;&gt;"""", GOOGLETRANSLATE(E5749, ""en"", ""te""),"""")"),"")</f>
        <v/>
      </c>
      <c r="G5749" s="2"/>
      <c r="H5749" s="2" t="str">
        <f>IFERROR(__xludf.DUMMYFUNCTION("IF(G5749&lt;&gt;"""", GOOGLETRANSLATE(G5749, ""en"", ""te""),"""")"),"")</f>
        <v/>
      </c>
      <c r="I5749" s="3"/>
    </row>
    <row r="5750" customHeight="1" spans="1:9">
      <c r="A5750" s="2" t="s">
        <v>3656</v>
      </c>
      <c r="B5750" s="2" t="str">
        <f>IFERROR(__xludf.DUMMYFUNCTION("IF(A5750&lt;&gt;"""", GOOGLETRANSLATE(A5750, ""en"", ""te""),"""")"),"[ 'హండ్రెడ్ తొలి (105)', 'ఒక వృత్తిలో 1st అత్యధిక ట్రిపుల్ సెంచరీలు (2)', 'వరుస మ్యాచ్లలో 3 వ యాభైల్లో (11)', 'హండ్రెడ్ మరియు ఒక' 3 వ భాగం ఒక రోజు (284) లో నడుస్తుంది ' ఒక మ్యాచ్లో డక్ ',' ఇన్నింగ్స్ లో 2 వ పెద్ద ఫోర్లు (47) ',' ఒక ఇన్నింగ్స్లో ద్వారా బ్"&amp;"యాట్ నిదర్శన (201 *) ',' ఒక మ్యాచ్లో 7000 పరుగులు (134) ',' 8 వ అత్యధిక క్యాచ్లు 3 వ వేగవంతమైన ( 6) ',' 1st ఒక ఆటలో బదులు ద్వారా అత్యధిక క్యాచ్లు (4) ',' బ్యాటింగ్ తెరవడం మరియు అదే మ్యాచ్ లో బౌలింగ్ ',' 5000 పరుగులు మరియు 50 ఫీల్డింగ్ వికెట్లు తొలి వికెట"&amp;"్కు ',' 3 వ అత్యధిక భాగస్వామ్యం (410 ) ',' ఒక కెప్టెన్తో ఇన్నింగ్స్ లో 1 వ అత్యధిక పరుగులు (219) ',' 10th ఒకటి (6) ',' 99 నాటౌట్ జట్టు (మరియు 199, 299 etc) (99 *) ',' 2 వ అత్యంత వ్యతిరేకంగా అత్యధిక వందలు ఒక ఇన్నింగ్స్ లో ఫోర్లు (25) ',' ఇన్నింగ్స్ లో 4 వ "&amp;"అత్యుత్తమ బౌలింగ్ విశ్లేషణలు (4/6) ',' ఇన్నింగ్స్ లో 1 వ ఉత్తమ సమ్మె రేటు (4.2) ',' బ్యాటింగ్ తెరవడం మరియు అదే మ్యాచ్ లో బౌలింగ్ ',' 1000 పరుగులు, 50 వికెట్లు, 50 క్యాచ్లు ',' 5000 పరుగులు మరియు 50 ఫీల్డింగ్ వికెట్లు ',' కెరీర్లో 8 వ అత్యంత తొంభైల (11) '"&amp;",' 9 వ అత్యంత పిచ్చి కెరీర్లో రూ (2408) ']")</f>
        <v>[ 'హండ్రెడ్ తొలి (105)', 'ఒక వృత్తిలో 1st అత్యధిక ట్రిపుల్ సెంచరీలు (2)', 'వరుస మ్యాచ్లలో 3 వ యాభైల్లో (11)', 'హండ్రెడ్ మరియు ఒక' 3 వ భాగం ఒక రోజు (284) లో నడుస్తుంది ' ఒక మ్యాచ్లో డక్ ',' ఇన్నింగ్స్ లో 2 వ పెద్ద ఫోర్లు (47) ',' ఒక ఇన్నింగ్స్లో ద్వారా బ్యాట్ నిదర్శన (201 *) ',' ఒక మ్యాచ్లో 7000 పరుగులు (134) ',' 8 వ అత్యధిక క్యాచ్లు 3 వ వేగవంతమైన ( 6) ',' 1st ఒక ఆటలో బదులు ద్వారా అత్యధిక క్యాచ్లు (4) ',' బ్యాటింగ్ తెరవడం మరియు అదే మ్యాచ్ లో బౌలింగ్ ',' 5000 పరుగులు మరియు 50 ఫీల్డింగ్ వికెట్లు తొలి వికెట్కు ',' 3 వ అత్యధిక భాగస్వామ్యం (410 ) ',' ఒక కెప్టెన్తో ఇన్నింగ్స్ లో 1 వ అత్యధిక పరుగులు (219) ',' 10th ఒకటి (6) ',' 99 నాటౌట్ జట్టు (మరియు 199, 299 etc) (99 *) ',' 2 వ అత్యంత వ్యతిరేకంగా అత్యధిక వందలు ఒక ఇన్నింగ్స్ లో ఫోర్లు (25) ',' ఇన్నింగ్స్ లో 4 వ అత్యుత్తమ బౌలింగ్ విశ్లేషణలు (4/6) ',' ఇన్నింగ్స్ లో 1 వ ఉత్తమ సమ్మె రేటు (4.2) ',' బ్యాటింగ్ తెరవడం మరియు అదే మ్యాచ్ లో బౌలింగ్ ',' 1000 పరుగులు, 50 వికెట్లు, 50 క్యాచ్లు ',' 5000 పరుగులు మరియు 50 ఫీల్డింగ్ వికెట్లు ',' కెరీర్లో 8 వ అత్యంత తొంభైల (11) ',' 9 వ అత్యంత పిచ్చి కెరీర్లో రూ (2408) ']</v>
      </c>
      <c r="C5750" s="2" t="s">
        <v>3657</v>
      </c>
      <c r="D5750" s="2" t="str">
        <f>IFERROR(__xludf.DUMMYFUNCTION("IF(C5750&lt;&gt;"""", GOOGLETRANSLATE(C5750, ""en"", ""te""),"""")"),"[ '24 వ కెరీర్ లో అత్యధిక పరుగులు (8586)', '18 వ ఇన్నింగ్స్ (319) అత్యధిక పరుగులు' 'ఒక మ్యాచ్లో 33 వ అత్యధిక పరుగులు (319)', '15 క్యాలెండర్ సంవత్సరంలో అత్యధిక పరుగులు (1462)', ' 10 వ అత్యంత ఇన్నింగ్స్ లో నడుస్తుంది (బ్యాటింగ్ స్థానం) (319) ',' 16 వ పరాజయం"&amp;" వైపు ఒక మ్యాచ్లో (239) ',' 3 వ భాగం ఒక రోజు లో నడుస్తుంది అత్యధిక పరుగులు (284) ',' 47 వ అత్యధిక కెరీర్ బ్యాటింగ్ సగటు (49.34) ',' 28 వ ఒక వృత్తిలో అత్యధిక వందలు (23) ',' ఒక వృత్తిలో 7 వ అత్యధిక డబుల్ సెంచరీలు (6) ',' ఒక వృత్తిలో 1st అత్యధిక ట్రిపుల్ సె"&amp;"ంచరీలు (2) ',' 19 వ అత్యధిక వందలు ఒక క్యాలెండర్ సంవత్సరం (5) ',' వరుస మ్యాచ్లలో 21 వందల (3) ',' 9 వ పిన్న ఆటగాడు ట్రిపుల్ వందల (25y 160d) ',' 20 వ కెరీర్ తొంభైల (5) ',' 39 వ కెరీర్ అర్థ శతకాలు సాధించాడు ( కెరీర్లో 55) ',' వరుస మ్యాచ్లలో 3 వ యాభైల్లో (11"&amp;") ',' 5 వ ఎక్కువ సిక్స్ (91) ',' 10 వ కెరీర్ లో అత్యంత ఫోర్లు (1233) ',' 19 వ ఇన్నింగ్స్ లో వచ్చిన ఎక్కువ సిక్స్ (7) ',' ఒక ఇన్నింగ్స్ లో 2 వ పెద్ద ఫోర్లు (47) ',' 4 వ ఇన్నింగ్స్ లో ఫోర్లు, సిక్సర్లు నుండి అత్యధిక పరుగులు (202) ',' 12 వ ఒక ఇన్నింగ్స్లో పర"&amp;"ుగుల అత్యధిక శాతం (61.09 ) ',' 17 వ 2000 పరుగులు (40) 3000 పరుగులు ',' 7 వ వేగవంతమైన (వేగంగా 55) ',' 11 వ 4000 పరుగులు (వేగంగా 79) ',' 11 వ 5000 పరుగులు (99) ',' 13 వ వేగంగా వేగంగా 6000 పరుగులు (123) ',' 7000 పరుగులు (134) ',' 5 వ వేగవంతమైన 3 వ వేగవంతమె"&amp;"ౖన కెరీర్లో 8000 పరుగులు (160) ',' 48 వ అత్యధిక క్యాచ్లు (91) ',' 8 వ అత్యధిక క్యాచ్లు ఒక మ్యాచ్లో (6 ) ',' ఏ వికెట్ ఇన్నింగ్స్ (3) ',' 1st ఒక ఆటలో బదులు ద్వారా అత్యధిక క్యాచ్లు (4) ',' 14 వ అత్యధిక భాగస్వామ్య ప్రత్యామ్నాయంగా 3 వ అత్యధిక క్యాచ్లు (410) ',"&amp;"' 3 వ అత్యధిక కొరకు చేసిన భాగస్వామ్యం తొలి వికెట్కు (410) ',' 36 వ రెండవ వికెట్కు అత్యధిక భాగస్వామ్యం (268) ',' మూడో వికెట్కు 14 అత్యధిక భాగస్వామ్యం (336) ',' 41 వ అత్యంత ప్లేయర్ ఆఫ్ ది మ్యాచ్ అవార్డులు (8) ', '12 వ అత్యంత ప్లేయర్ ఆఫ్ ది సిరీస్ అవార్డులు "&amp;"(5)']")</f>
        <v>[ '24 వ కెరీర్ లో అత్యధిక పరుగులు (8586)', '18 వ ఇన్నింగ్స్ (319) అత్యధిక పరుగులు' 'ఒక మ్యాచ్లో 33 వ అత్యధిక పరుగులు (319)', '15 క్యాలెండర్ సంవత్సరంలో అత్యధిక పరుగులు (1462)', ' 10 వ అత్యంత ఇన్నింగ్స్ లో నడుస్తుంది (బ్యాటింగ్ స్థానం) (319) ',' 16 వ పరాజయం వైపు ఒక మ్యాచ్లో (239) ',' 3 వ భాగం ఒక రోజు లో నడుస్తుంది అత్యధిక పరుగులు (284) ',' 47 వ అత్యధిక కెరీర్ బ్యాటింగ్ సగటు (49.34) ',' 28 వ ఒక వృత్తిలో అత్యధిక వందలు (23) ',' ఒక వృత్తిలో 7 వ అత్యధిక డబుల్ సెంచరీలు (6) ',' ఒక వృత్తిలో 1st అత్యధిక ట్రిపుల్ సెంచరీలు (2) ',' 19 వ అత్యధిక వందలు ఒక క్యాలెండర్ సంవత్సరం (5) ',' వరుస మ్యాచ్లలో 21 వందల (3) ',' 9 వ పిన్న ఆటగాడు ట్రిపుల్ వందల (25y 160d) ',' 20 వ కెరీర్ తొంభైల (5) ',' 39 వ కెరీర్ అర్థ శతకాలు సాధించాడు ( కెరీర్లో 55) ',' వరుస మ్యాచ్లలో 3 వ యాభైల్లో (11) ',' 5 వ ఎక్కువ సిక్స్ (91) ',' 10 వ కెరీర్ లో అత్యంత ఫోర్లు (1233) ',' 19 వ ఇన్నింగ్స్ లో వచ్చిన ఎక్కువ సిక్స్ (7) ',' ఒక ఇన్నింగ్స్ లో 2 వ పెద్ద ఫోర్లు (47) ',' 4 వ ఇన్నింగ్స్ లో ఫోర్లు, సిక్సర్లు నుండి అత్యధిక పరుగులు (202) ',' 12 వ ఒక ఇన్నింగ్స్లో పరుగుల అత్యధిక శాతం (61.09 ) ',' 17 వ 2000 పరుగులు (40) 3000 పరుగులు ',' 7 వ వేగవంతమైన (వేగంగా 55) ',' 11 వ 4000 పరుగులు (వేగంగా 79) ',' 11 వ 5000 పరుగులు (99) ',' 13 వ వేగంగా వేగంగా 6000 పరుగులు (123) ',' 7000 పరుగులు (134) ',' 5 వ వేగవంతమైన 3 వ వేగవంతమైన కెరీర్లో 8000 పరుగులు (160) ',' 48 వ అత్యధిక క్యాచ్లు (91) ',' 8 వ అత్యధిక క్యాచ్లు ఒక మ్యాచ్లో (6 ) ',' ఏ వికెట్ ఇన్నింగ్స్ (3) ',' 1st ఒక ఆటలో బదులు ద్వారా అత్యధిక క్యాచ్లు (4) ',' 14 వ అత్యధిక భాగస్వామ్య ప్రత్యామ్నాయంగా 3 వ అత్యధిక క్యాచ్లు (410) ',' 3 వ అత్యధిక కొరకు చేసిన భాగస్వామ్యం తొలి వికెట్కు (410) ',' 36 వ రెండవ వికెట్కు అత్యధిక భాగస్వామ్యం (268) ',' మూడో వికెట్కు 14 అత్యధిక భాగస్వామ్యం (336) ',' 41 వ అత్యంత ప్లేయర్ ఆఫ్ ది మ్యాచ్ అవార్డులు (8) ', '12 వ అత్యంత ప్లేయర్ ఆఫ్ ది సిరీస్ అవార్డులు (5)']</v>
      </c>
      <c r="E5750" s="2" t="s">
        <v>3658</v>
      </c>
      <c r="F5750" s="2" t="str">
        <f>IFERROR(__xludf.DUMMYFUNCTION("IF(E5750&lt;&gt;"""", GOOGLETRANSLATE(E5750, ""en"", ""te""),"""")"),"[ '28 కెరీర్లో అత్యధిక పరుగులు (8273)', '11 వ ఇన్నింగ్స్ లో అత్యధిక పరుగులు (ప్రగతిశీల రికార్డు హోల్డర్) (219)', '3 వ అత్యంత ఇన్నింగ్స్ లో నడుస్తుంది (ద్వారా' 3 వ అత్యంత ఇన్నింగ్స్ (219) లో నడుస్తుంది ' ఒక కెప్టెన్తో బ్యాటింగ్ స్థానంలో) (219) ',' 1 వ ఇన్న"&amp;"ింగ్స్ లో అత్యధిక పరుగులు (219) ',' 22 వ అత్యధిక కెరీర్ సమ్మె రేటు (104.33) ',' 27 ఒక వృత్తిలో అత్యధిక వందలు (15) ',' 10 వ అత్యధిక వందలు ఒక జట్టు వ్యతిరేకంగా కెరీర్లో (6) ',' 8 వ అత్యంత తొంభైల (6) ',' 42 వ కెరీర్ అర్ధ (53) ',' ఒక డక్ లేకుండా 25 వరుస ఇన్న"&amp;"ింగ్స్ (72) ',' 19 వ కెరీర్ లో వచ్చిన ఎక్కువ సిక్స్ ( కెరీర్ (1132) లో 136) ',' 7 వ అత్యంత ఫోర్లు ',' ఇన్నింగ్స్ లో 2 వ పెద్ద ఫోర్లు (25) ',' 6000 పరుగులు ఇన్నింగ్స్ (142) ',' 36 వ అత్యంత వేగంగా ఫోర్లు, సిక్సర్లు నుండి 5 వ అత్యధిక పరుగులు ( 190) ',' 7000 "&amp;"పరుగులు (213) ',' 8000 పరుగులు (234) కు 21 వ వేగంగా వేగంగా 27 ',' 4 వ అత్యుత్తమ బౌలింగ్ ఇన్నింగ్స్ లో విశ్లేషించడం (4/6) ',' ఇన్నింగ్స్ లో 1 వ ఉత్తమ సమ్మె రేటు ( 4.2) ',' కెరీర్లో 37 వ అత్యధిక క్యాచ్లు (93) ',' 24th ఒక సిరీస్లో అత్యధిక క్యాచ్లు (8) రెండో "&amp;"వికెట్కు (198) 'కోసం' '45 వ అత్యధిక భాగస్వామ్యం, '13 మూడో వికెట్కు వ అత్యధిక భాగస్వామ్యం (221) ',' 40 వ కెరీర్ లో అత్యధిక మ్యాచ్లు (251) ', '21 వ అత్యంత ప్లేయర్ ఆఫ్ ది మ్యాచ్ అవార్డులు (23)', '31 పిన్న కాప్టెన్ (24y 178d)']")</f>
        <v>[ '28 కెరీర్లో అత్యధిక పరుగులు (8273)', '11 వ ఇన్నింగ్స్ లో అత్యధిక పరుగులు (ప్రగతిశీల రికార్డు హోల్డర్) (219)', '3 వ అత్యంత ఇన్నింగ్స్ లో నడుస్తుంది (ద్వారా' 3 వ అత్యంత ఇన్నింగ్స్ (219) లో నడుస్తుంది ' ఒక కెప్టెన్తో బ్యాటింగ్ స్థానంలో) (219) ',' 1 వ ఇన్నింగ్స్ లో అత్యధిక పరుగులు (219) ',' 22 వ అత్యధిక కెరీర్ సమ్మె రేటు (104.33) ',' 27 ఒక వృత్తిలో అత్యధిక వందలు (15) ',' 10 వ అత్యధిక వందలు ఒక జట్టు వ్యతిరేకంగా కెరీర్లో (6) ',' 8 వ అత్యంత తొంభైల (6) ',' 42 వ కెరీర్ అర్ధ (53) ',' ఒక డక్ లేకుండా 25 వరుస ఇన్నింగ్స్ (72) ',' 19 వ కెరీర్ లో వచ్చిన ఎక్కువ సిక్స్ ( కెరీర్ (1132) లో 136) ',' 7 వ అత్యంత ఫోర్లు ',' ఇన్నింగ్స్ లో 2 వ పెద్ద ఫోర్లు (25) ',' 6000 పరుగులు ఇన్నింగ్స్ (142) ',' 36 వ అత్యంత వేగంగా ఫోర్లు, సిక్సర్లు నుండి 5 వ అత్యధిక పరుగులు ( 190) ',' 7000 పరుగులు (213) ',' 8000 పరుగులు (234) కు 21 వ వేగంగా వేగంగా 27 ',' 4 వ అత్యుత్తమ బౌలింగ్ ఇన్నింగ్స్ లో విశ్లేషించడం (4/6) ',' ఇన్నింగ్స్ లో 1 వ ఉత్తమ సమ్మె రేటు ( 4.2) ',' కెరీర్లో 37 వ అత్యధిక క్యాచ్లు (93) ',' 24th ఒక సిరీస్లో అత్యధిక క్యాచ్లు (8) రెండో వికెట్కు (198) 'కోసం' '45 వ అత్యధిక భాగస్వామ్యం, '13 మూడో వికెట్కు వ అత్యధిక భాగస్వామ్యం (221) ',' 40 వ కెరీర్ లో అత్యధిక మ్యాచ్లు (251) ', '21 వ అత్యంత ప్లేయర్ ఆఫ్ ది మ్యాచ్ అవార్డులు (23)', '31 పిన్న కాప్టెన్ (24y 178d)']</v>
      </c>
      <c r="G5750" s="2" t="s">
        <v>3659</v>
      </c>
      <c r="H5750" s="2" t="str">
        <f>IFERROR(__xludf.DUMMYFUNCTION("IF(G5750&lt;&gt;"""", GOOGLETRANSLATE(G5750, ""en"", ""te""),"""")"),"[ '20 వ అత్యధిక కెరీర్ సమ్మె రేటు (145.38)']")</f>
        <v>[ '20 వ అత్యధిక కెరీర్ సమ్మె రేటు (145.38)']</v>
      </c>
      <c r="I5750" s="3"/>
    </row>
    <row r="5751" customHeight="1" spans="1:9">
      <c r="A5751" s="2"/>
      <c r="B5751" s="2" t="str">
        <f>IFERROR(__xludf.DUMMYFUNCTION("IF(A5751&lt;&gt;"""", GOOGLETRANSLATE(A5751, ""en"", ""te""),"""")"),"")</f>
        <v/>
      </c>
      <c r="C5751" s="2"/>
      <c r="D5751" s="2" t="str">
        <f>IFERROR(__xludf.DUMMYFUNCTION("IF(C5751&lt;&gt;"""", GOOGLETRANSLATE(C5751, ""en"", ""te""),"""")"),"")</f>
        <v/>
      </c>
      <c r="E5751" s="2"/>
      <c r="F5751" s="2" t="str">
        <f>IFERROR(__xludf.DUMMYFUNCTION("IF(E5751&lt;&gt;"""", GOOGLETRANSLATE(E5751, ""en"", ""te""),"""")"),"")</f>
        <v/>
      </c>
      <c r="G5751" s="2"/>
      <c r="H5751" s="2" t="str">
        <f>IFERROR(__xludf.DUMMYFUNCTION("IF(G5751&lt;&gt;"""", GOOGLETRANSLATE(G5751, ""en"", ""te""),"""")"),"")</f>
        <v/>
      </c>
      <c r="I5751" s="3"/>
    </row>
    <row r="5752" customHeight="1" spans="1:9">
      <c r="A5752" s="2"/>
      <c r="B5752" s="2" t="str">
        <f>IFERROR(__xludf.DUMMYFUNCTION("IF(A5752&lt;&gt;"""", GOOGLETRANSLATE(A5752, ""en"", ""te""),"""")"),"")</f>
        <v/>
      </c>
      <c r="C5752" s="2"/>
      <c r="D5752" s="2" t="str">
        <f>IFERROR(__xludf.DUMMYFUNCTION("IF(C5752&lt;&gt;"""", GOOGLETRANSLATE(C5752, ""en"", ""te""),"""")"),"")</f>
        <v/>
      </c>
      <c r="E5752" s="2"/>
      <c r="F5752" s="2" t="str">
        <f>IFERROR(__xludf.DUMMYFUNCTION("IF(E5752&lt;&gt;"""", GOOGLETRANSLATE(E5752, ""en"", ""te""),"""")"),"")</f>
        <v/>
      </c>
      <c r="G5752" s="2"/>
      <c r="H5752" s="2" t="str">
        <f>IFERROR(__xludf.DUMMYFUNCTION("IF(G5752&lt;&gt;"""", GOOGLETRANSLATE(G5752, ""en"", ""te""),"""")"),"")</f>
        <v/>
      </c>
      <c r="I5752" s="3"/>
    </row>
    <row r="5753" customHeight="1" spans="1:9">
      <c r="A5753" s="2"/>
      <c r="B5753" s="2" t="str">
        <f>IFERROR(__xludf.DUMMYFUNCTION("IF(A5753&lt;&gt;"""", GOOGLETRANSLATE(A5753, ""en"", ""te""),"""")"),"")</f>
        <v/>
      </c>
      <c r="C5753" s="2"/>
      <c r="D5753" s="2" t="str">
        <f>IFERROR(__xludf.DUMMYFUNCTION("IF(C5753&lt;&gt;"""", GOOGLETRANSLATE(C5753, ""en"", ""te""),"""")"),"")</f>
        <v/>
      </c>
      <c r="E5753" s="2"/>
      <c r="F5753" s="2" t="str">
        <f>IFERROR(__xludf.DUMMYFUNCTION("IF(E5753&lt;&gt;"""", GOOGLETRANSLATE(E5753, ""en"", ""te""),"""")"),"")</f>
        <v/>
      </c>
      <c r="G5753" s="2"/>
      <c r="H5753" s="2" t="str">
        <f>IFERROR(__xludf.DUMMYFUNCTION("IF(G5753&lt;&gt;"""", GOOGLETRANSLATE(G5753, ""en"", ""te""),"""")"),"")</f>
        <v/>
      </c>
      <c r="I5753" s="3"/>
    </row>
    <row r="5754" customHeight="1" spans="1:9">
      <c r="A5754" s="2" t="s">
        <v>3660</v>
      </c>
      <c r="B5754" s="2" t="str">
        <f>IFERROR(__xludf.DUMMYFUNCTION("IF(A5754&lt;&gt;"""", GOOGLETRANSLATE(A5754, ""en"", ""te""),"""")"),"[ 'జట్టు 2 వ వరుస మ్యాచ్లు (21)', '3 వ అత్యంత జీవితంలో వంద (601) లేకుండా నడుస్తుంది', ఒక సిరీస్లో 'మొదటి డక్ (16) ముందు 4 వ అత్యంత ఇన్నింగ్స్', '2 వ అత్యధిక క్యాచ్లు (9 ) ']")</f>
        <v>[ 'జట్టు 2 వ వరుస మ్యాచ్లు (21)', '3 వ అత్యంత జీవితంలో వంద (601) లేకుండా నడుస్తుంది', ఒక సిరీస్లో 'మొదటి డక్ (16) ముందు 4 వ అత్యంత ఇన్నింగ్స్', '2 వ అత్యధిక క్యాచ్లు (9 ) ']</v>
      </c>
      <c r="C5754" s="2" t="s">
        <v>3661</v>
      </c>
      <c r="D5754" s="2" t="str">
        <f>IFERROR(__xludf.DUMMYFUNCTION("IF(C5754&lt;&gt;"""", GOOGLETRANSLATE(C5754, ""en"", ""te""),"""")"),"[ '29 జీవితంలో అత్యధిక పరుగులు (601)', '3 వ అత్యంత జీవితంలో వంద (601) లేకుండా నడుస్తుంది', 'ముందు 4 వ అత్యంత ఇన్నింగ్స్ తొలి డక్ (16)', '(19) 17 వ కెరీర్ లో అతి తక్కువ బాతులు', 'వరుస 2 వ అత్యధిక క్యాచ్లు (9)' '42 వ చెత్త కెరీర్ (64.20) (అర్హత లేకుండా) సగట"&amp;"ు బౌలింగ్', 'కెరీర్ లో 2 వ అత్యధిక క్యాచ్లు (21)', 'కెరీర్లో 4 వ అత్యధిక మ్యాచ్లు (21)', ' 2 వ భాగం ఒక జట్టుకు వరుస మ్యాచ్లు (21) ', '21 వ లాంగెస్ట్ కెరీర్లు (14y 104d)']")</f>
        <v>[ '29 జీవితంలో అత్యధిక పరుగులు (601)', '3 వ అత్యంత జీవితంలో వంద (601) లేకుండా నడుస్తుంది', 'ముందు 4 వ అత్యంత ఇన్నింగ్స్ తొలి డక్ (16)', '(19) 17 వ కెరీర్ లో అతి తక్కువ బాతులు', 'వరుస 2 వ అత్యధిక క్యాచ్లు (9)' '42 వ చెత్త కెరీర్ (64.20) (అర్హత లేకుండా) సగటు బౌలింగ్', 'కెరీర్ లో 2 వ అత్యధిక క్యాచ్లు (21)', 'కెరీర్లో 4 వ అత్యధిక మ్యాచ్లు (21)', ' 2 వ భాగం ఒక జట్టుకు వరుస మ్యాచ్లు (21) ', '21 వ లాంగెస్ట్ కెరీర్లు (14y 104d)']</v>
      </c>
      <c r="E5754" s="2" t="s">
        <v>3662</v>
      </c>
      <c r="F5754" s="2" t="str">
        <f>IFERROR(__xludf.DUMMYFUNCTION("IF(E5754&lt;&gt;"""", GOOGLETRANSLATE(E5754, ""en"", ""te""),"""")"),"[ '34 వ చెత్త కెరీర్ (78.00) (అర్హత లేకుండా) సగటు బౌలింగ్', 'ప్రదర్శనల మధ్య 28 లాంగెస్ట్ వ్యవధిలో (6y 14D)']")</f>
        <v>[ '34 వ చెత్త కెరీర్ (78.00) (అర్హత లేకుండా) సగటు బౌలింగ్', 'ప్రదర్శనల మధ్య 28 లాంగెస్ట్ వ్యవధిలో (6y 14D)']</v>
      </c>
      <c r="G5754" s="2"/>
      <c r="H5754" s="2" t="str">
        <f>IFERROR(__xludf.DUMMYFUNCTION("IF(G5754&lt;&gt;"""", GOOGLETRANSLATE(G5754, ""en"", ""te""),"""")"),"")</f>
        <v/>
      </c>
      <c r="I5754" s="3"/>
    </row>
    <row r="5755" customHeight="1" spans="1:9">
      <c r="A5755" s="2"/>
      <c r="B5755" s="2" t="str">
        <f>IFERROR(__xludf.DUMMYFUNCTION("IF(A5755&lt;&gt;"""", GOOGLETRANSLATE(A5755, ""en"", ""te""),"""")"),"")</f>
        <v/>
      </c>
      <c r="C5755" s="2"/>
      <c r="D5755" s="2" t="str">
        <f>IFERROR(__xludf.DUMMYFUNCTION("IF(C5755&lt;&gt;"""", GOOGLETRANSLATE(C5755, ""en"", ""te""),"""")"),"")</f>
        <v/>
      </c>
      <c r="E5755" s="2"/>
      <c r="F5755" s="2" t="str">
        <f>IFERROR(__xludf.DUMMYFUNCTION("IF(E5755&lt;&gt;"""", GOOGLETRANSLATE(E5755, ""en"", ""te""),"""")"),"")</f>
        <v/>
      </c>
      <c r="G5755" s="2"/>
      <c r="H5755" s="2" t="str">
        <f>IFERROR(__xludf.DUMMYFUNCTION("IF(G5755&lt;&gt;"""", GOOGLETRANSLATE(G5755, ""en"", ""te""),"""")"),"")</f>
        <v/>
      </c>
      <c r="I5755" s="3"/>
    </row>
    <row r="5756" customHeight="1" spans="1:9">
      <c r="A5756" s="2"/>
      <c r="B5756" s="2" t="str">
        <f>IFERROR(__xludf.DUMMYFUNCTION("IF(A5756&lt;&gt;"""", GOOGLETRANSLATE(A5756, ""en"", ""te""),"""")"),"")</f>
        <v/>
      </c>
      <c r="C5756" s="2"/>
      <c r="D5756" s="2" t="str">
        <f>IFERROR(__xludf.DUMMYFUNCTION("IF(C5756&lt;&gt;"""", GOOGLETRANSLATE(C5756, ""en"", ""te""),"""")"),"")</f>
        <v/>
      </c>
      <c r="E5756" s="2"/>
      <c r="F5756" s="2" t="str">
        <f>IFERROR(__xludf.DUMMYFUNCTION("IF(E5756&lt;&gt;"""", GOOGLETRANSLATE(E5756, ""en"", ""te""),"""")"),"")</f>
        <v/>
      </c>
      <c r="G5756" s="2"/>
      <c r="H5756" s="2" t="str">
        <f>IFERROR(__xludf.DUMMYFUNCTION("IF(G5756&lt;&gt;"""", GOOGLETRANSLATE(G5756, ""en"", ""te""),"""")"),"")</f>
        <v/>
      </c>
      <c r="I5756" s="3"/>
    </row>
    <row r="5757" customHeight="1" spans="1:9">
      <c r="A5757" s="2"/>
      <c r="B5757" s="2" t="str">
        <f>IFERROR(__xludf.DUMMYFUNCTION("IF(A5757&lt;&gt;"""", GOOGLETRANSLATE(A5757, ""en"", ""te""),"""")"),"")</f>
        <v/>
      </c>
      <c r="C5757" s="2" t="s">
        <v>3663</v>
      </c>
      <c r="D5757" s="2" t="str">
        <f>IFERROR(__xludf.DUMMYFUNCTION("IF(C5757&lt;&gt;"""", GOOGLETRANSLATE(C5757, ""en"", ""te""),"""")"),"[ '17 వ ఉత్తమ కెరీర్ బౌలింగ్ సరాసరి (అర్హత లేకుండా) (8.50)']")</f>
        <v>[ '17 వ ఉత్తమ కెరీర్ బౌలింగ్ సరాసరి (అర్హత లేకుండా) (8.50)']</v>
      </c>
      <c r="E5757" s="2"/>
      <c r="F5757" s="2" t="str">
        <f>IFERROR(__xludf.DUMMYFUNCTION("IF(E5757&lt;&gt;"""", GOOGLETRANSLATE(E5757, ""en"", ""te""),"""")"),"")</f>
        <v/>
      </c>
      <c r="G5757" s="2"/>
      <c r="H5757" s="2" t="str">
        <f>IFERROR(__xludf.DUMMYFUNCTION("IF(G5757&lt;&gt;"""", GOOGLETRANSLATE(G5757, ""en"", ""te""),"""")"),"")</f>
        <v/>
      </c>
      <c r="I5757" s="3"/>
    </row>
    <row r="5758" customHeight="1" spans="1:9">
      <c r="A5758" s="2"/>
      <c r="B5758" s="2" t="str">
        <f>IFERROR(__xludf.DUMMYFUNCTION("IF(A5758&lt;&gt;"""", GOOGLETRANSLATE(A5758, ""en"", ""te""),"""")"),"")</f>
        <v/>
      </c>
      <c r="C5758" s="2"/>
      <c r="D5758" s="2" t="str">
        <f>IFERROR(__xludf.DUMMYFUNCTION("IF(C5758&lt;&gt;"""", GOOGLETRANSLATE(C5758, ""en"", ""te""),"""")"),"")</f>
        <v/>
      </c>
      <c r="E5758" s="2"/>
      <c r="F5758" s="2" t="str">
        <f>IFERROR(__xludf.DUMMYFUNCTION("IF(E5758&lt;&gt;"""", GOOGLETRANSLATE(E5758, ""en"", ""te""),"""")"),"")</f>
        <v/>
      </c>
      <c r="G5758" s="2"/>
      <c r="H5758" s="2" t="str">
        <f>IFERROR(__xludf.DUMMYFUNCTION("IF(G5758&lt;&gt;"""", GOOGLETRANSLATE(G5758, ""en"", ""te""),"""")"),"")</f>
        <v/>
      </c>
      <c r="I5758" s="3"/>
    </row>
    <row r="5759" customHeight="1" spans="1:9">
      <c r="A5759" s="2"/>
      <c r="B5759" s="2" t="str">
        <f>IFERROR(__xludf.DUMMYFUNCTION("IF(A5759&lt;&gt;"""", GOOGLETRANSLATE(A5759, ""en"", ""te""),"""")"),"")</f>
        <v/>
      </c>
      <c r="C5759" s="2"/>
      <c r="D5759" s="2" t="str">
        <f>IFERROR(__xludf.DUMMYFUNCTION("IF(C5759&lt;&gt;"""", GOOGLETRANSLATE(C5759, ""en"", ""te""),"""")"),"")</f>
        <v/>
      </c>
      <c r="E5759" s="2"/>
      <c r="F5759" s="2" t="str">
        <f>IFERROR(__xludf.DUMMYFUNCTION("IF(E5759&lt;&gt;"""", GOOGLETRANSLATE(E5759, ""en"", ""te""),"""")"),"")</f>
        <v/>
      </c>
      <c r="G5759" s="2"/>
      <c r="H5759" s="2" t="str">
        <f>IFERROR(__xludf.DUMMYFUNCTION("IF(G5759&lt;&gt;"""", GOOGLETRANSLATE(G5759, ""en"", ""te""),"""")"),"")</f>
        <v/>
      </c>
      <c r="I5759" s="3"/>
    </row>
    <row r="5760" customHeight="1" spans="1:9">
      <c r="A5760" s="2"/>
      <c r="B5760" s="2" t="str">
        <f>IFERROR(__xludf.DUMMYFUNCTION("IF(A5760&lt;&gt;"""", GOOGLETRANSLATE(A5760, ""en"", ""te""),"""")"),"")</f>
        <v/>
      </c>
      <c r="C5760" s="2"/>
      <c r="D5760" s="2" t="str">
        <f>IFERROR(__xludf.DUMMYFUNCTION("IF(C5760&lt;&gt;"""", GOOGLETRANSLATE(C5760, ""en"", ""te""),"""")"),"")</f>
        <v/>
      </c>
      <c r="E5760" s="2"/>
      <c r="F5760" s="2" t="str">
        <f>IFERROR(__xludf.DUMMYFUNCTION("IF(E5760&lt;&gt;"""", GOOGLETRANSLATE(E5760, ""en"", ""te""),"""")"),"")</f>
        <v/>
      </c>
      <c r="G5760" s="2"/>
      <c r="H5760" s="2" t="str">
        <f>IFERROR(__xludf.DUMMYFUNCTION("IF(G5760&lt;&gt;"""", GOOGLETRANSLATE(G5760, ""en"", ""te""),"""")"),"")</f>
        <v/>
      </c>
      <c r="I5760" s="3"/>
    </row>
    <row r="5761" customHeight="1" spans="1:9">
      <c r="A5761" s="2"/>
      <c r="B5761" s="2" t="str">
        <f>IFERROR(__xludf.DUMMYFUNCTION("IF(A5761&lt;&gt;"""", GOOGLETRANSLATE(A5761, ""en"", ""te""),"""")"),"")</f>
        <v/>
      </c>
      <c r="C5761" s="2"/>
      <c r="D5761" s="2" t="str">
        <f>IFERROR(__xludf.DUMMYFUNCTION("IF(C5761&lt;&gt;"""", GOOGLETRANSLATE(C5761, ""en"", ""te""),"""")"),"")</f>
        <v/>
      </c>
      <c r="E5761" s="2"/>
      <c r="F5761" s="2" t="str">
        <f>IFERROR(__xludf.DUMMYFUNCTION("IF(E5761&lt;&gt;"""", GOOGLETRANSLATE(E5761, ""en"", ""te""),"""")"),"")</f>
        <v/>
      </c>
      <c r="G5761" s="2"/>
      <c r="H5761" s="2" t="str">
        <f>IFERROR(__xludf.DUMMYFUNCTION("IF(G5761&lt;&gt;"""", GOOGLETRANSLATE(G5761, ""en"", ""te""),"""")"),"")</f>
        <v/>
      </c>
      <c r="I5761" s="3"/>
    </row>
    <row r="5762" customHeight="1" spans="1:9">
      <c r="A5762" s="2"/>
      <c r="B5762" s="2" t="str">
        <f>IFERROR(__xludf.DUMMYFUNCTION("IF(A5762&lt;&gt;"""", GOOGLETRANSLATE(A5762, ""en"", ""te""),"""")"),"")</f>
        <v/>
      </c>
      <c r="C5762" s="2"/>
      <c r="D5762" s="2" t="str">
        <f>IFERROR(__xludf.DUMMYFUNCTION("IF(C5762&lt;&gt;"""", GOOGLETRANSLATE(C5762, ""en"", ""te""),"""")"),"")</f>
        <v/>
      </c>
      <c r="E5762" s="2"/>
      <c r="F5762" s="2" t="str">
        <f>IFERROR(__xludf.DUMMYFUNCTION("IF(E5762&lt;&gt;"""", GOOGLETRANSLATE(E5762, ""en"", ""te""),"""")"),"")</f>
        <v/>
      </c>
      <c r="G5762" s="2"/>
      <c r="H5762" s="2" t="str">
        <f>IFERROR(__xludf.DUMMYFUNCTION("IF(G5762&lt;&gt;"""", GOOGLETRANSLATE(G5762, ""en"", ""te""),"""")"),"")</f>
        <v/>
      </c>
      <c r="I5762" s="3"/>
    </row>
    <row r="5763" customHeight="1" spans="1:9">
      <c r="A5763" s="2"/>
      <c r="B5763" s="2" t="str">
        <f>IFERROR(__xludf.DUMMYFUNCTION("IF(A5763&lt;&gt;"""", GOOGLETRANSLATE(A5763, ""en"", ""te""),"""")"),"")</f>
        <v/>
      </c>
      <c r="C5763" s="2"/>
      <c r="D5763" s="2" t="str">
        <f>IFERROR(__xludf.DUMMYFUNCTION("IF(C5763&lt;&gt;"""", GOOGLETRANSLATE(C5763, ""en"", ""te""),"""")"),"")</f>
        <v/>
      </c>
      <c r="E5763" s="2"/>
      <c r="F5763" s="2" t="str">
        <f>IFERROR(__xludf.DUMMYFUNCTION("IF(E5763&lt;&gt;"""", GOOGLETRANSLATE(E5763, ""en"", ""te""),"""")"),"")</f>
        <v/>
      </c>
      <c r="G5763" s="2"/>
      <c r="H5763" s="2" t="str">
        <f>IFERROR(__xludf.DUMMYFUNCTION("IF(G5763&lt;&gt;"""", GOOGLETRANSLATE(G5763, ""en"", ""te""),"""")"),"")</f>
        <v/>
      </c>
      <c r="I5763" s="3"/>
    </row>
    <row r="5764" customHeight="1" spans="1:9">
      <c r="A5764" s="2"/>
      <c r="B5764" s="2" t="str">
        <f>IFERROR(__xludf.DUMMYFUNCTION("IF(A5764&lt;&gt;"""", GOOGLETRANSLATE(A5764, ""en"", ""te""),"""")"),"")</f>
        <v/>
      </c>
      <c r="C5764" s="2"/>
      <c r="D5764" s="2" t="str">
        <f>IFERROR(__xludf.DUMMYFUNCTION("IF(C5764&lt;&gt;"""", GOOGLETRANSLATE(C5764, ""en"", ""te""),"""")"),"")</f>
        <v/>
      </c>
      <c r="E5764" s="2"/>
      <c r="F5764" s="2" t="str">
        <f>IFERROR(__xludf.DUMMYFUNCTION("IF(E5764&lt;&gt;"""", GOOGLETRANSLATE(E5764, ""en"", ""te""),"""")"),"")</f>
        <v/>
      </c>
      <c r="G5764" s="2"/>
      <c r="H5764" s="2" t="str">
        <f>IFERROR(__xludf.DUMMYFUNCTION("IF(G5764&lt;&gt;"""", GOOGLETRANSLATE(G5764, ""en"", ""te""),"""")"),"")</f>
        <v/>
      </c>
      <c r="I5764" s="3"/>
    </row>
    <row r="5765" customHeight="1" spans="1:9">
      <c r="A5765" s="2"/>
      <c r="B5765" s="2" t="str">
        <f>IFERROR(__xludf.DUMMYFUNCTION("IF(A5765&lt;&gt;"""", GOOGLETRANSLATE(A5765, ""en"", ""te""),"""")"),"")</f>
        <v/>
      </c>
      <c r="C5765" s="2"/>
      <c r="D5765" s="2" t="str">
        <f>IFERROR(__xludf.DUMMYFUNCTION("IF(C5765&lt;&gt;"""", GOOGLETRANSLATE(C5765, ""en"", ""te""),"""")"),"")</f>
        <v/>
      </c>
      <c r="E5765" s="2"/>
      <c r="F5765" s="2" t="str">
        <f>IFERROR(__xludf.DUMMYFUNCTION("IF(E5765&lt;&gt;"""", GOOGLETRANSLATE(E5765, ""en"", ""te""),"""")"),"")</f>
        <v/>
      </c>
      <c r="G5765" s="2"/>
      <c r="H5765" s="2" t="str">
        <f>IFERROR(__xludf.DUMMYFUNCTION("IF(G5765&lt;&gt;"""", GOOGLETRANSLATE(G5765, ""en"", ""te""),"""")"),"")</f>
        <v/>
      </c>
      <c r="I5765" s="3"/>
    </row>
    <row r="5766" customHeight="1" spans="1:9">
      <c r="A5766" s="2" t="s">
        <v>3664</v>
      </c>
      <c r="B5766" s="2" t="str">
        <f>IFERROR(__xludf.DUMMYFUNCTION("IF(A5766&lt;&gt;"""", GOOGLETRANSLATE(A5766, ""en"", ""te""),"""")"),"[ 'హండ్రెడ్ తొలి (177)', 'ఏడవ వికెట్కు 4 వ అత్యధిక భాగస్వామ్యం (280)', '1 వ ఇన్నింగ్స్ లో అత్యధిక పరుగులు (బ్యాటింగ్ స్థానంలో ప్రకారం) (264)' 'ఒక మ్యాచ్లో ప్రతి ఇన్నింగ్స్లో హండ్రెడ్', , 'ఇన్నింగ్స్ లో ఫోర్లు, సిక్సర్లు నుండి 1 వ అత్యధిక పరుగులు (186)', '"&amp;"3 వ అత్యధిక శాతం' 1st 99 (199, 299 etc) (99) అవుటయ్యాడు '' వరుస (5) లో 1 వ అత్యధిక వందలు ' 9000 పరుగులు (217) ',' 5000 పరుగులు మరియు 50 ఫీల్డింగ్ వికెట్లు ',' కెరీర్ లో 2 వ అత్యధిక మ్యాచ్లు వేగంగా (111) ',' 3 వ అత్యధిక కెరీర్ లో నడుస్తుంది ఒక ఇన్నింగ్స్లో"&amp;" పరుగులు (65.34) ',' 3 వ (2864) ',' కెరీర్ లో 2 వ పెద్ద అర్ధ (26) ',' కెరీర్ లో 2 వ ఎక్కువ సిక్స్ (133) ',' 8 వ 2000 పరుగులు (77) ',' 4 వ చెత్త కెరీర్ (113.00) (అర్హత లేకుండా) 'సగటు బౌలింగ్ చేయడానికి వేగవంతమైన, 'మొదటి వికెట్కు 7 వ అత్యధిక భాగస్వామ్యం (16"&amp;"5)', 'ఒక క్యాలెండర్ సంవత్సరంలో 5 వ అత్యధిక వందలు (10)', '3 వ కెరీర్ లో వచ్చిన ఎక్కువ సిక్స్ (436)']")</f>
        <v>[ 'హండ్రెడ్ తొలి (177)', 'ఏడవ వికెట్కు 4 వ అత్యధిక భాగస్వామ్యం (280)', '1 వ ఇన్నింగ్స్ లో అత్యధిక పరుగులు (బ్యాటింగ్ స్థానంలో ప్రకారం) (264)' 'ఒక మ్యాచ్లో ప్రతి ఇన్నింగ్స్లో హండ్రెడ్', , 'ఇన్నింగ్స్ లో ఫోర్లు, సిక్సర్లు నుండి 1 వ అత్యధిక పరుగులు (186)', '3 వ అత్యధిక శాతం' 1st 99 (199, 299 etc) (99) అవుటయ్యాడు '' వరుస (5) లో 1 వ అత్యధిక వందలు ' 9000 పరుగులు (217) ',' 5000 పరుగులు మరియు 50 ఫీల్డింగ్ వికెట్లు ',' కెరీర్ లో 2 వ అత్యధిక మ్యాచ్లు వేగంగా (111) ',' 3 వ అత్యధిక కెరీర్ లో నడుస్తుంది ఒక ఇన్నింగ్స్లో పరుగులు (65.34) ',' 3 వ (2864) ',' కెరీర్ లో 2 వ పెద్ద అర్ధ (26) ',' కెరీర్ లో 2 వ ఎక్కువ సిక్స్ (133) ',' 8 వ 2000 పరుగులు (77) ',' 4 వ చెత్త కెరీర్ (113.00) (అర్హత లేకుండా) 'సగటు బౌలింగ్ చేయడానికి వేగవంతమైన, 'మొదటి వికెట్కు 7 వ అత్యధిక భాగస్వామ్యం (165)', 'ఒక క్యాలెండర్ సంవత్సరంలో 5 వ అత్యధిక వందలు (10)', '3 వ కెరీర్ లో వచ్చిన ఎక్కువ సిక్స్ (436)']</v>
      </c>
      <c r="C5766" s="2" t="s">
        <v>3665</v>
      </c>
      <c r="D5766" s="2" t="str">
        <f>IFERROR(__xludf.DUMMYFUNCTION("IF(C5766&lt;&gt;"""", GOOGLETRANSLATE(C5766, ""en"", ""te""),"""")"),"[ '22 వ తొలి మ్యాచ్లో అత్యధిక పరుగులు (177)', 'తొలి నుండి వరుస మ్యాచ్లలో 2 వ వందల (2)', 'వరుస ఇన్నింగ్స్లో 32 వ యాభైల్లో (5)', '27th ఎక్కువ సిక్స్ కెరీర్లో (59)', '19 ఒక ఇన్నింగ్స్ లో వచ్చిన ఎక్కువ సిక్స్ (7) నాలుగో వికెట్కు ',' 31 అత్యధిక భాగస్వామ్యం (2"&amp;"67) ',' ఏడవ వికెట్ (280) 4 వ అత్యధిక భాగస్వామ్యం ']")</f>
        <v>[ '22 వ తొలి మ్యాచ్లో అత్యధిక పరుగులు (177)', 'తొలి నుండి వరుస మ్యాచ్లలో 2 వ వందల (2)', 'వరుస ఇన్నింగ్స్లో 32 వ యాభైల్లో (5)', '27th ఎక్కువ సిక్స్ కెరీర్లో (59)', '19 ఒక ఇన్నింగ్స్ లో వచ్చిన ఎక్కువ సిక్స్ (7) నాలుగో వికెట్కు ',' 31 అత్యధిక భాగస్వామ్యం (267) ',' ఏడవ వికెట్ (280) 4 వ అత్యధిక భాగస్వామ్యం ']</v>
      </c>
      <c r="E5766" s="2" t="s">
        <v>3666</v>
      </c>
      <c r="F5766" s="2" t="str">
        <f>IFERROR(__xludf.DUMMYFUNCTION("IF(E5766&lt;&gt;"""", GOOGLETRANSLATE(E5766, ""en"", ""te""),"""")"),"[ '20 వ కెరీర్ లో అత్యధిక పరుగులు (9205)', '1 వ ఇన్నింగ్స్ లో అత్యధిక పరుగులు (264)', '12 వ ఇన్నింగ్స్ లో అత్యధిక పరుగులు (ప్రగతిశీల రికార్డు హోల్డర్) (264)', 'వరుస 5 వ అత్యధిక పరుగులు (648 ) ',' ఒక క్యాలెండర్ సంవత్సరంలో 8 వ అత్యధిక పరుగులు (1490) ',' 1 వ"&amp;" ఇన్నింగ్స్ లో అత్యధిక పరుగులు (బ్యాటింగ్ స్థానంలో ప్రకారం) (264) ',' 7 వ పరాజయం వైపు (171 *) 'ఒక మ్యాచ్లో అత్యధిక పరుగులు, 'ఒక కెప్టెన్తో ఇన్నింగ్స్ లో 2 వ అత్యధిక పరుగులు (208 *)', '14 వ అత్యధిక కెరీర్ బ్యాటింగ్ సగటు (48.96)', '4 వ అత్యధిక వందలు ఒక వృత"&amp;"్తిలో (29)', '1 వ అత్యధిక వందలు వరుస (5)' 'ఒక క్యాలెండర్ సంవత్సరంలో 2 వ అత్యధిక వందలు (7)', 'ఒక జట్టుతో 3 వ అత్యధిక వందలు (8)', 'వరుస ఇన్నింగ్స్లో 2 వ వందల (3)', '22 వ అత్యంత తొంభైల కెరీర్లో (5)', '1st 99 (199, 299 etc) (99) అవుటయ్యాడు ',' 18 వ కెరీర్ అర"&amp;"్ధ (72) ',' వరుస ఇన్నింగ్స్లో 11 వ యాభైల్లో (5) ',' 4 వ ఎక్కువ సిక్స్ కెరీర్లో (244) ',' 20 వ జీవితంలో అత్యధిక ఫోర్లు (832) ',' ఇన్నింగ్స్ లో 2 వ ఎక్కువ సిక్స్ (16) ',' 1 వ ఇన్నింగ్స్ లో వచ్చిన ఎక్కువ ఫోర్లు (33) ',' ఇన్నింగ్స్ లో ఫోర్లు, సిక్సర్లు నుండి"&amp;" 1 వ అత్యధిక పరుగులు (186) ',' 5 వ లాంగెస్ట్ వ్యక్తిగత ఇన్నింగ్స్ (బంతులతో) (173) ',' ఒక ఇన్నింగ్స్లో పరుగుల 3 వ అత్యధిక శాతం (65.34) ',' 5000 పరుగులు (142) ',' 13 వ వేగంగా చేయడానికి 32 వ వేగవంతమైన 6000 పరుగులు (162) ',' కు 5 వ వేగవంతమైన 7000 పరుగులు (1"&amp;"81) ',' ఫాస్టెస్ట్ 8000 పరుగులు (200) ',' 9000 పరుగులు (217) ',' 31 అత్యధిక వాటా 3 వ అత్యంత వేగంగా ఏ వికెట్కు (246) ',' 24 వ అత్యధిక భాగస్వామ్యం 4 వ తొలి వికెట్కు (227) రెండవ వికెట్కు ',' 11 వ అత్యధిక భాగస్వామ్యం (246) ',' మూడో వికెట్కు 23 అత్యధిక భాగస్వా"&amp;"మ్యం (211) ',' ఐదవ వికెట్కు 19 అత్యధిక భాగస్వామ్యం (167) ',' 28th చాలా ఆటగాడు -of-ది-మ్యాచ్ అవార్డులు (21) ',' 17 వ అత్యంత ప్లేయర్ ఆఫ్ ది సిరీస్ అవార్డులు (5) ']")</f>
        <v>[ '20 వ కెరీర్ లో అత్యధిక పరుగులు (9205)', '1 వ ఇన్నింగ్స్ లో అత్యధిక పరుగులు (264)', '12 వ ఇన్నింగ్స్ లో అత్యధిక పరుగులు (ప్రగతిశీల రికార్డు హోల్డర్) (264)', 'వరుస 5 వ అత్యధిక పరుగులు (648 ) ',' ఒక క్యాలెండర్ సంవత్సరంలో 8 వ అత్యధిక పరుగులు (1490) ',' 1 వ ఇన్నింగ్స్ లో అత్యధిక పరుగులు (బ్యాటింగ్ స్థానంలో ప్రకారం) (264) ',' 7 వ పరాజయం వైపు (171 *) 'ఒక మ్యాచ్లో అత్యధిక పరుగులు, 'ఒక కెప్టెన్తో ఇన్నింగ్స్ లో 2 వ అత్యధిక పరుగులు (208 *)', '14 వ అత్యధిక కెరీర్ బ్యాటింగ్ సగటు (48.96)', '4 వ అత్యధిక వందలు ఒక వృత్తిలో (29)', '1 వ అత్యధిక వందలు వరుస (5)' 'ఒక క్యాలెండర్ సంవత్సరంలో 2 వ అత్యధిక వందలు (7)', 'ఒక జట్టుతో 3 వ అత్యధిక వందలు (8)', 'వరుస ఇన్నింగ్స్లో 2 వ వందల (3)', '22 వ అత్యంత తొంభైల కెరీర్లో (5)', '1st 99 (199, 299 etc) (99) అవుటయ్యాడు ',' 18 వ కెరీర్ అర్ధ (72) ',' వరుస ఇన్నింగ్స్లో 11 వ యాభైల్లో (5) ',' 4 వ ఎక్కువ సిక్స్ కెరీర్లో (244) ',' 20 వ జీవితంలో అత్యధిక ఫోర్లు (832) ',' ఇన్నింగ్స్ లో 2 వ ఎక్కువ సిక్స్ (16) ',' 1 వ ఇన్నింగ్స్ లో వచ్చిన ఎక్కువ ఫోర్లు (33) ',' ఇన్నింగ్స్ లో ఫోర్లు, సిక్సర్లు నుండి 1 వ అత్యధిక పరుగులు (186) ',' 5 వ లాంగెస్ట్ వ్యక్తిగత ఇన్నింగ్స్ (బంతులతో) (173) ',' ఒక ఇన్నింగ్స్లో పరుగుల 3 వ అత్యధిక శాతం (65.34) ',' 5000 పరుగులు (142) ',' 13 వ వేగంగా చేయడానికి 32 వ వేగవంతమైన 6000 పరుగులు (162) ',' కు 5 వ వేగవంతమైన 7000 పరుగులు (181) ',' ఫాస్టెస్ట్ 8000 పరుగులు (200) ',' 9000 పరుగులు (217) ',' 31 అత్యధిక వాటా 3 వ అత్యంత వేగంగా ఏ వికెట్కు (246) ',' 24 వ అత్యధిక భాగస్వామ్యం 4 వ తొలి వికెట్కు (227) రెండవ వికెట్కు ',' 11 వ అత్యధిక భాగస్వామ్యం (246) ',' మూడో వికెట్కు 23 అత్యధిక భాగస్వామ్యం (211) ',' ఐదవ వికెట్కు 19 అత్యధిక భాగస్వామ్యం (167) ',' 28th చాలా ఆటగాడు -of-ది-మ్యాచ్ అవార్డులు (21) ',' 17 వ అత్యంత ప్లేయర్ ఆఫ్ ది సిరీస్ అవార్డులు (5) ']</v>
      </c>
      <c r="G5766" s="2" t="s">
        <v>3667</v>
      </c>
      <c r="H5766" s="2" t="str">
        <f>IFERROR(__xludf.DUMMYFUNCTION("IF(G5766&lt;&gt;"""", GOOGLETRANSLATE(G5766, ""en"", ""te""),"""")"),"[ '16 వ అత్యధిక పరుగులు ఇన్నింగ్స్ (118) లో', '3 వ అత్యధిక కెరీర్ (2864) లో నడుస్తుంది', 'ఒక క్యాలెండర్ సంవత్సరంలో 8 వ అత్యధిక పరుగులు (590)', ఒక ఇన్నింగ్స్ లో '12 వ అత్యధిక పరుగులు (బ్యాటింగ్ స్థానంలో ప్రకారం) ( 118) ',' 6 వ పరాజయం వైపు ఒక మ్యాచ్లో అత్య"&amp;"ధిక పరుగులు (106) ',' 17 వ అత్యధిక పరుగులు ఒకే నేలపై (338) ',' ఒక కెప్టెన్తో ఇన్నింగ్స్ లో 6 వ అత్యధిక పరుగులు (118) ',' 25 వ అత్యధిక కెరీర్ బ్యాటింగ్ సగటు (32.54) ',' 44 వ అత్యధిక కెరీర్ సమ్మె రేటు (138.96) ',' ఇన్నింగ్స్ లో 50 వ అత్యధిక స్ట్రైక్ రేట్ "&amp;"(274.41) ',' కెరీర్ లో 2 వ పెద్ద అర్ధ (26) ',' వరుస ఇన్నింగ్స్లో 3 వ యాభైల్లో ముందు (3) ',' 34 వ అత్యంత ఇన్నింగ్స్ తొలి డక్ (19) ',' 36 వ కెరీర్ లో అతి తక్కువ బాతులు (17.16) ',' 13 వ కెరీర్ బాతులు (6) ',' కెరీర్ లో 2 వ ఎక్కువ సిక్స్ (133) ', 'కెరీర్ లో 3"&amp;" వ అత్యంత ఫోర్లు (252)', 'ఫోర్లు, సిక్సర్లు నుండి ఒక ఇన్నింగ్స్ లో 5 వ అత్యధిక పరుగులు (108)' '7th చాలా ఇన్నింగ్స్ లో సిక్సర్లు (10)', '12 వ ఇన్నింగ్స్ లో వచ్చిన ఎక్కువ ఫోర్లు (12)', '12 వ లాంగెస్ట్ వ్యక్తిగత ఇన్నింగ్స్ (బంతులతో) (66)', 'ఒక ఇన్నింగ్స్లో ప"&amp;"రుగుల 25 అత్యధిక శాతం (58.51)', 'ఫాస్టెస్ట్ 1000 పరుగులు 24 (40) ',' 8 వ 2000 వరకు వేగంగా పరుగులు (77) ',' కెరీర్ లో బౌలింగ్ సరాసరి (అర్హత లేకుండా) (113.00) ',' 11 వ అత్యధిక క్యాచ్లు 4 వ చెత్త కెరీర్ (41) ',' 15 వ ఇన్నింగ్స్ లో అత్యధిక క్యాచ్లు ( 3) ',' 1"&amp;"1 వ ఏ వికెట్కు అత్యధిక భాగస్వామ్యాల (165) ',' మొదటి వికెట్కు 7 వ అత్యధిక భాగస్వామ్యం (165) ',' రెండవ వికెట్కు 11 వ అత్యధిక భాగస్వామ్యం (138) ',' 12 వ అత్యధిక ఐదవ వికెట్ కొరకు చేసిన భాగస్వామ్యం (85) ',' ఎనిమిదవ వికెట్కు 17 అత్యధిక భాగస్వామ్యం (47) ',' తొమ్"&amp;"మిదవ వికెట్కు 19 అత్యధిక భాగస్వామ్యం (36) ',' 2 వ అత్యధిక కెరీర్ లో పోటీలు (111) ',' 34 వ వరుస జట్టు మ్యాచ్లు (32) ',' 4 వ అత్యంత ప్లేయర్ ఆఫ్ ది మ్యాచ్ అవార్డులు (10) ',' 14 వ లాంగెస్ట్ కెరీర్లు (13y 182d) ',' 35 వ కెప్టెన్ (19) గా అత్యధిక మ్యాచ్లు ']")</f>
        <v>[ '16 వ అత్యధిక పరుగులు ఇన్నింగ్స్ (118) లో', '3 వ అత్యధిక కెరీర్ (2864) లో నడుస్తుంది', 'ఒక క్యాలెండర్ సంవత్సరంలో 8 వ అత్యధిక పరుగులు (590)', ఒక ఇన్నింగ్స్ లో '12 వ అత్యధిక పరుగులు (బ్యాటింగ్ స్థానంలో ప్రకారం) ( 118) ',' 6 వ పరాజయం వైపు ఒక మ్యాచ్లో అత్యధిక పరుగులు (106) ',' 17 వ అత్యధిక పరుగులు ఒకే నేలపై (338) ',' ఒక కెప్టెన్తో ఇన్నింగ్స్ లో 6 వ అత్యధిక పరుగులు (118) ',' 25 వ అత్యధిక కెరీర్ బ్యాటింగ్ సగటు (32.54) ',' 44 వ అత్యధిక కెరీర్ సమ్మె రేటు (138.96) ',' ఇన్నింగ్స్ లో 50 వ అత్యధిక స్ట్రైక్ రేట్ (274.41) ',' కెరీర్ లో 2 వ పెద్ద అర్ధ (26) ',' వరుస ఇన్నింగ్స్లో 3 వ యాభైల్లో ముందు (3) ',' 34 వ అత్యంత ఇన్నింగ్స్ తొలి డక్ (19) ',' 36 వ కెరీర్ లో అతి తక్కువ బాతులు (17.16) ',' 13 వ కెరీర్ బాతులు (6) ',' కెరీర్ లో 2 వ ఎక్కువ సిక్స్ (133) ', 'కెరీర్ లో 3 వ అత్యంత ఫోర్లు (252)', 'ఫోర్లు, సిక్సర్లు నుండి ఒక ఇన్నింగ్స్ లో 5 వ అత్యధిక పరుగులు (108)' '7th చాలా ఇన్నింగ్స్ లో సిక్సర్లు (10)', '12 వ ఇన్నింగ్స్ లో వచ్చిన ఎక్కువ ఫోర్లు (12)', '12 వ లాంగెస్ట్ వ్యక్తిగత ఇన్నింగ్స్ (బంతులతో) (66)', 'ఒక ఇన్నింగ్స్లో పరుగుల 25 అత్యధిక శాతం (58.51)', 'ఫాస్టెస్ట్ 1000 పరుగులు 24 (40) ',' 8 వ 2000 వరకు వేగంగా పరుగులు (77) ',' కెరీర్ లో బౌలింగ్ సరాసరి (అర్హత లేకుండా) (113.00) ',' 11 వ అత్యధిక క్యాచ్లు 4 వ చెత్త కెరీర్ (41) ',' 15 వ ఇన్నింగ్స్ లో అత్యధిక క్యాచ్లు ( 3) ',' 11 వ ఏ వికెట్కు అత్యధిక భాగస్వామ్యాల (165) ',' మొదటి వికెట్కు 7 వ అత్యధిక భాగస్వామ్యం (165) ',' రెండవ వికెట్కు 11 వ అత్యధిక భాగస్వామ్యం (138) ',' 12 వ అత్యధిక ఐదవ వికెట్ కొరకు చేసిన భాగస్వామ్యం (85) ',' ఎనిమిదవ వికెట్కు 17 అత్యధిక భాగస్వామ్యం (47) ',' తొమ్మిదవ వికెట్కు 19 అత్యధిక భాగస్వామ్యం (36) ',' 2 వ అత్యధిక కెరీర్ లో పోటీలు (111) ',' 34 వ వరుస జట్టు మ్యాచ్లు (32) ',' 4 వ అత్యంత ప్లేయర్ ఆఫ్ ది మ్యాచ్ అవార్డులు (10) ',' 14 వ లాంగెస్ట్ కెరీర్లు (13y 182d) ',' 35 వ కెప్టెన్ (19) గా అత్యధిక మ్యాచ్లు ']</v>
      </c>
      <c r="I5766" s="3"/>
    </row>
    <row r="5767" customHeight="1" spans="1:9">
      <c r="A5767" s="2"/>
      <c r="B5767" s="2" t="str">
        <f>IFERROR(__xludf.DUMMYFUNCTION("IF(A5767&lt;&gt;"""", GOOGLETRANSLATE(A5767, ""en"", ""te""),"""")"),"")</f>
        <v/>
      </c>
      <c r="C5767" s="2"/>
      <c r="D5767" s="2" t="str">
        <f>IFERROR(__xludf.DUMMYFUNCTION("IF(C5767&lt;&gt;"""", GOOGLETRANSLATE(C5767, ""en"", ""te""),"""")"),"")</f>
        <v/>
      </c>
      <c r="E5767" s="2"/>
      <c r="F5767" s="2" t="str">
        <f>IFERROR(__xludf.DUMMYFUNCTION("IF(E5767&lt;&gt;"""", GOOGLETRANSLATE(E5767, ""en"", ""te""),"""")"),"")</f>
        <v/>
      </c>
      <c r="G5767" s="2"/>
      <c r="H5767" s="2" t="str">
        <f>IFERROR(__xludf.DUMMYFUNCTION("IF(G5767&lt;&gt;"""", GOOGLETRANSLATE(G5767, ""en"", ""te""),"""")"),"")</f>
        <v/>
      </c>
      <c r="I5767" s="3"/>
    </row>
    <row r="5768" customHeight="1" spans="1:9">
      <c r="A5768" s="2"/>
      <c r="B5768" s="2" t="str">
        <f>IFERROR(__xludf.DUMMYFUNCTION("IF(A5768&lt;&gt;"""", GOOGLETRANSLATE(A5768, ""en"", ""te""),"""")"),"")</f>
        <v/>
      </c>
      <c r="C5768" s="2"/>
      <c r="D5768" s="2" t="str">
        <f>IFERROR(__xludf.DUMMYFUNCTION("IF(C5768&lt;&gt;"""", GOOGLETRANSLATE(C5768, ""en"", ""te""),"""")"),"")</f>
        <v/>
      </c>
      <c r="E5768" s="2"/>
      <c r="F5768" s="2" t="str">
        <f>IFERROR(__xludf.DUMMYFUNCTION("IF(E5768&lt;&gt;"""", GOOGLETRANSLATE(E5768, ""en"", ""te""),"""")"),"")</f>
        <v/>
      </c>
      <c r="G5768" s="2"/>
      <c r="H5768" s="2" t="str">
        <f>IFERROR(__xludf.DUMMYFUNCTION("IF(G5768&lt;&gt;"""", GOOGLETRANSLATE(G5768, ""en"", ""te""),"""")"),"")</f>
        <v/>
      </c>
      <c r="I5768" s="3"/>
    </row>
    <row r="5769" customHeight="1" spans="1:9">
      <c r="A5769" s="2"/>
      <c r="B5769" s="2" t="str">
        <f>IFERROR(__xludf.DUMMYFUNCTION("IF(A5769&lt;&gt;"""", GOOGLETRANSLATE(A5769, ""en"", ""te""),"""")"),"")</f>
        <v/>
      </c>
      <c r="C5769" s="2"/>
      <c r="D5769" s="2" t="str">
        <f>IFERROR(__xludf.DUMMYFUNCTION("IF(C5769&lt;&gt;"""", GOOGLETRANSLATE(C5769, ""en"", ""te""),"""")"),"")</f>
        <v/>
      </c>
      <c r="E5769" s="2"/>
      <c r="F5769" s="2" t="str">
        <f>IFERROR(__xludf.DUMMYFUNCTION("IF(E5769&lt;&gt;"""", GOOGLETRANSLATE(E5769, ""en"", ""te""),"""")"),"")</f>
        <v/>
      </c>
      <c r="G5769" s="2"/>
      <c r="H5769" s="2" t="str">
        <f>IFERROR(__xludf.DUMMYFUNCTION("IF(G5769&lt;&gt;"""", GOOGLETRANSLATE(G5769, ""en"", ""te""),"""")"),"")</f>
        <v/>
      </c>
      <c r="I5769" s="3"/>
    </row>
    <row r="5770" customHeight="1" spans="1:9">
      <c r="A5770" s="2" t="s">
        <v>3668</v>
      </c>
      <c r="B5770" s="2" t="str">
        <f>IFERROR(__xludf.DUMMYFUNCTION("IF(A5770&lt;&gt;"""", GOOGLETRANSLATE(A5770, ""en"", ""te""),"""")"),"[ '3 వ పిన్న ఆటగాడు పది వికెట్లు లో ఒక మ్యాచ్ తీసుకోవాలని (18y 333d)']")</f>
        <v>[ '3 వ పిన్న ఆటగాడు పది వికెట్లు లో ఒక మ్యాచ్ తీసుకోవాలని (18y 333d)']</v>
      </c>
      <c r="C5770" s="2" t="s">
        <v>3669</v>
      </c>
      <c r="D5770" s="2" t="str">
        <f>IFERROR(__xludf.DUMMYFUNCTION("IF(C5770&lt;&gt;"""", GOOGLETRANSLATE(C5770, ""en"", ""te""),"""")"),"[18 వ వరుస ఐదు వికెట్ల లో-ఒక-ఇన్నింగ్స్ (3) ', పది wickets- తీసుకోవాలని' ఐదు వికెట్ల తేడాతో-ఒక ఇన్నింగ్స్లో తీసుకోవాలని 13 వ పిన్న వయస్కుడిగా నిలిచాడు (18y 333d) ',' 3 వ పిన్న ఆటగాడు లో-ఒక-మ్యాచ్ (18y 333d) ',' 20 వ పిన్న క్రీడాకారులు (17y 118d) ']")</f>
        <v>[18 వ వరుస ఐదు వికెట్ల లో-ఒక-ఇన్నింగ్స్ (3) ', పది wickets- తీసుకోవాలని' ఐదు వికెట్ల తేడాతో-ఒక ఇన్నింగ్స్లో తీసుకోవాలని 13 వ పిన్న వయస్కుడిగా నిలిచాడు (18y 333d) ',' 3 వ పిన్న ఆటగాడు లో-ఒక-మ్యాచ్ (18y 333d) ',' 20 వ పిన్న క్రీడాకారులు (17y 118d) ']</v>
      </c>
      <c r="E5770" s="2"/>
      <c r="F5770" s="2" t="str">
        <f>IFERROR(__xludf.DUMMYFUNCTION("IF(E5770&lt;&gt;"""", GOOGLETRANSLATE(E5770, ""en"", ""te""),"""")"),"")</f>
        <v/>
      </c>
      <c r="G5770" s="2"/>
      <c r="H5770" s="2" t="str">
        <f>IFERROR(__xludf.DUMMYFUNCTION("IF(G5770&lt;&gt;"""", GOOGLETRANSLATE(G5770, ""en"", ""te""),"""")"),"")</f>
        <v/>
      </c>
      <c r="I5770" s="3"/>
    </row>
    <row r="5771" customHeight="1" spans="1:9">
      <c r="A5771" s="2"/>
      <c r="B5771" s="2" t="str">
        <f>IFERROR(__xludf.DUMMYFUNCTION("IF(A5771&lt;&gt;"""", GOOGLETRANSLATE(A5771, ""en"", ""te""),"""")"),"")</f>
        <v/>
      </c>
      <c r="C5771" s="2"/>
      <c r="D5771" s="2" t="str">
        <f>IFERROR(__xludf.DUMMYFUNCTION("IF(C5771&lt;&gt;"""", GOOGLETRANSLATE(C5771, ""en"", ""te""),"""")"),"")</f>
        <v/>
      </c>
      <c r="E5771" s="2"/>
      <c r="F5771" s="2" t="str">
        <f>IFERROR(__xludf.DUMMYFUNCTION("IF(E5771&lt;&gt;"""", GOOGLETRANSLATE(E5771, ""en"", ""te""),"""")"),"")</f>
        <v/>
      </c>
      <c r="G5771" s="2"/>
      <c r="H5771" s="2" t="str">
        <f>IFERROR(__xludf.DUMMYFUNCTION("IF(G5771&lt;&gt;"""", GOOGLETRANSLATE(G5771, ""en"", ""te""),"""")"),"")</f>
        <v/>
      </c>
      <c r="I5771" s="3"/>
    </row>
    <row r="5772" customHeight="1" spans="1:9">
      <c r="A5772" s="2"/>
      <c r="B5772" s="2" t="str">
        <f>IFERROR(__xludf.DUMMYFUNCTION("IF(A5772&lt;&gt;"""", GOOGLETRANSLATE(A5772, ""en"", ""te""),"""")"),"")</f>
        <v/>
      </c>
      <c r="C5772" s="2"/>
      <c r="D5772" s="2" t="str">
        <f>IFERROR(__xludf.DUMMYFUNCTION("IF(C5772&lt;&gt;"""", GOOGLETRANSLATE(C5772, ""en"", ""te""),"""")"),"")</f>
        <v/>
      </c>
      <c r="E5772" s="2"/>
      <c r="F5772" s="2" t="str">
        <f>IFERROR(__xludf.DUMMYFUNCTION("IF(E5772&lt;&gt;"""", GOOGLETRANSLATE(E5772, ""en"", ""te""),"""")"),"")</f>
        <v/>
      </c>
      <c r="G5772" s="2"/>
      <c r="H5772" s="2" t="str">
        <f>IFERROR(__xludf.DUMMYFUNCTION("IF(G5772&lt;&gt;"""", GOOGLETRANSLATE(G5772, ""en"", ""te""),"""")"),"")</f>
        <v/>
      </c>
      <c r="I5772" s="3"/>
    </row>
    <row r="5773" customHeight="1" spans="1:9">
      <c r="A5773" s="2"/>
      <c r="B5773" s="2" t="str">
        <f>IFERROR(__xludf.DUMMYFUNCTION("IF(A5773&lt;&gt;"""", GOOGLETRANSLATE(A5773, ""en"", ""te""),"""")"),"")</f>
        <v/>
      </c>
      <c r="C5773" s="2"/>
      <c r="D5773" s="2" t="str">
        <f>IFERROR(__xludf.DUMMYFUNCTION("IF(C5773&lt;&gt;"""", GOOGLETRANSLATE(C5773, ""en"", ""te""),"""")"),"")</f>
        <v/>
      </c>
      <c r="E5773" s="2"/>
      <c r="F5773" s="2" t="str">
        <f>IFERROR(__xludf.DUMMYFUNCTION("IF(E5773&lt;&gt;"""", GOOGLETRANSLATE(E5773, ""en"", ""te""),"""")"),"")</f>
        <v/>
      </c>
      <c r="G5773" s="2"/>
      <c r="H5773" s="2" t="str">
        <f>IFERROR(__xludf.DUMMYFUNCTION("IF(G5773&lt;&gt;"""", GOOGLETRANSLATE(G5773, ""en"", ""te""),"""")"),"")</f>
        <v/>
      </c>
      <c r="I5773" s="3"/>
    </row>
    <row r="5774" customHeight="1" spans="1:9">
      <c r="A5774" s="2"/>
      <c r="B5774" s="2" t="str">
        <f>IFERROR(__xludf.DUMMYFUNCTION("IF(A5774&lt;&gt;"""", GOOGLETRANSLATE(A5774, ""en"", ""te""),"""")"),"")</f>
        <v/>
      </c>
      <c r="C5774" s="2"/>
      <c r="D5774" s="2" t="str">
        <f>IFERROR(__xludf.DUMMYFUNCTION("IF(C5774&lt;&gt;"""", GOOGLETRANSLATE(C5774, ""en"", ""te""),"""")"),"")</f>
        <v/>
      </c>
      <c r="E5774" s="2"/>
      <c r="F5774" s="2" t="str">
        <f>IFERROR(__xludf.DUMMYFUNCTION("IF(E5774&lt;&gt;"""", GOOGLETRANSLATE(E5774, ""en"", ""te""),"""")"),"")</f>
        <v/>
      </c>
      <c r="G5774" s="2"/>
      <c r="H5774" s="2" t="str">
        <f>IFERROR(__xludf.DUMMYFUNCTION("IF(G5774&lt;&gt;"""", GOOGLETRANSLATE(G5774, ""en"", ""te""),"""")"),"")</f>
        <v/>
      </c>
      <c r="I5774" s="3"/>
    </row>
    <row r="5775" customHeight="1" spans="1:9">
      <c r="A5775" s="2"/>
      <c r="B5775" s="2" t="str">
        <f>IFERROR(__xludf.DUMMYFUNCTION("IF(A5775&lt;&gt;"""", GOOGLETRANSLATE(A5775, ""en"", ""te""),"""")"),"")</f>
        <v/>
      </c>
      <c r="C5775" s="2" t="s">
        <v>3670</v>
      </c>
      <c r="D5775" s="2" t="str">
        <f>IFERROR(__xludf.DUMMYFUNCTION("IF(C5775&lt;&gt;"""", GOOGLETRANSLATE(C5775, ""en"", ""te""),"""")"),"[ '12 వ చెత్త కెరీర్లో ఆర్థిక రేటు (3.74)', 'ఐదు వికెట్ల లో-ఒక-ఇన్నింగ్స్ తీసుకోవాలని 22 పిన్న వయస్కుడిగా నిలిచాడు (19y 246d)', '(పది వికెట్లు లో ఒక మ్యాచ్ తీసుకోవాలని 12 వ పిన్న ఆటగాడు 20y 181d) ']")</f>
        <v>[ '12 వ చెత్త కెరీర్లో ఆర్థిక రేటు (3.74)', 'ఐదు వికెట్ల లో-ఒక-ఇన్నింగ్స్ తీసుకోవాలని 22 పిన్న వయస్కుడిగా నిలిచాడు (19y 246d)', '(పది వికెట్లు లో ఒక మ్యాచ్ తీసుకోవాలని 12 వ పిన్న ఆటగాడు 20y 181d) ']</v>
      </c>
      <c r="E5775" s="2"/>
      <c r="F5775" s="2" t="str">
        <f>IFERROR(__xludf.DUMMYFUNCTION("IF(E5775&lt;&gt;"""", GOOGLETRANSLATE(E5775, ""en"", ""te""),"""")"),"")</f>
        <v/>
      </c>
      <c r="G5775" s="2"/>
      <c r="H5775" s="2" t="str">
        <f>IFERROR(__xludf.DUMMYFUNCTION("IF(G5775&lt;&gt;"""", GOOGLETRANSLATE(G5775, ""en"", ""te""),"""")"),"")</f>
        <v/>
      </c>
      <c r="I5775" s="3"/>
    </row>
    <row r="5776" customHeight="1" spans="1:9">
      <c r="A5776" s="2"/>
      <c r="B5776" s="2" t="str">
        <f>IFERROR(__xludf.DUMMYFUNCTION("IF(A5776&lt;&gt;"""", GOOGLETRANSLATE(A5776, ""en"", ""te""),"""")"),"")</f>
        <v/>
      </c>
      <c r="C5776" s="2"/>
      <c r="D5776" s="2" t="str">
        <f>IFERROR(__xludf.DUMMYFUNCTION("IF(C5776&lt;&gt;"""", GOOGLETRANSLATE(C5776, ""en"", ""te""),"""")"),"")</f>
        <v/>
      </c>
      <c r="E5776" s="2"/>
      <c r="F5776" s="2" t="str">
        <f>IFERROR(__xludf.DUMMYFUNCTION("IF(E5776&lt;&gt;"""", GOOGLETRANSLATE(E5776, ""en"", ""te""),"""")"),"")</f>
        <v/>
      </c>
      <c r="G5776" s="2"/>
      <c r="H5776" s="2" t="str">
        <f>IFERROR(__xludf.DUMMYFUNCTION("IF(G5776&lt;&gt;"""", GOOGLETRANSLATE(G5776, ""en"", ""te""),"""")"),"")</f>
        <v/>
      </c>
      <c r="I5776" s="3"/>
    </row>
    <row r="5777" customHeight="1" spans="1:9">
      <c r="A5777" s="2"/>
      <c r="B5777" s="2" t="str">
        <f>IFERROR(__xludf.DUMMYFUNCTION("IF(A5777&lt;&gt;"""", GOOGLETRANSLATE(A5777, ""en"", ""te""),"""")"),"")</f>
        <v/>
      </c>
      <c r="C5777" s="2"/>
      <c r="D5777" s="2" t="str">
        <f>IFERROR(__xludf.DUMMYFUNCTION("IF(C5777&lt;&gt;"""", GOOGLETRANSLATE(C5777, ""en"", ""te""),"""")"),"")</f>
        <v/>
      </c>
      <c r="E5777" s="2"/>
      <c r="F5777" s="2" t="str">
        <f>IFERROR(__xludf.DUMMYFUNCTION("IF(E5777&lt;&gt;"""", GOOGLETRANSLATE(E5777, ""en"", ""te""),"""")"),"")</f>
        <v/>
      </c>
      <c r="G5777" s="2"/>
      <c r="H5777" s="2" t="str">
        <f>IFERROR(__xludf.DUMMYFUNCTION("IF(G5777&lt;&gt;"""", GOOGLETRANSLATE(G5777, ""en"", ""te""),"""")"),"")</f>
        <v/>
      </c>
      <c r="I5777" s="3"/>
    </row>
    <row r="5778" customHeight="1" spans="1:9">
      <c r="A5778" s="2"/>
      <c r="B5778" s="2" t="str">
        <f>IFERROR(__xludf.DUMMYFUNCTION("IF(A5778&lt;&gt;"""", GOOGLETRANSLATE(A5778, ""en"", ""te""),"""")"),"")</f>
        <v/>
      </c>
      <c r="C5778" s="2"/>
      <c r="D5778" s="2" t="str">
        <f>IFERROR(__xludf.DUMMYFUNCTION("IF(C5778&lt;&gt;"""", GOOGLETRANSLATE(C5778, ""en"", ""te""),"""")"),"")</f>
        <v/>
      </c>
      <c r="E5778" s="2"/>
      <c r="F5778" s="2" t="str">
        <f>IFERROR(__xludf.DUMMYFUNCTION("IF(E5778&lt;&gt;"""", GOOGLETRANSLATE(E5778, ""en"", ""te""),"""")"),"")</f>
        <v/>
      </c>
      <c r="G5778" s="2"/>
      <c r="H5778" s="2" t="str">
        <f>IFERROR(__xludf.DUMMYFUNCTION("IF(G5778&lt;&gt;"""", GOOGLETRANSLATE(G5778, ""en"", ""te""),"""")"),"")</f>
        <v/>
      </c>
      <c r="I5778" s="3"/>
    </row>
    <row r="5779" customHeight="1" spans="1:9">
      <c r="A5779" s="2"/>
      <c r="B5779" s="2" t="str">
        <f>IFERROR(__xludf.DUMMYFUNCTION("IF(A5779&lt;&gt;"""", GOOGLETRANSLATE(A5779, ""en"", ""te""),"""")"),"")</f>
        <v/>
      </c>
      <c r="C5779" s="2"/>
      <c r="D5779" s="2" t="str">
        <f>IFERROR(__xludf.DUMMYFUNCTION("IF(C5779&lt;&gt;"""", GOOGLETRANSLATE(C5779, ""en"", ""te""),"""")"),"")</f>
        <v/>
      </c>
      <c r="E5779" s="2"/>
      <c r="F5779" s="2" t="str">
        <f>IFERROR(__xludf.DUMMYFUNCTION("IF(E5779&lt;&gt;"""", GOOGLETRANSLATE(E5779, ""en"", ""te""),"""")"),"")</f>
        <v/>
      </c>
      <c r="G5779" s="2"/>
      <c r="H5779" s="2" t="str">
        <f>IFERROR(__xludf.DUMMYFUNCTION("IF(G5779&lt;&gt;"""", GOOGLETRANSLATE(G5779, ""en"", ""te""),"""")"),"")</f>
        <v/>
      </c>
      <c r="I5779" s="3"/>
    </row>
    <row r="5780" customHeight="1" spans="1:9">
      <c r="A5780" s="2"/>
      <c r="B5780" s="2" t="str">
        <f>IFERROR(__xludf.DUMMYFUNCTION("IF(A5780&lt;&gt;"""", GOOGLETRANSLATE(A5780, ""en"", ""te""),"""")"),"")</f>
        <v/>
      </c>
      <c r="C5780" s="2"/>
      <c r="D5780" s="2" t="str">
        <f>IFERROR(__xludf.DUMMYFUNCTION("IF(C5780&lt;&gt;"""", GOOGLETRANSLATE(C5780, ""en"", ""te""),"""")"),"")</f>
        <v/>
      </c>
      <c r="E5780" s="2"/>
      <c r="F5780" s="2" t="str">
        <f>IFERROR(__xludf.DUMMYFUNCTION("IF(E5780&lt;&gt;"""", GOOGLETRANSLATE(E5780, ""en"", ""te""),"""")"),"")</f>
        <v/>
      </c>
      <c r="G5780" s="2"/>
      <c r="H5780" s="2" t="str">
        <f>IFERROR(__xludf.DUMMYFUNCTION("IF(G5780&lt;&gt;"""", GOOGLETRANSLATE(G5780, ""en"", ""te""),"""")"),"")</f>
        <v/>
      </c>
      <c r="I5780" s="3"/>
    </row>
    <row r="5781" customHeight="1" spans="1:9">
      <c r="A5781" s="2"/>
      <c r="B5781" s="2" t="str">
        <f>IFERROR(__xludf.DUMMYFUNCTION("IF(A5781&lt;&gt;"""", GOOGLETRANSLATE(A5781, ""en"", ""te""),"""")"),"")</f>
        <v/>
      </c>
      <c r="C5781" s="2"/>
      <c r="D5781" s="2" t="str">
        <f>IFERROR(__xludf.DUMMYFUNCTION("IF(C5781&lt;&gt;"""", GOOGLETRANSLATE(C5781, ""en"", ""te""),"""")"),"")</f>
        <v/>
      </c>
      <c r="E5781" s="2"/>
      <c r="F5781" s="2" t="str">
        <f>IFERROR(__xludf.DUMMYFUNCTION("IF(E5781&lt;&gt;"""", GOOGLETRANSLATE(E5781, ""en"", ""te""),"""")"),"")</f>
        <v/>
      </c>
      <c r="G5781" s="2"/>
      <c r="H5781" s="2" t="str">
        <f>IFERROR(__xludf.DUMMYFUNCTION("IF(G5781&lt;&gt;"""", GOOGLETRANSLATE(G5781, ""en"", ""te""),"""")"),"")</f>
        <v/>
      </c>
      <c r="I5781" s="3"/>
    </row>
    <row r="5782" customHeight="1" spans="1:9">
      <c r="A5782" s="2"/>
      <c r="B5782" s="2" t="str">
        <f>IFERROR(__xludf.DUMMYFUNCTION("IF(A5782&lt;&gt;"""", GOOGLETRANSLATE(A5782, ""en"", ""te""),"""")"),"")</f>
        <v/>
      </c>
      <c r="C5782" s="2"/>
      <c r="D5782" s="2" t="str">
        <f>IFERROR(__xludf.DUMMYFUNCTION("IF(C5782&lt;&gt;"""", GOOGLETRANSLATE(C5782, ""en"", ""te""),"""")"),"")</f>
        <v/>
      </c>
      <c r="E5782" s="2"/>
      <c r="F5782" s="2" t="str">
        <f>IFERROR(__xludf.DUMMYFUNCTION("IF(E5782&lt;&gt;"""", GOOGLETRANSLATE(E5782, ""en"", ""te""),"""")"),"")</f>
        <v/>
      </c>
      <c r="G5782" s="2"/>
      <c r="H5782" s="2" t="str">
        <f>IFERROR(__xludf.DUMMYFUNCTION("IF(G5782&lt;&gt;"""", GOOGLETRANSLATE(G5782, ""en"", ""te""),"""")"),"")</f>
        <v/>
      </c>
      <c r="I5782" s="3"/>
    </row>
    <row r="5783" customHeight="1" spans="1:9">
      <c r="A5783" s="2"/>
      <c r="B5783" s="2" t="str">
        <f>IFERROR(__xludf.DUMMYFUNCTION("IF(A5783&lt;&gt;"""", GOOGLETRANSLATE(A5783, ""en"", ""te""),"""")"),"")</f>
        <v/>
      </c>
      <c r="C5783" s="2"/>
      <c r="D5783" s="2" t="str">
        <f>IFERROR(__xludf.DUMMYFUNCTION("IF(C5783&lt;&gt;"""", GOOGLETRANSLATE(C5783, ""en"", ""te""),"""")"),"")</f>
        <v/>
      </c>
      <c r="E5783" s="2"/>
      <c r="F5783" s="2" t="str">
        <f>IFERROR(__xludf.DUMMYFUNCTION("IF(E5783&lt;&gt;"""", GOOGLETRANSLATE(E5783, ""en"", ""te""),"""")"),"")</f>
        <v/>
      </c>
      <c r="G5783" s="2"/>
      <c r="H5783" s="2" t="str">
        <f>IFERROR(__xludf.DUMMYFUNCTION("IF(G5783&lt;&gt;"""", GOOGLETRANSLATE(G5783, ""en"", ""te""),"""")"),"")</f>
        <v/>
      </c>
      <c r="I5783" s="3"/>
    </row>
    <row r="5784" customHeight="1" spans="1:9">
      <c r="A5784" s="2"/>
      <c r="B5784" s="2" t="str">
        <f>IFERROR(__xludf.DUMMYFUNCTION("IF(A5784&lt;&gt;"""", GOOGLETRANSLATE(A5784, ""en"", ""te""),"""")"),"")</f>
        <v/>
      </c>
      <c r="C5784" s="2"/>
      <c r="D5784" s="2" t="str">
        <f>IFERROR(__xludf.DUMMYFUNCTION("IF(C5784&lt;&gt;"""", GOOGLETRANSLATE(C5784, ""en"", ""te""),"""")"),"")</f>
        <v/>
      </c>
      <c r="E5784" s="2" t="s">
        <v>1720</v>
      </c>
      <c r="F5784" s="2" t="str">
        <f>IFERROR(__xludf.DUMMYFUNCTION("IF(E5784&lt;&gt;"""", GOOGLETRANSLATE(E5784, ""en"", ""te""),"""")"),"[ '47 వ ఒక సిరీస్లో అత్యధిక క్యాచ్లు (6)']")</f>
        <v>[ '47 వ ఒక సిరీస్లో అత్యధిక క్యాచ్లు (6)']</v>
      </c>
      <c r="G5784" s="2"/>
      <c r="H5784" s="2" t="str">
        <f>IFERROR(__xludf.DUMMYFUNCTION("IF(G5784&lt;&gt;"""", GOOGLETRANSLATE(G5784, ""en"", ""te""),"""")"),"")</f>
        <v/>
      </c>
      <c r="I5784" s="3"/>
    </row>
    <row r="5785" customHeight="1" spans="1:9">
      <c r="A5785" s="2"/>
      <c r="B5785" s="2" t="str">
        <f>IFERROR(__xludf.DUMMYFUNCTION("IF(A5785&lt;&gt;"""", GOOGLETRANSLATE(A5785, ""en"", ""te""),"""")"),"")</f>
        <v/>
      </c>
      <c r="C5785" s="2"/>
      <c r="D5785" s="2" t="str">
        <f>IFERROR(__xludf.DUMMYFUNCTION("IF(C5785&lt;&gt;"""", GOOGLETRANSLATE(C5785, ""en"", ""te""),"""")"),"")</f>
        <v/>
      </c>
      <c r="E5785" s="2"/>
      <c r="F5785" s="2" t="str">
        <f>IFERROR(__xludf.DUMMYFUNCTION("IF(E5785&lt;&gt;"""", GOOGLETRANSLATE(E5785, ""en"", ""te""),"""")"),"")</f>
        <v/>
      </c>
      <c r="G5785" s="2"/>
      <c r="H5785" s="2" t="str">
        <f>IFERROR(__xludf.DUMMYFUNCTION("IF(G5785&lt;&gt;"""", GOOGLETRANSLATE(G5785, ""en"", ""te""),"""")"),"")</f>
        <v/>
      </c>
      <c r="I5785" s="3"/>
    </row>
    <row r="5786" customHeight="1" spans="1:9">
      <c r="A5786" s="2"/>
      <c r="B5786" s="2" t="str">
        <f>IFERROR(__xludf.DUMMYFUNCTION("IF(A5786&lt;&gt;"""", GOOGLETRANSLATE(A5786, ""en"", ""te""),"""")"),"")</f>
        <v/>
      </c>
      <c r="C5786" s="2"/>
      <c r="D5786" s="2" t="str">
        <f>IFERROR(__xludf.DUMMYFUNCTION("IF(C5786&lt;&gt;"""", GOOGLETRANSLATE(C5786, ""en"", ""te""),"""")"),"")</f>
        <v/>
      </c>
      <c r="E5786" s="2"/>
      <c r="F5786" s="2" t="str">
        <f>IFERROR(__xludf.DUMMYFUNCTION("IF(E5786&lt;&gt;"""", GOOGLETRANSLATE(E5786, ""en"", ""te""),"""")"),"")</f>
        <v/>
      </c>
      <c r="G5786" s="2"/>
      <c r="H5786" s="2" t="str">
        <f>IFERROR(__xludf.DUMMYFUNCTION("IF(G5786&lt;&gt;"""", GOOGLETRANSLATE(G5786, ""en"", ""te""),"""")"),"")</f>
        <v/>
      </c>
      <c r="I5786" s="3"/>
    </row>
    <row r="5787" customHeight="1" spans="1:9">
      <c r="A5787" s="2" t="s">
        <v>9</v>
      </c>
      <c r="B5787" s="2" t="str">
        <f>IFERROR(__xludf.DUMMYFUNCTION("IF(A5787&lt;&gt;"""", GOOGLETRANSLATE(A5787, ""en"", ""te""),"""")"),"[ 'హండ్రెడ్ మరియు ఒక మ్యాచ్లో ఒక డక్']")</f>
        <v>[ 'హండ్రెడ్ మరియు ఒక మ్యాచ్లో ఒక డక్']</v>
      </c>
      <c r="C5787" s="2" t="s">
        <v>3671</v>
      </c>
      <c r="D5787" s="2" t="str">
        <f>IFERROR(__xludf.DUMMYFUNCTION("IF(C5787&lt;&gt;"""", GOOGLETRANSLATE(C5787, ""en"", ""te""),"""")"),"[ '46 వ 99 (199, 299 etc) తీసివేసిన (99)', 'వరుస ఇన్నింగ్స్ (5) 32 వ యాభైల్లో' 'ఇన్నింగ్స్ లో 13 వ ఎక్కువ సిక్స్ (8)', '43 వ లాంగెస్ట్ వ్యక్తిగత ఇన్నింగ్స్ (నిమిషాలు) (673) ']")</f>
        <v>[ '46 వ 99 (199, 299 etc) తీసివేసిన (99)', 'వరుస ఇన్నింగ్స్ (5) 32 వ యాభైల్లో' 'ఇన్నింగ్స్ లో 13 వ ఎక్కువ సిక్స్ (8)', '43 వ లాంగెస్ట్ వ్యక్తిగత ఇన్నింగ్స్ (నిమిషాలు) (673) ']</v>
      </c>
      <c r="E5787" s="2" t="s">
        <v>3672</v>
      </c>
      <c r="F5787" s="2" t="str">
        <f>IFERROR(__xludf.DUMMYFUNCTION("IF(E5787&lt;&gt;"""", GOOGLETRANSLATE(E5787, ""en"", ""te""),"""")"),"[ '31 ఒకే మైదానంలో అత్యధిక పరుగులు (1225)', '45 వ తొలి మ్యాచ్లో అత్యధిక పరుగులు (73)', 'వరుస ఇన్నింగ్స్ (4) లో 44 వ యాభైల్లో' '40 వ అత్యంత ఇన్నింగ్స్ తొలి డక్ ముందు (30)', ' 35 వ లాంగెస్ట్ వ్యక్తిగత ఇన్నింగ్స్ (బంతులతో) (160) ',' 16 వ 1000 పరుగులు (25) "&amp;"',' ఫాస్టెస్ట్ 15 2000 పరుగులు వేగంగా (52) ',' 16 వ 3000 పరుగులు (79) ',' 20 వ వేగంగా వేగంగా 4000 పరుగులు (109) ',' 24 వ అత్యంత ప్లేయర్ ఆఫ్ ది సిరీస్ అవార్డులు (4) ']")</f>
        <v>[ '31 ఒకే మైదానంలో అత్యధిక పరుగులు (1225)', '45 వ తొలి మ్యాచ్లో అత్యధిక పరుగులు (73)', 'వరుస ఇన్నింగ్స్ (4) లో 44 వ యాభైల్లో' '40 వ అత్యంత ఇన్నింగ్స్ తొలి డక్ ముందు (30)', ' 35 వ లాంగెస్ట్ వ్యక్తిగత ఇన్నింగ్స్ (బంతులతో) (160) ',' 16 వ 1000 పరుగులు (25) ',' ఫాస్టెస్ట్ 15 2000 పరుగులు వేగంగా (52) ',' 16 వ 3000 పరుగులు (79) ',' 20 వ వేగంగా వేగంగా 4000 పరుగులు (109) ',' 24 వ అత్యంత ప్లేయర్ ఆఫ్ ది సిరీస్ అవార్డులు (4) ']</v>
      </c>
      <c r="G5787" s="2"/>
      <c r="H5787" s="2" t="str">
        <f>IFERROR(__xludf.DUMMYFUNCTION("IF(G5787&lt;&gt;"""", GOOGLETRANSLATE(G5787, ""en"", ""te""),"""")"),"")</f>
        <v/>
      </c>
      <c r="I5787" s="3"/>
    </row>
    <row r="5788" customHeight="1" spans="1:9">
      <c r="A5788" s="2"/>
      <c r="B5788" s="2" t="str">
        <f>IFERROR(__xludf.DUMMYFUNCTION("IF(A5788&lt;&gt;"""", GOOGLETRANSLATE(A5788, ""en"", ""te""),"""")"),"")</f>
        <v/>
      </c>
      <c r="C5788" s="2"/>
      <c r="D5788" s="2" t="str">
        <f>IFERROR(__xludf.DUMMYFUNCTION("IF(C5788&lt;&gt;"""", GOOGLETRANSLATE(C5788, ""en"", ""te""),"""")"),"")</f>
        <v/>
      </c>
      <c r="E5788" s="2"/>
      <c r="F5788" s="2" t="str">
        <f>IFERROR(__xludf.DUMMYFUNCTION("IF(E5788&lt;&gt;"""", GOOGLETRANSLATE(E5788, ""en"", ""te""),"""")"),"")</f>
        <v/>
      </c>
      <c r="G5788" s="2"/>
      <c r="H5788" s="2" t="str">
        <f>IFERROR(__xludf.DUMMYFUNCTION("IF(G5788&lt;&gt;"""", GOOGLETRANSLATE(G5788, ""en"", ""te""),"""")"),"")</f>
        <v/>
      </c>
      <c r="I5788" s="3"/>
    </row>
    <row r="5789" customHeight="1" spans="1:9">
      <c r="A5789" s="2"/>
      <c r="B5789" s="2" t="str">
        <f>IFERROR(__xludf.DUMMYFUNCTION("IF(A5789&lt;&gt;"""", GOOGLETRANSLATE(A5789, ""en"", ""te""),"""")"),"")</f>
        <v/>
      </c>
      <c r="C5789" s="2"/>
      <c r="D5789" s="2" t="str">
        <f>IFERROR(__xludf.DUMMYFUNCTION("IF(C5789&lt;&gt;"""", GOOGLETRANSLATE(C5789, ""en"", ""te""),"""")"),"")</f>
        <v/>
      </c>
      <c r="E5789" s="2"/>
      <c r="F5789" s="2" t="str">
        <f>IFERROR(__xludf.DUMMYFUNCTION("IF(E5789&lt;&gt;"""", GOOGLETRANSLATE(E5789, ""en"", ""te""),"""")"),"")</f>
        <v/>
      </c>
      <c r="G5789" s="2"/>
      <c r="H5789" s="2" t="str">
        <f>IFERROR(__xludf.DUMMYFUNCTION("IF(G5789&lt;&gt;"""", GOOGLETRANSLATE(G5789, ""en"", ""te""),"""")"),"")</f>
        <v/>
      </c>
      <c r="I5789" s="3"/>
    </row>
    <row r="5790" customHeight="1" spans="1:9">
      <c r="A5790" s="2"/>
      <c r="B5790" s="2" t="str">
        <f>IFERROR(__xludf.DUMMYFUNCTION("IF(A5790&lt;&gt;"""", GOOGLETRANSLATE(A5790, ""en"", ""te""),"""")"),"")</f>
        <v/>
      </c>
      <c r="C5790" s="2" t="s">
        <v>3673</v>
      </c>
      <c r="D5790" s="2" t="str">
        <f>IFERROR(__xludf.DUMMYFUNCTION("IF(C5790&lt;&gt;"""", GOOGLETRANSLATE(C5790, ""en"", ""te""),"""")"),"[ '35 వ ఇన్నింగ్స్ లో బౌల్డ్ చాలా బంతుల్లో (438)', '25 వ అత్యంత బంతుల్లో ఒక మ్యాచ్లో బౌల్డ్ (651)', '31 షార్టేస్ట్ నివసించారు క్రీడాకారులు (31y 308d)']")</f>
        <v>[ '35 వ ఇన్నింగ్స్ లో బౌల్డ్ చాలా బంతుల్లో (438)', '25 వ అత్యంత బంతుల్లో ఒక మ్యాచ్లో బౌల్డ్ (651)', '31 షార్టేస్ట్ నివసించారు క్రీడాకారులు (31y 308d)']</v>
      </c>
      <c r="E5790" s="2"/>
      <c r="F5790" s="2" t="str">
        <f>IFERROR(__xludf.DUMMYFUNCTION("IF(E5790&lt;&gt;"""", GOOGLETRANSLATE(E5790, ""en"", ""te""),"""")"),"")</f>
        <v/>
      </c>
      <c r="G5790" s="2"/>
      <c r="H5790" s="2" t="str">
        <f>IFERROR(__xludf.DUMMYFUNCTION("IF(G5790&lt;&gt;"""", GOOGLETRANSLATE(G5790, ""en"", ""te""),"""")"),"")</f>
        <v/>
      </c>
      <c r="I5790" s="3"/>
    </row>
    <row r="5791" customHeight="1" spans="1:9">
      <c r="A5791" s="2"/>
      <c r="B5791" s="2" t="str">
        <f>IFERROR(__xludf.DUMMYFUNCTION("IF(A5791&lt;&gt;"""", GOOGLETRANSLATE(A5791, ""en"", ""te""),"""")"),"")</f>
        <v/>
      </c>
      <c r="C5791" s="2"/>
      <c r="D5791" s="2" t="str">
        <f>IFERROR(__xludf.DUMMYFUNCTION("IF(C5791&lt;&gt;"""", GOOGLETRANSLATE(C5791, ""en"", ""te""),"""")"),"")</f>
        <v/>
      </c>
      <c r="E5791" s="2"/>
      <c r="F5791" s="2" t="str">
        <f>IFERROR(__xludf.DUMMYFUNCTION("IF(E5791&lt;&gt;"""", GOOGLETRANSLATE(E5791, ""en"", ""te""),"""")"),"")</f>
        <v/>
      </c>
      <c r="G5791" s="2"/>
      <c r="H5791" s="2" t="str">
        <f>IFERROR(__xludf.DUMMYFUNCTION("IF(G5791&lt;&gt;"""", GOOGLETRANSLATE(G5791, ""en"", ""te""),"""")"),"")</f>
        <v/>
      </c>
      <c r="I5791" s="3"/>
    </row>
    <row r="5792" customHeight="1" spans="1:9">
      <c r="A5792" s="2"/>
      <c r="B5792" s="2" t="str">
        <f>IFERROR(__xludf.DUMMYFUNCTION("IF(A5792&lt;&gt;"""", GOOGLETRANSLATE(A5792, ""en"", ""te""),"""")"),"")</f>
        <v/>
      </c>
      <c r="C5792" s="2"/>
      <c r="D5792" s="2" t="str">
        <f>IFERROR(__xludf.DUMMYFUNCTION("IF(C5792&lt;&gt;"""", GOOGLETRANSLATE(C5792, ""en"", ""te""),"""")"),"")</f>
        <v/>
      </c>
      <c r="E5792" s="2"/>
      <c r="F5792" s="2" t="str">
        <f>IFERROR(__xludf.DUMMYFUNCTION("IF(E5792&lt;&gt;"""", GOOGLETRANSLATE(E5792, ""en"", ""te""),"""")"),"")</f>
        <v/>
      </c>
      <c r="G5792" s="2"/>
      <c r="H5792" s="2" t="str">
        <f>IFERROR(__xludf.DUMMYFUNCTION("IF(G5792&lt;&gt;"""", GOOGLETRANSLATE(G5792, ""en"", ""te""),"""")"),"")</f>
        <v/>
      </c>
      <c r="I5792" s="3"/>
    </row>
    <row r="5793" customHeight="1" spans="1:9">
      <c r="A5793" s="2"/>
      <c r="B5793" s="2" t="str">
        <f>IFERROR(__xludf.DUMMYFUNCTION("IF(A5793&lt;&gt;"""", GOOGLETRANSLATE(A5793, ""en"", ""te""),"""")"),"")</f>
        <v/>
      </c>
      <c r="C5793" s="2"/>
      <c r="D5793" s="2" t="str">
        <f>IFERROR(__xludf.DUMMYFUNCTION("IF(C5793&lt;&gt;"""", GOOGLETRANSLATE(C5793, ""en"", ""te""),"""")"),"")</f>
        <v/>
      </c>
      <c r="E5793" s="2"/>
      <c r="F5793" s="2" t="str">
        <f>IFERROR(__xludf.DUMMYFUNCTION("IF(E5793&lt;&gt;"""", GOOGLETRANSLATE(E5793, ""en"", ""te""),"""")"),"")</f>
        <v/>
      </c>
      <c r="G5793" s="2"/>
      <c r="H5793" s="2" t="str">
        <f>IFERROR(__xludf.DUMMYFUNCTION("IF(G5793&lt;&gt;"""", GOOGLETRANSLATE(G5793, ""en"", ""te""),"""")"),"")</f>
        <v/>
      </c>
      <c r="I5793" s="3"/>
    </row>
    <row r="5794" customHeight="1" spans="1:9">
      <c r="A5794" s="2"/>
      <c r="B5794" s="2" t="str">
        <f>IFERROR(__xludf.DUMMYFUNCTION("IF(A5794&lt;&gt;"""", GOOGLETRANSLATE(A5794, ""en"", ""te""),"""")"),"")</f>
        <v/>
      </c>
      <c r="C5794" s="2"/>
      <c r="D5794" s="2" t="str">
        <f>IFERROR(__xludf.DUMMYFUNCTION("IF(C5794&lt;&gt;"""", GOOGLETRANSLATE(C5794, ""en"", ""te""),"""")"),"")</f>
        <v/>
      </c>
      <c r="E5794" s="2"/>
      <c r="F5794" s="2" t="str">
        <f>IFERROR(__xludf.DUMMYFUNCTION("IF(E5794&lt;&gt;"""", GOOGLETRANSLATE(E5794, ""en"", ""te""),"""")"),"")</f>
        <v/>
      </c>
      <c r="G5794" s="2"/>
      <c r="H5794" s="2" t="str">
        <f>IFERROR(__xludf.DUMMYFUNCTION("IF(G5794&lt;&gt;"""", GOOGLETRANSLATE(G5794, ""en"", ""te""),"""")"),"")</f>
        <v/>
      </c>
      <c r="I5794" s="3"/>
    </row>
    <row r="5795" customHeight="1" spans="1:9">
      <c r="A5795" s="2"/>
      <c r="B5795" s="2" t="str">
        <f>IFERROR(__xludf.DUMMYFUNCTION("IF(A5795&lt;&gt;"""", GOOGLETRANSLATE(A5795, ""en"", ""te""),"""")"),"")</f>
        <v/>
      </c>
      <c r="C5795" s="2"/>
      <c r="D5795" s="2" t="str">
        <f>IFERROR(__xludf.DUMMYFUNCTION("IF(C5795&lt;&gt;"""", GOOGLETRANSLATE(C5795, ""en"", ""te""),"""")"),"")</f>
        <v/>
      </c>
      <c r="E5795" s="2"/>
      <c r="F5795" s="2" t="str">
        <f>IFERROR(__xludf.DUMMYFUNCTION("IF(E5795&lt;&gt;"""", GOOGLETRANSLATE(E5795, ""en"", ""te""),"""")"),"")</f>
        <v/>
      </c>
      <c r="G5795" s="2"/>
      <c r="H5795" s="2" t="str">
        <f>IFERROR(__xludf.DUMMYFUNCTION("IF(G5795&lt;&gt;"""", GOOGLETRANSLATE(G5795, ""en"", ""te""),"""")"),"")</f>
        <v/>
      </c>
      <c r="I5795" s="3"/>
    </row>
    <row r="5796" customHeight="1" spans="1:9">
      <c r="A5796" s="2"/>
      <c r="B5796" s="2" t="str">
        <f>IFERROR(__xludf.DUMMYFUNCTION("IF(A5796&lt;&gt;"""", GOOGLETRANSLATE(A5796, ""en"", ""te""),"""")"),"")</f>
        <v/>
      </c>
      <c r="C5796" s="2"/>
      <c r="D5796" s="2" t="str">
        <f>IFERROR(__xludf.DUMMYFUNCTION("IF(C5796&lt;&gt;"""", GOOGLETRANSLATE(C5796, ""en"", ""te""),"""")"),"")</f>
        <v/>
      </c>
      <c r="E5796" s="2" t="s">
        <v>3674</v>
      </c>
      <c r="F5796" s="2" t="str">
        <f>IFERROR(__xludf.DUMMYFUNCTION("IF(E5796&lt;&gt;"""", GOOGLETRANSLATE(E5796, ""en"", ""te""),"""")"),"[ '42 వ లాంగెస్ట్ క్రీడాకారులు (60y 41d) నివసించారు']")</f>
        <v>[ '42 వ లాంగెస్ట్ క్రీడాకారులు (60y 41d) నివసించారు']</v>
      </c>
      <c r="G5796" s="2"/>
      <c r="H5796" s="2" t="str">
        <f>IFERROR(__xludf.DUMMYFUNCTION("IF(G5796&lt;&gt;"""", GOOGLETRANSLATE(G5796, ""en"", ""te""),"""")"),"")</f>
        <v/>
      </c>
      <c r="I5796" s="3"/>
    </row>
    <row r="5797" customHeight="1" spans="1:9">
      <c r="A5797" s="2"/>
      <c r="B5797" s="2" t="str">
        <f>IFERROR(__xludf.DUMMYFUNCTION("IF(A5797&lt;&gt;"""", GOOGLETRANSLATE(A5797, ""en"", ""te""),"""")"),"")</f>
        <v/>
      </c>
      <c r="C5797" s="2"/>
      <c r="D5797" s="2" t="str">
        <f>IFERROR(__xludf.DUMMYFUNCTION("IF(C5797&lt;&gt;"""", GOOGLETRANSLATE(C5797, ""en"", ""te""),"""")"),"")</f>
        <v/>
      </c>
      <c r="E5797" s="2"/>
      <c r="F5797" s="2" t="str">
        <f>IFERROR(__xludf.DUMMYFUNCTION("IF(E5797&lt;&gt;"""", GOOGLETRANSLATE(E5797, ""en"", ""te""),"""")"),"")</f>
        <v/>
      </c>
      <c r="G5797" s="2"/>
      <c r="H5797" s="2" t="str">
        <f>IFERROR(__xludf.DUMMYFUNCTION("IF(G5797&lt;&gt;"""", GOOGLETRANSLATE(G5797, ""en"", ""te""),"""")"),"")</f>
        <v/>
      </c>
      <c r="I5797" s="3"/>
    </row>
    <row r="5798" customHeight="1" spans="1:9">
      <c r="A5798" s="2"/>
      <c r="B5798" s="2" t="str">
        <f>IFERROR(__xludf.DUMMYFUNCTION("IF(A5798&lt;&gt;"""", GOOGLETRANSLATE(A5798, ""en"", ""te""),"""")"),"")</f>
        <v/>
      </c>
      <c r="C5798" s="2"/>
      <c r="D5798" s="2" t="str">
        <f>IFERROR(__xludf.DUMMYFUNCTION("IF(C5798&lt;&gt;"""", GOOGLETRANSLATE(C5798, ""en"", ""te""),"""")"),"")</f>
        <v/>
      </c>
      <c r="E5798" s="2"/>
      <c r="F5798" s="2" t="str">
        <f>IFERROR(__xludf.DUMMYFUNCTION("IF(E5798&lt;&gt;"""", GOOGLETRANSLATE(E5798, ""en"", ""te""),"""")"),"")</f>
        <v/>
      </c>
      <c r="G5798" s="2"/>
      <c r="H5798" s="2" t="str">
        <f>IFERROR(__xludf.DUMMYFUNCTION("IF(G5798&lt;&gt;"""", GOOGLETRANSLATE(G5798, ""en"", ""te""),"""")"),"")</f>
        <v/>
      </c>
      <c r="I5798" s="3"/>
    </row>
    <row r="5799" customHeight="1" spans="1:9">
      <c r="A5799" s="2"/>
      <c r="B5799" s="2" t="str">
        <f>IFERROR(__xludf.DUMMYFUNCTION("IF(A5799&lt;&gt;"""", GOOGLETRANSLATE(A5799, ""en"", ""te""),"""")"),"")</f>
        <v/>
      </c>
      <c r="C5799" s="2"/>
      <c r="D5799" s="2" t="str">
        <f>IFERROR(__xludf.DUMMYFUNCTION("IF(C5799&lt;&gt;"""", GOOGLETRANSLATE(C5799, ""en"", ""te""),"""")"),"")</f>
        <v/>
      </c>
      <c r="E5799" s="2"/>
      <c r="F5799" s="2" t="str">
        <f>IFERROR(__xludf.DUMMYFUNCTION("IF(E5799&lt;&gt;"""", GOOGLETRANSLATE(E5799, ""en"", ""te""),"""")"),"")</f>
        <v/>
      </c>
      <c r="G5799" s="2"/>
      <c r="H5799" s="2" t="str">
        <f>IFERROR(__xludf.DUMMYFUNCTION("IF(G5799&lt;&gt;"""", GOOGLETRANSLATE(G5799, ""en"", ""te""),"""")"),"")</f>
        <v/>
      </c>
      <c r="I5799" s="3"/>
    </row>
    <row r="5800" customHeight="1" spans="1:9">
      <c r="A5800" s="2"/>
      <c r="B5800" s="2" t="str">
        <f>IFERROR(__xludf.DUMMYFUNCTION("IF(A5800&lt;&gt;"""", GOOGLETRANSLATE(A5800, ""en"", ""te""),"""")"),"")</f>
        <v/>
      </c>
      <c r="C5800" s="2"/>
      <c r="D5800" s="2" t="str">
        <f>IFERROR(__xludf.DUMMYFUNCTION("IF(C5800&lt;&gt;"""", GOOGLETRANSLATE(C5800, ""en"", ""te""),"""")"),"")</f>
        <v/>
      </c>
      <c r="E5800" s="2"/>
      <c r="F5800" s="2" t="str">
        <f>IFERROR(__xludf.DUMMYFUNCTION("IF(E5800&lt;&gt;"""", GOOGLETRANSLATE(E5800, ""en"", ""te""),"""")"),"")</f>
        <v/>
      </c>
      <c r="G5800" s="2"/>
      <c r="H5800" s="2" t="str">
        <f>IFERROR(__xludf.DUMMYFUNCTION("IF(G5800&lt;&gt;"""", GOOGLETRANSLATE(G5800, ""en"", ""te""),"""")"),"")</f>
        <v/>
      </c>
      <c r="I5800" s="3"/>
    </row>
    <row r="5801" customHeight="1" spans="1:9">
      <c r="A5801" s="2"/>
      <c r="B5801" s="2" t="str">
        <f>IFERROR(__xludf.DUMMYFUNCTION("IF(A5801&lt;&gt;"""", GOOGLETRANSLATE(A5801, ""en"", ""te""),"""")"),"")</f>
        <v/>
      </c>
      <c r="C5801" s="2"/>
      <c r="D5801" s="2" t="str">
        <f>IFERROR(__xludf.DUMMYFUNCTION("IF(C5801&lt;&gt;"""", GOOGLETRANSLATE(C5801, ""en"", ""te""),"""")"),"")</f>
        <v/>
      </c>
      <c r="E5801" s="2"/>
      <c r="F5801" s="2" t="str">
        <f>IFERROR(__xludf.DUMMYFUNCTION("IF(E5801&lt;&gt;"""", GOOGLETRANSLATE(E5801, ""en"", ""te""),"""")"),"")</f>
        <v/>
      </c>
      <c r="G5801" s="2"/>
      <c r="H5801" s="2" t="str">
        <f>IFERROR(__xludf.DUMMYFUNCTION("IF(G5801&lt;&gt;"""", GOOGLETRANSLATE(G5801, ""en"", ""te""),"""")"),"")</f>
        <v/>
      </c>
      <c r="I5801" s="3"/>
    </row>
    <row r="5802" customHeight="1" spans="1:9">
      <c r="A5802" s="2"/>
      <c r="B5802" s="2" t="str">
        <f>IFERROR(__xludf.DUMMYFUNCTION("IF(A5802&lt;&gt;"""", GOOGLETRANSLATE(A5802, ""en"", ""te""),"""")"),"")</f>
        <v/>
      </c>
      <c r="C5802" s="2"/>
      <c r="D5802" s="2" t="str">
        <f>IFERROR(__xludf.DUMMYFUNCTION("IF(C5802&lt;&gt;"""", GOOGLETRANSLATE(C5802, ""en"", ""te""),"""")"),"")</f>
        <v/>
      </c>
      <c r="E5802" s="2"/>
      <c r="F5802" s="2" t="str">
        <f>IFERROR(__xludf.DUMMYFUNCTION("IF(E5802&lt;&gt;"""", GOOGLETRANSLATE(E5802, ""en"", ""te""),"""")"),"")</f>
        <v/>
      </c>
      <c r="G5802" s="2"/>
      <c r="H5802" s="2" t="str">
        <f>IFERROR(__xludf.DUMMYFUNCTION("IF(G5802&lt;&gt;"""", GOOGLETRANSLATE(G5802, ""en"", ""te""),"""")"),"")</f>
        <v/>
      </c>
      <c r="I5802" s="3"/>
    </row>
    <row r="5803" customHeight="1" spans="1:9">
      <c r="A5803" s="2"/>
      <c r="B5803" s="2" t="str">
        <f>IFERROR(__xludf.DUMMYFUNCTION("IF(A5803&lt;&gt;"""", GOOGLETRANSLATE(A5803, ""en"", ""te""),"""")"),"")</f>
        <v/>
      </c>
      <c r="C5803" s="2"/>
      <c r="D5803" s="2" t="str">
        <f>IFERROR(__xludf.DUMMYFUNCTION("IF(C5803&lt;&gt;"""", GOOGLETRANSLATE(C5803, ""en"", ""te""),"""")"),"")</f>
        <v/>
      </c>
      <c r="E5803" s="2"/>
      <c r="F5803" s="2" t="str">
        <f>IFERROR(__xludf.DUMMYFUNCTION("IF(E5803&lt;&gt;"""", GOOGLETRANSLATE(E5803, ""en"", ""te""),"""")"),"")</f>
        <v/>
      </c>
      <c r="G5803" s="2"/>
      <c r="H5803" s="2" t="str">
        <f>IFERROR(__xludf.DUMMYFUNCTION("IF(G5803&lt;&gt;"""", GOOGLETRANSLATE(G5803, ""en"", ""te""),"""")"),"")</f>
        <v/>
      </c>
      <c r="I5803" s="3"/>
    </row>
    <row r="5804" customHeight="1" spans="1:9">
      <c r="A5804" s="2" t="s">
        <v>3675</v>
      </c>
      <c r="B5804" s="2" t="str">
        <f>IFERROR(__xludf.DUMMYFUNCTION("IF(A5804&lt;&gt;"""", GOOGLETRANSLATE(A5804, ""en"", ""te""),"""")"),"[ఒక లో, '6 వ ఒక సిరీస్లో అత్యధిక బాతులు (3)', 'యాభై అయిదు వికెట్లు' 1st 99 (199, 299 etc) (99) అవుటయ్యాడు '' ఇన్నింగ్స్ (5) లో 1 వ అత్యధిక క్యాచ్లు ' ఇన్నింగ్స్]")</f>
        <v>[ఒక లో, '6 వ ఒక సిరీస్లో అత్యధిక బాతులు (3)', 'యాభై అయిదు వికెట్లు' 1st 99 (199, 299 etc) (99) అవుటయ్యాడు '' ఇన్నింగ్స్ (5) లో 1 వ అత్యధిక క్యాచ్లు ' ఇన్నింగ్స్]</v>
      </c>
      <c r="C5804" s="2" t="s">
        <v>554</v>
      </c>
      <c r="D5804" s="2" t="str">
        <f>IFERROR(__xludf.DUMMYFUNCTION("IF(C5804&lt;&gt;"""", GOOGLETRANSLATE(C5804, ""en"", ""te""),"""")"),"[ 'ఇన్నింగ్స్ లో 1 వ అత్యధిక క్యాచ్లు (5)']")</f>
        <v>[ 'ఇన్నింగ్స్ లో 1 వ అత్యధిక క్యాచ్లు (5)']</v>
      </c>
      <c r="E5804" s="2" t="s">
        <v>3676</v>
      </c>
      <c r="F5804" s="2" t="str">
        <f>IFERROR(__xludf.DUMMYFUNCTION("IF(E5804&lt;&gt;"""", GOOGLETRANSLATE(E5804, ""en"", ""te""),"""")"),"[ 'కెరీర్లో 22 వ అత్యంత తొంభైల (5)', 'ఒక డక్ లేకుండా 46 వ వరుస ఇన్నింగ్స్ (62)' '1 వ 99 (199, 299 etc) (99) అవుటయ్యాడు', '6 వ ఒక సిరీస్లో అత్యధిక బాతులు ( 3) ',' 47 వ ఉత్తమ సమ్మె ఇన్నింగ్స్ లో రేటు (7.2) ',' 43 వ అత్యంత ఐదు-వికెట్ల లో-ఒక-ఇన్నింగ్స్ కెరీర"&amp;"్లో (2) ',' 14 వ వరుస అన్ని టాస్ గెలిచిన (3) ']")</f>
        <v>[ 'కెరీర్లో 22 వ అత్యంత తొంభైల (5)', 'ఒక డక్ లేకుండా 46 వ వరుస ఇన్నింగ్స్ (62)' '1 వ 99 (199, 299 etc) (99) అవుటయ్యాడు', '6 వ ఒక సిరీస్లో అత్యధిక బాతులు ( 3) ',' 47 వ ఉత్తమ సమ్మె ఇన్నింగ్స్ లో రేటు (7.2) ',' 43 వ అత్యంత ఐదు-వికెట్ల లో-ఒక-ఇన్నింగ్స్ కెరీర్లో (2) ',' 14 వ వరుస అన్ని టాస్ గెలిచిన (3) ']</v>
      </c>
      <c r="G5804" s="2"/>
      <c r="H5804" s="2" t="str">
        <f>IFERROR(__xludf.DUMMYFUNCTION("IF(G5804&lt;&gt;"""", GOOGLETRANSLATE(G5804, ""en"", ""te""),"""")"),"")</f>
        <v/>
      </c>
      <c r="I5804" s="3"/>
    </row>
    <row r="5805" customHeight="1" spans="1:9">
      <c r="A5805" s="2"/>
      <c r="B5805" s="2" t="str">
        <f>IFERROR(__xludf.DUMMYFUNCTION("IF(A5805&lt;&gt;"""", GOOGLETRANSLATE(A5805, ""en"", ""te""),"""")"),"")</f>
        <v/>
      </c>
      <c r="C5805" s="2"/>
      <c r="D5805" s="2" t="str">
        <f>IFERROR(__xludf.DUMMYFUNCTION("IF(C5805&lt;&gt;"""", GOOGLETRANSLATE(C5805, ""en"", ""te""),"""")"),"")</f>
        <v/>
      </c>
      <c r="E5805" s="2"/>
      <c r="F5805" s="2" t="str">
        <f>IFERROR(__xludf.DUMMYFUNCTION("IF(E5805&lt;&gt;"""", GOOGLETRANSLATE(E5805, ""en"", ""te""),"""")"),"")</f>
        <v/>
      </c>
      <c r="G5805" s="2"/>
      <c r="H5805" s="2" t="str">
        <f>IFERROR(__xludf.DUMMYFUNCTION("IF(G5805&lt;&gt;"""", GOOGLETRANSLATE(G5805, ""en"", ""te""),"""")"),"")</f>
        <v/>
      </c>
      <c r="I5805" s="3"/>
    </row>
    <row r="5806" customHeight="1" spans="1:9">
      <c r="A5806" s="2"/>
      <c r="B5806" s="2" t="str">
        <f>IFERROR(__xludf.DUMMYFUNCTION("IF(A5806&lt;&gt;"""", GOOGLETRANSLATE(A5806, ""en"", ""te""),"""")"),"")</f>
        <v/>
      </c>
      <c r="C5806" s="2"/>
      <c r="D5806" s="2" t="str">
        <f>IFERROR(__xludf.DUMMYFUNCTION("IF(C5806&lt;&gt;"""", GOOGLETRANSLATE(C5806, ""en"", ""te""),"""")"),"")</f>
        <v/>
      </c>
      <c r="E5806" s="2"/>
      <c r="F5806" s="2" t="str">
        <f>IFERROR(__xludf.DUMMYFUNCTION("IF(E5806&lt;&gt;"""", GOOGLETRANSLATE(E5806, ""en"", ""te""),"""")"),"")</f>
        <v/>
      </c>
      <c r="G5806" s="2"/>
      <c r="H5806" s="2" t="str">
        <f>IFERROR(__xludf.DUMMYFUNCTION("IF(G5806&lt;&gt;"""", GOOGLETRANSLATE(G5806, ""en"", ""te""),"""")"),"")</f>
        <v/>
      </c>
      <c r="I5806" s="3"/>
    </row>
    <row r="5807" customHeight="1" spans="1:9">
      <c r="A5807" s="2"/>
      <c r="B5807" s="2" t="str">
        <f>IFERROR(__xludf.DUMMYFUNCTION("IF(A5807&lt;&gt;"""", GOOGLETRANSLATE(A5807, ""en"", ""te""),"""")"),"")</f>
        <v/>
      </c>
      <c r="C5807" s="2"/>
      <c r="D5807" s="2" t="str">
        <f>IFERROR(__xludf.DUMMYFUNCTION("IF(C5807&lt;&gt;"""", GOOGLETRANSLATE(C5807, ""en"", ""te""),"""")"),"")</f>
        <v/>
      </c>
      <c r="E5807" s="2"/>
      <c r="F5807" s="2" t="str">
        <f>IFERROR(__xludf.DUMMYFUNCTION("IF(E5807&lt;&gt;"""", GOOGLETRANSLATE(E5807, ""en"", ""te""),"""")"),"")</f>
        <v/>
      </c>
      <c r="G5807" s="2"/>
      <c r="H5807" s="2" t="str">
        <f>IFERROR(__xludf.DUMMYFUNCTION("IF(G5807&lt;&gt;"""", GOOGLETRANSLATE(G5807, ""en"", ""te""),"""")"),"")</f>
        <v/>
      </c>
      <c r="I5807" s="3"/>
    </row>
    <row r="5808" customHeight="1" spans="1:9">
      <c r="A5808" s="2"/>
      <c r="B5808" s="2" t="str">
        <f>IFERROR(__xludf.DUMMYFUNCTION("IF(A5808&lt;&gt;"""", GOOGLETRANSLATE(A5808, ""en"", ""te""),"""")"),"")</f>
        <v/>
      </c>
      <c r="C5808" s="2"/>
      <c r="D5808" s="2" t="str">
        <f>IFERROR(__xludf.DUMMYFUNCTION("IF(C5808&lt;&gt;"""", GOOGLETRANSLATE(C5808, ""en"", ""te""),"""")"),"")</f>
        <v/>
      </c>
      <c r="E5808" s="2"/>
      <c r="F5808" s="2" t="str">
        <f>IFERROR(__xludf.DUMMYFUNCTION("IF(E5808&lt;&gt;"""", GOOGLETRANSLATE(E5808, ""en"", ""te""),"""")"),"")</f>
        <v/>
      </c>
      <c r="G5808" s="2"/>
      <c r="H5808" s="2" t="str">
        <f>IFERROR(__xludf.DUMMYFUNCTION("IF(G5808&lt;&gt;"""", GOOGLETRANSLATE(G5808, ""en"", ""te""),"""")"),"")</f>
        <v/>
      </c>
      <c r="I5808" s="3"/>
    </row>
    <row r="5809" customHeight="1" spans="1:9">
      <c r="A5809" s="2"/>
      <c r="B5809" s="2" t="str">
        <f>IFERROR(__xludf.DUMMYFUNCTION("IF(A5809&lt;&gt;"""", GOOGLETRANSLATE(A5809, ""en"", ""te""),"""")"),"")</f>
        <v/>
      </c>
      <c r="C5809" s="2"/>
      <c r="D5809" s="2" t="str">
        <f>IFERROR(__xludf.DUMMYFUNCTION("IF(C5809&lt;&gt;"""", GOOGLETRANSLATE(C5809, ""en"", ""te""),"""")"),"")</f>
        <v/>
      </c>
      <c r="E5809" s="2"/>
      <c r="F5809" s="2" t="str">
        <f>IFERROR(__xludf.DUMMYFUNCTION("IF(E5809&lt;&gt;"""", GOOGLETRANSLATE(E5809, ""en"", ""te""),"""")"),"")</f>
        <v/>
      </c>
      <c r="G5809" s="2"/>
      <c r="H5809" s="2" t="str">
        <f>IFERROR(__xludf.DUMMYFUNCTION("IF(G5809&lt;&gt;"""", GOOGLETRANSLATE(G5809, ""en"", ""te""),"""")"),"")</f>
        <v/>
      </c>
      <c r="I5809" s="3"/>
    </row>
    <row r="5810" customHeight="1" spans="1:9">
      <c r="A5810" s="2"/>
      <c r="B5810" s="2" t="str">
        <f>IFERROR(__xludf.DUMMYFUNCTION("IF(A5810&lt;&gt;"""", GOOGLETRANSLATE(A5810, ""en"", ""te""),"""")"),"")</f>
        <v/>
      </c>
      <c r="C5810" s="2"/>
      <c r="D5810" s="2" t="str">
        <f>IFERROR(__xludf.DUMMYFUNCTION("IF(C5810&lt;&gt;"""", GOOGLETRANSLATE(C5810, ""en"", ""te""),"""")"),"")</f>
        <v/>
      </c>
      <c r="E5810" s="2"/>
      <c r="F5810" s="2" t="str">
        <f>IFERROR(__xludf.DUMMYFUNCTION("IF(E5810&lt;&gt;"""", GOOGLETRANSLATE(E5810, ""en"", ""te""),"""")"),"")</f>
        <v/>
      </c>
      <c r="G5810" s="2"/>
      <c r="H5810" s="2" t="str">
        <f>IFERROR(__xludf.DUMMYFUNCTION("IF(G5810&lt;&gt;"""", GOOGLETRANSLATE(G5810, ""en"", ""te""),"""")"),"")</f>
        <v/>
      </c>
      <c r="I5810" s="3"/>
    </row>
    <row r="5811" customHeight="1" spans="1:9">
      <c r="A5811" s="2"/>
      <c r="B5811" s="2" t="str">
        <f>IFERROR(__xludf.DUMMYFUNCTION("IF(A5811&lt;&gt;"""", GOOGLETRANSLATE(A5811, ""en"", ""te""),"""")"),"")</f>
        <v/>
      </c>
      <c r="C5811" s="2"/>
      <c r="D5811" s="2" t="str">
        <f>IFERROR(__xludf.DUMMYFUNCTION("IF(C5811&lt;&gt;"""", GOOGLETRANSLATE(C5811, ""en"", ""te""),"""")"),"")</f>
        <v/>
      </c>
      <c r="E5811" s="2"/>
      <c r="F5811" s="2" t="str">
        <f>IFERROR(__xludf.DUMMYFUNCTION("IF(E5811&lt;&gt;"""", GOOGLETRANSLATE(E5811, ""en"", ""te""),"""")"),"")</f>
        <v/>
      </c>
      <c r="G5811" s="2"/>
      <c r="H5811" s="2" t="str">
        <f>IFERROR(__xludf.DUMMYFUNCTION("IF(G5811&lt;&gt;"""", GOOGLETRANSLATE(G5811, ""en"", ""te""),"""")"),"")</f>
        <v/>
      </c>
      <c r="I5811" s="3"/>
    </row>
    <row r="5812" customHeight="1" spans="1:9">
      <c r="A5812" s="2"/>
      <c r="B5812" s="2" t="str">
        <f>IFERROR(__xludf.DUMMYFUNCTION("IF(A5812&lt;&gt;"""", GOOGLETRANSLATE(A5812, ""en"", ""te""),"""")"),"")</f>
        <v/>
      </c>
      <c r="C5812" s="2"/>
      <c r="D5812" s="2" t="str">
        <f>IFERROR(__xludf.DUMMYFUNCTION("IF(C5812&lt;&gt;"""", GOOGLETRANSLATE(C5812, ""en"", ""te""),"""")"),"")</f>
        <v/>
      </c>
      <c r="E5812" s="2"/>
      <c r="F5812" s="2" t="str">
        <f>IFERROR(__xludf.DUMMYFUNCTION("IF(E5812&lt;&gt;"""", GOOGLETRANSLATE(E5812, ""en"", ""te""),"""")"),"")</f>
        <v/>
      </c>
      <c r="G5812" s="2"/>
      <c r="H5812" s="2" t="str">
        <f>IFERROR(__xludf.DUMMYFUNCTION("IF(G5812&lt;&gt;"""", GOOGLETRANSLATE(G5812, ""en"", ""te""),"""")"),"")</f>
        <v/>
      </c>
      <c r="I5812" s="3"/>
    </row>
    <row r="5813" customHeight="1" spans="1:9">
      <c r="A5813" s="2"/>
      <c r="B5813" s="2" t="str">
        <f>IFERROR(__xludf.DUMMYFUNCTION("IF(A5813&lt;&gt;"""", GOOGLETRANSLATE(A5813, ""en"", ""te""),"""")"),"")</f>
        <v/>
      </c>
      <c r="C5813" s="2"/>
      <c r="D5813" s="2" t="str">
        <f>IFERROR(__xludf.DUMMYFUNCTION("IF(C5813&lt;&gt;"""", GOOGLETRANSLATE(C5813, ""en"", ""te""),"""")"),"")</f>
        <v/>
      </c>
      <c r="E5813" s="2"/>
      <c r="F5813" s="2" t="str">
        <f>IFERROR(__xludf.DUMMYFUNCTION("IF(E5813&lt;&gt;"""", GOOGLETRANSLATE(E5813, ""en"", ""te""),"""")"),"")</f>
        <v/>
      </c>
      <c r="G5813" s="2"/>
      <c r="H5813" s="2" t="str">
        <f>IFERROR(__xludf.DUMMYFUNCTION("IF(G5813&lt;&gt;"""", GOOGLETRANSLATE(G5813, ""en"", ""te""),"""")"),"")</f>
        <v/>
      </c>
      <c r="I5813" s="3"/>
    </row>
    <row r="5814" customHeight="1" spans="1:9">
      <c r="A5814" s="2"/>
      <c r="B5814" s="2" t="str">
        <f>IFERROR(__xludf.DUMMYFUNCTION("IF(A5814&lt;&gt;"""", GOOGLETRANSLATE(A5814, ""en"", ""te""),"""")"),"")</f>
        <v/>
      </c>
      <c r="C5814" s="2" t="s">
        <v>3677</v>
      </c>
      <c r="D5814" s="2" t="str">
        <f>IFERROR(__xludf.DUMMYFUNCTION("IF(C5814&lt;&gt;"""", GOOGLETRANSLATE(C5814, ""en"", ""te""),"""")"),"[ '37 వ చెత్త ఇన్నింగ్స్ లో ఆర్థిక రేటు (6.48)']")</f>
        <v>[ '37 వ చెత్త ఇన్నింగ్స్ లో ఆర్థిక రేటు (6.48)']</v>
      </c>
      <c r="E5814" s="2"/>
      <c r="F5814" s="2" t="str">
        <f>IFERROR(__xludf.DUMMYFUNCTION("IF(E5814&lt;&gt;"""", GOOGLETRANSLATE(E5814, ""en"", ""te""),"""")"),"")</f>
        <v/>
      </c>
      <c r="G5814" s="2"/>
      <c r="H5814" s="2" t="str">
        <f>IFERROR(__xludf.DUMMYFUNCTION("IF(G5814&lt;&gt;"""", GOOGLETRANSLATE(G5814, ""en"", ""te""),"""")"),"")</f>
        <v/>
      </c>
      <c r="I5814" s="3"/>
    </row>
    <row r="5815" customHeight="1" spans="1:9">
      <c r="A5815" s="2"/>
      <c r="B5815" s="2" t="str">
        <f>IFERROR(__xludf.DUMMYFUNCTION("IF(A5815&lt;&gt;"""", GOOGLETRANSLATE(A5815, ""en"", ""te""),"""")"),"")</f>
        <v/>
      </c>
      <c r="C5815" s="2"/>
      <c r="D5815" s="2" t="str">
        <f>IFERROR(__xludf.DUMMYFUNCTION("IF(C5815&lt;&gt;"""", GOOGLETRANSLATE(C5815, ""en"", ""te""),"""")"),"")</f>
        <v/>
      </c>
      <c r="E5815" s="2"/>
      <c r="F5815" s="2" t="str">
        <f>IFERROR(__xludf.DUMMYFUNCTION("IF(E5815&lt;&gt;"""", GOOGLETRANSLATE(E5815, ""en"", ""te""),"""")"),"")</f>
        <v/>
      </c>
      <c r="G5815" s="2"/>
      <c r="H5815" s="2" t="str">
        <f>IFERROR(__xludf.DUMMYFUNCTION("IF(G5815&lt;&gt;"""", GOOGLETRANSLATE(G5815, ""en"", ""te""),"""")"),"")</f>
        <v/>
      </c>
      <c r="I5815" s="3"/>
    </row>
    <row r="5816" customHeight="1" spans="1:9">
      <c r="A5816" s="2"/>
      <c r="B5816" s="2" t="str">
        <f>IFERROR(__xludf.DUMMYFUNCTION("IF(A5816&lt;&gt;"""", GOOGLETRANSLATE(A5816, ""en"", ""te""),"""")"),"")</f>
        <v/>
      </c>
      <c r="C5816" s="2"/>
      <c r="D5816" s="2" t="str">
        <f>IFERROR(__xludf.DUMMYFUNCTION("IF(C5816&lt;&gt;"""", GOOGLETRANSLATE(C5816, ""en"", ""te""),"""")"),"")</f>
        <v/>
      </c>
      <c r="E5816" s="2"/>
      <c r="F5816" s="2" t="str">
        <f>IFERROR(__xludf.DUMMYFUNCTION("IF(E5816&lt;&gt;"""", GOOGLETRANSLATE(E5816, ""en"", ""te""),"""")"),"")</f>
        <v/>
      </c>
      <c r="G5816" s="2"/>
      <c r="H5816" s="2" t="str">
        <f>IFERROR(__xludf.DUMMYFUNCTION("IF(G5816&lt;&gt;"""", GOOGLETRANSLATE(G5816, ""en"", ""te""),"""")"),"")</f>
        <v/>
      </c>
      <c r="I5816" s="3"/>
    </row>
    <row r="5817" customHeight="1" spans="1:9">
      <c r="A5817" s="2"/>
      <c r="B5817" s="2" t="str">
        <f>IFERROR(__xludf.DUMMYFUNCTION("IF(A5817&lt;&gt;"""", GOOGLETRANSLATE(A5817, ""en"", ""te""),"""")"),"")</f>
        <v/>
      </c>
      <c r="C5817" s="2"/>
      <c r="D5817" s="2" t="str">
        <f>IFERROR(__xludf.DUMMYFUNCTION("IF(C5817&lt;&gt;"""", GOOGLETRANSLATE(C5817, ""en"", ""te""),"""")"),"")</f>
        <v/>
      </c>
      <c r="E5817" s="2"/>
      <c r="F5817" s="2" t="str">
        <f>IFERROR(__xludf.DUMMYFUNCTION("IF(E5817&lt;&gt;"""", GOOGLETRANSLATE(E5817, ""en"", ""te""),"""")"),"")</f>
        <v/>
      </c>
      <c r="G5817" s="2"/>
      <c r="H5817" s="2" t="str">
        <f>IFERROR(__xludf.DUMMYFUNCTION("IF(G5817&lt;&gt;"""", GOOGLETRANSLATE(G5817, ""en"", ""te""),"""")"),"")</f>
        <v/>
      </c>
      <c r="I5817" s="3"/>
    </row>
    <row r="5818" customHeight="1" spans="1:9">
      <c r="A5818" s="2"/>
      <c r="B5818" s="2" t="str">
        <f>IFERROR(__xludf.DUMMYFUNCTION("IF(A5818&lt;&gt;"""", GOOGLETRANSLATE(A5818, ""en"", ""te""),"""")"),"")</f>
        <v/>
      </c>
      <c r="C5818" s="2"/>
      <c r="D5818" s="2" t="str">
        <f>IFERROR(__xludf.DUMMYFUNCTION("IF(C5818&lt;&gt;"""", GOOGLETRANSLATE(C5818, ""en"", ""te""),"""")"),"")</f>
        <v/>
      </c>
      <c r="E5818" s="2"/>
      <c r="F5818" s="2" t="str">
        <f>IFERROR(__xludf.DUMMYFUNCTION("IF(E5818&lt;&gt;"""", GOOGLETRANSLATE(E5818, ""en"", ""te""),"""")"),"")</f>
        <v/>
      </c>
      <c r="G5818" s="2"/>
      <c r="H5818" s="2" t="str">
        <f>IFERROR(__xludf.DUMMYFUNCTION("IF(G5818&lt;&gt;"""", GOOGLETRANSLATE(G5818, ""en"", ""te""),"""")"),"")</f>
        <v/>
      </c>
      <c r="I5818" s="3"/>
    </row>
    <row r="5819" customHeight="1" spans="1:9">
      <c r="A5819" s="2"/>
      <c r="B5819" s="2" t="str">
        <f>IFERROR(__xludf.DUMMYFUNCTION("IF(A5819&lt;&gt;"""", GOOGLETRANSLATE(A5819, ""en"", ""te""),"""")"),"")</f>
        <v/>
      </c>
      <c r="C5819" s="2"/>
      <c r="D5819" s="2" t="str">
        <f>IFERROR(__xludf.DUMMYFUNCTION("IF(C5819&lt;&gt;"""", GOOGLETRANSLATE(C5819, ""en"", ""te""),"""")"),"")</f>
        <v/>
      </c>
      <c r="E5819" s="2"/>
      <c r="F5819" s="2" t="str">
        <f>IFERROR(__xludf.DUMMYFUNCTION("IF(E5819&lt;&gt;"""", GOOGLETRANSLATE(E5819, ""en"", ""te""),"""")"),"")</f>
        <v/>
      </c>
      <c r="G5819" s="2"/>
      <c r="H5819" s="2" t="str">
        <f>IFERROR(__xludf.DUMMYFUNCTION("IF(G5819&lt;&gt;"""", GOOGLETRANSLATE(G5819, ""en"", ""te""),"""")"),"")</f>
        <v/>
      </c>
      <c r="I5819" s="3"/>
    </row>
    <row r="5820" customHeight="1" spans="1:9">
      <c r="A5820" s="2"/>
      <c r="B5820" s="2" t="str">
        <f>IFERROR(__xludf.DUMMYFUNCTION("IF(A5820&lt;&gt;"""", GOOGLETRANSLATE(A5820, ""en"", ""te""),"""")"),"")</f>
        <v/>
      </c>
      <c r="C5820" s="2"/>
      <c r="D5820" s="2" t="str">
        <f>IFERROR(__xludf.DUMMYFUNCTION("IF(C5820&lt;&gt;"""", GOOGLETRANSLATE(C5820, ""en"", ""te""),"""")"),"")</f>
        <v/>
      </c>
      <c r="E5820" s="2"/>
      <c r="F5820" s="2" t="str">
        <f>IFERROR(__xludf.DUMMYFUNCTION("IF(E5820&lt;&gt;"""", GOOGLETRANSLATE(E5820, ""en"", ""te""),"""")"),"")</f>
        <v/>
      </c>
      <c r="G5820" s="2"/>
      <c r="H5820" s="2" t="str">
        <f>IFERROR(__xludf.DUMMYFUNCTION("IF(G5820&lt;&gt;"""", GOOGLETRANSLATE(G5820, ""en"", ""te""),"""")"),"")</f>
        <v/>
      </c>
      <c r="I5820" s="3"/>
    </row>
    <row r="5821" customHeight="1" spans="1:9">
      <c r="A5821" s="2" t="s">
        <v>3678</v>
      </c>
      <c r="B5821" s="2" t="str">
        <f>IFERROR(__xludf.DUMMYFUNCTION("IF(A5821&lt;&gt;"""", GOOGLETRANSLATE(A5821, ""en"", ""te""),"""")"),"[ 'కెరీర్లో 6 వ అత్యంత బాతులు (33)']")</f>
        <v>[ 'కెరీర్లో 6 వ అత్యంత బాతులు (33)']</v>
      </c>
      <c r="C5821" s="2" t="s">
        <v>3679</v>
      </c>
      <c r="D5821" s="2" t="str">
        <f>IFERROR(__xludf.DUMMYFUNCTION("IF(C5821&lt;&gt;"""", GOOGLETRANSLATE(C5821, ""en"", ""te""),"""")"),"[ 'కెరీర్లో 6 వ అత్యంత బాతులు (33)', '34 వ అత్యధిక వికెట్లు కెరీర్లో (303)', తీసుకోవాలని 'అయిదు వికెట్లు-ఇన్-ఒక-ఇన్నింగ్స్ (19y 97d) పడుతుంది 18 పిన్న ఆటగాడు', '33 వ పిన్న ఆటగాడు పది వికెట్లు లో ఒక మ్యాచ్ (22y 299d) ',' 30 వ అత్యంత బంతుల్లో కెరీర్లో బౌల్డ"&amp;"్ (18504) ',' 19 వ కెరీర్ లో సాధించిన అత్యధిక పరుగులు (9780) ',' 32 వ బౌలర్ / బ్యాటర్ కలయికలు (11) ', '30 వ బౌలర్ / ఫీల్డర్ కలయికలు (47)', '40 వ అత్యధిక వికెట్లు తీసుకున్న బౌల్డ్ (58)', '31 అత్యధిక వికెట్లు తీసుకున్న ఆకర్షించింది (199)', '38 వ అత్యధిక విక"&amp;"ెట్లు ఒక ఫీల్డర్ చేత క్యాచ్ తీసుకున్న (117)', '18 వ అత్యంత ఒక వికెట్ కీపర్ చే కాట్ తీసుకోబడిన వికెట్ల (82) ',' 44 వ అత్యంత ప్లేయర్ ఆఫ్ ది సిరీస్ అవార్డులు (3) ']")</f>
        <v>[ 'కెరీర్లో 6 వ అత్యంత బాతులు (33)', '34 వ అత్యధిక వికెట్లు కెరీర్లో (303)', తీసుకోవాలని 'అయిదు వికెట్లు-ఇన్-ఒక-ఇన్నింగ్స్ (19y 97d) పడుతుంది 18 పిన్న ఆటగాడు', '33 వ పిన్న ఆటగాడు పది వికెట్లు లో ఒక మ్యాచ్ (22y 299d) ',' 30 వ అత్యంత బంతుల్లో కెరీర్లో బౌల్డ్ (18504) ',' 19 వ కెరీర్ లో సాధించిన అత్యధిక పరుగులు (9780) ',' 32 వ బౌలర్ / బ్యాటర్ కలయికలు (11) ', '30 వ బౌలర్ / ఫీల్డర్ కలయికలు (47)', '40 వ అత్యధిక వికెట్లు తీసుకున్న బౌల్డ్ (58)', '31 అత్యధిక వికెట్లు తీసుకున్న ఆకర్షించింది (199)', '38 వ అత్యధిక వికెట్లు ఒక ఫీల్డర్ చేత క్యాచ్ తీసుకున్న (117)', '18 వ అత్యంత ఒక వికెట్ కీపర్ చే కాట్ తీసుకోబడిన వికెట్ల (82) ',' 44 వ అత్యంత ప్లేయర్ ఆఫ్ ది సిరీస్ అవార్డులు (3) ']</v>
      </c>
      <c r="E5821" s="2" t="s">
        <v>3680</v>
      </c>
      <c r="F5821" s="2" t="str">
        <f>IFERROR(__xludf.DUMMYFUNCTION("IF(E5821&lt;&gt;"""", GOOGLETRANSLATE(E5821, ""en"", ""te""),"""")"),"[ '6 వ అత్యధిక వరుస బాతులు (3)', '36 వ చెత్త కెరీర్లో ఆర్థిక రేటు (5.72)']")</f>
        <v>[ '6 వ అత్యధిక వరుస బాతులు (3)', '36 వ చెత్త కెరీర్లో ఆర్థిక రేటు (5.72)']</v>
      </c>
      <c r="G5821" s="2"/>
      <c r="H5821" s="2" t="str">
        <f>IFERROR(__xludf.DUMMYFUNCTION("IF(G5821&lt;&gt;"""", GOOGLETRANSLATE(G5821, ""en"", ""te""),"""")"),"")</f>
        <v/>
      </c>
      <c r="I5821" s="3"/>
    </row>
    <row r="5822" customHeight="1" spans="1:9">
      <c r="A5822" s="2"/>
      <c r="B5822" s="2" t="str">
        <f>IFERROR(__xludf.DUMMYFUNCTION("IF(A5822&lt;&gt;"""", GOOGLETRANSLATE(A5822, ""en"", ""te""),"""")"),"")</f>
        <v/>
      </c>
      <c r="C5822" s="2"/>
      <c r="D5822" s="2" t="str">
        <f>IFERROR(__xludf.DUMMYFUNCTION("IF(C5822&lt;&gt;"""", GOOGLETRANSLATE(C5822, ""en"", ""te""),"""")"),"")</f>
        <v/>
      </c>
      <c r="E5822" s="2"/>
      <c r="F5822" s="2" t="str">
        <f>IFERROR(__xludf.DUMMYFUNCTION("IF(E5822&lt;&gt;"""", GOOGLETRANSLATE(E5822, ""en"", ""te""),"""")"),"")</f>
        <v/>
      </c>
      <c r="G5822" s="2"/>
      <c r="H5822" s="2" t="str">
        <f>IFERROR(__xludf.DUMMYFUNCTION("IF(G5822&lt;&gt;"""", GOOGLETRANSLATE(G5822, ""en"", ""te""),"""")"),"")</f>
        <v/>
      </c>
      <c r="I5822" s="3"/>
    </row>
    <row r="5823" customHeight="1" spans="1:9">
      <c r="A5823" s="2"/>
      <c r="B5823" s="2" t="str">
        <f>IFERROR(__xludf.DUMMYFUNCTION("IF(A5823&lt;&gt;"""", GOOGLETRANSLATE(A5823, ""en"", ""te""),"""")"),"")</f>
        <v/>
      </c>
      <c r="C5823" s="2"/>
      <c r="D5823" s="2" t="str">
        <f>IFERROR(__xludf.DUMMYFUNCTION("IF(C5823&lt;&gt;"""", GOOGLETRANSLATE(C5823, ""en"", ""te""),"""")"),"")</f>
        <v/>
      </c>
      <c r="E5823" s="2"/>
      <c r="F5823" s="2" t="str">
        <f>IFERROR(__xludf.DUMMYFUNCTION("IF(E5823&lt;&gt;"""", GOOGLETRANSLATE(E5823, ""en"", ""te""),"""")"),"")</f>
        <v/>
      </c>
      <c r="G5823" s="2"/>
      <c r="H5823" s="2" t="str">
        <f>IFERROR(__xludf.DUMMYFUNCTION("IF(G5823&lt;&gt;"""", GOOGLETRANSLATE(G5823, ""en"", ""te""),"""")"),"")</f>
        <v/>
      </c>
      <c r="I5823" s="3"/>
    </row>
    <row r="5824" customHeight="1" spans="1:9">
      <c r="A5824" s="2"/>
      <c r="B5824" s="2" t="str">
        <f>IFERROR(__xludf.DUMMYFUNCTION("IF(A5824&lt;&gt;"""", GOOGLETRANSLATE(A5824, ""en"", ""te""),"""")"),"")</f>
        <v/>
      </c>
      <c r="C5824" s="2"/>
      <c r="D5824" s="2" t="str">
        <f>IFERROR(__xludf.DUMMYFUNCTION("IF(C5824&lt;&gt;"""", GOOGLETRANSLATE(C5824, ""en"", ""te""),"""")"),"")</f>
        <v/>
      </c>
      <c r="E5824" s="2"/>
      <c r="F5824" s="2" t="str">
        <f>IFERROR(__xludf.DUMMYFUNCTION("IF(E5824&lt;&gt;"""", GOOGLETRANSLATE(E5824, ""en"", ""te""),"""")"),"")</f>
        <v/>
      </c>
      <c r="G5824" s="2"/>
      <c r="H5824" s="2" t="str">
        <f>IFERROR(__xludf.DUMMYFUNCTION("IF(G5824&lt;&gt;"""", GOOGLETRANSLATE(G5824, ""en"", ""te""),"""")"),"")</f>
        <v/>
      </c>
      <c r="I5824" s="3"/>
    </row>
    <row r="5825" customHeight="1" spans="1:9">
      <c r="A5825" s="2"/>
      <c r="B5825" s="2" t="str">
        <f>IFERROR(__xludf.DUMMYFUNCTION("IF(A5825&lt;&gt;"""", GOOGLETRANSLATE(A5825, ""en"", ""te""),"""")"),"")</f>
        <v/>
      </c>
      <c r="C5825" s="2"/>
      <c r="D5825" s="2" t="str">
        <f>IFERROR(__xludf.DUMMYFUNCTION("IF(C5825&lt;&gt;"""", GOOGLETRANSLATE(C5825, ""en"", ""te""),"""")"),"")</f>
        <v/>
      </c>
      <c r="E5825" s="2"/>
      <c r="F5825" s="2" t="str">
        <f>IFERROR(__xludf.DUMMYFUNCTION("IF(E5825&lt;&gt;"""", GOOGLETRANSLATE(E5825, ""en"", ""te""),"""")"),"")</f>
        <v/>
      </c>
      <c r="G5825" s="2"/>
      <c r="H5825" s="2" t="str">
        <f>IFERROR(__xludf.DUMMYFUNCTION("IF(G5825&lt;&gt;"""", GOOGLETRANSLATE(G5825, ""en"", ""te""),"""")"),"")</f>
        <v/>
      </c>
      <c r="I5825" s="3"/>
    </row>
    <row r="5826" customHeight="1" spans="1:9">
      <c r="A5826" s="2"/>
      <c r="B5826" s="2" t="str">
        <f>IFERROR(__xludf.DUMMYFUNCTION("IF(A5826&lt;&gt;"""", GOOGLETRANSLATE(A5826, ""en"", ""te""),"""")"),"")</f>
        <v/>
      </c>
      <c r="C5826" s="2" t="s">
        <v>2154</v>
      </c>
      <c r="D5826" s="2" t="str">
        <f>IFERROR(__xludf.DUMMYFUNCTION("IF(C5826&lt;&gt;"""", GOOGLETRANSLATE(C5826, ""en"", ""te""),"""")"),"[ '43 వ చెత్త ఇన్నింగ్స్ లో ఆర్థిక రేటు (6.40)']")</f>
        <v>[ '43 వ చెత్త ఇన్నింగ్స్ లో ఆర్థిక రేటు (6.40)']</v>
      </c>
      <c r="E5826" s="2"/>
      <c r="F5826" s="2" t="str">
        <f>IFERROR(__xludf.DUMMYFUNCTION("IF(E5826&lt;&gt;"""", GOOGLETRANSLATE(E5826, ""en"", ""te""),"""")"),"")</f>
        <v/>
      </c>
      <c r="G5826" s="2"/>
      <c r="H5826" s="2" t="str">
        <f>IFERROR(__xludf.DUMMYFUNCTION("IF(G5826&lt;&gt;"""", GOOGLETRANSLATE(G5826, ""en"", ""te""),"""")"),"")</f>
        <v/>
      </c>
      <c r="I5826" s="3"/>
    </row>
    <row r="5827" customHeight="1" spans="1:9">
      <c r="A5827" s="2" t="s">
        <v>3681</v>
      </c>
      <c r="B5827" s="2" t="str">
        <f>IFERROR(__xludf.DUMMYFUNCTION("IF(A5827&lt;&gt;"""", GOOGLETRANSLATE(A5827, ""en"", ""te""),"""")"),"[ 'ఇన్నింగ్స్ లో 4 వ అత్యధిక పరుగులు (బ్యాటింగ్ స్థానంలో ప్రకారం) (22)', '1 వ అత్యుత్తమ బౌలింగ్ ఇన్నింగ్స్ లో విశ్లేషించడం (1/0)', ​​'3 వ వరుస నాలుగు వికెట్లు-ఇన్-ఒక-ఇన్నింగ్స్ (2)' ]")</f>
        <v>[ 'ఇన్నింగ్స్ లో 4 వ అత్యధిక పరుగులు (బ్యాటింగ్ స్థానంలో ప్రకారం) (22)', '1 వ అత్యుత్తమ బౌలింగ్ ఇన్నింగ్స్ లో విశ్లేషించడం (1/0)', ​​'3 వ వరుస నాలుగు వికెట్లు-ఇన్-ఒక-ఇన్నింగ్స్ (2)' ]</v>
      </c>
      <c r="C5827" s="2"/>
      <c r="D5827" s="2" t="str">
        <f>IFERROR(__xludf.DUMMYFUNCTION("IF(C5827&lt;&gt;"""", GOOGLETRANSLATE(C5827, ""en"", ""te""),"""")"),"")</f>
        <v/>
      </c>
      <c r="E5827" s="2" t="s">
        <v>3682</v>
      </c>
      <c r="F5827" s="2" t="str">
        <f>IFERROR(__xludf.DUMMYFUNCTION("IF(E5827&lt;&gt;"""", GOOGLETRANSLATE(E5827, ""en"", ""te""),"""")"),"[ 'ఇన్నింగ్స్ లో 4 వ అత్యధిక పరుగులు (బ్యాటింగ్ స్థానంలో ప్రకారం) (22)', '1 వ అత్యుత్తమ ఇన్నింగ్స్ లో బౌలింగ్ విశ్లేషణలు (1/0)', ​​'45 వ ఒకే మైదానంలో అత్యధిక వికెట్లు (11)', '11 వ బెస్ట్ ఫిగర్స్ ఒక ఇన్నింగ్స్ లో ఉన్నప్పుడు పరాజయం వైపు (4) ',' 36 వ ఉత్తమ"&amp;" కెరీర్ బౌలింగ్ సరాసరి (19.39) ',' 36 వ ఉత్తమ కెరీర్ సమ్మె రేటు (34.9) ',' ఇన్నింగ్స్ లో 45 వ ఉత్తమ ఆర్థిక రేటు (0.50) ',' 15 వ అరంగేట్రంలోనే ఇన్నింగ్స్ లోని బెస్ట్ ఫిగర్స్ (3) ',' 38 వ అత్యంత నాలుగు వికెట్లు-ఇన్-ఒక-ఇన్నింగ్స్ కెరీర్లో (3) ',' 3 వ వరుస నా"&amp;"లుగు వికెట్లు-ఇన్-ఒక-ఇన్నింగ్స్ (2) ', '34 వ అత్యధిక పరుగులు ఇన్నింగ్స్ (72) లో సాధించిన', '24 వ అత్యధిక వికెట్లు క్యాచ్ మరియు బౌల్డ్ తీసుకోకూడదు (6)', '43 వ అత్యధిక వికెట్లు ఒక ఫీల్డర్ చేత క్యాచ్ తీసుకున్న (32)', '16 వ అత్యధిక వికెట్లు తీసుకున్న స్టంప్ ("&amp;"11)' ]")</f>
        <v>[ 'ఇన్నింగ్స్ లో 4 వ అత్యధిక పరుగులు (బ్యాటింగ్ స్థానంలో ప్రకారం) (22)', '1 వ అత్యుత్తమ ఇన్నింగ్స్ లో బౌలింగ్ విశ్లేషణలు (1/0)', ​​'45 వ ఒకే మైదానంలో అత్యధిక వికెట్లు (11)', '11 వ బెస్ట్ ఫిగర్స్ ఒక ఇన్నింగ్స్ లో ఉన్నప్పుడు పరాజయం వైపు (4) ',' 36 వ ఉత్తమ కెరీర్ బౌలింగ్ సరాసరి (19.39) ',' 36 వ ఉత్తమ కెరీర్ సమ్మె రేటు (34.9) ',' ఇన్నింగ్స్ లో 45 వ ఉత్తమ ఆర్థిక రేటు (0.50) ',' 15 వ అరంగేట్రంలోనే ఇన్నింగ్స్ లోని బెస్ట్ ఫిగర్స్ (3) ',' 38 వ అత్యంత నాలుగు వికెట్లు-ఇన్-ఒక-ఇన్నింగ్స్ కెరీర్లో (3) ',' 3 వ వరుస నాలుగు వికెట్లు-ఇన్-ఒక-ఇన్నింగ్స్ (2) ', '34 వ అత్యధిక పరుగులు ఇన్నింగ్స్ (72) లో సాధించిన', '24 వ అత్యధిక వికెట్లు క్యాచ్ మరియు బౌల్డ్ తీసుకోకూడదు (6)', '43 వ అత్యధిక వికెట్లు ఒక ఫీల్డర్ చేత క్యాచ్ తీసుకున్న (32)', '16 వ అత్యధిక వికెట్లు తీసుకున్న స్టంప్ (11)' ]</v>
      </c>
      <c r="G5827" s="2" t="s">
        <v>3683</v>
      </c>
      <c r="H5827" s="2" t="str">
        <f>IFERROR(__xludf.DUMMYFUNCTION("IF(G5827&lt;&gt;"""", GOOGLETRANSLATE(G5827, ""en"", ""te""),"""")"),"[ '43 వ ఉత్తమ కెరీర్ ఆర్థిక రేటు (5.73)', 'సగటు (26.27) బౌలింగ్ 16 చెత్త జీవితం' '13 వ చెత్త కెరీర్లో సమ్మె రేటు (27.4)', '44 వ అత్యధిక వికెట్లు తీసుకున్న బౌల్డ్ (10)', '20 వ అత్యధిక వికెట్లు తీసుకున్న క్యాచ్ మరియు బౌల్డ్ (3) ',' 32 వ అత్యధిక వికెట్లు తీస"&amp;"ుకున్న స్టంప్ (6) ']")</f>
        <v>[ '43 వ ఉత్తమ కెరీర్ ఆర్థిక రేటు (5.73)', 'సగటు (26.27) బౌలింగ్ 16 చెత్త జీవితం' '13 వ చెత్త కెరీర్లో సమ్మె రేటు (27.4)', '44 వ అత్యధిక వికెట్లు తీసుకున్న బౌల్డ్ (10)', '20 వ అత్యధిక వికెట్లు తీసుకున్న క్యాచ్ మరియు బౌల్డ్ (3) ',' 32 వ అత్యధిక వికెట్లు తీసుకున్న స్టంప్ (6) ']</v>
      </c>
      <c r="I5827" s="3"/>
    </row>
    <row r="5828" customHeight="1" spans="1:9">
      <c r="A5828" s="2"/>
      <c r="B5828" s="2" t="str">
        <f>IFERROR(__xludf.DUMMYFUNCTION("IF(A5828&lt;&gt;"""", GOOGLETRANSLATE(A5828, ""en"", ""te""),"""")"),"")</f>
        <v/>
      </c>
      <c r="C5828" s="2"/>
      <c r="D5828" s="2" t="str">
        <f>IFERROR(__xludf.DUMMYFUNCTION("IF(C5828&lt;&gt;"""", GOOGLETRANSLATE(C5828, ""en"", ""te""),"""")"),"")</f>
        <v/>
      </c>
      <c r="E5828" s="2"/>
      <c r="F5828" s="2" t="str">
        <f>IFERROR(__xludf.DUMMYFUNCTION("IF(E5828&lt;&gt;"""", GOOGLETRANSLATE(E5828, ""en"", ""te""),"""")"),"")</f>
        <v/>
      </c>
      <c r="G5828" s="2"/>
      <c r="H5828" s="2" t="str">
        <f>IFERROR(__xludf.DUMMYFUNCTION("IF(G5828&lt;&gt;"""", GOOGLETRANSLATE(G5828, ""en"", ""te""),"""")"),"")</f>
        <v/>
      </c>
      <c r="I5828" s="3"/>
    </row>
    <row r="5829" customHeight="1" spans="1:9">
      <c r="A5829" s="2"/>
      <c r="B5829" s="2" t="str">
        <f>IFERROR(__xludf.DUMMYFUNCTION("IF(A5829&lt;&gt;"""", GOOGLETRANSLATE(A5829, ""en"", ""te""),"""")"),"")</f>
        <v/>
      </c>
      <c r="C5829" s="2"/>
      <c r="D5829" s="2" t="str">
        <f>IFERROR(__xludf.DUMMYFUNCTION("IF(C5829&lt;&gt;"""", GOOGLETRANSLATE(C5829, ""en"", ""te""),"""")"),"")</f>
        <v/>
      </c>
      <c r="E5829" s="2"/>
      <c r="F5829" s="2" t="str">
        <f>IFERROR(__xludf.DUMMYFUNCTION("IF(E5829&lt;&gt;"""", GOOGLETRANSLATE(E5829, ""en"", ""te""),"""")"),"")</f>
        <v/>
      </c>
      <c r="G5829" s="2"/>
      <c r="H5829" s="2" t="str">
        <f>IFERROR(__xludf.DUMMYFUNCTION("IF(G5829&lt;&gt;"""", GOOGLETRANSLATE(G5829, ""en"", ""te""),"""")"),"")</f>
        <v/>
      </c>
      <c r="I5829" s="3"/>
    </row>
    <row r="5830" customHeight="1" spans="1:9">
      <c r="A5830" s="2"/>
      <c r="B5830" s="2" t="str">
        <f>IFERROR(__xludf.DUMMYFUNCTION("IF(A5830&lt;&gt;"""", GOOGLETRANSLATE(A5830, ""en"", ""te""),"""")"),"")</f>
        <v/>
      </c>
      <c r="C5830" s="2"/>
      <c r="D5830" s="2" t="str">
        <f>IFERROR(__xludf.DUMMYFUNCTION("IF(C5830&lt;&gt;"""", GOOGLETRANSLATE(C5830, ""en"", ""te""),"""")"),"")</f>
        <v/>
      </c>
      <c r="E5830" s="2"/>
      <c r="F5830" s="2" t="str">
        <f>IFERROR(__xludf.DUMMYFUNCTION("IF(E5830&lt;&gt;"""", GOOGLETRANSLATE(E5830, ""en"", ""te""),"""")"),"")</f>
        <v/>
      </c>
      <c r="G5830" s="2"/>
      <c r="H5830" s="2" t="str">
        <f>IFERROR(__xludf.DUMMYFUNCTION("IF(G5830&lt;&gt;"""", GOOGLETRANSLATE(G5830, ""en"", ""te""),"""")"),"")</f>
        <v/>
      </c>
      <c r="I5830" s="3"/>
    </row>
    <row r="5831" customHeight="1" spans="1:9">
      <c r="A5831" s="2"/>
      <c r="B5831" s="2" t="str">
        <f>IFERROR(__xludf.DUMMYFUNCTION("IF(A5831&lt;&gt;"""", GOOGLETRANSLATE(A5831, ""en"", ""te""),"""")"),"")</f>
        <v/>
      </c>
      <c r="C5831" s="2"/>
      <c r="D5831" s="2" t="str">
        <f>IFERROR(__xludf.DUMMYFUNCTION("IF(C5831&lt;&gt;"""", GOOGLETRANSLATE(C5831, ""en"", ""te""),"""")"),"")</f>
        <v/>
      </c>
      <c r="E5831" s="2"/>
      <c r="F5831" s="2" t="str">
        <f>IFERROR(__xludf.DUMMYFUNCTION("IF(E5831&lt;&gt;"""", GOOGLETRANSLATE(E5831, ""en"", ""te""),"""")"),"")</f>
        <v/>
      </c>
      <c r="G5831" s="2"/>
      <c r="H5831" s="2" t="str">
        <f>IFERROR(__xludf.DUMMYFUNCTION("IF(G5831&lt;&gt;"""", GOOGLETRANSLATE(G5831, ""en"", ""te""),"""")"),"")</f>
        <v/>
      </c>
      <c r="I5831" s="3"/>
    </row>
    <row r="5832" customHeight="1" spans="1:9">
      <c r="A5832" s="2"/>
      <c r="B5832" s="2" t="str">
        <f>IFERROR(__xludf.DUMMYFUNCTION("IF(A5832&lt;&gt;"""", GOOGLETRANSLATE(A5832, ""en"", ""te""),"""")"),"")</f>
        <v/>
      </c>
      <c r="C5832" s="2"/>
      <c r="D5832" s="2" t="str">
        <f>IFERROR(__xludf.DUMMYFUNCTION("IF(C5832&lt;&gt;"""", GOOGLETRANSLATE(C5832, ""en"", ""te""),"""")"),"")</f>
        <v/>
      </c>
      <c r="E5832" s="2"/>
      <c r="F5832" s="2" t="str">
        <f>IFERROR(__xludf.DUMMYFUNCTION("IF(E5832&lt;&gt;"""", GOOGLETRANSLATE(E5832, ""en"", ""te""),"""")"),"")</f>
        <v/>
      </c>
      <c r="G5832" s="2"/>
      <c r="H5832" s="2" t="str">
        <f>IFERROR(__xludf.DUMMYFUNCTION("IF(G5832&lt;&gt;"""", GOOGLETRANSLATE(G5832, ""en"", ""te""),"""")"),"")</f>
        <v/>
      </c>
      <c r="I5832" s="3"/>
    </row>
    <row r="5833" customHeight="1" spans="1:9">
      <c r="A5833" s="2"/>
      <c r="B5833" s="2" t="str">
        <f>IFERROR(__xludf.DUMMYFUNCTION("IF(A5833&lt;&gt;"""", GOOGLETRANSLATE(A5833, ""en"", ""te""),"""")"),"")</f>
        <v/>
      </c>
      <c r="C5833" s="2"/>
      <c r="D5833" s="2" t="str">
        <f>IFERROR(__xludf.DUMMYFUNCTION("IF(C5833&lt;&gt;"""", GOOGLETRANSLATE(C5833, ""en"", ""te""),"""")"),"")</f>
        <v/>
      </c>
      <c r="E5833" s="2"/>
      <c r="F5833" s="2" t="str">
        <f>IFERROR(__xludf.DUMMYFUNCTION("IF(E5833&lt;&gt;"""", GOOGLETRANSLATE(E5833, ""en"", ""te""),"""")"),"")</f>
        <v/>
      </c>
      <c r="G5833" s="2"/>
      <c r="H5833" s="2" t="str">
        <f>IFERROR(__xludf.DUMMYFUNCTION("IF(G5833&lt;&gt;"""", GOOGLETRANSLATE(G5833, ""en"", ""te""),"""")"),"")</f>
        <v/>
      </c>
      <c r="I5833" s="3"/>
    </row>
    <row r="5834" customHeight="1" spans="1:9">
      <c r="A5834" s="2"/>
      <c r="B5834" s="2" t="str">
        <f>IFERROR(__xludf.DUMMYFUNCTION("IF(A5834&lt;&gt;"""", GOOGLETRANSLATE(A5834, ""en"", ""te""),"""")"),"")</f>
        <v/>
      </c>
      <c r="C5834" s="2"/>
      <c r="D5834" s="2" t="str">
        <f>IFERROR(__xludf.DUMMYFUNCTION("IF(C5834&lt;&gt;"""", GOOGLETRANSLATE(C5834, ""en"", ""te""),"""")"),"")</f>
        <v/>
      </c>
      <c r="E5834" s="2"/>
      <c r="F5834" s="2" t="str">
        <f>IFERROR(__xludf.DUMMYFUNCTION("IF(E5834&lt;&gt;"""", GOOGLETRANSLATE(E5834, ""en"", ""te""),"""")"),"")</f>
        <v/>
      </c>
      <c r="G5834" s="2"/>
      <c r="H5834" s="2" t="str">
        <f>IFERROR(__xludf.DUMMYFUNCTION("IF(G5834&lt;&gt;"""", GOOGLETRANSLATE(G5834, ""en"", ""te""),"""")"),"")</f>
        <v/>
      </c>
      <c r="I5834" s="3"/>
    </row>
    <row r="5835" customHeight="1" spans="1:9">
      <c r="A5835" s="2"/>
      <c r="B5835" s="2" t="str">
        <f>IFERROR(__xludf.DUMMYFUNCTION("IF(A5835&lt;&gt;"""", GOOGLETRANSLATE(A5835, ""en"", ""te""),"""")"),"")</f>
        <v/>
      </c>
      <c r="C5835" s="2"/>
      <c r="D5835" s="2" t="str">
        <f>IFERROR(__xludf.DUMMYFUNCTION("IF(C5835&lt;&gt;"""", GOOGLETRANSLATE(C5835, ""en"", ""te""),"""")"),"")</f>
        <v/>
      </c>
      <c r="E5835" s="2"/>
      <c r="F5835" s="2" t="str">
        <f>IFERROR(__xludf.DUMMYFUNCTION("IF(E5835&lt;&gt;"""", GOOGLETRANSLATE(E5835, ""en"", ""te""),"""")"),"")</f>
        <v/>
      </c>
      <c r="G5835" s="2"/>
      <c r="H5835" s="2" t="str">
        <f>IFERROR(__xludf.DUMMYFUNCTION("IF(G5835&lt;&gt;"""", GOOGLETRANSLATE(G5835, ""en"", ""te""),"""")"),"")</f>
        <v/>
      </c>
      <c r="I5835" s="3"/>
    </row>
    <row r="5836" customHeight="1" spans="1:9">
      <c r="A5836" s="2"/>
      <c r="B5836" s="2" t="str">
        <f>IFERROR(__xludf.DUMMYFUNCTION("IF(A5836&lt;&gt;"""", GOOGLETRANSLATE(A5836, ""en"", ""te""),"""")"),"")</f>
        <v/>
      </c>
      <c r="C5836" s="2"/>
      <c r="D5836" s="2" t="str">
        <f>IFERROR(__xludf.DUMMYFUNCTION("IF(C5836&lt;&gt;"""", GOOGLETRANSLATE(C5836, ""en"", ""te""),"""")"),"")</f>
        <v/>
      </c>
      <c r="E5836" s="2"/>
      <c r="F5836" s="2" t="str">
        <f>IFERROR(__xludf.DUMMYFUNCTION("IF(E5836&lt;&gt;"""", GOOGLETRANSLATE(E5836, ""en"", ""te""),"""")"),"")</f>
        <v/>
      </c>
      <c r="G5836" s="2"/>
      <c r="H5836" s="2" t="str">
        <f>IFERROR(__xludf.DUMMYFUNCTION("IF(G5836&lt;&gt;"""", GOOGLETRANSLATE(G5836, ""en"", ""te""),"""")"),"")</f>
        <v/>
      </c>
      <c r="I5836" s="3"/>
    </row>
    <row r="5837" customHeight="1" spans="1:9">
      <c r="A5837" s="2"/>
      <c r="B5837" s="2" t="str">
        <f>IFERROR(__xludf.DUMMYFUNCTION("IF(A5837&lt;&gt;"""", GOOGLETRANSLATE(A5837, ""en"", ""te""),"""")"),"")</f>
        <v/>
      </c>
      <c r="C5837" s="2"/>
      <c r="D5837" s="2" t="str">
        <f>IFERROR(__xludf.DUMMYFUNCTION("IF(C5837&lt;&gt;"""", GOOGLETRANSLATE(C5837, ""en"", ""te""),"""")"),"")</f>
        <v/>
      </c>
      <c r="E5837" s="2" t="s">
        <v>3684</v>
      </c>
      <c r="F5837" s="2" t="str">
        <f>IFERROR(__xludf.DUMMYFUNCTION("IF(E5837&lt;&gt;"""", GOOGLETRANSLATE(E5837, ""en"", ""te""),"""")"),"[ '38 వ లాంగెస్ట్ నివసించారు క్రీడాకారులు (62y 288d)']")</f>
        <v>[ '38 వ లాంగెస్ట్ నివసించారు క్రీడాకారులు (62y 288d)']</v>
      </c>
      <c r="G5837" s="2"/>
      <c r="H5837" s="2" t="str">
        <f>IFERROR(__xludf.DUMMYFUNCTION("IF(G5837&lt;&gt;"""", GOOGLETRANSLATE(G5837, ""en"", ""te""),"""")"),"")</f>
        <v/>
      </c>
      <c r="I5837" s="3"/>
    </row>
    <row r="5838" customHeight="1" spans="1:9">
      <c r="A5838" s="2"/>
      <c r="B5838" s="2" t="str">
        <f>IFERROR(__xludf.DUMMYFUNCTION("IF(A5838&lt;&gt;"""", GOOGLETRANSLATE(A5838, ""en"", ""te""),"""")"),"")</f>
        <v/>
      </c>
      <c r="C5838" s="2"/>
      <c r="D5838" s="2" t="str">
        <f>IFERROR(__xludf.DUMMYFUNCTION("IF(C5838&lt;&gt;"""", GOOGLETRANSLATE(C5838, ""en"", ""te""),"""")"),"")</f>
        <v/>
      </c>
      <c r="E5838" s="2"/>
      <c r="F5838" s="2" t="str">
        <f>IFERROR(__xludf.DUMMYFUNCTION("IF(E5838&lt;&gt;"""", GOOGLETRANSLATE(E5838, ""en"", ""te""),"""")"),"")</f>
        <v/>
      </c>
      <c r="G5838" s="2"/>
      <c r="H5838" s="2" t="str">
        <f>IFERROR(__xludf.DUMMYFUNCTION("IF(G5838&lt;&gt;"""", GOOGLETRANSLATE(G5838, ""en"", ""te""),"""")"),"")</f>
        <v/>
      </c>
      <c r="I5838" s="3"/>
    </row>
    <row r="5839" customHeight="1" spans="1:9">
      <c r="A5839" s="2"/>
      <c r="B5839" s="2" t="str">
        <f>IFERROR(__xludf.DUMMYFUNCTION("IF(A5839&lt;&gt;"""", GOOGLETRANSLATE(A5839, ""en"", ""te""),"""")"),"")</f>
        <v/>
      </c>
      <c r="C5839" s="2"/>
      <c r="D5839" s="2" t="str">
        <f>IFERROR(__xludf.DUMMYFUNCTION("IF(C5839&lt;&gt;"""", GOOGLETRANSLATE(C5839, ""en"", ""te""),"""")"),"")</f>
        <v/>
      </c>
      <c r="E5839" s="2"/>
      <c r="F5839" s="2" t="str">
        <f>IFERROR(__xludf.DUMMYFUNCTION("IF(E5839&lt;&gt;"""", GOOGLETRANSLATE(E5839, ""en"", ""te""),"""")"),"")</f>
        <v/>
      </c>
      <c r="G5839" s="2"/>
      <c r="H5839" s="2" t="str">
        <f>IFERROR(__xludf.DUMMYFUNCTION("IF(G5839&lt;&gt;"""", GOOGLETRANSLATE(G5839, ""en"", ""te""),"""")"),"")</f>
        <v/>
      </c>
      <c r="I5839" s="3"/>
    </row>
    <row r="5840" customHeight="1" spans="1:9">
      <c r="A5840" s="2"/>
      <c r="B5840" s="2" t="str">
        <f>IFERROR(__xludf.DUMMYFUNCTION("IF(A5840&lt;&gt;"""", GOOGLETRANSLATE(A5840, ""en"", ""te""),"""")"),"")</f>
        <v/>
      </c>
      <c r="C5840" s="2"/>
      <c r="D5840" s="2" t="str">
        <f>IFERROR(__xludf.DUMMYFUNCTION("IF(C5840&lt;&gt;"""", GOOGLETRANSLATE(C5840, ""en"", ""te""),"""")"),"")</f>
        <v/>
      </c>
      <c r="E5840" s="2"/>
      <c r="F5840" s="2" t="str">
        <f>IFERROR(__xludf.DUMMYFUNCTION("IF(E5840&lt;&gt;"""", GOOGLETRANSLATE(E5840, ""en"", ""te""),"""")"),"")</f>
        <v/>
      </c>
      <c r="G5840" s="2"/>
      <c r="H5840" s="2" t="str">
        <f>IFERROR(__xludf.DUMMYFUNCTION("IF(G5840&lt;&gt;"""", GOOGLETRANSLATE(G5840, ""en"", ""te""),"""")"),"")</f>
        <v/>
      </c>
      <c r="I5840" s="3"/>
    </row>
    <row r="5841" customHeight="1" spans="1:9">
      <c r="A5841" s="2"/>
      <c r="B5841" s="2" t="str">
        <f>IFERROR(__xludf.DUMMYFUNCTION("IF(A5841&lt;&gt;"""", GOOGLETRANSLATE(A5841, ""en"", ""te""),"""")"),"")</f>
        <v/>
      </c>
      <c r="C5841" s="2"/>
      <c r="D5841" s="2" t="str">
        <f>IFERROR(__xludf.DUMMYFUNCTION("IF(C5841&lt;&gt;"""", GOOGLETRANSLATE(C5841, ""en"", ""te""),"""")"),"")</f>
        <v/>
      </c>
      <c r="E5841" s="2"/>
      <c r="F5841" s="2" t="str">
        <f>IFERROR(__xludf.DUMMYFUNCTION("IF(E5841&lt;&gt;"""", GOOGLETRANSLATE(E5841, ""en"", ""te""),"""")"),"")</f>
        <v/>
      </c>
      <c r="G5841" s="2"/>
      <c r="H5841" s="2" t="str">
        <f>IFERROR(__xludf.DUMMYFUNCTION("IF(G5841&lt;&gt;"""", GOOGLETRANSLATE(G5841, ""en"", ""te""),"""")"),"")</f>
        <v/>
      </c>
      <c r="I5841" s="3"/>
    </row>
    <row r="5842" customHeight="1" spans="1:9">
      <c r="A5842" s="2"/>
      <c r="B5842" s="2" t="str">
        <f>IFERROR(__xludf.DUMMYFUNCTION("IF(A5842&lt;&gt;"""", GOOGLETRANSLATE(A5842, ""en"", ""te""),"""")"),"")</f>
        <v/>
      </c>
      <c r="C5842" s="2"/>
      <c r="D5842" s="2" t="str">
        <f>IFERROR(__xludf.DUMMYFUNCTION("IF(C5842&lt;&gt;"""", GOOGLETRANSLATE(C5842, ""en"", ""te""),"""")"),"")</f>
        <v/>
      </c>
      <c r="E5842" s="2"/>
      <c r="F5842" s="2" t="str">
        <f>IFERROR(__xludf.DUMMYFUNCTION("IF(E5842&lt;&gt;"""", GOOGLETRANSLATE(E5842, ""en"", ""te""),"""")"),"")</f>
        <v/>
      </c>
      <c r="G5842" s="2"/>
      <c r="H5842" s="2" t="str">
        <f>IFERROR(__xludf.DUMMYFUNCTION("IF(G5842&lt;&gt;"""", GOOGLETRANSLATE(G5842, ""en"", ""te""),"""")"),"")</f>
        <v/>
      </c>
      <c r="I5842" s="3"/>
    </row>
    <row r="5843" customHeight="1" spans="1:9">
      <c r="A5843" s="2"/>
      <c r="B5843" s="2" t="str">
        <f>IFERROR(__xludf.DUMMYFUNCTION("IF(A5843&lt;&gt;"""", GOOGLETRANSLATE(A5843, ""en"", ""te""),"""")"),"")</f>
        <v/>
      </c>
      <c r="C5843" s="2"/>
      <c r="D5843" s="2" t="str">
        <f>IFERROR(__xludf.DUMMYFUNCTION("IF(C5843&lt;&gt;"""", GOOGLETRANSLATE(C5843, ""en"", ""te""),"""")"),"")</f>
        <v/>
      </c>
      <c r="E5843" s="2"/>
      <c r="F5843" s="2" t="str">
        <f>IFERROR(__xludf.DUMMYFUNCTION("IF(E5843&lt;&gt;"""", GOOGLETRANSLATE(E5843, ""en"", ""te""),"""")"),"")</f>
        <v/>
      </c>
      <c r="G5843" s="2"/>
      <c r="H5843" s="2" t="str">
        <f>IFERROR(__xludf.DUMMYFUNCTION("IF(G5843&lt;&gt;"""", GOOGLETRANSLATE(G5843, ""en"", ""te""),"""")"),"")</f>
        <v/>
      </c>
      <c r="I5843" s="3"/>
    </row>
    <row r="5844" customHeight="1" spans="1:9">
      <c r="A5844" s="2"/>
      <c r="B5844" s="2" t="str">
        <f>IFERROR(__xludf.DUMMYFUNCTION("IF(A5844&lt;&gt;"""", GOOGLETRANSLATE(A5844, ""en"", ""te""),"""")"),"")</f>
        <v/>
      </c>
      <c r="C5844" s="2"/>
      <c r="D5844" s="2" t="str">
        <f>IFERROR(__xludf.DUMMYFUNCTION("IF(C5844&lt;&gt;"""", GOOGLETRANSLATE(C5844, ""en"", ""te""),"""")"),"")</f>
        <v/>
      </c>
      <c r="E5844" s="2"/>
      <c r="F5844" s="2" t="str">
        <f>IFERROR(__xludf.DUMMYFUNCTION("IF(E5844&lt;&gt;"""", GOOGLETRANSLATE(E5844, ""en"", ""te""),"""")"),"")</f>
        <v/>
      </c>
      <c r="G5844" s="2"/>
      <c r="H5844" s="2" t="str">
        <f>IFERROR(__xludf.DUMMYFUNCTION("IF(G5844&lt;&gt;"""", GOOGLETRANSLATE(G5844, ""en"", ""te""),"""")"),"")</f>
        <v/>
      </c>
      <c r="I5844" s="3"/>
    </row>
    <row r="5845" customHeight="1" spans="1:9">
      <c r="A5845" s="2"/>
      <c r="B5845" s="2" t="str">
        <f>IFERROR(__xludf.DUMMYFUNCTION("IF(A5845&lt;&gt;"""", GOOGLETRANSLATE(A5845, ""en"", ""te""),"""")"),"")</f>
        <v/>
      </c>
      <c r="C5845" s="2"/>
      <c r="D5845" s="2" t="str">
        <f>IFERROR(__xludf.DUMMYFUNCTION("IF(C5845&lt;&gt;"""", GOOGLETRANSLATE(C5845, ""en"", ""te""),"""")"),"")</f>
        <v/>
      </c>
      <c r="E5845" s="2"/>
      <c r="F5845" s="2" t="str">
        <f>IFERROR(__xludf.DUMMYFUNCTION("IF(E5845&lt;&gt;"""", GOOGLETRANSLATE(E5845, ""en"", ""te""),"""")"),"")</f>
        <v/>
      </c>
      <c r="G5845" s="2"/>
      <c r="H5845" s="2" t="str">
        <f>IFERROR(__xludf.DUMMYFUNCTION("IF(G5845&lt;&gt;"""", GOOGLETRANSLATE(G5845, ""en"", ""te""),"""")"),"")</f>
        <v/>
      </c>
      <c r="I5845" s="3"/>
    </row>
    <row r="5846" customHeight="1" spans="1:9">
      <c r="A5846" s="2"/>
      <c r="B5846" s="2" t="str">
        <f>IFERROR(__xludf.DUMMYFUNCTION("IF(A5846&lt;&gt;"""", GOOGLETRANSLATE(A5846, ""en"", ""te""),"""")"),"")</f>
        <v/>
      </c>
      <c r="C5846" s="2"/>
      <c r="D5846" s="2" t="str">
        <f>IFERROR(__xludf.DUMMYFUNCTION("IF(C5846&lt;&gt;"""", GOOGLETRANSLATE(C5846, ""en"", ""te""),"""")"),"")</f>
        <v/>
      </c>
      <c r="E5846" s="2"/>
      <c r="F5846" s="2" t="str">
        <f>IFERROR(__xludf.DUMMYFUNCTION("IF(E5846&lt;&gt;"""", GOOGLETRANSLATE(E5846, ""en"", ""te""),"""")"),"")</f>
        <v/>
      </c>
      <c r="G5846" s="2"/>
      <c r="H5846" s="2" t="str">
        <f>IFERROR(__xludf.DUMMYFUNCTION("IF(G5846&lt;&gt;"""", GOOGLETRANSLATE(G5846, ""en"", ""te""),"""")"),"")</f>
        <v/>
      </c>
      <c r="I5846" s="3"/>
    </row>
    <row r="5847" customHeight="1" spans="1:9">
      <c r="A5847" s="2"/>
      <c r="B5847" s="2" t="str">
        <f>IFERROR(__xludf.DUMMYFUNCTION("IF(A5847&lt;&gt;"""", GOOGLETRANSLATE(A5847, ""en"", ""te""),"""")"),"")</f>
        <v/>
      </c>
      <c r="C5847" s="2"/>
      <c r="D5847" s="2" t="str">
        <f>IFERROR(__xludf.DUMMYFUNCTION("IF(C5847&lt;&gt;"""", GOOGLETRANSLATE(C5847, ""en"", ""te""),"""")"),"")</f>
        <v/>
      </c>
      <c r="E5847" s="2"/>
      <c r="F5847" s="2" t="str">
        <f>IFERROR(__xludf.DUMMYFUNCTION("IF(E5847&lt;&gt;"""", GOOGLETRANSLATE(E5847, ""en"", ""te""),"""")"),"")</f>
        <v/>
      </c>
      <c r="G5847" s="2"/>
      <c r="H5847" s="2" t="str">
        <f>IFERROR(__xludf.DUMMYFUNCTION("IF(G5847&lt;&gt;"""", GOOGLETRANSLATE(G5847, ""en"", ""te""),"""")"),"")</f>
        <v/>
      </c>
      <c r="I5847" s="3"/>
    </row>
    <row r="5848" customHeight="1" spans="1:9">
      <c r="A5848" s="2"/>
      <c r="B5848" s="2" t="str">
        <f>IFERROR(__xludf.DUMMYFUNCTION("IF(A5848&lt;&gt;"""", GOOGLETRANSLATE(A5848, ""en"", ""te""),"""")"),"")</f>
        <v/>
      </c>
      <c r="C5848" s="2"/>
      <c r="D5848" s="2" t="str">
        <f>IFERROR(__xludf.DUMMYFUNCTION("IF(C5848&lt;&gt;"""", GOOGLETRANSLATE(C5848, ""en"", ""te""),"""")"),"")</f>
        <v/>
      </c>
      <c r="E5848" s="2"/>
      <c r="F5848" s="2" t="str">
        <f>IFERROR(__xludf.DUMMYFUNCTION("IF(E5848&lt;&gt;"""", GOOGLETRANSLATE(E5848, ""en"", ""te""),"""")"),"")</f>
        <v/>
      </c>
      <c r="G5848" s="2"/>
      <c r="H5848" s="2" t="str">
        <f>IFERROR(__xludf.DUMMYFUNCTION("IF(G5848&lt;&gt;"""", GOOGLETRANSLATE(G5848, ""en"", ""te""),"""")"),"")</f>
        <v/>
      </c>
      <c r="I5848" s="3"/>
    </row>
    <row r="5849" customHeight="1" spans="1:9">
      <c r="A5849" s="2"/>
      <c r="B5849" s="2" t="str">
        <f>IFERROR(__xludf.DUMMYFUNCTION("IF(A5849&lt;&gt;"""", GOOGLETRANSLATE(A5849, ""en"", ""te""),"""")"),"")</f>
        <v/>
      </c>
      <c r="C5849" s="2"/>
      <c r="D5849" s="2" t="str">
        <f>IFERROR(__xludf.DUMMYFUNCTION("IF(C5849&lt;&gt;"""", GOOGLETRANSLATE(C5849, ""en"", ""te""),"""")"),"")</f>
        <v/>
      </c>
      <c r="E5849" s="2"/>
      <c r="F5849" s="2" t="str">
        <f>IFERROR(__xludf.DUMMYFUNCTION("IF(E5849&lt;&gt;"""", GOOGLETRANSLATE(E5849, ""en"", ""te""),"""")"),"")</f>
        <v/>
      </c>
      <c r="G5849" s="2"/>
      <c r="H5849" s="2" t="str">
        <f>IFERROR(__xludf.DUMMYFUNCTION("IF(G5849&lt;&gt;"""", GOOGLETRANSLATE(G5849, ""en"", ""te""),"""")"),"")</f>
        <v/>
      </c>
      <c r="I5849" s="3"/>
    </row>
    <row r="5850" customHeight="1" spans="1:9">
      <c r="A5850" s="2"/>
      <c r="B5850" s="2" t="str">
        <f>IFERROR(__xludf.DUMMYFUNCTION("IF(A5850&lt;&gt;"""", GOOGLETRANSLATE(A5850, ""en"", ""te""),"""")"),"")</f>
        <v/>
      </c>
      <c r="C5850" s="2"/>
      <c r="D5850" s="2" t="str">
        <f>IFERROR(__xludf.DUMMYFUNCTION("IF(C5850&lt;&gt;"""", GOOGLETRANSLATE(C5850, ""en"", ""te""),"""")"),"")</f>
        <v/>
      </c>
      <c r="E5850" s="2"/>
      <c r="F5850" s="2" t="str">
        <f>IFERROR(__xludf.DUMMYFUNCTION("IF(E5850&lt;&gt;"""", GOOGLETRANSLATE(E5850, ""en"", ""te""),"""")"),"")</f>
        <v/>
      </c>
      <c r="G5850" s="2"/>
      <c r="H5850" s="2" t="str">
        <f>IFERROR(__xludf.DUMMYFUNCTION("IF(G5850&lt;&gt;"""", GOOGLETRANSLATE(G5850, ""en"", ""te""),"""")"),"")</f>
        <v/>
      </c>
      <c r="I5850" s="3"/>
    </row>
    <row r="5851" customHeight="1" spans="1:9">
      <c r="A5851" s="2"/>
      <c r="B5851" s="2" t="str">
        <f>IFERROR(__xludf.DUMMYFUNCTION("IF(A5851&lt;&gt;"""", GOOGLETRANSLATE(A5851, ""en"", ""te""),"""")"),"")</f>
        <v/>
      </c>
      <c r="C5851" s="2"/>
      <c r="D5851" s="2" t="str">
        <f>IFERROR(__xludf.DUMMYFUNCTION("IF(C5851&lt;&gt;"""", GOOGLETRANSLATE(C5851, ""en"", ""te""),"""")"),"")</f>
        <v/>
      </c>
      <c r="E5851" s="2"/>
      <c r="F5851" s="2" t="str">
        <f>IFERROR(__xludf.DUMMYFUNCTION("IF(E5851&lt;&gt;"""", GOOGLETRANSLATE(E5851, ""en"", ""te""),"""")"),"")</f>
        <v/>
      </c>
      <c r="G5851" s="2"/>
      <c r="H5851" s="2" t="str">
        <f>IFERROR(__xludf.DUMMYFUNCTION("IF(G5851&lt;&gt;"""", GOOGLETRANSLATE(G5851, ""en"", ""te""),"""")"),"")</f>
        <v/>
      </c>
      <c r="I5851" s="3"/>
    </row>
    <row r="5852" customHeight="1" spans="1:9">
      <c r="A5852" s="2" t="s">
        <v>3685</v>
      </c>
      <c r="B5852" s="2" t="str">
        <f>IFERROR(__xludf.DUMMYFUNCTION("IF(A5852&lt;&gt;"""", GOOGLETRANSLATE(A5852, ""en"", ""te""),"""")"),"[ '6 వ చెత్త కెరీర్లో ఆర్థిక రేటు (6.07)']")</f>
        <v>[ '6 వ చెత్త కెరీర్లో ఆర్థిక రేటు (6.07)']</v>
      </c>
      <c r="C5852" s="2" t="s">
        <v>3686</v>
      </c>
      <c r="D5852" s="2" t="str">
        <f>IFERROR(__xludf.DUMMYFUNCTION("IF(C5852&lt;&gt;"""", GOOGLETRANSLATE(C5852, ""en"", ""te""),"""")"),"[ '23 చెత్త కెరీర్లో ఆర్థిక రేటు (3.62)']")</f>
        <v>[ '23 చెత్త కెరీర్లో ఆర్థిక రేటు (3.62)']</v>
      </c>
      <c r="E5852" s="2" t="s">
        <v>3685</v>
      </c>
      <c r="F5852" s="2" t="str">
        <f>IFERROR(__xludf.DUMMYFUNCTION("IF(E5852&lt;&gt;"""", GOOGLETRANSLATE(E5852, ""en"", ""te""),"""")"),"[ '6 వ చెత్త కెరీర్లో ఆర్థిక రేటు (6.07)']")</f>
        <v>[ '6 వ చెత్త కెరీర్లో ఆర్థిక రేటు (6.07)']</v>
      </c>
      <c r="G5852" s="2" t="s">
        <v>3687</v>
      </c>
      <c r="H5852" s="2" t="str">
        <f>IFERROR(__xludf.DUMMYFUNCTION("IF(G5852&lt;&gt;"""", GOOGLETRANSLATE(G5852, ""en"", ""te""),"""")"),"[ 'పదవ వికెట్కు 36 వ అత్యధిక భాగస్వామ్యం (17 *)']")</f>
        <v>[ 'పదవ వికెట్కు 36 వ అత్యధిక భాగస్వామ్యం (17 *)']</v>
      </c>
      <c r="I5852" s="3"/>
    </row>
    <row r="5853" customHeight="1" spans="1:9">
      <c r="A5853" s="2"/>
      <c r="B5853" s="2" t="str">
        <f>IFERROR(__xludf.DUMMYFUNCTION("IF(A5853&lt;&gt;"""", GOOGLETRANSLATE(A5853, ""en"", ""te""),"""")"),"")</f>
        <v/>
      </c>
      <c r="C5853" s="2"/>
      <c r="D5853" s="2" t="str">
        <f>IFERROR(__xludf.DUMMYFUNCTION("IF(C5853&lt;&gt;"""", GOOGLETRANSLATE(C5853, ""en"", ""te""),"""")"),"")</f>
        <v/>
      </c>
      <c r="E5853" s="2"/>
      <c r="F5853" s="2" t="str">
        <f>IFERROR(__xludf.DUMMYFUNCTION("IF(E5853&lt;&gt;"""", GOOGLETRANSLATE(E5853, ""en"", ""te""),"""")"),"")</f>
        <v/>
      </c>
      <c r="G5853" s="2"/>
      <c r="H5853" s="2" t="str">
        <f>IFERROR(__xludf.DUMMYFUNCTION("IF(G5853&lt;&gt;"""", GOOGLETRANSLATE(G5853, ""en"", ""te""),"""")"),"")</f>
        <v/>
      </c>
      <c r="I5853" s="3"/>
    </row>
    <row r="5854" customHeight="1" spans="1:9">
      <c r="A5854" s="2"/>
      <c r="B5854" s="2" t="str">
        <f>IFERROR(__xludf.DUMMYFUNCTION("IF(A5854&lt;&gt;"""", GOOGLETRANSLATE(A5854, ""en"", ""te""),"""")"),"")</f>
        <v/>
      </c>
      <c r="C5854" s="2"/>
      <c r="D5854" s="2" t="str">
        <f>IFERROR(__xludf.DUMMYFUNCTION("IF(C5854&lt;&gt;"""", GOOGLETRANSLATE(C5854, ""en"", ""te""),"""")"),"")</f>
        <v/>
      </c>
      <c r="E5854" s="2"/>
      <c r="F5854" s="2" t="str">
        <f>IFERROR(__xludf.DUMMYFUNCTION("IF(E5854&lt;&gt;"""", GOOGLETRANSLATE(E5854, ""en"", ""te""),"""")"),"")</f>
        <v/>
      </c>
      <c r="G5854" s="2"/>
      <c r="H5854" s="2" t="str">
        <f>IFERROR(__xludf.DUMMYFUNCTION("IF(G5854&lt;&gt;"""", GOOGLETRANSLATE(G5854, ""en"", ""te""),"""")"),"")</f>
        <v/>
      </c>
      <c r="I5854" s="3"/>
    </row>
    <row r="5855" customHeight="1" spans="1:9">
      <c r="A5855" s="2"/>
      <c r="B5855" s="2" t="str">
        <f>IFERROR(__xludf.DUMMYFUNCTION("IF(A5855&lt;&gt;"""", GOOGLETRANSLATE(A5855, ""en"", ""te""),"""")"),"")</f>
        <v/>
      </c>
      <c r="C5855" s="2"/>
      <c r="D5855" s="2" t="str">
        <f>IFERROR(__xludf.DUMMYFUNCTION("IF(C5855&lt;&gt;"""", GOOGLETRANSLATE(C5855, ""en"", ""te""),"""")"),"")</f>
        <v/>
      </c>
      <c r="E5855" s="2"/>
      <c r="F5855" s="2" t="str">
        <f>IFERROR(__xludf.DUMMYFUNCTION("IF(E5855&lt;&gt;"""", GOOGLETRANSLATE(E5855, ""en"", ""te""),"""")"),"")</f>
        <v/>
      </c>
      <c r="G5855" s="2"/>
      <c r="H5855" s="2" t="str">
        <f>IFERROR(__xludf.DUMMYFUNCTION("IF(G5855&lt;&gt;"""", GOOGLETRANSLATE(G5855, ""en"", ""te""),"""")"),"")</f>
        <v/>
      </c>
      <c r="I5855" s="3"/>
    </row>
    <row r="5856" customHeight="1" spans="1:9">
      <c r="A5856" s="2"/>
      <c r="B5856" s="2" t="str">
        <f>IFERROR(__xludf.DUMMYFUNCTION("IF(A5856&lt;&gt;"""", GOOGLETRANSLATE(A5856, ""en"", ""te""),"""")"),"")</f>
        <v/>
      </c>
      <c r="C5856" s="2"/>
      <c r="D5856" s="2" t="str">
        <f>IFERROR(__xludf.DUMMYFUNCTION("IF(C5856&lt;&gt;"""", GOOGLETRANSLATE(C5856, ""en"", ""te""),"""")"),"")</f>
        <v/>
      </c>
      <c r="E5856" s="2"/>
      <c r="F5856" s="2" t="str">
        <f>IFERROR(__xludf.DUMMYFUNCTION("IF(E5856&lt;&gt;"""", GOOGLETRANSLATE(E5856, ""en"", ""te""),"""")"),"")</f>
        <v/>
      </c>
      <c r="G5856" s="2"/>
      <c r="H5856" s="2" t="str">
        <f>IFERROR(__xludf.DUMMYFUNCTION("IF(G5856&lt;&gt;"""", GOOGLETRANSLATE(G5856, ""en"", ""te""),"""")"),"")</f>
        <v/>
      </c>
      <c r="I5856" s="3"/>
    </row>
    <row r="5857" customHeight="1" spans="1:9">
      <c r="A5857" s="2"/>
      <c r="B5857" s="2" t="str">
        <f>IFERROR(__xludf.DUMMYFUNCTION("IF(A5857&lt;&gt;"""", GOOGLETRANSLATE(A5857, ""en"", ""te""),"""")"),"")</f>
        <v/>
      </c>
      <c r="C5857" s="2"/>
      <c r="D5857" s="2" t="str">
        <f>IFERROR(__xludf.DUMMYFUNCTION("IF(C5857&lt;&gt;"""", GOOGLETRANSLATE(C5857, ""en"", ""te""),"""")"),"")</f>
        <v/>
      </c>
      <c r="E5857" s="2"/>
      <c r="F5857" s="2" t="str">
        <f>IFERROR(__xludf.DUMMYFUNCTION("IF(E5857&lt;&gt;"""", GOOGLETRANSLATE(E5857, ""en"", ""te""),"""")"),"")</f>
        <v/>
      </c>
      <c r="G5857" s="2"/>
      <c r="H5857" s="2" t="str">
        <f>IFERROR(__xludf.DUMMYFUNCTION("IF(G5857&lt;&gt;"""", GOOGLETRANSLATE(G5857, ""en"", ""te""),"""")"),"")</f>
        <v/>
      </c>
      <c r="I5857" s="3"/>
    </row>
    <row r="5858" customHeight="1" spans="1:9">
      <c r="A5858" s="2"/>
      <c r="B5858" s="2" t="str">
        <f>IFERROR(__xludf.DUMMYFUNCTION("IF(A5858&lt;&gt;"""", GOOGLETRANSLATE(A5858, ""en"", ""te""),"""")"),"")</f>
        <v/>
      </c>
      <c r="C5858" s="2"/>
      <c r="D5858" s="2" t="str">
        <f>IFERROR(__xludf.DUMMYFUNCTION("IF(C5858&lt;&gt;"""", GOOGLETRANSLATE(C5858, ""en"", ""te""),"""")"),"")</f>
        <v/>
      </c>
      <c r="E5858" s="2"/>
      <c r="F5858" s="2" t="str">
        <f>IFERROR(__xludf.DUMMYFUNCTION("IF(E5858&lt;&gt;"""", GOOGLETRANSLATE(E5858, ""en"", ""te""),"""")"),"")</f>
        <v/>
      </c>
      <c r="G5858" s="2"/>
      <c r="H5858" s="2" t="str">
        <f>IFERROR(__xludf.DUMMYFUNCTION("IF(G5858&lt;&gt;"""", GOOGLETRANSLATE(G5858, ""en"", ""te""),"""")"),"")</f>
        <v/>
      </c>
      <c r="I5858" s="3"/>
    </row>
    <row r="5859" customHeight="1" spans="1:9">
      <c r="A5859" s="2"/>
      <c r="B5859" s="2" t="str">
        <f>IFERROR(__xludf.DUMMYFUNCTION("IF(A5859&lt;&gt;"""", GOOGLETRANSLATE(A5859, ""en"", ""te""),"""")"),"")</f>
        <v/>
      </c>
      <c r="C5859" s="2"/>
      <c r="D5859" s="2" t="str">
        <f>IFERROR(__xludf.DUMMYFUNCTION("IF(C5859&lt;&gt;"""", GOOGLETRANSLATE(C5859, ""en"", ""te""),"""")"),"")</f>
        <v/>
      </c>
      <c r="E5859" s="2"/>
      <c r="F5859" s="2" t="str">
        <f>IFERROR(__xludf.DUMMYFUNCTION("IF(E5859&lt;&gt;"""", GOOGLETRANSLATE(E5859, ""en"", ""te""),"""")"),"")</f>
        <v/>
      </c>
      <c r="G5859" s="2"/>
      <c r="H5859" s="2" t="str">
        <f>IFERROR(__xludf.DUMMYFUNCTION("IF(G5859&lt;&gt;"""", GOOGLETRANSLATE(G5859, ""en"", ""te""),"""")"),"")</f>
        <v/>
      </c>
      <c r="I5859" s="3"/>
    </row>
    <row r="5860" customHeight="1" spans="1:9">
      <c r="A5860" s="2"/>
      <c r="B5860" s="2" t="str">
        <f>IFERROR(__xludf.DUMMYFUNCTION("IF(A5860&lt;&gt;"""", GOOGLETRANSLATE(A5860, ""en"", ""te""),"""")"),"")</f>
        <v/>
      </c>
      <c r="C5860" s="2"/>
      <c r="D5860" s="2" t="str">
        <f>IFERROR(__xludf.DUMMYFUNCTION("IF(C5860&lt;&gt;"""", GOOGLETRANSLATE(C5860, ""en"", ""te""),"""")"),"")</f>
        <v/>
      </c>
      <c r="E5860" s="2"/>
      <c r="F5860" s="2" t="str">
        <f>IFERROR(__xludf.DUMMYFUNCTION("IF(E5860&lt;&gt;"""", GOOGLETRANSLATE(E5860, ""en"", ""te""),"""")"),"")</f>
        <v/>
      </c>
      <c r="G5860" s="2" t="s">
        <v>3688</v>
      </c>
      <c r="H5860" s="2" t="str">
        <f>IFERROR(__xludf.DUMMYFUNCTION("IF(G5860&lt;&gt;"""", GOOGLETRANSLATE(G5860, ""en"", ""te""),"""")"),"[ '29 చెత్త కెరీర్ బౌలింగ్ సరాసరి (అర్హత లేకుండా) (73.00)']")</f>
        <v>[ '29 చెత్త కెరీర్ బౌలింగ్ సరాసరి (అర్హత లేకుండా) (73.00)']</v>
      </c>
      <c r="I5860" s="3"/>
    </row>
    <row r="5861" customHeight="1" spans="1:9">
      <c r="A5861" s="2"/>
      <c r="B5861" s="2" t="str">
        <f>IFERROR(__xludf.DUMMYFUNCTION("IF(A5861&lt;&gt;"""", GOOGLETRANSLATE(A5861, ""en"", ""te""),"""")"),"")</f>
        <v/>
      </c>
      <c r="C5861" s="2"/>
      <c r="D5861" s="2" t="str">
        <f>IFERROR(__xludf.DUMMYFUNCTION("IF(C5861&lt;&gt;"""", GOOGLETRANSLATE(C5861, ""en"", ""te""),"""")"),"")</f>
        <v/>
      </c>
      <c r="E5861" s="2"/>
      <c r="F5861" s="2" t="str">
        <f>IFERROR(__xludf.DUMMYFUNCTION("IF(E5861&lt;&gt;"""", GOOGLETRANSLATE(E5861, ""en"", ""te""),"""")"),"")</f>
        <v/>
      </c>
      <c r="G5861" s="2"/>
      <c r="H5861" s="2" t="str">
        <f>IFERROR(__xludf.DUMMYFUNCTION("IF(G5861&lt;&gt;"""", GOOGLETRANSLATE(G5861, ""en"", ""te""),"""")"),"")</f>
        <v/>
      </c>
      <c r="I5861" s="3"/>
    </row>
    <row r="5862" customHeight="1" spans="1:9">
      <c r="A5862" s="2"/>
      <c r="B5862" s="2" t="str">
        <f>IFERROR(__xludf.DUMMYFUNCTION("IF(A5862&lt;&gt;"""", GOOGLETRANSLATE(A5862, ""en"", ""te""),"""")"),"")</f>
        <v/>
      </c>
      <c r="C5862" s="2"/>
      <c r="D5862" s="2" t="str">
        <f>IFERROR(__xludf.DUMMYFUNCTION("IF(C5862&lt;&gt;"""", GOOGLETRANSLATE(C5862, ""en"", ""te""),"""")"),"")</f>
        <v/>
      </c>
      <c r="E5862" s="2"/>
      <c r="F5862" s="2" t="str">
        <f>IFERROR(__xludf.DUMMYFUNCTION("IF(E5862&lt;&gt;"""", GOOGLETRANSLATE(E5862, ""en"", ""te""),"""")"),"")</f>
        <v/>
      </c>
      <c r="G5862" s="2"/>
      <c r="H5862" s="2" t="str">
        <f>IFERROR(__xludf.DUMMYFUNCTION("IF(G5862&lt;&gt;"""", GOOGLETRANSLATE(G5862, ""en"", ""te""),"""")"),"")</f>
        <v/>
      </c>
      <c r="I5862" s="3"/>
    </row>
    <row r="5863" customHeight="1" spans="1:9">
      <c r="A5863" s="2"/>
      <c r="B5863" s="2" t="str">
        <f>IFERROR(__xludf.DUMMYFUNCTION("IF(A5863&lt;&gt;"""", GOOGLETRANSLATE(A5863, ""en"", ""te""),"""")"),"")</f>
        <v/>
      </c>
      <c r="C5863" s="2"/>
      <c r="D5863" s="2" t="str">
        <f>IFERROR(__xludf.DUMMYFUNCTION("IF(C5863&lt;&gt;"""", GOOGLETRANSLATE(C5863, ""en"", ""te""),"""")"),"")</f>
        <v/>
      </c>
      <c r="E5863" s="2"/>
      <c r="F5863" s="2" t="str">
        <f>IFERROR(__xludf.DUMMYFUNCTION("IF(E5863&lt;&gt;"""", GOOGLETRANSLATE(E5863, ""en"", ""te""),"""")"),"")</f>
        <v/>
      </c>
      <c r="G5863" s="2"/>
      <c r="H5863" s="2" t="str">
        <f>IFERROR(__xludf.DUMMYFUNCTION("IF(G5863&lt;&gt;"""", GOOGLETRANSLATE(G5863, ""en"", ""te""),"""")"),"")</f>
        <v/>
      </c>
      <c r="I5863" s="3"/>
    </row>
    <row r="5864" customHeight="1" spans="1:9">
      <c r="A5864" s="2"/>
      <c r="B5864" s="2" t="str">
        <f>IFERROR(__xludf.DUMMYFUNCTION("IF(A5864&lt;&gt;"""", GOOGLETRANSLATE(A5864, ""en"", ""te""),"""")"),"")</f>
        <v/>
      </c>
      <c r="C5864" s="2"/>
      <c r="D5864" s="2" t="str">
        <f>IFERROR(__xludf.DUMMYFUNCTION("IF(C5864&lt;&gt;"""", GOOGLETRANSLATE(C5864, ""en"", ""te""),"""")"),"")</f>
        <v/>
      </c>
      <c r="E5864" s="2"/>
      <c r="F5864" s="2" t="str">
        <f>IFERROR(__xludf.DUMMYFUNCTION("IF(E5864&lt;&gt;"""", GOOGLETRANSLATE(E5864, ""en"", ""te""),"""")"),"")</f>
        <v/>
      </c>
      <c r="G5864" s="2"/>
      <c r="H5864" s="2" t="str">
        <f>IFERROR(__xludf.DUMMYFUNCTION("IF(G5864&lt;&gt;"""", GOOGLETRANSLATE(G5864, ""en"", ""te""),"""")"),"")</f>
        <v/>
      </c>
      <c r="I5864" s="3"/>
    </row>
    <row r="5865" customHeight="1" spans="1:9">
      <c r="A5865" s="2"/>
      <c r="B5865" s="2" t="str">
        <f>IFERROR(__xludf.DUMMYFUNCTION("IF(A5865&lt;&gt;"""", GOOGLETRANSLATE(A5865, ""en"", ""te""),"""")"),"")</f>
        <v/>
      </c>
      <c r="C5865" s="2"/>
      <c r="D5865" s="2" t="str">
        <f>IFERROR(__xludf.DUMMYFUNCTION("IF(C5865&lt;&gt;"""", GOOGLETRANSLATE(C5865, ""en"", ""te""),"""")"),"")</f>
        <v/>
      </c>
      <c r="E5865" s="2"/>
      <c r="F5865" s="2" t="str">
        <f>IFERROR(__xludf.DUMMYFUNCTION("IF(E5865&lt;&gt;"""", GOOGLETRANSLATE(E5865, ""en"", ""te""),"""")"),"")</f>
        <v/>
      </c>
      <c r="G5865" s="2"/>
      <c r="H5865" s="2" t="str">
        <f>IFERROR(__xludf.DUMMYFUNCTION("IF(G5865&lt;&gt;"""", GOOGLETRANSLATE(G5865, ""en"", ""te""),"""")"),"")</f>
        <v/>
      </c>
      <c r="I5865" s="3"/>
    </row>
    <row r="5866" customHeight="1" spans="1:9">
      <c r="A5866" s="2"/>
      <c r="B5866" s="2" t="str">
        <f>IFERROR(__xludf.DUMMYFUNCTION("IF(A5866&lt;&gt;"""", GOOGLETRANSLATE(A5866, ""en"", ""te""),"""")"),"")</f>
        <v/>
      </c>
      <c r="C5866" s="2"/>
      <c r="D5866" s="2" t="str">
        <f>IFERROR(__xludf.DUMMYFUNCTION("IF(C5866&lt;&gt;"""", GOOGLETRANSLATE(C5866, ""en"", ""te""),"""")"),"")</f>
        <v/>
      </c>
      <c r="E5866" s="2"/>
      <c r="F5866" s="2" t="str">
        <f>IFERROR(__xludf.DUMMYFUNCTION("IF(E5866&lt;&gt;"""", GOOGLETRANSLATE(E5866, ""en"", ""te""),"""")"),"")</f>
        <v/>
      </c>
      <c r="G5866" s="2"/>
      <c r="H5866" s="2" t="str">
        <f>IFERROR(__xludf.DUMMYFUNCTION("IF(G5866&lt;&gt;"""", GOOGLETRANSLATE(G5866, ""en"", ""te""),"""")"),"")</f>
        <v/>
      </c>
      <c r="I5866" s="3"/>
    </row>
    <row r="5867" customHeight="1" spans="1:9">
      <c r="A5867" s="2"/>
      <c r="B5867" s="2" t="str">
        <f>IFERROR(__xludf.DUMMYFUNCTION("IF(A5867&lt;&gt;"""", GOOGLETRANSLATE(A5867, ""en"", ""te""),"""")"),"")</f>
        <v/>
      </c>
      <c r="C5867" s="2"/>
      <c r="D5867" s="2" t="str">
        <f>IFERROR(__xludf.DUMMYFUNCTION("IF(C5867&lt;&gt;"""", GOOGLETRANSLATE(C5867, ""en"", ""te""),"""")"),"")</f>
        <v/>
      </c>
      <c r="E5867" s="2"/>
      <c r="F5867" s="2" t="str">
        <f>IFERROR(__xludf.DUMMYFUNCTION("IF(E5867&lt;&gt;"""", GOOGLETRANSLATE(E5867, ""en"", ""te""),"""")"),"")</f>
        <v/>
      </c>
      <c r="G5867" s="2"/>
      <c r="H5867" s="2" t="str">
        <f>IFERROR(__xludf.DUMMYFUNCTION("IF(G5867&lt;&gt;"""", GOOGLETRANSLATE(G5867, ""en"", ""te""),"""")"),"")</f>
        <v/>
      </c>
      <c r="I5867" s="3"/>
    </row>
    <row r="5868" customHeight="1" spans="1:9">
      <c r="A5868" s="2"/>
      <c r="B5868" s="2" t="str">
        <f>IFERROR(__xludf.DUMMYFUNCTION("IF(A5868&lt;&gt;"""", GOOGLETRANSLATE(A5868, ""en"", ""te""),"""")"),"")</f>
        <v/>
      </c>
      <c r="C5868" s="2"/>
      <c r="D5868" s="2" t="str">
        <f>IFERROR(__xludf.DUMMYFUNCTION("IF(C5868&lt;&gt;"""", GOOGLETRANSLATE(C5868, ""en"", ""te""),"""")"),"")</f>
        <v/>
      </c>
      <c r="E5868" s="2"/>
      <c r="F5868" s="2" t="str">
        <f>IFERROR(__xludf.DUMMYFUNCTION("IF(E5868&lt;&gt;"""", GOOGLETRANSLATE(E5868, ""en"", ""te""),"""")"),"")</f>
        <v/>
      </c>
      <c r="G5868" s="2"/>
      <c r="H5868" s="2" t="str">
        <f>IFERROR(__xludf.DUMMYFUNCTION("IF(G5868&lt;&gt;"""", GOOGLETRANSLATE(G5868, ""en"", ""te""),"""")"),"")</f>
        <v/>
      </c>
      <c r="I5868" s="3"/>
    </row>
    <row r="5869" customHeight="1" spans="1:9">
      <c r="A5869" s="2"/>
      <c r="B5869" s="2" t="str">
        <f>IFERROR(__xludf.DUMMYFUNCTION("IF(A5869&lt;&gt;"""", GOOGLETRANSLATE(A5869, ""en"", ""te""),"""")"),"")</f>
        <v/>
      </c>
      <c r="C5869" s="2"/>
      <c r="D5869" s="2" t="str">
        <f>IFERROR(__xludf.DUMMYFUNCTION("IF(C5869&lt;&gt;"""", GOOGLETRANSLATE(C5869, ""en"", ""te""),"""")"),"")</f>
        <v/>
      </c>
      <c r="E5869" s="2"/>
      <c r="F5869" s="2" t="str">
        <f>IFERROR(__xludf.DUMMYFUNCTION("IF(E5869&lt;&gt;"""", GOOGLETRANSLATE(E5869, ""en"", ""te""),"""")"),"")</f>
        <v/>
      </c>
      <c r="G5869" s="2"/>
      <c r="H5869" s="2" t="str">
        <f>IFERROR(__xludf.DUMMYFUNCTION("IF(G5869&lt;&gt;"""", GOOGLETRANSLATE(G5869, ""en"", ""te""),"""")"),"")</f>
        <v/>
      </c>
      <c r="I5869" s="3"/>
    </row>
    <row r="5870" customHeight="1" spans="1:9">
      <c r="A5870" s="2"/>
      <c r="B5870" s="2" t="str">
        <f>IFERROR(__xludf.DUMMYFUNCTION("IF(A5870&lt;&gt;"""", GOOGLETRANSLATE(A5870, ""en"", ""te""),"""")"),"")</f>
        <v/>
      </c>
      <c r="C5870" s="2"/>
      <c r="D5870" s="2" t="str">
        <f>IFERROR(__xludf.DUMMYFUNCTION("IF(C5870&lt;&gt;"""", GOOGLETRANSLATE(C5870, ""en"", ""te""),"""")"),"")</f>
        <v/>
      </c>
      <c r="E5870" s="2"/>
      <c r="F5870" s="2" t="str">
        <f>IFERROR(__xludf.DUMMYFUNCTION("IF(E5870&lt;&gt;"""", GOOGLETRANSLATE(E5870, ""en"", ""te""),"""")"),"")</f>
        <v/>
      </c>
      <c r="G5870" s="2"/>
      <c r="H5870" s="2" t="str">
        <f>IFERROR(__xludf.DUMMYFUNCTION("IF(G5870&lt;&gt;"""", GOOGLETRANSLATE(G5870, ""en"", ""te""),"""")"),"")</f>
        <v/>
      </c>
      <c r="I5870" s="3"/>
    </row>
    <row r="5871" customHeight="1" spans="1:9">
      <c r="A5871" s="2"/>
      <c r="B5871" s="2" t="str">
        <f>IFERROR(__xludf.DUMMYFUNCTION("IF(A5871&lt;&gt;"""", GOOGLETRANSLATE(A5871, ""en"", ""te""),"""")"),"")</f>
        <v/>
      </c>
      <c r="C5871" s="2"/>
      <c r="D5871" s="2" t="str">
        <f>IFERROR(__xludf.DUMMYFUNCTION("IF(C5871&lt;&gt;"""", GOOGLETRANSLATE(C5871, ""en"", ""te""),"""")"),"")</f>
        <v/>
      </c>
      <c r="E5871" s="2"/>
      <c r="F5871" s="2" t="str">
        <f>IFERROR(__xludf.DUMMYFUNCTION("IF(E5871&lt;&gt;"""", GOOGLETRANSLATE(E5871, ""en"", ""te""),"""")"),"")</f>
        <v/>
      </c>
      <c r="G5871" s="2"/>
      <c r="H5871" s="2" t="str">
        <f>IFERROR(__xludf.DUMMYFUNCTION("IF(G5871&lt;&gt;"""", GOOGLETRANSLATE(G5871, ""en"", ""te""),"""")"),"")</f>
        <v/>
      </c>
      <c r="I5871" s="3"/>
    </row>
    <row r="5872" customHeight="1" spans="1:9">
      <c r="A5872" s="2"/>
      <c r="B5872" s="2" t="str">
        <f>IFERROR(__xludf.DUMMYFUNCTION("IF(A5872&lt;&gt;"""", GOOGLETRANSLATE(A5872, ""en"", ""te""),"""")"),"")</f>
        <v/>
      </c>
      <c r="C5872" s="2"/>
      <c r="D5872" s="2" t="str">
        <f>IFERROR(__xludf.DUMMYFUNCTION("IF(C5872&lt;&gt;"""", GOOGLETRANSLATE(C5872, ""en"", ""te""),"""")"),"")</f>
        <v/>
      </c>
      <c r="E5872" s="2"/>
      <c r="F5872" s="2" t="str">
        <f>IFERROR(__xludf.DUMMYFUNCTION("IF(E5872&lt;&gt;"""", GOOGLETRANSLATE(E5872, ""en"", ""te""),"""")"),"")</f>
        <v/>
      </c>
      <c r="G5872" s="2"/>
      <c r="H5872" s="2" t="str">
        <f>IFERROR(__xludf.DUMMYFUNCTION("IF(G5872&lt;&gt;"""", GOOGLETRANSLATE(G5872, ""en"", ""te""),"""")"),"")</f>
        <v/>
      </c>
      <c r="I5872" s="3"/>
    </row>
    <row r="5873" customHeight="1" spans="1:9">
      <c r="A5873" s="2"/>
      <c r="B5873" s="2" t="str">
        <f>IFERROR(__xludf.DUMMYFUNCTION("IF(A5873&lt;&gt;"""", GOOGLETRANSLATE(A5873, ""en"", ""te""),"""")"),"")</f>
        <v/>
      </c>
      <c r="C5873" s="2"/>
      <c r="D5873" s="2" t="str">
        <f>IFERROR(__xludf.DUMMYFUNCTION("IF(C5873&lt;&gt;"""", GOOGLETRANSLATE(C5873, ""en"", ""te""),"""")"),"")</f>
        <v/>
      </c>
      <c r="E5873" s="2"/>
      <c r="F5873" s="2" t="str">
        <f>IFERROR(__xludf.DUMMYFUNCTION("IF(E5873&lt;&gt;"""", GOOGLETRANSLATE(E5873, ""en"", ""te""),"""")"),"")</f>
        <v/>
      </c>
      <c r="G5873" s="2"/>
      <c r="H5873" s="2" t="str">
        <f>IFERROR(__xludf.DUMMYFUNCTION("IF(G5873&lt;&gt;"""", GOOGLETRANSLATE(G5873, ""en"", ""te""),"""")"),"")</f>
        <v/>
      </c>
      <c r="I5873" s="3"/>
    </row>
    <row r="5874" customHeight="1" spans="1:9">
      <c r="A5874" s="2" t="s">
        <v>3689</v>
      </c>
      <c r="B5874" s="2" t="str">
        <f>IFERROR(__xludf.DUMMYFUNCTION("IF(A5874&lt;&gt;"""", GOOGLETRANSLATE(A5874, ""en"", ""te""),"""")"),"[ '99 పరుగుల 1st (మరియు 199, 299 etc) (99)', 'బ్యాటింగ్ తెరవడం మరియు అదే మ్యాచ్ లో బౌలింగ్']")</f>
        <v>[ '99 పరుగుల 1st (మరియు 199, 299 etc) (99)', 'బ్యాటింగ్ తెరవడం మరియు అదే మ్యాచ్ లో బౌలింగ్']</v>
      </c>
      <c r="C5874" s="2" t="s">
        <v>3690</v>
      </c>
      <c r="D5874" s="2" t="str">
        <f>IFERROR(__xludf.DUMMYFUNCTION("IF(C5874&lt;&gt;"""", GOOGLETRANSLATE(C5874, ""en"", ""te""),"""")"),"[ '27 వ వంద (1263) లేకుండా ఒక వృత్తిలో పరుగులు' '99 (199, 299 etc) (99) అవుటయ్యాడు 1st']")</f>
        <v>[ '27 వ వంద (1263) లేకుండా ఒక వృత్తిలో పరుగులు' '99 (199, 299 etc) (99) అవుటయ్యాడు 1st']</v>
      </c>
      <c r="E5874" s="2"/>
      <c r="F5874" s="2" t="str">
        <f>IFERROR(__xludf.DUMMYFUNCTION("IF(E5874&lt;&gt;"""", GOOGLETRANSLATE(E5874, ""en"", ""te""),"""")"),"")</f>
        <v/>
      </c>
      <c r="G5874" s="2"/>
      <c r="H5874" s="2" t="str">
        <f>IFERROR(__xludf.DUMMYFUNCTION("IF(G5874&lt;&gt;"""", GOOGLETRANSLATE(G5874, ""en"", ""te""),"""")"),"")</f>
        <v/>
      </c>
      <c r="I5874" s="3"/>
    </row>
    <row r="5875" customHeight="1" spans="1:9">
      <c r="A5875" s="2"/>
      <c r="B5875" s="2" t="str">
        <f>IFERROR(__xludf.DUMMYFUNCTION("IF(A5875&lt;&gt;"""", GOOGLETRANSLATE(A5875, ""en"", ""te""),"""")"),"")</f>
        <v/>
      </c>
      <c r="C5875" s="2"/>
      <c r="D5875" s="2" t="str">
        <f>IFERROR(__xludf.DUMMYFUNCTION("IF(C5875&lt;&gt;"""", GOOGLETRANSLATE(C5875, ""en"", ""te""),"""")"),"")</f>
        <v/>
      </c>
      <c r="E5875" s="2"/>
      <c r="F5875" s="2" t="str">
        <f>IFERROR(__xludf.DUMMYFUNCTION("IF(E5875&lt;&gt;"""", GOOGLETRANSLATE(E5875, ""en"", ""te""),"""")"),"")</f>
        <v/>
      </c>
      <c r="G5875" s="2"/>
      <c r="H5875" s="2" t="str">
        <f>IFERROR(__xludf.DUMMYFUNCTION("IF(G5875&lt;&gt;"""", GOOGLETRANSLATE(G5875, ""en"", ""te""),"""")"),"")</f>
        <v/>
      </c>
      <c r="I5875" s="3"/>
    </row>
    <row r="5876" customHeight="1" spans="1:9">
      <c r="A5876" s="2"/>
      <c r="B5876" s="2" t="str">
        <f>IFERROR(__xludf.DUMMYFUNCTION("IF(A5876&lt;&gt;"""", GOOGLETRANSLATE(A5876, ""en"", ""te""),"""")"),"")</f>
        <v/>
      </c>
      <c r="C5876" s="2"/>
      <c r="D5876" s="2" t="str">
        <f>IFERROR(__xludf.DUMMYFUNCTION("IF(C5876&lt;&gt;"""", GOOGLETRANSLATE(C5876, ""en"", ""te""),"""")"),"")</f>
        <v/>
      </c>
      <c r="E5876" s="2"/>
      <c r="F5876" s="2" t="str">
        <f>IFERROR(__xludf.DUMMYFUNCTION("IF(E5876&lt;&gt;"""", GOOGLETRANSLATE(E5876, ""en"", ""te""),"""")"),"")</f>
        <v/>
      </c>
      <c r="G5876" s="2"/>
      <c r="H5876" s="2" t="str">
        <f>IFERROR(__xludf.DUMMYFUNCTION("IF(G5876&lt;&gt;"""", GOOGLETRANSLATE(G5876, ""en"", ""te""),"""")"),"")</f>
        <v/>
      </c>
      <c r="I5876" s="3"/>
    </row>
    <row r="5877" customHeight="1" spans="1:9">
      <c r="A5877" s="2" t="s">
        <v>3691</v>
      </c>
      <c r="B5877" s="2" t="str">
        <f>IFERROR(__xludf.DUMMYFUNCTION("IF(A5877&lt;&gt;"""", GOOGLETRANSLATE(A5877, ""en"", ""te""),"""")"),"[ 'ఒక మ్యాచ్లో 8 వ అత్యధిక క్యాచ్లు (6)', 'బ్యాటింగ్ తెరవడం మరియు అదే మ్యాచ్ లో బౌలింగ్']")</f>
        <v>[ 'ఒక మ్యాచ్లో 8 వ అత్యధిక క్యాచ్లు (6)', 'బ్యాటింగ్ తెరవడం మరియు అదే మ్యాచ్ లో బౌలింగ్']</v>
      </c>
      <c r="C5877" s="2" t="s">
        <v>3692</v>
      </c>
      <c r="D5877" s="2" t="str">
        <f>IFERROR(__xludf.DUMMYFUNCTION("IF(C5877&lt;&gt;"""", GOOGLETRANSLATE(C5877, ""en"", ""te""),"""")"),"[ '21 వ చెత్త కెరీర్లో సమ్మె రేటు (125.8)' '19 చెత్త కెరీర్ సగటు (59.44) బౌలింగ్', 'ఒక మ్యాచ్లో 8 వ అత్యధిక క్యాచ్లు (6)', '10th ఒక సిరీస్లో అత్యధిక క్యాచ్లు (12)']")</f>
        <v>[ '21 వ చెత్త కెరీర్లో సమ్మె రేటు (125.8)' '19 చెత్త కెరీర్ సగటు (59.44) బౌలింగ్', 'ఒక మ్యాచ్లో 8 వ అత్యధిక క్యాచ్లు (6)', '10th ఒక సిరీస్లో అత్యధిక క్యాచ్లు (12)']</v>
      </c>
      <c r="E5877" s="2"/>
      <c r="F5877" s="2" t="str">
        <f>IFERROR(__xludf.DUMMYFUNCTION("IF(E5877&lt;&gt;"""", GOOGLETRANSLATE(E5877, ""en"", ""te""),"""")"),"")</f>
        <v/>
      </c>
      <c r="G5877" s="2"/>
      <c r="H5877" s="2" t="str">
        <f>IFERROR(__xludf.DUMMYFUNCTION("IF(G5877&lt;&gt;"""", GOOGLETRANSLATE(G5877, ""en"", ""te""),"""")"),"")</f>
        <v/>
      </c>
      <c r="I5877" s="3"/>
    </row>
    <row r="5878" customHeight="1" spans="1:9">
      <c r="A5878" s="2"/>
      <c r="B5878" s="2" t="str">
        <f>IFERROR(__xludf.DUMMYFUNCTION("IF(A5878&lt;&gt;"""", GOOGLETRANSLATE(A5878, ""en"", ""te""),"""")"),"")</f>
        <v/>
      </c>
      <c r="C5878" s="2"/>
      <c r="D5878" s="2" t="str">
        <f>IFERROR(__xludf.DUMMYFUNCTION("IF(C5878&lt;&gt;"""", GOOGLETRANSLATE(C5878, ""en"", ""te""),"""")"),"")</f>
        <v/>
      </c>
      <c r="E5878" s="2"/>
      <c r="F5878" s="2" t="str">
        <f>IFERROR(__xludf.DUMMYFUNCTION("IF(E5878&lt;&gt;"""", GOOGLETRANSLATE(E5878, ""en"", ""te""),"""")"),"")</f>
        <v/>
      </c>
      <c r="G5878" s="2"/>
      <c r="H5878" s="2" t="str">
        <f>IFERROR(__xludf.DUMMYFUNCTION("IF(G5878&lt;&gt;"""", GOOGLETRANSLATE(G5878, ""en"", ""te""),"""")"),"")</f>
        <v/>
      </c>
      <c r="I5878" s="3"/>
    </row>
    <row r="5879" customHeight="1" spans="1:9">
      <c r="A5879" s="2"/>
      <c r="B5879" s="2" t="str">
        <f>IFERROR(__xludf.DUMMYFUNCTION("IF(A5879&lt;&gt;"""", GOOGLETRANSLATE(A5879, ""en"", ""te""),"""")"),"")</f>
        <v/>
      </c>
      <c r="C5879" s="2"/>
      <c r="D5879" s="2" t="str">
        <f>IFERROR(__xludf.DUMMYFUNCTION("IF(C5879&lt;&gt;"""", GOOGLETRANSLATE(C5879, ""en"", ""te""),"""")"),"")</f>
        <v/>
      </c>
      <c r="E5879" s="2"/>
      <c r="F5879" s="2" t="str">
        <f>IFERROR(__xludf.DUMMYFUNCTION("IF(E5879&lt;&gt;"""", GOOGLETRANSLATE(E5879, ""en"", ""te""),"""")"),"")</f>
        <v/>
      </c>
      <c r="G5879" s="2"/>
      <c r="H5879" s="2" t="str">
        <f>IFERROR(__xludf.DUMMYFUNCTION("IF(G5879&lt;&gt;"""", GOOGLETRANSLATE(G5879, ""en"", ""te""),"""")"),"")</f>
        <v/>
      </c>
      <c r="I5879" s="3"/>
    </row>
    <row r="5880" customHeight="1" spans="1:9">
      <c r="A5880" s="2"/>
      <c r="B5880" s="2" t="str">
        <f>IFERROR(__xludf.DUMMYFUNCTION("IF(A5880&lt;&gt;"""", GOOGLETRANSLATE(A5880, ""en"", ""te""),"""")"),"")</f>
        <v/>
      </c>
      <c r="C5880" s="2"/>
      <c r="D5880" s="2" t="str">
        <f>IFERROR(__xludf.DUMMYFUNCTION("IF(C5880&lt;&gt;"""", GOOGLETRANSLATE(C5880, ""en"", ""te""),"""")"),"")</f>
        <v/>
      </c>
      <c r="E5880" s="2"/>
      <c r="F5880" s="2" t="str">
        <f>IFERROR(__xludf.DUMMYFUNCTION("IF(E5880&lt;&gt;"""", GOOGLETRANSLATE(E5880, ""en"", ""te""),"""")"),"")</f>
        <v/>
      </c>
      <c r="G5880" s="2"/>
      <c r="H5880" s="2" t="str">
        <f>IFERROR(__xludf.DUMMYFUNCTION("IF(G5880&lt;&gt;"""", GOOGLETRANSLATE(G5880, ""en"", ""te""),"""")"),"")</f>
        <v/>
      </c>
      <c r="I5880" s="3"/>
    </row>
    <row r="5881" customHeight="1" spans="1:9">
      <c r="A5881" s="2"/>
      <c r="B5881" s="2" t="str">
        <f>IFERROR(__xludf.DUMMYFUNCTION("IF(A5881&lt;&gt;"""", GOOGLETRANSLATE(A5881, ""en"", ""te""),"""")"),"")</f>
        <v/>
      </c>
      <c r="C5881" s="2"/>
      <c r="D5881" s="2" t="str">
        <f>IFERROR(__xludf.DUMMYFUNCTION("IF(C5881&lt;&gt;"""", GOOGLETRANSLATE(C5881, ""en"", ""te""),"""")"),"")</f>
        <v/>
      </c>
      <c r="E5881" s="2"/>
      <c r="F5881" s="2" t="str">
        <f>IFERROR(__xludf.DUMMYFUNCTION("IF(E5881&lt;&gt;"""", GOOGLETRANSLATE(E5881, ""en"", ""te""),"""")"),"")</f>
        <v/>
      </c>
      <c r="G5881" s="2"/>
      <c r="H5881" s="2" t="str">
        <f>IFERROR(__xludf.DUMMYFUNCTION("IF(G5881&lt;&gt;"""", GOOGLETRANSLATE(G5881, ""en"", ""te""),"""")"),"")</f>
        <v/>
      </c>
      <c r="I5881" s="3"/>
    </row>
    <row r="5882" customHeight="1" spans="1:9">
      <c r="A5882" s="2"/>
      <c r="B5882" s="2" t="str">
        <f>IFERROR(__xludf.DUMMYFUNCTION("IF(A5882&lt;&gt;"""", GOOGLETRANSLATE(A5882, ""en"", ""te""),"""")"),"")</f>
        <v/>
      </c>
      <c r="C5882" s="2"/>
      <c r="D5882" s="2" t="str">
        <f>IFERROR(__xludf.DUMMYFUNCTION("IF(C5882&lt;&gt;"""", GOOGLETRANSLATE(C5882, ""en"", ""te""),"""")"),"")</f>
        <v/>
      </c>
      <c r="E5882" s="2"/>
      <c r="F5882" s="2" t="str">
        <f>IFERROR(__xludf.DUMMYFUNCTION("IF(E5882&lt;&gt;"""", GOOGLETRANSLATE(E5882, ""en"", ""te""),"""")"),"")</f>
        <v/>
      </c>
      <c r="G5882" s="2"/>
      <c r="H5882" s="2" t="str">
        <f>IFERROR(__xludf.DUMMYFUNCTION("IF(G5882&lt;&gt;"""", GOOGLETRANSLATE(G5882, ""en"", ""te""),"""")"),"")</f>
        <v/>
      </c>
      <c r="I5882" s="3"/>
    </row>
    <row r="5883" customHeight="1" spans="1:9">
      <c r="A5883" s="2"/>
      <c r="B5883" s="2" t="str">
        <f>IFERROR(__xludf.DUMMYFUNCTION("IF(A5883&lt;&gt;"""", GOOGLETRANSLATE(A5883, ""en"", ""te""),"""")"),"")</f>
        <v/>
      </c>
      <c r="C5883" s="2"/>
      <c r="D5883" s="2" t="str">
        <f>IFERROR(__xludf.DUMMYFUNCTION("IF(C5883&lt;&gt;"""", GOOGLETRANSLATE(C5883, ""en"", ""te""),"""")"),"")</f>
        <v/>
      </c>
      <c r="E5883" s="2"/>
      <c r="F5883" s="2" t="str">
        <f>IFERROR(__xludf.DUMMYFUNCTION("IF(E5883&lt;&gt;"""", GOOGLETRANSLATE(E5883, ""en"", ""te""),"""")"),"")</f>
        <v/>
      </c>
      <c r="G5883" s="2"/>
      <c r="H5883" s="2" t="str">
        <f>IFERROR(__xludf.DUMMYFUNCTION("IF(G5883&lt;&gt;"""", GOOGLETRANSLATE(G5883, ""en"", ""te""),"""")"),"")</f>
        <v/>
      </c>
      <c r="I5883" s="3"/>
    </row>
    <row r="5884" customHeight="1" spans="1:9">
      <c r="A5884" s="2" t="s">
        <v>3693</v>
      </c>
      <c r="B5884" s="2" t="str">
        <f>IFERROR(__xludf.DUMMYFUNCTION("IF(A5884&lt;&gt;"""", GOOGLETRANSLATE(A5884, ""en"", ""te""),"""")"),"[ 'ఇన్నింగ్స్ లో 3 వ అత్యధిక పరుగులు (బ్యాటింగ్ స్థానంలో ప్రకారం) (188)', '2 వ అత్యధిక తొలి వంద (188)', '3 వ వరుస నాలుగు వికెట్లు' 4 వ అత్యుత్తమ బౌలింగ్ ఇన్నింగ్స్ (6/20) విశ్లేషణలలో ' -ఇన్-ఒక-ఇన్నింగ్స్ (2) ',' 6 వ అత్యధిక వికెట్లు ఇన్నింగ్స్ (3) ',' 250"&amp;" పరుగులు మరియు ఒక సిరీస్లో 10 వికెట్లు తీసుకున్న క్యాచ్ మరియు బౌల్డ్ (9) ',' 4 వ అత్యధిక క్యాచ్లు ',' 1 వ అత్యధిక ఒక ఇన్నింగ్స్ లో మొదటి వికెట్కు భాగస్వామ్యం (320) ',' 2 వ అత్యంత పనికత్తెలయొద్ద (3) ',' 4 వ బౌలర్ / ఫీల్డర్ కలయికలు (13) ']")</f>
        <v>[ 'ఇన్నింగ్స్ లో 3 వ అత్యధిక పరుగులు (బ్యాటింగ్ స్థానంలో ప్రకారం) (188)', '2 వ అత్యధిక తొలి వంద (188)', '3 వ వరుస నాలుగు వికెట్లు' 4 వ అత్యుత్తమ బౌలింగ్ ఇన్నింగ్స్ (6/20) విశ్లేషణలలో ' -ఇన్-ఒక-ఇన్నింగ్స్ (2) ',' 6 వ అత్యధిక వికెట్లు ఇన్నింగ్స్ (3) ',' 250 పరుగులు మరియు ఒక సిరీస్లో 10 వికెట్లు తీసుకున్న క్యాచ్ మరియు బౌల్డ్ (9) ',' 4 వ అత్యధిక క్యాచ్లు ',' 1 వ అత్యధిక ఒక ఇన్నింగ్స్ లో మొదటి వికెట్కు భాగస్వామ్యం (320) ',' 2 వ అత్యంత పనికత్తెలయొద్ద (3) ',' 4 వ బౌలర్ / ఫీల్డర్ కలయికలు (13) ']</v>
      </c>
      <c r="C5884" s="2"/>
      <c r="D5884" s="2" t="str">
        <f>IFERROR(__xludf.DUMMYFUNCTION("IF(C5884&lt;&gt;"""", GOOGLETRANSLATE(C5884, ""en"", ""te""),"""")"),"")</f>
        <v/>
      </c>
      <c r="E5884" s="2" t="s">
        <v>3694</v>
      </c>
      <c r="F5884" s="2" t="str">
        <f>IFERROR(__xludf.DUMMYFUNCTION("IF(E5884&lt;&gt;"""", GOOGLETRANSLATE(E5884, ""en"", ""te""),"""")"),"[ఒక సింగిల్, '6 వ ఒక క్యాలెండర్ సంవత్సరంలో అత్యధిక పరుగులు (787)', 'ఇన్నింగ్స్ లో 3 వ అత్యధిక పరుగులు (బ్యాటింగ్ స్థానంలో ప్రకారం) (188)', '30 వ అత్యధిక పరుగులు' ఇన్నింగ్స్ (188) లో 3 వ అత్యధిక పరుగులు ' భూమి (346) ',' 24 వ అత్యధిక కెరీర్ బ్యాటింగ్ సగటు ("&amp;"39.15) ',' 2 వ అత్యధిక తొలి వంద (188) ',' 11 వ పిన్న ఆటగాడు వంద స్కోర్ (19y 264d) ',' 46 వ కెరీర్ అర్ధ (11) ',' 40 వ అత్యంత ఇన్నింగ్స్ తొలి డక్ ముందు (15) ',' కెరీర్ లో 26 వ అతి తక్కువ బాతులు (25.5) ',' ఒక ఇన్నింగ్స్లో పరుగుల 37 వ అత్యధిక శాతం (52.51) ','"&amp;" 9 వ ఇన్నింగ్స్ లో బెస్ట్ ఫిగర్స్ (6 / 20) ',' 41 వ ఒక సిరీస్లో అత్యధిక వికెట్లు (17) ',' 40 వ ఒక క్యాలెండర్ సంవత్సరంలో అత్యధిక వికెట్లు (22) ',' 4 వ అత్యుత్తమ బౌలింగ్ ఇన్నింగ్స్ లో విశ్లేషించడం (6/20) ',' 33 వ చాలా న వికెట్లు ఒకే భూమి (12) ',' 3 వ వరుస న"&amp;"ాలుగు వికెట్లు-ఇన్-ఒక-ఇన్నింగ్స్ (2) ',' ఐదు వికెట్ల లో-ఒక-ఇన్నింగ్స్ తీసుకోవాలని 6 వ పిన్న వయస్కుడిగా నిలిచాడు (18y 179d) ',' 44 వ అత్యంత బంతుల్లో కెరీర్లో బౌల్డ్ (2885) ',' 41 వ కెరీర్ లో సాధించిన అత్యధిక పరుగులు (1867) ',' 39 వ అత్యధిక వికెట్లు తీసుకున"&amp;"్న బౌల్డ్ (18) ',' 6 వ అత్యంత తక్ వికెట్లు en ఏ వికెట్ ఇన్నింగ్స్ (3) ',' 1 వ అత్యధిక భాగస్వామ్య క్యాచ్ మరియు బౌల్డ్ (9) ',' 43 వ అత్యధిక వికెట్లు తీసుకున్న ఎల్బిడబ్ల్యు (11) ',' 4 వ అత్యధిక క్యాచ్లు (320) ',' 1 వ వికెట్ తేడాతో అత్యధిక భాగస్వామ్యాలు (1 వ)"&amp;" ',' మొదటి వికెట్కు 1st అత్యధిక భాగస్వామ్యం (320) ',' ఎనిమిదవ వికెట్కు 17 అత్యధిక భాగస్వామ్యం (53) ',' ఒక జట్టు 18 వ వరుస మ్యాచ్లు (54) ']")</f>
        <v>[ఒక సింగిల్, '6 వ ఒక క్యాలెండర్ సంవత్సరంలో అత్యధిక పరుగులు (787)', 'ఇన్నింగ్స్ లో 3 వ అత్యధిక పరుగులు (బ్యాటింగ్ స్థానంలో ప్రకారం) (188)', '30 వ అత్యధిక పరుగులు' ఇన్నింగ్స్ (188) లో 3 వ అత్యధిక పరుగులు ' భూమి (346) ',' 24 వ అత్యధిక కెరీర్ బ్యాటింగ్ సగటు (39.15) ',' 2 వ అత్యధిక తొలి వంద (188) ',' 11 వ పిన్న ఆటగాడు వంద స్కోర్ (19y 264d) ',' 46 వ కెరీర్ అర్ధ (11) ',' 40 వ అత్యంత ఇన్నింగ్స్ తొలి డక్ ముందు (15) ',' కెరీర్ లో 26 వ అతి తక్కువ బాతులు (25.5) ',' ఒక ఇన్నింగ్స్లో పరుగుల 37 వ అత్యధిక శాతం (52.51) ',' 9 వ ఇన్నింగ్స్ లో బెస్ట్ ఫిగర్స్ (6 / 20) ',' 41 వ ఒక సిరీస్లో అత్యధిక వికెట్లు (17) ',' 40 వ ఒక క్యాలెండర్ సంవత్సరంలో అత్యధిక వికెట్లు (22) ',' 4 వ అత్యుత్తమ బౌలింగ్ ఇన్నింగ్స్ లో విశ్లేషించడం (6/20) ',' 33 వ చాలా న వికెట్లు ఒకే భూమి (12) ',' 3 వ వరుస నాలుగు వికెట్లు-ఇన్-ఒక-ఇన్నింగ్స్ (2) ',' ఐదు వికెట్ల లో-ఒక-ఇన్నింగ్స్ తీసుకోవాలని 6 వ పిన్న వయస్కుడిగా నిలిచాడు (18y 179d) ',' 44 వ అత్యంత బంతుల్లో కెరీర్లో బౌల్డ్ (2885) ',' 41 వ కెరీర్ లో సాధించిన అత్యధిక పరుగులు (1867) ',' 39 వ అత్యధిక వికెట్లు తీసుకున్న బౌల్డ్ (18) ',' 6 వ అత్యంత తక్ వికెట్లు en ఏ వికెట్ ఇన్నింగ్స్ (3) ',' 1 వ అత్యధిక భాగస్వామ్య క్యాచ్ మరియు బౌల్డ్ (9) ',' 43 వ అత్యధిక వికెట్లు తీసుకున్న ఎల్బిడబ్ల్యు (11) ',' 4 వ అత్యధిక క్యాచ్లు (320) ',' 1 వ వికెట్ తేడాతో అత్యధిక భాగస్వామ్యాలు (1 వ) ',' మొదటి వికెట్కు 1st అత్యధిక భాగస్వామ్యం (320) ',' ఎనిమిదవ వికెట్కు 17 అత్యధిక భాగస్వామ్యం (53) ',' ఒక జట్టు 18 వ వరుస మ్యాచ్లు (54) ']</v>
      </c>
      <c r="G5884" s="2" t="s">
        <v>3695</v>
      </c>
      <c r="H5884" s="2" t="str">
        <f>IFERROR(__xludf.DUMMYFUNCTION("IF(G5884&lt;&gt;"""", GOOGLETRANSLATE(G5884, ""en"", ""te""),"""")"),"[ '32 వ కెరీర్ లో అత్యధిక వికెట్లు (54)', '37 వ ఒక క్యాలెండర్ సంవత్సరంలో అత్యధిక వికెట్లు (19)', '50 వ ఉత్తమ కెరీర్ బౌలింగ్ సరాసరి (20.48)', '37 వ ఉత్తమ కెరీర్ సమ్మె రేటు (20.2)', '31 చెత్త వృత్తి ఆర్థిక రేటు (6.06) ',' 34 వ కెరీర్ లో బౌల్డ్ చాలా బంతుల్లో"&amp;" (1095) ',' 31 అత్యధిక పరుగులు కెరీర్ (1106) లో ',' సాధించిన 4 వ బౌలర్ / ఫీల్డర్ కలయికలు (13) ',' 38 వ అత్యధిక వికెట్లు బౌల్డ్ తీసుకున్న ( 11) ',' 37 వ అత్యధిక వికెట్లు తీసుకున్న ఆకర్షించింది (28) ',' 33 వ అత్యధిక వికెట్లు ఒక ఫీల్డర్ చేత క్యాచ్ తీసుకున్న "&amp;"(25) ',' 12 వ అత్యధిక వికెట్లు కెరీర్ (20 లో తీసిన స్టంప్ (10) ',' 41 వ అత్యధిక క్యాచ్లు) ' 'ఏడో వికెట్కు 20 వ అత్యధిక భాగస్వామ్యం (43 *)', 'తొమ్మిదవ వికెట్కు 45 వ అత్యధిక భాగస్వామ్యం (15)', '27 వ కెరీర్ పనికత్తెలయొద్ద (6)', '2 వ అత్యంత పనికత్తెలయొద్ద ఇన్"&amp;"నింగ్స్ లో (3)' ]")</f>
        <v>[ '32 వ కెరీర్ లో అత్యధిక వికెట్లు (54)', '37 వ ఒక క్యాలెండర్ సంవత్సరంలో అత్యధిక వికెట్లు (19)', '50 వ ఉత్తమ కెరీర్ బౌలింగ్ సరాసరి (20.48)', '37 వ ఉత్తమ కెరీర్ సమ్మె రేటు (20.2)', '31 చెత్త వృత్తి ఆర్థిక రేటు (6.06) ',' 34 వ కెరీర్ లో బౌల్డ్ చాలా బంతుల్లో (1095) ',' 31 అత్యధిక పరుగులు కెరీర్ (1106) లో ',' సాధించిన 4 వ బౌలర్ / ఫీల్డర్ కలయికలు (13) ',' 38 వ అత్యధిక వికెట్లు బౌల్డ్ తీసుకున్న ( 11) ',' 37 వ అత్యధిక వికెట్లు తీసుకున్న ఆకర్షించింది (28) ',' 33 వ అత్యధిక వికెట్లు ఒక ఫీల్డర్ చేత క్యాచ్ తీసుకున్న (25) ',' 12 వ అత్యధిక వికెట్లు కెరీర్ (20 లో తీసిన స్టంప్ (10) ',' 41 వ అత్యధిక క్యాచ్లు) ' 'ఏడో వికెట్కు 20 వ అత్యధిక భాగస్వామ్యం (43 *)', 'తొమ్మిదవ వికెట్కు 45 వ అత్యధిక భాగస్వామ్యం (15)', '27 వ కెరీర్ పనికత్తెలయొద్ద (6)', '2 వ అత్యంత పనికత్తెలయొద్ద ఇన్నింగ్స్ లో (3)' ]</v>
      </c>
      <c r="I5884" s="3"/>
    </row>
    <row r="5885" customHeight="1" spans="1:9">
      <c r="A5885" s="2"/>
      <c r="B5885" s="2" t="str">
        <f>IFERROR(__xludf.DUMMYFUNCTION("IF(A5885&lt;&gt;"""", GOOGLETRANSLATE(A5885, ""en"", ""te""),"""")"),"")</f>
        <v/>
      </c>
      <c r="C5885" s="2"/>
      <c r="D5885" s="2" t="str">
        <f>IFERROR(__xludf.DUMMYFUNCTION("IF(C5885&lt;&gt;"""", GOOGLETRANSLATE(C5885, ""en"", ""te""),"""")"),"")</f>
        <v/>
      </c>
      <c r="E5885" s="2"/>
      <c r="F5885" s="2" t="str">
        <f>IFERROR(__xludf.DUMMYFUNCTION("IF(E5885&lt;&gt;"""", GOOGLETRANSLATE(E5885, ""en"", ""te""),"""")"),"")</f>
        <v/>
      </c>
      <c r="G5885" s="2"/>
      <c r="H5885" s="2" t="str">
        <f>IFERROR(__xludf.DUMMYFUNCTION("IF(G5885&lt;&gt;"""", GOOGLETRANSLATE(G5885, ""en"", ""te""),"""")"),"")</f>
        <v/>
      </c>
      <c r="I5885" s="3"/>
    </row>
    <row r="5886" customHeight="1" spans="1:9">
      <c r="A5886" s="2"/>
      <c r="B5886" s="2" t="str">
        <f>IFERROR(__xludf.DUMMYFUNCTION("IF(A5886&lt;&gt;"""", GOOGLETRANSLATE(A5886, ""en"", ""te""),"""")"),"")</f>
        <v/>
      </c>
      <c r="C5886" s="2"/>
      <c r="D5886" s="2" t="str">
        <f>IFERROR(__xludf.DUMMYFUNCTION("IF(C5886&lt;&gt;"""", GOOGLETRANSLATE(C5886, ""en"", ""te""),"""")"),"")</f>
        <v/>
      </c>
      <c r="E5886" s="2"/>
      <c r="F5886" s="2" t="str">
        <f>IFERROR(__xludf.DUMMYFUNCTION("IF(E5886&lt;&gt;"""", GOOGLETRANSLATE(E5886, ""en"", ""te""),"""")"),"")</f>
        <v/>
      </c>
      <c r="G5886" s="2"/>
      <c r="H5886" s="2" t="str">
        <f>IFERROR(__xludf.DUMMYFUNCTION("IF(G5886&lt;&gt;"""", GOOGLETRANSLATE(G5886, ""en"", ""te""),"""")"),"")</f>
        <v/>
      </c>
      <c r="I5886" s="3"/>
    </row>
    <row r="5887" customHeight="1" spans="1:9">
      <c r="A5887" s="2"/>
      <c r="B5887" s="2" t="str">
        <f>IFERROR(__xludf.DUMMYFUNCTION("IF(A5887&lt;&gt;"""", GOOGLETRANSLATE(A5887, ""en"", ""te""),"""")"),"")</f>
        <v/>
      </c>
      <c r="C5887" s="2"/>
      <c r="D5887" s="2" t="str">
        <f>IFERROR(__xludf.DUMMYFUNCTION("IF(C5887&lt;&gt;"""", GOOGLETRANSLATE(C5887, ""en"", ""te""),"""")"),"")</f>
        <v/>
      </c>
      <c r="E5887" s="2"/>
      <c r="F5887" s="2" t="str">
        <f>IFERROR(__xludf.DUMMYFUNCTION("IF(E5887&lt;&gt;"""", GOOGLETRANSLATE(E5887, ""en"", ""te""),"""")"),"")</f>
        <v/>
      </c>
      <c r="G5887" s="2"/>
      <c r="H5887" s="2" t="str">
        <f>IFERROR(__xludf.DUMMYFUNCTION("IF(G5887&lt;&gt;"""", GOOGLETRANSLATE(G5887, ""en"", ""te""),"""")"),"")</f>
        <v/>
      </c>
      <c r="I5887" s="3"/>
    </row>
    <row r="5888" customHeight="1" spans="1:9">
      <c r="A5888" s="2"/>
      <c r="B5888" s="2" t="str">
        <f>IFERROR(__xludf.DUMMYFUNCTION("IF(A5888&lt;&gt;"""", GOOGLETRANSLATE(A5888, ""en"", ""te""),"""")"),"")</f>
        <v/>
      </c>
      <c r="C5888" s="2"/>
      <c r="D5888" s="2" t="str">
        <f>IFERROR(__xludf.DUMMYFUNCTION("IF(C5888&lt;&gt;"""", GOOGLETRANSLATE(C5888, ""en"", ""te""),"""")"),"")</f>
        <v/>
      </c>
      <c r="E5888" s="2"/>
      <c r="F5888" s="2" t="str">
        <f>IFERROR(__xludf.DUMMYFUNCTION("IF(E5888&lt;&gt;"""", GOOGLETRANSLATE(E5888, ""en"", ""te""),"""")"),"")</f>
        <v/>
      </c>
      <c r="G5888" s="2"/>
      <c r="H5888" s="2" t="str">
        <f>IFERROR(__xludf.DUMMYFUNCTION("IF(G5888&lt;&gt;"""", GOOGLETRANSLATE(G5888, ""en"", ""te""),"""")"),"")</f>
        <v/>
      </c>
      <c r="I5888" s="3"/>
    </row>
    <row r="5889" customHeight="1" spans="1:9">
      <c r="A5889" s="2" t="s">
        <v>2429</v>
      </c>
      <c r="B5889" s="2" t="str">
        <f>IFERROR(__xludf.DUMMYFUNCTION("IF(A5889&lt;&gt;"""", GOOGLETRANSLATE(A5889, ""en"", ""te""),"""")"),"[ '10 వ చెత్త ఇన్నింగ్స్ లో ఆర్థిక రేటు (12.00)']")</f>
        <v>[ '10 వ చెత్త ఇన్నింగ్స్ లో ఆర్థిక రేటు (12.00)']</v>
      </c>
      <c r="C5889" s="2"/>
      <c r="D5889" s="2" t="str">
        <f>IFERROR(__xludf.DUMMYFUNCTION("IF(C5889&lt;&gt;"""", GOOGLETRANSLATE(C5889, ""en"", ""te""),"""")"),"")</f>
        <v/>
      </c>
      <c r="E5889" s="2" t="s">
        <v>2429</v>
      </c>
      <c r="F5889" s="2" t="str">
        <f>IFERROR(__xludf.DUMMYFUNCTION("IF(E5889&lt;&gt;"""", GOOGLETRANSLATE(E5889, ""en"", ""te""),"""")"),"[ '10 వ చెత్త ఇన్నింగ్స్ లో ఆర్థిక రేటు (12.00)']")</f>
        <v>[ '10 వ చెత్త ఇన్నింగ్స్ లో ఆర్థిక రేటు (12.00)']</v>
      </c>
      <c r="G5889" s="2"/>
      <c r="H5889" s="2" t="str">
        <f>IFERROR(__xludf.DUMMYFUNCTION("IF(G5889&lt;&gt;"""", GOOGLETRANSLATE(G5889, ""en"", ""te""),"""")"),"")</f>
        <v/>
      </c>
      <c r="I5889" s="3"/>
    </row>
    <row r="5890" customHeight="1" spans="1:9">
      <c r="A5890" s="2"/>
      <c r="B5890" s="2" t="str">
        <f>IFERROR(__xludf.DUMMYFUNCTION("IF(A5890&lt;&gt;"""", GOOGLETRANSLATE(A5890, ""en"", ""te""),"""")"),"")</f>
        <v/>
      </c>
      <c r="C5890" s="2"/>
      <c r="D5890" s="2" t="str">
        <f>IFERROR(__xludf.DUMMYFUNCTION("IF(C5890&lt;&gt;"""", GOOGLETRANSLATE(C5890, ""en"", ""te""),"""")"),"")</f>
        <v/>
      </c>
      <c r="E5890" s="2"/>
      <c r="F5890" s="2" t="str">
        <f>IFERROR(__xludf.DUMMYFUNCTION("IF(E5890&lt;&gt;"""", GOOGLETRANSLATE(E5890, ""en"", ""te""),"""")"),"")</f>
        <v/>
      </c>
      <c r="G5890" s="2"/>
      <c r="H5890" s="2" t="str">
        <f>IFERROR(__xludf.DUMMYFUNCTION("IF(G5890&lt;&gt;"""", GOOGLETRANSLATE(G5890, ""en"", ""te""),"""")"),"")</f>
        <v/>
      </c>
      <c r="I5890" s="3"/>
    </row>
    <row r="5891" customHeight="1" spans="1:9">
      <c r="A5891" s="2"/>
      <c r="B5891" s="2" t="str">
        <f>IFERROR(__xludf.DUMMYFUNCTION("IF(A5891&lt;&gt;"""", GOOGLETRANSLATE(A5891, ""en"", ""te""),"""")"),"")</f>
        <v/>
      </c>
      <c r="C5891" s="2"/>
      <c r="D5891" s="2" t="str">
        <f>IFERROR(__xludf.DUMMYFUNCTION("IF(C5891&lt;&gt;"""", GOOGLETRANSLATE(C5891, ""en"", ""te""),"""")"),"")</f>
        <v/>
      </c>
      <c r="E5891" s="2"/>
      <c r="F5891" s="2" t="str">
        <f>IFERROR(__xludf.DUMMYFUNCTION("IF(E5891&lt;&gt;"""", GOOGLETRANSLATE(E5891, ""en"", ""te""),"""")"),"")</f>
        <v/>
      </c>
      <c r="G5891" s="2"/>
      <c r="H5891" s="2" t="str">
        <f>IFERROR(__xludf.DUMMYFUNCTION("IF(G5891&lt;&gt;"""", GOOGLETRANSLATE(G5891, ""en"", ""te""),"""")"),"")</f>
        <v/>
      </c>
      <c r="I5891" s="3"/>
    </row>
    <row r="5892" customHeight="1" spans="1:9">
      <c r="A5892" s="2"/>
      <c r="B5892" s="2" t="str">
        <f>IFERROR(__xludf.DUMMYFUNCTION("IF(A5892&lt;&gt;"""", GOOGLETRANSLATE(A5892, ""en"", ""te""),"""")"),"")</f>
        <v/>
      </c>
      <c r="C5892" s="2"/>
      <c r="D5892" s="2" t="str">
        <f>IFERROR(__xludf.DUMMYFUNCTION("IF(C5892&lt;&gt;"""", GOOGLETRANSLATE(C5892, ""en"", ""te""),"""")"),"")</f>
        <v/>
      </c>
      <c r="E5892" s="2"/>
      <c r="F5892" s="2" t="str">
        <f>IFERROR(__xludf.DUMMYFUNCTION("IF(E5892&lt;&gt;"""", GOOGLETRANSLATE(E5892, ""en"", ""te""),"""")"),"")</f>
        <v/>
      </c>
      <c r="G5892" s="2"/>
      <c r="H5892" s="2" t="str">
        <f>IFERROR(__xludf.DUMMYFUNCTION("IF(G5892&lt;&gt;"""", GOOGLETRANSLATE(G5892, ""en"", ""te""),"""")"),"")</f>
        <v/>
      </c>
      <c r="I5892" s="3"/>
    </row>
    <row r="5893" customHeight="1" spans="1:9">
      <c r="A5893" s="2"/>
      <c r="B5893" s="2" t="str">
        <f>IFERROR(__xludf.DUMMYFUNCTION("IF(A5893&lt;&gt;"""", GOOGLETRANSLATE(A5893, ""en"", ""te""),"""")"),"")</f>
        <v/>
      </c>
      <c r="C5893" s="2"/>
      <c r="D5893" s="2" t="str">
        <f>IFERROR(__xludf.DUMMYFUNCTION("IF(C5893&lt;&gt;"""", GOOGLETRANSLATE(C5893, ""en"", ""te""),"""")"),"")</f>
        <v/>
      </c>
      <c r="E5893" s="2"/>
      <c r="F5893" s="2" t="str">
        <f>IFERROR(__xludf.DUMMYFUNCTION("IF(E5893&lt;&gt;"""", GOOGLETRANSLATE(E5893, ""en"", ""te""),"""")"),"")</f>
        <v/>
      </c>
      <c r="G5893" s="2"/>
      <c r="H5893" s="2" t="str">
        <f>IFERROR(__xludf.DUMMYFUNCTION("IF(G5893&lt;&gt;"""", GOOGLETRANSLATE(G5893, ""en"", ""te""),"""")"),"")</f>
        <v/>
      </c>
      <c r="I5893" s="3"/>
    </row>
    <row r="5894" customHeight="1" spans="1:9">
      <c r="A5894" s="2"/>
      <c r="B5894" s="2" t="str">
        <f>IFERROR(__xludf.DUMMYFUNCTION("IF(A5894&lt;&gt;"""", GOOGLETRANSLATE(A5894, ""en"", ""te""),"""")"),"")</f>
        <v/>
      </c>
      <c r="C5894" s="2"/>
      <c r="D5894" s="2" t="str">
        <f>IFERROR(__xludf.DUMMYFUNCTION("IF(C5894&lt;&gt;"""", GOOGLETRANSLATE(C5894, ""en"", ""te""),"""")"),"")</f>
        <v/>
      </c>
      <c r="E5894" s="2"/>
      <c r="F5894" s="2" t="str">
        <f>IFERROR(__xludf.DUMMYFUNCTION("IF(E5894&lt;&gt;"""", GOOGLETRANSLATE(E5894, ""en"", ""te""),"""")"),"")</f>
        <v/>
      </c>
      <c r="G5894" s="2"/>
      <c r="H5894" s="2" t="str">
        <f>IFERROR(__xludf.DUMMYFUNCTION("IF(G5894&lt;&gt;"""", GOOGLETRANSLATE(G5894, ""en"", ""te""),"""")"),"")</f>
        <v/>
      </c>
      <c r="I5894" s="3"/>
    </row>
    <row r="5895" customHeight="1" spans="1:9">
      <c r="A5895" s="2"/>
      <c r="B5895" s="2" t="str">
        <f>IFERROR(__xludf.DUMMYFUNCTION("IF(A5895&lt;&gt;"""", GOOGLETRANSLATE(A5895, ""en"", ""te""),"""")"),"")</f>
        <v/>
      </c>
      <c r="C5895" s="2"/>
      <c r="D5895" s="2" t="str">
        <f>IFERROR(__xludf.DUMMYFUNCTION("IF(C5895&lt;&gt;"""", GOOGLETRANSLATE(C5895, ""en"", ""te""),"""")"),"")</f>
        <v/>
      </c>
      <c r="E5895" s="2"/>
      <c r="F5895" s="2" t="str">
        <f>IFERROR(__xludf.DUMMYFUNCTION("IF(E5895&lt;&gt;"""", GOOGLETRANSLATE(E5895, ""en"", ""te""),"""")"),"")</f>
        <v/>
      </c>
      <c r="G5895" s="2"/>
      <c r="H5895" s="2" t="str">
        <f>IFERROR(__xludf.DUMMYFUNCTION("IF(G5895&lt;&gt;"""", GOOGLETRANSLATE(G5895, ""en"", ""te""),"""")"),"")</f>
        <v/>
      </c>
      <c r="I5895" s="3"/>
    </row>
    <row r="5896" customHeight="1" spans="1:9">
      <c r="A5896" s="2"/>
      <c r="B5896" s="2" t="str">
        <f>IFERROR(__xludf.DUMMYFUNCTION("IF(A5896&lt;&gt;"""", GOOGLETRANSLATE(A5896, ""en"", ""te""),"""")"),"")</f>
        <v/>
      </c>
      <c r="C5896" s="2"/>
      <c r="D5896" s="2" t="str">
        <f>IFERROR(__xludf.DUMMYFUNCTION("IF(C5896&lt;&gt;"""", GOOGLETRANSLATE(C5896, ""en"", ""te""),"""")"),"")</f>
        <v/>
      </c>
      <c r="E5896" s="2"/>
      <c r="F5896" s="2" t="str">
        <f>IFERROR(__xludf.DUMMYFUNCTION("IF(E5896&lt;&gt;"""", GOOGLETRANSLATE(E5896, ""en"", ""te""),"""")"),"")</f>
        <v/>
      </c>
      <c r="G5896" s="2"/>
      <c r="H5896" s="2" t="str">
        <f>IFERROR(__xludf.DUMMYFUNCTION("IF(G5896&lt;&gt;"""", GOOGLETRANSLATE(G5896, ""en"", ""te""),"""")"),"")</f>
        <v/>
      </c>
      <c r="I5896" s="3"/>
    </row>
    <row r="5897" customHeight="1" spans="1:9">
      <c r="A5897" s="2"/>
      <c r="B5897" s="2" t="str">
        <f>IFERROR(__xludf.DUMMYFUNCTION("IF(A5897&lt;&gt;"""", GOOGLETRANSLATE(A5897, ""en"", ""te""),"""")"),"")</f>
        <v/>
      </c>
      <c r="C5897" s="2"/>
      <c r="D5897" s="2" t="str">
        <f>IFERROR(__xludf.DUMMYFUNCTION("IF(C5897&lt;&gt;"""", GOOGLETRANSLATE(C5897, ""en"", ""te""),"""")"),"")</f>
        <v/>
      </c>
      <c r="E5897" s="2"/>
      <c r="F5897" s="2" t="str">
        <f>IFERROR(__xludf.DUMMYFUNCTION("IF(E5897&lt;&gt;"""", GOOGLETRANSLATE(E5897, ""en"", ""te""),"""")"),"")</f>
        <v/>
      </c>
      <c r="G5897" s="2"/>
      <c r="H5897" s="2" t="str">
        <f>IFERROR(__xludf.DUMMYFUNCTION("IF(G5897&lt;&gt;"""", GOOGLETRANSLATE(G5897, ""en"", ""te""),"""")"),"")</f>
        <v/>
      </c>
      <c r="I5897" s="3"/>
    </row>
    <row r="5898" customHeight="1" spans="1:9">
      <c r="A5898" s="2"/>
      <c r="B5898" s="2" t="str">
        <f>IFERROR(__xludf.DUMMYFUNCTION("IF(A5898&lt;&gt;"""", GOOGLETRANSLATE(A5898, ""en"", ""te""),"""")"),"")</f>
        <v/>
      </c>
      <c r="C5898" s="2" t="s">
        <v>3696</v>
      </c>
      <c r="D5898" s="2" t="str">
        <f>IFERROR(__xludf.DUMMYFUNCTION("IF(C5898&lt;&gt;"""", GOOGLETRANSLATE(C5898, ""en"", ""te""),"""")"),"[ 'తొలి 32 వ ఓల్డెస్ట్ క్రీడాకారులు (37y 329d)']")</f>
        <v>[ 'తొలి 32 వ ఓల్డెస్ట్ క్రీడాకారులు (37y 329d)']</v>
      </c>
      <c r="E5898" s="2"/>
      <c r="F5898" s="2" t="str">
        <f>IFERROR(__xludf.DUMMYFUNCTION("IF(E5898&lt;&gt;"""", GOOGLETRANSLATE(E5898, ""en"", ""te""),"""")"),"")</f>
        <v/>
      </c>
      <c r="G5898" s="2"/>
      <c r="H5898" s="2" t="str">
        <f>IFERROR(__xludf.DUMMYFUNCTION("IF(G5898&lt;&gt;"""", GOOGLETRANSLATE(G5898, ""en"", ""te""),"""")"),"")</f>
        <v/>
      </c>
      <c r="I5898" s="3"/>
    </row>
    <row r="5899" customHeight="1" spans="1:9">
      <c r="A5899" s="2"/>
      <c r="B5899" s="2" t="str">
        <f>IFERROR(__xludf.DUMMYFUNCTION("IF(A5899&lt;&gt;"""", GOOGLETRANSLATE(A5899, ""en"", ""te""),"""")"),"")</f>
        <v/>
      </c>
      <c r="C5899" s="2"/>
      <c r="D5899" s="2" t="str">
        <f>IFERROR(__xludf.DUMMYFUNCTION("IF(C5899&lt;&gt;"""", GOOGLETRANSLATE(C5899, ""en"", ""te""),"""")"),"")</f>
        <v/>
      </c>
      <c r="E5899" s="2"/>
      <c r="F5899" s="2" t="str">
        <f>IFERROR(__xludf.DUMMYFUNCTION("IF(E5899&lt;&gt;"""", GOOGLETRANSLATE(E5899, ""en"", ""te""),"""")"),"")</f>
        <v/>
      </c>
      <c r="G5899" s="2"/>
      <c r="H5899" s="2" t="str">
        <f>IFERROR(__xludf.DUMMYFUNCTION("IF(G5899&lt;&gt;"""", GOOGLETRANSLATE(G5899, ""en"", ""te""),"""")"),"")</f>
        <v/>
      </c>
      <c r="I5899" s="3"/>
    </row>
    <row r="5900" customHeight="1" spans="1:9">
      <c r="A5900" s="2"/>
      <c r="B5900" s="2" t="str">
        <f>IFERROR(__xludf.DUMMYFUNCTION("IF(A5900&lt;&gt;"""", GOOGLETRANSLATE(A5900, ""en"", ""te""),"""")"),"")</f>
        <v/>
      </c>
      <c r="C5900" s="2"/>
      <c r="D5900" s="2" t="str">
        <f>IFERROR(__xludf.DUMMYFUNCTION("IF(C5900&lt;&gt;"""", GOOGLETRANSLATE(C5900, ""en"", ""te""),"""")"),"")</f>
        <v/>
      </c>
      <c r="E5900" s="2"/>
      <c r="F5900" s="2" t="str">
        <f>IFERROR(__xludf.DUMMYFUNCTION("IF(E5900&lt;&gt;"""", GOOGLETRANSLATE(E5900, ""en"", ""te""),"""")"),"")</f>
        <v/>
      </c>
      <c r="G5900" s="2"/>
      <c r="H5900" s="2" t="str">
        <f>IFERROR(__xludf.DUMMYFUNCTION("IF(G5900&lt;&gt;"""", GOOGLETRANSLATE(G5900, ""en"", ""te""),"""")"),"")</f>
        <v/>
      </c>
      <c r="I5900" s="3"/>
    </row>
    <row r="5901" customHeight="1" spans="1:9">
      <c r="A5901" s="2"/>
      <c r="B5901" s="2" t="str">
        <f>IFERROR(__xludf.DUMMYFUNCTION("IF(A5901&lt;&gt;"""", GOOGLETRANSLATE(A5901, ""en"", ""te""),"""")"),"")</f>
        <v/>
      </c>
      <c r="C5901" s="2"/>
      <c r="D5901" s="2" t="str">
        <f>IFERROR(__xludf.DUMMYFUNCTION("IF(C5901&lt;&gt;"""", GOOGLETRANSLATE(C5901, ""en"", ""te""),"""")"),"")</f>
        <v/>
      </c>
      <c r="E5901" s="2"/>
      <c r="F5901" s="2" t="str">
        <f>IFERROR(__xludf.DUMMYFUNCTION("IF(E5901&lt;&gt;"""", GOOGLETRANSLATE(E5901, ""en"", ""te""),"""")"),"")</f>
        <v/>
      </c>
      <c r="G5901" s="2"/>
      <c r="H5901" s="2" t="str">
        <f>IFERROR(__xludf.DUMMYFUNCTION("IF(G5901&lt;&gt;"""", GOOGLETRANSLATE(G5901, ""en"", ""te""),"""")"),"")</f>
        <v/>
      </c>
      <c r="I5901" s="3"/>
    </row>
    <row r="5902" customHeight="1" spans="1:9">
      <c r="A5902" s="2"/>
      <c r="B5902" s="2" t="str">
        <f>IFERROR(__xludf.DUMMYFUNCTION("IF(A5902&lt;&gt;"""", GOOGLETRANSLATE(A5902, ""en"", ""te""),"""")"),"")</f>
        <v/>
      </c>
      <c r="C5902" s="2"/>
      <c r="D5902" s="2" t="str">
        <f>IFERROR(__xludf.DUMMYFUNCTION("IF(C5902&lt;&gt;"""", GOOGLETRANSLATE(C5902, ""en"", ""te""),"""")"),"")</f>
        <v/>
      </c>
      <c r="E5902" s="2"/>
      <c r="F5902" s="2" t="str">
        <f>IFERROR(__xludf.DUMMYFUNCTION("IF(E5902&lt;&gt;"""", GOOGLETRANSLATE(E5902, ""en"", ""te""),"""")"),"")</f>
        <v/>
      </c>
      <c r="G5902" s="2"/>
      <c r="H5902" s="2" t="str">
        <f>IFERROR(__xludf.DUMMYFUNCTION("IF(G5902&lt;&gt;"""", GOOGLETRANSLATE(G5902, ""en"", ""te""),"""")"),"")</f>
        <v/>
      </c>
      <c r="I5902" s="3"/>
    </row>
    <row r="5903" customHeight="1" spans="1:9">
      <c r="A5903" s="2"/>
      <c r="B5903" s="2" t="str">
        <f>IFERROR(__xludf.DUMMYFUNCTION("IF(A5903&lt;&gt;"""", GOOGLETRANSLATE(A5903, ""en"", ""te""),"""")"),"")</f>
        <v/>
      </c>
      <c r="C5903" s="2"/>
      <c r="D5903" s="2" t="str">
        <f>IFERROR(__xludf.DUMMYFUNCTION("IF(C5903&lt;&gt;"""", GOOGLETRANSLATE(C5903, ""en"", ""te""),"""")"),"")</f>
        <v/>
      </c>
      <c r="E5903" s="2"/>
      <c r="F5903" s="2" t="str">
        <f>IFERROR(__xludf.DUMMYFUNCTION("IF(E5903&lt;&gt;"""", GOOGLETRANSLATE(E5903, ""en"", ""te""),"""")"),"")</f>
        <v/>
      </c>
      <c r="G5903" s="2"/>
      <c r="H5903" s="2" t="str">
        <f>IFERROR(__xludf.DUMMYFUNCTION("IF(G5903&lt;&gt;"""", GOOGLETRANSLATE(G5903, ""en"", ""te""),"""")"),"")</f>
        <v/>
      </c>
      <c r="I5903" s="3"/>
    </row>
    <row r="5904" customHeight="1" spans="1:9">
      <c r="A5904" s="2"/>
      <c r="B5904" s="2" t="str">
        <f>IFERROR(__xludf.DUMMYFUNCTION("IF(A5904&lt;&gt;"""", GOOGLETRANSLATE(A5904, ""en"", ""te""),"""")"),"")</f>
        <v/>
      </c>
      <c r="C5904" s="2"/>
      <c r="D5904" s="2" t="str">
        <f>IFERROR(__xludf.DUMMYFUNCTION("IF(C5904&lt;&gt;"""", GOOGLETRANSLATE(C5904, ""en"", ""te""),"""")"),"")</f>
        <v/>
      </c>
      <c r="E5904" s="2"/>
      <c r="F5904" s="2" t="str">
        <f>IFERROR(__xludf.DUMMYFUNCTION("IF(E5904&lt;&gt;"""", GOOGLETRANSLATE(E5904, ""en"", ""te""),"""")"),"")</f>
        <v/>
      </c>
      <c r="G5904" s="2"/>
      <c r="H5904" s="2" t="str">
        <f>IFERROR(__xludf.DUMMYFUNCTION("IF(G5904&lt;&gt;"""", GOOGLETRANSLATE(G5904, ""en"", ""te""),"""")"),"")</f>
        <v/>
      </c>
      <c r="I5904" s="3"/>
    </row>
    <row r="5905" customHeight="1" spans="1:9">
      <c r="A5905" s="2"/>
      <c r="B5905" s="2" t="str">
        <f>IFERROR(__xludf.DUMMYFUNCTION("IF(A5905&lt;&gt;"""", GOOGLETRANSLATE(A5905, ""en"", ""te""),"""")"),"")</f>
        <v/>
      </c>
      <c r="C5905" s="2"/>
      <c r="D5905" s="2" t="str">
        <f>IFERROR(__xludf.DUMMYFUNCTION("IF(C5905&lt;&gt;"""", GOOGLETRANSLATE(C5905, ""en"", ""te""),"""")"),"")</f>
        <v/>
      </c>
      <c r="E5905" s="2"/>
      <c r="F5905" s="2" t="str">
        <f>IFERROR(__xludf.DUMMYFUNCTION("IF(E5905&lt;&gt;"""", GOOGLETRANSLATE(E5905, ""en"", ""te""),"""")"),"")</f>
        <v/>
      </c>
      <c r="G5905" s="2"/>
      <c r="H5905" s="2" t="str">
        <f>IFERROR(__xludf.DUMMYFUNCTION("IF(G5905&lt;&gt;"""", GOOGLETRANSLATE(G5905, ""en"", ""te""),"""")"),"")</f>
        <v/>
      </c>
      <c r="I5905" s="3"/>
    </row>
    <row r="5906" customHeight="1" spans="1:9">
      <c r="A5906" s="2"/>
      <c r="B5906" s="2" t="str">
        <f>IFERROR(__xludf.DUMMYFUNCTION("IF(A5906&lt;&gt;"""", GOOGLETRANSLATE(A5906, ""en"", ""te""),"""")"),"")</f>
        <v/>
      </c>
      <c r="C5906" s="2"/>
      <c r="D5906" s="2" t="str">
        <f>IFERROR(__xludf.DUMMYFUNCTION("IF(C5906&lt;&gt;"""", GOOGLETRANSLATE(C5906, ""en"", ""te""),"""")"),"")</f>
        <v/>
      </c>
      <c r="E5906" s="2"/>
      <c r="F5906" s="2" t="str">
        <f>IFERROR(__xludf.DUMMYFUNCTION("IF(E5906&lt;&gt;"""", GOOGLETRANSLATE(E5906, ""en"", ""te""),"""")"),"")</f>
        <v/>
      </c>
      <c r="G5906" s="2"/>
      <c r="H5906" s="2" t="str">
        <f>IFERROR(__xludf.DUMMYFUNCTION("IF(G5906&lt;&gt;"""", GOOGLETRANSLATE(G5906, ""en"", ""te""),"""")"),"")</f>
        <v/>
      </c>
      <c r="I5906" s="3"/>
    </row>
    <row r="5907" customHeight="1" spans="1:9">
      <c r="A5907" s="2"/>
      <c r="B5907" s="2" t="str">
        <f>IFERROR(__xludf.DUMMYFUNCTION("IF(A5907&lt;&gt;"""", GOOGLETRANSLATE(A5907, ""en"", ""te""),"""")"),"")</f>
        <v/>
      </c>
      <c r="C5907" s="2"/>
      <c r="D5907" s="2" t="str">
        <f>IFERROR(__xludf.DUMMYFUNCTION("IF(C5907&lt;&gt;"""", GOOGLETRANSLATE(C5907, ""en"", ""te""),"""")"),"")</f>
        <v/>
      </c>
      <c r="E5907" s="2"/>
      <c r="F5907" s="2" t="str">
        <f>IFERROR(__xludf.DUMMYFUNCTION("IF(E5907&lt;&gt;"""", GOOGLETRANSLATE(E5907, ""en"", ""te""),"""")"),"")</f>
        <v/>
      </c>
      <c r="G5907" s="2"/>
      <c r="H5907" s="2" t="str">
        <f>IFERROR(__xludf.DUMMYFUNCTION("IF(G5907&lt;&gt;"""", GOOGLETRANSLATE(G5907, ""en"", ""te""),"""")"),"")</f>
        <v/>
      </c>
      <c r="I5907" s="3"/>
    </row>
    <row r="5908" customHeight="1" spans="1:9">
      <c r="A5908" s="2"/>
      <c r="B5908" s="2" t="str">
        <f>IFERROR(__xludf.DUMMYFUNCTION("IF(A5908&lt;&gt;"""", GOOGLETRANSLATE(A5908, ""en"", ""te""),"""")"),"")</f>
        <v/>
      </c>
      <c r="C5908" s="2"/>
      <c r="D5908" s="2" t="str">
        <f>IFERROR(__xludf.DUMMYFUNCTION("IF(C5908&lt;&gt;"""", GOOGLETRANSLATE(C5908, ""en"", ""te""),"""")"),"")</f>
        <v/>
      </c>
      <c r="E5908" s="2"/>
      <c r="F5908" s="2" t="str">
        <f>IFERROR(__xludf.DUMMYFUNCTION("IF(E5908&lt;&gt;"""", GOOGLETRANSLATE(E5908, ""en"", ""te""),"""")"),"")</f>
        <v/>
      </c>
      <c r="G5908" s="2"/>
      <c r="H5908" s="2" t="str">
        <f>IFERROR(__xludf.DUMMYFUNCTION("IF(G5908&lt;&gt;"""", GOOGLETRANSLATE(G5908, ""en"", ""te""),"""")"),"")</f>
        <v/>
      </c>
      <c r="I5908" s="3"/>
    </row>
    <row r="5909" customHeight="1" spans="1:9">
      <c r="A5909" s="2"/>
      <c r="B5909" s="2" t="str">
        <f>IFERROR(__xludf.DUMMYFUNCTION("IF(A5909&lt;&gt;"""", GOOGLETRANSLATE(A5909, ""en"", ""te""),"""")"),"")</f>
        <v/>
      </c>
      <c r="C5909" s="2"/>
      <c r="D5909" s="2" t="str">
        <f>IFERROR(__xludf.DUMMYFUNCTION("IF(C5909&lt;&gt;"""", GOOGLETRANSLATE(C5909, ""en"", ""te""),"""")"),"")</f>
        <v/>
      </c>
      <c r="E5909" s="2"/>
      <c r="F5909" s="2" t="str">
        <f>IFERROR(__xludf.DUMMYFUNCTION("IF(E5909&lt;&gt;"""", GOOGLETRANSLATE(E5909, ""en"", ""te""),"""")"),"")</f>
        <v/>
      </c>
      <c r="G5909" s="2"/>
      <c r="H5909" s="2" t="str">
        <f>IFERROR(__xludf.DUMMYFUNCTION("IF(G5909&lt;&gt;"""", GOOGLETRANSLATE(G5909, ""en"", ""te""),"""")"),"")</f>
        <v/>
      </c>
      <c r="I5909" s="3"/>
    </row>
    <row r="5910" customHeight="1" spans="1:9">
      <c r="A5910" s="2"/>
      <c r="B5910" s="2" t="str">
        <f>IFERROR(__xludf.DUMMYFUNCTION("IF(A5910&lt;&gt;"""", GOOGLETRANSLATE(A5910, ""en"", ""te""),"""")"),"")</f>
        <v/>
      </c>
      <c r="C5910" s="2"/>
      <c r="D5910" s="2" t="str">
        <f>IFERROR(__xludf.DUMMYFUNCTION("IF(C5910&lt;&gt;"""", GOOGLETRANSLATE(C5910, ""en"", ""te""),"""")"),"")</f>
        <v/>
      </c>
      <c r="E5910" s="2"/>
      <c r="F5910" s="2" t="str">
        <f>IFERROR(__xludf.DUMMYFUNCTION("IF(E5910&lt;&gt;"""", GOOGLETRANSLATE(E5910, ""en"", ""te""),"""")"),"")</f>
        <v/>
      </c>
      <c r="G5910" s="2"/>
      <c r="H5910" s="2" t="str">
        <f>IFERROR(__xludf.DUMMYFUNCTION("IF(G5910&lt;&gt;"""", GOOGLETRANSLATE(G5910, ""en"", ""te""),"""")"),"")</f>
        <v/>
      </c>
      <c r="I5910" s="3"/>
    </row>
    <row r="5911" customHeight="1" spans="1:9">
      <c r="A5911" s="2"/>
      <c r="B5911" s="2" t="str">
        <f>IFERROR(__xludf.DUMMYFUNCTION("IF(A5911&lt;&gt;"""", GOOGLETRANSLATE(A5911, ""en"", ""te""),"""")"),"")</f>
        <v/>
      </c>
      <c r="C5911" s="2"/>
      <c r="D5911" s="2" t="str">
        <f>IFERROR(__xludf.DUMMYFUNCTION("IF(C5911&lt;&gt;"""", GOOGLETRANSLATE(C5911, ""en"", ""te""),"""")"),"")</f>
        <v/>
      </c>
      <c r="E5911" s="2"/>
      <c r="F5911" s="2" t="str">
        <f>IFERROR(__xludf.DUMMYFUNCTION("IF(E5911&lt;&gt;"""", GOOGLETRANSLATE(E5911, ""en"", ""te""),"""")"),"")</f>
        <v/>
      </c>
      <c r="G5911" s="2"/>
      <c r="H5911" s="2" t="str">
        <f>IFERROR(__xludf.DUMMYFUNCTION("IF(G5911&lt;&gt;"""", GOOGLETRANSLATE(G5911, ""en"", ""te""),"""")"),"")</f>
        <v/>
      </c>
      <c r="I5911" s="3"/>
    </row>
    <row r="5912" customHeight="1" spans="1:9">
      <c r="A5912" s="2"/>
      <c r="B5912" s="2" t="str">
        <f>IFERROR(__xludf.DUMMYFUNCTION("IF(A5912&lt;&gt;"""", GOOGLETRANSLATE(A5912, ""en"", ""te""),"""")"),"")</f>
        <v/>
      </c>
      <c r="C5912" s="2"/>
      <c r="D5912" s="2" t="str">
        <f>IFERROR(__xludf.DUMMYFUNCTION("IF(C5912&lt;&gt;"""", GOOGLETRANSLATE(C5912, ""en"", ""te""),"""")"),"")</f>
        <v/>
      </c>
      <c r="E5912" s="2"/>
      <c r="F5912" s="2" t="str">
        <f>IFERROR(__xludf.DUMMYFUNCTION("IF(E5912&lt;&gt;"""", GOOGLETRANSLATE(E5912, ""en"", ""te""),"""")"),"")</f>
        <v/>
      </c>
      <c r="G5912" s="2"/>
      <c r="H5912" s="2" t="str">
        <f>IFERROR(__xludf.DUMMYFUNCTION("IF(G5912&lt;&gt;"""", GOOGLETRANSLATE(G5912, ""en"", ""te""),"""")"),"")</f>
        <v/>
      </c>
      <c r="I5912" s="3"/>
    </row>
    <row r="5913" customHeight="1" spans="1:9">
      <c r="A5913" s="2"/>
      <c r="B5913" s="2" t="str">
        <f>IFERROR(__xludf.DUMMYFUNCTION("IF(A5913&lt;&gt;"""", GOOGLETRANSLATE(A5913, ""en"", ""te""),"""")"),"")</f>
        <v/>
      </c>
      <c r="C5913" s="2"/>
      <c r="D5913" s="2" t="str">
        <f>IFERROR(__xludf.DUMMYFUNCTION("IF(C5913&lt;&gt;"""", GOOGLETRANSLATE(C5913, ""en"", ""te""),"""")"),"")</f>
        <v/>
      </c>
      <c r="E5913" s="2"/>
      <c r="F5913" s="2" t="str">
        <f>IFERROR(__xludf.DUMMYFUNCTION("IF(E5913&lt;&gt;"""", GOOGLETRANSLATE(E5913, ""en"", ""te""),"""")"),"")</f>
        <v/>
      </c>
      <c r="G5913" s="2"/>
      <c r="H5913" s="2" t="str">
        <f>IFERROR(__xludf.DUMMYFUNCTION("IF(G5913&lt;&gt;"""", GOOGLETRANSLATE(G5913, ""en"", ""te""),"""")"),"")</f>
        <v/>
      </c>
      <c r="I5913" s="3"/>
    </row>
    <row r="5914" customHeight="1" spans="1:9">
      <c r="A5914" s="2"/>
      <c r="B5914" s="2" t="str">
        <f>IFERROR(__xludf.DUMMYFUNCTION("IF(A5914&lt;&gt;"""", GOOGLETRANSLATE(A5914, ""en"", ""te""),"""")"),"")</f>
        <v/>
      </c>
      <c r="C5914" s="2"/>
      <c r="D5914" s="2" t="str">
        <f>IFERROR(__xludf.DUMMYFUNCTION("IF(C5914&lt;&gt;"""", GOOGLETRANSLATE(C5914, ""en"", ""te""),"""")"),"")</f>
        <v/>
      </c>
      <c r="E5914" s="2"/>
      <c r="F5914" s="2" t="str">
        <f>IFERROR(__xludf.DUMMYFUNCTION("IF(E5914&lt;&gt;"""", GOOGLETRANSLATE(E5914, ""en"", ""te""),"""")"),"")</f>
        <v/>
      </c>
      <c r="G5914" s="2"/>
      <c r="H5914" s="2" t="str">
        <f>IFERROR(__xludf.DUMMYFUNCTION("IF(G5914&lt;&gt;"""", GOOGLETRANSLATE(G5914, ""en"", ""te""),"""")"),"")</f>
        <v/>
      </c>
      <c r="I5914" s="3"/>
    </row>
    <row r="5915" customHeight="1" spans="1:9">
      <c r="A5915" s="2"/>
      <c r="B5915" s="2" t="str">
        <f>IFERROR(__xludf.DUMMYFUNCTION("IF(A5915&lt;&gt;"""", GOOGLETRANSLATE(A5915, ""en"", ""te""),"""")"),"")</f>
        <v/>
      </c>
      <c r="C5915" s="2"/>
      <c r="D5915" s="2" t="str">
        <f>IFERROR(__xludf.DUMMYFUNCTION("IF(C5915&lt;&gt;"""", GOOGLETRANSLATE(C5915, ""en"", ""te""),"""")"),"")</f>
        <v/>
      </c>
      <c r="E5915" s="2"/>
      <c r="F5915" s="2" t="str">
        <f>IFERROR(__xludf.DUMMYFUNCTION("IF(E5915&lt;&gt;"""", GOOGLETRANSLATE(E5915, ""en"", ""te""),"""")"),"")</f>
        <v/>
      </c>
      <c r="G5915" s="2"/>
      <c r="H5915" s="2" t="str">
        <f>IFERROR(__xludf.DUMMYFUNCTION("IF(G5915&lt;&gt;"""", GOOGLETRANSLATE(G5915, ""en"", ""te""),"""")"),"")</f>
        <v/>
      </c>
      <c r="I5915" s="3"/>
    </row>
    <row r="5916" customHeight="1" spans="1:9">
      <c r="A5916" s="2"/>
      <c r="B5916" s="2" t="str">
        <f>IFERROR(__xludf.DUMMYFUNCTION("IF(A5916&lt;&gt;"""", GOOGLETRANSLATE(A5916, ""en"", ""te""),"""")"),"")</f>
        <v/>
      </c>
      <c r="C5916" s="2"/>
      <c r="D5916" s="2" t="str">
        <f>IFERROR(__xludf.DUMMYFUNCTION("IF(C5916&lt;&gt;"""", GOOGLETRANSLATE(C5916, ""en"", ""te""),"""")"),"")</f>
        <v/>
      </c>
      <c r="E5916" s="2"/>
      <c r="F5916" s="2" t="str">
        <f>IFERROR(__xludf.DUMMYFUNCTION("IF(E5916&lt;&gt;"""", GOOGLETRANSLATE(E5916, ""en"", ""te""),"""")"),"")</f>
        <v/>
      </c>
      <c r="G5916" s="2"/>
      <c r="H5916" s="2" t="str">
        <f>IFERROR(__xludf.DUMMYFUNCTION("IF(G5916&lt;&gt;"""", GOOGLETRANSLATE(G5916, ""en"", ""te""),"""")"),"")</f>
        <v/>
      </c>
      <c r="I5916" s="3"/>
    </row>
    <row r="5917" customHeight="1" spans="1:9">
      <c r="A5917" s="2"/>
      <c r="B5917" s="2" t="str">
        <f>IFERROR(__xludf.DUMMYFUNCTION("IF(A5917&lt;&gt;"""", GOOGLETRANSLATE(A5917, ""en"", ""te""),"""")"),"")</f>
        <v/>
      </c>
      <c r="C5917" s="2"/>
      <c r="D5917" s="2" t="str">
        <f>IFERROR(__xludf.DUMMYFUNCTION("IF(C5917&lt;&gt;"""", GOOGLETRANSLATE(C5917, ""en"", ""te""),"""")"),"")</f>
        <v/>
      </c>
      <c r="E5917" s="2"/>
      <c r="F5917" s="2" t="str">
        <f>IFERROR(__xludf.DUMMYFUNCTION("IF(E5917&lt;&gt;"""", GOOGLETRANSLATE(E5917, ""en"", ""te""),"""")"),"")</f>
        <v/>
      </c>
      <c r="G5917" s="2"/>
      <c r="H5917" s="2" t="str">
        <f>IFERROR(__xludf.DUMMYFUNCTION("IF(G5917&lt;&gt;"""", GOOGLETRANSLATE(G5917, ""en"", ""te""),"""")"),"")</f>
        <v/>
      </c>
      <c r="I5917" s="3"/>
    </row>
    <row r="5918" customHeight="1" spans="1:9">
      <c r="A5918" s="2"/>
      <c r="B5918" s="2" t="str">
        <f>IFERROR(__xludf.DUMMYFUNCTION("IF(A5918&lt;&gt;"""", GOOGLETRANSLATE(A5918, ""en"", ""te""),"""")"),"")</f>
        <v/>
      </c>
      <c r="C5918" s="2"/>
      <c r="D5918" s="2" t="str">
        <f>IFERROR(__xludf.DUMMYFUNCTION("IF(C5918&lt;&gt;"""", GOOGLETRANSLATE(C5918, ""en"", ""te""),"""")"),"")</f>
        <v/>
      </c>
      <c r="E5918" s="2"/>
      <c r="F5918" s="2" t="str">
        <f>IFERROR(__xludf.DUMMYFUNCTION("IF(E5918&lt;&gt;"""", GOOGLETRANSLATE(E5918, ""en"", ""te""),"""")"),"")</f>
        <v/>
      </c>
      <c r="G5918" s="2"/>
      <c r="H5918" s="2" t="str">
        <f>IFERROR(__xludf.DUMMYFUNCTION("IF(G5918&lt;&gt;"""", GOOGLETRANSLATE(G5918, ""en"", ""te""),"""")"),"")</f>
        <v/>
      </c>
      <c r="I5918" s="3"/>
    </row>
    <row r="5919" customHeight="1" spans="1:9">
      <c r="A5919" s="2"/>
      <c r="B5919" s="2" t="str">
        <f>IFERROR(__xludf.DUMMYFUNCTION("IF(A5919&lt;&gt;"""", GOOGLETRANSLATE(A5919, ""en"", ""te""),"""")"),"")</f>
        <v/>
      </c>
      <c r="C5919" s="2"/>
      <c r="D5919" s="2" t="str">
        <f>IFERROR(__xludf.DUMMYFUNCTION("IF(C5919&lt;&gt;"""", GOOGLETRANSLATE(C5919, ""en"", ""te""),"""")"),"")</f>
        <v/>
      </c>
      <c r="E5919" s="2"/>
      <c r="F5919" s="2" t="str">
        <f>IFERROR(__xludf.DUMMYFUNCTION("IF(E5919&lt;&gt;"""", GOOGLETRANSLATE(E5919, ""en"", ""te""),"""")"),"")</f>
        <v/>
      </c>
      <c r="G5919" s="2"/>
      <c r="H5919" s="2" t="str">
        <f>IFERROR(__xludf.DUMMYFUNCTION("IF(G5919&lt;&gt;"""", GOOGLETRANSLATE(G5919, ""en"", ""te""),"""")"),"")</f>
        <v/>
      </c>
      <c r="I5919" s="3"/>
    </row>
    <row r="5920" customHeight="1" spans="1:9">
      <c r="A5920" s="2" t="s">
        <v>3697</v>
      </c>
      <c r="B5920" s="2" t="str">
        <f>IFERROR(__xludf.DUMMYFUNCTION("IF(A5920&lt;&gt;"""", GOOGLETRANSLATE(A5920, ""en"", ""te""),"""")"),"[ 'కెరీర్లో 1st అత్యధిక మ్యాచ్లు (200)', '1 వ అత్యధిక పరుగులు కెరీర్లో (15921)', '1st ఒక వృత్తిలో అత్యధిక వందలు (51)', '1 వ అత్యంత తొంభైల కెరీర్లో (10)', 'రెండు అజేయంగా అర్ధ ఒక మ్యాచ్ ',' హండ్రెడ్ అండ్ 15000 పరుగులు (300) ',' 5000 పరుగులు మరియు 50 ఫీల్డి"&amp;"ంగ్ వికెట్లు 1st వేగంగా ఒక మ్యాచ్ ',' 1 వ కెరీర్ ఫోర్లు (2058+) ',' డకౌట్ ',' 6 వ అత్యధిక లో పదవ వికెట్కు భాగస్వామ్యం (133) ',' 1st లాంగెస్ట్ కెరీర్లు (22y 91d) ',' 1st ఒక క్యాలెండర్ సంవత్సరంలో అత్యధిక పరుగులు (1894) ',' 1st ఒక జట్టు వ్యతిరేకంగా అత్యధిక వ"&amp;"ందలు (9) ',' 1 వ 99 పరుగుల (199, 299 etc) (99) ',' 1 వ కెరీర్ అర్ధ (145) ',' 6 వ అత్యధిక వరుస బాతులు (3) ',' 1 వ అత్యధిక కెరీర్ లో ఫోర్లు (2016) ',' 18000 పరుగులు వేగంగా 1st (440) ',' 9 వ అత్యధిక వికెట్లు ',' ఇన్నింగ్స్ లో తీసిన స్టంప్ (22) 2 వ అత్యధిక క్"&amp;"యాచ్లు (4) ',' వంద మరియు నాలుగు వికెట్లు ఇన్నింగ్స్ లో ',' 1000 పరుగులు, 50 వికెట్లు, 50 క్యాచ్లు ', '5000 పరుగులు మరియు 50 ఫీల్డింగ్ వికెట్లు', 'రెండవ వికెట్కు 2 వ అత్యధిక భాగస్వామ్యం (331)', '1 వ అత్యంత ప్లేయర్ ఆఫ్ ది సిరీస్ అవార్డులు (20)', '1 కెరీర్లో"&amp;" స్టంప్ అత్యధిక పరుగులు (34357) ',' 1st ఒక జట్టు (20) ',' 1 వ అత్యంత తొంభైల కెరీర్లో (28) ',' 1 వ కెరీర్ అర్ధ (264) ',' 2 వ వరుస ఇన్నింగ్స్ లేకుండా వ్యతిరేకంగా అత్యధిక వందలు ఒక డక్ (136 *) ',' కెరీర్ లో 1 వ అత్యంత ఫోర్లు (4076+) ']")</f>
        <v>[ 'కెరీర్లో 1st అత్యధిక మ్యాచ్లు (200)', '1 వ అత్యధిక పరుగులు కెరీర్లో (15921)', '1st ఒక వృత్తిలో అత్యధిక వందలు (51)', '1 వ అత్యంత తొంభైల కెరీర్లో (10)', 'రెండు అజేయంగా అర్ధ ఒక మ్యాచ్ ',' హండ్రెడ్ అండ్ 15000 పరుగులు (300) ',' 5000 పరుగులు మరియు 50 ఫీల్డింగ్ వికెట్లు 1st వేగంగా ఒక మ్యాచ్ ',' 1 వ కెరీర్ ఫోర్లు (2058+) ',' డకౌట్ ',' 6 వ అత్యధిక లో పదవ వికెట్కు భాగస్వామ్యం (133) ',' 1st లాంగెస్ట్ కెరీర్లు (22y 91d) ',' 1st ఒక క్యాలెండర్ సంవత్సరంలో అత్యధిక పరుగులు (1894) ',' 1st ఒక జట్టు వ్యతిరేకంగా అత్యధిక వందలు (9) ',' 1 వ 99 పరుగుల (199, 299 etc) (99) ',' 1 వ కెరీర్ అర్ధ (145) ',' 6 వ అత్యధిక వరుస బాతులు (3) ',' 1 వ అత్యధిక కెరీర్ లో ఫోర్లు (2016) ',' 18000 పరుగులు వేగంగా 1st (440) ',' 9 వ అత్యధిక వికెట్లు ',' ఇన్నింగ్స్ లో తీసిన స్టంప్ (22) 2 వ అత్యధిక క్యాచ్లు (4) ',' వంద మరియు నాలుగు వికెట్లు ఇన్నింగ్స్ లో ',' 1000 పరుగులు, 50 వికెట్లు, 50 క్యాచ్లు ', '5000 పరుగులు మరియు 50 ఫీల్డింగ్ వికెట్లు', 'రెండవ వికెట్కు 2 వ అత్యధిక భాగస్వామ్యం (331)', '1 వ అత్యంత ప్లేయర్ ఆఫ్ ది సిరీస్ అవార్డులు (20)', '1 కెరీర్లో స్టంప్ అత్యధిక పరుగులు (34357) ',' 1st ఒక జట్టు (20) ',' 1 వ అత్యంత తొంభైల కెరీర్లో (28) ',' 1 వ కెరీర్ అర్ధ (264) ',' 2 వ వరుస ఇన్నింగ్స్ లేకుండా వ్యతిరేకంగా అత్యధిక వందలు ఒక డక్ (136 *) ',' కెరీర్ లో 1 వ అత్యంత ఫోర్లు (4076+) ']</v>
      </c>
      <c r="C5920" s="2" t="s">
        <v>3698</v>
      </c>
      <c r="D5920" s="2" t="str">
        <f>IFERROR(__xludf.DUMMYFUNCTION("IF(C5920&lt;&gt;"""", GOOGLETRANSLATE(C5920, ""en"", ""te""),"""")"),"[ 'కెరీర్లో 1st అత్యధిక పరుగులు (15921)', '5 వ ఒక క్యాలెండర్ సంవత్సరంలో అత్యధిక పరుగులు (1562)', 'ఒక కెప్టెన్తో ఇన్నింగ్స్ లో 46 వ అత్యధిక పరుగులు (217)', '24 వ అత్యధిక కెరీర్ బ్యాటింగ్ సగటు (53.78)' '1st ఒక వృత్తిలో అత్యధిక వందలు (51)', 'ఒక వృత్తిలో 7 వ "&amp;"అత్యధిక డబుల్ సెంచరీలు (6)', '(7) ఒక క్యాలెండర్ సంవత్సరంలో 2 వ అత్యధిక వందలు' 'ఒక జట్టు (11) వ్యతిరేకంగా 4 వ అత్యధిక వందలు' 'వరుస మ్యాచ్లలో 5 వ వందల (4)', '3 వ పిన్న ఆటగాడు వంద (17y 107d) స్కోర్' '1 వ కెరీర్ తొంభైల (10)', '1st చాలా అర్ధ కెరీర్లో (119)', "&amp;"'7th ఒక డక్ లేకుండా వరుస మ్యాచ్లలో యాభైల్లో (10) ',' 3 వ వరుస ఇన్నింగ్స్ (91 *) ',' 19 వ కెరీర్ లో వచ్చిన ఎక్కువ సిక్స్ (69) ',' 1 వ కెరీర్ ఫోర్లు (2058+) ',' 36 వ అత్యంత ఫోర్లు ఒక ఇన్నింగ్స్ లో (35) ',' 35 వ 2000 పరుగులు (44) ',' ఫాస్టెస్ట్ 34 వ 3000 పర"&amp;"ుగులు వేగంగా (67) ',' 22 వ 4000 పరుగులు వేగంగా (86) ',' 12 వ 5000 పరుగులు వేగంగా (103) ',' 10th 6000 పరుగులు (120) ',' 7000 పరుగులు (136) 4 వేగవంతమైన ',' 2nd 8000 వేగంగా పరుగులు (154) ',' 9000 పరుగులు (179) ',' 1st Fas వేగంగా 6 వ వేగంగా 10000 పరుగులు (19"&amp;"5) ',' 4 వ వేగవంతమైన వరకు 11000 పరుగులు (223) ',' 2 వ వేగవంతమైన వరకు 12000 పరుగులు (247) ',' 1st 13000 పరుగులు (266) ',' 14000 పరుగులు 1st వేగంగా వేగంగా (279 పరీక్ష ) ',' 15000 పరుగులు (300) ',' కెరీర్ లో బౌలింగ్ సరాసరి (54.17) ',' 36 వ చెత్త కెరీర్లో ఆ"&amp;"ర్థిక రేటు (3.52) ',' 26th అత్యధిక క్యాచ్లు 29 చెత్త కెరీర్ (115) ',' 39 వ అత్యధిక వేగంగా 1st ఏ వికెట్కు (353) ',' నాలుగవ వికెట్కు 9 వ అత్యధిక భాగస్వామ్యం (353) ',' ఐదవ వికెట్కు 28 అత్యధిక భాగస్వామ్యం (256) ',' ఆరవ వికెట్కు 29 అత్యధిక భాగస్వామ్యం (222) ',"&amp;"' 35 వ కోసం భాగస్వామ్యాలు ఏడవ వికెట్కు అత్యధిక భాగస్వామ్యం (172) ',' ఎనిమిదవ వికెట్కు 40 వ అత్యధిక భాగస్వామ్యం (129) ',' పదవ వికెట్కు 6 వ అత్యధిక భాగస్వామ్యం (133) ',' 1 వ అత్యధిక మ్యాచ్లు కెరీర్లో (200) ',' 13 వ ఒక జట్టు వరుస మ్యాచ్లు (84) ',' 7 వ అత్యంత"&amp;" ప్లేయర్ ఆఫ్ ది మ్యాచ్ అవార్డులు (14) ',' 12 వ అత్యంత ప్లేయర్ ఆఫ్ ది సిరీస్ అవార్డులు (5) ',' 5 వ పిన్న క్రీడాకారులు (16y 205d ) ',' 5 వ లాంగెస్ట్ కెరీర్లు (24y 1D) ',' 12 వ పిన్న కాప్టెన్ (23y 169d) ']")</f>
        <v>[ 'కెరీర్లో 1st అత్యధిక పరుగులు (15921)', '5 వ ఒక క్యాలెండర్ సంవత్సరంలో అత్యధిక పరుగులు (1562)', 'ఒక కెప్టెన్తో ఇన్నింగ్స్ లో 46 వ అత్యధిక పరుగులు (217)', '24 వ అత్యధిక కెరీర్ బ్యాటింగ్ సగటు (53.78)' '1st ఒక వృత్తిలో అత్యధిక వందలు (51)', 'ఒక వృత్తిలో 7 వ అత్యధిక డబుల్ సెంచరీలు (6)', '(7) ఒక క్యాలెండర్ సంవత్సరంలో 2 వ అత్యధిక వందలు' 'ఒక జట్టు (11) వ్యతిరేకంగా 4 వ అత్యధిక వందలు' 'వరుస మ్యాచ్లలో 5 వ వందల (4)', '3 వ పిన్న ఆటగాడు వంద (17y 107d) స్కోర్' '1 వ కెరీర్ తొంభైల (10)', '1st చాలా అర్ధ కెరీర్లో (119)', '7th ఒక డక్ లేకుండా వరుస మ్యాచ్లలో యాభైల్లో (10) ',' 3 వ వరుస ఇన్నింగ్స్ (91 *) ',' 19 వ కెరీర్ లో వచ్చిన ఎక్కువ సిక్స్ (69) ',' 1 వ కెరీర్ ఫోర్లు (2058+) ',' 36 వ అత్యంత ఫోర్లు ఒక ఇన్నింగ్స్ లో (35) ',' 35 వ 2000 పరుగులు (44) ',' ఫాస్టెస్ట్ 34 వ 3000 పరుగులు వేగంగా (67) ',' 22 వ 4000 పరుగులు వేగంగా (86) ',' 12 వ 5000 పరుగులు వేగంగా (103) ',' 10th 6000 పరుగులు (120) ',' 7000 పరుగులు (136) 4 వేగవంతమైన ',' 2nd 8000 వేగంగా పరుగులు (154) ',' 9000 పరుగులు (179) ',' 1st Fas వేగంగా 6 వ వేగంగా 10000 పరుగులు (195) ',' 4 వ వేగవంతమైన వరకు 11000 పరుగులు (223) ',' 2 వ వేగవంతమైన వరకు 12000 పరుగులు (247) ',' 1st 13000 పరుగులు (266) ',' 14000 పరుగులు 1st వేగంగా వేగంగా (279 పరీక్ష ) ',' 15000 పరుగులు (300) ',' కెరీర్ లో బౌలింగ్ సరాసరి (54.17) ',' 36 వ చెత్త కెరీర్లో ఆర్థిక రేటు (3.52) ',' 26th అత్యధిక క్యాచ్లు 29 చెత్త కెరీర్ (115) ',' 39 వ అత్యధిక వేగంగా 1st ఏ వికెట్కు (353) ',' నాలుగవ వికెట్కు 9 వ అత్యధిక భాగస్వామ్యం (353) ',' ఐదవ వికెట్కు 28 అత్యధిక భాగస్వామ్యం (256) ',' ఆరవ వికెట్కు 29 అత్యధిక భాగస్వామ్యం (222) ',' 35 వ కోసం భాగస్వామ్యాలు ఏడవ వికెట్కు అత్యధిక భాగస్వామ్యం (172) ',' ఎనిమిదవ వికెట్కు 40 వ అత్యధిక భాగస్వామ్యం (129) ',' పదవ వికెట్కు 6 వ అత్యధిక భాగస్వామ్యం (133) ',' 1 వ అత్యధిక మ్యాచ్లు కెరీర్లో (200) ',' 13 వ ఒక జట్టు వరుస మ్యాచ్లు (84) ',' 7 వ అత్యంత ప్లేయర్ ఆఫ్ ది మ్యాచ్ అవార్డులు (14) ',' 12 వ అత్యంత ప్లేయర్ ఆఫ్ ది సిరీస్ అవార్డులు (5) ',' 5 వ పిన్న క్రీడాకారులు (16y 205d ) ',' 5 వ లాంగెస్ట్ కెరీర్లు (24y 1D) ',' 12 వ పిన్న కాప్టెన్ (23y 169d) ']</v>
      </c>
      <c r="E5920" s="2" t="s">
        <v>3699</v>
      </c>
      <c r="F5920" s="2" t="str">
        <f>IFERROR(__xludf.DUMMYFUNCTION("IF(E5920&lt;&gt;"""", GOOGLETRANSLATE(E5920, ""en"", ""te""),"""")"),"[ 'కెరీర్లో 1st అత్యధిక పరుగులు (18426)', '8 వ ఇన్నింగ్స్ లో అత్యధిక పరుగులు (200 *)', '10 వ ఇన్నింగ్స్ లో అత్యధిక పరుగులు (ప్రగతిశీల రికార్డు హోల్డర్) (200 *)', '2 వ అత్యధిక పరుగులు వరుస (673) ',' 1st ఒక క్యాలెండర్ సంవత్సరంలో అత్యధిక పరుగులు (1894) ',' 8"&amp;" వ ఇన్నింగ్స్ లో అత్యధిక పరుగులు (బ్యాటింగ్ స్థానంలో ప్రకారం) (200 *) ',' పరాజయం వైపు ఒక మ్యాచ్లో 5 వ అత్యధిక పరుగులు (175) ',' ఒకే మైదానంలో 12 వ అత్యధిక పరుగులు (1778) ',' ఒక కెప్టెన్తో ఇన్నింగ్స్ లో 4 వ అత్యధిక పరుగులు (186 *) ',' 31 అత్యధిక కెరీర్ బ్"&amp;"యాటింగ్ సగటు (44.83) ',' 1st ఒక వృత్తిలో అత్యధిక వందలు ( 49) ',' 1st ఒక క్యాలెండర్ సంవత్సరంలో అత్యధిక వందలు (9) ',' 1st ఒక జట్టు (9) ',' 40 వ పిన్న ఆటగాడు వ్యతిరేకంగా అత్యధిక వందలు వంద (21y 138d) ',' 6 వ అత్యంత వృద్ధ ఆటగాడు ఒక స్కోర్ సాధించిన వందల (38y 32"&amp;"7d) ',' 1 వ కెరీర్ తొంభైల (18) ',' 1 వ 99 పరుగుల (199, 299 etc) (99) ',' 1 వ కెరీర్ అర్ధ (145) ',' 11 వ లో యాభైల్లో వరుస ఇన్నింగ్స్లో (5) ',' 13 వ కెరీర్ బాతులు (20) ',' 6 వ అత్యధిక వరుస బాతులు (3) ',' కెరీర్లో 9 వ ఎక్కువ సిక్స్ (195) ',' 1 వ కెరీర్ ఫోర"&amp;"్లు (2016) ',' ఇన్నింగ్స్ లో 2 వ పెద్ద ఫోర్లు (25) ',' ఇన్నింగ్స్ (118) ',' ఫాస్టెస్ట్ 28 4000 పరుగులు (112) ',' 26th వేగవంతమైన 5000 పరుగులు లో ఫోర్లు, సిక్సర్లు నుండి 17 వ అత్యధిక పరుగులు (138) ',' 24th 7000 పరుగులు (189) ',' 7 వ 6000 పరుగులు (170) ',' "&amp;"10 వ వేగంగా వేగంగా వేగంగా 8000 పరుగులు (210) ',' 9000 పరుగులు (235) ',' వేగంగా 5 వ 2 వ వేగంగా 10000 పరుగులు (259) ',' 2nd 11000 పరుగులు (276) ',' వేగంగా 2nd 12000 పరుగులు (300) ',' ఫాస్టెస్ట్ 14000 పరుగులు (350) కు 13000 పరుగులు (321) ',' 1st వేగంగా 1st వ"&amp;"ేగంగా ' '1st 15000 పరుగులు (377) వేగంగా', '17000 పరుగులు (424) కు 1st వేగవంతమైన' 'ఫాస్టెస్ట్ 16000 పరుగులు (399) కు 1st' '1 వ వేగవంతమైన 18000 పరుగులు (440)', '43 వ అత్యంత ఐదు- వికెట్ల లో-ఒక-ఇన్నింగ్స్ కెరీర్లో (2) ',' 13 వ వరుస నాలుగు వికెట్లు-ఇన్-ఒక-ఇన"&amp;"్నింగ్స్ (2) ',' 40 వ కెరీర్ లో బౌల్డ్ చాలా బంతుల్లో (8054) ',' 29 వ అత్యధిక పరుగులు సాధించిన కెరీర్ (6850) లో ',' 19 వ అత్యధిక వికెట్లు తీసుకున్న క్యాచ్ మరియు బౌల్డ్ (12) ',' 9 వ అత్యధిక వికెట్లు తీసుకున్న స్టంప్ (22) ',' 4 వ అత్యంత ఇన్నింగ్స్ లో కెరీర్ "&amp;"లో క్యాచ్లు (140) ',' 2 వ అత్యధిక క్యాచ్లు ( 4) ',' 3 వ అత్యధిక పార్ ఏ వికెట్కు tnerships (331) ',' రెండవ వికెట్కు 2 వ అత్యధిక భాగస్వామ్యం (331) ',' నాలుగవ వికెట్కు 39 వ అత్యధిక భాగస్వామ్యం (169) ',' 1 వ అత్యధిక కెరీర్ లో మ్యాచ్లు (463) ',' 1 వ వరుస ఒక జట"&amp;"్టు మ్యాచ్ (185) ',' 1 వ అత్యంత ప్లేయర్ ఆఫ్ ది మ్యాచ్ అవార్డులు (62) ',' 1 వ అత్యంత ప్లేయర్ ఆఫ్ ది సిరీస్ అవార్డులు (15) ',' 11 వ పిన్న క్రీడాకారులు (16y 238d) ' '1st లాంగెస్ట్ కెరీర్లు (22y 91d)', 'కెప్టెన్ 35 వ అత్యధిక మ్యాచ్లు (73)', '12 వ వరుస ఒక జట్ట"&amp;"ు కెప్టెన్గా మ్యాచ్లు (54)', '28th వరుస అన్ని టాస్ గెలిచిన (3)', '13 వ పిన్న కాప్టెన్ (23y 126d)']")</f>
        <v>[ 'కెరీర్లో 1st అత్యధిక పరుగులు (18426)', '8 వ ఇన్నింగ్స్ లో అత్యధిక పరుగులు (200 *)', '10 వ ఇన్నింగ్స్ లో అత్యధిక పరుగులు (ప్రగతిశీల రికార్డు హోల్డర్) (200 *)', '2 వ అత్యధిక పరుగులు వరుస (673) ',' 1st ఒక క్యాలెండర్ సంవత్సరంలో అత్యధిక పరుగులు (1894) ',' 8 వ ఇన్నింగ్స్ లో అత్యధిక పరుగులు (బ్యాటింగ్ స్థానంలో ప్రకారం) (200 *) ',' పరాజయం వైపు ఒక మ్యాచ్లో 5 వ అత్యధిక పరుగులు (175) ',' ఒకే మైదానంలో 12 వ అత్యధిక పరుగులు (1778) ',' ఒక కెప్టెన్తో ఇన్నింగ్స్ లో 4 వ అత్యధిక పరుగులు (186 *) ',' 31 అత్యధిక కెరీర్ బ్యాటింగ్ సగటు (44.83) ',' 1st ఒక వృత్తిలో అత్యధిక వందలు ( 49) ',' 1st ఒక క్యాలెండర్ సంవత్సరంలో అత్యధిక వందలు (9) ',' 1st ఒక జట్టు (9) ',' 40 వ పిన్న ఆటగాడు వ్యతిరేకంగా అత్యధిక వందలు వంద (21y 138d) ',' 6 వ అత్యంత వృద్ధ ఆటగాడు ఒక స్కోర్ సాధించిన వందల (38y 327d) ',' 1 వ కెరీర్ తొంభైల (18) ',' 1 వ 99 పరుగుల (199, 299 etc) (99) ',' 1 వ కెరీర్ అర్ధ (145) ',' 11 వ లో యాభైల్లో వరుస ఇన్నింగ్స్లో (5) ',' 13 వ కెరీర్ బాతులు (20) ',' 6 వ అత్యధిక వరుస బాతులు (3) ',' కెరీర్లో 9 వ ఎక్కువ సిక్స్ (195) ',' 1 వ కెరీర్ ఫోర్లు (2016) ',' ఇన్నింగ్స్ లో 2 వ పెద్ద ఫోర్లు (25) ',' ఇన్నింగ్స్ (118) ',' ఫాస్టెస్ట్ 28 4000 పరుగులు (112) ',' 26th వేగవంతమైన 5000 పరుగులు లో ఫోర్లు, సిక్సర్లు నుండి 17 వ అత్యధిక పరుగులు (138) ',' 24th 7000 పరుగులు (189) ',' 7 వ 6000 పరుగులు (170) ',' 10 వ వేగంగా వేగంగా వేగంగా 8000 పరుగులు (210) ',' 9000 పరుగులు (235) ',' వేగంగా 5 వ 2 వ వేగంగా 10000 పరుగులు (259) ',' 2nd 11000 పరుగులు (276) ',' వేగంగా 2nd 12000 పరుగులు (300) ',' ఫాస్టెస్ట్ 14000 పరుగులు (350) కు 13000 పరుగులు (321) ',' 1st వేగంగా 1st వేగంగా ' '1st 15000 పరుగులు (377) వేగంగా', '17000 పరుగులు (424) కు 1st వేగవంతమైన' 'ఫాస్టెస్ట్ 16000 పరుగులు (399) కు 1st' '1 వ వేగవంతమైన 18000 పరుగులు (440)', '43 వ అత్యంత ఐదు- వికెట్ల లో-ఒక-ఇన్నింగ్స్ కెరీర్లో (2) ',' 13 వ వరుస నాలుగు వికెట్లు-ఇన్-ఒక-ఇన్నింగ్స్ (2) ',' 40 వ కెరీర్ లో బౌల్డ్ చాలా బంతుల్లో (8054) ',' 29 వ అత్యధిక పరుగులు సాధించిన కెరీర్ (6850) లో ',' 19 వ అత్యధిక వికెట్లు తీసుకున్న క్యాచ్ మరియు బౌల్డ్ (12) ',' 9 వ అత్యధిక వికెట్లు తీసుకున్న స్టంప్ (22) ',' 4 వ అత్యంత ఇన్నింగ్స్ లో కెరీర్ లో క్యాచ్లు (140) ',' 2 వ అత్యధిక క్యాచ్లు ( 4) ',' 3 వ అత్యధిక పార్ ఏ వికెట్కు tnerships (331) ',' రెండవ వికెట్కు 2 వ అత్యధిక భాగస్వామ్యం (331) ',' నాలుగవ వికెట్కు 39 వ అత్యధిక భాగస్వామ్యం (169) ',' 1 వ అత్యధిక కెరీర్ లో మ్యాచ్లు (463) ',' 1 వ వరుస ఒక జట్టు మ్యాచ్ (185) ',' 1 వ అత్యంత ప్లేయర్ ఆఫ్ ది మ్యాచ్ అవార్డులు (62) ',' 1 వ అత్యంత ప్లేయర్ ఆఫ్ ది సిరీస్ అవార్డులు (15) ',' 11 వ పిన్న క్రీడాకారులు (16y 238d) ' '1st లాంగెస్ట్ కెరీర్లు (22y 91d)', 'కెప్టెన్ 35 వ అత్యధిక మ్యాచ్లు (73)', '12 వ వరుస ఒక జట్టు కెప్టెన్గా మ్యాచ్లు (54)', '28th వరుస అన్ని టాస్ గెలిచిన (3)', '13 వ పిన్న కాప్టెన్ (23y 126d)']</v>
      </c>
      <c r="G5920" s="2" t="s">
        <v>3700</v>
      </c>
      <c r="H5920" s="2" t="str">
        <f>IFERROR(__xludf.DUMMYFUNCTION("IF(G5920&lt;&gt;"""", GOOGLETRANSLATE(G5920, ""en"", ""te""),"""")"),"[ '47 వ పురాతన దేశం ఆటగాళ్ళు (47y 325d)', '12 వ వరుస మ్యాచ్లు ఒక జట్టు కెప్టెన్గా (54)']")</f>
        <v>[ '47 వ పురాతన దేశం ఆటగాళ్ళు (47y 325d)', '12 వ వరుస మ్యాచ్లు ఒక జట్టు కెప్టెన్గా (54)']</v>
      </c>
      <c r="I5920" s="3"/>
    </row>
    <row r="5921" customHeight="1" spans="1:9">
      <c r="A5921" s="2"/>
      <c r="B5921" s="2" t="str">
        <f>IFERROR(__xludf.DUMMYFUNCTION("IF(A5921&lt;&gt;"""", GOOGLETRANSLATE(A5921, ""en"", ""te""),"""")"),"")</f>
        <v/>
      </c>
      <c r="C5921" s="2"/>
      <c r="D5921" s="2" t="str">
        <f>IFERROR(__xludf.DUMMYFUNCTION("IF(C5921&lt;&gt;"""", GOOGLETRANSLATE(C5921, ""en"", ""te""),"""")"),"")</f>
        <v/>
      </c>
      <c r="E5921" s="2"/>
      <c r="F5921" s="2" t="str">
        <f>IFERROR(__xludf.DUMMYFUNCTION("IF(E5921&lt;&gt;"""", GOOGLETRANSLATE(E5921, ""en"", ""te""),"""")"),"")</f>
        <v/>
      </c>
      <c r="G5921" s="2"/>
      <c r="H5921" s="2" t="str">
        <f>IFERROR(__xludf.DUMMYFUNCTION("IF(G5921&lt;&gt;"""", GOOGLETRANSLATE(G5921, ""en"", ""te""),"""")"),"")</f>
        <v/>
      </c>
      <c r="I5921" s="3"/>
    </row>
    <row r="5922" customHeight="1" spans="1:9">
      <c r="A5922" s="2"/>
      <c r="B5922" s="2" t="str">
        <f>IFERROR(__xludf.DUMMYFUNCTION("IF(A5922&lt;&gt;"""", GOOGLETRANSLATE(A5922, ""en"", ""te""),"""")"),"")</f>
        <v/>
      </c>
      <c r="C5922" s="2"/>
      <c r="D5922" s="2" t="str">
        <f>IFERROR(__xludf.DUMMYFUNCTION("IF(C5922&lt;&gt;"""", GOOGLETRANSLATE(C5922, ""en"", ""te""),"""")"),"")</f>
        <v/>
      </c>
      <c r="E5922" s="2"/>
      <c r="F5922" s="2" t="str">
        <f>IFERROR(__xludf.DUMMYFUNCTION("IF(E5922&lt;&gt;"""", GOOGLETRANSLATE(E5922, ""en"", ""te""),"""")"),"")</f>
        <v/>
      </c>
      <c r="G5922" s="2"/>
      <c r="H5922" s="2" t="str">
        <f>IFERROR(__xludf.DUMMYFUNCTION("IF(G5922&lt;&gt;"""", GOOGLETRANSLATE(G5922, ""en"", ""te""),"""")"),"")</f>
        <v/>
      </c>
      <c r="I5922" s="3"/>
    </row>
    <row r="5923" customHeight="1" spans="1:9">
      <c r="A5923" s="2"/>
      <c r="B5923" s="2" t="str">
        <f>IFERROR(__xludf.DUMMYFUNCTION("IF(A5923&lt;&gt;"""", GOOGLETRANSLATE(A5923, ""en"", ""te""),"""")"),"")</f>
        <v/>
      </c>
      <c r="C5923" s="2"/>
      <c r="D5923" s="2" t="str">
        <f>IFERROR(__xludf.DUMMYFUNCTION("IF(C5923&lt;&gt;"""", GOOGLETRANSLATE(C5923, ""en"", ""te""),"""")"),"")</f>
        <v/>
      </c>
      <c r="E5923" s="2"/>
      <c r="F5923" s="2" t="str">
        <f>IFERROR(__xludf.DUMMYFUNCTION("IF(E5923&lt;&gt;"""", GOOGLETRANSLATE(E5923, ""en"", ""te""),"""")"),"")</f>
        <v/>
      </c>
      <c r="G5923" s="2"/>
      <c r="H5923" s="2" t="str">
        <f>IFERROR(__xludf.DUMMYFUNCTION("IF(G5923&lt;&gt;"""", GOOGLETRANSLATE(G5923, ""en"", ""te""),"""")"),"")</f>
        <v/>
      </c>
      <c r="I5923" s="3"/>
    </row>
    <row r="5924" customHeight="1" spans="1:9">
      <c r="A5924" s="2"/>
      <c r="B5924" s="2" t="str">
        <f>IFERROR(__xludf.DUMMYFUNCTION("IF(A5924&lt;&gt;"""", GOOGLETRANSLATE(A5924, ""en"", ""te""),"""")"),"")</f>
        <v/>
      </c>
      <c r="C5924" s="2"/>
      <c r="D5924" s="2" t="str">
        <f>IFERROR(__xludf.DUMMYFUNCTION("IF(C5924&lt;&gt;"""", GOOGLETRANSLATE(C5924, ""en"", ""te""),"""")"),"")</f>
        <v/>
      </c>
      <c r="E5924" s="2"/>
      <c r="F5924" s="2" t="str">
        <f>IFERROR(__xludf.DUMMYFUNCTION("IF(E5924&lt;&gt;"""", GOOGLETRANSLATE(E5924, ""en"", ""te""),"""")"),"")</f>
        <v/>
      </c>
      <c r="G5924" s="2"/>
      <c r="H5924" s="2" t="str">
        <f>IFERROR(__xludf.DUMMYFUNCTION("IF(G5924&lt;&gt;"""", GOOGLETRANSLATE(G5924, ""en"", ""te""),"""")"),"")</f>
        <v/>
      </c>
      <c r="I5924" s="3"/>
    </row>
    <row r="5925" customHeight="1" spans="1:9">
      <c r="A5925" s="2"/>
      <c r="B5925" s="2" t="str">
        <f>IFERROR(__xludf.DUMMYFUNCTION("IF(A5925&lt;&gt;"""", GOOGLETRANSLATE(A5925, ""en"", ""te""),"""")"),"")</f>
        <v/>
      </c>
      <c r="C5925" s="2"/>
      <c r="D5925" s="2" t="str">
        <f>IFERROR(__xludf.DUMMYFUNCTION("IF(C5925&lt;&gt;"""", GOOGLETRANSLATE(C5925, ""en"", ""te""),"""")"),"")</f>
        <v/>
      </c>
      <c r="E5925" s="2"/>
      <c r="F5925" s="2" t="str">
        <f>IFERROR(__xludf.DUMMYFUNCTION("IF(E5925&lt;&gt;"""", GOOGLETRANSLATE(E5925, ""en"", ""te""),"""")"),"")</f>
        <v/>
      </c>
      <c r="G5925" s="2"/>
      <c r="H5925" s="2" t="str">
        <f>IFERROR(__xludf.DUMMYFUNCTION("IF(G5925&lt;&gt;"""", GOOGLETRANSLATE(G5925, ""en"", ""te""),"""")"),"")</f>
        <v/>
      </c>
      <c r="I5925" s="3"/>
    </row>
    <row r="5926" customHeight="1" spans="1:9">
      <c r="A5926" s="2"/>
      <c r="B5926" s="2" t="str">
        <f>IFERROR(__xludf.DUMMYFUNCTION("IF(A5926&lt;&gt;"""", GOOGLETRANSLATE(A5926, ""en"", ""te""),"""")"),"")</f>
        <v/>
      </c>
      <c r="C5926" s="2"/>
      <c r="D5926" s="2" t="str">
        <f>IFERROR(__xludf.DUMMYFUNCTION("IF(C5926&lt;&gt;"""", GOOGLETRANSLATE(C5926, ""en"", ""te""),"""")"),"")</f>
        <v/>
      </c>
      <c r="E5926" s="2"/>
      <c r="F5926" s="2" t="str">
        <f>IFERROR(__xludf.DUMMYFUNCTION("IF(E5926&lt;&gt;"""", GOOGLETRANSLATE(E5926, ""en"", ""te""),"""")"),"")</f>
        <v/>
      </c>
      <c r="G5926" s="2"/>
      <c r="H5926" s="2" t="str">
        <f>IFERROR(__xludf.DUMMYFUNCTION("IF(G5926&lt;&gt;"""", GOOGLETRANSLATE(G5926, ""en"", ""te""),"""")"),"")</f>
        <v/>
      </c>
      <c r="I5926" s="3"/>
    </row>
    <row r="5927" customHeight="1" spans="1:9">
      <c r="A5927" s="2"/>
      <c r="B5927" s="2" t="str">
        <f>IFERROR(__xludf.DUMMYFUNCTION("IF(A5927&lt;&gt;"""", GOOGLETRANSLATE(A5927, ""en"", ""te""),"""")"),"")</f>
        <v/>
      </c>
      <c r="C5927" s="2"/>
      <c r="D5927" s="2" t="str">
        <f>IFERROR(__xludf.DUMMYFUNCTION("IF(C5927&lt;&gt;"""", GOOGLETRANSLATE(C5927, ""en"", ""te""),"""")"),"")</f>
        <v/>
      </c>
      <c r="E5927" s="2"/>
      <c r="F5927" s="2" t="str">
        <f>IFERROR(__xludf.DUMMYFUNCTION("IF(E5927&lt;&gt;"""", GOOGLETRANSLATE(E5927, ""en"", ""te""),"""")"),"")</f>
        <v/>
      </c>
      <c r="G5927" s="2" t="s">
        <v>3701</v>
      </c>
      <c r="H5927" s="2" t="str">
        <f>IFERROR(__xludf.DUMMYFUNCTION("IF(G5927&lt;&gt;"""", GOOGLETRANSLATE(G5927, ""en"", ""te""),"""")"),"[ '43 వ అత్యధిక వికెట్లు ఒక ఫీల్డర్ (26) పట్టుకుంటే తీసిన]")</f>
        <v>[ '43 వ అత్యధిక వికెట్లు ఒక ఫీల్డర్ (26) పట్టుకుంటే తీసిన]</v>
      </c>
      <c r="I5927" s="3"/>
    </row>
    <row r="5928" customHeight="1" spans="1:9">
      <c r="A5928" s="2"/>
      <c r="B5928" s="2" t="str">
        <f>IFERROR(__xludf.DUMMYFUNCTION("IF(A5928&lt;&gt;"""", GOOGLETRANSLATE(A5928, ""en"", ""te""),"""")"),"")</f>
        <v/>
      </c>
      <c r="C5928" s="2"/>
      <c r="D5928" s="2" t="str">
        <f>IFERROR(__xludf.DUMMYFUNCTION("IF(C5928&lt;&gt;"""", GOOGLETRANSLATE(C5928, ""en"", ""te""),"""")"),"")</f>
        <v/>
      </c>
      <c r="E5928" s="2"/>
      <c r="F5928" s="2" t="str">
        <f>IFERROR(__xludf.DUMMYFUNCTION("IF(E5928&lt;&gt;"""", GOOGLETRANSLATE(E5928, ""en"", ""te""),"""")"),"")</f>
        <v/>
      </c>
      <c r="G5928" s="2"/>
      <c r="H5928" s="2" t="str">
        <f>IFERROR(__xludf.DUMMYFUNCTION("IF(G5928&lt;&gt;"""", GOOGLETRANSLATE(G5928, ""en"", ""te""),"""")"),"")</f>
        <v/>
      </c>
      <c r="I5928" s="3"/>
    </row>
    <row r="5929" customHeight="1" spans="1:9">
      <c r="A5929" s="2"/>
      <c r="B5929" s="2" t="str">
        <f>IFERROR(__xludf.DUMMYFUNCTION("IF(A5929&lt;&gt;"""", GOOGLETRANSLATE(A5929, ""en"", ""te""),"""")"),"")</f>
        <v/>
      </c>
      <c r="C5929" s="2"/>
      <c r="D5929" s="2" t="str">
        <f>IFERROR(__xludf.DUMMYFUNCTION("IF(C5929&lt;&gt;"""", GOOGLETRANSLATE(C5929, ""en"", ""te""),"""")"),"")</f>
        <v/>
      </c>
      <c r="E5929" s="2"/>
      <c r="F5929" s="2" t="str">
        <f>IFERROR(__xludf.DUMMYFUNCTION("IF(E5929&lt;&gt;"""", GOOGLETRANSLATE(E5929, ""en"", ""te""),"""")"),"")</f>
        <v/>
      </c>
      <c r="G5929" s="2"/>
      <c r="H5929" s="2" t="str">
        <f>IFERROR(__xludf.DUMMYFUNCTION("IF(G5929&lt;&gt;"""", GOOGLETRANSLATE(G5929, ""en"", ""te""),"""")"),"")</f>
        <v/>
      </c>
      <c r="I5929" s="3"/>
    </row>
    <row r="5930" customHeight="1" spans="1:9">
      <c r="A5930" s="2"/>
      <c r="B5930" s="2" t="str">
        <f>IFERROR(__xludf.DUMMYFUNCTION("IF(A5930&lt;&gt;"""", GOOGLETRANSLATE(A5930, ""en"", ""te""),"""")"),"")</f>
        <v/>
      </c>
      <c r="C5930" s="2"/>
      <c r="D5930" s="2" t="str">
        <f>IFERROR(__xludf.DUMMYFUNCTION("IF(C5930&lt;&gt;"""", GOOGLETRANSLATE(C5930, ""en"", ""te""),"""")"),"")</f>
        <v/>
      </c>
      <c r="E5930" s="2"/>
      <c r="F5930" s="2" t="str">
        <f>IFERROR(__xludf.DUMMYFUNCTION("IF(E5930&lt;&gt;"""", GOOGLETRANSLATE(E5930, ""en"", ""te""),"""")"),"")</f>
        <v/>
      </c>
      <c r="G5930" s="2"/>
      <c r="H5930" s="2" t="str">
        <f>IFERROR(__xludf.DUMMYFUNCTION("IF(G5930&lt;&gt;"""", GOOGLETRANSLATE(G5930, ""en"", ""te""),"""")"),"")</f>
        <v/>
      </c>
      <c r="I5930" s="3"/>
    </row>
    <row r="5931" customHeight="1" spans="1:9">
      <c r="A5931" s="2" t="s">
        <v>87</v>
      </c>
      <c r="B5931" s="2" t="str">
        <f>IFERROR(__xludf.DUMMYFUNCTION("IF(A5931&lt;&gt;"""", GOOGLETRANSLATE(A5931, ""en"", ""te""),"""")"),"[ 'వరుస చాలా 5 వ స్టంపింగ్లు (7)']")</f>
        <v>[ 'వరుస చాలా 5 వ స్టంపింగ్లు (7)']</v>
      </c>
      <c r="C5931" s="2" t="s">
        <v>3702</v>
      </c>
      <c r="D5931" s="2" t="str">
        <f>IFERROR(__xludf.DUMMYFUNCTION("IF(C5931&lt;&gt;"""", GOOGLETRANSLATE(C5931, ""en"", ""te""),"""")"),"[ 'కెరీర్ లో 25 వ అత్యంత స్టంపింగ్లు (16)', '5 వ ఒక సిరీస్లో అత్యధిక స్టంపింగ్లు (7)']")</f>
        <v>[ 'కెరీర్ లో 25 వ అత్యంత స్టంపింగ్లు (16)', '5 వ ఒక సిరీస్లో అత్యధిక స్టంపింగ్లు (7)']</v>
      </c>
      <c r="E5931" s="2"/>
      <c r="F5931" s="2" t="str">
        <f>IFERROR(__xludf.DUMMYFUNCTION("IF(E5931&lt;&gt;"""", GOOGLETRANSLATE(E5931, ""en"", ""te""),"""")"),"")</f>
        <v/>
      </c>
      <c r="G5931" s="2"/>
      <c r="H5931" s="2" t="str">
        <f>IFERROR(__xludf.DUMMYFUNCTION("IF(G5931&lt;&gt;"""", GOOGLETRANSLATE(G5931, ""en"", ""te""),"""")"),"")</f>
        <v/>
      </c>
      <c r="I5931" s="3"/>
    </row>
    <row r="5932" customHeight="1" spans="1:9">
      <c r="A5932" s="2"/>
      <c r="B5932" s="2" t="str">
        <f>IFERROR(__xludf.DUMMYFUNCTION("IF(A5932&lt;&gt;"""", GOOGLETRANSLATE(A5932, ""en"", ""te""),"""")"),"")</f>
        <v/>
      </c>
      <c r="C5932" s="2"/>
      <c r="D5932" s="2" t="str">
        <f>IFERROR(__xludf.DUMMYFUNCTION("IF(C5932&lt;&gt;"""", GOOGLETRANSLATE(C5932, ""en"", ""te""),"""")"),"")</f>
        <v/>
      </c>
      <c r="E5932" s="2"/>
      <c r="F5932" s="2" t="str">
        <f>IFERROR(__xludf.DUMMYFUNCTION("IF(E5932&lt;&gt;"""", GOOGLETRANSLATE(E5932, ""en"", ""te""),"""")"),"")</f>
        <v/>
      </c>
      <c r="G5932" s="2"/>
      <c r="H5932" s="2" t="str">
        <f>IFERROR(__xludf.DUMMYFUNCTION("IF(G5932&lt;&gt;"""", GOOGLETRANSLATE(G5932, ""en"", ""te""),"""")"),"")</f>
        <v/>
      </c>
      <c r="I5932" s="3"/>
    </row>
    <row r="5933" customHeight="1" spans="1:9">
      <c r="A5933" s="2"/>
      <c r="B5933" s="2" t="str">
        <f>IFERROR(__xludf.DUMMYFUNCTION("IF(A5933&lt;&gt;"""", GOOGLETRANSLATE(A5933, ""en"", ""te""),"""")"),"")</f>
        <v/>
      </c>
      <c r="C5933" s="2"/>
      <c r="D5933" s="2" t="str">
        <f>IFERROR(__xludf.DUMMYFUNCTION("IF(C5933&lt;&gt;"""", GOOGLETRANSLATE(C5933, ""en"", ""te""),"""")"),"")</f>
        <v/>
      </c>
      <c r="E5933" s="2"/>
      <c r="F5933" s="2" t="str">
        <f>IFERROR(__xludf.DUMMYFUNCTION("IF(E5933&lt;&gt;"""", GOOGLETRANSLATE(E5933, ""en"", ""te""),"""")"),"")</f>
        <v/>
      </c>
      <c r="G5933" s="2"/>
      <c r="H5933" s="2" t="str">
        <f>IFERROR(__xludf.DUMMYFUNCTION("IF(G5933&lt;&gt;"""", GOOGLETRANSLATE(G5933, ""en"", ""te""),"""")"),"")</f>
        <v/>
      </c>
      <c r="I5933" s="3"/>
    </row>
    <row r="5934" customHeight="1" spans="1:9">
      <c r="A5934" s="2"/>
      <c r="B5934" s="2" t="str">
        <f>IFERROR(__xludf.DUMMYFUNCTION("IF(A5934&lt;&gt;"""", GOOGLETRANSLATE(A5934, ""en"", ""te""),"""")"),"")</f>
        <v/>
      </c>
      <c r="C5934" s="2"/>
      <c r="D5934" s="2" t="str">
        <f>IFERROR(__xludf.DUMMYFUNCTION("IF(C5934&lt;&gt;"""", GOOGLETRANSLATE(C5934, ""en"", ""te""),"""")"),"")</f>
        <v/>
      </c>
      <c r="E5934" s="2"/>
      <c r="F5934" s="2" t="str">
        <f>IFERROR(__xludf.DUMMYFUNCTION("IF(E5934&lt;&gt;"""", GOOGLETRANSLATE(E5934, ""en"", ""te""),"""")"),"")</f>
        <v/>
      </c>
      <c r="G5934" s="2"/>
      <c r="H5934" s="2" t="str">
        <f>IFERROR(__xludf.DUMMYFUNCTION("IF(G5934&lt;&gt;"""", GOOGLETRANSLATE(G5934, ""en"", ""te""),"""")"),"")</f>
        <v/>
      </c>
      <c r="I5934" s="3"/>
    </row>
    <row r="5935" customHeight="1" spans="1:9">
      <c r="A5935" s="2"/>
      <c r="B5935" s="2" t="str">
        <f>IFERROR(__xludf.DUMMYFUNCTION("IF(A5935&lt;&gt;"""", GOOGLETRANSLATE(A5935, ""en"", ""te""),"""")"),"")</f>
        <v/>
      </c>
      <c r="C5935" s="2"/>
      <c r="D5935" s="2" t="str">
        <f>IFERROR(__xludf.DUMMYFUNCTION("IF(C5935&lt;&gt;"""", GOOGLETRANSLATE(C5935, ""en"", ""te""),"""")"),"")</f>
        <v/>
      </c>
      <c r="E5935" s="2"/>
      <c r="F5935" s="2" t="str">
        <f>IFERROR(__xludf.DUMMYFUNCTION("IF(E5935&lt;&gt;"""", GOOGLETRANSLATE(E5935, ""en"", ""te""),"""")"),"")</f>
        <v/>
      </c>
      <c r="G5935" s="2"/>
      <c r="H5935" s="2" t="str">
        <f>IFERROR(__xludf.DUMMYFUNCTION("IF(G5935&lt;&gt;"""", GOOGLETRANSLATE(G5935, ""en"", ""te""),"""")"),"")</f>
        <v/>
      </c>
      <c r="I5935" s="3"/>
    </row>
    <row r="5936" customHeight="1" spans="1:9">
      <c r="A5936" s="2"/>
      <c r="B5936" s="2" t="str">
        <f>IFERROR(__xludf.DUMMYFUNCTION("IF(A5936&lt;&gt;"""", GOOGLETRANSLATE(A5936, ""en"", ""te""),"""")"),"")</f>
        <v/>
      </c>
      <c r="C5936" s="2"/>
      <c r="D5936" s="2" t="str">
        <f>IFERROR(__xludf.DUMMYFUNCTION("IF(C5936&lt;&gt;"""", GOOGLETRANSLATE(C5936, ""en"", ""te""),"""")"),"")</f>
        <v/>
      </c>
      <c r="E5936" s="2"/>
      <c r="F5936" s="2" t="str">
        <f>IFERROR(__xludf.DUMMYFUNCTION("IF(E5936&lt;&gt;"""", GOOGLETRANSLATE(E5936, ""en"", ""te""),"""")"),"")</f>
        <v/>
      </c>
      <c r="G5936" s="2"/>
      <c r="H5936" s="2" t="str">
        <f>IFERROR(__xludf.DUMMYFUNCTION("IF(G5936&lt;&gt;"""", GOOGLETRANSLATE(G5936, ""en"", ""te""),"""")"),"")</f>
        <v/>
      </c>
      <c r="I5936" s="3"/>
    </row>
    <row r="5937" customHeight="1" spans="1:9">
      <c r="A5937" s="2"/>
      <c r="B5937" s="2" t="str">
        <f>IFERROR(__xludf.DUMMYFUNCTION("IF(A5937&lt;&gt;"""", GOOGLETRANSLATE(A5937, ""en"", ""te""),"""")"),"")</f>
        <v/>
      </c>
      <c r="C5937" s="2"/>
      <c r="D5937" s="2" t="str">
        <f>IFERROR(__xludf.DUMMYFUNCTION("IF(C5937&lt;&gt;"""", GOOGLETRANSLATE(C5937, ""en"", ""te""),"""")"),"")</f>
        <v/>
      </c>
      <c r="E5937" s="2"/>
      <c r="F5937" s="2" t="str">
        <f>IFERROR(__xludf.DUMMYFUNCTION("IF(E5937&lt;&gt;"""", GOOGLETRANSLATE(E5937, ""en"", ""te""),"""")"),"")</f>
        <v/>
      </c>
      <c r="G5937" s="2"/>
      <c r="H5937" s="2" t="str">
        <f>IFERROR(__xludf.DUMMYFUNCTION("IF(G5937&lt;&gt;"""", GOOGLETRANSLATE(G5937, ""en"", ""te""),"""")"),"")</f>
        <v/>
      </c>
      <c r="I5937" s="3"/>
    </row>
    <row r="5938" customHeight="1" spans="1:9">
      <c r="A5938" s="2"/>
      <c r="B5938" s="2" t="str">
        <f>IFERROR(__xludf.DUMMYFUNCTION("IF(A5938&lt;&gt;"""", GOOGLETRANSLATE(A5938, ""en"", ""te""),"""")"),"")</f>
        <v/>
      </c>
      <c r="C5938" s="2"/>
      <c r="D5938" s="2" t="str">
        <f>IFERROR(__xludf.DUMMYFUNCTION("IF(C5938&lt;&gt;"""", GOOGLETRANSLATE(C5938, ""en"", ""te""),"""")"),"")</f>
        <v/>
      </c>
      <c r="E5938" s="2"/>
      <c r="F5938" s="2" t="str">
        <f>IFERROR(__xludf.DUMMYFUNCTION("IF(E5938&lt;&gt;"""", GOOGLETRANSLATE(E5938, ""en"", ""te""),"""")"),"")</f>
        <v/>
      </c>
      <c r="G5938" s="2"/>
      <c r="H5938" s="2" t="str">
        <f>IFERROR(__xludf.DUMMYFUNCTION("IF(G5938&lt;&gt;"""", GOOGLETRANSLATE(G5938, ""en"", ""te""),"""")"),"")</f>
        <v/>
      </c>
      <c r="I5938" s="3"/>
    </row>
    <row r="5939" customHeight="1" spans="1:9">
      <c r="A5939" s="2" t="s">
        <v>3703</v>
      </c>
      <c r="B5939" s="2" t="str">
        <f>IFERROR(__xludf.DUMMYFUNCTION("IF(A5939&lt;&gt;"""", GOOGLETRANSLATE(A5939, ""en"", ""te""),"""")"),"[ 'వరుస ఇన్నింగ్స్లో 5 వ వందల (3)', 'నూట ఒక ఇన్నింగ్స్ లో ఐదు వికెట్లు', 'వరుస ఇన్నింగ్స్లో 6 వ వందల (3)']")</f>
        <v>[ 'వరుస ఇన్నింగ్స్లో 5 వ వందల (3)', 'నూట ఒక ఇన్నింగ్స్ లో ఐదు వికెట్లు', 'వరుస ఇన్నింగ్స్లో 6 వ వందల (3)']</v>
      </c>
      <c r="C5939" s="2" t="s">
        <v>3704</v>
      </c>
      <c r="D5939" s="2" t="str">
        <f>IFERROR(__xludf.DUMMYFUNCTION("IF(C5939&lt;&gt;"""", GOOGLETRANSLATE(C5939, ""en"", ""te""),"""")"),"[ 'వరుస ఇన్నింగ్స్లో 5 వ వందల (3)', 'వరుస మ్యాచ్లలో 21 వందల (3)', '11 వ ఉత్తమ కెరీర్ ఆర్థిక రేటు (1.87)' '23 వ (228) పరాజయం వైపు ఒక మ్యాచ్లో పరుగులు', '15 వ చెత్త కెరీర్లో సమ్మె రేటు (135.0)', '11 వ వరుస అన్ని టాస్ గెలిచిన (3)']")</f>
        <v>[ 'వరుస ఇన్నింగ్స్లో 5 వ వందల (3)', 'వరుస మ్యాచ్లలో 21 వందల (3)', '11 వ ఉత్తమ కెరీర్ ఆర్థిక రేటు (1.87)' '23 వ (228) పరాజయం వైపు ఒక మ్యాచ్లో పరుగులు', '15 వ చెత్త కెరీర్లో సమ్మె రేటు (135.0)', '11 వ వరుస అన్ని టాస్ గెలిచిన (3)']</v>
      </c>
      <c r="E5939" s="2"/>
      <c r="F5939" s="2" t="str">
        <f>IFERROR(__xludf.DUMMYFUNCTION("IF(E5939&lt;&gt;"""", GOOGLETRANSLATE(E5939, ""en"", ""te""),"""")"),"")</f>
        <v/>
      </c>
      <c r="G5939" s="2"/>
      <c r="H5939" s="2" t="str">
        <f>IFERROR(__xludf.DUMMYFUNCTION("IF(G5939&lt;&gt;"""", GOOGLETRANSLATE(G5939, ""en"", ""te""),"""")"),"")</f>
        <v/>
      </c>
      <c r="I5939" s="3"/>
    </row>
    <row r="5940" customHeight="1" spans="1:9">
      <c r="A5940" s="2"/>
      <c r="B5940" s="2" t="str">
        <f>IFERROR(__xludf.DUMMYFUNCTION("IF(A5940&lt;&gt;"""", GOOGLETRANSLATE(A5940, ""en"", ""te""),"""")"),"")</f>
        <v/>
      </c>
      <c r="C5940" s="2"/>
      <c r="D5940" s="2" t="str">
        <f>IFERROR(__xludf.DUMMYFUNCTION("IF(C5940&lt;&gt;"""", GOOGLETRANSLATE(C5940, ""en"", ""te""),"""")"),"")</f>
        <v/>
      </c>
      <c r="E5940" s="2"/>
      <c r="F5940" s="2" t="str">
        <f>IFERROR(__xludf.DUMMYFUNCTION("IF(E5940&lt;&gt;"""", GOOGLETRANSLATE(E5940, ""en"", ""te""),"""")"),"")</f>
        <v/>
      </c>
      <c r="G5940" s="2"/>
      <c r="H5940" s="2" t="str">
        <f>IFERROR(__xludf.DUMMYFUNCTION("IF(G5940&lt;&gt;"""", GOOGLETRANSLATE(G5940, ""en"", ""te""),"""")"),"")</f>
        <v/>
      </c>
      <c r="I5940" s="3"/>
    </row>
    <row r="5941" customHeight="1" spans="1:9">
      <c r="A5941" s="2"/>
      <c r="B5941" s="2" t="str">
        <f>IFERROR(__xludf.DUMMYFUNCTION("IF(A5941&lt;&gt;"""", GOOGLETRANSLATE(A5941, ""en"", ""te""),"""")"),"")</f>
        <v/>
      </c>
      <c r="C5941" s="2"/>
      <c r="D5941" s="2" t="str">
        <f>IFERROR(__xludf.DUMMYFUNCTION("IF(C5941&lt;&gt;"""", GOOGLETRANSLATE(C5941, ""en"", ""te""),"""")"),"")</f>
        <v/>
      </c>
      <c r="E5941" s="2"/>
      <c r="F5941" s="2" t="str">
        <f>IFERROR(__xludf.DUMMYFUNCTION("IF(E5941&lt;&gt;"""", GOOGLETRANSLATE(E5941, ""en"", ""te""),"""")"),"")</f>
        <v/>
      </c>
      <c r="G5941" s="2" t="s">
        <v>797</v>
      </c>
      <c r="H5941" s="2" t="str">
        <f>IFERROR(__xludf.DUMMYFUNCTION("IF(G5941&lt;&gt;"""", GOOGLETRANSLATE(G5941, ""en"", ""te""),"""")"),"[ '17 వ బౌలర్ / బ్యాట్స్ కలయికలు (3)']")</f>
        <v>[ '17 వ బౌలర్ / బ్యాట్స్ కలయికలు (3)']</v>
      </c>
      <c r="I5941" s="3"/>
    </row>
    <row r="5942" customHeight="1" spans="1:9">
      <c r="A5942" s="2"/>
      <c r="B5942" s="2" t="str">
        <f>IFERROR(__xludf.DUMMYFUNCTION("IF(A5942&lt;&gt;"""", GOOGLETRANSLATE(A5942, ""en"", ""te""),"""")"),"")</f>
        <v/>
      </c>
      <c r="C5942" s="2"/>
      <c r="D5942" s="2" t="str">
        <f>IFERROR(__xludf.DUMMYFUNCTION("IF(C5942&lt;&gt;"""", GOOGLETRANSLATE(C5942, ""en"", ""te""),"""")"),"")</f>
        <v/>
      </c>
      <c r="E5942" s="2"/>
      <c r="F5942" s="2" t="str">
        <f>IFERROR(__xludf.DUMMYFUNCTION("IF(E5942&lt;&gt;"""", GOOGLETRANSLATE(E5942, ""en"", ""te""),"""")"),"")</f>
        <v/>
      </c>
      <c r="G5942" s="2"/>
      <c r="H5942" s="2" t="str">
        <f>IFERROR(__xludf.DUMMYFUNCTION("IF(G5942&lt;&gt;"""", GOOGLETRANSLATE(G5942, ""en"", ""te""),"""")"),"")</f>
        <v/>
      </c>
      <c r="I5942" s="3"/>
    </row>
    <row r="5943" customHeight="1" spans="1:9">
      <c r="A5943" s="2"/>
      <c r="B5943" s="2" t="str">
        <f>IFERROR(__xludf.DUMMYFUNCTION("IF(A5943&lt;&gt;"""", GOOGLETRANSLATE(A5943, ""en"", ""te""),"""")"),"")</f>
        <v/>
      </c>
      <c r="C5943" s="2"/>
      <c r="D5943" s="2" t="str">
        <f>IFERROR(__xludf.DUMMYFUNCTION("IF(C5943&lt;&gt;"""", GOOGLETRANSLATE(C5943, ""en"", ""te""),"""")"),"")</f>
        <v/>
      </c>
      <c r="E5943" s="2"/>
      <c r="F5943" s="2" t="str">
        <f>IFERROR(__xludf.DUMMYFUNCTION("IF(E5943&lt;&gt;"""", GOOGLETRANSLATE(E5943, ""en"", ""te""),"""")"),"")</f>
        <v/>
      </c>
      <c r="G5943" s="2"/>
      <c r="H5943" s="2" t="str">
        <f>IFERROR(__xludf.DUMMYFUNCTION("IF(G5943&lt;&gt;"""", GOOGLETRANSLATE(G5943, ""en"", ""te""),"""")"),"")</f>
        <v/>
      </c>
      <c r="I5943" s="3"/>
    </row>
    <row r="5944" customHeight="1" spans="1:9">
      <c r="A5944" s="2"/>
      <c r="B5944" s="2" t="str">
        <f>IFERROR(__xludf.DUMMYFUNCTION("IF(A5944&lt;&gt;"""", GOOGLETRANSLATE(A5944, ""en"", ""te""),"""")"),"")</f>
        <v/>
      </c>
      <c r="C5944" s="2"/>
      <c r="D5944" s="2" t="str">
        <f>IFERROR(__xludf.DUMMYFUNCTION("IF(C5944&lt;&gt;"""", GOOGLETRANSLATE(C5944, ""en"", ""te""),"""")"),"")</f>
        <v/>
      </c>
      <c r="E5944" s="2"/>
      <c r="F5944" s="2" t="str">
        <f>IFERROR(__xludf.DUMMYFUNCTION("IF(E5944&lt;&gt;"""", GOOGLETRANSLATE(E5944, ""en"", ""te""),"""")"),"")</f>
        <v/>
      </c>
      <c r="G5944" s="2"/>
      <c r="H5944" s="2" t="str">
        <f>IFERROR(__xludf.DUMMYFUNCTION("IF(G5944&lt;&gt;"""", GOOGLETRANSLATE(G5944, ""en"", ""te""),"""")"),"")</f>
        <v/>
      </c>
      <c r="I5944" s="3"/>
    </row>
    <row r="5945" customHeight="1" spans="1:9">
      <c r="A5945" s="2"/>
      <c r="B5945" s="2" t="str">
        <f>IFERROR(__xludf.DUMMYFUNCTION("IF(A5945&lt;&gt;"""", GOOGLETRANSLATE(A5945, ""en"", ""te""),"""")"),"")</f>
        <v/>
      </c>
      <c r="C5945" s="2"/>
      <c r="D5945" s="2" t="str">
        <f>IFERROR(__xludf.DUMMYFUNCTION("IF(C5945&lt;&gt;"""", GOOGLETRANSLATE(C5945, ""en"", ""te""),"""")"),"")</f>
        <v/>
      </c>
      <c r="E5945" s="2"/>
      <c r="F5945" s="2" t="str">
        <f>IFERROR(__xludf.DUMMYFUNCTION("IF(E5945&lt;&gt;"""", GOOGLETRANSLATE(E5945, ""en"", ""te""),"""")"),"")</f>
        <v/>
      </c>
      <c r="G5945" s="2"/>
      <c r="H5945" s="2" t="str">
        <f>IFERROR(__xludf.DUMMYFUNCTION("IF(G5945&lt;&gt;"""", GOOGLETRANSLATE(G5945, ""en"", ""te""),"""")"),"")</f>
        <v/>
      </c>
      <c r="I5945" s="3"/>
    </row>
    <row r="5946" customHeight="1" spans="1:9">
      <c r="A5946" s="2"/>
      <c r="B5946" s="2" t="str">
        <f>IFERROR(__xludf.DUMMYFUNCTION("IF(A5946&lt;&gt;"""", GOOGLETRANSLATE(A5946, ""en"", ""te""),"""")"),"")</f>
        <v/>
      </c>
      <c r="C5946" s="2"/>
      <c r="D5946" s="2" t="str">
        <f>IFERROR(__xludf.DUMMYFUNCTION("IF(C5946&lt;&gt;"""", GOOGLETRANSLATE(C5946, ""en"", ""te""),"""")"),"")</f>
        <v/>
      </c>
      <c r="E5946" s="2"/>
      <c r="F5946" s="2" t="str">
        <f>IFERROR(__xludf.DUMMYFUNCTION("IF(E5946&lt;&gt;"""", GOOGLETRANSLATE(E5946, ""en"", ""te""),"""")"),"")</f>
        <v/>
      </c>
      <c r="G5946" s="2"/>
      <c r="H5946" s="2" t="str">
        <f>IFERROR(__xludf.DUMMYFUNCTION("IF(G5946&lt;&gt;"""", GOOGLETRANSLATE(G5946, ""en"", ""te""),"""")"),"")</f>
        <v/>
      </c>
      <c r="I5946" s="3"/>
    </row>
    <row r="5947" customHeight="1" spans="1:9">
      <c r="A5947" s="2"/>
      <c r="B5947" s="2" t="str">
        <f>IFERROR(__xludf.DUMMYFUNCTION("IF(A5947&lt;&gt;"""", GOOGLETRANSLATE(A5947, ""en"", ""te""),"""")"),"")</f>
        <v/>
      </c>
      <c r="C5947" s="2"/>
      <c r="D5947" s="2" t="str">
        <f>IFERROR(__xludf.DUMMYFUNCTION("IF(C5947&lt;&gt;"""", GOOGLETRANSLATE(C5947, ""en"", ""te""),"""")"),"")</f>
        <v/>
      </c>
      <c r="E5947" s="2"/>
      <c r="F5947" s="2" t="str">
        <f>IFERROR(__xludf.DUMMYFUNCTION("IF(E5947&lt;&gt;"""", GOOGLETRANSLATE(E5947, ""en"", ""te""),"""")"),"")</f>
        <v/>
      </c>
      <c r="G5947" s="2"/>
      <c r="H5947" s="2" t="str">
        <f>IFERROR(__xludf.DUMMYFUNCTION("IF(G5947&lt;&gt;"""", GOOGLETRANSLATE(G5947, ""en"", ""te""),"""")"),"")</f>
        <v/>
      </c>
      <c r="I5947" s="3"/>
    </row>
    <row r="5948" customHeight="1" spans="1:9">
      <c r="A5948" s="2"/>
      <c r="B5948" s="2" t="str">
        <f>IFERROR(__xludf.DUMMYFUNCTION("IF(A5948&lt;&gt;"""", GOOGLETRANSLATE(A5948, ""en"", ""te""),"""")"),"")</f>
        <v/>
      </c>
      <c r="C5948" s="2"/>
      <c r="D5948" s="2" t="str">
        <f>IFERROR(__xludf.DUMMYFUNCTION("IF(C5948&lt;&gt;"""", GOOGLETRANSLATE(C5948, ""en"", ""te""),"""")"),"")</f>
        <v/>
      </c>
      <c r="E5948" s="2" t="s">
        <v>3705</v>
      </c>
      <c r="F5948" s="2" t="str">
        <f>IFERROR(__xludf.DUMMYFUNCTION("IF(E5948&lt;&gt;"""", GOOGLETRANSLATE(E5948, ""en"", ""te""),"""")"),"[ '24 వ తొలి మ్యాచ్లో అత్యధిక పరుగులు (86)', '19 వ వరుస మ్యాచ్లు ఆడి మధ్య జట్టు (162) కోసం తప్పిన']")</f>
        <v>[ '24 వ తొలి మ్యాచ్లో అత్యధిక పరుగులు (86)', '19 వ వరుస మ్యాచ్లు ఆడి మధ్య జట్టు (162) కోసం తప్పిన']</v>
      </c>
      <c r="G5948" s="2" t="s">
        <v>3706</v>
      </c>
      <c r="H5948" s="2" t="str">
        <f>IFERROR(__xludf.DUMMYFUNCTION("IF(G5948&lt;&gt;"""", GOOGLETRANSLATE(G5948, ""en"", ""te""),"""")"),"[ '32 వ అత్యంత ఇన్నింగ్స్ లో సాధించిన బైస్ (5)']")</f>
        <v>[ '32 వ అత్యంత ఇన్నింగ్స్ లో సాధించిన బైస్ (5)']</v>
      </c>
      <c r="I5948" s="3"/>
    </row>
    <row r="5949" customHeight="1" spans="1:9">
      <c r="A5949" s="2"/>
      <c r="B5949" s="2" t="str">
        <f>IFERROR(__xludf.DUMMYFUNCTION("IF(A5949&lt;&gt;"""", GOOGLETRANSLATE(A5949, ""en"", ""te""),"""")"),"")</f>
        <v/>
      </c>
      <c r="C5949" s="2"/>
      <c r="D5949" s="2" t="str">
        <f>IFERROR(__xludf.DUMMYFUNCTION("IF(C5949&lt;&gt;"""", GOOGLETRANSLATE(C5949, ""en"", ""te""),"""")"),"")</f>
        <v/>
      </c>
      <c r="E5949" s="2"/>
      <c r="F5949" s="2" t="str">
        <f>IFERROR(__xludf.DUMMYFUNCTION("IF(E5949&lt;&gt;"""", GOOGLETRANSLATE(E5949, ""en"", ""te""),"""")"),"")</f>
        <v/>
      </c>
      <c r="G5949" s="2"/>
      <c r="H5949" s="2" t="str">
        <f>IFERROR(__xludf.DUMMYFUNCTION("IF(G5949&lt;&gt;"""", GOOGLETRANSLATE(G5949, ""en"", ""te""),"""")"),"")</f>
        <v/>
      </c>
      <c r="I5949" s="3"/>
    </row>
    <row r="5950" customHeight="1" spans="1:9">
      <c r="A5950" s="2"/>
      <c r="B5950" s="2" t="str">
        <f>IFERROR(__xludf.DUMMYFUNCTION("IF(A5950&lt;&gt;"""", GOOGLETRANSLATE(A5950, ""en"", ""te""),"""")"),"")</f>
        <v/>
      </c>
      <c r="C5950" s="2"/>
      <c r="D5950" s="2" t="str">
        <f>IFERROR(__xludf.DUMMYFUNCTION("IF(C5950&lt;&gt;"""", GOOGLETRANSLATE(C5950, ""en"", ""te""),"""")"),"")</f>
        <v/>
      </c>
      <c r="E5950" s="2"/>
      <c r="F5950" s="2" t="str">
        <f>IFERROR(__xludf.DUMMYFUNCTION("IF(E5950&lt;&gt;"""", GOOGLETRANSLATE(E5950, ""en"", ""te""),"""")"),"")</f>
        <v/>
      </c>
      <c r="G5950" s="2"/>
      <c r="H5950" s="2" t="str">
        <f>IFERROR(__xludf.DUMMYFUNCTION("IF(G5950&lt;&gt;"""", GOOGLETRANSLATE(G5950, ""en"", ""te""),"""")"),"")</f>
        <v/>
      </c>
      <c r="I5950" s="3"/>
    </row>
    <row r="5951" customHeight="1" spans="1:9">
      <c r="A5951" s="2"/>
      <c r="B5951" s="2" t="str">
        <f>IFERROR(__xludf.DUMMYFUNCTION("IF(A5951&lt;&gt;"""", GOOGLETRANSLATE(A5951, ""en"", ""te""),"""")"),"")</f>
        <v/>
      </c>
      <c r="C5951" s="2"/>
      <c r="D5951" s="2" t="str">
        <f>IFERROR(__xludf.DUMMYFUNCTION("IF(C5951&lt;&gt;"""", GOOGLETRANSLATE(C5951, ""en"", ""te""),"""")"),"")</f>
        <v/>
      </c>
      <c r="E5951" s="2"/>
      <c r="F5951" s="2" t="str">
        <f>IFERROR(__xludf.DUMMYFUNCTION("IF(E5951&lt;&gt;"""", GOOGLETRANSLATE(E5951, ""en"", ""te""),"""")"),"")</f>
        <v/>
      </c>
      <c r="G5951" s="2"/>
      <c r="H5951" s="2" t="str">
        <f>IFERROR(__xludf.DUMMYFUNCTION("IF(G5951&lt;&gt;"""", GOOGLETRANSLATE(G5951, ""en"", ""te""),"""")"),"")</f>
        <v/>
      </c>
      <c r="I5951" s="3"/>
    </row>
    <row r="5952" customHeight="1" spans="1:9">
      <c r="A5952" s="2"/>
      <c r="B5952" s="2" t="str">
        <f>IFERROR(__xludf.DUMMYFUNCTION("IF(A5952&lt;&gt;"""", GOOGLETRANSLATE(A5952, ""en"", ""te""),"""")"),"")</f>
        <v/>
      </c>
      <c r="C5952" s="2"/>
      <c r="D5952" s="2" t="str">
        <f>IFERROR(__xludf.DUMMYFUNCTION("IF(C5952&lt;&gt;"""", GOOGLETRANSLATE(C5952, ""en"", ""te""),"""")"),"")</f>
        <v/>
      </c>
      <c r="E5952" s="2"/>
      <c r="F5952" s="2" t="str">
        <f>IFERROR(__xludf.DUMMYFUNCTION("IF(E5952&lt;&gt;"""", GOOGLETRANSLATE(E5952, ""en"", ""te""),"""")"),"")</f>
        <v/>
      </c>
      <c r="G5952" s="2"/>
      <c r="H5952" s="2" t="str">
        <f>IFERROR(__xludf.DUMMYFUNCTION("IF(G5952&lt;&gt;"""", GOOGLETRANSLATE(G5952, ""en"", ""te""),"""")"),"")</f>
        <v/>
      </c>
      <c r="I5952" s="3"/>
    </row>
    <row r="5953" customHeight="1" spans="1:9">
      <c r="A5953" s="2"/>
      <c r="B5953" s="2" t="str">
        <f>IFERROR(__xludf.DUMMYFUNCTION("IF(A5953&lt;&gt;"""", GOOGLETRANSLATE(A5953, ""en"", ""te""),"""")"),"")</f>
        <v/>
      </c>
      <c r="C5953" s="2"/>
      <c r="D5953" s="2" t="str">
        <f>IFERROR(__xludf.DUMMYFUNCTION("IF(C5953&lt;&gt;"""", GOOGLETRANSLATE(C5953, ""en"", ""te""),"""")"),"")</f>
        <v/>
      </c>
      <c r="E5953" s="2"/>
      <c r="F5953" s="2" t="str">
        <f>IFERROR(__xludf.DUMMYFUNCTION("IF(E5953&lt;&gt;"""", GOOGLETRANSLATE(E5953, ""en"", ""te""),"""")"),"")</f>
        <v/>
      </c>
      <c r="G5953" s="2"/>
      <c r="H5953" s="2" t="str">
        <f>IFERROR(__xludf.DUMMYFUNCTION("IF(G5953&lt;&gt;"""", GOOGLETRANSLATE(G5953, ""en"", ""te""),"""")"),"")</f>
        <v/>
      </c>
      <c r="I5953" s="3"/>
    </row>
    <row r="5954" customHeight="1" spans="1:9">
      <c r="A5954" s="2"/>
      <c r="B5954" s="2" t="str">
        <f>IFERROR(__xludf.DUMMYFUNCTION("IF(A5954&lt;&gt;"""", GOOGLETRANSLATE(A5954, ""en"", ""te""),"""")"),"")</f>
        <v/>
      </c>
      <c r="C5954" s="2"/>
      <c r="D5954" s="2" t="str">
        <f>IFERROR(__xludf.DUMMYFUNCTION("IF(C5954&lt;&gt;"""", GOOGLETRANSLATE(C5954, ""en"", ""te""),"""")"),"")</f>
        <v/>
      </c>
      <c r="E5954" s="2"/>
      <c r="F5954" s="2" t="str">
        <f>IFERROR(__xludf.DUMMYFUNCTION("IF(E5954&lt;&gt;"""", GOOGLETRANSLATE(E5954, ""en"", ""te""),"""")"),"")</f>
        <v/>
      </c>
      <c r="G5954" s="2"/>
      <c r="H5954" s="2" t="str">
        <f>IFERROR(__xludf.DUMMYFUNCTION("IF(G5954&lt;&gt;"""", GOOGLETRANSLATE(G5954, ""en"", ""te""),"""")"),"")</f>
        <v/>
      </c>
      <c r="I5954" s="3"/>
    </row>
    <row r="5955" customHeight="1" spans="1:9">
      <c r="A5955" s="2"/>
      <c r="B5955" s="2" t="str">
        <f>IFERROR(__xludf.DUMMYFUNCTION("IF(A5955&lt;&gt;"""", GOOGLETRANSLATE(A5955, ""en"", ""te""),"""")"),"")</f>
        <v/>
      </c>
      <c r="C5955" s="2"/>
      <c r="D5955" s="2" t="str">
        <f>IFERROR(__xludf.DUMMYFUNCTION("IF(C5955&lt;&gt;"""", GOOGLETRANSLATE(C5955, ""en"", ""te""),"""")"),"")</f>
        <v/>
      </c>
      <c r="E5955" s="2"/>
      <c r="F5955" s="2" t="str">
        <f>IFERROR(__xludf.DUMMYFUNCTION("IF(E5955&lt;&gt;"""", GOOGLETRANSLATE(E5955, ""en"", ""te""),"""")"),"")</f>
        <v/>
      </c>
      <c r="G5955" s="2"/>
      <c r="H5955" s="2" t="str">
        <f>IFERROR(__xludf.DUMMYFUNCTION("IF(G5955&lt;&gt;"""", GOOGLETRANSLATE(G5955, ""en"", ""te""),"""")"),"")</f>
        <v/>
      </c>
      <c r="I5955" s="3"/>
    </row>
    <row r="5956" customHeight="1" spans="1:9">
      <c r="A5956" s="2" t="s">
        <v>3707</v>
      </c>
      <c r="B5956" s="2" t="str">
        <f>IFERROR(__xludf.DUMMYFUNCTION("IF(A5956&lt;&gt;"""", GOOGLETRANSLATE(A5956, ""en"", ""te""),"""")"),"[ 'రెండవ వికెట్కు 6 వ అత్యధిక భాగస్వామ్యం (370)' '9 వ చెత్త కెరీర్ సగటు (198.00) (అర్హత లేకుండా) బౌలింగ్',]")</f>
        <v>[ 'రెండవ వికెట్కు 6 వ అత్యధిక భాగస్వామ్యం (370)' '9 వ చెత్త కెరీర్ సగటు (198.00) (అర్హత లేకుండా) బౌలింగ్',]</v>
      </c>
      <c r="C5956" s="2" t="s">
        <v>3708</v>
      </c>
      <c r="D5956" s="2" t="str">
        <f>IFERROR(__xludf.DUMMYFUNCTION("IF(C5956&lt;&gt;"""", GOOGLETRANSLATE(C5956, ""en"", ""te""),"""")"),"[ 'వరుస మ్యాచ్లలో 26 యాభైల్లో (7)', '9 వ చెత్త కెరీర్ సగటు (అర్హత లేకుండా) (198.00) బౌలింగ్', 'ఏ వికెట్కు 27 అత్యధిక భాగస్వామ్యాల (370)', మొదటి వికెట్కు '19 అత్యధిక భాగస్వామ్యం (289) ',' రెండవ వికెట్కు 6 వ అత్యధిక భాగస్వామ్యం (370) ',' మూడో వికెట్ (308) "&amp;"24 అత్యధిక భాగస్వామ్యం ']")</f>
        <v>[ 'వరుస మ్యాచ్లలో 26 యాభైల్లో (7)', '9 వ చెత్త కెరీర్ సగటు (అర్హత లేకుండా) (198.00) బౌలింగ్', 'ఏ వికెట్కు 27 అత్యధిక భాగస్వామ్యాల (370)', మొదటి వికెట్కు '19 అత్యధిక భాగస్వామ్యం (289) ',' రెండవ వికెట్కు 6 వ అత్యధిక భాగస్వామ్యం (370) ',' మూడో వికెట్ (308) 24 అత్యధిక భాగస్వామ్యం ']</v>
      </c>
      <c r="E5956" s="2"/>
      <c r="F5956" s="2" t="str">
        <f>IFERROR(__xludf.DUMMYFUNCTION("IF(E5956&lt;&gt;"""", GOOGLETRANSLATE(E5956, ""en"", ""te""),"""")"),"")</f>
        <v/>
      </c>
      <c r="G5956" s="2"/>
      <c r="H5956" s="2" t="str">
        <f>IFERROR(__xludf.DUMMYFUNCTION("IF(G5956&lt;&gt;"""", GOOGLETRANSLATE(G5956, ""en"", ""te""),"""")"),"")</f>
        <v/>
      </c>
      <c r="I5956" s="3"/>
    </row>
    <row r="5957" customHeight="1" spans="1:9">
      <c r="A5957" s="2"/>
      <c r="B5957" s="2" t="str">
        <f>IFERROR(__xludf.DUMMYFUNCTION("IF(A5957&lt;&gt;"""", GOOGLETRANSLATE(A5957, ""en"", ""te""),"""")"),"")</f>
        <v/>
      </c>
      <c r="C5957" s="2"/>
      <c r="D5957" s="2" t="str">
        <f>IFERROR(__xludf.DUMMYFUNCTION("IF(C5957&lt;&gt;"""", GOOGLETRANSLATE(C5957, ""en"", ""te""),"""")"),"")</f>
        <v/>
      </c>
      <c r="E5957" s="2"/>
      <c r="F5957" s="2" t="str">
        <f>IFERROR(__xludf.DUMMYFUNCTION("IF(E5957&lt;&gt;"""", GOOGLETRANSLATE(E5957, ""en"", ""te""),"""")"),"")</f>
        <v/>
      </c>
      <c r="G5957" s="2"/>
      <c r="H5957" s="2" t="str">
        <f>IFERROR(__xludf.DUMMYFUNCTION("IF(G5957&lt;&gt;"""", GOOGLETRANSLATE(G5957, ""en"", ""te""),"""")"),"")</f>
        <v/>
      </c>
      <c r="I5957" s="3"/>
    </row>
    <row r="5958" customHeight="1" spans="1:9">
      <c r="A5958" s="2"/>
      <c r="B5958" s="2" t="str">
        <f>IFERROR(__xludf.DUMMYFUNCTION("IF(A5958&lt;&gt;"""", GOOGLETRANSLATE(A5958, ""en"", ""te""),"""")"),"")</f>
        <v/>
      </c>
      <c r="C5958" s="2"/>
      <c r="D5958" s="2" t="str">
        <f>IFERROR(__xludf.DUMMYFUNCTION("IF(C5958&lt;&gt;"""", GOOGLETRANSLATE(C5958, ""en"", ""te""),"""")"),"")</f>
        <v/>
      </c>
      <c r="E5958" s="2"/>
      <c r="F5958" s="2" t="str">
        <f>IFERROR(__xludf.DUMMYFUNCTION("IF(E5958&lt;&gt;"""", GOOGLETRANSLATE(E5958, ""en"", ""te""),"""")"),"")</f>
        <v/>
      </c>
      <c r="G5958" s="2"/>
      <c r="H5958" s="2" t="str">
        <f>IFERROR(__xludf.DUMMYFUNCTION("IF(G5958&lt;&gt;"""", GOOGLETRANSLATE(G5958, ""en"", ""te""),"""")"),"")</f>
        <v/>
      </c>
      <c r="I5958" s="3"/>
    </row>
    <row r="5959" customHeight="1" spans="1:9">
      <c r="A5959" s="2" t="s">
        <v>3709</v>
      </c>
      <c r="B5959" s="2" t="str">
        <f>IFERROR(__xludf.DUMMYFUNCTION("IF(A5959&lt;&gt;"""", GOOGLETRANSLATE(A5959, ""en"", ""te""),"""")"),"[ '10 వ అత్యధిక పరుగులు ఇన్నింగ్స్ (102) లో సాధించిన]")</f>
        <v>[ '10 వ అత్యధిక పరుగులు ఇన్నింగ్స్ (102) లో సాధించిన]</v>
      </c>
      <c r="C5959" s="2"/>
      <c r="D5959" s="2" t="str">
        <f>IFERROR(__xludf.DUMMYFUNCTION("IF(C5959&lt;&gt;"""", GOOGLETRANSLATE(C5959, ""en"", ""te""),"""")"),"")</f>
        <v/>
      </c>
      <c r="E5959" s="2" t="s">
        <v>3710</v>
      </c>
      <c r="F5959" s="2" t="str">
        <f>IFERROR(__xludf.DUMMYFUNCTION("IF(E5959&lt;&gt;"""", GOOGLETRANSLATE(E5959, ""en"", ""te""),"""")"),"[ '15 వ చెత్త కెరీర్లో ఆర్థిక రేటు (5.94)', 'ఇన్నింగ్స్ లో 27 చెత్త ఆర్థిక రేటు (11.33)', '10 వ ఇన్నింగ్స్ (102) లో సాధించిన అత్యధిక పరుగులు']")</f>
        <v>[ '15 వ చెత్త కెరీర్లో ఆర్థిక రేటు (5.94)', 'ఇన్నింగ్స్ లో 27 చెత్త ఆర్థిక రేటు (11.33)', '10 వ ఇన్నింగ్స్ (102) లో సాధించిన అత్యధిక పరుగులు']</v>
      </c>
      <c r="G5959" s="2"/>
      <c r="H5959" s="2" t="str">
        <f>IFERROR(__xludf.DUMMYFUNCTION("IF(G5959&lt;&gt;"""", GOOGLETRANSLATE(G5959, ""en"", ""te""),"""")"),"")</f>
        <v/>
      </c>
      <c r="I5959" s="3"/>
    </row>
    <row r="5960" customHeight="1" spans="1:9">
      <c r="A5960" s="2"/>
      <c r="B5960" s="2" t="str">
        <f>IFERROR(__xludf.DUMMYFUNCTION("IF(A5960&lt;&gt;"""", GOOGLETRANSLATE(A5960, ""en"", ""te""),"""")"),"")</f>
        <v/>
      </c>
      <c r="C5960" s="2"/>
      <c r="D5960" s="2" t="str">
        <f>IFERROR(__xludf.DUMMYFUNCTION("IF(C5960&lt;&gt;"""", GOOGLETRANSLATE(C5960, ""en"", ""te""),"""")"),"")</f>
        <v/>
      </c>
      <c r="E5960" s="2"/>
      <c r="F5960" s="2" t="str">
        <f>IFERROR(__xludf.DUMMYFUNCTION("IF(E5960&lt;&gt;"""", GOOGLETRANSLATE(E5960, ""en"", ""te""),"""")"),"")</f>
        <v/>
      </c>
      <c r="G5960" s="2"/>
      <c r="H5960" s="2" t="str">
        <f>IFERROR(__xludf.DUMMYFUNCTION("IF(G5960&lt;&gt;"""", GOOGLETRANSLATE(G5960, ""en"", ""te""),"""")"),"")</f>
        <v/>
      </c>
      <c r="I5960" s="3"/>
    </row>
    <row r="5961" customHeight="1" spans="1:9">
      <c r="A5961" s="2"/>
      <c r="B5961" s="2" t="str">
        <f>IFERROR(__xludf.DUMMYFUNCTION("IF(A5961&lt;&gt;"""", GOOGLETRANSLATE(A5961, ""en"", ""te""),"""")"),"")</f>
        <v/>
      </c>
      <c r="C5961" s="2"/>
      <c r="D5961" s="2" t="str">
        <f>IFERROR(__xludf.DUMMYFUNCTION("IF(C5961&lt;&gt;"""", GOOGLETRANSLATE(C5961, ""en"", ""te""),"""")"),"")</f>
        <v/>
      </c>
      <c r="E5961" s="2"/>
      <c r="F5961" s="2" t="str">
        <f>IFERROR(__xludf.DUMMYFUNCTION("IF(E5961&lt;&gt;"""", GOOGLETRANSLATE(E5961, ""en"", ""te""),"""")"),"")</f>
        <v/>
      </c>
      <c r="G5961" s="2"/>
      <c r="H5961" s="2" t="str">
        <f>IFERROR(__xludf.DUMMYFUNCTION("IF(G5961&lt;&gt;"""", GOOGLETRANSLATE(G5961, ""en"", ""te""),"""")"),"")</f>
        <v/>
      </c>
      <c r="I5961" s="3"/>
    </row>
    <row r="5962" customHeight="1" spans="1:9">
      <c r="A5962" s="2"/>
      <c r="B5962" s="2" t="str">
        <f>IFERROR(__xludf.DUMMYFUNCTION("IF(A5962&lt;&gt;"""", GOOGLETRANSLATE(A5962, ""en"", ""te""),"""")"),"")</f>
        <v/>
      </c>
      <c r="C5962" s="2"/>
      <c r="D5962" s="2" t="str">
        <f>IFERROR(__xludf.DUMMYFUNCTION("IF(C5962&lt;&gt;"""", GOOGLETRANSLATE(C5962, ""en"", ""te""),"""")"),"")</f>
        <v/>
      </c>
      <c r="E5962" s="2"/>
      <c r="F5962" s="2" t="str">
        <f>IFERROR(__xludf.DUMMYFUNCTION("IF(E5962&lt;&gt;"""", GOOGLETRANSLATE(E5962, ""en"", ""te""),"""")"),"")</f>
        <v/>
      </c>
      <c r="G5962" s="2"/>
      <c r="H5962" s="2" t="str">
        <f>IFERROR(__xludf.DUMMYFUNCTION("IF(G5962&lt;&gt;"""", GOOGLETRANSLATE(G5962, ""en"", ""te""),"""")"),"")</f>
        <v/>
      </c>
      <c r="I5962" s="3"/>
    </row>
    <row r="5963" customHeight="1" spans="1:9">
      <c r="A5963" s="2"/>
      <c r="B5963" s="2" t="str">
        <f>IFERROR(__xludf.DUMMYFUNCTION("IF(A5963&lt;&gt;"""", GOOGLETRANSLATE(A5963, ""en"", ""te""),"""")"),"")</f>
        <v/>
      </c>
      <c r="C5963" s="2"/>
      <c r="D5963" s="2" t="str">
        <f>IFERROR(__xludf.DUMMYFUNCTION("IF(C5963&lt;&gt;"""", GOOGLETRANSLATE(C5963, ""en"", ""te""),"""")"),"")</f>
        <v/>
      </c>
      <c r="E5963" s="2"/>
      <c r="F5963" s="2" t="str">
        <f>IFERROR(__xludf.DUMMYFUNCTION("IF(E5963&lt;&gt;"""", GOOGLETRANSLATE(E5963, ""en"", ""te""),"""")"),"")</f>
        <v/>
      </c>
      <c r="G5963" s="2"/>
      <c r="H5963" s="2" t="str">
        <f>IFERROR(__xludf.DUMMYFUNCTION("IF(G5963&lt;&gt;"""", GOOGLETRANSLATE(G5963, ""en"", ""te""),"""")"),"")</f>
        <v/>
      </c>
      <c r="I5963" s="3"/>
    </row>
    <row r="5964" customHeight="1" spans="1:9">
      <c r="A5964" s="2"/>
      <c r="B5964" s="2" t="str">
        <f>IFERROR(__xludf.DUMMYFUNCTION("IF(A5964&lt;&gt;"""", GOOGLETRANSLATE(A5964, ""en"", ""te""),"""")"),"")</f>
        <v/>
      </c>
      <c r="C5964" s="2"/>
      <c r="D5964" s="2" t="str">
        <f>IFERROR(__xludf.DUMMYFUNCTION("IF(C5964&lt;&gt;"""", GOOGLETRANSLATE(C5964, ""en"", ""te""),"""")"),"")</f>
        <v/>
      </c>
      <c r="E5964" s="2"/>
      <c r="F5964" s="2" t="str">
        <f>IFERROR(__xludf.DUMMYFUNCTION("IF(E5964&lt;&gt;"""", GOOGLETRANSLATE(E5964, ""en"", ""te""),"""")"),"")</f>
        <v/>
      </c>
      <c r="G5964" s="2"/>
      <c r="H5964" s="2" t="str">
        <f>IFERROR(__xludf.DUMMYFUNCTION("IF(G5964&lt;&gt;"""", GOOGLETRANSLATE(G5964, ""en"", ""te""),"""")"),"")</f>
        <v/>
      </c>
      <c r="I5964" s="3"/>
    </row>
    <row r="5965" customHeight="1" spans="1:9">
      <c r="A5965" s="2"/>
      <c r="B5965" s="2" t="str">
        <f>IFERROR(__xludf.DUMMYFUNCTION("IF(A5965&lt;&gt;"""", GOOGLETRANSLATE(A5965, ""en"", ""te""),"""")"),"")</f>
        <v/>
      </c>
      <c r="C5965" s="2"/>
      <c r="D5965" s="2" t="str">
        <f>IFERROR(__xludf.DUMMYFUNCTION("IF(C5965&lt;&gt;"""", GOOGLETRANSLATE(C5965, ""en"", ""te""),"""")"),"")</f>
        <v/>
      </c>
      <c r="E5965" s="2"/>
      <c r="F5965" s="2" t="str">
        <f>IFERROR(__xludf.DUMMYFUNCTION("IF(E5965&lt;&gt;"""", GOOGLETRANSLATE(E5965, ""en"", ""te""),"""")"),"")</f>
        <v/>
      </c>
      <c r="G5965" s="2"/>
      <c r="H5965" s="2" t="str">
        <f>IFERROR(__xludf.DUMMYFUNCTION("IF(G5965&lt;&gt;"""", GOOGLETRANSLATE(G5965, ""en"", ""te""),"""")"),"")</f>
        <v/>
      </c>
      <c r="I5965" s="3"/>
    </row>
    <row r="5966" customHeight="1" spans="1:9">
      <c r="A5966" s="2"/>
      <c r="B5966" s="2" t="str">
        <f>IFERROR(__xludf.DUMMYFUNCTION("IF(A5966&lt;&gt;"""", GOOGLETRANSLATE(A5966, ""en"", ""te""),"""")"),"")</f>
        <v/>
      </c>
      <c r="C5966" s="2"/>
      <c r="D5966" s="2" t="str">
        <f>IFERROR(__xludf.DUMMYFUNCTION("IF(C5966&lt;&gt;"""", GOOGLETRANSLATE(C5966, ""en"", ""te""),"""")"),"")</f>
        <v/>
      </c>
      <c r="E5966" s="2"/>
      <c r="F5966" s="2" t="str">
        <f>IFERROR(__xludf.DUMMYFUNCTION("IF(E5966&lt;&gt;"""", GOOGLETRANSLATE(E5966, ""en"", ""te""),"""")"),"")</f>
        <v/>
      </c>
      <c r="G5966" s="2"/>
      <c r="H5966" s="2" t="str">
        <f>IFERROR(__xludf.DUMMYFUNCTION("IF(G5966&lt;&gt;"""", GOOGLETRANSLATE(G5966, ""en"", ""te""),"""")"),"")</f>
        <v/>
      </c>
      <c r="I5966" s="3"/>
    </row>
    <row r="5967" customHeight="1" spans="1:9">
      <c r="A5967" s="2"/>
      <c r="B5967" s="2" t="str">
        <f>IFERROR(__xludf.DUMMYFUNCTION("IF(A5967&lt;&gt;"""", GOOGLETRANSLATE(A5967, ""en"", ""te""),"""")"),"")</f>
        <v/>
      </c>
      <c r="C5967" s="2"/>
      <c r="D5967" s="2" t="str">
        <f>IFERROR(__xludf.DUMMYFUNCTION("IF(C5967&lt;&gt;"""", GOOGLETRANSLATE(C5967, ""en"", ""te""),"""")"),"")</f>
        <v/>
      </c>
      <c r="E5967" s="2"/>
      <c r="F5967" s="2" t="str">
        <f>IFERROR(__xludf.DUMMYFUNCTION("IF(E5967&lt;&gt;"""", GOOGLETRANSLATE(E5967, ""en"", ""te""),"""")"),"")</f>
        <v/>
      </c>
      <c r="G5967" s="2"/>
      <c r="H5967" s="2" t="str">
        <f>IFERROR(__xludf.DUMMYFUNCTION("IF(G5967&lt;&gt;"""", GOOGLETRANSLATE(G5967, ""en"", ""te""),"""")"),"")</f>
        <v/>
      </c>
      <c r="I5967" s="3"/>
    </row>
    <row r="5968" customHeight="1" spans="1:9">
      <c r="A5968" s="2" t="s">
        <v>3711</v>
      </c>
      <c r="B5968" s="2" t="str">
        <f>IFERROR(__xludf.DUMMYFUNCTION("IF(A5968&lt;&gt;"""", GOOGLETRANSLATE(A5968, ""en"", ""te""),"""")"),"[ '3 వ పిన్న క్రీడాకారులు (15y 283d)']")</f>
        <v>[ '3 వ పిన్న క్రీడాకారులు (15y 283d)']</v>
      </c>
      <c r="C5968" s="2" t="s">
        <v>3712</v>
      </c>
      <c r="D5968" s="2" t="str">
        <f>IFERROR(__xludf.DUMMYFUNCTION("IF(C5968&lt;&gt;"""", GOOGLETRANSLATE(C5968, ""en"", ""te""),"""")"),"[ '29 పరాజయం వైపు ఒక మ్యాచ్లో అత్యధిక పరుగులు (81)', '3 వ పిన్న క్రీడాకారులు (15y 283d)']")</f>
        <v>[ '29 పరాజయం వైపు ఒక మ్యాచ్లో అత్యధిక పరుగులు (81)', '3 వ పిన్న క్రీడాకారులు (15y 283d)']</v>
      </c>
      <c r="E5968" s="2" t="s">
        <v>3713</v>
      </c>
      <c r="F5968" s="2" t="str">
        <f>IFERROR(__xludf.DUMMYFUNCTION("IF(E5968&lt;&gt;"""", GOOGLETRANSLATE(E5968, ""en"", ""te""),"""")"),"['21 వ పిన్న క్రీడాకారులు (15y 291d) ',' 8 వ లాంగెస్ట్ వ్యవధిలో ప్రదర్శనల మధ్య (8y 127d) ']")</f>
        <v>['21 వ పిన్న క్రీడాకారులు (15y 291d) ',' 8 వ లాంగెస్ట్ వ్యవధిలో ప్రదర్శనల మధ్య (8y 127d) ']</v>
      </c>
      <c r="G5968" s="2"/>
      <c r="H5968" s="2" t="str">
        <f>IFERROR(__xludf.DUMMYFUNCTION("IF(G5968&lt;&gt;"""", GOOGLETRANSLATE(G5968, ""en"", ""te""),"""")"),"")</f>
        <v/>
      </c>
      <c r="I5968" s="3"/>
    </row>
    <row r="5969" customHeight="1" spans="1:9">
      <c r="A5969" s="2"/>
      <c r="B5969" s="2" t="str">
        <f>IFERROR(__xludf.DUMMYFUNCTION("IF(A5969&lt;&gt;"""", GOOGLETRANSLATE(A5969, ""en"", ""te""),"""")"),"")</f>
        <v/>
      </c>
      <c r="C5969" s="2"/>
      <c r="D5969" s="2" t="str">
        <f>IFERROR(__xludf.DUMMYFUNCTION("IF(C5969&lt;&gt;"""", GOOGLETRANSLATE(C5969, ""en"", ""te""),"""")"),"")</f>
        <v/>
      </c>
      <c r="E5969" s="2"/>
      <c r="F5969" s="2" t="str">
        <f>IFERROR(__xludf.DUMMYFUNCTION("IF(E5969&lt;&gt;"""", GOOGLETRANSLATE(E5969, ""en"", ""te""),"""")"),"")</f>
        <v/>
      </c>
      <c r="G5969" s="2"/>
      <c r="H5969" s="2" t="str">
        <f>IFERROR(__xludf.DUMMYFUNCTION("IF(G5969&lt;&gt;"""", GOOGLETRANSLATE(G5969, ""en"", ""te""),"""")"),"")</f>
        <v/>
      </c>
      <c r="I5969" s="3"/>
    </row>
    <row r="5970" customHeight="1" spans="1:9">
      <c r="A5970" s="2"/>
      <c r="B5970" s="2" t="str">
        <f>IFERROR(__xludf.DUMMYFUNCTION("IF(A5970&lt;&gt;"""", GOOGLETRANSLATE(A5970, ""en"", ""te""),"""")"),"")</f>
        <v/>
      </c>
      <c r="C5970" s="2"/>
      <c r="D5970" s="2" t="str">
        <f>IFERROR(__xludf.DUMMYFUNCTION("IF(C5970&lt;&gt;"""", GOOGLETRANSLATE(C5970, ""en"", ""te""),"""")"),"")</f>
        <v/>
      </c>
      <c r="E5970" s="2"/>
      <c r="F5970" s="2" t="str">
        <f>IFERROR(__xludf.DUMMYFUNCTION("IF(E5970&lt;&gt;"""", GOOGLETRANSLATE(E5970, ""en"", ""te""),"""")"),"")</f>
        <v/>
      </c>
      <c r="G5970" s="2"/>
      <c r="H5970" s="2" t="str">
        <f>IFERROR(__xludf.DUMMYFUNCTION("IF(G5970&lt;&gt;"""", GOOGLETRANSLATE(G5970, ""en"", ""te""),"""")"),"")</f>
        <v/>
      </c>
      <c r="I5970" s="3"/>
    </row>
    <row r="5971" customHeight="1" spans="1:9">
      <c r="A5971" s="2"/>
      <c r="B5971" s="2" t="str">
        <f>IFERROR(__xludf.DUMMYFUNCTION("IF(A5971&lt;&gt;"""", GOOGLETRANSLATE(A5971, ""en"", ""te""),"""")"),"")</f>
        <v/>
      </c>
      <c r="C5971" s="2"/>
      <c r="D5971" s="2" t="str">
        <f>IFERROR(__xludf.DUMMYFUNCTION("IF(C5971&lt;&gt;"""", GOOGLETRANSLATE(C5971, ""en"", ""te""),"""")"),"")</f>
        <v/>
      </c>
      <c r="E5971" s="2"/>
      <c r="F5971" s="2" t="str">
        <f>IFERROR(__xludf.DUMMYFUNCTION("IF(E5971&lt;&gt;"""", GOOGLETRANSLATE(E5971, ""en"", ""te""),"""")"),"")</f>
        <v/>
      </c>
      <c r="G5971" s="2"/>
      <c r="H5971" s="2" t="str">
        <f>IFERROR(__xludf.DUMMYFUNCTION("IF(G5971&lt;&gt;"""", GOOGLETRANSLATE(G5971, ""en"", ""te""),"""")"),"")</f>
        <v/>
      </c>
      <c r="I5971" s="3"/>
    </row>
    <row r="5972" customHeight="1" spans="1:9">
      <c r="A5972" s="2"/>
      <c r="B5972" s="2" t="str">
        <f>IFERROR(__xludf.DUMMYFUNCTION("IF(A5972&lt;&gt;"""", GOOGLETRANSLATE(A5972, ""en"", ""te""),"""")"),"")</f>
        <v/>
      </c>
      <c r="C5972" s="2"/>
      <c r="D5972" s="2" t="str">
        <f>IFERROR(__xludf.DUMMYFUNCTION("IF(C5972&lt;&gt;"""", GOOGLETRANSLATE(C5972, ""en"", ""te""),"""")"),"")</f>
        <v/>
      </c>
      <c r="E5972" s="2"/>
      <c r="F5972" s="2" t="str">
        <f>IFERROR(__xludf.DUMMYFUNCTION("IF(E5972&lt;&gt;"""", GOOGLETRANSLATE(E5972, ""en"", ""te""),"""")"),"")</f>
        <v/>
      </c>
      <c r="G5972" s="2"/>
      <c r="H5972" s="2" t="str">
        <f>IFERROR(__xludf.DUMMYFUNCTION("IF(G5972&lt;&gt;"""", GOOGLETRANSLATE(G5972, ""en"", ""te""),"""")"),"")</f>
        <v/>
      </c>
      <c r="I5972" s="3"/>
    </row>
    <row r="5973" customHeight="1" spans="1:9">
      <c r="A5973" s="2"/>
      <c r="B5973" s="2" t="str">
        <f>IFERROR(__xludf.DUMMYFUNCTION("IF(A5973&lt;&gt;"""", GOOGLETRANSLATE(A5973, ""en"", ""te""),"""")"),"")</f>
        <v/>
      </c>
      <c r="C5973" s="2"/>
      <c r="D5973" s="2" t="str">
        <f>IFERROR(__xludf.DUMMYFUNCTION("IF(C5973&lt;&gt;"""", GOOGLETRANSLATE(C5973, ""en"", ""te""),"""")"),"")</f>
        <v/>
      </c>
      <c r="E5973" s="2"/>
      <c r="F5973" s="2" t="str">
        <f>IFERROR(__xludf.DUMMYFUNCTION("IF(E5973&lt;&gt;"""", GOOGLETRANSLATE(E5973, ""en"", ""te""),"""")"),"")</f>
        <v/>
      </c>
      <c r="G5973" s="2"/>
      <c r="H5973" s="2" t="str">
        <f>IFERROR(__xludf.DUMMYFUNCTION("IF(G5973&lt;&gt;"""", GOOGLETRANSLATE(G5973, ""en"", ""te""),"""")"),"")</f>
        <v/>
      </c>
      <c r="I5973" s="3"/>
    </row>
    <row r="5974" customHeight="1" spans="1:9">
      <c r="A5974" s="2"/>
      <c r="B5974" s="2" t="str">
        <f>IFERROR(__xludf.DUMMYFUNCTION("IF(A5974&lt;&gt;"""", GOOGLETRANSLATE(A5974, ""en"", ""te""),"""")"),"")</f>
        <v/>
      </c>
      <c r="C5974" s="2"/>
      <c r="D5974" s="2" t="str">
        <f>IFERROR(__xludf.DUMMYFUNCTION("IF(C5974&lt;&gt;"""", GOOGLETRANSLATE(C5974, ""en"", ""te""),"""")"),"")</f>
        <v/>
      </c>
      <c r="E5974" s="2"/>
      <c r="F5974" s="2" t="str">
        <f>IFERROR(__xludf.DUMMYFUNCTION("IF(E5974&lt;&gt;"""", GOOGLETRANSLATE(E5974, ""en"", ""te""),"""")"),"")</f>
        <v/>
      </c>
      <c r="G5974" s="2"/>
      <c r="H5974" s="2" t="str">
        <f>IFERROR(__xludf.DUMMYFUNCTION("IF(G5974&lt;&gt;"""", GOOGLETRANSLATE(G5974, ""en"", ""te""),"""")"),"")</f>
        <v/>
      </c>
      <c r="I5974" s="3"/>
    </row>
    <row r="5975" customHeight="1" spans="1:9">
      <c r="A5975" s="2"/>
      <c r="B5975" s="2" t="str">
        <f>IFERROR(__xludf.DUMMYFUNCTION("IF(A5975&lt;&gt;"""", GOOGLETRANSLATE(A5975, ""en"", ""te""),"""")"),"")</f>
        <v/>
      </c>
      <c r="C5975" s="2"/>
      <c r="D5975" s="2" t="str">
        <f>IFERROR(__xludf.DUMMYFUNCTION("IF(C5975&lt;&gt;"""", GOOGLETRANSLATE(C5975, ""en"", ""te""),"""")"),"")</f>
        <v/>
      </c>
      <c r="E5975" s="2"/>
      <c r="F5975" s="2" t="str">
        <f>IFERROR(__xludf.DUMMYFUNCTION("IF(E5975&lt;&gt;"""", GOOGLETRANSLATE(E5975, ""en"", ""te""),"""")"),"")</f>
        <v/>
      </c>
      <c r="G5975" s="2"/>
      <c r="H5975" s="2" t="str">
        <f>IFERROR(__xludf.DUMMYFUNCTION("IF(G5975&lt;&gt;"""", GOOGLETRANSLATE(G5975, ""en"", ""te""),"""")"),"")</f>
        <v/>
      </c>
      <c r="I5975" s="3"/>
    </row>
    <row r="5976" customHeight="1" spans="1:9">
      <c r="A5976" s="2"/>
      <c r="B5976" s="2" t="str">
        <f>IFERROR(__xludf.DUMMYFUNCTION("IF(A5976&lt;&gt;"""", GOOGLETRANSLATE(A5976, ""en"", ""te""),"""")"),"")</f>
        <v/>
      </c>
      <c r="C5976" s="2"/>
      <c r="D5976" s="2" t="str">
        <f>IFERROR(__xludf.DUMMYFUNCTION("IF(C5976&lt;&gt;"""", GOOGLETRANSLATE(C5976, ""en"", ""te""),"""")"),"")</f>
        <v/>
      </c>
      <c r="E5976" s="2"/>
      <c r="F5976" s="2" t="str">
        <f>IFERROR(__xludf.DUMMYFUNCTION("IF(E5976&lt;&gt;"""", GOOGLETRANSLATE(E5976, ""en"", ""te""),"""")"),"")</f>
        <v/>
      </c>
      <c r="G5976" s="2"/>
      <c r="H5976" s="2" t="str">
        <f>IFERROR(__xludf.DUMMYFUNCTION("IF(G5976&lt;&gt;"""", GOOGLETRANSLATE(G5976, ""en"", ""te""),"""")"),"")</f>
        <v/>
      </c>
      <c r="I5976" s="3"/>
    </row>
    <row r="5977" customHeight="1" spans="1:9">
      <c r="A5977" s="2"/>
      <c r="B5977" s="2" t="str">
        <f>IFERROR(__xludf.DUMMYFUNCTION("IF(A5977&lt;&gt;"""", GOOGLETRANSLATE(A5977, ""en"", ""te""),"""")"),"")</f>
        <v/>
      </c>
      <c r="C5977" s="2"/>
      <c r="D5977" s="2" t="str">
        <f>IFERROR(__xludf.DUMMYFUNCTION("IF(C5977&lt;&gt;"""", GOOGLETRANSLATE(C5977, ""en"", ""te""),"""")"),"")</f>
        <v/>
      </c>
      <c r="E5977" s="2"/>
      <c r="F5977" s="2" t="str">
        <f>IFERROR(__xludf.DUMMYFUNCTION("IF(E5977&lt;&gt;"""", GOOGLETRANSLATE(E5977, ""en"", ""te""),"""")"),"")</f>
        <v/>
      </c>
      <c r="G5977" s="2"/>
      <c r="H5977" s="2" t="str">
        <f>IFERROR(__xludf.DUMMYFUNCTION("IF(G5977&lt;&gt;"""", GOOGLETRANSLATE(G5977, ""en"", ""te""),"""")"),"")</f>
        <v/>
      </c>
      <c r="I5977" s="3"/>
    </row>
    <row r="5978" customHeight="1" spans="1:9">
      <c r="A5978" s="2"/>
      <c r="B5978" s="2" t="str">
        <f>IFERROR(__xludf.DUMMYFUNCTION("IF(A5978&lt;&gt;"""", GOOGLETRANSLATE(A5978, ""en"", ""te""),"""")"),"")</f>
        <v/>
      </c>
      <c r="C5978" s="2"/>
      <c r="D5978" s="2" t="str">
        <f>IFERROR(__xludf.DUMMYFUNCTION("IF(C5978&lt;&gt;"""", GOOGLETRANSLATE(C5978, ""en"", ""te""),"""")"),"")</f>
        <v/>
      </c>
      <c r="E5978" s="2"/>
      <c r="F5978" s="2" t="str">
        <f>IFERROR(__xludf.DUMMYFUNCTION("IF(E5978&lt;&gt;"""", GOOGLETRANSLATE(E5978, ""en"", ""te""),"""")"),"")</f>
        <v/>
      </c>
      <c r="G5978" s="2"/>
      <c r="H5978" s="2" t="str">
        <f>IFERROR(__xludf.DUMMYFUNCTION("IF(G5978&lt;&gt;"""", GOOGLETRANSLATE(G5978, ""en"", ""te""),"""")"),"")</f>
        <v/>
      </c>
      <c r="I5978" s="3"/>
    </row>
    <row r="5979" customHeight="1" spans="1:9">
      <c r="A5979" s="2"/>
      <c r="B5979" s="2" t="str">
        <f>IFERROR(__xludf.DUMMYFUNCTION("IF(A5979&lt;&gt;"""", GOOGLETRANSLATE(A5979, ""en"", ""te""),"""")"),"")</f>
        <v/>
      </c>
      <c r="C5979" s="2"/>
      <c r="D5979" s="2" t="str">
        <f>IFERROR(__xludf.DUMMYFUNCTION("IF(C5979&lt;&gt;"""", GOOGLETRANSLATE(C5979, ""en"", ""te""),"""")"),"")</f>
        <v/>
      </c>
      <c r="E5979" s="2"/>
      <c r="F5979" s="2" t="str">
        <f>IFERROR(__xludf.DUMMYFUNCTION("IF(E5979&lt;&gt;"""", GOOGLETRANSLATE(E5979, ""en"", ""te""),"""")"),"")</f>
        <v/>
      </c>
      <c r="G5979" s="2"/>
      <c r="H5979" s="2" t="str">
        <f>IFERROR(__xludf.DUMMYFUNCTION("IF(G5979&lt;&gt;"""", GOOGLETRANSLATE(G5979, ""en"", ""te""),"""")"),"")</f>
        <v/>
      </c>
      <c r="I5979" s="3"/>
    </row>
    <row r="5980" customHeight="1" spans="1:9">
      <c r="A5980" s="2"/>
      <c r="B5980" s="2" t="str">
        <f>IFERROR(__xludf.DUMMYFUNCTION("IF(A5980&lt;&gt;"""", GOOGLETRANSLATE(A5980, ""en"", ""te""),"""")"),"")</f>
        <v/>
      </c>
      <c r="C5980" s="2"/>
      <c r="D5980" s="2" t="str">
        <f>IFERROR(__xludf.DUMMYFUNCTION("IF(C5980&lt;&gt;"""", GOOGLETRANSLATE(C5980, ""en"", ""te""),"""")"),"")</f>
        <v/>
      </c>
      <c r="E5980" s="2"/>
      <c r="F5980" s="2" t="str">
        <f>IFERROR(__xludf.DUMMYFUNCTION("IF(E5980&lt;&gt;"""", GOOGLETRANSLATE(E5980, ""en"", ""te""),"""")"),"")</f>
        <v/>
      </c>
      <c r="G5980" s="2"/>
      <c r="H5980" s="2" t="str">
        <f>IFERROR(__xludf.DUMMYFUNCTION("IF(G5980&lt;&gt;"""", GOOGLETRANSLATE(G5980, ""en"", ""te""),"""")"),"")</f>
        <v/>
      </c>
      <c r="I5980" s="3"/>
    </row>
    <row r="5981" customHeight="1" spans="1:9">
      <c r="A5981" s="2" t="s">
        <v>3714</v>
      </c>
      <c r="B5981" s="2" t="str">
        <f>IFERROR(__xludf.DUMMYFUNCTION("IF(A5981&lt;&gt;"""", GOOGLETRANSLATE(A5981, ""en"", ""te""),"""")"),"[ '2nd అత్యంత ఇన్నింగ్స్ లో నడుస్తుంది (బ్యాటింగ్ స్థానం) (51)']")</f>
        <v>[ '2nd అత్యంత ఇన్నింగ్స్ లో నడుస్తుంది (బ్యాటింగ్ స్థానం) (51)']</v>
      </c>
      <c r="C5981" s="2"/>
      <c r="D5981" s="2" t="str">
        <f>IFERROR(__xludf.DUMMYFUNCTION("IF(C5981&lt;&gt;"""", GOOGLETRANSLATE(C5981, ""en"", ""te""),"""")"),"")</f>
        <v/>
      </c>
      <c r="E5981" s="2" t="s">
        <v>3715</v>
      </c>
      <c r="F5981" s="2" t="str">
        <f>IFERROR(__xludf.DUMMYFUNCTION("IF(E5981&lt;&gt;"""", GOOGLETRANSLATE(E5981, ""en"", ""te""),"""")"),"[ '2 వ భాగం (బ్యాటింగ్ స్థానంలో ద్వారా) ఒక ఇన్నింగ్స్ లో నడుస్తుంది (51)', 'ఇన్నింగ్స్ లో 36 వ చెత్త ఆర్థిక రేటు (8.80)']")</f>
        <v>[ '2 వ భాగం (బ్యాటింగ్ స్థానంలో ద్వారా) ఒక ఇన్నింగ్స్ లో నడుస్తుంది (51)', 'ఇన్నింగ్స్ లో 36 వ చెత్త ఆర్థిక రేటు (8.80)']</v>
      </c>
      <c r="G5981" s="2"/>
      <c r="H5981" s="2" t="str">
        <f>IFERROR(__xludf.DUMMYFUNCTION("IF(G5981&lt;&gt;"""", GOOGLETRANSLATE(G5981, ""en"", ""te""),"""")"),"")</f>
        <v/>
      </c>
      <c r="I5981" s="3"/>
    </row>
    <row r="5982" customHeight="1" spans="1:9">
      <c r="A5982" s="2"/>
      <c r="B5982" s="2" t="str">
        <f>IFERROR(__xludf.DUMMYFUNCTION("IF(A5982&lt;&gt;"""", GOOGLETRANSLATE(A5982, ""en"", ""te""),"""")"),"")</f>
        <v/>
      </c>
      <c r="C5982" s="2"/>
      <c r="D5982" s="2" t="str">
        <f>IFERROR(__xludf.DUMMYFUNCTION("IF(C5982&lt;&gt;"""", GOOGLETRANSLATE(C5982, ""en"", ""te""),"""")"),"")</f>
        <v/>
      </c>
      <c r="E5982" s="2"/>
      <c r="F5982" s="2" t="str">
        <f>IFERROR(__xludf.DUMMYFUNCTION("IF(E5982&lt;&gt;"""", GOOGLETRANSLATE(E5982, ""en"", ""te""),"""")"),"")</f>
        <v/>
      </c>
      <c r="G5982" s="2"/>
      <c r="H5982" s="2" t="str">
        <f>IFERROR(__xludf.DUMMYFUNCTION("IF(G5982&lt;&gt;"""", GOOGLETRANSLATE(G5982, ""en"", ""te""),"""")"),"")</f>
        <v/>
      </c>
      <c r="I5982" s="3"/>
    </row>
    <row r="5983" customHeight="1" spans="1:9">
      <c r="A5983" s="2"/>
      <c r="B5983" s="2" t="str">
        <f>IFERROR(__xludf.DUMMYFUNCTION("IF(A5983&lt;&gt;"""", GOOGLETRANSLATE(A5983, ""en"", ""te""),"""")"),"")</f>
        <v/>
      </c>
      <c r="C5983" s="2"/>
      <c r="D5983" s="2" t="str">
        <f>IFERROR(__xludf.DUMMYFUNCTION("IF(C5983&lt;&gt;"""", GOOGLETRANSLATE(C5983, ""en"", ""te""),"""")"),"")</f>
        <v/>
      </c>
      <c r="E5983" s="2"/>
      <c r="F5983" s="2" t="str">
        <f>IFERROR(__xludf.DUMMYFUNCTION("IF(E5983&lt;&gt;"""", GOOGLETRANSLATE(E5983, ""en"", ""te""),"""")"),"")</f>
        <v/>
      </c>
      <c r="G5983" s="2" t="s">
        <v>3716</v>
      </c>
      <c r="H5983" s="2" t="str">
        <f>IFERROR(__xludf.DUMMYFUNCTION("IF(G5983&lt;&gt;"""", GOOGLETRANSLATE(G5983, ""en"", ""te""),"""")"),"[ 'మొదటి డక్ (12) ముందు 47 వ అత్యంత ఇన్నింగ్స్]")</f>
        <v>[ 'మొదటి డక్ (12) ముందు 47 వ అత్యంత ఇన్నింగ్స్]</v>
      </c>
      <c r="I5983" s="3"/>
    </row>
    <row r="5984" customHeight="1" spans="1:9">
      <c r="A5984" s="2"/>
      <c r="B5984" s="2" t="str">
        <f>IFERROR(__xludf.DUMMYFUNCTION("IF(A5984&lt;&gt;"""", GOOGLETRANSLATE(A5984, ""en"", ""te""),"""")"),"")</f>
        <v/>
      </c>
      <c r="C5984" s="2"/>
      <c r="D5984" s="2" t="str">
        <f>IFERROR(__xludf.DUMMYFUNCTION("IF(C5984&lt;&gt;"""", GOOGLETRANSLATE(C5984, ""en"", ""te""),"""")"),"")</f>
        <v/>
      </c>
      <c r="E5984" s="2"/>
      <c r="F5984" s="2" t="str">
        <f>IFERROR(__xludf.DUMMYFUNCTION("IF(E5984&lt;&gt;"""", GOOGLETRANSLATE(E5984, ""en"", ""te""),"""")"),"")</f>
        <v/>
      </c>
      <c r="G5984" s="2"/>
      <c r="H5984" s="2" t="str">
        <f>IFERROR(__xludf.DUMMYFUNCTION("IF(G5984&lt;&gt;"""", GOOGLETRANSLATE(G5984, ""en"", ""te""),"""")"),"")</f>
        <v/>
      </c>
      <c r="I5984" s="3"/>
    </row>
    <row r="5985" customHeight="1" spans="1:9">
      <c r="A5985" s="2"/>
      <c r="B5985" s="2" t="str">
        <f>IFERROR(__xludf.DUMMYFUNCTION("IF(A5985&lt;&gt;"""", GOOGLETRANSLATE(A5985, ""en"", ""te""),"""")"),"")</f>
        <v/>
      </c>
      <c r="C5985" s="2"/>
      <c r="D5985" s="2" t="str">
        <f>IFERROR(__xludf.DUMMYFUNCTION("IF(C5985&lt;&gt;"""", GOOGLETRANSLATE(C5985, ""en"", ""te""),"""")"),"")</f>
        <v/>
      </c>
      <c r="E5985" s="2"/>
      <c r="F5985" s="2" t="str">
        <f>IFERROR(__xludf.DUMMYFUNCTION("IF(E5985&lt;&gt;"""", GOOGLETRANSLATE(E5985, ""en"", ""te""),"""")"),"")</f>
        <v/>
      </c>
      <c r="G5985" s="2"/>
      <c r="H5985" s="2" t="str">
        <f>IFERROR(__xludf.DUMMYFUNCTION("IF(G5985&lt;&gt;"""", GOOGLETRANSLATE(G5985, ""en"", ""te""),"""")"),"")</f>
        <v/>
      </c>
      <c r="I5985" s="3"/>
    </row>
    <row r="5986" customHeight="1" spans="1:9">
      <c r="A5986" s="2"/>
      <c r="B5986" s="2" t="str">
        <f>IFERROR(__xludf.DUMMYFUNCTION("IF(A5986&lt;&gt;"""", GOOGLETRANSLATE(A5986, ""en"", ""te""),"""")"),"")</f>
        <v/>
      </c>
      <c r="C5986" s="2"/>
      <c r="D5986" s="2" t="str">
        <f>IFERROR(__xludf.DUMMYFUNCTION("IF(C5986&lt;&gt;"""", GOOGLETRANSLATE(C5986, ""en"", ""te""),"""")"),"")</f>
        <v/>
      </c>
      <c r="E5986" s="2"/>
      <c r="F5986" s="2" t="str">
        <f>IFERROR(__xludf.DUMMYFUNCTION("IF(E5986&lt;&gt;"""", GOOGLETRANSLATE(E5986, ""en"", ""te""),"""")"),"")</f>
        <v/>
      </c>
      <c r="G5986" s="2"/>
      <c r="H5986" s="2" t="str">
        <f>IFERROR(__xludf.DUMMYFUNCTION("IF(G5986&lt;&gt;"""", GOOGLETRANSLATE(G5986, ""en"", ""te""),"""")"),"")</f>
        <v/>
      </c>
      <c r="I5986" s="3"/>
    </row>
    <row r="5987" customHeight="1" spans="1:9">
      <c r="A5987" s="2"/>
      <c r="B5987" s="2" t="str">
        <f>IFERROR(__xludf.DUMMYFUNCTION("IF(A5987&lt;&gt;"""", GOOGLETRANSLATE(A5987, ""en"", ""te""),"""")"),"")</f>
        <v/>
      </c>
      <c r="C5987" s="2"/>
      <c r="D5987" s="2" t="str">
        <f>IFERROR(__xludf.DUMMYFUNCTION("IF(C5987&lt;&gt;"""", GOOGLETRANSLATE(C5987, ""en"", ""te""),"""")"),"")</f>
        <v/>
      </c>
      <c r="E5987" s="2"/>
      <c r="F5987" s="2" t="str">
        <f>IFERROR(__xludf.DUMMYFUNCTION("IF(E5987&lt;&gt;"""", GOOGLETRANSLATE(E5987, ""en"", ""te""),"""")"),"")</f>
        <v/>
      </c>
      <c r="G5987" s="2"/>
      <c r="H5987" s="2" t="str">
        <f>IFERROR(__xludf.DUMMYFUNCTION("IF(G5987&lt;&gt;"""", GOOGLETRANSLATE(G5987, ""en"", ""te""),"""")"),"")</f>
        <v/>
      </c>
      <c r="I5987" s="3"/>
    </row>
    <row r="5988" customHeight="1" spans="1:9">
      <c r="A5988" s="2"/>
      <c r="B5988" s="2" t="str">
        <f>IFERROR(__xludf.DUMMYFUNCTION("IF(A5988&lt;&gt;"""", GOOGLETRANSLATE(A5988, ""en"", ""te""),"""")"),"")</f>
        <v/>
      </c>
      <c r="C5988" s="2"/>
      <c r="D5988" s="2" t="str">
        <f>IFERROR(__xludf.DUMMYFUNCTION("IF(C5988&lt;&gt;"""", GOOGLETRANSLATE(C5988, ""en"", ""te""),"""")"),"")</f>
        <v/>
      </c>
      <c r="E5988" s="2"/>
      <c r="F5988" s="2" t="str">
        <f>IFERROR(__xludf.DUMMYFUNCTION("IF(E5988&lt;&gt;"""", GOOGLETRANSLATE(E5988, ""en"", ""te""),"""")"),"")</f>
        <v/>
      </c>
      <c r="G5988" s="2"/>
      <c r="H5988" s="2" t="str">
        <f>IFERROR(__xludf.DUMMYFUNCTION("IF(G5988&lt;&gt;"""", GOOGLETRANSLATE(G5988, ""en"", ""te""),"""")"),"")</f>
        <v/>
      </c>
      <c r="I5988" s="3"/>
    </row>
    <row r="5989" customHeight="1" spans="1:9">
      <c r="A5989" s="2" t="s">
        <v>3717</v>
      </c>
      <c r="B5989" s="2" t="str">
        <f>IFERROR(__xludf.DUMMYFUNCTION("IF(A5989&lt;&gt;"""", GOOGLETRANSLATE(A5989, ""en"", ""te""),"""")"),"[ '10 వ అత్యంత బృందం వరుసగా మ్యాచ్లు (87)', 'హండ్రెడ్ ప్రవేశం (137) న', 'వరుస ఇన్నింగ్స్లో 7 వ యాభైల్లో (6)', 'హండ్రెడ్ మరియు ఒక మ్యాచ్లో ఒక డక్', '5000 పరుగులు మరియు 50 ఫీల్డింగ్ తొలగింపులకు ']")</f>
        <v>[ '10 వ అత్యంత బృందం వరుసగా మ్యాచ్లు (87)', 'హండ్రెడ్ ప్రవేశం (137) న', 'వరుస ఇన్నింగ్స్లో 7 వ యాభైల్లో (6)', 'హండ్రెడ్ మరియు ఒక మ్యాచ్లో ఒక డక్', '5000 పరుగులు మరియు 50 ఫీల్డింగ్ తొలగింపులకు ']</v>
      </c>
      <c r="C5989" s="2" t="s">
        <v>3718</v>
      </c>
      <c r="D5989" s="2" t="str">
        <f>IFERROR(__xludf.DUMMYFUNCTION("IF(C5989&lt;&gt;"""", GOOGLETRANSLATE(C5989, ""en"", ""te""),"""")"),"[ '19 ఒక క్యాలెండర్ సంవత్సరంలో అత్యధిక పరుగులు (1388)', '19 ఒక క్యాలెండర్ సంవత్సరంలో అత్యధిక వందలు (5)', '44th పిన్న ఆటగాడు వంద (20y 276d) స్కోర్', 'వరుస ఇన్నింగ్స్లో 7 వ యాభైల్లో (6) ',' మూడో వికెట్కు 21 అత్యధిక భాగస్వామ్యం (316) ',' ఒక జట్టుకు 10 వ వరు"&amp;"స మ్యాచ్లు (87) ',' 19 వ ఒక మ్యాచ్ రిఫరీ గా అత్యధిక మ్యాచ్లు (15) ']")</f>
        <v>[ '19 ఒక క్యాలెండర్ సంవత్సరంలో అత్యధిక పరుగులు (1388)', '19 ఒక క్యాలెండర్ సంవత్సరంలో అత్యధిక వందలు (5)', '44th పిన్న ఆటగాడు వంద (20y 276d) స్కోర్', 'వరుస ఇన్నింగ్స్లో 7 వ యాభైల్లో (6) ',' మూడో వికెట్కు 21 అత్యధిక భాగస్వామ్యం (316) ',' ఒక జట్టుకు 10 వ వరుస మ్యాచ్లు (87) ',' 19 వ ఒక మ్యాచ్ రిఫరీ గా అత్యధిక మ్యాచ్లు (15) ']</v>
      </c>
      <c r="E5989" s="2" t="s">
        <v>3719</v>
      </c>
      <c r="F5989" s="2" t="str">
        <f>IFERROR(__xludf.DUMMYFUNCTION("IF(E5989&lt;&gt;"""", GOOGLETRANSLATE(E5989, ""en"", ""te""),"""")"),"[ '15 మ్యాచ్ రిఫరీ గా అత్యధిక మ్యాచ్లు (78)']")</f>
        <v>[ '15 మ్యాచ్ రిఫరీ గా అత్యధిక మ్యాచ్లు (78)']</v>
      </c>
      <c r="G5989" s="2"/>
      <c r="H5989" s="2" t="str">
        <f>IFERROR(__xludf.DUMMYFUNCTION("IF(G5989&lt;&gt;"""", GOOGLETRANSLATE(G5989, ""en"", ""te""),"""")"),"")</f>
        <v/>
      </c>
      <c r="I5989" s="3"/>
    </row>
    <row r="5990" customHeight="1" spans="1:9">
      <c r="A5990" s="2"/>
      <c r="B5990" s="2" t="str">
        <f>IFERROR(__xludf.DUMMYFUNCTION("IF(A5990&lt;&gt;"""", GOOGLETRANSLATE(A5990, ""en"", ""te""),"""")"),"")</f>
        <v/>
      </c>
      <c r="C5990" s="2"/>
      <c r="D5990" s="2" t="str">
        <f>IFERROR(__xludf.DUMMYFUNCTION("IF(C5990&lt;&gt;"""", GOOGLETRANSLATE(C5990, ""en"", ""te""),"""")"),"")</f>
        <v/>
      </c>
      <c r="E5990" s="2"/>
      <c r="F5990" s="2" t="str">
        <f>IFERROR(__xludf.DUMMYFUNCTION("IF(E5990&lt;&gt;"""", GOOGLETRANSLATE(E5990, ""en"", ""te""),"""")"),"")</f>
        <v/>
      </c>
      <c r="G5990" s="2"/>
      <c r="H5990" s="2" t="str">
        <f>IFERROR(__xludf.DUMMYFUNCTION("IF(G5990&lt;&gt;"""", GOOGLETRANSLATE(G5990, ""en"", ""te""),"""")"),"")</f>
        <v/>
      </c>
      <c r="I5990" s="3"/>
    </row>
    <row r="5991" customHeight="1" spans="1:9">
      <c r="A5991" s="2"/>
      <c r="B5991" s="2" t="str">
        <f>IFERROR(__xludf.DUMMYFUNCTION("IF(A5991&lt;&gt;"""", GOOGLETRANSLATE(A5991, ""en"", ""te""),"""")"),"")</f>
        <v/>
      </c>
      <c r="C5991" s="2"/>
      <c r="D5991" s="2" t="str">
        <f>IFERROR(__xludf.DUMMYFUNCTION("IF(C5991&lt;&gt;"""", GOOGLETRANSLATE(C5991, ""en"", ""te""),"""")"),"")</f>
        <v/>
      </c>
      <c r="E5991" s="2"/>
      <c r="F5991" s="2" t="str">
        <f>IFERROR(__xludf.DUMMYFUNCTION("IF(E5991&lt;&gt;"""", GOOGLETRANSLATE(E5991, ""en"", ""te""),"""")"),"")</f>
        <v/>
      </c>
      <c r="G5991" s="2"/>
      <c r="H5991" s="2" t="str">
        <f>IFERROR(__xludf.DUMMYFUNCTION("IF(G5991&lt;&gt;"""", GOOGLETRANSLATE(G5991, ""en"", ""te""),"""")"),"")</f>
        <v/>
      </c>
      <c r="I5991" s="3"/>
    </row>
    <row r="5992" customHeight="1" spans="1:9">
      <c r="A5992" s="2"/>
      <c r="B5992" s="2" t="str">
        <f>IFERROR(__xludf.DUMMYFUNCTION("IF(A5992&lt;&gt;"""", GOOGLETRANSLATE(A5992, ""en"", ""te""),"""")"),"")</f>
        <v/>
      </c>
      <c r="C5992" s="2"/>
      <c r="D5992" s="2" t="str">
        <f>IFERROR(__xludf.DUMMYFUNCTION("IF(C5992&lt;&gt;"""", GOOGLETRANSLATE(C5992, ""en"", ""te""),"""")"),"")</f>
        <v/>
      </c>
      <c r="E5992" s="2"/>
      <c r="F5992" s="2" t="str">
        <f>IFERROR(__xludf.DUMMYFUNCTION("IF(E5992&lt;&gt;"""", GOOGLETRANSLATE(E5992, ""en"", ""te""),"""")"),"")</f>
        <v/>
      </c>
      <c r="G5992" s="2"/>
      <c r="H5992" s="2" t="str">
        <f>IFERROR(__xludf.DUMMYFUNCTION("IF(G5992&lt;&gt;"""", GOOGLETRANSLATE(G5992, ""en"", ""te""),"""")"),"")</f>
        <v/>
      </c>
      <c r="I5992" s="3"/>
    </row>
    <row r="5993" customHeight="1" spans="1:9">
      <c r="A5993" s="2"/>
      <c r="B5993" s="2" t="str">
        <f>IFERROR(__xludf.DUMMYFUNCTION("IF(A5993&lt;&gt;"""", GOOGLETRANSLATE(A5993, ""en"", ""te""),"""")"),"")</f>
        <v/>
      </c>
      <c r="C5993" s="2"/>
      <c r="D5993" s="2" t="str">
        <f>IFERROR(__xludf.DUMMYFUNCTION("IF(C5993&lt;&gt;"""", GOOGLETRANSLATE(C5993, ""en"", ""te""),"""")"),"")</f>
        <v/>
      </c>
      <c r="E5993" s="2"/>
      <c r="F5993" s="2" t="str">
        <f>IFERROR(__xludf.DUMMYFUNCTION("IF(E5993&lt;&gt;"""", GOOGLETRANSLATE(E5993, ""en"", ""te""),"""")"),"")</f>
        <v/>
      </c>
      <c r="G5993" s="2"/>
      <c r="H5993" s="2" t="str">
        <f>IFERROR(__xludf.DUMMYFUNCTION("IF(G5993&lt;&gt;"""", GOOGLETRANSLATE(G5993, ""en"", ""te""),"""")"),"")</f>
        <v/>
      </c>
      <c r="I5993" s="3"/>
    </row>
    <row r="5994" customHeight="1" spans="1:9">
      <c r="A5994" s="2"/>
      <c r="B5994" s="2" t="str">
        <f>IFERROR(__xludf.DUMMYFUNCTION("IF(A5994&lt;&gt;"""", GOOGLETRANSLATE(A5994, ""en"", ""te""),"""")"),"")</f>
        <v/>
      </c>
      <c r="C5994" s="2"/>
      <c r="D5994" s="2" t="str">
        <f>IFERROR(__xludf.DUMMYFUNCTION("IF(C5994&lt;&gt;"""", GOOGLETRANSLATE(C5994, ""en"", ""te""),"""")"),"")</f>
        <v/>
      </c>
      <c r="E5994" s="2" t="s">
        <v>3570</v>
      </c>
      <c r="F5994" s="2" t="str">
        <f>IFERROR(__xludf.DUMMYFUNCTION("IF(E5994&lt;&gt;"""", GOOGLETRANSLATE(E5994, ""en"", ""te""),"""")"),"[ '16 వ ఇన్నింగ్స్ లో అత్యధిక వికెట్లు (5)']")</f>
        <v>[ '16 వ ఇన్నింగ్స్ లో అత్యధిక వికెట్లు (5)']</v>
      </c>
      <c r="G5994" s="2"/>
      <c r="H5994" s="2" t="str">
        <f>IFERROR(__xludf.DUMMYFUNCTION("IF(G5994&lt;&gt;"""", GOOGLETRANSLATE(G5994, ""en"", ""te""),"""")"),"")</f>
        <v/>
      </c>
      <c r="I5994" s="3"/>
    </row>
    <row r="5995" customHeight="1" spans="1:9">
      <c r="A5995" s="2"/>
      <c r="B5995" s="2" t="str">
        <f>IFERROR(__xludf.DUMMYFUNCTION("IF(A5995&lt;&gt;"""", GOOGLETRANSLATE(A5995, ""en"", ""te""),"""")"),"")</f>
        <v/>
      </c>
      <c r="C5995" s="2"/>
      <c r="D5995" s="2" t="str">
        <f>IFERROR(__xludf.DUMMYFUNCTION("IF(C5995&lt;&gt;"""", GOOGLETRANSLATE(C5995, ""en"", ""te""),"""")"),"")</f>
        <v/>
      </c>
      <c r="E5995" s="2"/>
      <c r="F5995" s="2" t="str">
        <f>IFERROR(__xludf.DUMMYFUNCTION("IF(E5995&lt;&gt;"""", GOOGLETRANSLATE(E5995, ""en"", ""te""),"""")"),"")</f>
        <v/>
      </c>
      <c r="G5995" s="2"/>
      <c r="H5995" s="2" t="str">
        <f>IFERROR(__xludf.DUMMYFUNCTION("IF(G5995&lt;&gt;"""", GOOGLETRANSLATE(G5995, ""en"", ""te""),"""")"),"")</f>
        <v/>
      </c>
      <c r="I5995" s="3"/>
    </row>
    <row r="5996" customHeight="1" spans="1:9">
      <c r="A5996" s="2"/>
      <c r="B5996" s="2" t="str">
        <f>IFERROR(__xludf.DUMMYFUNCTION("IF(A5996&lt;&gt;"""", GOOGLETRANSLATE(A5996, ""en"", ""te""),"""")"),"")</f>
        <v/>
      </c>
      <c r="C5996" s="2"/>
      <c r="D5996" s="2" t="str">
        <f>IFERROR(__xludf.DUMMYFUNCTION("IF(C5996&lt;&gt;"""", GOOGLETRANSLATE(C5996, ""en"", ""te""),"""")"),"")</f>
        <v/>
      </c>
      <c r="E5996" s="2"/>
      <c r="F5996" s="2" t="str">
        <f>IFERROR(__xludf.DUMMYFUNCTION("IF(E5996&lt;&gt;"""", GOOGLETRANSLATE(E5996, ""en"", ""te""),"""")"),"")</f>
        <v/>
      </c>
      <c r="G5996" s="2"/>
      <c r="H5996" s="2" t="str">
        <f>IFERROR(__xludf.DUMMYFUNCTION("IF(G5996&lt;&gt;"""", GOOGLETRANSLATE(G5996, ""en"", ""te""),"""")"),"")</f>
        <v/>
      </c>
      <c r="I5996" s="3"/>
    </row>
    <row r="5997" customHeight="1" spans="1:9">
      <c r="A5997" s="2"/>
      <c r="B5997" s="2" t="str">
        <f>IFERROR(__xludf.DUMMYFUNCTION("IF(A5997&lt;&gt;"""", GOOGLETRANSLATE(A5997, ""en"", ""te""),"""")"),"")</f>
        <v/>
      </c>
      <c r="C5997" s="2"/>
      <c r="D5997" s="2" t="str">
        <f>IFERROR(__xludf.DUMMYFUNCTION("IF(C5997&lt;&gt;"""", GOOGLETRANSLATE(C5997, ""en"", ""te""),"""")"),"")</f>
        <v/>
      </c>
      <c r="E5997" s="2"/>
      <c r="F5997" s="2" t="str">
        <f>IFERROR(__xludf.DUMMYFUNCTION("IF(E5997&lt;&gt;"""", GOOGLETRANSLATE(E5997, ""en"", ""te""),"""")"),"")</f>
        <v/>
      </c>
      <c r="G5997" s="2"/>
      <c r="H5997" s="2" t="str">
        <f>IFERROR(__xludf.DUMMYFUNCTION("IF(G5997&lt;&gt;"""", GOOGLETRANSLATE(G5997, ""en"", ""te""),"""")"),"")</f>
        <v/>
      </c>
      <c r="I5997" s="3"/>
    </row>
    <row r="5998" customHeight="1" spans="1:9">
      <c r="A5998" s="2"/>
      <c r="B5998" s="2" t="str">
        <f>IFERROR(__xludf.DUMMYFUNCTION("IF(A5998&lt;&gt;"""", GOOGLETRANSLATE(A5998, ""en"", ""te""),"""")"),"")</f>
        <v/>
      </c>
      <c r="C5998" s="2"/>
      <c r="D5998" s="2" t="str">
        <f>IFERROR(__xludf.DUMMYFUNCTION("IF(C5998&lt;&gt;"""", GOOGLETRANSLATE(C5998, ""en"", ""te""),"""")"),"")</f>
        <v/>
      </c>
      <c r="E5998" s="2"/>
      <c r="F5998" s="2" t="str">
        <f>IFERROR(__xludf.DUMMYFUNCTION("IF(E5998&lt;&gt;"""", GOOGLETRANSLATE(E5998, ""en"", ""te""),"""")"),"")</f>
        <v/>
      </c>
      <c r="G5998" s="2"/>
      <c r="H5998" s="2" t="str">
        <f>IFERROR(__xludf.DUMMYFUNCTION("IF(G5998&lt;&gt;"""", GOOGLETRANSLATE(G5998, ""en"", ""te""),"""")"),"")</f>
        <v/>
      </c>
      <c r="I5998" s="3"/>
    </row>
    <row r="5999" customHeight="1" spans="1:9">
      <c r="A5999" s="2" t="s">
        <v>3720</v>
      </c>
      <c r="B5999" s="2" t="str">
        <f>IFERROR(__xludf.DUMMYFUNCTION("IF(A5999&lt;&gt;"""", GOOGLETRANSLATE(A5999, ""en"", ""te""),"""")"),"[ 'హండ్రెడ్ మరియు ఒక మ్యాచ్లో ఒక డక్', 'బ్యాటింగ్ తెరవడం మరియు అదే మ్యాచ్ లో బౌలింగ్', '5000 పరుగులు మరియు 50 ఫీల్డింగ్ వికెట్లు', 'ఆరవ వికెట్కు 9 వ అత్యధిక భాగస్వామ్యం (298 *)']")</f>
        <v>[ 'హండ్రెడ్ మరియు ఒక మ్యాచ్లో ఒక డక్', 'బ్యాటింగ్ తెరవడం మరియు అదే మ్యాచ్ లో బౌలింగ్', '5000 పరుగులు మరియు 50 ఫీల్డింగ్ వికెట్లు', 'ఆరవ వికెట్కు 9 వ అత్యధిక భాగస్వామ్యం (298 *)']</v>
      </c>
      <c r="C5999" s="2" t="s">
        <v>3721</v>
      </c>
      <c r="D5999" s="2" t="str">
        <f>IFERROR(__xludf.DUMMYFUNCTION("IF(C5999&lt;&gt;"""", GOOGLETRANSLATE(C5999, ""en"", ""te""),"""")"),"[ '19 ఒక క్యాలెండర్ సంవత్సరంలో అత్యధిక వందలు (5)', 'వరుస ఇన్నింగ్స్లో 32 వ యాభైల్లో (5)', 'ఆరవ వికెట్ (298 *) 9 వ అత్యధిక భాగస్వామ్యం', '35 వ కెరీర్ (116) లో అత్యధిక మ్యాచ్లు']")</f>
        <v>[ '19 ఒక క్యాలెండర్ సంవత్సరంలో అత్యధిక వందలు (5)', 'వరుస ఇన్నింగ్స్లో 32 వ యాభైల్లో (5)', 'ఆరవ వికెట్ (298 *) 9 వ అత్యధిక భాగస్వామ్యం', '35 వ కెరీర్ (116) లో అత్యధిక మ్యాచ్లు']</v>
      </c>
      <c r="E5999" s="2" t="s">
        <v>3722</v>
      </c>
      <c r="F5999" s="2" t="str">
        <f>IFERROR(__xludf.DUMMYFUNCTION("IF(E5999&lt;&gt;"""", GOOGLETRANSLATE(E5999, ""en"", ""te""),"""")"),"[ '45 వ లాంగెస్ట్ కెరీర్లు (15y 266d)', '11 వ వరుస (4) లో అన్ని టాస్ గెలిచి']")</f>
        <v>[ '45 వ లాంగెస్ట్ కెరీర్లు (15y 266d)', '11 వ వరుస (4) లో అన్ని టాస్ గెలిచి']</v>
      </c>
      <c r="G5999" s="2"/>
      <c r="H5999" s="2" t="str">
        <f>IFERROR(__xludf.DUMMYFUNCTION("IF(G5999&lt;&gt;"""", GOOGLETRANSLATE(G5999, ""en"", ""te""),"""")"),"")</f>
        <v/>
      </c>
      <c r="I5999" s="3"/>
    </row>
    <row r="6000" customHeight="1" spans="1:9">
      <c r="A6000" s="2"/>
      <c r="B6000" s="2" t="str">
        <f>IFERROR(__xludf.DUMMYFUNCTION("IF(A6000&lt;&gt;"""", GOOGLETRANSLATE(A6000, ""en"", ""te""),"""")"),"")</f>
        <v/>
      </c>
      <c r="C6000" s="2"/>
      <c r="D6000" s="2" t="str">
        <f>IFERROR(__xludf.DUMMYFUNCTION("IF(C6000&lt;&gt;"""", GOOGLETRANSLATE(C6000, ""en"", ""te""),"""")"),"")</f>
        <v/>
      </c>
      <c r="E6000" s="2"/>
      <c r="F6000" s="2" t="str">
        <f>IFERROR(__xludf.DUMMYFUNCTION("IF(E6000&lt;&gt;"""", GOOGLETRANSLATE(E6000, ""en"", ""te""),"""")"),"")</f>
        <v/>
      </c>
      <c r="G6000" s="2"/>
      <c r="H6000" s="2" t="str">
        <f>IFERROR(__xludf.DUMMYFUNCTION("IF(G6000&lt;&gt;"""", GOOGLETRANSLATE(G6000, ""en"", ""te""),"""")"),"")</f>
        <v/>
      </c>
      <c r="I6000" s="3"/>
    </row>
    <row r="6001" customHeight="1" spans="1:9">
      <c r="A6001" s="2"/>
      <c r="B6001" s="2" t="str">
        <f>IFERROR(__xludf.DUMMYFUNCTION("IF(A6001&lt;&gt;"""", GOOGLETRANSLATE(A6001, ""en"", ""te""),"""")"),"")</f>
        <v/>
      </c>
      <c r="C6001" s="2"/>
      <c r="D6001" s="2" t="str">
        <f>IFERROR(__xludf.DUMMYFUNCTION("IF(C6001&lt;&gt;"""", GOOGLETRANSLATE(C6001, ""en"", ""te""),"""")"),"")</f>
        <v/>
      </c>
      <c r="E6001" s="2"/>
      <c r="F6001" s="2" t="str">
        <f>IFERROR(__xludf.DUMMYFUNCTION("IF(E6001&lt;&gt;"""", GOOGLETRANSLATE(E6001, ""en"", ""te""),"""")"),"")</f>
        <v/>
      </c>
      <c r="G6001" s="2"/>
      <c r="H6001" s="2" t="str">
        <f>IFERROR(__xludf.DUMMYFUNCTION("IF(G6001&lt;&gt;"""", GOOGLETRANSLATE(G6001, ""en"", ""te""),"""")"),"")</f>
        <v/>
      </c>
      <c r="I6001" s="3"/>
    </row>
    <row r="6002" customHeight="1" spans="1:9">
      <c r="A6002" s="2" t="s">
        <v>3723</v>
      </c>
      <c r="B6002" s="2" t="str">
        <f>IFERROR(__xludf.DUMMYFUNCTION("IF(A6002&lt;&gt;"""", GOOGLETRANSLATE(A6002, ""en"", ""te""),"""")"),"[ '10 వ అంపైర్ గా అత్యధిక మ్యాచ్లు (73)', 'పది వికెట్ల లో ఒక మ్యాచ్ పడుతుంది 7 వ పిన్న ఆటగాడు (19y 332d)', 'ఒక మ్యాచ్ లో మొత్తం పదకొండు బ్యాట్స్ తోసిపుచ్చిన']")</f>
        <v>[ '10 వ అంపైర్ గా అత్యధిక మ్యాచ్లు (73)', 'పది వికెట్ల లో ఒక మ్యాచ్ పడుతుంది 7 వ పిన్న ఆటగాడు (19y 332d)', 'ఒక మ్యాచ్ లో మొత్తం పదకొండు బ్యాట్స్ తోసిపుచ్చిన']</v>
      </c>
      <c r="C6002" s="2" t="s">
        <v>3724</v>
      </c>
      <c r="D6002" s="2" t="str">
        <f>IFERROR(__xludf.DUMMYFUNCTION("IF(C6002&lt;&gt;"""", GOOGLETRANSLATE(C6002, ""en"", ""te""),"""")"),"[ '43 వ చెత్త ఇన్నింగ్స్ లో సమ్మె రేటు (342.0)', '30 వ పిన్న ఆటగాడు ఐదు వికెట్ల లో-ఒక-ఇన్నింగ్స్ తీసుకోవాలని (19y 332d)', 'పది వికెట్లు లో ఒక మ్యాచ్ తీసుకోవాలని 7 వ పిన్న ఆటగాడు (19y 332d) ',' 15 మ్యాచ్లో బౌల్డ్ చాలా బంతుల్లో (675) ',' 31 లాంగెస్ట్ కెరీర్"&amp;"లు (18y 214d) ',' 10 వ అత్యధిక మ్యాచ్లు అంపైర్ గా (73) ',' 30th ఒక మ్యాచ్ రిఫరీ గా అత్యధిక మ్యాచ్లు ( 5) ']")</f>
        <v>[ '43 వ చెత్త ఇన్నింగ్స్ లో సమ్మె రేటు (342.0)', '30 వ పిన్న ఆటగాడు ఐదు వికెట్ల లో-ఒక-ఇన్నింగ్స్ తీసుకోవాలని (19y 332d)', 'పది వికెట్లు లో ఒక మ్యాచ్ తీసుకోవాలని 7 వ పిన్న ఆటగాడు (19y 332d) ',' 15 మ్యాచ్లో బౌల్డ్ చాలా బంతుల్లో (675) ',' 31 లాంగెస్ట్ కెరీర్లు (18y 214d) ',' 10 వ అత్యధిక మ్యాచ్లు అంపైర్ గా (73) ',' 30th ఒక మ్యాచ్ రిఫరీ గా అత్యధిక మ్యాచ్లు ( 5) ']</v>
      </c>
      <c r="E6002" s="2" t="s">
        <v>3725</v>
      </c>
      <c r="F6002" s="2" t="str">
        <f>IFERROR(__xludf.DUMMYFUNCTION("IF(E6002&lt;&gt;"""", GOOGLETRANSLATE(E6002, ""en"", ""te""),"""")"),"[ 'అంపాయర్ (52) గా 47 వ అత్యధిక మ్యాచ్లు' '45 వ చెత్త కెరీర్ (108.40) (అర్హత లేకుండా) సగటు బౌలింగ్',]")</f>
        <v>[ 'అంపాయర్ (52) గా 47 వ అత్యధిక మ్యాచ్లు' '45 వ చెత్త కెరీర్ (108.40) (అర్హత లేకుండా) సగటు బౌలింగ్',]</v>
      </c>
      <c r="G6002" s="2"/>
      <c r="H6002" s="2" t="str">
        <f>IFERROR(__xludf.DUMMYFUNCTION("IF(G6002&lt;&gt;"""", GOOGLETRANSLATE(G6002, ""en"", ""te""),"""")"),"")</f>
        <v/>
      </c>
      <c r="I6002" s="3"/>
    </row>
    <row r="6003" customHeight="1" spans="1:9">
      <c r="A6003" s="2"/>
      <c r="B6003" s="2" t="str">
        <f>IFERROR(__xludf.DUMMYFUNCTION("IF(A6003&lt;&gt;"""", GOOGLETRANSLATE(A6003, ""en"", ""te""),"""")"),"")</f>
        <v/>
      </c>
      <c r="C6003" s="2"/>
      <c r="D6003" s="2" t="str">
        <f>IFERROR(__xludf.DUMMYFUNCTION("IF(C6003&lt;&gt;"""", GOOGLETRANSLATE(C6003, ""en"", ""te""),"""")"),"")</f>
        <v/>
      </c>
      <c r="E6003" s="2"/>
      <c r="F6003" s="2" t="str">
        <f>IFERROR(__xludf.DUMMYFUNCTION("IF(E6003&lt;&gt;"""", GOOGLETRANSLATE(E6003, ""en"", ""te""),"""")"),"")</f>
        <v/>
      </c>
      <c r="G6003" s="2"/>
      <c r="H6003" s="2" t="str">
        <f>IFERROR(__xludf.DUMMYFUNCTION("IF(G6003&lt;&gt;"""", GOOGLETRANSLATE(G6003, ""en"", ""te""),"""")"),"")</f>
        <v/>
      </c>
      <c r="I6003" s="3"/>
    </row>
    <row r="6004" customHeight="1" spans="1:9">
      <c r="A6004" s="2"/>
      <c r="B6004" s="2" t="str">
        <f>IFERROR(__xludf.DUMMYFUNCTION("IF(A6004&lt;&gt;"""", GOOGLETRANSLATE(A6004, ""en"", ""te""),"""")"),"")</f>
        <v/>
      </c>
      <c r="C6004" s="2"/>
      <c r="D6004" s="2" t="str">
        <f>IFERROR(__xludf.DUMMYFUNCTION("IF(C6004&lt;&gt;"""", GOOGLETRANSLATE(C6004, ""en"", ""te""),"""")"),"")</f>
        <v/>
      </c>
      <c r="E6004" s="2"/>
      <c r="F6004" s="2" t="str">
        <f>IFERROR(__xludf.DUMMYFUNCTION("IF(E6004&lt;&gt;"""", GOOGLETRANSLATE(E6004, ""en"", ""te""),"""")"),"")</f>
        <v/>
      </c>
      <c r="G6004" s="2"/>
      <c r="H6004" s="2" t="str">
        <f>IFERROR(__xludf.DUMMYFUNCTION("IF(G6004&lt;&gt;"""", GOOGLETRANSLATE(G6004, ""en"", ""te""),"""")"),"")</f>
        <v/>
      </c>
      <c r="I6004" s="3"/>
    </row>
    <row r="6005" customHeight="1" spans="1:9">
      <c r="A6005" s="2"/>
      <c r="B6005" s="2" t="str">
        <f>IFERROR(__xludf.DUMMYFUNCTION("IF(A6005&lt;&gt;"""", GOOGLETRANSLATE(A6005, ""en"", ""te""),"""")"),"")</f>
        <v/>
      </c>
      <c r="C6005" s="2"/>
      <c r="D6005" s="2" t="str">
        <f>IFERROR(__xludf.DUMMYFUNCTION("IF(C6005&lt;&gt;"""", GOOGLETRANSLATE(C6005, ""en"", ""te""),"""")"),"")</f>
        <v/>
      </c>
      <c r="E6005" s="2"/>
      <c r="F6005" s="2" t="str">
        <f>IFERROR(__xludf.DUMMYFUNCTION("IF(E6005&lt;&gt;"""", GOOGLETRANSLATE(E6005, ""en"", ""te""),"""")"),"")</f>
        <v/>
      </c>
      <c r="G6005" s="2"/>
      <c r="H6005" s="2" t="str">
        <f>IFERROR(__xludf.DUMMYFUNCTION("IF(G6005&lt;&gt;"""", GOOGLETRANSLATE(G6005, ""en"", ""te""),"""")"),"")</f>
        <v/>
      </c>
      <c r="I6005" s="3"/>
    </row>
    <row r="6006" customHeight="1" spans="1:9">
      <c r="A6006" s="2"/>
      <c r="B6006" s="2" t="str">
        <f>IFERROR(__xludf.DUMMYFUNCTION("IF(A6006&lt;&gt;"""", GOOGLETRANSLATE(A6006, ""en"", ""te""),"""")"),"")</f>
        <v/>
      </c>
      <c r="C6006" s="2"/>
      <c r="D6006" s="2" t="str">
        <f>IFERROR(__xludf.DUMMYFUNCTION("IF(C6006&lt;&gt;"""", GOOGLETRANSLATE(C6006, ""en"", ""te""),"""")"),"")</f>
        <v/>
      </c>
      <c r="E6006" s="2"/>
      <c r="F6006" s="2" t="str">
        <f>IFERROR(__xludf.DUMMYFUNCTION("IF(E6006&lt;&gt;"""", GOOGLETRANSLATE(E6006, ""en"", ""te""),"""")"),"")</f>
        <v/>
      </c>
      <c r="G6006" s="2"/>
      <c r="H6006" s="2" t="str">
        <f>IFERROR(__xludf.DUMMYFUNCTION("IF(G6006&lt;&gt;"""", GOOGLETRANSLATE(G6006, ""en"", ""te""),"""")"),"")</f>
        <v/>
      </c>
      <c r="I6006" s="3"/>
    </row>
    <row r="6007" customHeight="1" spans="1:9">
      <c r="A6007" s="2" t="s">
        <v>435</v>
      </c>
      <c r="B6007" s="2" t="str">
        <f>IFERROR(__xludf.DUMMYFUNCTION("IF(A6007&lt;&gt;"""", GOOGLETRANSLATE(A6007, ""en"", ""te""),"""")"),"[ '1st వరుస బాతులు (3)']")</f>
        <v>[ '1st వరుస బాతులు (3)']</v>
      </c>
      <c r="C6007" s="2"/>
      <c r="D6007" s="2" t="str">
        <f>IFERROR(__xludf.DUMMYFUNCTION("IF(C6007&lt;&gt;"""", GOOGLETRANSLATE(C6007, ""en"", ""te""),"""")"),"")</f>
        <v/>
      </c>
      <c r="E6007" s="2"/>
      <c r="F6007" s="2" t="str">
        <f>IFERROR(__xludf.DUMMYFUNCTION("IF(E6007&lt;&gt;"""", GOOGLETRANSLATE(E6007, ""en"", ""te""),"""")"),"")</f>
        <v/>
      </c>
      <c r="G6007" s="2" t="s">
        <v>3726</v>
      </c>
      <c r="H6007" s="2" t="str">
        <f>IFERROR(__xludf.DUMMYFUNCTION("IF(G6007&lt;&gt;"""", GOOGLETRANSLATE(G6007, ""en"", ""te""),"""")"),"[ '1st వరుస బాతులు (3)', '11 వ చెత్త కెరీర్లో సమ్మె రేటు (24.8)', '17 వ బౌలర్ / బ్యాట్స్ కలయికలు (3)', '17 వ అత్యధిక వికెట్లు స్టంప్ తీసుకున్న (5)']")</f>
        <v>[ '1st వరుస బాతులు (3)', '11 వ చెత్త కెరీర్లో సమ్మె రేటు (24.8)', '17 వ బౌలర్ / బ్యాట్స్ కలయికలు (3)', '17 వ అత్యధిక వికెట్లు స్టంప్ తీసుకున్న (5)']</v>
      </c>
      <c r="I6007" s="3"/>
    </row>
    <row r="6008" customHeight="1" spans="1:9">
      <c r="A6008" s="2"/>
      <c r="B6008" s="2" t="str">
        <f>IFERROR(__xludf.DUMMYFUNCTION("IF(A6008&lt;&gt;"""", GOOGLETRANSLATE(A6008, ""en"", ""te""),"""")"),"")</f>
        <v/>
      </c>
      <c r="C6008" s="2"/>
      <c r="D6008" s="2" t="str">
        <f>IFERROR(__xludf.DUMMYFUNCTION("IF(C6008&lt;&gt;"""", GOOGLETRANSLATE(C6008, ""en"", ""te""),"""")"),"")</f>
        <v/>
      </c>
      <c r="E6008" s="2"/>
      <c r="F6008" s="2" t="str">
        <f>IFERROR(__xludf.DUMMYFUNCTION("IF(E6008&lt;&gt;"""", GOOGLETRANSLATE(E6008, ""en"", ""te""),"""")"),"")</f>
        <v/>
      </c>
      <c r="G6008" s="2"/>
      <c r="H6008" s="2" t="str">
        <f>IFERROR(__xludf.DUMMYFUNCTION("IF(G6008&lt;&gt;"""", GOOGLETRANSLATE(G6008, ""en"", ""te""),"""")"),"")</f>
        <v/>
      </c>
      <c r="I6008" s="3"/>
    </row>
    <row r="6009" customHeight="1" spans="1:9">
      <c r="A6009" s="2" t="s">
        <v>3727</v>
      </c>
      <c r="B6009" s="2" t="str">
        <f>IFERROR(__xludf.DUMMYFUNCTION("IF(A6009&lt;&gt;"""", GOOGLETRANSLATE(A6009, ""en"", ""te""),"""")"),"[ '99 పరుగుల 1st (మరియు 199, 299 etc) (99)', '8 వ లాంగెస్ట్ క్రీడాకారులు నివసించారు (77y 136d)']")</f>
        <v>[ '99 పరుగుల 1st (మరియు 199, 299 etc) (99)', '8 వ లాంగెస్ట్ క్రీడాకారులు నివసించారు (77y 136d)']</v>
      </c>
      <c r="C6009" s="2" t="s">
        <v>3728</v>
      </c>
      <c r="D6009" s="2" t="str">
        <f>IFERROR(__xludf.DUMMYFUNCTION("IF(C6009&lt;&gt;"""", GOOGLETRANSLATE(C6009, ""en"", ""te""),"""")"),"[ '99 పరుగుల 1st (మరియు 199, 299 etc) (99)', '42 వ ఒక సిరీస్లో అత్యధిక క్యాచ్లు (10)']")</f>
        <v>[ '99 పరుగుల 1st (మరియు 199, 299 etc) (99)', '42 వ ఒక సిరీస్లో అత్యధిక క్యాచ్లు (10)']</v>
      </c>
      <c r="E6009" s="2" t="s">
        <v>3729</v>
      </c>
      <c r="F6009" s="2" t="str">
        <f>IFERROR(__xludf.DUMMYFUNCTION("IF(E6009&lt;&gt;"""", GOOGLETRANSLATE(E6009, ""en"", ""te""),"""")"),"[ '8 వ లాంగెస్ట్ క్రీడాకారులు (77y 136d) నివసించారు']")</f>
        <v>[ '8 వ లాంగెస్ట్ క్రీడాకారులు (77y 136d) నివసించారు']</v>
      </c>
      <c r="G6009" s="2"/>
      <c r="H6009" s="2" t="str">
        <f>IFERROR(__xludf.DUMMYFUNCTION("IF(G6009&lt;&gt;"""", GOOGLETRANSLATE(G6009, ""en"", ""te""),"""")"),"")</f>
        <v/>
      </c>
      <c r="I6009" s="3"/>
    </row>
    <row r="6010" customHeight="1" spans="1:9">
      <c r="A6010" s="2"/>
      <c r="B6010" s="2" t="str">
        <f>IFERROR(__xludf.DUMMYFUNCTION("IF(A6010&lt;&gt;"""", GOOGLETRANSLATE(A6010, ""en"", ""te""),"""")"),"")</f>
        <v/>
      </c>
      <c r="C6010" s="2"/>
      <c r="D6010" s="2" t="str">
        <f>IFERROR(__xludf.DUMMYFUNCTION("IF(C6010&lt;&gt;"""", GOOGLETRANSLATE(C6010, ""en"", ""te""),"""")"),"")</f>
        <v/>
      </c>
      <c r="E6010" s="2"/>
      <c r="F6010" s="2" t="str">
        <f>IFERROR(__xludf.DUMMYFUNCTION("IF(E6010&lt;&gt;"""", GOOGLETRANSLATE(E6010, ""en"", ""te""),"""")"),"")</f>
        <v/>
      </c>
      <c r="G6010" s="2"/>
      <c r="H6010" s="2" t="str">
        <f>IFERROR(__xludf.DUMMYFUNCTION("IF(G6010&lt;&gt;"""", GOOGLETRANSLATE(G6010, ""en"", ""te""),"""")"),"")</f>
        <v/>
      </c>
      <c r="I6010" s="3"/>
    </row>
    <row r="6011" customHeight="1" spans="1:9">
      <c r="A6011" s="2"/>
      <c r="B6011" s="2" t="str">
        <f>IFERROR(__xludf.DUMMYFUNCTION("IF(A6011&lt;&gt;"""", GOOGLETRANSLATE(A6011, ""en"", ""te""),"""")"),"")</f>
        <v/>
      </c>
      <c r="C6011" s="2"/>
      <c r="D6011" s="2" t="str">
        <f>IFERROR(__xludf.DUMMYFUNCTION("IF(C6011&lt;&gt;"""", GOOGLETRANSLATE(C6011, ""en"", ""te""),"""")"),"")</f>
        <v/>
      </c>
      <c r="E6011" s="2"/>
      <c r="F6011" s="2" t="str">
        <f>IFERROR(__xludf.DUMMYFUNCTION("IF(E6011&lt;&gt;"""", GOOGLETRANSLATE(E6011, ""en"", ""te""),"""")"),"")</f>
        <v/>
      </c>
      <c r="G6011" s="2"/>
      <c r="H6011" s="2" t="str">
        <f>IFERROR(__xludf.DUMMYFUNCTION("IF(G6011&lt;&gt;"""", GOOGLETRANSLATE(G6011, ""en"", ""te""),"""")"),"")</f>
        <v/>
      </c>
      <c r="I6011" s="3"/>
    </row>
    <row r="6012" customHeight="1" spans="1:9">
      <c r="A6012" s="2"/>
      <c r="B6012" s="2" t="str">
        <f>IFERROR(__xludf.DUMMYFUNCTION("IF(A6012&lt;&gt;"""", GOOGLETRANSLATE(A6012, ""en"", ""te""),"""")"),"")</f>
        <v/>
      </c>
      <c r="C6012" s="2" t="s">
        <v>3677</v>
      </c>
      <c r="D6012" s="2" t="str">
        <f>IFERROR(__xludf.DUMMYFUNCTION("IF(C6012&lt;&gt;"""", GOOGLETRANSLATE(C6012, ""en"", ""te""),"""")"),"[ '37 వ చెత్త ఇన్నింగ్స్ లో ఆర్థిక రేటు (6.48)']")</f>
        <v>[ '37 వ చెత్త ఇన్నింగ్స్ లో ఆర్థిక రేటు (6.48)']</v>
      </c>
      <c r="E6012" s="2"/>
      <c r="F6012" s="2" t="str">
        <f>IFERROR(__xludf.DUMMYFUNCTION("IF(E6012&lt;&gt;"""", GOOGLETRANSLATE(E6012, ""en"", ""te""),"""")"),"")</f>
        <v/>
      </c>
      <c r="G6012" s="2"/>
      <c r="H6012" s="2" t="str">
        <f>IFERROR(__xludf.DUMMYFUNCTION("IF(G6012&lt;&gt;"""", GOOGLETRANSLATE(G6012, ""en"", ""te""),"""")"),"")</f>
        <v/>
      </c>
      <c r="I6012" s="3"/>
    </row>
    <row r="6013" customHeight="1" spans="1:9">
      <c r="A6013" s="2"/>
      <c r="B6013" s="2" t="str">
        <f>IFERROR(__xludf.DUMMYFUNCTION("IF(A6013&lt;&gt;"""", GOOGLETRANSLATE(A6013, ""en"", ""te""),"""")"),"")</f>
        <v/>
      </c>
      <c r="C6013" s="2"/>
      <c r="D6013" s="2" t="str">
        <f>IFERROR(__xludf.DUMMYFUNCTION("IF(C6013&lt;&gt;"""", GOOGLETRANSLATE(C6013, ""en"", ""te""),"""")"),"")</f>
        <v/>
      </c>
      <c r="E6013" s="2"/>
      <c r="F6013" s="2" t="str">
        <f>IFERROR(__xludf.DUMMYFUNCTION("IF(E6013&lt;&gt;"""", GOOGLETRANSLATE(E6013, ""en"", ""te""),"""")"),"")</f>
        <v/>
      </c>
      <c r="G6013" s="2"/>
      <c r="H6013" s="2" t="str">
        <f>IFERROR(__xludf.DUMMYFUNCTION("IF(G6013&lt;&gt;"""", GOOGLETRANSLATE(G6013, ""en"", ""te""),"""")"),"")</f>
        <v/>
      </c>
      <c r="I6013" s="3"/>
    </row>
    <row r="6014" customHeight="1" spans="1:9">
      <c r="A6014" s="2"/>
      <c r="B6014" s="2" t="str">
        <f>IFERROR(__xludf.DUMMYFUNCTION("IF(A6014&lt;&gt;"""", GOOGLETRANSLATE(A6014, ""en"", ""te""),"""")"),"")</f>
        <v/>
      </c>
      <c r="C6014" s="2"/>
      <c r="D6014" s="2" t="str">
        <f>IFERROR(__xludf.DUMMYFUNCTION("IF(C6014&lt;&gt;"""", GOOGLETRANSLATE(C6014, ""en"", ""te""),"""")"),"")</f>
        <v/>
      </c>
      <c r="E6014" s="2"/>
      <c r="F6014" s="2" t="str">
        <f>IFERROR(__xludf.DUMMYFUNCTION("IF(E6014&lt;&gt;"""", GOOGLETRANSLATE(E6014, ""en"", ""te""),"""")"),"")</f>
        <v/>
      </c>
      <c r="G6014" s="2"/>
      <c r="H6014" s="2" t="str">
        <f>IFERROR(__xludf.DUMMYFUNCTION("IF(G6014&lt;&gt;"""", GOOGLETRANSLATE(G6014, ""en"", ""te""),"""")"),"")</f>
        <v/>
      </c>
      <c r="I6014" s="3"/>
    </row>
    <row r="6015" customHeight="1" spans="1:9">
      <c r="A6015" s="2"/>
      <c r="B6015" s="2" t="str">
        <f>IFERROR(__xludf.DUMMYFUNCTION("IF(A6015&lt;&gt;"""", GOOGLETRANSLATE(A6015, ""en"", ""te""),"""")"),"")</f>
        <v/>
      </c>
      <c r="C6015" s="2"/>
      <c r="D6015" s="2" t="str">
        <f>IFERROR(__xludf.DUMMYFUNCTION("IF(C6015&lt;&gt;"""", GOOGLETRANSLATE(C6015, ""en"", ""te""),"""")"),"")</f>
        <v/>
      </c>
      <c r="E6015" s="2"/>
      <c r="F6015" s="2" t="str">
        <f>IFERROR(__xludf.DUMMYFUNCTION("IF(E6015&lt;&gt;"""", GOOGLETRANSLATE(E6015, ""en"", ""te""),"""")"),"")</f>
        <v/>
      </c>
      <c r="G6015" s="2"/>
      <c r="H6015" s="2" t="str">
        <f>IFERROR(__xludf.DUMMYFUNCTION("IF(G6015&lt;&gt;"""", GOOGLETRANSLATE(G6015, ""en"", ""te""),"""")"),"")</f>
        <v/>
      </c>
      <c r="I6015" s="3"/>
    </row>
    <row r="6016" customHeight="1" spans="1:9">
      <c r="A6016" s="2"/>
      <c r="B6016" s="2" t="str">
        <f>IFERROR(__xludf.DUMMYFUNCTION("IF(A6016&lt;&gt;"""", GOOGLETRANSLATE(A6016, ""en"", ""te""),"""")"),"")</f>
        <v/>
      </c>
      <c r="C6016" s="2"/>
      <c r="D6016" s="2" t="str">
        <f>IFERROR(__xludf.DUMMYFUNCTION("IF(C6016&lt;&gt;"""", GOOGLETRANSLATE(C6016, ""en"", ""te""),"""")"),"")</f>
        <v/>
      </c>
      <c r="E6016" s="2"/>
      <c r="F6016" s="2" t="str">
        <f>IFERROR(__xludf.DUMMYFUNCTION("IF(E6016&lt;&gt;"""", GOOGLETRANSLATE(E6016, ""en"", ""te""),"""")"),"")</f>
        <v/>
      </c>
      <c r="G6016" s="2"/>
      <c r="H6016" s="2" t="str">
        <f>IFERROR(__xludf.DUMMYFUNCTION("IF(G6016&lt;&gt;"""", GOOGLETRANSLATE(G6016, ""en"", ""te""),"""")"),"")</f>
        <v/>
      </c>
      <c r="I6016" s="3"/>
    </row>
    <row r="6017" customHeight="1" spans="1:9">
      <c r="A6017" s="2"/>
      <c r="B6017" s="2" t="str">
        <f>IFERROR(__xludf.DUMMYFUNCTION("IF(A6017&lt;&gt;"""", GOOGLETRANSLATE(A6017, ""en"", ""te""),"""")"),"")</f>
        <v/>
      </c>
      <c r="C6017" s="2"/>
      <c r="D6017" s="2" t="str">
        <f>IFERROR(__xludf.DUMMYFUNCTION("IF(C6017&lt;&gt;"""", GOOGLETRANSLATE(C6017, ""en"", ""te""),"""")"),"")</f>
        <v/>
      </c>
      <c r="E6017" s="2"/>
      <c r="F6017" s="2" t="str">
        <f>IFERROR(__xludf.DUMMYFUNCTION("IF(E6017&lt;&gt;"""", GOOGLETRANSLATE(E6017, ""en"", ""te""),"""")"),"")</f>
        <v/>
      </c>
      <c r="G6017" s="2"/>
      <c r="H6017" s="2" t="str">
        <f>IFERROR(__xludf.DUMMYFUNCTION("IF(G6017&lt;&gt;"""", GOOGLETRANSLATE(G6017, ""en"", ""te""),"""")"),"")</f>
        <v/>
      </c>
      <c r="I6017" s="3"/>
    </row>
    <row r="6018" customHeight="1" spans="1:9">
      <c r="A6018" s="2"/>
      <c r="B6018" s="2" t="str">
        <f>IFERROR(__xludf.DUMMYFUNCTION("IF(A6018&lt;&gt;"""", GOOGLETRANSLATE(A6018, ""en"", ""te""),"""")"),"")</f>
        <v/>
      </c>
      <c r="C6018" s="2"/>
      <c r="D6018" s="2" t="str">
        <f>IFERROR(__xludf.DUMMYFUNCTION("IF(C6018&lt;&gt;"""", GOOGLETRANSLATE(C6018, ""en"", ""te""),"""")"),"")</f>
        <v/>
      </c>
      <c r="E6018" s="2"/>
      <c r="F6018" s="2" t="str">
        <f>IFERROR(__xludf.DUMMYFUNCTION("IF(E6018&lt;&gt;"""", GOOGLETRANSLATE(E6018, ""en"", ""te""),"""")"),"")</f>
        <v/>
      </c>
      <c r="G6018" s="2"/>
      <c r="H6018" s="2" t="str">
        <f>IFERROR(__xludf.DUMMYFUNCTION("IF(G6018&lt;&gt;"""", GOOGLETRANSLATE(G6018, ""en"", ""te""),"""")"),"")</f>
        <v/>
      </c>
      <c r="I6018" s="3"/>
    </row>
    <row r="6019" customHeight="1" spans="1:9">
      <c r="A6019" s="2"/>
      <c r="B6019" s="2" t="str">
        <f>IFERROR(__xludf.DUMMYFUNCTION("IF(A6019&lt;&gt;"""", GOOGLETRANSLATE(A6019, ""en"", ""te""),"""")"),"")</f>
        <v/>
      </c>
      <c r="C6019" s="2"/>
      <c r="D6019" s="2" t="str">
        <f>IFERROR(__xludf.DUMMYFUNCTION("IF(C6019&lt;&gt;"""", GOOGLETRANSLATE(C6019, ""en"", ""te""),"""")"),"")</f>
        <v/>
      </c>
      <c r="E6019" s="2"/>
      <c r="F6019" s="2" t="str">
        <f>IFERROR(__xludf.DUMMYFUNCTION("IF(E6019&lt;&gt;"""", GOOGLETRANSLATE(E6019, ""en"", ""te""),"""")"),"")</f>
        <v/>
      </c>
      <c r="G6019" s="2"/>
      <c r="H6019" s="2" t="str">
        <f>IFERROR(__xludf.DUMMYFUNCTION("IF(G6019&lt;&gt;"""", GOOGLETRANSLATE(G6019, ""en"", ""te""),"""")"),"")</f>
        <v/>
      </c>
      <c r="I6019" s="3"/>
    </row>
    <row r="6020" customHeight="1" spans="1:9">
      <c r="A6020" s="2"/>
      <c r="B6020" s="2" t="str">
        <f>IFERROR(__xludf.DUMMYFUNCTION("IF(A6020&lt;&gt;"""", GOOGLETRANSLATE(A6020, ""en"", ""te""),"""")"),"")</f>
        <v/>
      </c>
      <c r="C6020" s="2"/>
      <c r="D6020" s="2" t="str">
        <f>IFERROR(__xludf.DUMMYFUNCTION("IF(C6020&lt;&gt;"""", GOOGLETRANSLATE(C6020, ""en"", ""te""),"""")"),"")</f>
        <v/>
      </c>
      <c r="E6020" s="2"/>
      <c r="F6020" s="2" t="str">
        <f>IFERROR(__xludf.DUMMYFUNCTION("IF(E6020&lt;&gt;"""", GOOGLETRANSLATE(E6020, ""en"", ""te""),"""")"),"")</f>
        <v/>
      </c>
      <c r="G6020" s="2"/>
      <c r="H6020" s="2" t="str">
        <f>IFERROR(__xludf.DUMMYFUNCTION("IF(G6020&lt;&gt;"""", GOOGLETRANSLATE(G6020, ""en"", ""te""),"""")"),"")</f>
        <v/>
      </c>
      <c r="I6020" s="3"/>
    </row>
    <row r="6021" customHeight="1" spans="1:9">
      <c r="A6021" s="2"/>
      <c r="B6021" s="2" t="str">
        <f>IFERROR(__xludf.DUMMYFUNCTION("IF(A6021&lt;&gt;"""", GOOGLETRANSLATE(A6021, ""en"", ""te""),"""")"),"")</f>
        <v/>
      </c>
      <c r="C6021" s="2"/>
      <c r="D6021" s="2" t="str">
        <f>IFERROR(__xludf.DUMMYFUNCTION("IF(C6021&lt;&gt;"""", GOOGLETRANSLATE(C6021, ""en"", ""te""),"""")"),"")</f>
        <v/>
      </c>
      <c r="E6021" s="2"/>
      <c r="F6021" s="2" t="str">
        <f>IFERROR(__xludf.DUMMYFUNCTION("IF(E6021&lt;&gt;"""", GOOGLETRANSLATE(E6021, ""en"", ""te""),"""")"),"")</f>
        <v/>
      </c>
      <c r="G6021" s="2"/>
      <c r="H6021" s="2" t="str">
        <f>IFERROR(__xludf.DUMMYFUNCTION("IF(G6021&lt;&gt;"""", GOOGLETRANSLATE(G6021, ""en"", ""te""),"""")"),"")</f>
        <v/>
      </c>
      <c r="I6021" s="3"/>
    </row>
    <row r="6022" customHeight="1" spans="1:9">
      <c r="A6022" s="2" t="s">
        <v>3730</v>
      </c>
      <c r="B6022" s="2" t="str">
        <f>IFERROR(__xludf.DUMMYFUNCTION("IF(A6022&lt;&gt;"""", GOOGLETRANSLATE(A6022, ""en"", ""te""),"""")"),"[ '8 వ ఉత్తమ కెరీర్ సమ్మె రేటు (15.9)', '2 వ బౌలర్ / ఫీల్డర్ కలయికలు (14)']")</f>
        <v>[ '8 వ ఉత్తమ కెరీర్ సమ్మె రేటు (15.9)', '2 వ బౌలర్ / ఫీల్డర్ కలయికలు (14)']</v>
      </c>
      <c r="C6022" s="2"/>
      <c r="D6022" s="2" t="str">
        <f>IFERROR(__xludf.DUMMYFUNCTION("IF(C6022&lt;&gt;"""", GOOGLETRANSLATE(C6022, ""en"", ""te""),"""")"),"")</f>
        <v/>
      </c>
      <c r="E6022" s="2"/>
      <c r="F6022" s="2" t="str">
        <f>IFERROR(__xludf.DUMMYFUNCTION("IF(E6022&lt;&gt;"""", GOOGLETRANSLATE(E6022, ""en"", ""te""),"""")"),"")</f>
        <v/>
      </c>
      <c r="G6022" s="2" t="s">
        <v>3731</v>
      </c>
      <c r="H6022" s="2" t="str">
        <f>IFERROR(__xludf.DUMMYFUNCTION("IF(G6022&lt;&gt;"""", GOOGLETRANSLATE(G6022, ""en"", ""te""),"""")"),"[ '36 వ కెరీర్ లో అత్యధిక వికెట్లు (51)', '19 ఒక క్యాలెండర్ సంవత్సరంలో అత్యధిక వికెట్లు (21)', '11 వ ఒకే మైదానంలో అత్యధిక వికెట్లు (11)', '17 వ ఉత్తమ కెరీర్ బౌలింగ్ సరాసరి (16.68)', ' 8 వ ఉత్తమ కెరీర్ సమ్మె రేటు (15.9) ',' 19 చెత్త కెరీర్లో ఆర్థిక రేటు ("&amp;"6.28) ',' 2 వ బౌలర్ / ఫీల్డర్ కలయికలు (14) ',' 30 వ అత్యధిక వికెట్లు ఆకర్షించింది తీసుకున్న (31) ',' 20 వ అత్యధిక వికెట్లు ఆకర్షించింది తీసుకున్న మరియు బౌల్డ్ (3) ',' 27 వ అత్యధిక వికెట్లు ఒక ఫీల్డర్ చేత క్యాచ్ తీసుకున్న (28) ',' 9 వ అత్యధిక వికెట్లు ఇన్న"&amp;"ింగ్స్ లో తీసిన స్టంప్ (11) ',' 12 వ అత్యంత పనికత్తెలయొద్ద (2) ']")</f>
        <v>[ '36 వ కెరీర్ లో అత్యధిక వికెట్లు (51)', '19 ఒక క్యాలెండర్ సంవత్సరంలో అత్యధిక వికెట్లు (21)', '11 వ ఒకే మైదానంలో అత్యధిక వికెట్లు (11)', '17 వ ఉత్తమ కెరీర్ బౌలింగ్ సరాసరి (16.68)', ' 8 వ ఉత్తమ కెరీర్ సమ్మె రేటు (15.9) ',' 19 చెత్త కెరీర్లో ఆర్థిక రేటు (6.28) ',' 2 వ బౌలర్ / ఫీల్డర్ కలయికలు (14) ',' 30 వ అత్యధిక వికెట్లు ఆకర్షించింది తీసుకున్న (31) ',' 20 వ అత్యధిక వికెట్లు ఆకర్షించింది తీసుకున్న మరియు బౌల్డ్ (3) ',' 27 వ అత్యధిక వికెట్లు ఒక ఫీల్డర్ చేత క్యాచ్ తీసుకున్న (28) ',' 9 వ అత్యధిక వికెట్లు ఇన్నింగ్స్ లో తీసిన స్టంప్ (11) ',' 12 వ అత్యంత పనికత్తెలయొద్ద (2) ']</v>
      </c>
      <c r="I6022" s="3"/>
    </row>
    <row r="6023" customHeight="1" spans="1:9">
      <c r="A6023" s="2"/>
      <c r="B6023" s="2" t="str">
        <f>IFERROR(__xludf.DUMMYFUNCTION("IF(A6023&lt;&gt;"""", GOOGLETRANSLATE(A6023, ""en"", ""te""),"""")"),"")</f>
        <v/>
      </c>
      <c r="C6023" s="2"/>
      <c r="D6023" s="2" t="str">
        <f>IFERROR(__xludf.DUMMYFUNCTION("IF(C6023&lt;&gt;"""", GOOGLETRANSLATE(C6023, ""en"", ""te""),"""")"),"")</f>
        <v/>
      </c>
      <c r="E6023" s="2"/>
      <c r="F6023" s="2" t="str">
        <f>IFERROR(__xludf.DUMMYFUNCTION("IF(E6023&lt;&gt;"""", GOOGLETRANSLATE(E6023, ""en"", ""te""),"""")"),"")</f>
        <v/>
      </c>
      <c r="G6023" s="2"/>
      <c r="H6023" s="2" t="str">
        <f>IFERROR(__xludf.DUMMYFUNCTION("IF(G6023&lt;&gt;"""", GOOGLETRANSLATE(G6023, ""en"", ""te""),"""")"),"")</f>
        <v/>
      </c>
      <c r="I6023" s="3"/>
    </row>
    <row r="6024" customHeight="1" spans="1:9">
      <c r="A6024" s="2"/>
      <c r="B6024" s="2" t="str">
        <f>IFERROR(__xludf.DUMMYFUNCTION("IF(A6024&lt;&gt;"""", GOOGLETRANSLATE(A6024, ""en"", ""te""),"""")"),"")</f>
        <v/>
      </c>
      <c r="C6024" s="2"/>
      <c r="D6024" s="2" t="str">
        <f>IFERROR(__xludf.DUMMYFUNCTION("IF(C6024&lt;&gt;"""", GOOGLETRANSLATE(C6024, ""en"", ""te""),"""")"),"")</f>
        <v/>
      </c>
      <c r="E6024" s="2"/>
      <c r="F6024" s="2" t="str">
        <f>IFERROR(__xludf.DUMMYFUNCTION("IF(E6024&lt;&gt;"""", GOOGLETRANSLATE(E6024, ""en"", ""te""),"""")"),"")</f>
        <v/>
      </c>
      <c r="G6024" s="2"/>
      <c r="H6024" s="2" t="str">
        <f>IFERROR(__xludf.DUMMYFUNCTION("IF(G6024&lt;&gt;"""", GOOGLETRANSLATE(G6024, ""en"", ""te""),"""")"),"")</f>
        <v/>
      </c>
      <c r="I6024" s="3"/>
    </row>
    <row r="6025" customHeight="1" spans="1:9">
      <c r="A6025" s="2"/>
      <c r="B6025" s="2" t="str">
        <f>IFERROR(__xludf.DUMMYFUNCTION("IF(A6025&lt;&gt;"""", GOOGLETRANSLATE(A6025, ""en"", ""te""),"""")"),"")</f>
        <v/>
      </c>
      <c r="C6025" s="2"/>
      <c r="D6025" s="2" t="str">
        <f>IFERROR(__xludf.DUMMYFUNCTION("IF(C6025&lt;&gt;"""", GOOGLETRANSLATE(C6025, ""en"", ""te""),"""")"),"")</f>
        <v/>
      </c>
      <c r="E6025" s="2"/>
      <c r="F6025" s="2" t="str">
        <f>IFERROR(__xludf.DUMMYFUNCTION("IF(E6025&lt;&gt;"""", GOOGLETRANSLATE(E6025, ""en"", ""te""),"""")"),"")</f>
        <v/>
      </c>
      <c r="G6025" s="2"/>
      <c r="H6025" s="2" t="str">
        <f>IFERROR(__xludf.DUMMYFUNCTION("IF(G6025&lt;&gt;"""", GOOGLETRANSLATE(G6025, ""en"", ""te""),"""")"),"")</f>
        <v/>
      </c>
      <c r="I6025" s="3"/>
    </row>
    <row r="6026" customHeight="1" spans="1:9">
      <c r="A6026" s="2"/>
      <c r="B6026" s="2" t="str">
        <f>IFERROR(__xludf.DUMMYFUNCTION("IF(A6026&lt;&gt;"""", GOOGLETRANSLATE(A6026, ""en"", ""te""),"""")"),"")</f>
        <v/>
      </c>
      <c r="C6026" s="2"/>
      <c r="D6026" s="2" t="str">
        <f>IFERROR(__xludf.DUMMYFUNCTION("IF(C6026&lt;&gt;"""", GOOGLETRANSLATE(C6026, ""en"", ""te""),"""")"),"")</f>
        <v/>
      </c>
      <c r="E6026" s="2"/>
      <c r="F6026" s="2" t="str">
        <f>IFERROR(__xludf.DUMMYFUNCTION("IF(E6026&lt;&gt;"""", GOOGLETRANSLATE(E6026, ""en"", ""te""),"""")"),"")</f>
        <v/>
      </c>
      <c r="G6026" s="2"/>
      <c r="H6026" s="2" t="str">
        <f>IFERROR(__xludf.DUMMYFUNCTION("IF(G6026&lt;&gt;"""", GOOGLETRANSLATE(G6026, ""en"", ""te""),"""")"),"")</f>
        <v/>
      </c>
      <c r="I6026" s="3"/>
    </row>
    <row r="6027" customHeight="1" spans="1:9">
      <c r="A6027" s="2"/>
      <c r="B6027" s="2" t="str">
        <f>IFERROR(__xludf.DUMMYFUNCTION("IF(A6027&lt;&gt;"""", GOOGLETRANSLATE(A6027, ""en"", ""te""),"""")"),"")</f>
        <v/>
      </c>
      <c r="C6027" s="2" t="s">
        <v>3732</v>
      </c>
      <c r="D6027" s="2" t="str">
        <f>IFERROR(__xludf.DUMMYFUNCTION("IF(C6027&lt;&gt;"""", GOOGLETRANSLATE(C6027, ""en"", ""te""),"""")"),"[ '14 వ ఇన్నింగ్స్ లో అత్యధిక పరుగులు (బ్యాటింగ్ స్థానంలో ప్రకారం) (104)']")</f>
        <v>[ '14 వ ఇన్నింగ్స్ లో అత్యధిక పరుగులు (బ్యాటింగ్ స్థానంలో ప్రకారం) (104)']</v>
      </c>
      <c r="E6027" s="2" t="s">
        <v>657</v>
      </c>
      <c r="F6027" s="2" t="str">
        <f>IFERROR(__xludf.DUMMYFUNCTION("IF(E6027&lt;&gt;"""", GOOGLETRANSLATE(E6027, ""en"", ""te""),"""")"),"[ '15 వ ఉత్తమ కెరీర్ బౌలింగ్ సరాసరి (అర్హత లేకుండా) (8.00)']")</f>
        <v>[ '15 వ ఉత్తమ కెరీర్ బౌలింగ్ సరాసరి (అర్హత లేకుండా) (8.00)']</v>
      </c>
      <c r="G6027" s="2"/>
      <c r="H6027" s="2" t="str">
        <f>IFERROR(__xludf.DUMMYFUNCTION("IF(G6027&lt;&gt;"""", GOOGLETRANSLATE(G6027, ""en"", ""te""),"""")"),"")</f>
        <v/>
      </c>
      <c r="I6027" s="3"/>
    </row>
    <row r="6028" customHeight="1" spans="1:9">
      <c r="A6028" s="2" t="s">
        <v>3733</v>
      </c>
      <c r="B6028" s="2" t="str">
        <f>IFERROR(__xludf.DUMMYFUNCTION("IF(A6028&lt;&gt;"""", GOOGLETRANSLATE(A6028, ""en"", ""te""),"""")"),"[ 'ఇన్నింగ్స్ (5) లో 1 వ అత్యధిక క్యాచ్లు' 'ఒక ఆటలో బదులు 6 వ అత్యధిక క్యాచ్లు (3)']")</f>
        <v>[ 'ఇన్నింగ్స్ (5) లో 1 వ అత్యధిక క్యాచ్లు' 'ఒక ఆటలో బదులు 6 వ అత్యధిక క్యాచ్లు (3)']</v>
      </c>
      <c r="C6028" s="2" t="s">
        <v>3734</v>
      </c>
      <c r="D6028" s="2" t="str">
        <f>IFERROR(__xludf.DUMMYFUNCTION("IF(C6028&lt;&gt;"""", GOOGLETRANSLATE(C6028, ""en"", ""te""),"""")"),"[ 'ఇన్నింగ్స్ (5) లో 1 వ అత్యధిక క్యాచ్లు' 'ఒక మ్యాచ్లో 2nd అత్యధిక క్యాచ్లు (7)', '6 వ మ్యాచ్లో (3) లో ఒక ప్రత్యామ్నాయంగా ద్వారా అత్యధిక క్యాచ్లు']")</f>
        <v>[ 'ఇన్నింగ్స్ (5) లో 1 వ అత్యధిక క్యాచ్లు' 'ఒక మ్యాచ్లో 2nd అత్యధిక క్యాచ్లు (7)', '6 వ మ్యాచ్లో (3) లో ఒక ప్రత్యామ్నాయంగా ద్వారా అత్యధిక క్యాచ్లు']</v>
      </c>
      <c r="E6028" s="2"/>
      <c r="F6028" s="2" t="str">
        <f>IFERROR(__xludf.DUMMYFUNCTION("IF(E6028&lt;&gt;"""", GOOGLETRANSLATE(E6028, ""en"", ""te""),"""")"),"")</f>
        <v/>
      </c>
      <c r="G6028" s="2"/>
      <c r="H6028" s="2" t="str">
        <f>IFERROR(__xludf.DUMMYFUNCTION("IF(G6028&lt;&gt;"""", GOOGLETRANSLATE(G6028, ""en"", ""te""),"""")"),"")</f>
        <v/>
      </c>
      <c r="I6028" s="3"/>
    </row>
    <row r="6029" customHeight="1" spans="1:9">
      <c r="A6029" s="2"/>
      <c r="B6029" s="2" t="str">
        <f>IFERROR(__xludf.DUMMYFUNCTION("IF(A6029&lt;&gt;"""", GOOGLETRANSLATE(A6029, ""en"", ""te""),"""")"),"")</f>
        <v/>
      </c>
      <c r="C6029" s="2"/>
      <c r="D6029" s="2" t="str">
        <f>IFERROR(__xludf.DUMMYFUNCTION("IF(C6029&lt;&gt;"""", GOOGLETRANSLATE(C6029, ""en"", ""te""),"""")"),"")</f>
        <v/>
      </c>
      <c r="E6029" s="2"/>
      <c r="F6029" s="2" t="str">
        <f>IFERROR(__xludf.DUMMYFUNCTION("IF(E6029&lt;&gt;"""", GOOGLETRANSLATE(E6029, ""en"", ""te""),"""")"),"")</f>
        <v/>
      </c>
      <c r="G6029" s="2"/>
      <c r="H6029" s="2" t="str">
        <f>IFERROR(__xludf.DUMMYFUNCTION("IF(G6029&lt;&gt;"""", GOOGLETRANSLATE(G6029, ""en"", ""te""),"""")"),"")</f>
        <v/>
      </c>
      <c r="I6029" s="3"/>
    </row>
    <row r="6030" customHeight="1" spans="1:9">
      <c r="A6030" s="2" t="s">
        <v>3735</v>
      </c>
      <c r="B6030" s="2" t="str">
        <f>IFERROR(__xludf.DUMMYFUNCTION("IF(A6030&lt;&gt;"""", GOOGLETRANSLATE(A6030, ""en"", ""te""),"""")"),"[ '3 వ చెత్త సమ్మె ఇన్నింగ్స్ లో రేటు (450.0)']")</f>
        <v>[ '3 వ చెత్త సమ్మె ఇన్నింగ్స్ లో రేటు (450.0)']</v>
      </c>
      <c r="C6030" s="2" t="s">
        <v>3736</v>
      </c>
      <c r="D6030" s="2" t="str">
        <f>IFERROR(__xludf.DUMMYFUNCTION("IF(C6030&lt;&gt;"""", GOOGLETRANSLATE(C6030, ""en"", ""te""),"""")"),"[ '31 ఉత్తమ ఇన్నింగ్స్ లో ఆర్థిక రేటు (0.57)', 'ఇన్నింగ్స్ లో 3 వ చెత్త సమ్మె రేటు (450.0)', '23 వ ఇన్నింగ్స్ లో బౌల్డ్ చాలా బంతుల్లో (450)', '39 వ ఇన్నింగ్స్ లో సాధించిన అత్యధిక పరుగులు (196 ) ']")</f>
        <v>[ '31 ఉత్తమ ఇన్నింగ్స్ లో ఆర్థిక రేటు (0.57)', 'ఇన్నింగ్స్ లో 3 వ చెత్త సమ్మె రేటు (450.0)', '23 వ ఇన్నింగ్స్ లో బౌల్డ్ చాలా బంతుల్లో (450)', '39 వ ఇన్నింగ్స్ లో సాధించిన అత్యధిక పరుగులు (196 ) ']</v>
      </c>
      <c r="E6030" s="2"/>
      <c r="F6030" s="2" t="str">
        <f>IFERROR(__xludf.DUMMYFUNCTION("IF(E6030&lt;&gt;"""", GOOGLETRANSLATE(E6030, ""en"", ""te""),"""")"),"")</f>
        <v/>
      </c>
      <c r="G6030" s="2"/>
      <c r="H6030" s="2" t="str">
        <f>IFERROR(__xludf.DUMMYFUNCTION("IF(G6030&lt;&gt;"""", GOOGLETRANSLATE(G6030, ""en"", ""te""),"""")"),"")</f>
        <v/>
      </c>
      <c r="I6030" s="3"/>
    </row>
    <row r="6031" customHeight="1" spans="1:9">
      <c r="A6031" s="2"/>
      <c r="B6031" s="2" t="str">
        <f>IFERROR(__xludf.DUMMYFUNCTION("IF(A6031&lt;&gt;"""", GOOGLETRANSLATE(A6031, ""en"", ""te""),"""")"),"")</f>
        <v/>
      </c>
      <c r="C6031" s="2"/>
      <c r="D6031" s="2" t="str">
        <f>IFERROR(__xludf.DUMMYFUNCTION("IF(C6031&lt;&gt;"""", GOOGLETRANSLATE(C6031, ""en"", ""te""),"""")"),"")</f>
        <v/>
      </c>
      <c r="E6031" s="2"/>
      <c r="F6031" s="2" t="str">
        <f>IFERROR(__xludf.DUMMYFUNCTION("IF(E6031&lt;&gt;"""", GOOGLETRANSLATE(E6031, ""en"", ""te""),"""")"),"")</f>
        <v/>
      </c>
      <c r="G6031" s="2"/>
      <c r="H6031" s="2" t="str">
        <f>IFERROR(__xludf.DUMMYFUNCTION("IF(G6031&lt;&gt;"""", GOOGLETRANSLATE(G6031, ""en"", ""te""),"""")"),"")</f>
        <v/>
      </c>
      <c r="I6031" s="3"/>
    </row>
    <row r="6032" customHeight="1" spans="1:9">
      <c r="A6032" s="2"/>
      <c r="B6032" s="2" t="str">
        <f>IFERROR(__xludf.DUMMYFUNCTION("IF(A6032&lt;&gt;"""", GOOGLETRANSLATE(A6032, ""en"", ""te""),"""")"),"")</f>
        <v/>
      </c>
      <c r="C6032" s="2"/>
      <c r="D6032" s="2" t="str">
        <f>IFERROR(__xludf.DUMMYFUNCTION("IF(C6032&lt;&gt;"""", GOOGLETRANSLATE(C6032, ""en"", ""te""),"""")"),"")</f>
        <v/>
      </c>
      <c r="E6032" s="2"/>
      <c r="F6032" s="2" t="str">
        <f>IFERROR(__xludf.DUMMYFUNCTION("IF(E6032&lt;&gt;"""", GOOGLETRANSLATE(E6032, ""en"", ""te""),"""")"),"")</f>
        <v/>
      </c>
      <c r="G6032" s="2"/>
      <c r="H6032" s="2" t="str">
        <f>IFERROR(__xludf.DUMMYFUNCTION("IF(G6032&lt;&gt;"""", GOOGLETRANSLATE(G6032, ""en"", ""te""),"""")"),"")</f>
        <v/>
      </c>
      <c r="I6032" s="3"/>
    </row>
    <row r="6033" customHeight="1" spans="1:9">
      <c r="A6033" s="2"/>
      <c r="B6033" s="2" t="str">
        <f>IFERROR(__xludf.DUMMYFUNCTION("IF(A6033&lt;&gt;"""", GOOGLETRANSLATE(A6033, ""en"", ""te""),"""")"),"")</f>
        <v/>
      </c>
      <c r="C6033" s="2"/>
      <c r="D6033" s="2" t="str">
        <f>IFERROR(__xludf.DUMMYFUNCTION("IF(C6033&lt;&gt;"""", GOOGLETRANSLATE(C6033, ""en"", ""te""),"""")"),"")</f>
        <v/>
      </c>
      <c r="E6033" s="2"/>
      <c r="F6033" s="2" t="str">
        <f>IFERROR(__xludf.DUMMYFUNCTION("IF(E6033&lt;&gt;"""", GOOGLETRANSLATE(E6033, ""en"", ""te""),"""")"),"")</f>
        <v/>
      </c>
      <c r="G6033" s="2"/>
      <c r="H6033" s="2" t="str">
        <f>IFERROR(__xludf.DUMMYFUNCTION("IF(G6033&lt;&gt;"""", GOOGLETRANSLATE(G6033, ""en"", ""te""),"""")"),"")</f>
        <v/>
      </c>
      <c r="I6033" s="3"/>
    </row>
    <row r="6034" customHeight="1" spans="1:9">
      <c r="A6034" s="2"/>
      <c r="B6034" s="2" t="str">
        <f>IFERROR(__xludf.DUMMYFUNCTION("IF(A6034&lt;&gt;"""", GOOGLETRANSLATE(A6034, ""en"", ""te""),"""")"),"")</f>
        <v/>
      </c>
      <c r="C6034" s="2"/>
      <c r="D6034" s="2" t="str">
        <f>IFERROR(__xludf.DUMMYFUNCTION("IF(C6034&lt;&gt;"""", GOOGLETRANSLATE(C6034, ""en"", ""te""),"""")"),"")</f>
        <v/>
      </c>
      <c r="E6034" s="2"/>
      <c r="F6034" s="2" t="str">
        <f>IFERROR(__xludf.DUMMYFUNCTION("IF(E6034&lt;&gt;"""", GOOGLETRANSLATE(E6034, ""en"", ""te""),"""")"),"")</f>
        <v/>
      </c>
      <c r="G6034" s="2"/>
      <c r="H6034" s="2" t="str">
        <f>IFERROR(__xludf.DUMMYFUNCTION("IF(G6034&lt;&gt;"""", GOOGLETRANSLATE(G6034, ""en"", ""te""),"""")"),"")</f>
        <v/>
      </c>
      <c r="I6034" s="3"/>
    </row>
    <row r="6035" customHeight="1" spans="1:9">
      <c r="A6035" s="2"/>
      <c r="B6035" s="2" t="str">
        <f>IFERROR(__xludf.DUMMYFUNCTION("IF(A6035&lt;&gt;"""", GOOGLETRANSLATE(A6035, ""en"", ""te""),"""")"),"")</f>
        <v/>
      </c>
      <c r="C6035" s="2"/>
      <c r="D6035" s="2" t="str">
        <f>IFERROR(__xludf.DUMMYFUNCTION("IF(C6035&lt;&gt;"""", GOOGLETRANSLATE(C6035, ""en"", ""te""),"""")"),"")</f>
        <v/>
      </c>
      <c r="E6035" s="2"/>
      <c r="F6035" s="2" t="str">
        <f>IFERROR(__xludf.DUMMYFUNCTION("IF(E6035&lt;&gt;"""", GOOGLETRANSLATE(E6035, ""en"", ""te""),"""")"),"")</f>
        <v/>
      </c>
      <c r="G6035" s="2"/>
      <c r="H6035" s="2" t="str">
        <f>IFERROR(__xludf.DUMMYFUNCTION("IF(G6035&lt;&gt;"""", GOOGLETRANSLATE(G6035, ""en"", ""te""),"""")"),"")</f>
        <v/>
      </c>
      <c r="I6035" s="3"/>
    </row>
    <row r="6036" customHeight="1" spans="1:9">
      <c r="A6036" s="2"/>
      <c r="B6036" s="2" t="str">
        <f>IFERROR(__xludf.DUMMYFUNCTION("IF(A6036&lt;&gt;"""", GOOGLETRANSLATE(A6036, ""en"", ""te""),"""")"),"")</f>
        <v/>
      </c>
      <c r="C6036" s="2"/>
      <c r="D6036" s="2" t="str">
        <f>IFERROR(__xludf.DUMMYFUNCTION("IF(C6036&lt;&gt;"""", GOOGLETRANSLATE(C6036, ""en"", ""te""),"""")"),"")</f>
        <v/>
      </c>
      <c r="E6036" s="2"/>
      <c r="F6036" s="2" t="str">
        <f>IFERROR(__xludf.DUMMYFUNCTION("IF(E6036&lt;&gt;"""", GOOGLETRANSLATE(E6036, ""en"", ""te""),"""")"),"")</f>
        <v/>
      </c>
      <c r="G6036" s="2"/>
      <c r="H6036" s="2" t="str">
        <f>IFERROR(__xludf.DUMMYFUNCTION("IF(G6036&lt;&gt;"""", GOOGLETRANSLATE(G6036, ""en"", ""te""),"""")"),"")</f>
        <v/>
      </c>
      <c r="I6036" s="3"/>
    </row>
    <row r="6037" customHeight="1" spans="1:9">
      <c r="A6037" s="2" t="s">
        <v>3737</v>
      </c>
      <c r="B6037" s="2" t="str">
        <f>IFERROR(__xludf.DUMMYFUNCTION("IF(A6037&lt;&gt;"""", GOOGLETRANSLATE(A6037, ""en"", ""te""),"""")"),"[ '6 వ అత్యంత ప్లేయర్ ఆఫ్ ది సిరీస్ అవార్డులు (7)', 'ఇన్నింగ్స్ లో 8 వ అత్యధిక పరుగులు (బ్యాటింగ్ స్థానంలో ప్రకారం) (139)', '4 వ అత్యుత్తమ బౌలింగ్ ఇన్నింగ్స్ లో విశ్లేషించడం (4/6)', ' ఒక ఇన్నింగ్స్ లో ఒక ఏబది ఐదు వికెట్లు ',' 1000 పరుగులు, 50 వికెట్లు, 50"&amp;" క్యాచ్లు ',' 5000 పరుగులు మరియు 50 ఫీల్డింగ్ వికెట్లు ',' నాలుగవ వికెట్కు ఒక లో (256) ',' 4 వ అత్యధిక స్ట్రైక్ రేట్ కోసం 2 వ అత్యధిక భాగస్వామ్యం ఇన్నింగ్స్ (362.50) ',' 6 వ అత్యంత ఇన్నింగ్స్ తొలి డక్ ముందు (39) ',' 6 వ బౌలర్ / ఫీల్డర్ కలయికలు (9) ',' ఐద"&amp;"వ వికెట్కు 3 వ అత్యధిక భాగస్వామ్యం (102 *) ']")</f>
        <v>[ '6 వ అత్యంత ప్లేయర్ ఆఫ్ ది సిరీస్ అవార్డులు (7)', 'ఇన్నింగ్స్ లో 8 వ అత్యధిక పరుగులు (బ్యాటింగ్ స్థానంలో ప్రకారం) (139)', '4 వ అత్యుత్తమ బౌలింగ్ ఇన్నింగ్స్ లో విశ్లేషించడం (4/6)', ' ఒక ఇన్నింగ్స్ లో ఒక ఏబది ఐదు వికెట్లు ',' 1000 పరుగులు, 50 వికెట్లు, 50 క్యాచ్లు ',' 5000 పరుగులు మరియు 50 ఫీల్డింగ్ వికెట్లు ',' నాలుగవ వికెట్కు ఒక లో (256) ',' 4 వ అత్యధిక స్ట్రైక్ రేట్ కోసం 2 వ అత్యధిక భాగస్వామ్యం ఇన్నింగ్స్ (362.50) ',' 6 వ అత్యంత ఇన్నింగ్స్ తొలి డక్ ముందు (39) ',' 6 వ బౌలర్ / ఫీల్డర్ కలయికలు (9) ',' ఐదవ వికెట్కు 3 వ అత్యధిక భాగస్వామ్యం (102 *) ']</v>
      </c>
      <c r="C6037" s="2"/>
      <c r="D6037" s="2" t="str">
        <f>IFERROR(__xludf.DUMMYFUNCTION("IF(C6037&lt;&gt;"""", GOOGLETRANSLATE(C6037, ""en"", ""te""),"""")"),"")</f>
        <v/>
      </c>
      <c r="E6037" s="2" t="s">
        <v>3738</v>
      </c>
      <c r="F6037" s="2" t="str">
        <f>IFERROR(__xludf.DUMMYFUNCTION("IF(E6037&lt;&gt;"""", GOOGLETRANSLATE(E6037, ""en"", ""te""),"""")"),"[ఒక మ్యాచ్లో '23 వ కెరీర్ లో పరుగులు (8701)', '33 వ ఒక క్యాలెండర్ సంవత్సరంలో అత్యధిక పరుగులు (1287)', 'ఇన్నింగ్స్ లో 8 వ అత్యధిక పరుగులు (బ్యాటింగ్ స్థానంలో ప్రకారం) (139)', '39 వ అత్యధిక పరుగులు పరాజయం వైపు (139) ',' 31 ఒక వృత్తిలో అత్యధిక వందలు (14) ',"&amp;"' 39 వ ఒక జట్టు (4) ',' 39 వ పిన్న ఆటగాడు వ్యతిరేకంగా అత్యధిక వందలు వంద (21y 120d) స్కోర్ ',' 49 వ అత్యంత వృద్ధ ఆటగాడు కెరీర్లో వంద (35y 38d) ',' 25 వ స్కోర్ అత్యంత అర్ధ (66) ',' కెరీర్ లో 24 వ అత్యంత బాతులు (18) ',' 13 వ కెరీర్ లో వచ్చిన ఎక్కువ సిక్స్ (1"&amp;"55) ',' 18 వ అత్యధిక కెరీర్ లో ఫోర్లు ( 908) ',' 14 వ ఇన్నింగ్స్ లో వచ్చిన ఎక్కువ ఫోర్లు (21) ',' ఇన్నింగ్స్ (102) ',' ఫాస్టెస్ట్ 39 వ 6000 పరుగులు (192) ',' 29th వేగవంతమైన 7000 పరుగులు లో ఫోర్లు, సిక్సర్లు నుండి 50 వ అత్యధిక పరుగులు ( 215) ',' 8000 పరుగ"&amp;"ులు (250) వేగంగా 26 ',' 4 వ అత్యుత్తమ బౌలింగ్ ఇన్నింగ్స్ ఒక లో (4/6) ',' ఇన్నింగ్స్ లో 35 వ ఉత్తమ సమ్మె రేటు (6.7) ',' 15 వ చెత్త ఆర్థిక రేటు విశ్లేషణలలో ఇన్నింగ్స్ (11.80) ',' 24 వ అత్యధిక వికెట్లు కెరీర్లో స్టంప్ తీసుకోకూడదు (14) ',' 36 వ అత్యధిక క్యాచ్"&amp;"లు (94) ',' 22 వ అత్యధిక ఏ వికెట్కు (256) ',' 2 కోసం భాగస్వామ్యాలు nd నాలుగో వికెట్కు అత్యధిక భాగస్వామ్యం (256) ',' ఆరవ వికెట్కు 13 వ అత్యధిక భాగస్వామ్యం (158) ',' 19 వ అత్యధిక కెరీర్ లో మ్యాచ్లు (304) ',' 14 వ అత్యంత ప్లేయర్ ఆఫ్ ది మ్యాచ్ అవార్డులు (27) "&amp;"',' 6 వ అత్యంత ప్లేయర్ ఆఫ్ ది సిరీస్ అవార్డులు (7) ',' 28th లాంగెస్ట్ కెరీర్లు (16y 270d) ']")</f>
        <v>[ఒక మ్యాచ్లో '23 వ కెరీర్ లో పరుగులు (8701)', '33 వ ఒక క్యాలెండర్ సంవత్సరంలో అత్యధిక పరుగులు (1287)', 'ఇన్నింగ్స్ లో 8 వ అత్యధిక పరుగులు (బ్యాటింగ్ స్థానంలో ప్రకారం) (139)', '39 వ అత్యధిక పరుగులు పరాజయం వైపు (139) ',' 31 ఒక వృత్తిలో అత్యధిక వందలు (14) ',' 39 వ ఒక జట్టు (4) ',' 39 వ పిన్న ఆటగాడు వ్యతిరేకంగా అత్యధిక వందలు వంద (21y 120d) స్కోర్ ',' 49 వ అత్యంత వృద్ధ ఆటగాడు కెరీర్లో వంద (35y 38d) ',' 25 వ స్కోర్ అత్యంత అర్ధ (66) ',' కెరీర్ లో 24 వ అత్యంత బాతులు (18) ',' 13 వ కెరీర్ లో వచ్చిన ఎక్కువ సిక్స్ (155) ',' 18 వ అత్యధిక కెరీర్ లో ఫోర్లు ( 908) ',' 14 వ ఇన్నింగ్స్ లో వచ్చిన ఎక్కువ ఫోర్లు (21) ',' ఇన్నింగ్స్ (102) ',' ఫాస్టెస్ట్ 39 వ 6000 పరుగులు (192) ',' 29th వేగవంతమైన 7000 పరుగులు లో ఫోర్లు, సిక్సర్లు నుండి 50 వ అత్యధిక పరుగులు ( 215) ',' 8000 పరుగులు (250) వేగంగా 26 ',' 4 వ అత్యుత్తమ బౌలింగ్ ఇన్నింగ్స్ ఒక లో (4/6) ',' ఇన్నింగ్స్ లో 35 వ ఉత్తమ సమ్మె రేటు (6.7) ',' 15 వ చెత్త ఆర్థిక రేటు విశ్లేషణలలో ఇన్నింగ్స్ (11.80) ',' 24 వ అత్యధిక వికెట్లు కెరీర్లో స్టంప్ తీసుకోకూడదు (14) ',' 36 వ అత్యధిక క్యాచ్లు (94) ',' 22 వ అత్యధిక ఏ వికెట్కు (256) ',' 2 కోసం భాగస్వామ్యాలు nd నాలుగో వికెట్కు అత్యధిక భాగస్వామ్యం (256) ',' ఆరవ వికెట్కు 13 వ అత్యధిక భాగస్వామ్యం (158) ',' 19 వ అత్యధిక కెరీర్ లో మ్యాచ్లు (304) ',' 14 వ అత్యంత ప్లేయర్ ఆఫ్ ది మ్యాచ్ అవార్డులు (27) ',' 6 వ అత్యంత ప్లేయర్ ఆఫ్ ది సిరీస్ అవార్డులు (7) ',' 28th లాంగెస్ట్ కెరీర్లు (16y 270d) ']</v>
      </c>
      <c r="G6037" s="2" t="s">
        <v>3739</v>
      </c>
      <c r="H6037" s="2" t="str">
        <f>IFERROR(__xludf.DUMMYFUNCTION("IF(G6037&lt;&gt;"""", GOOGLETRANSLATE(G6037, ""en"", ""te""),"""")"),"[ '16 వ ఇన్నింగ్స్ లో అత్యధిక పరుగులు (బ్యాటింగ్ స్థానంలో ప్రకారం) (77 *)', 'ఇన్నింగ్స్ లో 4 వ అత్యధిక స్ట్రైక్ రేట్ (362.50)', '32 వ కెరీర్ అర్ధ (8)' మొదటి డక్ ముందు, '6 వ అత్యంత ఇన్నింగ్స్ (39) ',' ఒక డక్ లేకుండా 23 వరుస ఇన్నింగ్స్ కెరీర్లో (39) ',' 9 "&amp;"వ అతి తక్కువ బాతులు (51) ',' 16 వ కెరీర్ లో వచ్చిన ఎక్కువ సిక్స్ (74) ',' 42 వ ఇన్నింగ్స్ లో వచ్చిన ఎక్కువ సిక్స్ (7) '' 1000 పరుగులు వేగంగా 28 (41) ',' 6 వ బౌలర్ / ఫీల్డర్ కలయికలు (9) ',' 48 వ అత్యధిక వికెట్లు ఒక వికెట్ కీపర్ చే కాట్ తీసుకున్న (5) ',' 32"&amp;" వ అత్యధిక వికెట్లు తీసుకున్న ఎల్బిడబ్ల్యు (5) ',' నాలుగో వికెట్కు 28 అత్యధిక భాగస్వామ్యం (97) ',' ఐదో వికెట్కు (102 *) 3 వ అత్యధిక భాగస్వామ్యం ',' 12 వ అత్యంత ప్లేయర్ ఆఫ్ ది మ్యాచ్ అవార్డులు (7) ']")</f>
        <v>[ '16 వ ఇన్నింగ్స్ లో అత్యధిక పరుగులు (బ్యాటింగ్ స్థానంలో ప్రకారం) (77 *)', 'ఇన్నింగ్స్ లో 4 వ అత్యధిక స్ట్రైక్ రేట్ (362.50)', '32 వ కెరీర్ అర్ధ (8)' మొదటి డక్ ముందు, '6 వ అత్యంత ఇన్నింగ్స్ (39) ',' ఒక డక్ లేకుండా 23 వరుస ఇన్నింగ్స్ కెరీర్లో (39) ',' 9 వ అతి తక్కువ బాతులు (51) ',' 16 వ కెరీర్ లో వచ్చిన ఎక్కువ సిక్స్ (74) ',' 42 వ ఇన్నింగ్స్ లో వచ్చిన ఎక్కువ సిక్స్ (7) '' 1000 పరుగులు వేగంగా 28 (41) ',' 6 వ బౌలర్ / ఫీల్డర్ కలయికలు (9) ',' 48 వ అత్యధిక వికెట్లు ఒక వికెట్ కీపర్ చే కాట్ తీసుకున్న (5) ',' 32 వ అత్యధిక వికెట్లు తీసుకున్న ఎల్బిడబ్ల్యు (5) ',' నాలుగో వికెట్కు 28 అత్యధిక భాగస్వామ్యం (97) ',' ఐదో వికెట్కు (102 *) 3 వ అత్యధిక భాగస్వామ్యం ',' 12 వ అత్యంత ప్లేయర్ ఆఫ్ ది మ్యాచ్ అవార్డులు (7) ']</v>
      </c>
      <c r="I6037" s="3"/>
    </row>
    <row r="6038" customHeight="1" spans="1:9">
      <c r="A6038" s="2"/>
      <c r="B6038" s="2" t="str">
        <f>IFERROR(__xludf.DUMMYFUNCTION("IF(A6038&lt;&gt;"""", GOOGLETRANSLATE(A6038, ""en"", ""te""),"""")"),"")</f>
        <v/>
      </c>
      <c r="C6038" s="2"/>
      <c r="D6038" s="2" t="str">
        <f>IFERROR(__xludf.DUMMYFUNCTION("IF(C6038&lt;&gt;"""", GOOGLETRANSLATE(C6038, ""en"", ""te""),"""")"),"")</f>
        <v/>
      </c>
      <c r="E6038" s="2"/>
      <c r="F6038" s="2" t="str">
        <f>IFERROR(__xludf.DUMMYFUNCTION("IF(E6038&lt;&gt;"""", GOOGLETRANSLATE(E6038, ""en"", ""te""),"""")"),"")</f>
        <v/>
      </c>
      <c r="G6038" s="2"/>
      <c r="H6038" s="2" t="str">
        <f>IFERROR(__xludf.DUMMYFUNCTION("IF(G6038&lt;&gt;"""", GOOGLETRANSLATE(G6038, ""en"", ""te""),"""")"),"")</f>
        <v/>
      </c>
      <c r="I6038" s="3"/>
    </row>
    <row r="6039" customHeight="1" spans="1:9">
      <c r="A6039" s="2" t="s">
        <v>3740</v>
      </c>
      <c r="B6039" s="2" t="str">
        <f>IFERROR(__xludf.DUMMYFUNCTION("IF(A6039&lt;&gt;"""", GOOGLETRANSLATE(A6039, ""en"", ""te""),"""")"),"[ '1st అత్యధిక ఇన్నింగ్స్ లో సమ్మె రేటు (310.00)', '9 వ చెత్త కెరీర్లో ఆర్థిక రేటు (6.01)', '8 వ వరుస మ్యాచ్లు ప్రదర్శనల మధ్య బృందం (65) కోసం తప్పిన']")</f>
        <v>[ '1st అత్యధిక ఇన్నింగ్స్ లో సమ్మె రేటు (310.00)', '9 వ చెత్త కెరీర్లో ఆర్థిక రేటు (6.01)', '8 వ వరుస మ్యాచ్లు ప్రదర్శనల మధ్య బృందం (65) కోసం తప్పిన']</v>
      </c>
      <c r="C6039" s="2" t="s">
        <v>3741</v>
      </c>
      <c r="D6039" s="2" t="str">
        <f>IFERROR(__xludf.DUMMYFUNCTION("IF(C6039&lt;&gt;"""", GOOGLETRANSLATE(C6039, ""en"", ""te""),"""")"),"[ 'ఇన్నింగ్స్ లో 1 వ అత్యధిక స్ట్రైక్ రేట్ (310.00)', '47 వ ఉత్తమ కెరీర్ సమ్మె రేటు (51.4)', 'ఇన్నింగ్స్ లో 11 వ ఉత్తమ ఆర్థిక రేటు (0.42)', '29th చెత్త కెరీర్లో ఆర్థిక రేటు (3.55)']")</f>
        <v>[ 'ఇన్నింగ్స్ లో 1 వ అత్యధిక స్ట్రైక్ రేట్ (310.00)', '47 వ ఉత్తమ కెరీర్ సమ్మె రేటు (51.4)', 'ఇన్నింగ్స్ లో 11 వ ఉత్తమ ఆర్థిక రేటు (0.42)', '29th చెత్త కెరీర్లో ఆర్థిక రేటు (3.55)']</v>
      </c>
      <c r="E6039" s="2" t="s">
        <v>3742</v>
      </c>
      <c r="F6039" s="2" t="str">
        <f>IFERROR(__xludf.DUMMYFUNCTION("IF(E6039&lt;&gt;"""", GOOGLETRANSLATE(E6039, ""en"", ""te""),"""")"),"[ '42 వ ఒక సిరీస్లో అత్యధిక వికెట్లు (18)', '9 వ చెత్త కెరీర్లో ఆర్థిక రేటు (6.01)', '13 వ వరుస నాలుగు వికెట్లు-ఇన్-ఒక-ఇన్నింగ్స్ (2)', '24th ఒక సిరీస్లో అత్యధిక క్యాచ్లు ( 8) ']")</f>
        <v>[ '42 వ ఒక సిరీస్లో అత్యధిక వికెట్లు (18)', '9 వ చెత్త కెరీర్లో ఆర్థిక రేటు (6.01)', '13 వ వరుస నాలుగు వికెట్లు-ఇన్-ఒక-ఇన్నింగ్స్ (2)', '24th ఒక సిరీస్లో అత్యధిక క్యాచ్లు ( 8) ']</v>
      </c>
      <c r="G6039" s="2" t="s">
        <v>3743</v>
      </c>
      <c r="H6039" s="2" t="str">
        <f>IFERROR(__xludf.DUMMYFUNCTION("IF(G6039&lt;&gt;"""", GOOGLETRANSLATE(G6039, ""en"", ""te""),"""")"),"[ '8 వ వరుస మ్యాచ్లు ఆడి మధ్య జట్టుకు దూరమయ్యాడు (65)', 'ప్రదర్శనలు (5 సం 326d) మధ్య 23 లాంగెస్ట్ వ్యవధిలో']")</f>
        <v>[ '8 వ వరుస మ్యాచ్లు ఆడి మధ్య జట్టుకు దూరమయ్యాడు (65)', 'ప్రదర్శనలు (5 సం 326d) మధ్య 23 లాంగెస్ట్ వ్యవధిలో']</v>
      </c>
      <c r="I6039" s="3"/>
    </row>
    <row r="6040" customHeight="1" spans="1:9">
      <c r="A6040" s="2" t="s">
        <v>3744</v>
      </c>
      <c r="B6040" s="2" t="str">
        <f>IFERROR(__xludf.DUMMYFUNCTION("IF(A6040&lt;&gt;"""", GOOGLETRANSLATE(A6040, ""en"", ""te""),"""")"),"[ 'కెరీర్లో 3 వ లేవు బాతులు (40)', '4 వ చెత్త కెరీర్ (199,00) (అర్హత లేకుండా) సగటు బౌలింగ్']")</f>
        <v>[ 'కెరీర్లో 3 వ లేవు బాతులు (40)', '4 వ చెత్త కెరీర్ (199,00) (అర్హత లేకుండా) సగటు బౌలింగ్']</v>
      </c>
      <c r="C6040" s="2" t="s">
        <v>3745</v>
      </c>
      <c r="D6040" s="2" t="str">
        <f>IFERROR(__xludf.DUMMYFUNCTION("IF(C6040&lt;&gt;"""", GOOGLETRANSLATE(C6040, ""en"", ""te""),"""")"),"[ 'ఏడవ వికెట్ (169) కోసం 37 వ అత్యధిక భాగస్వామ్యం']")</f>
        <v>[ 'ఏడవ వికెట్ (169) కోసం 37 వ అత్యధిక భాగస్వామ్యం']</v>
      </c>
      <c r="E6040" s="2" t="s">
        <v>3744</v>
      </c>
      <c r="F6040" s="2" t="str">
        <f>IFERROR(__xludf.DUMMYFUNCTION("IF(E6040&lt;&gt;"""", GOOGLETRANSLATE(E6040, ""en"", ""te""),"""")"),"[ 'కెరీర్లో 3 వ లేవు బాతులు (40)', '4 వ చెత్త కెరీర్ (199,00) (అర్హత లేకుండా) సగటు బౌలింగ్']")</f>
        <v>[ 'కెరీర్లో 3 వ లేవు బాతులు (40)', '4 వ చెత్త కెరీర్ (199,00) (అర్హత లేకుండా) సగటు బౌలింగ్']</v>
      </c>
      <c r="G6040" s="2"/>
      <c r="H6040" s="2" t="str">
        <f>IFERROR(__xludf.DUMMYFUNCTION("IF(G6040&lt;&gt;"""", GOOGLETRANSLATE(G6040, ""en"", ""te""),"""")"),"")</f>
        <v/>
      </c>
      <c r="I6040" s="3"/>
    </row>
    <row r="6041" customHeight="1" spans="1:9">
      <c r="A6041" s="2"/>
      <c r="B6041" s="2" t="str">
        <f>IFERROR(__xludf.DUMMYFUNCTION("IF(A6041&lt;&gt;"""", GOOGLETRANSLATE(A6041, ""en"", ""te""),"""")"),"")</f>
        <v/>
      </c>
      <c r="C6041" s="2"/>
      <c r="D6041" s="2" t="str">
        <f>IFERROR(__xludf.DUMMYFUNCTION("IF(C6041&lt;&gt;"""", GOOGLETRANSLATE(C6041, ""en"", ""te""),"""")"),"")</f>
        <v/>
      </c>
      <c r="E6041" s="2"/>
      <c r="F6041" s="2" t="str">
        <f>IFERROR(__xludf.DUMMYFUNCTION("IF(E6041&lt;&gt;"""", GOOGLETRANSLATE(E6041, ""en"", ""te""),"""")"),"")</f>
        <v/>
      </c>
      <c r="G6041" s="2"/>
      <c r="H6041" s="2" t="str">
        <f>IFERROR(__xludf.DUMMYFUNCTION("IF(G6041&lt;&gt;"""", GOOGLETRANSLATE(G6041, ""en"", ""te""),"""")"),"")</f>
        <v/>
      </c>
      <c r="I6041" s="3"/>
    </row>
    <row r="6042" customHeight="1" spans="1:9">
      <c r="A6042" s="2"/>
      <c r="B6042" s="2" t="str">
        <f>IFERROR(__xludf.DUMMYFUNCTION("IF(A6042&lt;&gt;"""", GOOGLETRANSLATE(A6042, ""en"", ""te""),"""")"),"")</f>
        <v/>
      </c>
      <c r="C6042" s="2"/>
      <c r="D6042" s="2" t="str">
        <f>IFERROR(__xludf.DUMMYFUNCTION("IF(C6042&lt;&gt;"""", GOOGLETRANSLATE(C6042, ""en"", ""te""),"""")"),"")</f>
        <v/>
      </c>
      <c r="E6042" s="2"/>
      <c r="F6042" s="2" t="str">
        <f>IFERROR(__xludf.DUMMYFUNCTION("IF(E6042&lt;&gt;"""", GOOGLETRANSLATE(E6042, ""en"", ""te""),"""")"),"")</f>
        <v/>
      </c>
      <c r="G6042" s="2"/>
      <c r="H6042" s="2" t="str">
        <f>IFERROR(__xludf.DUMMYFUNCTION("IF(G6042&lt;&gt;"""", GOOGLETRANSLATE(G6042, ""en"", ""te""),"""")"),"")</f>
        <v/>
      </c>
      <c r="I6042" s="3"/>
    </row>
    <row r="6043" customHeight="1" spans="1:9">
      <c r="A6043" s="2"/>
      <c r="B6043" s="2" t="str">
        <f>IFERROR(__xludf.DUMMYFUNCTION("IF(A6043&lt;&gt;"""", GOOGLETRANSLATE(A6043, ""en"", ""te""),"""")"),"")</f>
        <v/>
      </c>
      <c r="C6043" s="2"/>
      <c r="D6043" s="2" t="str">
        <f>IFERROR(__xludf.DUMMYFUNCTION("IF(C6043&lt;&gt;"""", GOOGLETRANSLATE(C6043, ""en"", ""te""),"""")"),"")</f>
        <v/>
      </c>
      <c r="E6043" s="2"/>
      <c r="F6043" s="2" t="str">
        <f>IFERROR(__xludf.DUMMYFUNCTION("IF(E6043&lt;&gt;"""", GOOGLETRANSLATE(E6043, ""en"", ""te""),"""")"),"")</f>
        <v/>
      </c>
      <c r="G6043" s="2"/>
      <c r="H6043" s="2" t="str">
        <f>IFERROR(__xludf.DUMMYFUNCTION("IF(G6043&lt;&gt;"""", GOOGLETRANSLATE(G6043, ""en"", ""te""),"""")"),"")</f>
        <v/>
      </c>
      <c r="I6043" s="3"/>
    </row>
    <row r="6044" customHeight="1" spans="1:9">
      <c r="A6044" s="2"/>
      <c r="B6044" s="2" t="str">
        <f>IFERROR(__xludf.DUMMYFUNCTION("IF(A6044&lt;&gt;"""", GOOGLETRANSLATE(A6044, ""en"", ""te""),"""")"),"")</f>
        <v/>
      </c>
      <c r="C6044" s="2"/>
      <c r="D6044" s="2" t="str">
        <f>IFERROR(__xludf.DUMMYFUNCTION("IF(C6044&lt;&gt;"""", GOOGLETRANSLATE(C6044, ""en"", ""te""),"""")"),"")</f>
        <v/>
      </c>
      <c r="E6044" s="2"/>
      <c r="F6044" s="2" t="str">
        <f>IFERROR(__xludf.DUMMYFUNCTION("IF(E6044&lt;&gt;"""", GOOGLETRANSLATE(E6044, ""en"", ""te""),"""")"),"")</f>
        <v/>
      </c>
      <c r="G6044" s="2"/>
      <c r="H6044" s="2" t="str">
        <f>IFERROR(__xludf.DUMMYFUNCTION("IF(G6044&lt;&gt;"""", GOOGLETRANSLATE(G6044, ""en"", ""te""),"""")"),"")</f>
        <v/>
      </c>
      <c r="I6044" s="3"/>
    </row>
    <row r="6045" customHeight="1" spans="1:9">
      <c r="A6045" s="2"/>
      <c r="B6045" s="2" t="str">
        <f>IFERROR(__xludf.DUMMYFUNCTION("IF(A6045&lt;&gt;"""", GOOGLETRANSLATE(A6045, ""en"", ""te""),"""")"),"")</f>
        <v/>
      </c>
      <c r="C6045" s="2"/>
      <c r="D6045" s="2" t="str">
        <f>IFERROR(__xludf.DUMMYFUNCTION("IF(C6045&lt;&gt;"""", GOOGLETRANSLATE(C6045, ""en"", ""te""),"""")"),"")</f>
        <v/>
      </c>
      <c r="E6045" s="2"/>
      <c r="F6045" s="2" t="str">
        <f>IFERROR(__xludf.DUMMYFUNCTION("IF(E6045&lt;&gt;"""", GOOGLETRANSLATE(E6045, ""en"", ""te""),"""")"),"")</f>
        <v/>
      </c>
      <c r="G6045" s="2"/>
      <c r="H6045" s="2" t="str">
        <f>IFERROR(__xludf.DUMMYFUNCTION("IF(G6045&lt;&gt;"""", GOOGLETRANSLATE(G6045, ""en"", ""te""),"""")"),"")</f>
        <v/>
      </c>
      <c r="I6045" s="3"/>
    </row>
    <row r="6046" customHeight="1" spans="1:9">
      <c r="A6046" s="2"/>
      <c r="B6046" s="2" t="str">
        <f>IFERROR(__xludf.DUMMYFUNCTION("IF(A6046&lt;&gt;"""", GOOGLETRANSLATE(A6046, ""en"", ""te""),"""")"),"")</f>
        <v/>
      </c>
      <c r="C6046" s="2"/>
      <c r="D6046" s="2" t="str">
        <f>IFERROR(__xludf.DUMMYFUNCTION("IF(C6046&lt;&gt;"""", GOOGLETRANSLATE(C6046, ""en"", ""te""),"""")"),"")</f>
        <v/>
      </c>
      <c r="E6046" s="2"/>
      <c r="F6046" s="2" t="str">
        <f>IFERROR(__xludf.DUMMYFUNCTION("IF(E6046&lt;&gt;"""", GOOGLETRANSLATE(E6046, ""en"", ""te""),"""")"),"")</f>
        <v/>
      </c>
      <c r="G6046" s="2"/>
      <c r="H6046" s="2" t="str">
        <f>IFERROR(__xludf.DUMMYFUNCTION("IF(G6046&lt;&gt;"""", GOOGLETRANSLATE(G6046, ""en"", ""te""),"""")"),"")</f>
        <v/>
      </c>
      <c r="I6046" s="3"/>
    </row>
    <row r="6047" customHeight="1" spans="1:9">
      <c r="A6047" s="2" t="s">
        <v>3746</v>
      </c>
      <c r="B6047" s="2" t="str">
        <f>IFERROR(__xludf.DUMMYFUNCTION("IF(A6047&lt;&gt;"""", GOOGLETRANSLATE(A6047, ""en"", ""te""),"""")"),"[ 'ఇన్నింగ్స్ లో 6 వ అత్యధిక పరుగులు (బ్యాటింగ్ స్థానంలో ప్రకారం) (69)', 'తొమ్మిదవ వికెట్ (118) 3 వ అత్యధిక భాగస్వామ్యం']")</f>
        <v>[ 'ఇన్నింగ్స్ లో 6 వ అత్యధిక పరుగులు (బ్యాటింగ్ స్థానంలో ప్రకారం) (69)', 'తొమ్మిదవ వికెట్ (118) 3 వ అత్యధిక భాగస్వామ్యం']</v>
      </c>
      <c r="C6047" s="2"/>
      <c r="D6047" s="2" t="str">
        <f>IFERROR(__xludf.DUMMYFUNCTION("IF(C6047&lt;&gt;"""", GOOGLETRANSLATE(C6047, ""en"", ""te""),"""")"),"")</f>
        <v/>
      </c>
      <c r="E6047" s="2" t="s">
        <v>3746</v>
      </c>
      <c r="F6047" s="2" t="str">
        <f>IFERROR(__xludf.DUMMYFUNCTION("IF(E6047&lt;&gt;"""", GOOGLETRANSLATE(E6047, ""en"", ""te""),"""")"),"[ 'ఇన్నింగ్స్ లో 6 వ అత్యధిక పరుగులు (బ్యాటింగ్ స్థానంలో ప్రకారం) (69)', 'తొమ్మిదవ వికెట్ (118) 3 వ అత్యధిక భాగస్వామ్యం']")</f>
        <v>[ 'ఇన్నింగ్స్ లో 6 వ అత్యధిక పరుగులు (బ్యాటింగ్ స్థానంలో ప్రకారం) (69)', 'తొమ్మిదవ వికెట్ (118) 3 వ అత్యధిక భాగస్వామ్యం']</v>
      </c>
      <c r="G6047" s="2"/>
      <c r="H6047" s="2" t="str">
        <f>IFERROR(__xludf.DUMMYFUNCTION("IF(G6047&lt;&gt;"""", GOOGLETRANSLATE(G6047, ""en"", ""te""),"""")"),"")</f>
        <v/>
      </c>
      <c r="I6047" s="3"/>
    </row>
    <row r="6048" customHeight="1" spans="1:9">
      <c r="A6048" s="2"/>
      <c r="B6048" s="2" t="str">
        <f>IFERROR(__xludf.DUMMYFUNCTION("IF(A6048&lt;&gt;"""", GOOGLETRANSLATE(A6048, ""en"", ""te""),"""")"),"")</f>
        <v/>
      </c>
      <c r="C6048" s="2"/>
      <c r="D6048" s="2" t="str">
        <f>IFERROR(__xludf.DUMMYFUNCTION("IF(C6048&lt;&gt;"""", GOOGLETRANSLATE(C6048, ""en"", ""te""),"""")"),"")</f>
        <v/>
      </c>
      <c r="E6048" s="2"/>
      <c r="F6048" s="2" t="str">
        <f>IFERROR(__xludf.DUMMYFUNCTION("IF(E6048&lt;&gt;"""", GOOGLETRANSLATE(E6048, ""en"", ""te""),"""")"),"")</f>
        <v/>
      </c>
      <c r="G6048" s="2"/>
      <c r="H6048" s="2" t="str">
        <f>IFERROR(__xludf.DUMMYFUNCTION("IF(G6048&lt;&gt;"""", GOOGLETRANSLATE(G6048, ""en"", ""te""),"""")"),"")</f>
        <v/>
      </c>
      <c r="I6048" s="3"/>
    </row>
    <row r="6049" customHeight="1" spans="1:9">
      <c r="A6049" s="2"/>
      <c r="B6049" s="2" t="str">
        <f>IFERROR(__xludf.DUMMYFUNCTION("IF(A6049&lt;&gt;"""", GOOGLETRANSLATE(A6049, ""en"", ""te""),"""")"),"")</f>
        <v/>
      </c>
      <c r="C6049" s="2"/>
      <c r="D6049" s="2" t="str">
        <f>IFERROR(__xludf.DUMMYFUNCTION("IF(C6049&lt;&gt;"""", GOOGLETRANSLATE(C6049, ""en"", ""te""),"""")"),"")</f>
        <v/>
      </c>
      <c r="E6049" s="2"/>
      <c r="F6049" s="2" t="str">
        <f>IFERROR(__xludf.DUMMYFUNCTION("IF(E6049&lt;&gt;"""", GOOGLETRANSLATE(E6049, ""en"", ""te""),"""")"),"")</f>
        <v/>
      </c>
      <c r="G6049" s="2"/>
      <c r="H6049" s="2" t="str">
        <f>IFERROR(__xludf.DUMMYFUNCTION("IF(G6049&lt;&gt;"""", GOOGLETRANSLATE(G6049, ""en"", ""te""),"""")"),"")</f>
        <v/>
      </c>
      <c r="I6049" s="3"/>
    </row>
    <row r="6050" customHeight="1" spans="1:9">
      <c r="A6050" s="2"/>
      <c r="B6050" s="2" t="str">
        <f>IFERROR(__xludf.DUMMYFUNCTION("IF(A6050&lt;&gt;"""", GOOGLETRANSLATE(A6050, ""en"", ""te""),"""")"),"")</f>
        <v/>
      </c>
      <c r="C6050" s="2"/>
      <c r="D6050" s="2" t="str">
        <f>IFERROR(__xludf.DUMMYFUNCTION("IF(C6050&lt;&gt;"""", GOOGLETRANSLATE(C6050, ""en"", ""te""),"""")"),"")</f>
        <v/>
      </c>
      <c r="E6050" s="2"/>
      <c r="F6050" s="2" t="str">
        <f>IFERROR(__xludf.DUMMYFUNCTION("IF(E6050&lt;&gt;"""", GOOGLETRANSLATE(E6050, ""en"", ""te""),"""")"),"")</f>
        <v/>
      </c>
      <c r="G6050" s="2"/>
      <c r="H6050" s="2" t="str">
        <f>IFERROR(__xludf.DUMMYFUNCTION("IF(G6050&lt;&gt;"""", GOOGLETRANSLATE(G6050, ""en"", ""te""),"""")"),"")</f>
        <v/>
      </c>
      <c r="I6050" s="3"/>
    </row>
    <row r="6051" customHeight="1" spans="1:9">
      <c r="A6051" s="2"/>
      <c r="B6051" s="2" t="str">
        <f>IFERROR(__xludf.DUMMYFUNCTION("IF(A6051&lt;&gt;"""", GOOGLETRANSLATE(A6051, ""en"", ""te""),"""")"),"")</f>
        <v/>
      </c>
      <c r="C6051" s="2"/>
      <c r="D6051" s="2" t="str">
        <f>IFERROR(__xludf.DUMMYFUNCTION("IF(C6051&lt;&gt;"""", GOOGLETRANSLATE(C6051, ""en"", ""te""),"""")"),"")</f>
        <v/>
      </c>
      <c r="E6051" s="2"/>
      <c r="F6051" s="2" t="str">
        <f>IFERROR(__xludf.DUMMYFUNCTION("IF(E6051&lt;&gt;"""", GOOGLETRANSLATE(E6051, ""en"", ""te""),"""")"),"")</f>
        <v/>
      </c>
      <c r="G6051" s="2"/>
      <c r="H6051" s="2" t="str">
        <f>IFERROR(__xludf.DUMMYFUNCTION("IF(G6051&lt;&gt;"""", GOOGLETRANSLATE(G6051, ""en"", ""te""),"""")"),"")</f>
        <v/>
      </c>
      <c r="I6051" s="3"/>
    </row>
    <row r="6052" customHeight="1" spans="1:9">
      <c r="A6052" s="2"/>
      <c r="B6052" s="2" t="str">
        <f>IFERROR(__xludf.DUMMYFUNCTION("IF(A6052&lt;&gt;"""", GOOGLETRANSLATE(A6052, ""en"", ""te""),"""")"),"")</f>
        <v/>
      </c>
      <c r="C6052" s="2"/>
      <c r="D6052" s="2" t="str">
        <f>IFERROR(__xludf.DUMMYFUNCTION("IF(C6052&lt;&gt;"""", GOOGLETRANSLATE(C6052, ""en"", ""te""),"""")"),"")</f>
        <v/>
      </c>
      <c r="E6052" s="2"/>
      <c r="F6052" s="2" t="str">
        <f>IFERROR(__xludf.DUMMYFUNCTION("IF(E6052&lt;&gt;"""", GOOGLETRANSLATE(E6052, ""en"", ""te""),"""")"),"")</f>
        <v/>
      </c>
      <c r="G6052" s="2"/>
      <c r="H6052" s="2" t="str">
        <f>IFERROR(__xludf.DUMMYFUNCTION("IF(G6052&lt;&gt;"""", GOOGLETRANSLATE(G6052, ""en"", ""te""),"""")"),"")</f>
        <v/>
      </c>
      <c r="I6052" s="3"/>
    </row>
    <row r="6053" customHeight="1" spans="1:9">
      <c r="A6053" s="2"/>
      <c r="B6053" s="2" t="str">
        <f>IFERROR(__xludf.DUMMYFUNCTION("IF(A6053&lt;&gt;"""", GOOGLETRANSLATE(A6053, ""en"", ""te""),"""")"),"")</f>
        <v/>
      </c>
      <c r="C6053" s="2"/>
      <c r="D6053" s="2" t="str">
        <f>IFERROR(__xludf.DUMMYFUNCTION("IF(C6053&lt;&gt;"""", GOOGLETRANSLATE(C6053, ""en"", ""te""),"""")"),"")</f>
        <v/>
      </c>
      <c r="E6053" s="2"/>
      <c r="F6053" s="2" t="str">
        <f>IFERROR(__xludf.DUMMYFUNCTION("IF(E6053&lt;&gt;"""", GOOGLETRANSLATE(E6053, ""en"", ""te""),"""")"),"")</f>
        <v/>
      </c>
      <c r="G6053" s="2"/>
      <c r="H6053" s="2" t="str">
        <f>IFERROR(__xludf.DUMMYFUNCTION("IF(G6053&lt;&gt;"""", GOOGLETRANSLATE(G6053, ""en"", ""te""),"""")"),"")</f>
        <v/>
      </c>
      <c r="I6053" s="3"/>
    </row>
    <row r="6054" customHeight="1" spans="1:9">
      <c r="A6054" s="2"/>
      <c r="B6054" s="2" t="str">
        <f>IFERROR(__xludf.DUMMYFUNCTION("IF(A6054&lt;&gt;"""", GOOGLETRANSLATE(A6054, ""en"", ""te""),"""")"),"")</f>
        <v/>
      </c>
      <c r="C6054" s="2"/>
      <c r="D6054" s="2" t="str">
        <f>IFERROR(__xludf.DUMMYFUNCTION("IF(C6054&lt;&gt;"""", GOOGLETRANSLATE(C6054, ""en"", ""te""),"""")"),"")</f>
        <v/>
      </c>
      <c r="E6054" s="2"/>
      <c r="F6054" s="2" t="str">
        <f>IFERROR(__xludf.DUMMYFUNCTION("IF(E6054&lt;&gt;"""", GOOGLETRANSLATE(E6054, ""en"", ""te""),"""")"),"")</f>
        <v/>
      </c>
      <c r="G6054" s="2"/>
      <c r="H6054" s="2" t="str">
        <f>IFERROR(__xludf.DUMMYFUNCTION("IF(G6054&lt;&gt;"""", GOOGLETRANSLATE(G6054, ""en"", ""te""),"""")"),"")</f>
        <v/>
      </c>
      <c r="I6054" s="3"/>
    </row>
    <row r="6055" customHeight="1" spans="1:9">
      <c r="A6055" s="2"/>
      <c r="B6055" s="2" t="str">
        <f>IFERROR(__xludf.DUMMYFUNCTION("IF(A6055&lt;&gt;"""", GOOGLETRANSLATE(A6055, ""en"", ""te""),"""")"),"")</f>
        <v/>
      </c>
      <c r="C6055" s="2"/>
      <c r="D6055" s="2" t="str">
        <f>IFERROR(__xludf.DUMMYFUNCTION("IF(C6055&lt;&gt;"""", GOOGLETRANSLATE(C6055, ""en"", ""te""),"""")"),"")</f>
        <v/>
      </c>
      <c r="E6055" s="2"/>
      <c r="F6055" s="2" t="str">
        <f>IFERROR(__xludf.DUMMYFUNCTION("IF(E6055&lt;&gt;"""", GOOGLETRANSLATE(E6055, ""en"", ""te""),"""")"),"")</f>
        <v/>
      </c>
      <c r="G6055" s="2"/>
      <c r="H6055" s="2" t="str">
        <f>IFERROR(__xludf.DUMMYFUNCTION("IF(G6055&lt;&gt;"""", GOOGLETRANSLATE(G6055, ""en"", ""te""),"""")"),"")</f>
        <v/>
      </c>
      <c r="I6055" s="3"/>
    </row>
    <row r="6056" customHeight="1" spans="1:9">
      <c r="A6056" s="2"/>
      <c r="B6056" s="2" t="str">
        <f>IFERROR(__xludf.DUMMYFUNCTION("IF(A6056&lt;&gt;"""", GOOGLETRANSLATE(A6056, ""en"", ""te""),"""")"),"")</f>
        <v/>
      </c>
      <c r="C6056" s="2"/>
      <c r="D6056" s="2" t="str">
        <f>IFERROR(__xludf.DUMMYFUNCTION("IF(C6056&lt;&gt;"""", GOOGLETRANSLATE(C6056, ""en"", ""te""),"""")"),"")</f>
        <v/>
      </c>
      <c r="E6056" s="2"/>
      <c r="F6056" s="2" t="str">
        <f>IFERROR(__xludf.DUMMYFUNCTION("IF(E6056&lt;&gt;"""", GOOGLETRANSLATE(E6056, ""en"", ""te""),"""")"),"")</f>
        <v/>
      </c>
      <c r="G6056" s="2"/>
      <c r="H6056" s="2" t="str">
        <f>IFERROR(__xludf.DUMMYFUNCTION("IF(G6056&lt;&gt;"""", GOOGLETRANSLATE(G6056, ""en"", ""te""),"""")"),"")</f>
        <v/>
      </c>
      <c r="I6056" s="3"/>
    </row>
    <row r="6057" customHeight="1" spans="1:9">
      <c r="A6057" s="2"/>
      <c r="B6057" s="2" t="str">
        <f>IFERROR(__xludf.DUMMYFUNCTION("IF(A6057&lt;&gt;"""", GOOGLETRANSLATE(A6057, ""en"", ""te""),"""")"),"")</f>
        <v/>
      </c>
      <c r="C6057" s="2"/>
      <c r="D6057" s="2" t="str">
        <f>IFERROR(__xludf.DUMMYFUNCTION("IF(C6057&lt;&gt;"""", GOOGLETRANSLATE(C6057, ""en"", ""te""),"""")"),"")</f>
        <v/>
      </c>
      <c r="E6057" s="2"/>
      <c r="F6057" s="2" t="str">
        <f>IFERROR(__xludf.DUMMYFUNCTION("IF(E6057&lt;&gt;"""", GOOGLETRANSLATE(E6057, ""en"", ""te""),"""")"),"")</f>
        <v/>
      </c>
      <c r="G6057" s="2"/>
      <c r="H6057" s="2" t="str">
        <f>IFERROR(__xludf.DUMMYFUNCTION("IF(G6057&lt;&gt;"""", GOOGLETRANSLATE(G6057, ""en"", ""te""),"""")"),"")</f>
        <v/>
      </c>
      <c r="I6057" s="3"/>
    </row>
    <row r="6058" customHeight="1" spans="1:9">
      <c r="A6058" s="2"/>
      <c r="B6058" s="2" t="str">
        <f>IFERROR(__xludf.DUMMYFUNCTION("IF(A6058&lt;&gt;"""", GOOGLETRANSLATE(A6058, ""en"", ""te""),"""")"),"")</f>
        <v/>
      </c>
      <c r="C6058" s="2"/>
      <c r="D6058" s="2" t="str">
        <f>IFERROR(__xludf.DUMMYFUNCTION("IF(C6058&lt;&gt;"""", GOOGLETRANSLATE(C6058, ""en"", ""te""),"""")"),"")</f>
        <v/>
      </c>
      <c r="E6058" s="2"/>
      <c r="F6058" s="2" t="str">
        <f>IFERROR(__xludf.DUMMYFUNCTION("IF(E6058&lt;&gt;"""", GOOGLETRANSLATE(E6058, ""en"", ""te""),"""")"),"")</f>
        <v/>
      </c>
      <c r="G6058" s="2"/>
      <c r="H6058" s="2" t="str">
        <f>IFERROR(__xludf.DUMMYFUNCTION("IF(G6058&lt;&gt;"""", GOOGLETRANSLATE(G6058, ""en"", ""te""),"""")"),"")</f>
        <v/>
      </c>
      <c r="I6058" s="3"/>
    </row>
    <row r="6059" customHeight="1" spans="1:9">
      <c r="A6059" s="2"/>
      <c r="B6059" s="2" t="str">
        <f>IFERROR(__xludf.DUMMYFUNCTION("IF(A6059&lt;&gt;"""", GOOGLETRANSLATE(A6059, ""en"", ""te""),"""")"),"")</f>
        <v/>
      </c>
      <c r="C6059" s="2"/>
      <c r="D6059" s="2" t="str">
        <f>IFERROR(__xludf.DUMMYFUNCTION("IF(C6059&lt;&gt;"""", GOOGLETRANSLATE(C6059, ""en"", ""te""),"""")"),"")</f>
        <v/>
      </c>
      <c r="E6059" s="2"/>
      <c r="F6059" s="2" t="str">
        <f>IFERROR(__xludf.DUMMYFUNCTION("IF(E6059&lt;&gt;"""", GOOGLETRANSLATE(E6059, ""en"", ""te""),"""")"),"")</f>
        <v/>
      </c>
      <c r="G6059" s="2"/>
      <c r="H6059" s="2" t="str">
        <f>IFERROR(__xludf.DUMMYFUNCTION("IF(G6059&lt;&gt;"""", GOOGLETRANSLATE(G6059, ""en"", ""te""),"""")"),"")</f>
        <v/>
      </c>
      <c r="I6059" s="3"/>
    </row>
    <row r="6060" customHeight="1" spans="1:9">
      <c r="A6060" s="2"/>
      <c r="B6060" s="2" t="str">
        <f>IFERROR(__xludf.DUMMYFUNCTION("IF(A6060&lt;&gt;"""", GOOGLETRANSLATE(A6060, ""en"", ""te""),"""")"),"")</f>
        <v/>
      </c>
      <c r="C6060" s="2"/>
      <c r="D6060" s="2" t="str">
        <f>IFERROR(__xludf.DUMMYFUNCTION("IF(C6060&lt;&gt;"""", GOOGLETRANSLATE(C6060, ""en"", ""te""),"""")"),"")</f>
        <v/>
      </c>
      <c r="E6060" s="2"/>
      <c r="F6060" s="2" t="str">
        <f>IFERROR(__xludf.DUMMYFUNCTION("IF(E6060&lt;&gt;"""", GOOGLETRANSLATE(E6060, ""en"", ""te""),"""")"),"")</f>
        <v/>
      </c>
      <c r="G6060" s="2"/>
      <c r="H6060" s="2" t="str">
        <f>IFERROR(__xludf.DUMMYFUNCTION("IF(G6060&lt;&gt;"""", GOOGLETRANSLATE(G6060, ""en"", ""te""),"""")"),"")</f>
        <v/>
      </c>
      <c r="I6060" s="3"/>
    </row>
    <row r="6061" customHeight="1" spans="1:9">
      <c r="A6061" s="2"/>
      <c r="B6061" s="2" t="str">
        <f>IFERROR(__xludf.DUMMYFUNCTION("IF(A6061&lt;&gt;"""", GOOGLETRANSLATE(A6061, ""en"", ""te""),"""")"),"")</f>
        <v/>
      </c>
      <c r="C6061" s="2"/>
      <c r="D6061" s="2" t="str">
        <f>IFERROR(__xludf.DUMMYFUNCTION("IF(C6061&lt;&gt;"""", GOOGLETRANSLATE(C6061, ""en"", ""te""),"""")"),"")</f>
        <v/>
      </c>
      <c r="E6061" s="2"/>
      <c r="F6061" s="2" t="str">
        <f>IFERROR(__xludf.DUMMYFUNCTION("IF(E6061&lt;&gt;"""", GOOGLETRANSLATE(E6061, ""en"", ""te""),"""")"),"")</f>
        <v/>
      </c>
      <c r="G6061" s="2"/>
      <c r="H6061" s="2" t="str">
        <f>IFERROR(__xludf.DUMMYFUNCTION("IF(G6061&lt;&gt;"""", GOOGLETRANSLATE(G6061, ""en"", ""te""),"""")"),"")</f>
        <v/>
      </c>
      <c r="I6061" s="3"/>
    </row>
    <row r="6062" customHeight="1" spans="1:9">
      <c r="A6062" s="2"/>
      <c r="B6062" s="2" t="str">
        <f>IFERROR(__xludf.DUMMYFUNCTION("IF(A6062&lt;&gt;"""", GOOGLETRANSLATE(A6062, ""en"", ""te""),"""")"),"")</f>
        <v/>
      </c>
      <c r="C6062" s="2"/>
      <c r="D6062" s="2" t="str">
        <f>IFERROR(__xludf.DUMMYFUNCTION("IF(C6062&lt;&gt;"""", GOOGLETRANSLATE(C6062, ""en"", ""te""),"""")"),"")</f>
        <v/>
      </c>
      <c r="E6062" s="2"/>
      <c r="F6062" s="2" t="str">
        <f>IFERROR(__xludf.DUMMYFUNCTION("IF(E6062&lt;&gt;"""", GOOGLETRANSLATE(E6062, ""en"", ""te""),"""")"),"")</f>
        <v/>
      </c>
      <c r="G6062" s="2"/>
      <c r="H6062" s="2" t="str">
        <f>IFERROR(__xludf.DUMMYFUNCTION("IF(G6062&lt;&gt;"""", GOOGLETRANSLATE(G6062, ""en"", ""te""),"""")"),"")</f>
        <v/>
      </c>
      <c r="I6062" s="3"/>
    </row>
    <row r="6063" customHeight="1" spans="1:9">
      <c r="A6063" s="2"/>
      <c r="B6063" s="2" t="str">
        <f>IFERROR(__xludf.DUMMYFUNCTION("IF(A6063&lt;&gt;"""", GOOGLETRANSLATE(A6063, ""en"", ""te""),"""")"),"")</f>
        <v/>
      </c>
      <c r="C6063" s="2"/>
      <c r="D6063" s="2" t="str">
        <f>IFERROR(__xludf.DUMMYFUNCTION("IF(C6063&lt;&gt;"""", GOOGLETRANSLATE(C6063, ""en"", ""te""),"""")"),"")</f>
        <v/>
      </c>
      <c r="E6063" s="2"/>
      <c r="F6063" s="2" t="str">
        <f>IFERROR(__xludf.DUMMYFUNCTION("IF(E6063&lt;&gt;"""", GOOGLETRANSLATE(E6063, ""en"", ""te""),"""")"),"")</f>
        <v/>
      </c>
      <c r="G6063" s="2"/>
      <c r="H6063" s="2" t="str">
        <f>IFERROR(__xludf.DUMMYFUNCTION("IF(G6063&lt;&gt;"""", GOOGLETRANSLATE(G6063, ""en"", ""te""),"""")"),"")</f>
        <v/>
      </c>
      <c r="I6063" s="3"/>
    </row>
    <row r="6064" customHeight="1" spans="1:9">
      <c r="A6064" s="2" t="s">
        <v>3747</v>
      </c>
      <c r="B6064" s="2" t="str">
        <f>IFERROR(__xludf.DUMMYFUNCTION("IF(A6064&lt;&gt;"""", GOOGLETRANSLATE(A6064, ""en"", ""te""),"""")"),"[ '4 వ సంఖ్య పదకొండు ఇన్నింగ్స్ లో టాప్ స్కోరింగ్ (30 *)']")</f>
        <v>[ '4 వ సంఖ్య పదకొండు ఇన్నింగ్స్ లో టాప్ స్కోరింగ్ (30 *)']</v>
      </c>
      <c r="C6064" s="2" t="s">
        <v>3747</v>
      </c>
      <c r="D6064" s="2" t="str">
        <f>IFERROR(__xludf.DUMMYFUNCTION("IF(C6064&lt;&gt;"""", GOOGLETRANSLATE(C6064, ""en"", ""te""),"""")"),"[ '4 వ సంఖ్య పదకొండు ఇన్నింగ్స్ లో టాప్ స్కోరింగ్ (30 *)']")</f>
        <v>[ '4 వ సంఖ్య పదకొండు ఇన్నింగ్స్ లో టాప్ స్కోరింగ్ (30 *)']</v>
      </c>
      <c r="E6064" s="2"/>
      <c r="F6064" s="2" t="str">
        <f>IFERROR(__xludf.DUMMYFUNCTION("IF(E6064&lt;&gt;"""", GOOGLETRANSLATE(E6064, ""en"", ""te""),"""")"),"")</f>
        <v/>
      </c>
      <c r="G6064" s="2"/>
      <c r="H6064" s="2" t="str">
        <f>IFERROR(__xludf.DUMMYFUNCTION("IF(G6064&lt;&gt;"""", GOOGLETRANSLATE(G6064, ""en"", ""te""),"""")"),"")</f>
        <v/>
      </c>
      <c r="I6064" s="3"/>
    </row>
    <row r="6065" customHeight="1" spans="1:9">
      <c r="A6065" s="2" t="s">
        <v>3748</v>
      </c>
      <c r="B6065" s="2" t="str">
        <f>IFERROR(__xludf.DUMMYFUNCTION("IF(A6065&lt;&gt;"""", GOOGLETRANSLATE(A6065, ""en"", ""te""),"""")"),"[ 'ఇన్నింగ్స్ లో 4 వ అత్యధిక పరుగులు (బ్యాటింగ్ స్థానంలో ప్రకారం) (146)', 'హండ్రెడ్ మరియు ఒక మ్యాచ్లో ఒక డక్', 'తొమ్మిదవ వికెట్ (190) కోసం 2 వ అత్యధిక భాగస్వామ్యం']")</f>
        <v>[ 'ఇన్నింగ్స్ లో 4 వ అత్యధిక పరుగులు (బ్యాటింగ్ స్థానంలో ప్రకారం) (146)', 'హండ్రెడ్ మరియు ఒక మ్యాచ్లో ఒక డక్', 'తొమ్మిదవ వికెట్ (190) కోసం 2 వ అత్యధిక భాగస్వామ్యం']</v>
      </c>
      <c r="C6065" s="2" t="s">
        <v>3749</v>
      </c>
      <c r="D6065" s="2" t="str">
        <f>IFERROR(__xludf.DUMMYFUNCTION("IF(C6065&lt;&gt;"""", GOOGLETRANSLATE(C6065, ""en"", ""te""),"""")"),"[ 'ఇన్నింగ్స్ లో 4 వ అత్యధిక పరుగులు (బ్యాటింగ్ స్థానంలో ప్రకారం) (146)', 'ఒక ఇన్నింగ్స్లో పరుగుల 41 వ అత్యధిక శాతం (57.25)', 'తొమ్మిదవ వికెట్కు 2 వ అత్యధిక భాగస్వామ్యం (190)', '42 వ అత్యధిక భాగస్వామ్యం పదవ వికెట్కు (87) ',' కెప్టెన్సీ ప్రవేశం (36y 168d) "&amp;"లో 34 వ ఓల్డెస్ట్ కెప్టెన్లు ']")</f>
        <v>[ 'ఇన్నింగ్స్ లో 4 వ అత్యధిక పరుగులు (బ్యాటింగ్ స్థానంలో ప్రకారం) (146)', 'ఒక ఇన్నింగ్స్లో పరుగుల 41 వ అత్యధిక శాతం (57.25)', 'తొమ్మిదవ వికెట్కు 2 వ అత్యధిక భాగస్వామ్యం (190)', '42 వ అత్యధిక భాగస్వామ్యం పదవ వికెట్కు (87) ',' కెప్టెన్సీ ప్రవేశం (36y 168d) లో 34 వ ఓల్డెస్ట్ కెప్టెన్లు ']</v>
      </c>
      <c r="E6065" s="2" t="s">
        <v>3750</v>
      </c>
      <c r="F6065" s="2" t="str">
        <f>IFERROR(__xludf.DUMMYFUNCTION("IF(E6065&lt;&gt;"""", GOOGLETRANSLATE(E6065, ""en"", ""te""),"""")"),"[ 'వరుస ఇన్నింగ్స్ (5) 11 వ యాభైల్లో' 'ఒక కెప్టెన్తో ఒక ఇన్నింగ్స్ లో 26 వ బెస్ట్ ఫిగర్స్ (4)', '42 వ పురాతన దేశం ఆటగాళ్ళు (77y 360d)']")</f>
        <v>[ 'వరుస ఇన్నింగ్స్ (5) 11 వ యాభైల్లో' 'ఒక కెప్టెన్తో ఒక ఇన్నింగ్స్ లో 26 వ బెస్ట్ ఫిగర్స్ (4)', '42 వ పురాతన దేశం ఆటగాళ్ళు (77y 360d)']</v>
      </c>
      <c r="G6065" s="2"/>
      <c r="H6065" s="2" t="str">
        <f>IFERROR(__xludf.DUMMYFUNCTION("IF(G6065&lt;&gt;"""", GOOGLETRANSLATE(G6065, ""en"", ""te""),"""")"),"")</f>
        <v/>
      </c>
      <c r="I6065" s="3"/>
    </row>
    <row r="6066" customHeight="1" spans="1:9">
      <c r="A6066" s="2"/>
      <c r="B6066" s="2" t="str">
        <f>IFERROR(__xludf.DUMMYFUNCTION("IF(A6066&lt;&gt;"""", GOOGLETRANSLATE(A6066, ""en"", ""te""),"""")"),"")</f>
        <v/>
      </c>
      <c r="C6066" s="2"/>
      <c r="D6066" s="2" t="str">
        <f>IFERROR(__xludf.DUMMYFUNCTION("IF(C6066&lt;&gt;"""", GOOGLETRANSLATE(C6066, ""en"", ""te""),"""")"),"")</f>
        <v/>
      </c>
      <c r="E6066" s="2"/>
      <c r="F6066" s="2" t="str">
        <f>IFERROR(__xludf.DUMMYFUNCTION("IF(E6066&lt;&gt;"""", GOOGLETRANSLATE(E6066, ""en"", ""te""),"""")"),"")</f>
        <v/>
      </c>
      <c r="G6066" s="2"/>
      <c r="H6066" s="2" t="str">
        <f>IFERROR(__xludf.DUMMYFUNCTION("IF(G6066&lt;&gt;"""", GOOGLETRANSLATE(G6066, ""en"", ""te""),"""")"),"")</f>
        <v/>
      </c>
      <c r="I6066" s="3"/>
    </row>
    <row r="6067" customHeight="1" spans="1:9">
      <c r="A6067" s="2"/>
      <c r="B6067" s="2" t="str">
        <f>IFERROR(__xludf.DUMMYFUNCTION("IF(A6067&lt;&gt;"""", GOOGLETRANSLATE(A6067, ""en"", ""te""),"""")"),"")</f>
        <v/>
      </c>
      <c r="C6067" s="2"/>
      <c r="D6067" s="2" t="str">
        <f>IFERROR(__xludf.DUMMYFUNCTION("IF(C6067&lt;&gt;"""", GOOGLETRANSLATE(C6067, ""en"", ""te""),"""")"),"")</f>
        <v/>
      </c>
      <c r="E6067" s="2"/>
      <c r="F6067" s="2" t="str">
        <f>IFERROR(__xludf.DUMMYFUNCTION("IF(E6067&lt;&gt;"""", GOOGLETRANSLATE(E6067, ""en"", ""te""),"""")"),"")</f>
        <v/>
      </c>
      <c r="G6067" s="2"/>
      <c r="H6067" s="2" t="str">
        <f>IFERROR(__xludf.DUMMYFUNCTION("IF(G6067&lt;&gt;"""", GOOGLETRANSLATE(G6067, ""en"", ""te""),"""")"),"")</f>
        <v/>
      </c>
      <c r="I6067" s="3"/>
    </row>
    <row r="6068" customHeight="1" spans="1:9">
      <c r="A6068" s="2"/>
      <c r="B6068" s="2" t="str">
        <f>IFERROR(__xludf.DUMMYFUNCTION("IF(A6068&lt;&gt;"""", GOOGLETRANSLATE(A6068, ""en"", ""te""),"""")"),"")</f>
        <v/>
      </c>
      <c r="C6068" s="2"/>
      <c r="D6068" s="2" t="str">
        <f>IFERROR(__xludf.DUMMYFUNCTION("IF(C6068&lt;&gt;"""", GOOGLETRANSLATE(C6068, ""en"", ""te""),"""")"),"")</f>
        <v/>
      </c>
      <c r="E6068" s="2"/>
      <c r="F6068" s="2" t="str">
        <f>IFERROR(__xludf.DUMMYFUNCTION("IF(E6068&lt;&gt;"""", GOOGLETRANSLATE(E6068, ""en"", ""te""),"""")"),"")</f>
        <v/>
      </c>
      <c r="G6068" s="2"/>
      <c r="H6068" s="2" t="str">
        <f>IFERROR(__xludf.DUMMYFUNCTION("IF(G6068&lt;&gt;"""", GOOGLETRANSLATE(G6068, ""en"", ""te""),"""")"),"")</f>
        <v/>
      </c>
      <c r="I6068" s="3"/>
    </row>
    <row r="6069" customHeight="1" spans="1:9">
      <c r="A6069" s="2"/>
      <c r="B6069" s="2" t="str">
        <f>IFERROR(__xludf.DUMMYFUNCTION("IF(A6069&lt;&gt;"""", GOOGLETRANSLATE(A6069, ""en"", ""te""),"""")"),"")</f>
        <v/>
      </c>
      <c r="C6069" s="2"/>
      <c r="D6069" s="2" t="str">
        <f>IFERROR(__xludf.DUMMYFUNCTION("IF(C6069&lt;&gt;"""", GOOGLETRANSLATE(C6069, ""en"", ""te""),"""")"),"")</f>
        <v/>
      </c>
      <c r="E6069" s="2"/>
      <c r="F6069" s="2" t="str">
        <f>IFERROR(__xludf.DUMMYFUNCTION("IF(E6069&lt;&gt;"""", GOOGLETRANSLATE(E6069, ""en"", ""te""),"""")"),"")</f>
        <v/>
      </c>
      <c r="G6069" s="2"/>
      <c r="H6069" s="2" t="str">
        <f>IFERROR(__xludf.DUMMYFUNCTION("IF(G6069&lt;&gt;"""", GOOGLETRANSLATE(G6069, ""en"", ""te""),"""")"),"")</f>
        <v/>
      </c>
      <c r="I6069" s="3"/>
    </row>
    <row r="6070" customHeight="1" spans="1:9">
      <c r="A6070" s="2"/>
      <c r="B6070" s="2" t="str">
        <f>IFERROR(__xludf.DUMMYFUNCTION("IF(A6070&lt;&gt;"""", GOOGLETRANSLATE(A6070, ""en"", ""te""),"""")"),"")</f>
        <v/>
      </c>
      <c r="C6070" s="2"/>
      <c r="D6070" s="2" t="str">
        <f>IFERROR(__xludf.DUMMYFUNCTION("IF(C6070&lt;&gt;"""", GOOGLETRANSLATE(C6070, ""en"", ""te""),"""")"),"")</f>
        <v/>
      </c>
      <c r="E6070" s="2"/>
      <c r="F6070" s="2" t="str">
        <f>IFERROR(__xludf.DUMMYFUNCTION("IF(E6070&lt;&gt;"""", GOOGLETRANSLATE(E6070, ""en"", ""te""),"""")"),"")</f>
        <v/>
      </c>
      <c r="G6070" s="2"/>
      <c r="H6070" s="2" t="str">
        <f>IFERROR(__xludf.DUMMYFUNCTION("IF(G6070&lt;&gt;"""", GOOGLETRANSLATE(G6070, ""en"", ""te""),"""")"),"")</f>
        <v/>
      </c>
      <c r="I6070" s="3"/>
    </row>
    <row r="6071" customHeight="1" spans="1:9">
      <c r="A6071" s="2"/>
      <c r="B6071" s="2" t="str">
        <f>IFERROR(__xludf.DUMMYFUNCTION("IF(A6071&lt;&gt;"""", GOOGLETRANSLATE(A6071, ""en"", ""te""),"""")"),"")</f>
        <v/>
      </c>
      <c r="C6071" s="2"/>
      <c r="D6071" s="2" t="str">
        <f>IFERROR(__xludf.DUMMYFUNCTION("IF(C6071&lt;&gt;"""", GOOGLETRANSLATE(C6071, ""en"", ""te""),"""")"),"")</f>
        <v/>
      </c>
      <c r="E6071" s="2"/>
      <c r="F6071" s="2" t="str">
        <f>IFERROR(__xludf.DUMMYFUNCTION("IF(E6071&lt;&gt;"""", GOOGLETRANSLATE(E6071, ""en"", ""te""),"""")"),"")</f>
        <v/>
      </c>
      <c r="G6071" s="2" t="s">
        <v>3751</v>
      </c>
      <c r="H6071" s="2" t="str">
        <f>IFERROR(__xludf.DUMMYFUNCTION("IF(G6071&lt;&gt;"""", GOOGLETRANSLATE(G6071, ""en"", ""te""),"""")"),"[ '24 వ అత్యధిక వికెట్లు తీసుకున్న ఎల్బిడబ్ల్యు (7)']")</f>
        <v>[ '24 వ అత్యధిక వికెట్లు తీసుకున్న ఎల్బిడబ్ల్యు (7)']</v>
      </c>
      <c r="I6071" s="3"/>
    </row>
    <row r="6072" customHeight="1" spans="1:9">
      <c r="A6072" s="2" t="s">
        <v>3752</v>
      </c>
      <c r="B6072" s="2" t="str">
        <f>IFERROR(__xludf.DUMMYFUNCTION("IF(A6072&lt;&gt;"""", GOOGLETRANSLATE(A6072, ""en"", ""te""),"""")"),"[ 'పదవ వికెట్కు 6 వ అత్యధిక భాగస్వామ్యం (20)']")</f>
        <v>[ 'పదవ వికెట్కు 6 వ అత్యధిక భాగస్వామ్యం (20)']</v>
      </c>
      <c r="C6072" s="2"/>
      <c r="D6072" s="2" t="str">
        <f>IFERROR(__xludf.DUMMYFUNCTION("IF(C6072&lt;&gt;"""", GOOGLETRANSLATE(C6072, ""en"", ""te""),"""")"),"")</f>
        <v/>
      </c>
      <c r="E6072" s="2"/>
      <c r="F6072" s="2" t="str">
        <f>IFERROR(__xludf.DUMMYFUNCTION("IF(E6072&lt;&gt;"""", GOOGLETRANSLATE(E6072, ""en"", ""te""),"""")"),"")</f>
        <v/>
      </c>
      <c r="G6072" s="2" t="s">
        <v>3752</v>
      </c>
      <c r="H6072" s="2" t="str">
        <f>IFERROR(__xludf.DUMMYFUNCTION("IF(G6072&lt;&gt;"""", GOOGLETRANSLATE(G6072, ""en"", ""te""),"""")"),"[ 'పదవ వికెట్కు 6 వ అత్యధిక భాగస్వామ్యం (20)']")</f>
        <v>[ 'పదవ వికెట్కు 6 వ అత్యధిక భాగస్వామ్యం (20)']</v>
      </c>
      <c r="I6072" s="3"/>
    </row>
    <row r="6073" customHeight="1" spans="1:9">
      <c r="A6073" s="2"/>
      <c r="B6073" s="2" t="str">
        <f>IFERROR(__xludf.DUMMYFUNCTION("IF(A6073&lt;&gt;"""", GOOGLETRANSLATE(A6073, ""en"", ""te""),"""")"),"")</f>
        <v/>
      </c>
      <c r="C6073" s="2"/>
      <c r="D6073" s="2" t="str">
        <f>IFERROR(__xludf.DUMMYFUNCTION("IF(C6073&lt;&gt;"""", GOOGLETRANSLATE(C6073, ""en"", ""te""),"""")"),"")</f>
        <v/>
      </c>
      <c r="E6073" s="2" t="s">
        <v>3753</v>
      </c>
      <c r="F6073" s="2" t="str">
        <f>IFERROR(__xludf.DUMMYFUNCTION("IF(E6073&lt;&gt;"""", GOOGLETRANSLATE(E6073, ""en"", ""te""),"""")"),"[ '33 వ లాంగెస్ట్ క్రీడాకారులు (63y 208d) నివసించారు']")</f>
        <v>[ '33 వ లాంగెస్ట్ క్రీడాకారులు (63y 208d) నివసించారు']</v>
      </c>
      <c r="G6073" s="2"/>
      <c r="H6073" s="2" t="str">
        <f>IFERROR(__xludf.DUMMYFUNCTION("IF(G6073&lt;&gt;"""", GOOGLETRANSLATE(G6073, ""en"", ""te""),"""")"),"")</f>
        <v/>
      </c>
      <c r="I6073" s="3"/>
    </row>
    <row r="6074" customHeight="1" spans="1:9">
      <c r="A6074" s="2"/>
      <c r="B6074" s="2" t="str">
        <f>IFERROR(__xludf.DUMMYFUNCTION("IF(A6074&lt;&gt;"""", GOOGLETRANSLATE(A6074, ""en"", ""te""),"""")"),"")</f>
        <v/>
      </c>
      <c r="C6074" s="2"/>
      <c r="D6074" s="2" t="str">
        <f>IFERROR(__xludf.DUMMYFUNCTION("IF(C6074&lt;&gt;"""", GOOGLETRANSLATE(C6074, ""en"", ""te""),"""")"),"")</f>
        <v/>
      </c>
      <c r="E6074" s="2"/>
      <c r="F6074" s="2" t="str">
        <f>IFERROR(__xludf.DUMMYFUNCTION("IF(E6074&lt;&gt;"""", GOOGLETRANSLATE(E6074, ""en"", ""te""),"""")"),"")</f>
        <v/>
      </c>
      <c r="G6074" s="2"/>
      <c r="H6074" s="2" t="str">
        <f>IFERROR(__xludf.DUMMYFUNCTION("IF(G6074&lt;&gt;"""", GOOGLETRANSLATE(G6074, ""en"", ""te""),"""")"),"")</f>
        <v/>
      </c>
      <c r="I6074" s="3"/>
    </row>
    <row r="6075" customHeight="1" spans="1:9">
      <c r="A6075" s="2"/>
      <c r="B6075" s="2" t="str">
        <f>IFERROR(__xludf.DUMMYFUNCTION("IF(A6075&lt;&gt;"""", GOOGLETRANSLATE(A6075, ""en"", ""te""),"""")"),"")</f>
        <v/>
      </c>
      <c r="C6075" s="2"/>
      <c r="D6075" s="2" t="str">
        <f>IFERROR(__xludf.DUMMYFUNCTION("IF(C6075&lt;&gt;"""", GOOGLETRANSLATE(C6075, ""en"", ""te""),"""")"),"")</f>
        <v/>
      </c>
      <c r="E6075" s="2"/>
      <c r="F6075" s="2" t="str">
        <f>IFERROR(__xludf.DUMMYFUNCTION("IF(E6075&lt;&gt;"""", GOOGLETRANSLATE(E6075, ""en"", ""te""),"""")"),"")</f>
        <v/>
      </c>
      <c r="G6075" s="2"/>
      <c r="H6075" s="2" t="str">
        <f>IFERROR(__xludf.DUMMYFUNCTION("IF(G6075&lt;&gt;"""", GOOGLETRANSLATE(G6075, ""en"", ""te""),"""")"),"")</f>
        <v/>
      </c>
      <c r="I6075" s="3"/>
    </row>
    <row r="6076" customHeight="1" spans="1:9">
      <c r="A6076" s="2"/>
      <c r="B6076" s="2" t="str">
        <f>IFERROR(__xludf.DUMMYFUNCTION("IF(A6076&lt;&gt;"""", GOOGLETRANSLATE(A6076, ""en"", ""te""),"""")"),"")</f>
        <v/>
      </c>
      <c r="C6076" s="2"/>
      <c r="D6076" s="2" t="str">
        <f>IFERROR(__xludf.DUMMYFUNCTION("IF(C6076&lt;&gt;"""", GOOGLETRANSLATE(C6076, ""en"", ""te""),"""")"),"")</f>
        <v/>
      </c>
      <c r="E6076" s="2"/>
      <c r="F6076" s="2" t="str">
        <f>IFERROR(__xludf.DUMMYFUNCTION("IF(E6076&lt;&gt;"""", GOOGLETRANSLATE(E6076, ""en"", ""te""),"""")"),"")</f>
        <v/>
      </c>
      <c r="G6076" s="2"/>
      <c r="H6076" s="2" t="str">
        <f>IFERROR(__xludf.DUMMYFUNCTION("IF(G6076&lt;&gt;"""", GOOGLETRANSLATE(G6076, ""en"", ""te""),"""")"),"")</f>
        <v/>
      </c>
      <c r="I6076" s="3"/>
    </row>
    <row r="6077" customHeight="1" spans="1:9">
      <c r="A6077" s="2" t="s">
        <v>694</v>
      </c>
      <c r="B6077" s="2" t="str">
        <f>IFERROR(__xludf.DUMMYFUNCTION("IF(A6077&lt;&gt;"""", GOOGLETRANSLATE(A6077, ""en"", ""te""),"""")"),"[ '1st అత్యుత్తమ ఇన్నింగ్స్ (1/0) విశ్లేషణలలో బౌలింగ్']")</f>
        <v>[ '1st అత్యుత్తమ ఇన్నింగ్స్ (1/0) విశ్లేషణలలో బౌలింగ్']</v>
      </c>
      <c r="C6077" s="2" t="s">
        <v>694</v>
      </c>
      <c r="D6077" s="2" t="str">
        <f>IFERROR(__xludf.DUMMYFUNCTION("IF(C6077&lt;&gt;"""", GOOGLETRANSLATE(C6077, ""en"", ""te""),"""")"),"[ '1st అత్యుత్తమ ఇన్నింగ్స్ (1/0) విశ్లేషణలలో బౌలింగ్']")</f>
        <v>[ '1st అత్యుత్తమ ఇన్నింగ్స్ (1/0) విశ్లేషణలలో బౌలింగ్']</v>
      </c>
      <c r="E6077" s="2" t="s">
        <v>1808</v>
      </c>
      <c r="F6077" s="2" t="str">
        <f>IFERROR(__xludf.DUMMYFUNCTION("IF(E6077&lt;&gt;"""", GOOGLETRANSLATE(E6077, ""en"", ""te""),"""")"),"[ '17 వ అత్యంత ఇన్నింగ్స్ లో సాధించిన బైస్ (11)']")</f>
        <v>[ '17 వ అత్యంత ఇన్నింగ్స్ లో సాధించిన బైస్ (11)']</v>
      </c>
      <c r="G6077" s="2"/>
      <c r="H6077" s="2" t="str">
        <f>IFERROR(__xludf.DUMMYFUNCTION("IF(G6077&lt;&gt;"""", GOOGLETRANSLATE(G6077, ""en"", ""te""),"""")"),"")</f>
        <v/>
      </c>
      <c r="I6077" s="3"/>
    </row>
    <row r="6078" customHeight="1" spans="1:9">
      <c r="A6078" s="2"/>
      <c r="B6078" s="2" t="str">
        <f>IFERROR(__xludf.DUMMYFUNCTION("IF(A6078&lt;&gt;"""", GOOGLETRANSLATE(A6078, ""en"", ""te""),"""")"),"")</f>
        <v/>
      </c>
      <c r="C6078" s="2"/>
      <c r="D6078" s="2" t="str">
        <f>IFERROR(__xludf.DUMMYFUNCTION("IF(C6078&lt;&gt;"""", GOOGLETRANSLATE(C6078, ""en"", ""te""),"""")"),"")</f>
        <v/>
      </c>
      <c r="E6078" s="2"/>
      <c r="F6078" s="2" t="str">
        <f>IFERROR(__xludf.DUMMYFUNCTION("IF(E6078&lt;&gt;"""", GOOGLETRANSLATE(E6078, ""en"", ""te""),"""")"),"")</f>
        <v/>
      </c>
      <c r="G6078" s="2"/>
      <c r="H6078" s="2" t="str">
        <f>IFERROR(__xludf.DUMMYFUNCTION("IF(G6078&lt;&gt;"""", GOOGLETRANSLATE(G6078, ""en"", ""te""),"""")"),"")</f>
        <v/>
      </c>
      <c r="I6078" s="3"/>
    </row>
    <row r="6079" customHeight="1" spans="1:9">
      <c r="A6079" s="2"/>
      <c r="B6079" s="2" t="str">
        <f>IFERROR(__xludf.DUMMYFUNCTION("IF(A6079&lt;&gt;"""", GOOGLETRANSLATE(A6079, ""en"", ""te""),"""")"),"")</f>
        <v/>
      </c>
      <c r="C6079" s="2"/>
      <c r="D6079" s="2" t="str">
        <f>IFERROR(__xludf.DUMMYFUNCTION("IF(C6079&lt;&gt;"""", GOOGLETRANSLATE(C6079, ""en"", ""te""),"""")"),"")</f>
        <v/>
      </c>
      <c r="E6079" s="2"/>
      <c r="F6079" s="2" t="str">
        <f>IFERROR(__xludf.DUMMYFUNCTION("IF(E6079&lt;&gt;"""", GOOGLETRANSLATE(E6079, ""en"", ""te""),"""")"),"")</f>
        <v/>
      </c>
      <c r="G6079" s="2"/>
      <c r="H6079" s="2" t="str">
        <f>IFERROR(__xludf.DUMMYFUNCTION("IF(G6079&lt;&gt;"""", GOOGLETRANSLATE(G6079, ""en"", ""te""),"""")"),"")</f>
        <v/>
      </c>
      <c r="I6079" s="3"/>
    </row>
    <row r="6080" customHeight="1" spans="1:9">
      <c r="A6080" s="2"/>
      <c r="B6080" s="2" t="str">
        <f>IFERROR(__xludf.DUMMYFUNCTION("IF(A6080&lt;&gt;"""", GOOGLETRANSLATE(A6080, ""en"", ""te""),"""")"),"")</f>
        <v/>
      </c>
      <c r="C6080" s="2"/>
      <c r="D6080" s="2" t="str">
        <f>IFERROR(__xludf.DUMMYFUNCTION("IF(C6080&lt;&gt;"""", GOOGLETRANSLATE(C6080, ""en"", ""te""),"""")"),"")</f>
        <v/>
      </c>
      <c r="E6080" s="2"/>
      <c r="F6080" s="2" t="str">
        <f>IFERROR(__xludf.DUMMYFUNCTION("IF(E6080&lt;&gt;"""", GOOGLETRANSLATE(E6080, ""en"", ""te""),"""")"),"")</f>
        <v/>
      </c>
      <c r="G6080" s="2"/>
      <c r="H6080" s="2" t="str">
        <f>IFERROR(__xludf.DUMMYFUNCTION("IF(G6080&lt;&gt;"""", GOOGLETRANSLATE(G6080, ""en"", ""te""),"""")"),"")</f>
        <v/>
      </c>
      <c r="I6080" s="3"/>
    </row>
    <row r="6081" customHeight="1" spans="1:9">
      <c r="A6081" s="2"/>
      <c r="B6081" s="2" t="str">
        <f>IFERROR(__xludf.DUMMYFUNCTION("IF(A6081&lt;&gt;"""", GOOGLETRANSLATE(A6081, ""en"", ""te""),"""")"),"")</f>
        <v/>
      </c>
      <c r="C6081" s="2"/>
      <c r="D6081" s="2" t="str">
        <f>IFERROR(__xludf.DUMMYFUNCTION("IF(C6081&lt;&gt;"""", GOOGLETRANSLATE(C6081, ""en"", ""te""),"""")"),"")</f>
        <v/>
      </c>
      <c r="E6081" s="2"/>
      <c r="F6081" s="2" t="str">
        <f>IFERROR(__xludf.DUMMYFUNCTION("IF(E6081&lt;&gt;"""", GOOGLETRANSLATE(E6081, ""en"", ""te""),"""")"),"")</f>
        <v/>
      </c>
      <c r="G6081" s="2"/>
      <c r="H6081" s="2" t="str">
        <f>IFERROR(__xludf.DUMMYFUNCTION("IF(G6081&lt;&gt;"""", GOOGLETRANSLATE(G6081, ""en"", ""te""),"""")"),"")</f>
        <v/>
      </c>
      <c r="I6081" s="3"/>
    </row>
    <row r="6082" customHeight="1" spans="1:9">
      <c r="A6082" s="2"/>
      <c r="B6082" s="2" t="str">
        <f>IFERROR(__xludf.DUMMYFUNCTION("IF(A6082&lt;&gt;"""", GOOGLETRANSLATE(A6082, ""en"", ""te""),"""")"),"")</f>
        <v/>
      </c>
      <c r="C6082" s="2"/>
      <c r="D6082" s="2" t="str">
        <f>IFERROR(__xludf.DUMMYFUNCTION("IF(C6082&lt;&gt;"""", GOOGLETRANSLATE(C6082, ""en"", ""te""),"""")"),"")</f>
        <v/>
      </c>
      <c r="E6082" s="2"/>
      <c r="F6082" s="2" t="str">
        <f>IFERROR(__xludf.DUMMYFUNCTION("IF(E6082&lt;&gt;"""", GOOGLETRANSLATE(E6082, ""en"", ""te""),"""")"),"")</f>
        <v/>
      </c>
      <c r="G6082" s="2"/>
      <c r="H6082" s="2" t="str">
        <f>IFERROR(__xludf.DUMMYFUNCTION("IF(G6082&lt;&gt;"""", GOOGLETRANSLATE(G6082, ""en"", ""te""),"""")"),"")</f>
        <v/>
      </c>
      <c r="I6082" s="3"/>
    </row>
    <row r="6083" customHeight="1" spans="1:9">
      <c r="A6083" s="2"/>
      <c r="B6083" s="2" t="str">
        <f>IFERROR(__xludf.DUMMYFUNCTION("IF(A6083&lt;&gt;"""", GOOGLETRANSLATE(A6083, ""en"", ""te""),"""")"),"")</f>
        <v/>
      </c>
      <c r="C6083" s="2"/>
      <c r="D6083" s="2" t="str">
        <f>IFERROR(__xludf.DUMMYFUNCTION("IF(C6083&lt;&gt;"""", GOOGLETRANSLATE(C6083, ""en"", ""te""),"""")"),"")</f>
        <v/>
      </c>
      <c r="E6083" s="2"/>
      <c r="F6083" s="2" t="str">
        <f>IFERROR(__xludf.DUMMYFUNCTION("IF(E6083&lt;&gt;"""", GOOGLETRANSLATE(E6083, ""en"", ""te""),"""")"),"")</f>
        <v/>
      </c>
      <c r="G6083" s="2"/>
      <c r="H6083" s="2" t="str">
        <f>IFERROR(__xludf.DUMMYFUNCTION("IF(G6083&lt;&gt;"""", GOOGLETRANSLATE(G6083, ""en"", ""te""),"""")"),"")</f>
        <v/>
      </c>
      <c r="I6083" s="3"/>
    </row>
    <row r="6084" customHeight="1" spans="1:9">
      <c r="A6084" s="2"/>
      <c r="B6084" s="2" t="str">
        <f>IFERROR(__xludf.DUMMYFUNCTION("IF(A6084&lt;&gt;"""", GOOGLETRANSLATE(A6084, ""en"", ""te""),"""")"),"")</f>
        <v/>
      </c>
      <c r="C6084" s="2"/>
      <c r="D6084" s="2" t="str">
        <f>IFERROR(__xludf.DUMMYFUNCTION("IF(C6084&lt;&gt;"""", GOOGLETRANSLATE(C6084, ""en"", ""te""),"""")"),"")</f>
        <v/>
      </c>
      <c r="E6084" s="2"/>
      <c r="F6084" s="2" t="str">
        <f>IFERROR(__xludf.DUMMYFUNCTION("IF(E6084&lt;&gt;"""", GOOGLETRANSLATE(E6084, ""en"", ""te""),"""")"),"")</f>
        <v/>
      </c>
      <c r="G6084" s="2"/>
      <c r="H6084" s="2" t="str">
        <f>IFERROR(__xludf.DUMMYFUNCTION("IF(G6084&lt;&gt;"""", GOOGLETRANSLATE(G6084, ""en"", ""te""),"""")"),"")</f>
        <v/>
      </c>
      <c r="I6084" s="3"/>
    </row>
    <row r="6085" customHeight="1" spans="1:9">
      <c r="A6085" s="2"/>
      <c r="B6085" s="2" t="str">
        <f>IFERROR(__xludf.DUMMYFUNCTION("IF(A6085&lt;&gt;"""", GOOGLETRANSLATE(A6085, ""en"", ""te""),"""")"),"")</f>
        <v/>
      </c>
      <c r="C6085" s="2"/>
      <c r="D6085" s="2" t="str">
        <f>IFERROR(__xludf.DUMMYFUNCTION("IF(C6085&lt;&gt;"""", GOOGLETRANSLATE(C6085, ""en"", ""te""),"""")"),"")</f>
        <v/>
      </c>
      <c r="E6085" s="2"/>
      <c r="F6085" s="2" t="str">
        <f>IFERROR(__xludf.DUMMYFUNCTION("IF(E6085&lt;&gt;"""", GOOGLETRANSLATE(E6085, ""en"", ""te""),"""")"),"")</f>
        <v/>
      </c>
      <c r="G6085" s="2"/>
      <c r="H6085" s="2" t="str">
        <f>IFERROR(__xludf.DUMMYFUNCTION("IF(G6085&lt;&gt;"""", GOOGLETRANSLATE(G6085, ""en"", ""te""),"""")"),"")</f>
        <v/>
      </c>
      <c r="I6085" s="3"/>
    </row>
    <row r="6086" customHeight="1" spans="1:9">
      <c r="A6086" s="2"/>
      <c r="B6086" s="2" t="str">
        <f>IFERROR(__xludf.DUMMYFUNCTION("IF(A6086&lt;&gt;"""", GOOGLETRANSLATE(A6086, ""en"", ""te""),"""")"),"")</f>
        <v/>
      </c>
      <c r="C6086" s="2"/>
      <c r="D6086" s="2" t="str">
        <f>IFERROR(__xludf.DUMMYFUNCTION("IF(C6086&lt;&gt;"""", GOOGLETRANSLATE(C6086, ""en"", ""te""),"""")"),"")</f>
        <v/>
      </c>
      <c r="E6086" s="2"/>
      <c r="F6086" s="2" t="str">
        <f>IFERROR(__xludf.DUMMYFUNCTION("IF(E6086&lt;&gt;"""", GOOGLETRANSLATE(E6086, ""en"", ""te""),"""")"),"")</f>
        <v/>
      </c>
      <c r="G6086" s="2"/>
      <c r="H6086" s="2" t="str">
        <f>IFERROR(__xludf.DUMMYFUNCTION("IF(G6086&lt;&gt;"""", GOOGLETRANSLATE(G6086, ""en"", ""te""),"""")"),"")</f>
        <v/>
      </c>
      <c r="I6086" s="3"/>
    </row>
    <row r="6087" customHeight="1" spans="1:9">
      <c r="A6087" s="2"/>
      <c r="B6087" s="2" t="str">
        <f>IFERROR(__xludf.DUMMYFUNCTION("IF(A6087&lt;&gt;"""", GOOGLETRANSLATE(A6087, ""en"", ""te""),"""")"),"")</f>
        <v/>
      </c>
      <c r="C6087" s="2"/>
      <c r="D6087" s="2" t="str">
        <f>IFERROR(__xludf.DUMMYFUNCTION("IF(C6087&lt;&gt;"""", GOOGLETRANSLATE(C6087, ""en"", ""te""),"""")"),"")</f>
        <v/>
      </c>
      <c r="E6087" s="2"/>
      <c r="F6087" s="2" t="str">
        <f>IFERROR(__xludf.DUMMYFUNCTION("IF(E6087&lt;&gt;"""", GOOGLETRANSLATE(E6087, ""en"", ""te""),"""")"),"")</f>
        <v/>
      </c>
      <c r="G6087" s="2"/>
      <c r="H6087" s="2" t="str">
        <f>IFERROR(__xludf.DUMMYFUNCTION("IF(G6087&lt;&gt;"""", GOOGLETRANSLATE(G6087, ""en"", ""te""),"""")"),"")</f>
        <v/>
      </c>
      <c r="I6087" s="3"/>
    </row>
    <row r="6088" customHeight="1" spans="1:9">
      <c r="A6088" s="2" t="s">
        <v>3754</v>
      </c>
      <c r="B6088" s="2" t="str">
        <f>IFERROR(__xludf.DUMMYFUNCTION("IF(A6088&lt;&gt;"""", GOOGLETRANSLATE(A6088, ""en"", ""te""),"""")"),"[ '1000 పరుగులు మరియు 100 వికెట్లు', '10 వ ఇన్నింగ్స్ లో అత్యధిక పరుగులు (బ్యాటింగ్ స్థానంలో ప్రకారం) (46 *)', 'ఒక క్యాలెండర్ సంవత్సరంలో 5 వ అత్యధిక వికెట్లు (61)', 'ఒకే మ్యాచ్ లో బ్యాటింగ్ ప్రారంభించుటకు మరియు బౌలింగ్ ',' పదవ వికెట్కు 7 వ అత్యధిక భాగస్వా"&amp;"మ్యం (72) ']")</f>
        <v>[ '1000 పరుగులు మరియు 100 వికెట్లు', '10 వ ఇన్నింగ్స్ లో అత్యధిక పరుగులు (బ్యాటింగ్ స్థానంలో ప్రకారం) (46 *)', 'ఒక క్యాలెండర్ సంవత్సరంలో 5 వ అత్యధిక వికెట్లు (61)', 'ఒకే మ్యాచ్ లో బ్యాటింగ్ ప్రారంభించుటకు మరియు బౌలింగ్ ',' పదవ వికెట్కు 7 వ అత్యధిక భాగస్వామ్యం (72) ']</v>
      </c>
      <c r="C6088" s="2" t="s">
        <v>3755</v>
      </c>
      <c r="D6088" s="2" t="str">
        <f>IFERROR(__xludf.DUMMYFUNCTION("IF(C6088&lt;&gt;"""", GOOGLETRANSLATE(C6088, ""en"", ""te""),"""")"),"[ 'ఏడవ వికెట్ (184) కోసం 26 అత్యధిక భాగస్వామ్యం']")</f>
        <v>[ 'ఏడవ వికెట్ (184) కోసం 26 అత్యధిక భాగస్వామ్యం']</v>
      </c>
      <c r="E6088" s="2" t="s">
        <v>3756</v>
      </c>
      <c r="F6088" s="2" t="str">
        <f>IFERROR(__xludf.DUMMYFUNCTION("IF(E6088&lt;&gt;"""", GOOGLETRANSLATE(E6088, ""en"", ""te""),"""")"),"[ '10 వ ఇన్నింగ్స్ లో అత్యధిక పరుగులు (బ్యాటింగ్ స్థానంలో ప్రకారం) (46 *)', '47 వ అత్యధిక ఇన్నింగ్స్ లో సమ్మె రేటు (263.63)', '28th కెరీర్లో ఎక్కువ సిక్స్ (124)', '22 వ ఇన్నింగ్స్ లో వచ్చిన ఎక్కువ సిక్స్ (10) ', '21 వ కెరీర్ లో అత్యధిక వికెట్లు (269)', '5"&amp;" వ ఒక క్యాలెండర్ సంవత్సరంలో అత్యధిక వికెట్లు (61)', '9 వ అత్యుత్తమ బౌలింగ్ ఇన్నింగ్స్ లో విశ్లేషించడం (3/5)', '43 వ ఒక లో అత్యధిక వికెట్లు ఒకే భూమి (32) ',' 25 వ అత్యంత ఐదు-వికెట్ల లో-ఒక-ఇన్నింగ్స్ కెరీర్లో (3) ',' 22 వ అత్యంత నాలుగు వికెట్లు-ఇన్-ఒక-ఇన్ని"&amp;"ంగ్స్ కెరీర్లో (11) ',' 12 వ పిన్న క్రీడాకారుడు ఐదు-వికెట్ల లో-ఒక-ఇన్నింగ్స్ ',' 15 వ కెరీర్ లో బౌల్డ్ చాలా బంతుల్లో తీసుకోవాలని (19y 317d) (10941) ',' 16 వ కెరీర్ (8564) ',' 44 వ బౌలర్ / ఫీల్డర్ కాంబినేషన్ లో సాధించిన అత్యధిక పరుగులు (25 ) ',' 12 వ అత్యధ"&amp;"ిక వికెట్లు తీసుకున్న బౌల్డ్ (81) ',' 27 వ అత్యధిక వికెట్లు తీసుకున్న క్యాచ్ (151) ',' 37 వ అత్యధిక వికెట్లు తీసుకున్న ఫీల్డర్ చేత క్యాచ్ (96) ',' 14 వ అత్యధిక వికెట్లు వికెట్లు (ఆకర్షించింది తీసుకున్న 55 ) ',' 23 వ అత్యధిక వికెట్లు తీసుకున్న ఎల్బిడబ్ల్యు"&amp;" (37) ',' ఫాస్టెస్ట్ 100 వికెట్లు 45 వ (69) ',' 150 వికెట్లు (110) ',' 31 200 WIC వేగంగా వేగంగా 32 వ kets (181) ',' 22 వ వేగంగా 250 వికెట్లు (234) ',' ఏడవ వికెట్కు 29 అత్యధిక భాగస్వామ్యం (107) ',' ఎనిమిదవ వికెట్కు 49 వ అత్యధిక భాగస్వామ్యం (75 *) ',' కోసం "&amp;"38 వ అత్యధిక భాగస్వామ్యం తొమ్మిదవ వికెట్ (70 *) పదవ వికెట్కు ',' 7 వ అత్యధిక భాగస్వామ్యం (72) ',' 35 వ కెరీర్ లో అత్యధిక మ్యాచ్లు (265) ',' 40 వ అత్యంత ప్లేయర్ ఆఫ్ ది మ్యాచ్ అవార్డులు (18) ',' 24 వ అత్యంత ప్లేయర్ ఆఫ్ ది సిరీస్ అవార్డులు (4) ',' 19 వ పిన్న"&amp;" క్రీడాకారులు (16y 335d) ']")</f>
        <v>[ '10 వ ఇన్నింగ్స్ లో అత్యధిక పరుగులు (బ్యాటింగ్ స్థానంలో ప్రకారం) (46 *)', '47 వ అత్యధిక ఇన్నింగ్స్ లో సమ్మె రేటు (263.63)', '28th కెరీర్లో ఎక్కువ సిక్స్ (124)', '22 వ ఇన్నింగ్స్ లో వచ్చిన ఎక్కువ సిక్స్ (10) ', '21 వ కెరీర్ లో అత్యధిక వికెట్లు (269)', '5 వ ఒక క్యాలెండర్ సంవత్సరంలో అత్యధిక వికెట్లు (61)', '9 వ అత్యుత్తమ బౌలింగ్ ఇన్నింగ్స్ లో విశ్లేషించడం (3/5)', '43 వ ఒక లో అత్యధిక వికెట్లు ఒకే భూమి (32) ',' 25 వ అత్యంత ఐదు-వికెట్ల లో-ఒక-ఇన్నింగ్స్ కెరీర్లో (3) ',' 22 వ అత్యంత నాలుగు వికెట్లు-ఇన్-ఒక-ఇన్నింగ్స్ కెరీర్లో (11) ',' 12 వ పిన్న క్రీడాకారుడు ఐదు-వికెట్ల లో-ఒక-ఇన్నింగ్స్ ',' 15 వ కెరీర్ లో బౌల్డ్ చాలా బంతుల్లో తీసుకోవాలని (19y 317d) (10941) ',' 16 వ కెరీర్ (8564) ',' 44 వ బౌలర్ / ఫీల్డర్ కాంబినేషన్ లో సాధించిన అత్యధిక పరుగులు (25 ) ',' 12 వ అత్యధిక వికెట్లు తీసుకున్న బౌల్డ్ (81) ',' 27 వ అత్యధిక వికెట్లు తీసుకున్న క్యాచ్ (151) ',' 37 వ అత్యధిక వికెట్లు తీసుకున్న ఫీల్డర్ చేత క్యాచ్ (96) ',' 14 వ అత్యధిక వికెట్లు వికెట్లు (ఆకర్షించింది తీసుకున్న 55 ) ',' 23 వ అత్యధిక వికెట్లు తీసుకున్న ఎల్బిడబ్ల్యు (37) ',' ఫాస్టెస్ట్ 100 వికెట్లు 45 వ (69) ',' 150 వికెట్లు (110) ',' 31 200 WIC వేగంగా వేగంగా 32 వ kets (181) ',' 22 వ వేగంగా 250 వికెట్లు (234) ',' ఏడవ వికెట్కు 29 అత్యధిక భాగస్వామ్యం (107) ',' ఎనిమిదవ వికెట్కు 49 వ అత్యధిక భాగస్వామ్యం (75 *) ',' కోసం 38 వ అత్యధిక భాగస్వామ్యం తొమ్మిదవ వికెట్ (70 *) పదవ వికెట్కు ',' 7 వ అత్యధిక భాగస్వామ్యం (72) ',' 35 వ కెరీర్ లో అత్యధిక మ్యాచ్లు (265) ',' 40 వ అత్యంత ప్లేయర్ ఆఫ్ ది మ్యాచ్ అవార్డులు (18) ',' 24 వ అత్యంత ప్లేయర్ ఆఫ్ ది సిరీస్ అవార్డులు (4) ',' 19 వ పిన్న క్రీడాకారులు (16y 335d) ']</v>
      </c>
      <c r="G6088" s="2" t="s">
        <v>3757</v>
      </c>
      <c r="H6088" s="2" t="str">
        <f>IFERROR(__xludf.DUMMYFUNCTION("IF(G6088&lt;&gt;"""", GOOGLETRANSLATE(G6088, ""en"", ""te""),"""")"),"[ '24 వ ఇన్నింగ్స్ లో అత్యధిక పరుగులు (46 *) (బ్యాటింగ్ స్థానం)', 'ఇన్నింగ్స్ లో 19 అత్యధిక స్ట్రైక్ రేట్ (309.09)']")</f>
        <v>[ '24 వ ఇన్నింగ్స్ లో అత్యధిక పరుగులు (46 *) (బ్యాటింగ్ స్థానం)', 'ఇన్నింగ్స్ లో 19 అత్యధిక స్ట్రైక్ రేట్ (309.09)']</v>
      </c>
      <c r="I6088" s="3"/>
    </row>
    <row r="6089" customHeight="1" spans="1:9">
      <c r="A6089" s="2"/>
      <c r="B6089" s="2" t="str">
        <f>IFERROR(__xludf.DUMMYFUNCTION("IF(A6089&lt;&gt;"""", GOOGLETRANSLATE(A6089, ""en"", ""te""),"""")"),"")</f>
        <v/>
      </c>
      <c r="C6089" s="2"/>
      <c r="D6089" s="2" t="str">
        <f>IFERROR(__xludf.DUMMYFUNCTION("IF(C6089&lt;&gt;"""", GOOGLETRANSLATE(C6089, ""en"", ""te""),"""")"),"")</f>
        <v/>
      </c>
      <c r="E6089" s="2"/>
      <c r="F6089" s="2" t="str">
        <f>IFERROR(__xludf.DUMMYFUNCTION("IF(E6089&lt;&gt;"""", GOOGLETRANSLATE(E6089, ""en"", ""te""),"""")"),"")</f>
        <v/>
      </c>
      <c r="G6089" s="2"/>
      <c r="H6089" s="2" t="str">
        <f>IFERROR(__xludf.DUMMYFUNCTION("IF(G6089&lt;&gt;"""", GOOGLETRANSLATE(G6089, ""en"", ""te""),"""")"),"")</f>
        <v/>
      </c>
      <c r="I6089" s="3"/>
    </row>
    <row r="6090" customHeight="1" spans="1:9">
      <c r="A6090" s="2"/>
      <c r="B6090" s="2" t="str">
        <f>IFERROR(__xludf.DUMMYFUNCTION("IF(A6090&lt;&gt;"""", GOOGLETRANSLATE(A6090, ""en"", ""te""),"""")"),"")</f>
        <v/>
      </c>
      <c r="C6090" s="2"/>
      <c r="D6090" s="2" t="str">
        <f>IFERROR(__xludf.DUMMYFUNCTION("IF(C6090&lt;&gt;"""", GOOGLETRANSLATE(C6090, ""en"", ""te""),"""")"),"")</f>
        <v/>
      </c>
      <c r="E6090" s="2"/>
      <c r="F6090" s="2" t="str">
        <f>IFERROR(__xludf.DUMMYFUNCTION("IF(E6090&lt;&gt;"""", GOOGLETRANSLATE(E6090, ""en"", ""te""),"""")"),"")</f>
        <v/>
      </c>
      <c r="G6090" s="2"/>
      <c r="H6090" s="2" t="str">
        <f>IFERROR(__xludf.DUMMYFUNCTION("IF(G6090&lt;&gt;"""", GOOGLETRANSLATE(G6090, ""en"", ""te""),"""")"),"")</f>
        <v/>
      </c>
      <c r="I6090" s="3"/>
    </row>
    <row r="6091" customHeight="1" spans="1:9">
      <c r="A6091" s="2"/>
      <c r="B6091" s="2" t="str">
        <f>IFERROR(__xludf.DUMMYFUNCTION("IF(A6091&lt;&gt;"""", GOOGLETRANSLATE(A6091, ""en"", ""te""),"""")"),"")</f>
        <v/>
      </c>
      <c r="C6091" s="2"/>
      <c r="D6091" s="2" t="str">
        <f>IFERROR(__xludf.DUMMYFUNCTION("IF(C6091&lt;&gt;"""", GOOGLETRANSLATE(C6091, ""en"", ""te""),"""")"),"")</f>
        <v/>
      </c>
      <c r="E6091" s="2"/>
      <c r="F6091" s="2" t="str">
        <f>IFERROR(__xludf.DUMMYFUNCTION("IF(E6091&lt;&gt;"""", GOOGLETRANSLATE(E6091, ""en"", ""te""),"""")"),"")</f>
        <v/>
      </c>
      <c r="G6091" s="2"/>
      <c r="H6091" s="2" t="str">
        <f>IFERROR(__xludf.DUMMYFUNCTION("IF(G6091&lt;&gt;"""", GOOGLETRANSLATE(G6091, ""en"", ""te""),"""")"),"")</f>
        <v/>
      </c>
      <c r="I6091" s="3"/>
    </row>
    <row r="6092" customHeight="1" spans="1:9">
      <c r="A6092" s="2" t="s">
        <v>3758</v>
      </c>
      <c r="B6092" s="2" t="str">
        <f>IFERROR(__xludf.DUMMYFUNCTION("IF(A6092&lt;&gt;"""", GOOGLETRANSLATE(A6092, ""en"", ""te""),"""")"),"[ '5 వ అత్యుత్తమ బౌలింగ్ ఇన్నింగ్స్ లో విశ్లేషించడం (9/56)', '4 వ అత్యధిక వరుస పది వికెట్లు లో ఒక మ్యాచ్ (2)', 'ఒక మ్యాచ్ లో మొత్తం పదకొండు బ్యాట్స్ తోసిపుచ్చిన', '1000 పరుగులు మరియు 100 వికెట్లు ',' 9 వ అత్యధిక వికెట్లు స్టంప్ తీసుకున్న (22) ']")</f>
        <v>[ '5 వ అత్యుత్తమ బౌలింగ్ ఇన్నింగ్స్ లో విశ్లేషించడం (9/56)', '4 వ అత్యధిక వరుస పది వికెట్లు లో ఒక మ్యాచ్ (2)', 'ఒక మ్యాచ్ లో మొత్తం పదకొండు బ్యాట్స్ తోసిపుచ్చిన', '1000 పరుగులు మరియు 100 వికెట్లు ',' 9 వ అత్యధిక వికెట్లు స్టంప్ తీసుకున్న (22) ']</v>
      </c>
      <c r="C6092" s="2" t="s">
        <v>3759</v>
      </c>
      <c r="D6092" s="2" t="str">
        <f>IFERROR(__xludf.DUMMYFUNCTION("IF(C6092&lt;&gt;"""", GOOGLETRANSLATE(C6092, ""en"", ""te""),"""")"),"[ '47 వ అత్యంత లేకుండా వంద (1029) ఒక వృత్తిలో పరుగులు' 'ఇన్నింగ్స్ లో 7 వ బెస్ట్ ఫిగర్స్ (9/56)', '25 వ మ్యాచ్ లో బెస్ట్ ఫిగర్స్ (13)', '5 వ అత్యుత్తమ బౌలింగ్ ఇన్నింగ్స్ విశ్లేషణలలో (9/56) ',' 23 వ ఒకే మైదానంలో అత్యధిక వికెట్లు (59) ',' (15) ',' 12 వ అత్"&amp;"యంత 38 వ అత్యంత ఐదు-వికెట్ల లో-ఒక-ఇన్నింగ్స్ కెరీర్లో పది వికెట్లు లో ఒక ఒక వృత్తిలో మ్యాచ్ (5) ',' 4 వ అత్యధిక వరుస పది వికెట్లు లో ఒక మ్యాచ్ (2) ',' 37 వ కెరీర్ లో బౌల్డ్ చాలా బంతుల్లో (17126) ',' 36 వ మ్యాచ్ లో బౌల్డ్ చాలా బంతుల్లో (628 ) ',' 40 వ అత్య"&amp;"ధిక పరుగులు కెరీర్ (7742) లో ఒక ఫీల్డర్ చేత (107) ',' 30 వ అత్యధిక వికెట్లు తీసుకున్న ఎల్బిడబ్ల్యు (52) సాధించిన ',' 46 వ క్యాచ్ తీసుకున్న అత్యధిక వికెట్లు ',' 16 వ అత్యధిక వికెట్లు తీసుకున్న స్టంప్ (13) ' ]")</f>
        <v>[ '47 వ అత్యంత లేకుండా వంద (1029) ఒక వృత్తిలో పరుగులు' 'ఇన్నింగ్స్ లో 7 వ బెస్ట్ ఫిగర్స్ (9/56)', '25 వ మ్యాచ్ లో బెస్ట్ ఫిగర్స్ (13)', '5 వ అత్యుత్తమ బౌలింగ్ ఇన్నింగ్స్ విశ్లేషణలలో (9/56) ',' 23 వ ఒకే మైదానంలో అత్యధిక వికెట్లు (59) ',' (15) ',' 12 వ అత్యంత 38 వ అత్యంత ఐదు-వికెట్ల లో-ఒక-ఇన్నింగ్స్ కెరీర్లో పది వికెట్లు లో ఒక ఒక వృత్తిలో మ్యాచ్ (5) ',' 4 వ అత్యధిక వరుస పది వికెట్లు లో ఒక మ్యాచ్ (2) ',' 37 వ కెరీర్ లో బౌల్డ్ చాలా బంతుల్లో (17126) ',' 36 వ మ్యాచ్ లో బౌల్డ్ చాలా బంతుల్లో (628 ) ',' 40 వ అత్యధిక పరుగులు కెరీర్ (7742) లో ఒక ఫీల్డర్ చేత (107) ',' 30 వ అత్యధిక వికెట్లు తీసుకున్న ఎల్బిడబ్ల్యు (52) సాధించిన ',' 46 వ క్యాచ్ తీసుకున్న అత్యధిక వికెట్లు ',' 16 వ అత్యధిక వికెట్లు తీసుకున్న స్టంప్ (13) ' ]</v>
      </c>
      <c r="E6092" s="2" t="s">
        <v>3760</v>
      </c>
      <c r="F6092" s="2" t="str">
        <f>IFERROR(__xludf.DUMMYFUNCTION("IF(E6092&lt;&gt;"""", GOOGLETRANSLATE(E6092, ""en"", ""te""),"""")"),"[ 'ఒక ఇన్నింగ్స్ పరాజయం వైపు ఉన్నప్పుడు 14 బెస్ట్ ఫిగర్స్ (5)' '14 వ అత్యుత్తమ విశ్లేషణలు ఇన్నింగ్స్ లో బౌలింగ్ (4/9)', '36 వ ఉత్తమ ఆర్థిక వ్యవస్థ ఇన్నింగ్స్లో రేటు (0.90)', '15 వ బెస్ట్ ఫిగర్స్ అరంగేట్రంలోనే ఇన్నింగ్స్లో (4) ',' మోస్ట్ ఐదు వికెట్ల లో-ఒక"&amp;"-ఇన్నింగ్స్ 43 వ ఒక వృత్తిలో (2) ',' 9 వ అత్యధిక వికెట్లు స్టంప్ (22) ',' 100 వికెట్లు వేగంగా 45 వ (69) తీసుకున్న ',' 32 వ లాంగెస్ట్ క్రీడాకారులు (63y 356d) నివసించారు ']")</f>
        <v>[ 'ఒక ఇన్నింగ్స్ పరాజయం వైపు ఉన్నప్పుడు 14 బెస్ట్ ఫిగర్స్ (5)' '14 వ అత్యుత్తమ విశ్లేషణలు ఇన్నింగ్స్ లో బౌలింగ్ (4/9)', '36 వ ఉత్తమ ఆర్థిక వ్యవస్థ ఇన్నింగ్స్లో రేటు (0.90)', '15 వ బెస్ట్ ఫిగర్స్ అరంగేట్రంలోనే ఇన్నింగ్స్లో (4) ',' మోస్ట్ ఐదు వికెట్ల లో-ఒక-ఇన్నింగ్స్ 43 వ ఒక వృత్తిలో (2) ',' 9 వ అత్యధిక వికెట్లు స్టంప్ (22) ',' 100 వికెట్లు వేగంగా 45 వ (69) తీసుకున్న ',' 32 వ లాంగెస్ట్ క్రీడాకారులు (63y 356d) నివసించారు ']</v>
      </c>
      <c r="G6092" s="2"/>
      <c r="H6092" s="2" t="str">
        <f>IFERROR(__xludf.DUMMYFUNCTION("IF(G6092&lt;&gt;"""", GOOGLETRANSLATE(G6092, ""en"", ""te""),"""")"),"")</f>
        <v/>
      </c>
      <c r="I6092" s="3"/>
    </row>
    <row r="6093" customHeight="1" spans="1:9">
      <c r="A6093" s="2" t="s">
        <v>153</v>
      </c>
      <c r="B6093" s="2" t="str">
        <f>IFERROR(__xludf.DUMMYFUNCTION("IF(A6093&lt;&gt;"""", GOOGLETRANSLATE(A6093, ""en"", ""te""),"""")"),"[ 'రెండు దేశాలకు ప్రాతినిధ్యం']")</f>
        <v>[ 'రెండు దేశాలకు ప్రాతినిధ్యం']</v>
      </c>
      <c r="C6093" s="2" t="s">
        <v>3761</v>
      </c>
      <c r="D6093" s="2" t="str">
        <f>IFERROR(__xludf.DUMMYFUNCTION("IF(C6093&lt;&gt;"""", GOOGLETRANSLATE(C6093, ""en"", ""te""),"""")"),"[ 'తొలి 22 ఓల్డెస్ట్ క్రీడాకారులు (39y 102d)', '21 వ ఓల్డెస్ట్ క్రీడాకారులు (44y 105d) ']")</f>
        <v>[ 'తొలి 22 ఓల్డెస్ట్ క్రీడాకారులు (39y 102d)', '21 వ ఓల్డెస్ట్ క్రీడాకారులు (44y 105d) ']</v>
      </c>
      <c r="E6093" s="2"/>
      <c r="F6093" s="2" t="str">
        <f>IFERROR(__xludf.DUMMYFUNCTION("IF(E6093&lt;&gt;"""", GOOGLETRANSLATE(E6093, ""en"", ""te""),"""")"),"")</f>
        <v/>
      </c>
      <c r="G6093" s="2"/>
      <c r="H6093" s="2" t="str">
        <f>IFERROR(__xludf.DUMMYFUNCTION("IF(G6093&lt;&gt;"""", GOOGLETRANSLATE(G6093, ""en"", ""te""),"""")"),"")</f>
        <v/>
      </c>
      <c r="I6093" s="3"/>
    </row>
    <row r="6094" customHeight="1" spans="1:9">
      <c r="A6094" s="2"/>
      <c r="B6094" s="2" t="str">
        <f>IFERROR(__xludf.DUMMYFUNCTION("IF(A6094&lt;&gt;"""", GOOGLETRANSLATE(A6094, ""en"", ""te""),"""")"),"")</f>
        <v/>
      </c>
      <c r="C6094" s="2"/>
      <c r="D6094" s="2" t="str">
        <f>IFERROR(__xludf.DUMMYFUNCTION("IF(C6094&lt;&gt;"""", GOOGLETRANSLATE(C6094, ""en"", ""te""),"""")"),"")</f>
        <v/>
      </c>
      <c r="E6094" s="2"/>
      <c r="F6094" s="2" t="str">
        <f>IFERROR(__xludf.DUMMYFUNCTION("IF(E6094&lt;&gt;"""", GOOGLETRANSLATE(E6094, ""en"", ""te""),"""")"),"")</f>
        <v/>
      </c>
      <c r="G6094" s="2"/>
      <c r="H6094" s="2" t="str">
        <f>IFERROR(__xludf.DUMMYFUNCTION("IF(G6094&lt;&gt;"""", GOOGLETRANSLATE(G6094, ""en"", ""te""),"""")"),"")</f>
        <v/>
      </c>
      <c r="I6094" s="3"/>
    </row>
    <row r="6095" customHeight="1" spans="1:9">
      <c r="A6095" s="2" t="s">
        <v>3762</v>
      </c>
      <c r="B6095" s="2" t="str">
        <f>IFERROR(__xludf.DUMMYFUNCTION("IF(A6095&lt;&gt;"""", GOOGLETRANSLATE(A6095, ""en"", ""te""),"""")"),"[ 'ఇన్నింగ్స్ లో 6 వ అత్యధిక పరుగులు (బ్యాటింగ్ స్థానంలో ప్రకారం) (49 *)', 'ఇన్నింగ్స్ లో 5 వ చెత్త ఆర్థిక రేటు (11.00)', '8 వ అత్యధిక పరుగులు ఇన్నింగ్స్ లో సాధించిన (88)', '5 వ ఉత్తమ బొమ్మలు పరాజయం వైపు ఉన్నప్పుడు ఒక ఇన్నింగ్స్ (4) ']")</f>
        <v>[ 'ఇన్నింగ్స్ లో 6 వ అత్యధిక పరుగులు (బ్యాటింగ్ స్థానంలో ప్రకారం) (49 *)', 'ఇన్నింగ్స్ లో 5 వ చెత్త ఆర్థిక రేటు (11.00)', '8 వ అత్యధిక పరుగులు ఇన్నింగ్స్ లో సాధించిన (88)', '5 వ ఉత్తమ బొమ్మలు పరాజయం వైపు ఉన్నప్పుడు ఒక ఇన్నింగ్స్ (4) ']</v>
      </c>
      <c r="C6095" s="2"/>
      <c r="D6095" s="2" t="str">
        <f>IFERROR(__xludf.DUMMYFUNCTION("IF(C6095&lt;&gt;"""", GOOGLETRANSLATE(C6095, ""en"", ""te""),"""")"),"")</f>
        <v/>
      </c>
      <c r="E6095" s="2" t="s">
        <v>3763</v>
      </c>
      <c r="F6095" s="2" t="str">
        <f>IFERROR(__xludf.DUMMYFUNCTION("IF(E6095&lt;&gt;"""", GOOGLETRANSLATE(E6095, ""en"", ""te""),"""")"),"[ 'ఇన్నింగ్స్ లో 6 వ అత్యధిక పరుగులు (49 *) (బ్యాటింగ్ స్థానం)', 'వంద (922) లేకుండా ఒక వృత్తిలో 42 వ అత్యధిక పరుగులు', '15 వ కెరీర్ బాతులు (10)', '47 వ అత్యధిక వికెట్లు లో కెరీర్ (70) ',' సగటు (36.20) ',' 12 వ చెత్త కెరీర్లో ఎకానమీ రేట్ బౌలింగ్ 19 చెత్త క"&amp;"ెరీర్ (4.65) ',' ఇన్నింగ్స్ లో 5 వ చెత్త ఆర్థిక రేటు (11.00) ',' 32 వ కెరీర్ లో బౌల్డ్ చాలా బంతుల్లో (3264 ) ',' 19 వ అత్యధిక కెరీర్ లో (పోగొట్టబడిన పరుగులను 2534) ',' 8 వ అత్యంత ఇన్నింగ్స్ లో సాధించిన పరుగులు (88) ',' 42 వ అత్యధిక వికెట్లు తీసుకున్న బౌల్"&amp;"డ్ (17) ',' 45 వ అత్యధిక వికెట్లు ఆకర్షించింది (40) తీసుకువెళ్లారు, 40 వ అత్యధిక వికెట్లు ఒక ఫీల్డర్ చేత క్యాచ్ తీసుకున్న (33) ',' 35 వ అత్యధిక వికెట్లు తీసుకున్న ఎల్బిడబ్ల్యు (13) ',' తొమ్మిదవ వికెట్కు 26 అత్యధిక భాగస్వామ్యం (38) ',' 48 వ కెరీర్ లో అత్యధ"&amp;"ిక మ్యాచ్లు (92) ',' 26 చాలా జట్టుకు వరుస మ్యాచ్లు (47) ']")</f>
        <v>[ 'ఇన్నింగ్స్ లో 6 వ అత్యధిక పరుగులు (49 *) (బ్యాటింగ్ స్థానం)', 'వంద (922) లేకుండా ఒక వృత్తిలో 42 వ అత్యధిక పరుగులు', '15 వ కెరీర్ బాతులు (10)', '47 వ అత్యధిక వికెట్లు లో కెరీర్ (70) ',' సగటు (36.20) ',' 12 వ చెత్త కెరీర్లో ఎకానమీ రేట్ బౌలింగ్ 19 చెత్త కెరీర్ (4.65) ',' ఇన్నింగ్స్ లో 5 వ చెత్త ఆర్థిక రేటు (11.00) ',' 32 వ కెరీర్ లో బౌల్డ్ చాలా బంతుల్లో (3264 ) ',' 19 వ అత్యధిక కెరీర్ లో (పోగొట్టబడిన పరుగులను 2534) ',' 8 వ అత్యంత ఇన్నింగ్స్ లో సాధించిన పరుగులు (88) ',' 42 వ అత్యధిక వికెట్లు తీసుకున్న బౌల్డ్ (17) ',' 45 వ అత్యధిక వికెట్లు ఆకర్షించింది (40) తీసుకువెళ్లారు, 40 వ అత్యధిక వికెట్లు ఒక ఫీల్డర్ చేత క్యాచ్ తీసుకున్న (33) ',' 35 వ అత్యధిక వికెట్లు తీసుకున్న ఎల్బిడబ్ల్యు (13) ',' తొమ్మిదవ వికెట్కు 26 అత్యధిక భాగస్వామ్యం (38) ',' 48 వ కెరీర్ లో అత్యధిక మ్యాచ్లు (92) ',' 26 చాలా జట్టుకు వరుస మ్యాచ్లు (47) ']</v>
      </c>
      <c r="G6095" s="2" t="s">
        <v>3764</v>
      </c>
      <c r="H6095" s="2" t="str">
        <f>IFERROR(__xludf.DUMMYFUNCTION("IF(G6095&lt;&gt;"""", GOOGLETRANSLATE(G6095, ""en"", ""te""),"""")"),"[ '21 వ ఇన్నింగ్స్ లో అత్యధిక పరుగులు (బ్యాటింగ్ స్థానంలో ప్రకారం) (31)', 'ఒక డక్ లేకుండా 32 వ వరుస ఇన్నింగ్స్ (32 *)', '17 వ అతి తక్కువ బాతులు కెరీర్ లో (27)', '37 వ అత్యంత ఒక క్యాలెండర్ వికెట్లు సంవత్సరం (19) ',' 5 వ ఒక ఇన్నింగ్స్ లోని బెస్ట్ ఫిగర్స్ పర"&amp;"ాజయం వైపు (4) ',' 13 వ అత్యంత నాలుగు వికెట్లు-ఇన్-ఒక-ఇన్నింగ్స్ కెరీర్లో (2) ',' 39 వ అత్యంత బంతుల్లో కెరీర్లో అత్యుత్తమంగా బౌల్ చేసి (1005) ',' 39 వ అత్యధిక పరుగులు కెరీర్లో (1001) సాధించిన ',' 44 వ అత్యధిక వికెట్లు 'బౌల్డ్ (10)', '11 వ అత్యధిక వికెట్లు"&amp;" తీసుకున్న ఎల్బిడబ్ల్యు (10)', '46 వ కెరీర్ లో అత్యధిక క్యాచ్లు (18) తీసుకున్న, 'తొమ్మిదవ వికెట్కు 16 అత్యధిక భాగస్వామ్యం (24)']")</f>
        <v>[ '21 వ ఇన్నింగ్స్ లో అత్యధిక పరుగులు (బ్యాటింగ్ స్థానంలో ప్రకారం) (31)', 'ఒక డక్ లేకుండా 32 వ వరుస ఇన్నింగ్స్ (32 *)', '17 వ అతి తక్కువ బాతులు కెరీర్ లో (27)', '37 వ అత్యంత ఒక క్యాలెండర్ వికెట్లు సంవత్సరం (19) ',' 5 వ ఒక ఇన్నింగ్స్ లోని బెస్ట్ ఫిగర్స్ పరాజయం వైపు (4) ',' 13 వ అత్యంత నాలుగు వికెట్లు-ఇన్-ఒక-ఇన్నింగ్స్ కెరీర్లో (2) ',' 39 వ అత్యంత బంతుల్లో కెరీర్లో అత్యుత్తమంగా బౌల్ చేసి (1005) ',' 39 వ అత్యధిక పరుగులు కెరీర్లో (1001) సాధించిన ',' 44 వ అత్యధిక వికెట్లు 'బౌల్డ్ (10)', '11 వ అత్యధిక వికెట్లు తీసుకున్న ఎల్బిడబ్ల్యు (10)', '46 వ కెరీర్ లో అత్యధిక క్యాచ్లు (18) తీసుకున్న, 'తొమ్మిదవ వికెట్కు 16 అత్యధిక భాగస్వామ్యం (24)']</v>
      </c>
      <c r="I6095" s="3"/>
    </row>
    <row r="6096" customHeight="1" spans="1:9">
      <c r="A6096" s="2" t="s">
        <v>3765</v>
      </c>
      <c r="B6096" s="2" t="str">
        <f>IFERROR(__xludf.DUMMYFUNCTION("IF(A6096&lt;&gt;"""", GOOGLETRANSLATE(A6096, ""en"", ""te""),"""")"),"[ '4 వ పిన్న క్రీడాకారులు (16y 189d)', '9 వ అత్యుత్తమ బౌలింగ్ ఇన్నింగ్స్ లో విశ్లేషించడం (7/37)', '2 వ వరుస ఐదు వికెట్ల లో-ఒక-ఇన్నింగ్స్ (2)']")</f>
        <v>[ '4 వ పిన్న క్రీడాకారులు (16y 189d)', '9 వ అత్యుత్తమ బౌలింగ్ ఇన్నింగ్స్ లో విశ్లేషించడం (7/37)', '2 వ వరుస ఐదు వికెట్ల లో-ఒక-ఇన్నింగ్స్ (2)']</v>
      </c>
      <c r="C6096" s="2" t="s">
        <v>3766</v>
      </c>
      <c r="D6096" s="2" t="str">
        <f>IFERROR(__xludf.DUMMYFUNCTION("IF(C6096&lt;&gt;"""", GOOGLETRANSLATE(C6096, ""en"", ""te""),"""")"),"[ '4 వ పిన్న క్రీడాకారులు (16y 189d)']")</f>
        <v>[ '4 వ పిన్న క్రీడాకారులు (16y 189d)']</v>
      </c>
      <c r="E6096" s="2" t="s">
        <v>3767</v>
      </c>
      <c r="F6096" s="2" t="str">
        <f>IFERROR(__xludf.DUMMYFUNCTION("IF(E6096&lt;&gt;"""", GOOGLETRANSLATE(E6096, ""en"", ""te""),"""")"),"[ 'ఇన్నింగ్స్ లో 9 వ అత్యుత్తమ బౌలింగ్ విశ్లేషణలు (7/37)' '10 వ ఉత్తమ ఇన్నింగ్స్ లో సంఖ్యలు (7/37)', '33 వ ఒకే మైదానంలో అత్యధిక వికెట్లు (37)', '15 వ అత్యంత ఐదు-wickets- లో-ఒక-ఇన్నింగ్స్ కెరీర్లో (4) ',' 2 వ వరుస ఐదు వికెట్ల లో-ఒక-ఇన్నింగ్స్ (2) ',' 13 వ"&amp;" వరుస నాలుగు వికెట్లు-ఇన్-ఒక-ఇన్నింగ్స్ (2) ',' ఐదు వికెట్ల తేడాతో-ఒక ఇన్నింగ్స్లో తీసుకోవాలని 7 వ పిన్న వయస్కుడిగా నిలిచాడు (19y 81d) ',' 41 వ అత్యంత బంతుల్లో కెరీర్లో బౌల్డ్ (8012) ',' 49 వ కెరీర్ లో సాధించిన అత్యధిక పరుగులు (5721) ',' 34 వ అత్యధిక వికె"&amp;"ట్లు బౌల్డ్ తీసుకున్న (52) ',' 30 వ అత్యధిక వికెట్లు ఒక వికెట్ కీపర్ చే కాట్ తీసుకోకూడదు (41) ',' 7 వ పిన్న క్రీడాకారులు (16y 127d) ']")</f>
        <v>[ 'ఇన్నింగ్స్ లో 9 వ అత్యుత్తమ బౌలింగ్ విశ్లేషణలు (7/37)' '10 వ ఉత్తమ ఇన్నింగ్స్ లో సంఖ్యలు (7/37)', '33 వ ఒకే మైదానంలో అత్యధిక వికెట్లు (37)', '15 వ అత్యంత ఐదు-wickets- లో-ఒక-ఇన్నింగ్స్ కెరీర్లో (4) ',' 2 వ వరుస ఐదు వికెట్ల లో-ఒక-ఇన్నింగ్స్ (2) ',' 13 వ వరుస నాలుగు వికెట్లు-ఇన్-ఒక-ఇన్నింగ్స్ (2) ',' ఐదు వికెట్ల తేడాతో-ఒక ఇన్నింగ్స్లో తీసుకోవాలని 7 వ పిన్న వయస్కుడిగా నిలిచాడు (19y 81d) ',' 41 వ అత్యంత బంతుల్లో కెరీర్లో బౌల్డ్ (8012) ',' 49 వ కెరీర్ లో సాధించిన అత్యధిక పరుగులు (5721) ',' 34 వ అత్యధిక వికెట్లు బౌల్డ్ తీసుకున్న (52) ',' 30 వ అత్యధిక వికెట్లు ఒక వికెట్ కీపర్ చే కాట్ తీసుకోకూడదు (41) ',' 7 వ పిన్న క్రీడాకారులు (16y 127d) ']</v>
      </c>
      <c r="G6096" s="2"/>
      <c r="H6096" s="2" t="str">
        <f>IFERROR(__xludf.DUMMYFUNCTION("IF(G6096&lt;&gt;"""", GOOGLETRANSLATE(G6096, ""en"", ""te""),"""")"),"")</f>
        <v/>
      </c>
      <c r="I6096" s="3"/>
    </row>
    <row r="6097" customHeight="1" spans="1:9">
      <c r="A6097" s="2"/>
      <c r="B6097" s="2" t="str">
        <f>IFERROR(__xludf.DUMMYFUNCTION("IF(A6097&lt;&gt;"""", GOOGLETRANSLATE(A6097, ""en"", ""te""),"""")"),"")</f>
        <v/>
      </c>
      <c r="C6097" s="2"/>
      <c r="D6097" s="2" t="str">
        <f>IFERROR(__xludf.DUMMYFUNCTION("IF(C6097&lt;&gt;"""", GOOGLETRANSLATE(C6097, ""en"", ""te""),"""")"),"")</f>
        <v/>
      </c>
      <c r="E6097" s="2"/>
      <c r="F6097" s="2" t="str">
        <f>IFERROR(__xludf.DUMMYFUNCTION("IF(E6097&lt;&gt;"""", GOOGLETRANSLATE(E6097, ""en"", ""te""),"""")"),"")</f>
        <v/>
      </c>
      <c r="G6097" s="2"/>
      <c r="H6097" s="2" t="str">
        <f>IFERROR(__xludf.DUMMYFUNCTION("IF(G6097&lt;&gt;"""", GOOGLETRANSLATE(G6097, ""en"", ""te""),"""")"),"")</f>
        <v/>
      </c>
      <c r="I6097" s="3"/>
    </row>
    <row r="6098" customHeight="1" spans="1:9">
      <c r="A6098" s="2"/>
      <c r="B6098" s="2" t="str">
        <f>IFERROR(__xludf.DUMMYFUNCTION("IF(A6098&lt;&gt;"""", GOOGLETRANSLATE(A6098, ""en"", ""te""),"""")"),"")</f>
        <v/>
      </c>
      <c r="C6098" s="2" t="s">
        <v>3768</v>
      </c>
      <c r="D6098" s="2" t="str">
        <f>IFERROR(__xludf.DUMMYFUNCTION("IF(C6098&lt;&gt;"""", GOOGLETRANSLATE(C6098, ""en"", ""te""),"""")"),"[ 'తొలి 14 తొంభై (95)']")</f>
        <v>[ 'తొలి 14 తొంభై (95)']</v>
      </c>
      <c r="E6098" s="2"/>
      <c r="F6098" s="2" t="str">
        <f>IFERROR(__xludf.DUMMYFUNCTION("IF(E6098&lt;&gt;"""", GOOGLETRANSLATE(E6098, ""en"", ""te""),"""")"),"")</f>
        <v/>
      </c>
      <c r="G6098" s="2"/>
      <c r="H6098" s="2" t="str">
        <f>IFERROR(__xludf.DUMMYFUNCTION("IF(G6098&lt;&gt;"""", GOOGLETRANSLATE(G6098, ""en"", ""te""),"""")"),"")</f>
        <v/>
      </c>
      <c r="I6098" s="3"/>
    </row>
    <row r="6099" customHeight="1" spans="1:9">
      <c r="A6099" s="2"/>
      <c r="B6099" s="2" t="str">
        <f>IFERROR(__xludf.DUMMYFUNCTION("IF(A6099&lt;&gt;"""", GOOGLETRANSLATE(A6099, ""en"", ""te""),"""")"),"")</f>
        <v/>
      </c>
      <c r="C6099" s="2"/>
      <c r="D6099" s="2" t="str">
        <f>IFERROR(__xludf.DUMMYFUNCTION("IF(C6099&lt;&gt;"""", GOOGLETRANSLATE(C6099, ""en"", ""te""),"""")"),"")</f>
        <v/>
      </c>
      <c r="E6099" s="2"/>
      <c r="F6099" s="2" t="str">
        <f>IFERROR(__xludf.DUMMYFUNCTION("IF(E6099&lt;&gt;"""", GOOGLETRANSLATE(E6099, ""en"", ""te""),"""")"),"")</f>
        <v/>
      </c>
      <c r="G6099" s="2"/>
      <c r="H6099" s="2" t="str">
        <f>IFERROR(__xludf.DUMMYFUNCTION("IF(G6099&lt;&gt;"""", GOOGLETRANSLATE(G6099, ""en"", ""te""),"""")"),"")</f>
        <v/>
      </c>
      <c r="I6099" s="3"/>
    </row>
    <row r="6100" customHeight="1" spans="1:9">
      <c r="A6100" s="2"/>
      <c r="B6100" s="2" t="str">
        <f>IFERROR(__xludf.DUMMYFUNCTION("IF(A6100&lt;&gt;"""", GOOGLETRANSLATE(A6100, ""en"", ""te""),"""")"),"")</f>
        <v/>
      </c>
      <c r="C6100" s="2"/>
      <c r="D6100" s="2" t="str">
        <f>IFERROR(__xludf.DUMMYFUNCTION("IF(C6100&lt;&gt;"""", GOOGLETRANSLATE(C6100, ""en"", ""te""),"""")"),"")</f>
        <v/>
      </c>
      <c r="E6100" s="2"/>
      <c r="F6100" s="2" t="str">
        <f>IFERROR(__xludf.DUMMYFUNCTION("IF(E6100&lt;&gt;"""", GOOGLETRANSLATE(E6100, ""en"", ""te""),"""")"),"")</f>
        <v/>
      </c>
      <c r="G6100" s="2"/>
      <c r="H6100" s="2" t="str">
        <f>IFERROR(__xludf.DUMMYFUNCTION("IF(G6100&lt;&gt;"""", GOOGLETRANSLATE(G6100, ""en"", ""te""),"""")"),"")</f>
        <v/>
      </c>
      <c r="I6100" s="3"/>
    </row>
    <row r="6101" customHeight="1" spans="1:9">
      <c r="A6101" s="2"/>
      <c r="B6101" s="2" t="str">
        <f>IFERROR(__xludf.DUMMYFUNCTION("IF(A6101&lt;&gt;"""", GOOGLETRANSLATE(A6101, ""en"", ""te""),"""")"),"")</f>
        <v/>
      </c>
      <c r="C6101" s="2"/>
      <c r="D6101" s="2" t="str">
        <f>IFERROR(__xludf.DUMMYFUNCTION("IF(C6101&lt;&gt;"""", GOOGLETRANSLATE(C6101, ""en"", ""te""),"""")"),"")</f>
        <v/>
      </c>
      <c r="E6101" s="2"/>
      <c r="F6101" s="2" t="str">
        <f>IFERROR(__xludf.DUMMYFUNCTION("IF(E6101&lt;&gt;"""", GOOGLETRANSLATE(E6101, ""en"", ""te""),"""")"),"")</f>
        <v/>
      </c>
      <c r="G6101" s="2"/>
      <c r="H6101" s="2" t="str">
        <f>IFERROR(__xludf.DUMMYFUNCTION("IF(G6101&lt;&gt;"""", GOOGLETRANSLATE(G6101, ""en"", ""te""),"""")"),"")</f>
        <v/>
      </c>
      <c r="I6101" s="3"/>
    </row>
    <row r="6102" customHeight="1" spans="1:9">
      <c r="A6102" s="2"/>
      <c r="B6102" s="2" t="str">
        <f>IFERROR(__xludf.DUMMYFUNCTION("IF(A6102&lt;&gt;"""", GOOGLETRANSLATE(A6102, ""en"", ""te""),"""")"),"")</f>
        <v/>
      </c>
      <c r="C6102" s="2"/>
      <c r="D6102" s="2" t="str">
        <f>IFERROR(__xludf.DUMMYFUNCTION("IF(C6102&lt;&gt;"""", GOOGLETRANSLATE(C6102, ""en"", ""te""),"""")"),"")</f>
        <v/>
      </c>
      <c r="E6102" s="2"/>
      <c r="F6102" s="2" t="str">
        <f>IFERROR(__xludf.DUMMYFUNCTION("IF(E6102&lt;&gt;"""", GOOGLETRANSLATE(E6102, ""en"", ""te""),"""")"),"")</f>
        <v/>
      </c>
      <c r="G6102" s="2"/>
      <c r="H6102" s="2" t="str">
        <f>IFERROR(__xludf.DUMMYFUNCTION("IF(G6102&lt;&gt;"""", GOOGLETRANSLATE(G6102, ""en"", ""te""),"""")"),"")</f>
        <v/>
      </c>
      <c r="I6102" s="3"/>
    </row>
    <row r="6103" customHeight="1" spans="1:9">
      <c r="A6103" s="2"/>
      <c r="B6103" s="2" t="str">
        <f>IFERROR(__xludf.DUMMYFUNCTION("IF(A6103&lt;&gt;"""", GOOGLETRANSLATE(A6103, ""en"", ""te""),"""")"),"")</f>
        <v/>
      </c>
      <c r="C6103" s="2"/>
      <c r="D6103" s="2" t="str">
        <f>IFERROR(__xludf.DUMMYFUNCTION("IF(C6103&lt;&gt;"""", GOOGLETRANSLATE(C6103, ""en"", ""te""),"""")"),"")</f>
        <v/>
      </c>
      <c r="E6103" s="2"/>
      <c r="F6103" s="2" t="str">
        <f>IFERROR(__xludf.DUMMYFUNCTION("IF(E6103&lt;&gt;"""", GOOGLETRANSLATE(E6103, ""en"", ""te""),"""")"),"")</f>
        <v/>
      </c>
      <c r="G6103" s="2"/>
      <c r="H6103" s="2" t="str">
        <f>IFERROR(__xludf.DUMMYFUNCTION("IF(G6103&lt;&gt;"""", GOOGLETRANSLATE(G6103, ""en"", ""te""),"""")"),"")</f>
        <v/>
      </c>
      <c r="I6103" s="3"/>
    </row>
    <row r="6104" customHeight="1" spans="1:9">
      <c r="A6104" s="2"/>
      <c r="B6104" s="2" t="str">
        <f>IFERROR(__xludf.DUMMYFUNCTION("IF(A6104&lt;&gt;"""", GOOGLETRANSLATE(A6104, ""en"", ""te""),"""")"),"")</f>
        <v/>
      </c>
      <c r="C6104" s="2"/>
      <c r="D6104" s="2" t="str">
        <f>IFERROR(__xludf.DUMMYFUNCTION("IF(C6104&lt;&gt;"""", GOOGLETRANSLATE(C6104, ""en"", ""te""),"""")"),"")</f>
        <v/>
      </c>
      <c r="E6104" s="2"/>
      <c r="F6104" s="2" t="str">
        <f>IFERROR(__xludf.DUMMYFUNCTION("IF(E6104&lt;&gt;"""", GOOGLETRANSLATE(E6104, ""en"", ""te""),"""")"),"")</f>
        <v/>
      </c>
      <c r="G6104" s="2"/>
      <c r="H6104" s="2" t="str">
        <f>IFERROR(__xludf.DUMMYFUNCTION("IF(G6104&lt;&gt;"""", GOOGLETRANSLATE(G6104, ""en"", ""te""),"""")"),"")</f>
        <v/>
      </c>
      <c r="I6104" s="3"/>
    </row>
    <row r="6105" customHeight="1" spans="1:9">
      <c r="A6105" s="2" t="s">
        <v>694</v>
      </c>
      <c r="B6105" s="2" t="str">
        <f>IFERROR(__xludf.DUMMYFUNCTION("IF(A6105&lt;&gt;"""", GOOGLETRANSLATE(A6105, ""en"", ""te""),"""")"),"[ '1st అత్యుత్తమ ఇన్నింగ్స్ (1/0) విశ్లేషణలలో బౌలింగ్']")</f>
        <v>[ '1st అత్యుత్తమ ఇన్నింగ్స్ (1/0) విశ్లేషణలలో బౌలింగ్']</v>
      </c>
      <c r="C6105" s="2" t="s">
        <v>694</v>
      </c>
      <c r="D6105" s="2" t="str">
        <f>IFERROR(__xludf.DUMMYFUNCTION("IF(C6105&lt;&gt;"""", GOOGLETRANSLATE(C6105, ""en"", ""te""),"""")"),"[ '1st అత్యుత్తమ ఇన్నింగ్స్ (1/0) విశ్లేషణలలో బౌలింగ్']")</f>
        <v>[ '1st అత్యుత్తమ ఇన్నింగ్స్ (1/0) విశ్లేషణలలో బౌలింగ్']</v>
      </c>
      <c r="E6105" s="2"/>
      <c r="F6105" s="2" t="str">
        <f>IFERROR(__xludf.DUMMYFUNCTION("IF(E6105&lt;&gt;"""", GOOGLETRANSLATE(E6105, ""en"", ""te""),"""")"),"")</f>
        <v/>
      </c>
      <c r="G6105" s="2"/>
      <c r="H6105" s="2" t="str">
        <f>IFERROR(__xludf.DUMMYFUNCTION("IF(G6105&lt;&gt;"""", GOOGLETRANSLATE(G6105, ""en"", ""te""),"""")"),"")</f>
        <v/>
      </c>
      <c r="I6105" s="3"/>
    </row>
    <row r="6106" customHeight="1" spans="1:9">
      <c r="A6106" s="2"/>
      <c r="B6106" s="2" t="str">
        <f>IFERROR(__xludf.DUMMYFUNCTION("IF(A6106&lt;&gt;"""", GOOGLETRANSLATE(A6106, ""en"", ""te""),"""")"),"")</f>
        <v/>
      </c>
      <c r="C6106" s="2"/>
      <c r="D6106" s="2" t="str">
        <f>IFERROR(__xludf.DUMMYFUNCTION("IF(C6106&lt;&gt;"""", GOOGLETRANSLATE(C6106, ""en"", ""te""),"""")"),"")</f>
        <v/>
      </c>
      <c r="E6106" s="2"/>
      <c r="F6106" s="2" t="str">
        <f>IFERROR(__xludf.DUMMYFUNCTION("IF(E6106&lt;&gt;"""", GOOGLETRANSLATE(E6106, ""en"", ""te""),"""")"),"")</f>
        <v/>
      </c>
      <c r="G6106" s="2"/>
      <c r="H6106" s="2" t="str">
        <f>IFERROR(__xludf.DUMMYFUNCTION("IF(G6106&lt;&gt;"""", GOOGLETRANSLATE(G6106, ""en"", ""te""),"""")"),"")</f>
        <v/>
      </c>
      <c r="I6106" s="3"/>
    </row>
    <row r="6107" customHeight="1" spans="1:9">
      <c r="A6107" s="2"/>
      <c r="B6107" s="2" t="str">
        <f>IFERROR(__xludf.DUMMYFUNCTION("IF(A6107&lt;&gt;"""", GOOGLETRANSLATE(A6107, ""en"", ""te""),"""")"),"")</f>
        <v/>
      </c>
      <c r="C6107" s="2"/>
      <c r="D6107" s="2" t="str">
        <f>IFERROR(__xludf.DUMMYFUNCTION("IF(C6107&lt;&gt;"""", GOOGLETRANSLATE(C6107, ""en"", ""te""),"""")"),"")</f>
        <v/>
      </c>
      <c r="E6107" s="2"/>
      <c r="F6107" s="2" t="str">
        <f>IFERROR(__xludf.DUMMYFUNCTION("IF(E6107&lt;&gt;"""", GOOGLETRANSLATE(E6107, ""en"", ""te""),"""")"),"")</f>
        <v/>
      </c>
      <c r="G6107" s="2"/>
      <c r="H6107" s="2" t="str">
        <f>IFERROR(__xludf.DUMMYFUNCTION("IF(G6107&lt;&gt;"""", GOOGLETRANSLATE(G6107, ""en"", ""te""),"""")"),"")</f>
        <v/>
      </c>
      <c r="I6107" s="3"/>
    </row>
    <row r="6108" customHeight="1" spans="1:9">
      <c r="A6108" s="2"/>
      <c r="B6108" s="2" t="str">
        <f>IFERROR(__xludf.DUMMYFUNCTION("IF(A6108&lt;&gt;"""", GOOGLETRANSLATE(A6108, ""en"", ""te""),"""")"),"")</f>
        <v/>
      </c>
      <c r="C6108" s="2"/>
      <c r="D6108" s="2" t="str">
        <f>IFERROR(__xludf.DUMMYFUNCTION("IF(C6108&lt;&gt;"""", GOOGLETRANSLATE(C6108, ""en"", ""te""),"""")"),"")</f>
        <v/>
      </c>
      <c r="E6108" s="2"/>
      <c r="F6108" s="2" t="str">
        <f>IFERROR(__xludf.DUMMYFUNCTION("IF(E6108&lt;&gt;"""", GOOGLETRANSLATE(E6108, ""en"", ""te""),"""")"),"")</f>
        <v/>
      </c>
      <c r="G6108" s="2"/>
      <c r="H6108" s="2" t="str">
        <f>IFERROR(__xludf.DUMMYFUNCTION("IF(G6108&lt;&gt;"""", GOOGLETRANSLATE(G6108, ""en"", ""te""),"""")"),"")</f>
        <v/>
      </c>
      <c r="I6108" s="3"/>
    </row>
    <row r="6109" customHeight="1" spans="1:9">
      <c r="A6109" s="2"/>
      <c r="B6109" s="2" t="str">
        <f>IFERROR(__xludf.DUMMYFUNCTION("IF(A6109&lt;&gt;"""", GOOGLETRANSLATE(A6109, ""en"", ""te""),"""")"),"")</f>
        <v/>
      </c>
      <c r="C6109" s="2"/>
      <c r="D6109" s="2" t="str">
        <f>IFERROR(__xludf.DUMMYFUNCTION("IF(C6109&lt;&gt;"""", GOOGLETRANSLATE(C6109, ""en"", ""te""),"""")"),"")</f>
        <v/>
      </c>
      <c r="E6109" s="2"/>
      <c r="F6109" s="2" t="str">
        <f>IFERROR(__xludf.DUMMYFUNCTION("IF(E6109&lt;&gt;"""", GOOGLETRANSLATE(E6109, ""en"", ""te""),"""")"),"")</f>
        <v/>
      </c>
      <c r="G6109" s="2"/>
      <c r="H6109" s="2" t="str">
        <f>IFERROR(__xludf.DUMMYFUNCTION("IF(G6109&lt;&gt;"""", GOOGLETRANSLATE(G6109, ""en"", ""te""),"""")"),"")</f>
        <v/>
      </c>
      <c r="I6109" s="3"/>
    </row>
    <row r="6110" customHeight="1" spans="1:9">
      <c r="A6110" s="2"/>
      <c r="B6110" s="2" t="str">
        <f>IFERROR(__xludf.DUMMYFUNCTION("IF(A6110&lt;&gt;"""", GOOGLETRANSLATE(A6110, ""en"", ""te""),"""")"),"")</f>
        <v/>
      </c>
      <c r="C6110" s="2"/>
      <c r="D6110" s="2" t="str">
        <f>IFERROR(__xludf.DUMMYFUNCTION("IF(C6110&lt;&gt;"""", GOOGLETRANSLATE(C6110, ""en"", ""te""),"""")"),"")</f>
        <v/>
      </c>
      <c r="E6110" s="2"/>
      <c r="F6110" s="2" t="str">
        <f>IFERROR(__xludf.DUMMYFUNCTION("IF(E6110&lt;&gt;"""", GOOGLETRANSLATE(E6110, ""en"", ""te""),"""")"),"")</f>
        <v/>
      </c>
      <c r="G6110" s="2"/>
      <c r="H6110" s="2" t="str">
        <f>IFERROR(__xludf.DUMMYFUNCTION("IF(G6110&lt;&gt;"""", GOOGLETRANSLATE(G6110, ""en"", ""te""),"""")"),"")</f>
        <v/>
      </c>
      <c r="I6110" s="3"/>
    </row>
    <row r="6111" customHeight="1" spans="1:9">
      <c r="A6111" s="2"/>
      <c r="B6111" s="2" t="str">
        <f>IFERROR(__xludf.DUMMYFUNCTION("IF(A6111&lt;&gt;"""", GOOGLETRANSLATE(A6111, ""en"", ""te""),"""")"),"")</f>
        <v/>
      </c>
      <c r="C6111" s="2"/>
      <c r="D6111" s="2" t="str">
        <f>IFERROR(__xludf.DUMMYFUNCTION("IF(C6111&lt;&gt;"""", GOOGLETRANSLATE(C6111, ""en"", ""te""),"""")"),"")</f>
        <v/>
      </c>
      <c r="E6111" s="2"/>
      <c r="F6111" s="2" t="str">
        <f>IFERROR(__xludf.DUMMYFUNCTION("IF(E6111&lt;&gt;"""", GOOGLETRANSLATE(E6111, ""en"", ""te""),"""")"),"")</f>
        <v/>
      </c>
      <c r="G6111" s="2"/>
      <c r="H6111" s="2" t="str">
        <f>IFERROR(__xludf.DUMMYFUNCTION("IF(G6111&lt;&gt;"""", GOOGLETRANSLATE(G6111, ""en"", ""te""),"""")"),"")</f>
        <v/>
      </c>
      <c r="I6111" s="3"/>
    </row>
    <row r="6112" customHeight="1" spans="1:9">
      <c r="A6112" s="2" t="s">
        <v>352</v>
      </c>
      <c r="B6112" s="2" t="str">
        <f>IFERROR(__xludf.DUMMYFUNCTION("IF(A6112&lt;&gt;"""", GOOGLETRANSLATE(A6112, ""en"", ""te""),"""")"),"[ 'బ్యాటింగ్ ప్రారంభించుటకు మరియు అదే మ్యాచ్ లో బౌలింగ్']")</f>
        <v>[ 'బ్యాటింగ్ ప్రారంభించుటకు మరియు అదే మ్యాచ్ లో బౌలింగ్']</v>
      </c>
      <c r="C6112" s="2" t="s">
        <v>3769</v>
      </c>
      <c r="D6112" s="2" t="str">
        <f>IFERROR(__xludf.DUMMYFUNCTION("IF(C6112&lt;&gt;"""", GOOGLETRANSLATE(C6112, ""en"", ""te""),"""")"),"[ '41 వ పిన్న ఆటగాడు ఐదు వికెట్ల లో-ఒక-ఇన్నింగ్స్ తీసుకోవాలని (20y 105d)']")</f>
        <v>[ '41 వ పిన్న ఆటగాడు ఐదు వికెట్ల లో-ఒక-ఇన్నింగ్స్ తీసుకోవాలని (20y 105d)']</v>
      </c>
      <c r="E6112" s="2"/>
      <c r="F6112" s="2" t="str">
        <f>IFERROR(__xludf.DUMMYFUNCTION("IF(E6112&lt;&gt;"""", GOOGLETRANSLATE(E6112, ""en"", ""te""),"""")"),"")</f>
        <v/>
      </c>
      <c r="G6112" s="2"/>
      <c r="H6112" s="2" t="str">
        <f>IFERROR(__xludf.DUMMYFUNCTION("IF(G6112&lt;&gt;"""", GOOGLETRANSLATE(G6112, ""en"", ""te""),"""")"),"")</f>
        <v/>
      </c>
      <c r="I6112" s="3"/>
    </row>
    <row r="6113" customHeight="1" spans="1:9">
      <c r="A6113" s="2"/>
      <c r="B6113" s="2" t="str">
        <f>IFERROR(__xludf.DUMMYFUNCTION("IF(A6113&lt;&gt;"""", GOOGLETRANSLATE(A6113, ""en"", ""te""),"""")"),"")</f>
        <v/>
      </c>
      <c r="C6113" s="2"/>
      <c r="D6113" s="2" t="str">
        <f>IFERROR(__xludf.DUMMYFUNCTION("IF(C6113&lt;&gt;"""", GOOGLETRANSLATE(C6113, ""en"", ""te""),"""")"),"")</f>
        <v/>
      </c>
      <c r="E6113" s="2"/>
      <c r="F6113" s="2" t="str">
        <f>IFERROR(__xludf.DUMMYFUNCTION("IF(E6113&lt;&gt;"""", GOOGLETRANSLATE(E6113, ""en"", ""te""),"""")"),"")</f>
        <v/>
      </c>
      <c r="G6113" s="2"/>
      <c r="H6113" s="2" t="str">
        <f>IFERROR(__xludf.DUMMYFUNCTION("IF(G6113&lt;&gt;"""", GOOGLETRANSLATE(G6113, ""en"", ""te""),"""")"),"")</f>
        <v/>
      </c>
      <c r="I6113" s="3"/>
    </row>
    <row r="6114" customHeight="1" spans="1:9">
      <c r="A6114" s="2"/>
      <c r="B6114" s="2" t="str">
        <f>IFERROR(__xludf.DUMMYFUNCTION("IF(A6114&lt;&gt;"""", GOOGLETRANSLATE(A6114, ""en"", ""te""),"""")"),"")</f>
        <v/>
      </c>
      <c r="C6114" s="2"/>
      <c r="D6114" s="2" t="str">
        <f>IFERROR(__xludf.DUMMYFUNCTION("IF(C6114&lt;&gt;"""", GOOGLETRANSLATE(C6114, ""en"", ""te""),"""")"),"")</f>
        <v/>
      </c>
      <c r="E6114" s="2"/>
      <c r="F6114" s="2" t="str">
        <f>IFERROR(__xludf.DUMMYFUNCTION("IF(E6114&lt;&gt;"""", GOOGLETRANSLATE(E6114, ""en"", ""te""),"""")"),"")</f>
        <v/>
      </c>
      <c r="G6114" s="2"/>
      <c r="H6114" s="2" t="str">
        <f>IFERROR(__xludf.DUMMYFUNCTION("IF(G6114&lt;&gt;"""", GOOGLETRANSLATE(G6114, ""en"", ""te""),"""")"),"")</f>
        <v/>
      </c>
      <c r="I6114" s="3"/>
    </row>
    <row r="6115" customHeight="1" spans="1:9">
      <c r="A6115" s="2"/>
      <c r="B6115" s="2" t="str">
        <f>IFERROR(__xludf.DUMMYFUNCTION("IF(A6115&lt;&gt;"""", GOOGLETRANSLATE(A6115, ""en"", ""te""),"""")"),"")</f>
        <v/>
      </c>
      <c r="C6115" s="2"/>
      <c r="D6115" s="2" t="str">
        <f>IFERROR(__xludf.DUMMYFUNCTION("IF(C6115&lt;&gt;"""", GOOGLETRANSLATE(C6115, ""en"", ""te""),"""")"),"")</f>
        <v/>
      </c>
      <c r="E6115" s="2"/>
      <c r="F6115" s="2" t="str">
        <f>IFERROR(__xludf.DUMMYFUNCTION("IF(E6115&lt;&gt;"""", GOOGLETRANSLATE(E6115, ""en"", ""te""),"""")"),"")</f>
        <v/>
      </c>
      <c r="G6115" s="2"/>
      <c r="H6115" s="2" t="str">
        <f>IFERROR(__xludf.DUMMYFUNCTION("IF(G6115&lt;&gt;"""", GOOGLETRANSLATE(G6115, ""en"", ""te""),"""")"),"")</f>
        <v/>
      </c>
      <c r="I6115" s="3"/>
    </row>
    <row r="6116" customHeight="1" spans="1:9">
      <c r="A6116" s="2"/>
      <c r="B6116" s="2" t="str">
        <f>IFERROR(__xludf.DUMMYFUNCTION("IF(A6116&lt;&gt;"""", GOOGLETRANSLATE(A6116, ""en"", ""te""),"""")"),"")</f>
        <v/>
      </c>
      <c r="C6116" s="2"/>
      <c r="D6116" s="2" t="str">
        <f>IFERROR(__xludf.DUMMYFUNCTION("IF(C6116&lt;&gt;"""", GOOGLETRANSLATE(C6116, ""en"", ""te""),"""")"),"")</f>
        <v/>
      </c>
      <c r="E6116" s="2"/>
      <c r="F6116" s="2" t="str">
        <f>IFERROR(__xludf.DUMMYFUNCTION("IF(E6116&lt;&gt;"""", GOOGLETRANSLATE(E6116, ""en"", ""te""),"""")"),"")</f>
        <v/>
      </c>
      <c r="G6116" s="2"/>
      <c r="H6116" s="2" t="str">
        <f>IFERROR(__xludf.DUMMYFUNCTION("IF(G6116&lt;&gt;"""", GOOGLETRANSLATE(G6116, ""en"", ""te""),"""")"),"")</f>
        <v/>
      </c>
      <c r="I6116" s="3"/>
    </row>
    <row r="6117" customHeight="1" spans="1:9">
      <c r="A6117" s="2"/>
      <c r="B6117" s="2" t="str">
        <f>IFERROR(__xludf.DUMMYFUNCTION("IF(A6117&lt;&gt;"""", GOOGLETRANSLATE(A6117, ""en"", ""te""),"""")"),"")</f>
        <v/>
      </c>
      <c r="C6117" s="2"/>
      <c r="D6117" s="2" t="str">
        <f>IFERROR(__xludf.DUMMYFUNCTION("IF(C6117&lt;&gt;"""", GOOGLETRANSLATE(C6117, ""en"", ""te""),"""")"),"")</f>
        <v/>
      </c>
      <c r="E6117" s="2"/>
      <c r="F6117" s="2" t="str">
        <f>IFERROR(__xludf.DUMMYFUNCTION("IF(E6117&lt;&gt;"""", GOOGLETRANSLATE(E6117, ""en"", ""te""),"""")"),"")</f>
        <v/>
      </c>
      <c r="G6117" s="2"/>
      <c r="H6117" s="2" t="str">
        <f>IFERROR(__xludf.DUMMYFUNCTION("IF(G6117&lt;&gt;"""", GOOGLETRANSLATE(G6117, ""en"", ""te""),"""")"),"")</f>
        <v/>
      </c>
      <c r="I6117" s="3"/>
    </row>
    <row r="6118" customHeight="1" spans="1:9">
      <c r="A6118" s="2"/>
      <c r="B6118" s="2" t="str">
        <f>IFERROR(__xludf.DUMMYFUNCTION("IF(A6118&lt;&gt;"""", GOOGLETRANSLATE(A6118, ""en"", ""te""),"""")"),"")</f>
        <v/>
      </c>
      <c r="C6118" s="2"/>
      <c r="D6118" s="2" t="str">
        <f>IFERROR(__xludf.DUMMYFUNCTION("IF(C6118&lt;&gt;"""", GOOGLETRANSLATE(C6118, ""en"", ""te""),"""")"),"")</f>
        <v/>
      </c>
      <c r="E6118" s="2"/>
      <c r="F6118" s="2" t="str">
        <f>IFERROR(__xludf.DUMMYFUNCTION("IF(E6118&lt;&gt;"""", GOOGLETRANSLATE(E6118, ""en"", ""te""),"""")"),"")</f>
        <v/>
      </c>
      <c r="G6118" s="2"/>
      <c r="H6118" s="2" t="str">
        <f>IFERROR(__xludf.DUMMYFUNCTION("IF(G6118&lt;&gt;"""", GOOGLETRANSLATE(G6118, ""en"", ""te""),"""")"),"")</f>
        <v/>
      </c>
      <c r="I6118" s="3"/>
    </row>
    <row r="6119" customHeight="1" spans="1:9">
      <c r="A6119" s="2"/>
      <c r="B6119" s="2" t="str">
        <f>IFERROR(__xludf.DUMMYFUNCTION("IF(A6119&lt;&gt;"""", GOOGLETRANSLATE(A6119, ""en"", ""te""),"""")"),"")</f>
        <v/>
      </c>
      <c r="C6119" s="2"/>
      <c r="D6119" s="2" t="str">
        <f>IFERROR(__xludf.DUMMYFUNCTION("IF(C6119&lt;&gt;"""", GOOGLETRANSLATE(C6119, ""en"", ""te""),"""")"),"")</f>
        <v/>
      </c>
      <c r="E6119" s="2"/>
      <c r="F6119" s="2" t="str">
        <f>IFERROR(__xludf.DUMMYFUNCTION("IF(E6119&lt;&gt;"""", GOOGLETRANSLATE(E6119, ""en"", ""te""),"""")"),"")</f>
        <v/>
      </c>
      <c r="G6119" s="2"/>
      <c r="H6119" s="2" t="str">
        <f>IFERROR(__xludf.DUMMYFUNCTION("IF(G6119&lt;&gt;"""", GOOGLETRANSLATE(G6119, ""en"", ""te""),"""")"),"")</f>
        <v/>
      </c>
      <c r="I6119" s="3"/>
    </row>
    <row r="6120" customHeight="1" spans="1:9">
      <c r="A6120" s="2"/>
      <c r="B6120" s="2" t="str">
        <f>IFERROR(__xludf.DUMMYFUNCTION("IF(A6120&lt;&gt;"""", GOOGLETRANSLATE(A6120, ""en"", ""te""),"""")"),"")</f>
        <v/>
      </c>
      <c r="C6120" s="2"/>
      <c r="D6120" s="2" t="str">
        <f>IFERROR(__xludf.DUMMYFUNCTION("IF(C6120&lt;&gt;"""", GOOGLETRANSLATE(C6120, ""en"", ""te""),"""")"),"")</f>
        <v/>
      </c>
      <c r="E6120" s="2"/>
      <c r="F6120" s="2" t="str">
        <f>IFERROR(__xludf.DUMMYFUNCTION("IF(E6120&lt;&gt;"""", GOOGLETRANSLATE(E6120, ""en"", ""te""),"""")"),"")</f>
        <v/>
      </c>
      <c r="G6120" s="2"/>
      <c r="H6120" s="2" t="str">
        <f>IFERROR(__xludf.DUMMYFUNCTION("IF(G6120&lt;&gt;"""", GOOGLETRANSLATE(G6120, ""en"", ""te""),"""")"),"")</f>
        <v/>
      </c>
      <c r="I6120" s="3"/>
    </row>
    <row r="6121" customHeight="1" spans="1:9">
      <c r="A6121" s="2" t="s">
        <v>352</v>
      </c>
      <c r="B6121" s="2" t="str">
        <f>IFERROR(__xludf.DUMMYFUNCTION("IF(A6121&lt;&gt;"""", GOOGLETRANSLATE(A6121, ""en"", ""te""),"""")"),"[ 'బ్యాటింగ్ ప్రారంభించుటకు మరియు అదే మ్యాచ్ లో బౌలింగ్']")</f>
        <v>[ 'బ్యాటింగ్ ప్రారంభించుటకు మరియు అదే మ్యాచ్ లో బౌలింగ్']</v>
      </c>
      <c r="C6121" s="2" t="s">
        <v>3770</v>
      </c>
      <c r="D6121" s="2" t="str">
        <f>IFERROR(__xludf.DUMMYFUNCTION("IF(C6121&lt;&gt;"""", GOOGLETRANSLATE(C6121, ""en"", ""te""),"""")"),"[ '22 వ అరంగేట్రంలోనే ఇన్నింగ్స్ లోని బెస్ట్ ఫిగర్స్ (6)', 'ఐదు వికెట్ల లో-ఒక-ఇన్నింగ్స్ పడుతుంది 50 వ పిన్న ఆటగాడు (20y 201d)']")</f>
        <v>[ '22 వ అరంగేట్రంలోనే ఇన్నింగ్స్ లోని బెస్ట్ ఫిగర్స్ (6)', 'ఐదు వికెట్ల లో-ఒక-ఇన్నింగ్స్ పడుతుంది 50 వ పిన్న ఆటగాడు (20y 201d)']</v>
      </c>
      <c r="E6121" s="2"/>
      <c r="F6121" s="2" t="str">
        <f>IFERROR(__xludf.DUMMYFUNCTION("IF(E6121&lt;&gt;"""", GOOGLETRANSLATE(E6121, ""en"", ""te""),"""")"),"")</f>
        <v/>
      </c>
      <c r="G6121" s="2"/>
      <c r="H6121" s="2" t="str">
        <f>IFERROR(__xludf.DUMMYFUNCTION("IF(G6121&lt;&gt;"""", GOOGLETRANSLATE(G6121, ""en"", ""te""),"""")"),"")</f>
        <v/>
      </c>
      <c r="I6121" s="3"/>
    </row>
    <row r="6122" customHeight="1" spans="1:9">
      <c r="A6122" s="2" t="s">
        <v>3771</v>
      </c>
      <c r="B6122" s="2" t="str">
        <f>IFERROR(__xludf.DUMMYFUNCTION("IF(A6122&lt;&gt;"""", GOOGLETRANSLATE(A6122, ""en"", ""te""),"""")"),"[ '5 వ ఉత్తమ కెరీర్ బౌలింగ్ సరాసరి (అర్హత లేకుండా) (2.00)']")</f>
        <v>[ '5 వ ఉత్తమ కెరీర్ బౌలింగ్ సరాసరి (అర్హత లేకుండా) (2.00)']</v>
      </c>
      <c r="C6122" s="2" t="s">
        <v>3771</v>
      </c>
      <c r="D6122" s="2" t="str">
        <f>IFERROR(__xludf.DUMMYFUNCTION("IF(C6122&lt;&gt;"""", GOOGLETRANSLATE(C6122, ""en"", ""te""),"""")"),"[ '5 వ ఉత్తమ కెరీర్ బౌలింగ్ సరాసరి (అర్హత లేకుండా) (2.00)']")</f>
        <v>[ '5 వ ఉత్తమ కెరీర్ బౌలింగ్ సరాసరి (అర్హత లేకుండా) (2.00)']</v>
      </c>
      <c r="E6122" s="2"/>
      <c r="F6122" s="2" t="str">
        <f>IFERROR(__xludf.DUMMYFUNCTION("IF(E6122&lt;&gt;"""", GOOGLETRANSLATE(E6122, ""en"", ""te""),"""")"),"")</f>
        <v/>
      </c>
      <c r="G6122" s="2"/>
      <c r="H6122" s="2" t="str">
        <f>IFERROR(__xludf.DUMMYFUNCTION("IF(G6122&lt;&gt;"""", GOOGLETRANSLATE(G6122, ""en"", ""te""),"""")"),"")</f>
        <v/>
      </c>
      <c r="I6122" s="3"/>
    </row>
    <row r="6123" customHeight="1" spans="1:9">
      <c r="A6123" s="2"/>
      <c r="B6123" s="2" t="str">
        <f>IFERROR(__xludf.DUMMYFUNCTION("IF(A6123&lt;&gt;"""", GOOGLETRANSLATE(A6123, ""en"", ""te""),"""")"),"")</f>
        <v/>
      </c>
      <c r="C6123" s="2"/>
      <c r="D6123" s="2" t="str">
        <f>IFERROR(__xludf.DUMMYFUNCTION("IF(C6123&lt;&gt;"""", GOOGLETRANSLATE(C6123, ""en"", ""te""),"""")"),"")</f>
        <v/>
      </c>
      <c r="E6123" s="2"/>
      <c r="F6123" s="2" t="str">
        <f>IFERROR(__xludf.DUMMYFUNCTION("IF(E6123&lt;&gt;"""", GOOGLETRANSLATE(E6123, ""en"", ""te""),"""")"),"")</f>
        <v/>
      </c>
      <c r="G6123" s="2"/>
      <c r="H6123" s="2" t="str">
        <f>IFERROR(__xludf.DUMMYFUNCTION("IF(G6123&lt;&gt;"""", GOOGLETRANSLATE(G6123, ""en"", ""te""),"""")"),"")</f>
        <v/>
      </c>
      <c r="I6123" s="3"/>
    </row>
    <row r="6124" customHeight="1" spans="1:9">
      <c r="A6124" s="2"/>
      <c r="B6124" s="2" t="str">
        <f>IFERROR(__xludf.DUMMYFUNCTION("IF(A6124&lt;&gt;"""", GOOGLETRANSLATE(A6124, ""en"", ""te""),"""")"),"")</f>
        <v/>
      </c>
      <c r="C6124" s="2"/>
      <c r="D6124" s="2" t="str">
        <f>IFERROR(__xludf.DUMMYFUNCTION("IF(C6124&lt;&gt;"""", GOOGLETRANSLATE(C6124, ""en"", ""te""),"""")"),"")</f>
        <v/>
      </c>
      <c r="E6124" s="2"/>
      <c r="F6124" s="2" t="str">
        <f>IFERROR(__xludf.DUMMYFUNCTION("IF(E6124&lt;&gt;"""", GOOGLETRANSLATE(E6124, ""en"", ""te""),"""")"),"")</f>
        <v/>
      </c>
      <c r="G6124" s="2"/>
      <c r="H6124" s="2" t="str">
        <f>IFERROR(__xludf.DUMMYFUNCTION("IF(G6124&lt;&gt;"""", GOOGLETRANSLATE(G6124, ""en"", ""te""),"""")"),"")</f>
        <v/>
      </c>
      <c r="I6124" s="3"/>
    </row>
    <row r="6125" customHeight="1" spans="1:9">
      <c r="A6125" s="2"/>
      <c r="B6125" s="2" t="str">
        <f>IFERROR(__xludf.DUMMYFUNCTION("IF(A6125&lt;&gt;"""", GOOGLETRANSLATE(A6125, ""en"", ""te""),"""")"),"")</f>
        <v/>
      </c>
      <c r="C6125" s="2"/>
      <c r="D6125" s="2" t="str">
        <f>IFERROR(__xludf.DUMMYFUNCTION("IF(C6125&lt;&gt;"""", GOOGLETRANSLATE(C6125, ""en"", ""te""),"""")"),"")</f>
        <v/>
      </c>
      <c r="E6125" s="2" t="s">
        <v>3772</v>
      </c>
      <c r="F6125" s="2" t="str">
        <f>IFERROR(__xludf.DUMMYFUNCTION("IF(E6125&lt;&gt;"""", GOOGLETRANSLATE(E6125, ""en"", ""te""),"""")"),"[ '23 మొదటి డక్ (18) ముందు చాలా ఇన్నింగ్స్]")</f>
        <v>[ '23 మొదటి డక్ (18) ముందు చాలా ఇన్నింగ్స్]</v>
      </c>
      <c r="G6125" s="2" t="s">
        <v>3716</v>
      </c>
      <c r="H6125" s="2" t="str">
        <f>IFERROR(__xludf.DUMMYFUNCTION("IF(G6125&lt;&gt;"""", GOOGLETRANSLATE(G6125, ""en"", ""te""),"""")"),"[ 'మొదటి డక్ (12) ముందు 47 వ అత్యంత ఇన్నింగ్స్]")</f>
        <v>[ 'మొదటి డక్ (12) ముందు 47 వ అత్యంత ఇన్నింగ్స్]</v>
      </c>
      <c r="I6125" s="3"/>
    </row>
    <row r="6126" customHeight="1" spans="1:9">
      <c r="A6126" s="2"/>
      <c r="B6126" s="2" t="str">
        <f>IFERROR(__xludf.DUMMYFUNCTION("IF(A6126&lt;&gt;"""", GOOGLETRANSLATE(A6126, ""en"", ""te""),"""")"),"")</f>
        <v/>
      </c>
      <c r="C6126" s="2"/>
      <c r="D6126" s="2" t="str">
        <f>IFERROR(__xludf.DUMMYFUNCTION("IF(C6126&lt;&gt;"""", GOOGLETRANSLATE(C6126, ""en"", ""te""),"""")"),"")</f>
        <v/>
      </c>
      <c r="E6126" s="2"/>
      <c r="F6126" s="2" t="str">
        <f>IFERROR(__xludf.DUMMYFUNCTION("IF(E6126&lt;&gt;"""", GOOGLETRANSLATE(E6126, ""en"", ""te""),"""")"),"")</f>
        <v/>
      </c>
      <c r="G6126" s="2"/>
      <c r="H6126" s="2" t="str">
        <f>IFERROR(__xludf.DUMMYFUNCTION("IF(G6126&lt;&gt;"""", GOOGLETRANSLATE(G6126, ""en"", ""te""),"""")"),"")</f>
        <v/>
      </c>
      <c r="I6126" s="3"/>
    </row>
    <row r="6127" customHeight="1" spans="1:9">
      <c r="A6127" s="2" t="s">
        <v>3773</v>
      </c>
      <c r="B6127" s="2" t="str">
        <f>IFERROR(__xludf.DUMMYFUNCTION("IF(A6127&lt;&gt;"""", GOOGLETRANSLATE(A6127, ""en"", ""te""),"""")"),"[ 'రెండవ వికెట్కు 9 వ అత్యధిక భాగస్వామ్యం (143 *)' '7th పిన్న ఆటగాడు వంద (19y 72d) స్కోర్']")</f>
        <v>[ 'రెండవ వికెట్కు 9 వ అత్యధిక భాగస్వామ్యం (143 *)' '7th పిన్న ఆటగాడు వంద (19y 72d) స్కోర్']</v>
      </c>
      <c r="C6127" s="2"/>
      <c r="D6127" s="2" t="str">
        <f>IFERROR(__xludf.DUMMYFUNCTION("IF(C6127&lt;&gt;"""", GOOGLETRANSLATE(C6127, ""en"", ""te""),"""")"),"")</f>
        <v/>
      </c>
      <c r="E6127" s="2" t="s">
        <v>3774</v>
      </c>
      <c r="F6127" s="2" t="str">
        <f>IFERROR(__xludf.DUMMYFUNCTION("IF(E6127&lt;&gt;"""", GOOGLETRANSLATE(E6127, ""en"", ""te""),"""")"),"[ '7th పిన్న ఆటగాడు వంద (19y 72d) స్కోర్', '33 వ పిన్న క్రీడాకారులు (17y 152d)']")</f>
        <v>[ '7th పిన్న ఆటగాడు వంద (19y 72d) స్కోర్', '33 వ పిన్న క్రీడాకారులు (17y 152d)']</v>
      </c>
      <c r="G6127" s="2" t="s">
        <v>3775</v>
      </c>
      <c r="H6127" s="2" t="str">
        <f>IFERROR(__xludf.DUMMYFUNCTION("IF(G6127&lt;&gt;"""", GOOGLETRANSLATE(G6127, ""en"", ""te""),"""")"),"[ '37 వ కెరీర్ లో అత్యధిక పరుగులు (1471)', '24 వ ఇన్నింగ్స్ లో అత్యధిక పరుగులు (111 *)', '18 వ ఇన్నింగ్స్ లో అత్యధిక పరుగులు (బ్యాటింగ్ స్థానంలో ప్రకారం) (111 *)', '32 వ కెరీర్ అర్ధ ( 8) ',' 49 వ అత్యంత ఇన్నింగ్స్ తొలి డక్ ముందు (15) ',' ఒక డక్ లేకుండా 41"&amp;" వ వరుస ఇన్నింగ్స్ (33 *) ',' కెరీర్లో 18 వ అతి తక్కువ బాతులు (29.5) ',' 20 వ కెరీర్ ఫోర్లు (157) ''21 వ లాంగెస్ట్ వ్యక్తిగత ఇన్నింగ్స్ (బంతులతో) (64)', 'ఒక ఇన్నింగ్స్లో పరుగుల 27 అత్యధిక శాతం (58.42)', '32 వ 1000 పరుగులు (42)', '26th అత్యధిక వాటా వేగవంతమ"&amp;"ైన ఏ వికెట్కు ( 143 *) ',' రెండవ వికెట్ (143 *) 9 వ అత్యధిక భాగస్వామ్యం ',' నాలుగవ వికెట్కు 47 వ అత్యధిక భాగస్వామ్యం (83) ',' 50th పిన్న క్రీడాకారులు (17y 165d) ']")</f>
        <v>[ '37 వ కెరీర్ లో అత్యధిక పరుగులు (1471)', '24 వ ఇన్నింగ్స్ లో అత్యధిక పరుగులు (111 *)', '18 వ ఇన్నింగ్స్ లో అత్యధిక పరుగులు (బ్యాటింగ్ స్థానంలో ప్రకారం) (111 *)', '32 వ కెరీర్ అర్ధ ( 8) ',' 49 వ అత్యంత ఇన్నింగ్స్ తొలి డక్ ముందు (15) ',' ఒక డక్ లేకుండా 41 వ వరుస ఇన్నింగ్స్ (33 *) ',' కెరీర్లో 18 వ అతి తక్కువ బాతులు (29.5) ',' 20 వ కెరీర్ ఫోర్లు (157) ''21 వ లాంగెస్ట్ వ్యక్తిగత ఇన్నింగ్స్ (బంతులతో) (64)', 'ఒక ఇన్నింగ్స్లో పరుగుల 27 అత్యధిక శాతం (58.42)', '32 వ 1000 పరుగులు (42)', '26th అత్యధిక వాటా వేగవంతమైన ఏ వికెట్కు ( 143 *) ',' రెండవ వికెట్ (143 *) 9 వ అత్యధిక భాగస్వామ్యం ',' నాలుగవ వికెట్కు 47 వ అత్యధిక భాగస్వామ్యం (83) ',' 50th పిన్న క్రీడాకారులు (17y 165d) ']</v>
      </c>
      <c r="I6127" s="3"/>
    </row>
    <row r="6128" customHeight="1" spans="1:9">
      <c r="A6128" s="2"/>
      <c r="B6128" s="2" t="str">
        <f>IFERROR(__xludf.DUMMYFUNCTION("IF(A6128&lt;&gt;"""", GOOGLETRANSLATE(A6128, ""en"", ""te""),"""")"),"")</f>
        <v/>
      </c>
      <c r="C6128" s="2"/>
      <c r="D6128" s="2" t="str">
        <f>IFERROR(__xludf.DUMMYFUNCTION("IF(C6128&lt;&gt;"""", GOOGLETRANSLATE(C6128, ""en"", ""te""),"""")"),"")</f>
        <v/>
      </c>
      <c r="E6128" s="2"/>
      <c r="F6128" s="2" t="str">
        <f>IFERROR(__xludf.DUMMYFUNCTION("IF(E6128&lt;&gt;"""", GOOGLETRANSLATE(E6128, ""en"", ""te""),"""")"),"")</f>
        <v/>
      </c>
      <c r="G6128" s="2"/>
      <c r="H6128" s="2" t="str">
        <f>IFERROR(__xludf.DUMMYFUNCTION("IF(G6128&lt;&gt;"""", GOOGLETRANSLATE(G6128, ""en"", ""te""),"""")"),"")</f>
        <v/>
      </c>
      <c r="I6128" s="3"/>
    </row>
    <row r="6129" customHeight="1" spans="1:9">
      <c r="A6129" s="2"/>
      <c r="B6129" s="2" t="str">
        <f>IFERROR(__xludf.DUMMYFUNCTION("IF(A6129&lt;&gt;"""", GOOGLETRANSLATE(A6129, ""en"", ""te""),"""")"),"")</f>
        <v/>
      </c>
      <c r="C6129" s="2"/>
      <c r="D6129" s="2" t="str">
        <f>IFERROR(__xludf.DUMMYFUNCTION("IF(C6129&lt;&gt;"""", GOOGLETRANSLATE(C6129, ""en"", ""te""),"""")"),"")</f>
        <v/>
      </c>
      <c r="E6129" s="2"/>
      <c r="F6129" s="2" t="str">
        <f>IFERROR(__xludf.DUMMYFUNCTION("IF(E6129&lt;&gt;"""", GOOGLETRANSLATE(E6129, ""en"", ""te""),"""")"),"")</f>
        <v/>
      </c>
      <c r="G6129" s="2"/>
      <c r="H6129" s="2" t="str">
        <f>IFERROR(__xludf.DUMMYFUNCTION("IF(G6129&lt;&gt;"""", GOOGLETRANSLATE(G6129, ""en"", ""te""),"""")"),"")</f>
        <v/>
      </c>
      <c r="I6129" s="3"/>
    </row>
    <row r="6130" customHeight="1" spans="1:9">
      <c r="A6130" s="2"/>
      <c r="B6130" s="2" t="str">
        <f>IFERROR(__xludf.DUMMYFUNCTION("IF(A6130&lt;&gt;"""", GOOGLETRANSLATE(A6130, ""en"", ""te""),"""")"),"")</f>
        <v/>
      </c>
      <c r="C6130" s="2"/>
      <c r="D6130" s="2" t="str">
        <f>IFERROR(__xludf.DUMMYFUNCTION("IF(C6130&lt;&gt;"""", GOOGLETRANSLATE(C6130, ""en"", ""te""),"""")"),"")</f>
        <v/>
      </c>
      <c r="E6130" s="2"/>
      <c r="F6130" s="2" t="str">
        <f>IFERROR(__xludf.DUMMYFUNCTION("IF(E6130&lt;&gt;"""", GOOGLETRANSLATE(E6130, ""en"", ""te""),"""")"),"")</f>
        <v/>
      </c>
      <c r="G6130" s="2"/>
      <c r="H6130" s="2" t="str">
        <f>IFERROR(__xludf.DUMMYFUNCTION("IF(G6130&lt;&gt;"""", GOOGLETRANSLATE(G6130, ""en"", ""te""),"""")"),"")</f>
        <v/>
      </c>
      <c r="I6130" s="3"/>
    </row>
    <row r="6131" customHeight="1" spans="1:9">
      <c r="A6131" s="2"/>
      <c r="B6131" s="2" t="str">
        <f>IFERROR(__xludf.DUMMYFUNCTION("IF(A6131&lt;&gt;"""", GOOGLETRANSLATE(A6131, ""en"", ""te""),"""")"),"")</f>
        <v/>
      </c>
      <c r="C6131" s="2"/>
      <c r="D6131" s="2" t="str">
        <f>IFERROR(__xludf.DUMMYFUNCTION("IF(C6131&lt;&gt;"""", GOOGLETRANSLATE(C6131, ""en"", ""te""),"""")"),"")</f>
        <v/>
      </c>
      <c r="E6131" s="2"/>
      <c r="F6131" s="2" t="str">
        <f>IFERROR(__xludf.DUMMYFUNCTION("IF(E6131&lt;&gt;"""", GOOGLETRANSLATE(E6131, ""en"", ""te""),"""")"),"")</f>
        <v/>
      </c>
      <c r="G6131" s="2"/>
      <c r="H6131" s="2" t="str">
        <f>IFERROR(__xludf.DUMMYFUNCTION("IF(G6131&lt;&gt;"""", GOOGLETRANSLATE(G6131, ""en"", ""te""),"""")"),"")</f>
        <v/>
      </c>
      <c r="I6131" s="3"/>
    </row>
    <row r="6132" customHeight="1" spans="1:9">
      <c r="A6132" s="2"/>
      <c r="B6132" s="2" t="str">
        <f>IFERROR(__xludf.DUMMYFUNCTION("IF(A6132&lt;&gt;"""", GOOGLETRANSLATE(A6132, ""en"", ""te""),"""")"),"")</f>
        <v/>
      </c>
      <c r="C6132" s="2" t="s">
        <v>3776</v>
      </c>
      <c r="D6132" s="2" t="str">
        <f>IFERROR(__xludf.DUMMYFUNCTION("IF(C6132&lt;&gt;"""", GOOGLETRANSLATE(C6132, ""en"", ""te""),"""")"),"[ 'తొలి 26 తొంభై (99)']")</f>
        <v>[ 'తొలి 26 తొంభై (99)']</v>
      </c>
      <c r="E6132" s="2"/>
      <c r="F6132" s="2" t="str">
        <f>IFERROR(__xludf.DUMMYFUNCTION("IF(E6132&lt;&gt;"""", GOOGLETRANSLATE(E6132, ""en"", ""te""),"""")"),"")</f>
        <v/>
      </c>
      <c r="G6132" s="2"/>
      <c r="H6132" s="2" t="str">
        <f>IFERROR(__xludf.DUMMYFUNCTION("IF(G6132&lt;&gt;"""", GOOGLETRANSLATE(G6132, ""en"", ""te""),"""")"),"")</f>
        <v/>
      </c>
      <c r="I6132" s="3"/>
    </row>
    <row r="6133" customHeight="1" spans="1:9">
      <c r="A6133" s="2"/>
      <c r="B6133" s="2" t="str">
        <f>IFERROR(__xludf.DUMMYFUNCTION("IF(A6133&lt;&gt;"""", GOOGLETRANSLATE(A6133, ""en"", ""te""),"""")"),"")</f>
        <v/>
      </c>
      <c r="C6133" s="2"/>
      <c r="D6133" s="2" t="str">
        <f>IFERROR(__xludf.DUMMYFUNCTION("IF(C6133&lt;&gt;"""", GOOGLETRANSLATE(C6133, ""en"", ""te""),"""")"),"")</f>
        <v/>
      </c>
      <c r="E6133" s="2"/>
      <c r="F6133" s="2" t="str">
        <f>IFERROR(__xludf.DUMMYFUNCTION("IF(E6133&lt;&gt;"""", GOOGLETRANSLATE(E6133, ""en"", ""te""),"""")"),"")</f>
        <v/>
      </c>
      <c r="G6133" s="2"/>
      <c r="H6133" s="2" t="str">
        <f>IFERROR(__xludf.DUMMYFUNCTION("IF(G6133&lt;&gt;"""", GOOGLETRANSLATE(G6133, ""en"", ""te""),"""")"),"")</f>
        <v/>
      </c>
      <c r="I6133" s="3"/>
    </row>
    <row r="6134" customHeight="1" spans="1:9">
      <c r="A6134" s="2"/>
      <c r="B6134" s="2" t="str">
        <f>IFERROR(__xludf.DUMMYFUNCTION("IF(A6134&lt;&gt;"""", GOOGLETRANSLATE(A6134, ""en"", ""te""),"""")"),"")</f>
        <v/>
      </c>
      <c r="C6134" s="2"/>
      <c r="D6134" s="2" t="str">
        <f>IFERROR(__xludf.DUMMYFUNCTION("IF(C6134&lt;&gt;"""", GOOGLETRANSLATE(C6134, ""en"", ""te""),"""")"),"")</f>
        <v/>
      </c>
      <c r="E6134" s="2"/>
      <c r="F6134" s="2" t="str">
        <f>IFERROR(__xludf.DUMMYFUNCTION("IF(E6134&lt;&gt;"""", GOOGLETRANSLATE(E6134, ""en"", ""te""),"""")"),"")</f>
        <v/>
      </c>
      <c r="G6134" s="2"/>
      <c r="H6134" s="2" t="str">
        <f>IFERROR(__xludf.DUMMYFUNCTION("IF(G6134&lt;&gt;"""", GOOGLETRANSLATE(G6134, ""en"", ""te""),"""")"),"")</f>
        <v/>
      </c>
      <c r="I6134" s="3"/>
    </row>
    <row r="6135" customHeight="1" spans="1:9">
      <c r="A6135" s="2"/>
      <c r="B6135" s="2" t="str">
        <f>IFERROR(__xludf.DUMMYFUNCTION("IF(A6135&lt;&gt;"""", GOOGLETRANSLATE(A6135, ""en"", ""te""),"""")"),"")</f>
        <v/>
      </c>
      <c r="C6135" s="2"/>
      <c r="D6135" s="2" t="str">
        <f>IFERROR(__xludf.DUMMYFUNCTION("IF(C6135&lt;&gt;"""", GOOGLETRANSLATE(C6135, ""en"", ""te""),"""")"),"")</f>
        <v/>
      </c>
      <c r="E6135" s="2"/>
      <c r="F6135" s="2" t="str">
        <f>IFERROR(__xludf.DUMMYFUNCTION("IF(E6135&lt;&gt;"""", GOOGLETRANSLATE(E6135, ""en"", ""te""),"""")"),"")</f>
        <v/>
      </c>
      <c r="G6135" s="2"/>
      <c r="H6135" s="2" t="str">
        <f>IFERROR(__xludf.DUMMYFUNCTION("IF(G6135&lt;&gt;"""", GOOGLETRANSLATE(G6135, ""en"", ""te""),"""")"),"")</f>
        <v/>
      </c>
      <c r="I6135" s="3"/>
    </row>
    <row r="6136" customHeight="1" spans="1:9">
      <c r="A6136" s="2"/>
      <c r="B6136" s="2" t="str">
        <f>IFERROR(__xludf.DUMMYFUNCTION("IF(A6136&lt;&gt;"""", GOOGLETRANSLATE(A6136, ""en"", ""te""),"""")"),"")</f>
        <v/>
      </c>
      <c r="C6136" s="2"/>
      <c r="D6136" s="2" t="str">
        <f>IFERROR(__xludf.DUMMYFUNCTION("IF(C6136&lt;&gt;"""", GOOGLETRANSLATE(C6136, ""en"", ""te""),"""")"),"")</f>
        <v/>
      </c>
      <c r="E6136" s="2"/>
      <c r="F6136" s="2" t="str">
        <f>IFERROR(__xludf.DUMMYFUNCTION("IF(E6136&lt;&gt;"""", GOOGLETRANSLATE(E6136, ""en"", ""te""),"""")"),"")</f>
        <v/>
      </c>
      <c r="G6136" s="2"/>
      <c r="H6136" s="2" t="str">
        <f>IFERROR(__xludf.DUMMYFUNCTION("IF(G6136&lt;&gt;"""", GOOGLETRANSLATE(G6136, ""en"", ""te""),"""")"),"")</f>
        <v/>
      </c>
      <c r="I6136" s="3"/>
    </row>
    <row r="6137" customHeight="1" spans="1:9">
      <c r="A6137" s="2"/>
      <c r="B6137" s="2" t="str">
        <f>IFERROR(__xludf.DUMMYFUNCTION("IF(A6137&lt;&gt;"""", GOOGLETRANSLATE(A6137, ""en"", ""te""),"""")"),"")</f>
        <v/>
      </c>
      <c r="C6137" s="2"/>
      <c r="D6137" s="2" t="str">
        <f>IFERROR(__xludf.DUMMYFUNCTION("IF(C6137&lt;&gt;"""", GOOGLETRANSLATE(C6137, ""en"", ""te""),"""")"),"")</f>
        <v/>
      </c>
      <c r="E6137" s="2"/>
      <c r="F6137" s="2" t="str">
        <f>IFERROR(__xludf.DUMMYFUNCTION("IF(E6137&lt;&gt;"""", GOOGLETRANSLATE(E6137, ""en"", ""te""),"""")"),"")</f>
        <v/>
      </c>
      <c r="G6137" s="2"/>
      <c r="H6137" s="2" t="str">
        <f>IFERROR(__xludf.DUMMYFUNCTION("IF(G6137&lt;&gt;"""", GOOGLETRANSLATE(G6137, ""en"", ""te""),"""")"),"")</f>
        <v/>
      </c>
      <c r="I6137" s="3"/>
    </row>
    <row r="6138" customHeight="1" spans="1:9">
      <c r="A6138" s="2"/>
      <c r="B6138" s="2" t="str">
        <f>IFERROR(__xludf.DUMMYFUNCTION("IF(A6138&lt;&gt;"""", GOOGLETRANSLATE(A6138, ""en"", ""te""),"""")"),"")</f>
        <v/>
      </c>
      <c r="C6138" s="2"/>
      <c r="D6138" s="2" t="str">
        <f>IFERROR(__xludf.DUMMYFUNCTION("IF(C6138&lt;&gt;"""", GOOGLETRANSLATE(C6138, ""en"", ""te""),"""")"),"")</f>
        <v/>
      </c>
      <c r="E6138" s="2"/>
      <c r="F6138" s="2" t="str">
        <f>IFERROR(__xludf.DUMMYFUNCTION("IF(E6138&lt;&gt;"""", GOOGLETRANSLATE(E6138, ""en"", ""te""),"""")"),"")</f>
        <v/>
      </c>
      <c r="G6138" s="2"/>
      <c r="H6138" s="2" t="str">
        <f>IFERROR(__xludf.DUMMYFUNCTION("IF(G6138&lt;&gt;"""", GOOGLETRANSLATE(G6138, ""en"", ""te""),"""")"),"")</f>
        <v/>
      </c>
      <c r="I6138" s="3"/>
    </row>
    <row r="6139" customHeight="1" spans="1:9">
      <c r="A6139" s="2"/>
      <c r="B6139" s="2" t="str">
        <f>IFERROR(__xludf.DUMMYFUNCTION("IF(A6139&lt;&gt;"""", GOOGLETRANSLATE(A6139, ""en"", ""te""),"""")"),"")</f>
        <v/>
      </c>
      <c r="C6139" s="2"/>
      <c r="D6139" s="2" t="str">
        <f>IFERROR(__xludf.DUMMYFUNCTION("IF(C6139&lt;&gt;"""", GOOGLETRANSLATE(C6139, ""en"", ""te""),"""")"),"")</f>
        <v/>
      </c>
      <c r="E6139" s="2"/>
      <c r="F6139" s="2" t="str">
        <f>IFERROR(__xludf.DUMMYFUNCTION("IF(E6139&lt;&gt;"""", GOOGLETRANSLATE(E6139, ""en"", ""te""),"""")"),"")</f>
        <v/>
      </c>
      <c r="G6139" s="2"/>
      <c r="H6139" s="2" t="str">
        <f>IFERROR(__xludf.DUMMYFUNCTION("IF(G6139&lt;&gt;"""", GOOGLETRANSLATE(G6139, ""en"", ""te""),"""")"),"")</f>
        <v/>
      </c>
      <c r="I6139" s="3"/>
    </row>
    <row r="6140" customHeight="1" spans="1:9">
      <c r="A6140" s="2"/>
      <c r="B6140" s="2" t="str">
        <f>IFERROR(__xludf.DUMMYFUNCTION("IF(A6140&lt;&gt;"""", GOOGLETRANSLATE(A6140, ""en"", ""te""),"""")"),"")</f>
        <v/>
      </c>
      <c r="C6140" s="2"/>
      <c r="D6140" s="2" t="str">
        <f>IFERROR(__xludf.DUMMYFUNCTION("IF(C6140&lt;&gt;"""", GOOGLETRANSLATE(C6140, ""en"", ""te""),"""")"),"")</f>
        <v/>
      </c>
      <c r="E6140" s="2"/>
      <c r="F6140" s="2" t="str">
        <f>IFERROR(__xludf.DUMMYFUNCTION("IF(E6140&lt;&gt;"""", GOOGLETRANSLATE(E6140, ""en"", ""te""),"""")"),"")</f>
        <v/>
      </c>
      <c r="G6140" s="2"/>
      <c r="H6140" s="2" t="str">
        <f>IFERROR(__xludf.DUMMYFUNCTION("IF(G6140&lt;&gt;"""", GOOGLETRANSLATE(G6140, ""en"", ""te""),"""")"),"")</f>
        <v/>
      </c>
      <c r="I6140" s="3"/>
    </row>
    <row r="6141" customHeight="1" spans="1:9">
      <c r="A6141" s="2"/>
      <c r="B6141" s="2" t="str">
        <f>IFERROR(__xludf.DUMMYFUNCTION("IF(A6141&lt;&gt;"""", GOOGLETRANSLATE(A6141, ""en"", ""te""),"""")"),"")</f>
        <v/>
      </c>
      <c r="C6141" s="2"/>
      <c r="D6141" s="2" t="str">
        <f>IFERROR(__xludf.DUMMYFUNCTION("IF(C6141&lt;&gt;"""", GOOGLETRANSLATE(C6141, ""en"", ""te""),"""")"),"")</f>
        <v/>
      </c>
      <c r="E6141" s="2"/>
      <c r="F6141" s="2" t="str">
        <f>IFERROR(__xludf.DUMMYFUNCTION("IF(E6141&lt;&gt;"""", GOOGLETRANSLATE(E6141, ""en"", ""te""),"""")"),"")</f>
        <v/>
      </c>
      <c r="G6141" s="2"/>
      <c r="H6141" s="2" t="str">
        <f>IFERROR(__xludf.DUMMYFUNCTION("IF(G6141&lt;&gt;"""", GOOGLETRANSLATE(G6141, ""en"", ""te""),"""")"),"")</f>
        <v/>
      </c>
      <c r="I6141" s="3"/>
    </row>
    <row r="6142" customHeight="1" spans="1:9">
      <c r="A6142" s="2"/>
      <c r="B6142" s="2" t="str">
        <f>IFERROR(__xludf.DUMMYFUNCTION("IF(A6142&lt;&gt;"""", GOOGLETRANSLATE(A6142, ""en"", ""te""),"""")"),"")</f>
        <v/>
      </c>
      <c r="C6142" s="2"/>
      <c r="D6142" s="2" t="str">
        <f>IFERROR(__xludf.DUMMYFUNCTION("IF(C6142&lt;&gt;"""", GOOGLETRANSLATE(C6142, ""en"", ""te""),"""")"),"")</f>
        <v/>
      </c>
      <c r="E6142" s="2"/>
      <c r="F6142" s="2" t="str">
        <f>IFERROR(__xludf.DUMMYFUNCTION("IF(E6142&lt;&gt;"""", GOOGLETRANSLATE(E6142, ""en"", ""te""),"""")"),"")</f>
        <v/>
      </c>
      <c r="G6142" s="2"/>
      <c r="H6142" s="2" t="str">
        <f>IFERROR(__xludf.DUMMYFUNCTION("IF(G6142&lt;&gt;"""", GOOGLETRANSLATE(G6142, ""en"", ""te""),"""")"),"")</f>
        <v/>
      </c>
      <c r="I6142" s="3"/>
    </row>
    <row r="6143" customHeight="1" spans="1:9">
      <c r="A6143" s="2"/>
      <c r="B6143" s="2" t="str">
        <f>IFERROR(__xludf.DUMMYFUNCTION("IF(A6143&lt;&gt;"""", GOOGLETRANSLATE(A6143, ""en"", ""te""),"""")"),"")</f>
        <v/>
      </c>
      <c r="C6143" s="2"/>
      <c r="D6143" s="2" t="str">
        <f>IFERROR(__xludf.DUMMYFUNCTION("IF(C6143&lt;&gt;"""", GOOGLETRANSLATE(C6143, ""en"", ""te""),"""")"),"")</f>
        <v/>
      </c>
      <c r="E6143" s="2"/>
      <c r="F6143" s="2" t="str">
        <f>IFERROR(__xludf.DUMMYFUNCTION("IF(E6143&lt;&gt;"""", GOOGLETRANSLATE(E6143, ""en"", ""te""),"""")"),"")</f>
        <v/>
      </c>
      <c r="G6143" s="2"/>
      <c r="H6143" s="2" t="str">
        <f>IFERROR(__xludf.DUMMYFUNCTION("IF(G6143&lt;&gt;"""", GOOGLETRANSLATE(G6143, ""en"", ""te""),"""")"),"")</f>
        <v/>
      </c>
      <c r="I6143" s="3"/>
    </row>
    <row r="6144" customHeight="1" spans="1:9">
      <c r="A6144" s="2"/>
      <c r="B6144" s="2" t="str">
        <f>IFERROR(__xludf.DUMMYFUNCTION("IF(A6144&lt;&gt;"""", GOOGLETRANSLATE(A6144, ""en"", ""te""),"""")"),"")</f>
        <v/>
      </c>
      <c r="C6144" s="2"/>
      <c r="D6144" s="2" t="str">
        <f>IFERROR(__xludf.DUMMYFUNCTION("IF(C6144&lt;&gt;"""", GOOGLETRANSLATE(C6144, ""en"", ""te""),"""")"),"")</f>
        <v/>
      </c>
      <c r="E6144" s="2"/>
      <c r="F6144" s="2" t="str">
        <f>IFERROR(__xludf.DUMMYFUNCTION("IF(E6144&lt;&gt;"""", GOOGLETRANSLATE(E6144, ""en"", ""te""),"""")"),"")</f>
        <v/>
      </c>
      <c r="G6144" s="2"/>
      <c r="H6144" s="2" t="str">
        <f>IFERROR(__xludf.DUMMYFUNCTION("IF(G6144&lt;&gt;"""", GOOGLETRANSLATE(G6144, ""en"", ""te""),"""")"),"")</f>
        <v/>
      </c>
      <c r="I6144" s="3"/>
    </row>
    <row r="6145" customHeight="1" spans="1:9">
      <c r="A6145" s="2" t="s">
        <v>300</v>
      </c>
      <c r="B6145" s="2" t="str">
        <f>IFERROR(__xludf.DUMMYFUNCTION("IF(A6145&lt;&gt;"""", GOOGLETRANSLATE(A6145, ""en"", ""te""),"""")"),"[ 'ప్రవేశం (115) పై వంద']")</f>
        <v>[ 'ప్రవేశం (115) పై వంద']</v>
      </c>
      <c r="C6145" s="2" t="s">
        <v>3777</v>
      </c>
      <c r="D6145" s="2" t="str">
        <f>IFERROR(__xludf.DUMMYFUNCTION("IF(C6145&lt;&gt;"""", GOOGLETRANSLATE(C6145, ""en"", ""te""),"""")"),"[ '38 వ పిన్న ఆటగాడు వంద (20y 201d) స్కోర్']")</f>
        <v>[ '38 వ పిన్న ఆటగాడు వంద (20y 201d) స్కోర్']</v>
      </c>
      <c r="E6145" s="2"/>
      <c r="F6145" s="2" t="str">
        <f>IFERROR(__xludf.DUMMYFUNCTION("IF(E6145&lt;&gt;"""", GOOGLETRANSLATE(E6145, ""en"", ""te""),"""")"),"")</f>
        <v/>
      </c>
      <c r="G6145" s="2"/>
      <c r="H6145" s="2" t="str">
        <f>IFERROR(__xludf.DUMMYFUNCTION("IF(G6145&lt;&gt;"""", GOOGLETRANSLATE(G6145, ""en"", ""te""),"""")"),"")</f>
        <v/>
      </c>
      <c r="I6145" s="3"/>
    </row>
    <row r="6146" customHeight="1" spans="1:9">
      <c r="A6146" s="2"/>
      <c r="B6146" s="2" t="str">
        <f>IFERROR(__xludf.DUMMYFUNCTION("IF(A6146&lt;&gt;"""", GOOGLETRANSLATE(A6146, ""en"", ""te""),"""")"),"")</f>
        <v/>
      </c>
      <c r="C6146" s="2"/>
      <c r="D6146" s="2" t="str">
        <f>IFERROR(__xludf.DUMMYFUNCTION("IF(C6146&lt;&gt;"""", GOOGLETRANSLATE(C6146, ""en"", ""te""),"""")"),"")</f>
        <v/>
      </c>
      <c r="E6146" s="2"/>
      <c r="F6146" s="2" t="str">
        <f>IFERROR(__xludf.DUMMYFUNCTION("IF(E6146&lt;&gt;"""", GOOGLETRANSLATE(E6146, ""en"", ""te""),"""")"),"")</f>
        <v/>
      </c>
      <c r="G6146" s="2"/>
      <c r="H6146" s="2" t="str">
        <f>IFERROR(__xludf.DUMMYFUNCTION("IF(G6146&lt;&gt;"""", GOOGLETRANSLATE(G6146, ""en"", ""te""),"""")"),"")</f>
        <v/>
      </c>
      <c r="I6146" s="3"/>
    </row>
    <row r="6147" customHeight="1" spans="1:9">
      <c r="A6147" s="2"/>
      <c r="B6147" s="2" t="str">
        <f>IFERROR(__xludf.DUMMYFUNCTION("IF(A6147&lt;&gt;"""", GOOGLETRANSLATE(A6147, ""en"", ""te""),"""")"),"")</f>
        <v/>
      </c>
      <c r="C6147" s="2"/>
      <c r="D6147" s="2" t="str">
        <f>IFERROR(__xludf.DUMMYFUNCTION("IF(C6147&lt;&gt;"""", GOOGLETRANSLATE(C6147, ""en"", ""te""),"""")"),"")</f>
        <v/>
      </c>
      <c r="E6147" s="2"/>
      <c r="F6147" s="2" t="str">
        <f>IFERROR(__xludf.DUMMYFUNCTION("IF(E6147&lt;&gt;"""", GOOGLETRANSLATE(E6147, ""en"", ""te""),"""")"),"")</f>
        <v/>
      </c>
      <c r="G6147" s="2"/>
      <c r="H6147" s="2" t="str">
        <f>IFERROR(__xludf.DUMMYFUNCTION("IF(G6147&lt;&gt;"""", GOOGLETRANSLATE(G6147, ""en"", ""te""),"""")"),"")</f>
        <v/>
      </c>
      <c r="I6147" s="3"/>
    </row>
    <row r="6148" customHeight="1" spans="1:9">
      <c r="A6148" s="2"/>
      <c r="B6148" s="2" t="str">
        <f>IFERROR(__xludf.DUMMYFUNCTION("IF(A6148&lt;&gt;"""", GOOGLETRANSLATE(A6148, ""en"", ""te""),"""")"),"")</f>
        <v/>
      </c>
      <c r="C6148" s="2"/>
      <c r="D6148" s="2" t="str">
        <f>IFERROR(__xludf.DUMMYFUNCTION("IF(C6148&lt;&gt;"""", GOOGLETRANSLATE(C6148, ""en"", ""te""),"""")"),"")</f>
        <v/>
      </c>
      <c r="E6148" s="2"/>
      <c r="F6148" s="2" t="str">
        <f>IFERROR(__xludf.DUMMYFUNCTION("IF(E6148&lt;&gt;"""", GOOGLETRANSLATE(E6148, ""en"", ""te""),"""")"),"")</f>
        <v/>
      </c>
      <c r="G6148" s="2"/>
      <c r="H6148" s="2" t="str">
        <f>IFERROR(__xludf.DUMMYFUNCTION("IF(G6148&lt;&gt;"""", GOOGLETRANSLATE(G6148, ""en"", ""te""),"""")"),"")</f>
        <v/>
      </c>
      <c r="I6148" s="3"/>
    </row>
    <row r="6149" customHeight="1" spans="1:9">
      <c r="A6149" s="2"/>
      <c r="B6149" s="2" t="str">
        <f>IFERROR(__xludf.DUMMYFUNCTION("IF(A6149&lt;&gt;"""", GOOGLETRANSLATE(A6149, ""en"", ""te""),"""")"),"")</f>
        <v/>
      </c>
      <c r="C6149" s="2"/>
      <c r="D6149" s="2" t="str">
        <f>IFERROR(__xludf.DUMMYFUNCTION("IF(C6149&lt;&gt;"""", GOOGLETRANSLATE(C6149, ""en"", ""te""),"""")"),"")</f>
        <v/>
      </c>
      <c r="E6149" s="2"/>
      <c r="F6149" s="2" t="str">
        <f>IFERROR(__xludf.DUMMYFUNCTION("IF(E6149&lt;&gt;"""", GOOGLETRANSLATE(E6149, ""en"", ""te""),"""")"),"")</f>
        <v/>
      </c>
      <c r="G6149" s="2"/>
      <c r="H6149" s="2" t="str">
        <f>IFERROR(__xludf.DUMMYFUNCTION("IF(G6149&lt;&gt;"""", GOOGLETRANSLATE(G6149, ""en"", ""te""),"""")"),"")</f>
        <v/>
      </c>
      <c r="I6149" s="3"/>
    </row>
    <row r="6150" customHeight="1" spans="1:9">
      <c r="A6150" s="2"/>
      <c r="B6150" s="2" t="str">
        <f>IFERROR(__xludf.DUMMYFUNCTION("IF(A6150&lt;&gt;"""", GOOGLETRANSLATE(A6150, ""en"", ""te""),"""")"),"")</f>
        <v/>
      </c>
      <c r="C6150" s="2"/>
      <c r="D6150" s="2" t="str">
        <f>IFERROR(__xludf.DUMMYFUNCTION("IF(C6150&lt;&gt;"""", GOOGLETRANSLATE(C6150, ""en"", ""te""),"""")"),"")</f>
        <v/>
      </c>
      <c r="E6150" s="2"/>
      <c r="F6150" s="2" t="str">
        <f>IFERROR(__xludf.DUMMYFUNCTION("IF(E6150&lt;&gt;"""", GOOGLETRANSLATE(E6150, ""en"", ""te""),"""")"),"")</f>
        <v/>
      </c>
      <c r="G6150" s="2"/>
      <c r="H6150" s="2" t="str">
        <f>IFERROR(__xludf.DUMMYFUNCTION("IF(G6150&lt;&gt;"""", GOOGLETRANSLATE(G6150, ""en"", ""te""),"""")"),"")</f>
        <v/>
      </c>
      <c r="I6150" s="3"/>
    </row>
    <row r="6151" customHeight="1" spans="1:9">
      <c r="A6151" s="2"/>
      <c r="B6151" s="2" t="str">
        <f>IFERROR(__xludf.DUMMYFUNCTION("IF(A6151&lt;&gt;"""", GOOGLETRANSLATE(A6151, ""en"", ""te""),"""")"),"")</f>
        <v/>
      </c>
      <c r="C6151" s="2"/>
      <c r="D6151" s="2" t="str">
        <f>IFERROR(__xludf.DUMMYFUNCTION("IF(C6151&lt;&gt;"""", GOOGLETRANSLATE(C6151, ""en"", ""te""),"""")"),"")</f>
        <v/>
      </c>
      <c r="E6151" s="2"/>
      <c r="F6151" s="2" t="str">
        <f>IFERROR(__xludf.DUMMYFUNCTION("IF(E6151&lt;&gt;"""", GOOGLETRANSLATE(E6151, ""en"", ""te""),"""")"),"")</f>
        <v/>
      </c>
      <c r="G6151" s="2"/>
      <c r="H6151" s="2" t="str">
        <f>IFERROR(__xludf.DUMMYFUNCTION("IF(G6151&lt;&gt;"""", GOOGLETRANSLATE(G6151, ""en"", ""te""),"""")"),"")</f>
        <v/>
      </c>
      <c r="I6151" s="3"/>
    </row>
    <row r="6152" customHeight="1" spans="1:9">
      <c r="A6152" s="2"/>
      <c r="B6152" s="2" t="str">
        <f>IFERROR(__xludf.DUMMYFUNCTION("IF(A6152&lt;&gt;"""", GOOGLETRANSLATE(A6152, ""en"", ""te""),"""")"),"")</f>
        <v/>
      </c>
      <c r="C6152" s="2"/>
      <c r="D6152" s="2" t="str">
        <f>IFERROR(__xludf.DUMMYFUNCTION("IF(C6152&lt;&gt;"""", GOOGLETRANSLATE(C6152, ""en"", ""te""),"""")"),"")</f>
        <v/>
      </c>
      <c r="E6152" s="2"/>
      <c r="F6152" s="2" t="str">
        <f>IFERROR(__xludf.DUMMYFUNCTION("IF(E6152&lt;&gt;"""", GOOGLETRANSLATE(E6152, ""en"", ""te""),"""")"),"")</f>
        <v/>
      </c>
      <c r="G6152" s="2"/>
      <c r="H6152" s="2" t="str">
        <f>IFERROR(__xludf.DUMMYFUNCTION("IF(G6152&lt;&gt;"""", GOOGLETRANSLATE(G6152, ""en"", ""te""),"""")"),"")</f>
        <v/>
      </c>
      <c r="I6152" s="3"/>
    </row>
    <row r="6153" customHeight="1" spans="1:9">
      <c r="A6153" s="2"/>
      <c r="B6153" s="2" t="str">
        <f>IFERROR(__xludf.DUMMYFUNCTION("IF(A6153&lt;&gt;"""", GOOGLETRANSLATE(A6153, ""en"", ""te""),"""")"),"")</f>
        <v/>
      </c>
      <c r="C6153" s="2"/>
      <c r="D6153" s="2" t="str">
        <f>IFERROR(__xludf.DUMMYFUNCTION("IF(C6153&lt;&gt;"""", GOOGLETRANSLATE(C6153, ""en"", ""te""),"""")"),"")</f>
        <v/>
      </c>
      <c r="E6153" s="2"/>
      <c r="F6153" s="2" t="str">
        <f>IFERROR(__xludf.DUMMYFUNCTION("IF(E6153&lt;&gt;"""", GOOGLETRANSLATE(E6153, ""en"", ""te""),"""")"),"")</f>
        <v/>
      </c>
      <c r="G6153" s="2"/>
      <c r="H6153" s="2" t="str">
        <f>IFERROR(__xludf.DUMMYFUNCTION("IF(G6153&lt;&gt;"""", GOOGLETRANSLATE(G6153, ""en"", ""te""),"""")"),"")</f>
        <v/>
      </c>
      <c r="I6153" s="3"/>
    </row>
    <row r="6154" customHeight="1" spans="1:9">
      <c r="A6154" s="2"/>
      <c r="B6154" s="2" t="str">
        <f>IFERROR(__xludf.DUMMYFUNCTION("IF(A6154&lt;&gt;"""", GOOGLETRANSLATE(A6154, ""en"", ""te""),"""")"),"")</f>
        <v/>
      </c>
      <c r="C6154" s="2"/>
      <c r="D6154" s="2" t="str">
        <f>IFERROR(__xludf.DUMMYFUNCTION("IF(C6154&lt;&gt;"""", GOOGLETRANSLATE(C6154, ""en"", ""te""),"""")"),"")</f>
        <v/>
      </c>
      <c r="E6154" s="2"/>
      <c r="F6154" s="2" t="str">
        <f>IFERROR(__xludf.DUMMYFUNCTION("IF(E6154&lt;&gt;"""", GOOGLETRANSLATE(E6154, ""en"", ""te""),"""")"),"")</f>
        <v/>
      </c>
      <c r="G6154" s="2"/>
      <c r="H6154" s="2" t="str">
        <f>IFERROR(__xludf.DUMMYFUNCTION("IF(G6154&lt;&gt;"""", GOOGLETRANSLATE(G6154, ""en"", ""te""),"""")"),"")</f>
        <v/>
      </c>
      <c r="I6154" s="3"/>
    </row>
    <row r="6155" customHeight="1" spans="1:9">
      <c r="A6155" s="2"/>
      <c r="B6155" s="2" t="str">
        <f>IFERROR(__xludf.DUMMYFUNCTION("IF(A6155&lt;&gt;"""", GOOGLETRANSLATE(A6155, ""en"", ""te""),"""")"),"")</f>
        <v/>
      </c>
      <c r="C6155" s="2"/>
      <c r="D6155" s="2" t="str">
        <f>IFERROR(__xludf.DUMMYFUNCTION("IF(C6155&lt;&gt;"""", GOOGLETRANSLATE(C6155, ""en"", ""te""),"""")"),"")</f>
        <v/>
      </c>
      <c r="E6155" s="2"/>
      <c r="F6155" s="2" t="str">
        <f>IFERROR(__xludf.DUMMYFUNCTION("IF(E6155&lt;&gt;"""", GOOGLETRANSLATE(E6155, ""en"", ""te""),"""")"),"")</f>
        <v/>
      </c>
      <c r="G6155" s="2"/>
      <c r="H6155" s="2" t="str">
        <f>IFERROR(__xludf.DUMMYFUNCTION("IF(G6155&lt;&gt;"""", GOOGLETRANSLATE(G6155, ""en"", ""te""),"""")"),"")</f>
        <v/>
      </c>
      <c r="I6155" s="3"/>
    </row>
    <row r="6156" customHeight="1" spans="1:9">
      <c r="A6156" s="2" t="s">
        <v>3778</v>
      </c>
      <c r="B6156" s="2" t="str">
        <f>IFERROR(__xludf.DUMMYFUNCTION("IF(A6156&lt;&gt;"""", GOOGLETRANSLATE(A6156, ""en"", ""te""),"""")"),"[ 'ఇన్నింగ్స్ లో 4 వ అత్యధిక పరుగులు (బ్యాటింగ్ స్థానంలో ప్రకారం) (81)', 'ఆరవ వికెట్కు 5 వ అత్యధిక భాగస్వామ్యం (65)']")</f>
        <v>[ 'ఇన్నింగ్స్ లో 4 వ అత్యధిక పరుగులు (బ్యాటింగ్ స్థానంలో ప్రకారం) (81)', 'ఆరవ వికెట్కు 5 వ అత్యధిక భాగస్వామ్యం (65)']</v>
      </c>
      <c r="C6156" s="2"/>
      <c r="D6156" s="2" t="str">
        <f>IFERROR(__xludf.DUMMYFUNCTION("IF(C6156&lt;&gt;"""", GOOGLETRANSLATE(C6156, ""en"", ""te""),"""")"),"")</f>
        <v/>
      </c>
      <c r="E6156" s="2" t="s">
        <v>3779</v>
      </c>
      <c r="F6156" s="2" t="str">
        <f>IFERROR(__xludf.DUMMYFUNCTION("IF(E6156&lt;&gt;"""", GOOGLETRANSLATE(E6156, ""en"", ""te""),"""")"),"[ '23 చెత్త కెరీర్ (90.42) (అర్హత లేకుండా) సగటు బౌలింగ్' '4 వ అత్యంత ఇన్నింగ్స్ లో నడుస్తుంది (బ్యాటింగ్ స్థానం) (81)',]")</f>
        <v>[ '23 చెత్త కెరీర్ (90.42) (అర్హత లేకుండా) సగటు బౌలింగ్' '4 వ అత్యంత ఇన్నింగ్స్ లో నడుస్తుంది (బ్యాటింగ్ స్థానం) (81)',]</v>
      </c>
      <c r="G6156" s="2" t="s">
        <v>3780</v>
      </c>
      <c r="H6156" s="2" t="str">
        <f>IFERROR(__xludf.DUMMYFUNCTION("IF(G6156&lt;&gt;"""", GOOGLETRANSLATE(G6156, ""en"", ""te""),"""")"),"[ 'ఇన్నింగ్స్ లో 2 వ అత్యధిక పరుగులు (బ్యాటింగ్ స్థానంలో ద్వారా) (28 *)', 'కెరీర్లో 32 వ అతి తక్కువ బాతులు (18.5)', '34 వ అత్యధిక పరుగులు ఇన్నింగ్స్ లో సాధించిన (46)', '5 వ అత్యధిక సిక్స్త్ కొరకు చేసిన భాగస్వామ్యం వికెట్ (65) ',' ఏడవ వికెట్కు 22 అత్యధిక భ"&amp;"ాగస్వామ్యం (39) ',' పదవ వికెట్కు 18 అత్యధిక భాగస్వామ్యం (14) ']")</f>
        <v>[ 'ఇన్నింగ్స్ లో 2 వ అత్యధిక పరుగులు (బ్యాటింగ్ స్థానంలో ద్వారా) (28 *)', 'కెరీర్లో 32 వ అతి తక్కువ బాతులు (18.5)', '34 వ అత్యధిక పరుగులు ఇన్నింగ్స్ లో సాధించిన (46)', '5 వ అత్యధిక సిక్స్త్ కొరకు చేసిన భాగస్వామ్యం వికెట్ (65) ',' ఏడవ వికెట్కు 22 అత్యధిక భాగస్వామ్యం (39) ',' పదవ వికెట్కు 18 అత్యధిక భాగస్వామ్యం (14) ']</v>
      </c>
      <c r="I6156" s="3"/>
    </row>
    <row r="6157" customHeight="1" spans="1:9">
      <c r="A6157" s="2"/>
      <c r="B6157" s="2" t="str">
        <f>IFERROR(__xludf.DUMMYFUNCTION("IF(A6157&lt;&gt;"""", GOOGLETRANSLATE(A6157, ""en"", ""te""),"""")"),"")</f>
        <v/>
      </c>
      <c r="C6157" s="2"/>
      <c r="D6157" s="2" t="str">
        <f>IFERROR(__xludf.DUMMYFUNCTION("IF(C6157&lt;&gt;"""", GOOGLETRANSLATE(C6157, ""en"", ""te""),"""")"),"")</f>
        <v/>
      </c>
      <c r="E6157" s="2"/>
      <c r="F6157" s="2" t="str">
        <f>IFERROR(__xludf.DUMMYFUNCTION("IF(E6157&lt;&gt;"""", GOOGLETRANSLATE(E6157, ""en"", ""te""),"""")"),"")</f>
        <v/>
      </c>
      <c r="G6157" s="2"/>
      <c r="H6157" s="2" t="str">
        <f>IFERROR(__xludf.DUMMYFUNCTION("IF(G6157&lt;&gt;"""", GOOGLETRANSLATE(G6157, ""en"", ""te""),"""")"),"")</f>
        <v/>
      </c>
      <c r="I6157" s="3"/>
    </row>
    <row r="6158" customHeight="1" spans="1:9">
      <c r="A6158" s="2"/>
      <c r="B6158" s="2" t="str">
        <f>IFERROR(__xludf.DUMMYFUNCTION("IF(A6158&lt;&gt;"""", GOOGLETRANSLATE(A6158, ""en"", ""te""),"""")"),"")</f>
        <v/>
      </c>
      <c r="C6158" s="2"/>
      <c r="D6158" s="2" t="str">
        <f>IFERROR(__xludf.DUMMYFUNCTION("IF(C6158&lt;&gt;"""", GOOGLETRANSLATE(C6158, ""en"", ""te""),"""")"),"")</f>
        <v/>
      </c>
      <c r="E6158" s="2"/>
      <c r="F6158" s="2" t="str">
        <f>IFERROR(__xludf.DUMMYFUNCTION("IF(E6158&lt;&gt;"""", GOOGLETRANSLATE(E6158, ""en"", ""te""),"""")"),"")</f>
        <v/>
      </c>
      <c r="G6158" s="2"/>
      <c r="H6158" s="2" t="str">
        <f>IFERROR(__xludf.DUMMYFUNCTION("IF(G6158&lt;&gt;"""", GOOGLETRANSLATE(G6158, ""en"", ""te""),"""")"),"")</f>
        <v/>
      </c>
      <c r="I6158" s="3"/>
    </row>
    <row r="6159" customHeight="1" spans="1:9">
      <c r="A6159" s="2"/>
      <c r="B6159" s="2" t="str">
        <f>IFERROR(__xludf.DUMMYFUNCTION("IF(A6159&lt;&gt;"""", GOOGLETRANSLATE(A6159, ""en"", ""te""),"""")"),"")</f>
        <v/>
      </c>
      <c r="C6159" s="2"/>
      <c r="D6159" s="2" t="str">
        <f>IFERROR(__xludf.DUMMYFUNCTION("IF(C6159&lt;&gt;"""", GOOGLETRANSLATE(C6159, ""en"", ""te""),"""")"),"")</f>
        <v/>
      </c>
      <c r="E6159" s="2"/>
      <c r="F6159" s="2" t="str">
        <f>IFERROR(__xludf.DUMMYFUNCTION("IF(E6159&lt;&gt;"""", GOOGLETRANSLATE(E6159, ""en"", ""te""),"""")"),"")</f>
        <v/>
      </c>
      <c r="G6159" s="2"/>
      <c r="H6159" s="2" t="str">
        <f>IFERROR(__xludf.DUMMYFUNCTION("IF(G6159&lt;&gt;"""", GOOGLETRANSLATE(G6159, ""en"", ""te""),"""")"),"")</f>
        <v/>
      </c>
      <c r="I6159" s="3"/>
    </row>
    <row r="6160" customHeight="1" spans="1:9">
      <c r="A6160" s="2"/>
      <c r="B6160" s="2" t="str">
        <f>IFERROR(__xludf.DUMMYFUNCTION("IF(A6160&lt;&gt;"""", GOOGLETRANSLATE(A6160, ""en"", ""te""),"""")"),"")</f>
        <v/>
      </c>
      <c r="C6160" s="2"/>
      <c r="D6160" s="2" t="str">
        <f>IFERROR(__xludf.DUMMYFUNCTION("IF(C6160&lt;&gt;"""", GOOGLETRANSLATE(C6160, ""en"", ""te""),"""")"),"")</f>
        <v/>
      </c>
      <c r="E6160" s="2"/>
      <c r="F6160" s="2" t="str">
        <f>IFERROR(__xludf.DUMMYFUNCTION("IF(E6160&lt;&gt;"""", GOOGLETRANSLATE(E6160, ""en"", ""te""),"""")"),"")</f>
        <v/>
      </c>
      <c r="G6160" s="2"/>
      <c r="H6160" s="2" t="str">
        <f>IFERROR(__xludf.DUMMYFUNCTION("IF(G6160&lt;&gt;"""", GOOGLETRANSLATE(G6160, ""en"", ""te""),"""")"),"")</f>
        <v/>
      </c>
      <c r="I6160" s="3"/>
    </row>
    <row r="6161" customHeight="1" spans="1:9">
      <c r="A6161" s="2"/>
      <c r="B6161" s="2" t="str">
        <f>IFERROR(__xludf.DUMMYFUNCTION("IF(A6161&lt;&gt;"""", GOOGLETRANSLATE(A6161, ""en"", ""te""),"""")"),"")</f>
        <v/>
      </c>
      <c r="C6161" s="2"/>
      <c r="D6161" s="2" t="str">
        <f>IFERROR(__xludf.DUMMYFUNCTION("IF(C6161&lt;&gt;"""", GOOGLETRANSLATE(C6161, ""en"", ""te""),"""")"),"")</f>
        <v/>
      </c>
      <c r="E6161" s="2"/>
      <c r="F6161" s="2" t="str">
        <f>IFERROR(__xludf.DUMMYFUNCTION("IF(E6161&lt;&gt;"""", GOOGLETRANSLATE(E6161, ""en"", ""te""),"""")"),"")</f>
        <v/>
      </c>
      <c r="G6161" s="2"/>
      <c r="H6161" s="2" t="str">
        <f>IFERROR(__xludf.DUMMYFUNCTION("IF(G6161&lt;&gt;"""", GOOGLETRANSLATE(G6161, ""en"", ""te""),"""")"),"")</f>
        <v/>
      </c>
      <c r="I6161" s="3"/>
    </row>
    <row r="6162" customHeight="1" spans="1:9">
      <c r="A6162" s="2" t="s">
        <v>3781</v>
      </c>
      <c r="B6162" s="2" t="str">
        <f>IFERROR(__xludf.DUMMYFUNCTION("IF(A6162&lt;&gt;"""", GOOGLETRANSLATE(A6162, ""en"", ""te""),"""")"),"[ '1st అత్యుత్తమ బౌలింగ్ ఇన్నింగ్స్ లో విశ్లేషించడం (3/0)', ​​'ఇన్నింగ్స్ లో 2 వ పెద్ద పనికత్తెలయొద్ద (3)' '1 వ ఉత్తమ ఆర్థిక వ్యవస్థ ఇన్నింగ్స్లో రేటు (0.00)',]")</f>
        <v>[ '1st అత్యుత్తమ బౌలింగ్ ఇన్నింగ్స్ లో విశ్లేషించడం (3/0)', ​​'ఇన్నింగ్స్ లో 2 వ పెద్ద పనికత్తెలయొద్ద (3)' '1 వ ఉత్తమ ఆర్థిక వ్యవస్థ ఇన్నింగ్స్లో రేటు (0.00)',]</v>
      </c>
      <c r="C6162" s="2"/>
      <c r="D6162" s="2" t="str">
        <f>IFERROR(__xludf.DUMMYFUNCTION("IF(C6162&lt;&gt;"""", GOOGLETRANSLATE(C6162, ""en"", ""te""),"""")"),"")</f>
        <v/>
      </c>
      <c r="E6162" s="2" t="s">
        <v>3782</v>
      </c>
      <c r="F6162" s="2" t="str">
        <f>IFERROR(__xludf.DUMMYFUNCTION("IF(E6162&lt;&gt;"""", GOOGLETRANSLATE(E6162, ""en"", ""te""),"""")"),"[18 వ ఒక క్యాలెండర్ సంవత్సరంలో అత్యధిక వికెట్లు (25) ',' 11 వ ఒక ఇన్నింగ్స్ లోని బెస్ట్ ఫిగర్స్ ఉన్నప్పుడు పరాజయం వైపు (4) ',' 38 వ అత్యంత నాలుగు వికెట్లు-ఇన్-ఒక-ఇన్నింగ్స్ కెరీర్లో (3) ' ]")</f>
        <v>[18 వ ఒక క్యాలెండర్ సంవత్సరంలో అత్యధిక వికెట్లు (25) ',' 11 వ ఒక ఇన్నింగ్స్ లోని బెస్ట్ ఫిగర్స్ ఉన్నప్పుడు పరాజయం వైపు (4) ',' 38 వ అత్యంత నాలుగు వికెట్లు-ఇన్-ఒక-ఇన్నింగ్స్ కెరీర్లో (3) ' ]</v>
      </c>
      <c r="G6162" s="2" t="s">
        <v>3783</v>
      </c>
      <c r="H6162" s="2" t="str">
        <f>IFERROR(__xludf.DUMMYFUNCTION("IF(G6162&lt;&gt;"""", GOOGLETRANSLATE(G6162, ""en"", ""te""),"""")"),"[ '32 వ కెరీర్ లో అత్యధిక వికెట్లు (54)', '1 వ అత్యుత్తమ బౌలింగ్ ఇన్నింగ్స్ లో విశ్లేషించడం (3/0)', ​​'5 వ ఒక ఇన్నింగ్స్ లోని బెస్ట్ ఫిగర్స్ ఉన్నప్పుడు పరాజయం వైపు (4)', '41 వ ఉత్తమ కెరీర్ సగటు బౌలింగ్ (19.85) ',' 20 వ ఉత్తమ కెరీర్ ఆర్థిక రేటు (5.40) ','"&amp;" ఇన్నింగ్స్ లో 1 వ ఉత్తమ ఆర్థిక రేటు (0.00) ',' 28th కెరీర్ (1190) లో బౌల్డ్ చాలా బంతుల్లో ',' 34 వ కెరీర్ లో సాధించిన అత్యధిక పరుగులు (1072 ) ',' 18 వ బౌలర్ / బ్యాట్స్ కలయికలు (4) ',' 15 వ అత్యధిక వికెట్లు తీసుకున్న బౌల్డ్ (19) ',' 50 వ అత్యధిక వికెట్లు "&amp;"తీసుకున్న ఆకర్షించింది (24) ',' 12 వ అత్యధిక వికెట్లు ఆకర్షించింది తీసుకున్న మరియు బౌల్డ్ (4) ',' 45 వ అత్యంత ఫీల్డర్ చేత క్యాచ్ తీసుకున్న వికెట్ల (21) ',' 32 వ అత్యధిక వికెట్లు కెరీర్లో తీసుకున్న స్టంప్ (6) ',' చాలా 5 వ పనికత్తెలయొద్ద ఇన్నింగ్స్ లో (11) "&amp;"',' 2 వ అత్యంత పనికత్తెలయొద్ద (3) ']")</f>
        <v>[ '32 వ కెరీర్ లో అత్యధిక వికెట్లు (54)', '1 వ అత్యుత్తమ బౌలింగ్ ఇన్నింగ్స్ లో విశ్లేషించడం (3/0)', ​​'5 వ ఒక ఇన్నింగ్స్ లోని బెస్ట్ ఫిగర్స్ ఉన్నప్పుడు పరాజయం వైపు (4)', '41 వ ఉత్తమ కెరీర్ సగటు బౌలింగ్ (19.85) ',' 20 వ ఉత్తమ కెరీర్ ఆర్థిక రేటు (5.40) ',' ఇన్నింగ్స్ లో 1 వ ఉత్తమ ఆర్థిక రేటు (0.00) ',' 28th కెరీర్ (1190) లో బౌల్డ్ చాలా బంతుల్లో ',' 34 వ కెరీర్ లో సాధించిన అత్యధిక పరుగులు (1072 ) ',' 18 వ బౌలర్ / బ్యాట్స్ కలయికలు (4) ',' 15 వ అత్యధిక వికెట్లు తీసుకున్న బౌల్డ్ (19) ',' 50 వ అత్యధిక వికెట్లు తీసుకున్న ఆకర్షించింది (24) ',' 12 వ అత్యధిక వికెట్లు ఆకర్షించింది తీసుకున్న మరియు బౌల్డ్ (4) ',' 45 వ అత్యంత ఫీల్డర్ చేత క్యాచ్ తీసుకున్న వికెట్ల (21) ',' 32 వ అత్యధిక వికెట్లు కెరీర్లో తీసుకున్న స్టంప్ (6) ',' చాలా 5 వ పనికత్తెలయొద్ద ఇన్నింగ్స్ లో (11) ',' 2 వ అత్యంత పనికత్తెలయొద్ద (3) ']</v>
      </c>
      <c r="I6162" s="3"/>
    </row>
    <row r="6163" customHeight="1" spans="1:9">
      <c r="A6163" s="2"/>
      <c r="B6163" s="2" t="str">
        <f>IFERROR(__xludf.DUMMYFUNCTION("IF(A6163&lt;&gt;"""", GOOGLETRANSLATE(A6163, ""en"", ""te""),"""")"),"")</f>
        <v/>
      </c>
      <c r="C6163" s="2"/>
      <c r="D6163" s="2" t="str">
        <f>IFERROR(__xludf.DUMMYFUNCTION("IF(C6163&lt;&gt;"""", GOOGLETRANSLATE(C6163, ""en"", ""te""),"""")"),"")</f>
        <v/>
      </c>
      <c r="E6163" s="2" t="s">
        <v>3784</v>
      </c>
      <c r="F6163" s="2" t="str">
        <f>IFERROR(__xludf.DUMMYFUNCTION("IF(E6163&lt;&gt;"""", GOOGLETRANSLATE(E6163, ""en"", ""te""),"""")"),"[ '17 వ ఇన్నింగ్స్ లో అత్యధిక వికెట్లు (4)', '21 వ ఇన్నింగ్స్ లో అత్యధిక క్యాచ్లు (3) ']")</f>
        <v>[ '17 వ ఇన్నింగ్స్ లో అత్యధిక వికెట్లు (4)', '21 వ ఇన్నింగ్స్ లో అత్యధిక క్యాచ్లు (3) ']</v>
      </c>
      <c r="G6163" s="2"/>
      <c r="H6163" s="2" t="str">
        <f>IFERROR(__xludf.DUMMYFUNCTION("IF(G6163&lt;&gt;"""", GOOGLETRANSLATE(G6163, ""en"", ""te""),"""")"),"")</f>
        <v/>
      </c>
      <c r="I6163" s="3"/>
    </row>
    <row r="6164" customHeight="1" spans="1:9">
      <c r="A6164" s="2"/>
      <c r="B6164" s="2" t="str">
        <f>IFERROR(__xludf.DUMMYFUNCTION("IF(A6164&lt;&gt;"""", GOOGLETRANSLATE(A6164, ""en"", ""te""),"""")"),"")</f>
        <v/>
      </c>
      <c r="C6164" s="2"/>
      <c r="D6164" s="2" t="str">
        <f>IFERROR(__xludf.DUMMYFUNCTION("IF(C6164&lt;&gt;"""", GOOGLETRANSLATE(C6164, ""en"", ""te""),"""")"),"")</f>
        <v/>
      </c>
      <c r="E6164" s="2"/>
      <c r="F6164" s="2" t="str">
        <f>IFERROR(__xludf.DUMMYFUNCTION("IF(E6164&lt;&gt;"""", GOOGLETRANSLATE(E6164, ""en"", ""te""),"""")"),"")</f>
        <v/>
      </c>
      <c r="G6164" s="2"/>
      <c r="H6164" s="2" t="str">
        <f>IFERROR(__xludf.DUMMYFUNCTION("IF(G6164&lt;&gt;"""", GOOGLETRANSLATE(G6164, ""en"", ""te""),"""")"),"")</f>
        <v/>
      </c>
      <c r="I6164" s="3"/>
    </row>
    <row r="6165" customHeight="1" spans="1:9">
      <c r="A6165" s="2"/>
      <c r="B6165" s="2" t="str">
        <f>IFERROR(__xludf.DUMMYFUNCTION("IF(A6165&lt;&gt;"""", GOOGLETRANSLATE(A6165, ""en"", ""te""),"""")"),"")</f>
        <v/>
      </c>
      <c r="C6165" s="2"/>
      <c r="D6165" s="2" t="str">
        <f>IFERROR(__xludf.DUMMYFUNCTION("IF(C6165&lt;&gt;"""", GOOGLETRANSLATE(C6165, ""en"", ""te""),"""")"),"")</f>
        <v/>
      </c>
      <c r="E6165" s="2"/>
      <c r="F6165" s="2" t="str">
        <f>IFERROR(__xludf.DUMMYFUNCTION("IF(E6165&lt;&gt;"""", GOOGLETRANSLATE(E6165, ""en"", ""te""),"""")"),"")</f>
        <v/>
      </c>
      <c r="G6165" s="2"/>
      <c r="H6165" s="2" t="str">
        <f>IFERROR(__xludf.DUMMYFUNCTION("IF(G6165&lt;&gt;"""", GOOGLETRANSLATE(G6165, ""en"", ""te""),"""")"),"")</f>
        <v/>
      </c>
      <c r="I6165" s="3"/>
    </row>
    <row r="6166" customHeight="1" spans="1:9">
      <c r="A6166" s="2"/>
      <c r="B6166" s="2" t="str">
        <f>IFERROR(__xludf.DUMMYFUNCTION("IF(A6166&lt;&gt;"""", GOOGLETRANSLATE(A6166, ""en"", ""te""),"""")"),"")</f>
        <v/>
      </c>
      <c r="C6166" s="2"/>
      <c r="D6166" s="2" t="str">
        <f>IFERROR(__xludf.DUMMYFUNCTION("IF(C6166&lt;&gt;"""", GOOGLETRANSLATE(C6166, ""en"", ""te""),"""")"),"")</f>
        <v/>
      </c>
      <c r="E6166" s="2"/>
      <c r="F6166" s="2" t="str">
        <f>IFERROR(__xludf.DUMMYFUNCTION("IF(E6166&lt;&gt;"""", GOOGLETRANSLATE(E6166, ""en"", ""te""),"""")"),"")</f>
        <v/>
      </c>
      <c r="G6166" s="2"/>
      <c r="H6166" s="2" t="str">
        <f>IFERROR(__xludf.DUMMYFUNCTION("IF(G6166&lt;&gt;"""", GOOGLETRANSLATE(G6166, ""en"", ""te""),"""")"),"")</f>
        <v/>
      </c>
      <c r="I6166" s="3"/>
    </row>
    <row r="6167" customHeight="1" spans="1:9">
      <c r="A6167" s="2" t="s">
        <v>9</v>
      </c>
      <c r="B6167" s="2" t="str">
        <f>IFERROR(__xludf.DUMMYFUNCTION("IF(A6167&lt;&gt;"""", GOOGLETRANSLATE(A6167, ""en"", ""te""),"""")"),"[ 'హండ్రెడ్ మరియు ఒక మ్యాచ్లో ఒక డక్']")</f>
        <v>[ 'హండ్రెడ్ మరియు ఒక మ్యాచ్లో ఒక డక్']</v>
      </c>
      <c r="C6167" s="2" t="s">
        <v>3785</v>
      </c>
      <c r="D6167" s="2" t="str">
        <f>IFERROR(__xludf.DUMMYFUNCTION("IF(C6167&lt;&gt;"""", GOOGLETRANSLATE(C6167, ""en"", ""te""),"""")"),"[ 'తొమ్మిదవ వికెట్కు 48 వ అత్యధిక భాగస్వామ్యం (101)', '36 వ ఇన్నింగ్స్ (6) లో వచ్చిన ఎక్కువ సిక్స్' 'ఒక జట్టు 19 వరుస మ్యాచ్లు (72)']")</f>
        <v>[ 'తొమ్మిదవ వికెట్కు 48 వ అత్యధిక భాగస్వామ్యం (101)', '36 వ ఇన్నింగ్స్ (6) లో వచ్చిన ఎక్కువ సిక్స్' 'ఒక జట్టు 19 వరుస మ్యాచ్లు (72)']</v>
      </c>
      <c r="E6167" s="2" t="s">
        <v>3786</v>
      </c>
      <c r="F6167" s="2" t="str">
        <f>IFERROR(__xludf.DUMMYFUNCTION("IF(E6167&lt;&gt;"""", GOOGLETRANSLATE(E6167, ""en"", ""te""),"""")"),"[ 'లేకుండా కెరీర్లో 47 వ అత్యధిక పరుగులు వంద (1336)']")</f>
        <v>[ 'లేకుండా కెరీర్లో 47 వ అత్యధిక పరుగులు వంద (1336)']</v>
      </c>
      <c r="G6167" s="2"/>
      <c r="H6167" s="2" t="str">
        <f>IFERROR(__xludf.DUMMYFUNCTION("IF(G6167&lt;&gt;"""", GOOGLETRANSLATE(G6167, ""en"", ""te""),"""")"),"")</f>
        <v/>
      </c>
      <c r="I6167" s="3"/>
    </row>
    <row r="6168" customHeight="1" spans="1:9">
      <c r="A6168" s="2"/>
      <c r="B6168" s="2" t="str">
        <f>IFERROR(__xludf.DUMMYFUNCTION("IF(A6168&lt;&gt;"""", GOOGLETRANSLATE(A6168, ""en"", ""te""),"""")"),"")</f>
        <v/>
      </c>
      <c r="C6168" s="2"/>
      <c r="D6168" s="2" t="str">
        <f>IFERROR(__xludf.DUMMYFUNCTION("IF(C6168&lt;&gt;"""", GOOGLETRANSLATE(C6168, ""en"", ""te""),"""")"),"")</f>
        <v/>
      </c>
      <c r="E6168" s="2"/>
      <c r="F6168" s="2" t="str">
        <f>IFERROR(__xludf.DUMMYFUNCTION("IF(E6168&lt;&gt;"""", GOOGLETRANSLATE(E6168, ""en"", ""te""),"""")"),"")</f>
        <v/>
      </c>
      <c r="G6168" s="2"/>
      <c r="H6168" s="2" t="str">
        <f>IFERROR(__xludf.DUMMYFUNCTION("IF(G6168&lt;&gt;"""", GOOGLETRANSLATE(G6168, ""en"", ""te""),"""")"),"")</f>
        <v/>
      </c>
      <c r="I6168" s="3"/>
    </row>
    <row r="6169" customHeight="1" spans="1:9">
      <c r="A6169" s="2"/>
      <c r="B6169" s="2" t="str">
        <f>IFERROR(__xludf.DUMMYFUNCTION("IF(A6169&lt;&gt;"""", GOOGLETRANSLATE(A6169, ""en"", ""te""),"""")"),"")</f>
        <v/>
      </c>
      <c r="C6169" s="2"/>
      <c r="D6169" s="2" t="str">
        <f>IFERROR(__xludf.DUMMYFUNCTION("IF(C6169&lt;&gt;"""", GOOGLETRANSLATE(C6169, ""en"", ""te""),"""")"),"")</f>
        <v/>
      </c>
      <c r="E6169" s="2"/>
      <c r="F6169" s="2" t="str">
        <f>IFERROR(__xludf.DUMMYFUNCTION("IF(E6169&lt;&gt;"""", GOOGLETRANSLATE(E6169, ""en"", ""te""),"""")"),"")</f>
        <v/>
      </c>
      <c r="G6169" s="2"/>
      <c r="H6169" s="2" t="str">
        <f>IFERROR(__xludf.DUMMYFUNCTION("IF(G6169&lt;&gt;"""", GOOGLETRANSLATE(G6169, ""en"", ""te""),"""")"),"")</f>
        <v/>
      </c>
      <c r="I6169" s="3"/>
    </row>
    <row r="6170" customHeight="1" spans="1:9">
      <c r="A6170" s="2"/>
      <c r="B6170" s="2" t="str">
        <f>IFERROR(__xludf.DUMMYFUNCTION("IF(A6170&lt;&gt;"""", GOOGLETRANSLATE(A6170, ""en"", ""te""),"""")"),"")</f>
        <v/>
      </c>
      <c r="C6170" s="2"/>
      <c r="D6170" s="2" t="str">
        <f>IFERROR(__xludf.DUMMYFUNCTION("IF(C6170&lt;&gt;"""", GOOGLETRANSLATE(C6170, ""en"", ""te""),"""")"),"")</f>
        <v/>
      </c>
      <c r="E6170" s="2"/>
      <c r="F6170" s="2" t="str">
        <f>IFERROR(__xludf.DUMMYFUNCTION("IF(E6170&lt;&gt;"""", GOOGLETRANSLATE(E6170, ""en"", ""te""),"""")"),"")</f>
        <v/>
      </c>
      <c r="G6170" s="2"/>
      <c r="H6170" s="2" t="str">
        <f>IFERROR(__xludf.DUMMYFUNCTION("IF(G6170&lt;&gt;"""", GOOGLETRANSLATE(G6170, ""en"", ""te""),"""")"),"")</f>
        <v/>
      </c>
      <c r="I6170" s="3"/>
    </row>
    <row r="6171" customHeight="1" spans="1:9">
      <c r="A6171" s="2"/>
      <c r="B6171" s="2" t="str">
        <f>IFERROR(__xludf.DUMMYFUNCTION("IF(A6171&lt;&gt;"""", GOOGLETRANSLATE(A6171, ""en"", ""te""),"""")"),"")</f>
        <v/>
      </c>
      <c r="C6171" s="2"/>
      <c r="D6171" s="2" t="str">
        <f>IFERROR(__xludf.DUMMYFUNCTION("IF(C6171&lt;&gt;"""", GOOGLETRANSLATE(C6171, ""en"", ""te""),"""")"),"")</f>
        <v/>
      </c>
      <c r="E6171" s="2"/>
      <c r="F6171" s="2" t="str">
        <f>IFERROR(__xludf.DUMMYFUNCTION("IF(E6171&lt;&gt;"""", GOOGLETRANSLATE(E6171, ""en"", ""te""),"""")"),"")</f>
        <v/>
      </c>
      <c r="G6171" s="2"/>
      <c r="H6171" s="2" t="str">
        <f>IFERROR(__xludf.DUMMYFUNCTION("IF(G6171&lt;&gt;"""", GOOGLETRANSLATE(G6171, ""en"", ""te""),"""")"),"")</f>
        <v/>
      </c>
      <c r="I6171" s="3"/>
    </row>
    <row r="6172" customHeight="1" spans="1:9">
      <c r="A6172" s="2"/>
      <c r="B6172" s="2" t="str">
        <f>IFERROR(__xludf.DUMMYFUNCTION("IF(A6172&lt;&gt;"""", GOOGLETRANSLATE(A6172, ""en"", ""te""),"""")"),"")</f>
        <v/>
      </c>
      <c r="C6172" s="2"/>
      <c r="D6172" s="2" t="str">
        <f>IFERROR(__xludf.DUMMYFUNCTION("IF(C6172&lt;&gt;"""", GOOGLETRANSLATE(C6172, ""en"", ""te""),"""")"),"")</f>
        <v/>
      </c>
      <c r="E6172" s="2"/>
      <c r="F6172" s="2" t="str">
        <f>IFERROR(__xludf.DUMMYFUNCTION("IF(E6172&lt;&gt;"""", GOOGLETRANSLATE(E6172, ""en"", ""te""),"""")"),"")</f>
        <v/>
      </c>
      <c r="G6172" s="2"/>
      <c r="H6172" s="2" t="str">
        <f>IFERROR(__xludf.DUMMYFUNCTION("IF(G6172&lt;&gt;"""", GOOGLETRANSLATE(G6172, ""en"", ""te""),"""")"),"")</f>
        <v/>
      </c>
      <c r="I6172" s="3"/>
    </row>
    <row r="6173" customHeight="1" spans="1:9">
      <c r="A6173" s="2"/>
      <c r="B6173" s="2" t="str">
        <f>IFERROR(__xludf.DUMMYFUNCTION("IF(A6173&lt;&gt;"""", GOOGLETRANSLATE(A6173, ""en"", ""te""),"""")"),"")</f>
        <v/>
      </c>
      <c r="C6173" s="2" t="s">
        <v>3787</v>
      </c>
      <c r="D6173" s="2" t="str">
        <f>IFERROR(__xludf.DUMMYFUNCTION("IF(C6173&lt;&gt;"""", GOOGLETRANSLATE(C6173, ""en"", ""te""),"""")"),"[ '33 వ ఉత్తమ తొలి మ్యాచ్లో గణాంకాలు (8)', '50 వికెట్లు వేగంగా 41 వ (11)']")</f>
        <v>[ '33 వ ఉత్తమ తొలి మ్యాచ్లో గణాంకాలు (8)', '50 వికెట్లు వేగంగా 41 వ (11)']</v>
      </c>
      <c r="E6173" s="2"/>
      <c r="F6173" s="2" t="str">
        <f>IFERROR(__xludf.DUMMYFUNCTION("IF(E6173&lt;&gt;"""", GOOGLETRANSLATE(E6173, ""en"", ""te""),"""")"),"")</f>
        <v/>
      </c>
      <c r="G6173" s="2"/>
      <c r="H6173" s="2" t="str">
        <f>IFERROR(__xludf.DUMMYFUNCTION("IF(G6173&lt;&gt;"""", GOOGLETRANSLATE(G6173, ""en"", ""te""),"""")"),"")</f>
        <v/>
      </c>
      <c r="I6173" s="3"/>
    </row>
    <row r="6174" customHeight="1" spans="1:9">
      <c r="A6174" s="2" t="s">
        <v>3788</v>
      </c>
      <c r="B6174" s="2" t="str">
        <f>IFERROR(__xludf.DUMMYFUNCTION("IF(A6174&lt;&gt;"""", GOOGLETRANSLATE(A6174, ""en"", ""te""),"""")"),"[ '5 వ అసాధారణ వికెట్లు (అడ్డుకోవడం)', '1 వ ఇన్నింగ్స్ లో అత్యధిక పరుగులు (బ్యాటింగ్ స్థానంలో ప్రకారం) (46)']")</f>
        <v>[ '5 వ అసాధారణ వికెట్లు (అడ్డుకోవడం)', '1 వ ఇన్నింగ్స్ లో అత్యధిక పరుగులు (బ్యాటింగ్ స్థానంలో ప్రకారం) (46)']</v>
      </c>
      <c r="C6174" s="2"/>
      <c r="D6174" s="2" t="str">
        <f>IFERROR(__xludf.DUMMYFUNCTION("IF(C6174&lt;&gt;"""", GOOGLETRANSLATE(C6174, ""en"", ""te""),"""")"),"")</f>
        <v/>
      </c>
      <c r="E6174" s="2" t="s">
        <v>3789</v>
      </c>
      <c r="F6174" s="2" t="str">
        <f>IFERROR(__xludf.DUMMYFUNCTION("IF(E6174&lt;&gt;"""", GOOGLETRANSLATE(E6174, ""en"", ""te""),"""")"),"[ '5 వ అసాధారణ వికెట్లు (అడ్డుకోవడం)']")</f>
        <v>[ '5 వ అసాధారణ వికెట్లు (అడ్డుకోవడం)']</v>
      </c>
      <c r="G6174" s="2" t="s">
        <v>3790</v>
      </c>
      <c r="H6174" s="2" t="str">
        <f>IFERROR(__xludf.DUMMYFUNCTION("IF(G6174&lt;&gt;"""", GOOGLETRANSLATE(G6174, ""en"", ""te""),"""")"),"[ 'ఇన్నింగ్స్ లో 1 వ అత్యధిక పరుగులు (బ్యాటింగ్ స్థానంలో ప్రకారం) (46)', '12 వ వరుస మ్యాచ్లు ప్రదర్శనల మధ్య (54) జట్టు తప్పిన']")</f>
        <v>[ 'ఇన్నింగ్స్ లో 1 వ అత్యధిక పరుగులు (బ్యాటింగ్ స్థానంలో ప్రకారం) (46)', '12 వ వరుస మ్యాచ్లు ప్రదర్శనల మధ్య (54) జట్టు తప్పిన']</v>
      </c>
      <c r="I6174" s="3"/>
    </row>
    <row r="6175" customHeight="1" spans="1:9">
      <c r="A6175" s="2"/>
      <c r="B6175" s="2" t="str">
        <f>IFERROR(__xludf.DUMMYFUNCTION("IF(A6175&lt;&gt;"""", GOOGLETRANSLATE(A6175, ""en"", ""te""),"""")"),"")</f>
        <v/>
      </c>
      <c r="C6175" s="2"/>
      <c r="D6175" s="2" t="str">
        <f>IFERROR(__xludf.DUMMYFUNCTION("IF(C6175&lt;&gt;"""", GOOGLETRANSLATE(C6175, ""en"", ""te""),"""")"),"")</f>
        <v/>
      </c>
      <c r="E6175" s="2"/>
      <c r="F6175" s="2" t="str">
        <f>IFERROR(__xludf.DUMMYFUNCTION("IF(E6175&lt;&gt;"""", GOOGLETRANSLATE(E6175, ""en"", ""te""),"""")"),"")</f>
        <v/>
      </c>
      <c r="G6175" s="2"/>
      <c r="H6175" s="2" t="str">
        <f>IFERROR(__xludf.DUMMYFUNCTION("IF(G6175&lt;&gt;"""", GOOGLETRANSLATE(G6175, ""en"", ""te""),"""")"),"")</f>
        <v/>
      </c>
      <c r="I6175" s="3"/>
    </row>
    <row r="6176" customHeight="1" spans="1:9">
      <c r="A6176" s="2"/>
      <c r="B6176" s="2" t="str">
        <f>IFERROR(__xludf.DUMMYFUNCTION("IF(A6176&lt;&gt;"""", GOOGLETRANSLATE(A6176, ""en"", ""te""),"""")"),"")</f>
        <v/>
      </c>
      <c r="C6176" s="2"/>
      <c r="D6176" s="2" t="str">
        <f>IFERROR(__xludf.DUMMYFUNCTION("IF(C6176&lt;&gt;"""", GOOGLETRANSLATE(C6176, ""en"", ""te""),"""")"),"")</f>
        <v/>
      </c>
      <c r="E6176" s="2"/>
      <c r="F6176" s="2" t="str">
        <f>IFERROR(__xludf.DUMMYFUNCTION("IF(E6176&lt;&gt;"""", GOOGLETRANSLATE(E6176, ""en"", ""te""),"""")"),"")</f>
        <v/>
      </c>
      <c r="G6176" s="2" t="s">
        <v>3791</v>
      </c>
      <c r="H6176" s="2" t="str">
        <f>IFERROR(__xludf.DUMMYFUNCTION("IF(G6176&lt;&gt;"""", GOOGLETRANSLATE(G6176, ""en"", ""te""),"""")"),"[ 'ఆరవ వికెట్కు 16 అత్యధిక భాగస్వామ్యం (75)']")</f>
        <v>[ 'ఆరవ వికెట్కు 16 అత్యధిక భాగస్వామ్యం (75)']</v>
      </c>
      <c r="I6176" s="3"/>
    </row>
    <row r="6177" customHeight="1" spans="1:9">
      <c r="A6177" s="2"/>
      <c r="B6177" s="2" t="str">
        <f>IFERROR(__xludf.DUMMYFUNCTION("IF(A6177&lt;&gt;"""", GOOGLETRANSLATE(A6177, ""en"", ""te""),"""")"),"")</f>
        <v/>
      </c>
      <c r="C6177" s="2"/>
      <c r="D6177" s="2" t="str">
        <f>IFERROR(__xludf.DUMMYFUNCTION("IF(C6177&lt;&gt;"""", GOOGLETRANSLATE(C6177, ""en"", ""te""),"""")"),"")</f>
        <v/>
      </c>
      <c r="E6177" s="2"/>
      <c r="F6177" s="2" t="str">
        <f>IFERROR(__xludf.DUMMYFUNCTION("IF(E6177&lt;&gt;"""", GOOGLETRANSLATE(E6177, ""en"", ""te""),"""")"),"")</f>
        <v/>
      </c>
      <c r="G6177" s="2"/>
      <c r="H6177" s="2" t="str">
        <f>IFERROR(__xludf.DUMMYFUNCTION("IF(G6177&lt;&gt;"""", GOOGLETRANSLATE(G6177, ""en"", ""te""),"""")"),"")</f>
        <v/>
      </c>
      <c r="I6177" s="3"/>
    </row>
    <row r="6178" customHeight="1" spans="1:9">
      <c r="A6178" s="2"/>
      <c r="B6178" s="2" t="str">
        <f>IFERROR(__xludf.DUMMYFUNCTION("IF(A6178&lt;&gt;"""", GOOGLETRANSLATE(A6178, ""en"", ""te""),"""")"),"")</f>
        <v/>
      </c>
      <c r="C6178" s="2"/>
      <c r="D6178" s="2" t="str">
        <f>IFERROR(__xludf.DUMMYFUNCTION("IF(C6178&lt;&gt;"""", GOOGLETRANSLATE(C6178, ""en"", ""te""),"""")"),"")</f>
        <v/>
      </c>
      <c r="E6178" s="2"/>
      <c r="F6178" s="2" t="str">
        <f>IFERROR(__xludf.DUMMYFUNCTION("IF(E6178&lt;&gt;"""", GOOGLETRANSLATE(E6178, ""en"", ""te""),"""")"),"")</f>
        <v/>
      </c>
      <c r="G6178" s="2"/>
      <c r="H6178" s="2" t="str">
        <f>IFERROR(__xludf.DUMMYFUNCTION("IF(G6178&lt;&gt;"""", GOOGLETRANSLATE(G6178, ""en"", ""te""),"""")"),"")</f>
        <v/>
      </c>
      <c r="I6178" s="3"/>
    </row>
    <row r="6179" customHeight="1" spans="1:9">
      <c r="A6179" s="2"/>
      <c r="B6179" s="2" t="str">
        <f>IFERROR(__xludf.DUMMYFUNCTION("IF(A6179&lt;&gt;"""", GOOGLETRANSLATE(A6179, ""en"", ""te""),"""")"),"")</f>
        <v/>
      </c>
      <c r="C6179" s="2"/>
      <c r="D6179" s="2" t="str">
        <f>IFERROR(__xludf.DUMMYFUNCTION("IF(C6179&lt;&gt;"""", GOOGLETRANSLATE(C6179, ""en"", ""te""),"""")"),"")</f>
        <v/>
      </c>
      <c r="E6179" s="2"/>
      <c r="F6179" s="2" t="str">
        <f>IFERROR(__xludf.DUMMYFUNCTION("IF(E6179&lt;&gt;"""", GOOGLETRANSLATE(E6179, ""en"", ""te""),"""")"),"")</f>
        <v/>
      </c>
      <c r="G6179" s="2"/>
      <c r="H6179" s="2" t="str">
        <f>IFERROR(__xludf.DUMMYFUNCTION("IF(G6179&lt;&gt;"""", GOOGLETRANSLATE(G6179, ""en"", ""te""),"""")"),"")</f>
        <v/>
      </c>
      <c r="I6179" s="3"/>
    </row>
    <row r="6180" customHeight="1" spans="1:9">
      <c r="A6180" s="2"/>
      <c r="B6180" s="2" t="str">
        <f>IFERROR(__xludf.DUMMYFUNCTION("IF(A6180&lt;&gt;"""", GOOGLETRANSLATE(A6180, ""en"", ""te""),"""")"),"")</f>
        <v/>
      </c>
      <c r="C6180" s="2"/>
      <c r="D6180" s="2" t="str">
        <f>IFERROR(__xludf.DUMMYFUNCTION("IF(C6180&lt;&gt;"""", GOOGLETRANSLATE(C6180, ""en"", ""te""),"""")"),"")</f>
        <v/>
      </c>
      <c r="E6180" s="2"/>
      <c r="F6180" s="2" t="str">
        <f>IFERROR(__xludf.DUMMYFUNCTION("IF(E6180&lt;&gt;"""", GOOGLETRANSLATE(E6180, ""en"", ""te""),"""")"),"")</f>
        <v/>
      </c>
      <c r="G6180" s="2"/>
      <c r="H6180" s="2" t="str">
        <f>IFERROR(__xludf.DUMMYFUNCTION("IF(G6180&lt;&gt;"""", GOOGLETRANSLATE(G6180, ""en"", ""te""),"""")"),"")</f>
        <v/>
      </c>
      <c r="I6180" s="3"/>
    </row>
    <row r="6181" customHeight="1" spans="1:9">
      <c r="A6181" s="2"/>
      <c r="B6181" s="2" t="str">
        <f>IFERROR(__xludf.DUMMYFUNCTION("IF(A6181&lt;&gt;"""", GOOGLETRANSLATE(A6181, ""en"", ""te""),"""")"),"")</f>
        <v/>
      </c>
      <c r="C6181" s="2"/>
      <c r="D6181" s="2" t="str">
        <f>IFERROR(__xludf.DUMMYFUNCTION("IF(C6181&lt;&gt;"""", GOOGLETRANSLATE(C6181, ""en"", ""te""),"""")"),"")</f>
        <v/>
      </c>
      <c r="E6181" s="2"/>
      <c r="F6181" s="2" t="str">
        <f>IFERROR(__xludf.DUMMYFUNCTION("IF(E6181&lt;&gt;"""", GOOGLETRANSLATE(E6181, ""en"", ""te""),"""")"),"")</f>
        <v/>
      </c>
      <c r="G6181" s="2"/>
      <c r="H6181" s="2" t="str">
        <f>IFERROR(__xludf.DUMMYFUNCTION("IF(G6181&lt;&gt;"""", GOOGLETRANSLATE(G6181, ""en"", ""te""),"""")"),"")</f>
        <v/>
      </c>
      <c r="I6181" s="3"/>
    </row>
    <row r="6182" customHeight="1" spans="1:9">
      <c r="A6182" s="2"/>
      <c r="B6182" s="2" t="str">
        <f>IFERROR(__xludf.DUMMYFUNCTION("IF(A6182&lt;&gt;"""", GOOGLETRANSLATE(A6182, ""en"", ""te""),"""")"),"")</f>
        <v/>
      </c>
      <c r="C6182" s="2"/>
      <c r="D6182" s="2" t="str">
        <f>IFERROR(__xludf.DUMMYFUNCTION("IF(C6182&lt;&gt;"""", GOOGLETRANSLATE(C6182, ""en"", ""te""),"""")"),"")</f>
        <v/>
      </c>
      <c r="E6182" s="2"/>
      <c r="F6182" s="2" t="str">
        <f>IFERROR(__xludf.DUMMYFUNCTION("IF(E6182&lt;&gt;"""", GOOGLETRANSLATE(E6182, ""en"", ""te""),"""")"),"")</f>
        <v/>
      </c>
      <c r="G6182" s="2"/>
      <c r="H6182" s="2" t="str">
        <f>IFERROR(__xludf.DUMMYFUNCTION("IF(G6182&lt;&gt;"""", GOOGLETRANSLATE(G6182, ""en"", ""te""),"""")"),"")</f>
        <v/>
      </c>
      <c r="I6182" s="3"/>
    </row>
    <row r="6183" customHeight="1" spans="1:9">
      <c r="A6183" s="2"/>
      <c r="B6183" s="2" t="str">
        <f>IFERROR(__xludf.DUMMYFUNCTION("IF(A6183&lt;&gt;"""", GOOGLETRANSLATE(A6183, ""en"", ""te""),"""")"),"")</f>
        <v/>
      </c>
      <c r="C6183" s="2" t="s">
        <v>655</v>
      </c>
      <c r="D6183" s="2" t="str">
        <f>IFERROR(__xludf.DUMMYFUNCTION("IF(C6183&lt;&gt;"""", GOOGLETRANSLATE(C6183, ""en"", ""te""),"""")"),"[ '33 వ ప్రవేశం (8) ఒక మ్యాచ్లో బెస్ట్ ఫిగర్స్']")</f>
        <v>[ '33 వ ప్రవేశం (8) ఒక మ్యాచ్లో బెస్ట్ ఫిగర్స్']</v>
      </c>
      <c r="E6183" s="2"/>
      <c r="F6183" s="2" t="str">
        <f>IFERROR(__xludf.DUMMYFUNCTION("IF(E6183&lt;&gt;"""", GOOGLETRANSLATE(E6183, ""en"", ""te""),"""")"),"")</f>
        <v/>
      </c>
      <c r="G6183" s="2"/>
      <c r="H6183" s="2" t="str">
        <f>IFERROR(__xludf.DUMMYFUNCTION("IF(G6183&lt;&gt;"""", GOOGLETRANSLATE(G6183, ""en"", ""te""),"""")"),"")</f>
        <v/>
      </c>
      <c r="I6183" s="3"/>
    </row>
    <row r="6184" customHeight="1" spans="1:9">
      <c r="A6184" s="2"/>
      <c r="B6184" s="2" t="str">
        <f>IFERROR(__xludf.DUMMYFUNCTION("IF(A6184&lt;&gt;"""", GOOGLETRANSLATE(A6184, ""en"", ""te""),"""")"),"")</f>
        <v/>
      </c>
      <c r="C6184" s="2"/>
      <c r="D6184" s="2" t="str">
        <f>IFERROR(__xludf.DUMMYFUNCTION("IF(C6184&lt;&gt;"""", GOOGLETRANSLATE(C6184, ""en"", ""te""),"""")"),"")</f>
        <v/>
      </c>
      <c r="E6184" s="2"/>
      <c r="F6184" s="2" t="str">
        <f>IFERROR(__xludf.DUMMYFUNCTION("IF(E6184&lt;&gt;"""", GOOGLETRANSLATE(E6184, ""en"", ""te""),"""")"),"")</f>
        <v/>
      </c>
      <c r="G6184" s="2"/>
      <c r="H6184" s="2" t="str">
        <f>IFERROR(__xludf.DUMMYFUNCTION("IF(G6184&lt;&gt;"""", GOOGLETRANSLATE(G6184, ""en"", ""te""),"""")"),"")</f>
        <v/>
      </c>
      <c r="I6184" s="3"/>
    </row>
    <row r="6185" customHeight="1" spans="1:9">
      <c r="A6185" s="2" t="s">
        <v>3792</v>
      </c>
      <c r="B6185" s="2" t="str">
        <f>IFERROR(__xludf.DUMMYFUNCTION("IF(A6185&lt;&gt;"""", GOOGLETRANSLATE(A6185, ""en"", ""te""),"""")"),"[ '1st చాల వరకు ఒక అంపైర్ (136) వంటి ఆటలకు]")</f>
        <v>[ '1st చాల వరకు ఒక అంపైర్ (136) వంటి ఆటలకు]</v>
      </c>
      <c r="C6185" s="2" t="s">
        <v>3792</v>
      </c>
      <c r="D6185" s="2" t="str">
        <f>IFERROR(__xludf.DUMMYFUNCTION("IF(C6185&lt;&gt;"""", GOOGLETRANSLATE(C6185, ""en"", ""te""),"""")"),"[ '1st చాల వరకు ఒక అంపైర్ (136) వంటి ఆటలకు]")</f>
        <v>[ '1st చాల వరకు ఒక అంపైర్ (136) వంటి ఆటలకు]</v>
      </c>
      <c r="E6185" s="2" t="s">
        <v>3793</v>
      </c>
      <c r="F6185" s="2" t="str">
        <f>IFERROR(__xludf.DUMMYFUNCTION("IF(E6185&lt;&gt;"""", GOOGLETRANSLATE(E6185, ""en"", ""te""),"""")"),"[ '1st చాల వరకు ఒక అంపైర్ (211) వంటి ఆటలకు]")</f>
        <v>[ '1st చాల వరకు ఒక అంపైర్ (211) వంటి ఆటలకు]</v>
      </c>
      <c r="G6185" s="2" t="s">
        <v>3794</v>
      </c>
      <c r="H6185" s="2" t="str">
        <f>IFERROR(__xludf.DUMMYFUNCTION("IF(G6185&lt;&gt;"""", GOOGLETRANSLATE(G6185, ""en"", ""te""),"""")"),"[ '1st చాల వరకు ఒక అంపైర్ (53) గా పేర్కొంటే']")</f>
        <v>[ '1st చాల వరకు ఒక అంపైర్ (53) గా పేర్కొంటే']</v>
      </c>
      <c r="I6185" s="3"/>
    </row>
    <row r="6186" customHeight="1" spans="1:9">
      <c r="A6186" s="2" t="s">
        <v>2234</v>
      </c>
      <c r="B6186" s="2" t="str">
        <f>IFERROR(__xludf.DUMMYFUNCTION("IF(A6186&lt;&gt;"""", GOOGLETRANSLATE(A6186, ""en"", ""te""),"""")"),"[ 'ఇన్నింగ్స్ లో 5 వ అత్యధిక వికెట్లు (6)' 'ఇన్నింగ్స్ లో 5 వ అత్యధిక క్యాచ్లు (6)',]")</f>
        <v>[ 'ఇన్నింగ్స్ లో 5 వ అత్యధిక వికెట్లు (6)' 'ఇన్నింగ్స్ లో 5 వ అత్యధిక క్యాచ్లు (6)',]</v>
      </c>
      <c r="C6186" s="2" t="s">
        <v>3795</v>
      </c>
      <c r="D6186" s="2" t="str">
        <f>IFERROR(__xludf.DUMMYFUNCTION("IF(C6186&lt;&gt;"""", GOOGLETRANSLATE(C6186, ""en"", ""te""),"""")"),"[ 'ఇన్నింగ్స్ (6) లో 5 వ అత్యధిక క్యాచ్లు', '(8) ఒక మ్యాచ్లో 35 వ అత్యధిక వికెట్లు', 'చాలా 5 వ ఇన్నింగ్స్ (6) లో తొలగింపులకు' 'ఒక మ్యాచ్లో 26 అత్యధిక క్యాచ్లు (8)', ' కెరీర్ (11) లో 43 వ అత్యంత స్టంపింగ్లు ']")</f>
        <v>[ 'ఇన్నింగ్స్ (6) లో 5 వ అత్యధిక క్యాచ్లు', '(8) ఒక మ్యాచ్లో 35 వ అత్యధిక వికెట్లు', 'చాలా 5 వ ఇన్నింగ్స్ (6) లో తొలగింపులకు' 'ఒక మ్యాచ్లో 26 అత్యధిక క్యాచ్లు (8)', ' కెరీర్ (11) లో 43 వ అత్యంత స్టంపింగ్లు ']</v>
      </c>
      <c r="E6186" s="2"/>
      <c r="F6186" s="2" t="str">
        <f>IFERROR(__xludf.DUMMYFUNCTION("IF(E6186&lt;&gt;"""", GOOGLETRANSLATE(E6186, ""en"", ""te""),"""")"),"")</f>
        <v/>
      </c>
      <c r="G6186" s="2"/>
      <c r="H6186" s="2" t="str">
        <f>IFERROR(__xludf.DUMMYFUNCTION("IF(G6186&lt;&gt;"""", GOOGLETRANSLATE(G6186, ""en"", ""te""),"""")"),"")</f>
        <v/>
      </c>
      <c r="I6186" s="3"/>
    </row>
    <row r="6187" customHeight="1" spans="1:9">
      <c r="A6187" s="2"/>
      <c r="B6187" s="2" t="str">
        <f>IFERROR(__xludf.DUMMYFUNCTION("IF(A6187&lt;&gt;"""", GOOGLETRANSLATE(A6187, ""en"", ""te""),"""")"),"")</f>
        <v/>
      </c>
      <c r="C6187" s="2"/>
      <c r="D6187" s="2" t="str">
        <f>IFERROR(__xludf.DUMMYFUNCTION("IF(C6187&lt;&gt;"""", GOOGLETRANSLATE(C6187, ""en"", ""te""),"""")"),"")</f>
        <v/>
      </c>
      <c r="E6187" s="2"/>
      <c r="F6187" s="2" t="str">
        <f>IFERROR(__xludf.DUMMYFUNCTION("IF(E6187&lt;&gt;"""", GOOGLETRANSLATE(E6187, ""en"", ""te""),"""")"),"")</f>
        <v/>
      </c>
      <c r="G6187" s="2"/>
      <c r="H6187" s="2" t="str">
        <f>IFERROR(__xludf.DUMMYFUNCTION("IF(G6187&lt;&gt;"""", GOOGLETRANSLATE(G6187, ""en"", ""te""),"""")"),"")</f>
        <v/>
      </c>
      <c r="I6187" s="3"/>
    </row>
    <row r="6188" customHeight="1" spans="1:9">
      <c r="A6188" s="2"/>
      <c r="B6188" s="2" t="str">
        <f>IFERROR(__xludf.DUMMYFUNCTION("IF(A6188&lt;&gt;"""", GOOGLETRANSLATE(A6188, ""en"", ""te""),"""")"),"")</f>
        <v/>
      </c>
      <c r="C6188" s="2"/>
      <c r="D6188" s="2" t="str">
        <f>IFERROR(__xludf.DUMMYFUNCTION("IF(C6188&lt;&gt;"""", GOOGLETRANSLATE(C6188, ""en"", ""te""),"""")"),"")</f>
        <v/>
      </c>
      <c r="E6188" s="2"/>
      <c r="F6188" s="2" t="str">
        <f>IFERROR(__xludf.DUMMYFUNCTION("IF(E6188&lt;&gt;"""", GOOGLETRANSLATE(E6188, ""en"", ""te""),"""")"),"")</f>
        <v/>
      </c>
      <c r="G6188" s="2"/>
      <c r="H6188" s="2" t="str">
        <f>IFERROR(__xludf.DUMMYFUNCTION("IF(G6188&lt;&gt;"""", GOOGLETRANSLATE(G6188, ""en"", ""te""),"""")"),"")</f>
        <v/>
      </c>
      <c r="I6188" s="3"/>
    </row>
    <row r="6189" customHeight="1" spans="1:9">
      <c r="A6189" s="2"/>
      <c r="B6189" s="2" t="str">
        <f>IFERROR(__xludf.DUMMYFUNCTION("IF(A6189&lt;&gt;"""", GOOGLETRANSLATE(A6189, ""en"", ""te""),"""")"),"")</f>
        <v/>
      </c>
      <c r="C6189" s="2"/>
      <c r="D6189" s="2" t="str">
        <f>IFERROR(__xludf.DUMMYFUNCTION("IF(C6189&lt;&gt;"""", GOOGLETRANSLATE(C6189, ""en"", ""te""),"""")"),"")</f>
        <v/>
      </c>
      <c r="E6189" s="2"/>
      <c r="F6189" s="2" t="str">
        <f>IFERROR(__xludf.DUMMYFUNCTION("IF(E6189&lt;&gt;"""", GOOGLETRANSLATE(E6189, ""en"", ""te""),"""")"),"")</f>
        <v/>
      </c>
      <c r="G6189" s="2"/>
      <c r="H6189" s="2" t="str">
        <f>IFERROR(__xludf.DUMMYFUNCTION("IF(G6189&lt;&gt;"""", GOOGLETRANSLATE(G6189, ""en"", ""te""),"""")"),"")</f>
        <v/>
      </c>
      <c r="I6189" s="3"/>
    </row>
    <row r="6190" customHeight="1" spans="1:9">
      <c r="A6190" s="2"/>
      <c r="B6190" s="2" t="str">
        <f>IFERROR(__xludf.DUMMYFUNCTION("IF(A6190&lt;&gt;"""", GOOGLETRANSLATE(A6190, ""en"", ""te""),"""")"),"")</f>
        <v/>
      </c>
      <c r="C6190" s="2"/>
      <c r="D6190" s="2" t="str">
        <f>IFERROR(__xludf.DUMMYFUNCTION("IF(C6190&lt;&gt;"""", GOOGLETRANSLATE(C6190, ""en"", ""te""),"""")"),"")</f>
        <v/>
      </c>
      <c r="E6190" s="2"/>
      <c r="F6190" s="2" t="str">
        <f>IFERROR(__xludf.DUMMYFUNCTION("IF(E6190&lt;&gt;"""", GOOGLETRANSLATE(E6190, ""en"", ""te""),"""")"),"")</f>
        <v/>
      </c>
      <c r="G6190" s="2"/>
      <c r="H6190" s="2" t="str">
        <f>IFERROR(__xludf.DUMMYFUNCTION("IF(G6190&lt;&gt;"""", GOOGLETRANSLATE(G6190, ""en"", ""te""),"""")"),"")</f>
        <v/>
      </c>
      <c r="I6190" s="3"/>
    </row>
    <row r="6191" customHeight="1" spans="1:9">
      <c r="A6191" s="2"/>
      <c r="B6191" s="2" t="str">
        <f>IFERROR(__xludf.DUMMYFUNCTION("IF(A6191&lt;&gt;"""", GOOGLETRANSLATE(A6191, ""en"", ""te""),"""")"),"")</f>
        <v/>
      </c>
      <c r="C6191" s="2"/>
      <c r="D6191" s="2" t="str">
        <f>IFERROR(__xludf.DUMMYFUNCTION("IF(C6191&lt;&gt;"""", GOOGLETRANSLATE(C6191, ""en"", ""te""),"""")"),"")</f>
        <v/>
      </c>
      <c r="E6191" s="2"/>
      <c r="F6191" s="2" t="str">
        <f>IFERROR(__xludf.DUMMYFUNCTION("IF(E6191&lt;&gt;"""", GOOGLETRANSLATE(E6191, ""en"", ""te""),"""")"),"")</f>
        <v/>
      </c>
      <c r="G6191" s="2"/>
      <c r="H6191" s="2" t="str">
        <f>IFERROR(__xludf.DUMMYFUNCTION("IF(G6191&lt;&gt;"""", GOOGLETRANSLATE(G6191, ""en"", ""te""),"""")"),"")</f>
        <v/>
      </c>
      <c r="I6191" s="3"/>
    </row>
    <row r="6192" customHeight="1" spans="1:9">
      <c r="A6192" s="2"/>
      <c r="B6192" s="2" t="str">
        <f>IFERROR(__xludf.DUMMYFUNCTION("IF(A6192&lt;&gt;"""", GOOGLETRANSLATE(A6192, ""en"", ""te""),"""")"),"")</f>
        <v/>
      </c>
      <c r="C6192" s="2"/>
      <c r="D6192" s="2" t="str">
        <f>IFERROR(__xludf.DUMMYFUNCTION("IF(C6192&lt;&gt;"""", GOOGLETRANSLATE(C6192, ""en"", ""te""),"""")"),"")</f>
        <v/>
      </c>
      <c r="E6192" s="2"/>
      <c r="F6192" s="2" t="str">
        <f>IFERROR(__xludf.DUMMYFUNCTION("IF(E6192&lt;&gt;"""", GOOGLETRANSLATE(E6192, ""en"", ""te""),"""")"),"")</f>
        <v/>
      </c>
      <c r="G6192" s="2"/>
      <c r="H6192" s="2" t="str">
        <f>IFERROR(__xludf.DUMMYFUNCTION("IF(G6192&lt;&gt;"""", GOOGLETRANSLATE(G6192, ""en"", ""te""),"""")"),"")</f>
        <v/>
      </c>
      <c r="I6192" s="3"/>
    </row>
    <row r="6193" customHeight="1" spans="1:9">
      <c r="A6193" s="2"/>
      <c r="B6193" s="2" t="str">
        <f>IFERROR(__xludf.DUMMYFUNCTION("IF(A6193&lt;&gt;"""", GOOGLETRANSLATE(A6193, ""en"", ""te""),"""")"),"")</f>
        <v/>
      </c>
      <c r="C6193" s="2"/>
      <c r="D6193" s="2" t="str">
        <f>IFERROR(__xludf.DUMMYFUNCTION("IF(C6193&lt;&gt;"""", GOOGLETRANSLATE(C6193, ""en"", ""te""),"""")"),"")</f>
        <v/>
      </c>
      <c r="E6193" s="2"/>
      <c r="F6193" s="2" t="str">
        <f>IFERROR(__xludf.DUMMYFUNCTION("IF(E6193&lt;&gt;"""", GOOGLETRANSLATE(E6193, ""en"", ""te""),"""")"),"")</f>
        <v/>
      </c>
      <c r="G6193" s="2"/>
      <c r="H6193" s="2" t="str">
        <f>IFERROR(__xludf.DUMMYFUNCTION("IF(G6193&lt;&gt;"""", GOOGLETRANSLATE(G6193, ""en"", ""te""),"""")"),"")</f>
        <v/>
      </c>
      <c r="I6193" s="3"/>
    </row>
    <row r="6194" customHeight="1" spans="1:9">
      <c r="A6194" s="2"/>
      <c r="B6194" s="2" t="str">
        <f>IFERROR(__xludf.DUMMYFUNCTION("IF(A6194&lt;&gt;"""", GOOGLETRANSLATE(A6194, ""en"", ""te""),"""")"),"")</f>
        <v/>
      </c>
      <c r="C6194" s="2"/>
      <c r="D6194" s="2" t="str">
        <f>IFERROR(__xludf.DUMMYFUNCTION("IF(C6194&lt;&gt;"""", GOOGLETRANSLATE(C6194, ""en"", ""te""),"""")"),"")</f>
        <v/>
      </c>
      <c r="E6194" s="2"/>
      <c r="F6194" s="2" t="str">
        <f>IFERROR(__xludf.DUMMYFUNCTION("IF(E6194&lt;&gt;"""", GOOGLETRANSLATE(E6194, ""en"", ""te""),"""")"),"")</f>
        <v/>
      </c>
      <c r="G6194" s="2"/>
      <c r="H6194" s="2" t="str">
        <f>IFERROR(__xludf.DUMMYFUNCTION("IF(G6194&lt;&gt;"""", GOOGLETRANSLATE(G6194, ""en"", ""te""),"""")"),"")</f>
        <v/>
      </c>
      <c r="I6194" s="3"/>
    </row>
    <row r="6195" customHeight="1" spans="1:9">
      <c r="A6195" s="2" t="s">
        <v>3796</v>
      </c>
      <c r="B6195" s="2" t="str">
        <f>IFERROR(__xludf.DUMMYFUNCTION("IF(A6195&lt;&gt;"""", GOOGLETRANSLATE(A6195, ""en"", ""te""),"""")"),"[ '6 వ పిన్న క్రీడాకారులు (16y 221d)']")</f>
        <v>[ '6 వ పిన్న క్రీడాకారులు (16y 221d)']</v>
      </c>
      <c r="C6195" s="2" t="s">
        <v>3796</v>
      </c>
      <c r="D6195" s="2" t="str">
        <f>IFERROR(__xludf.DUMMYFUNCTION("IF(C6195&lt;&gt;"""", GOOGLETRANSLATE(C6195, ""en"", ""te""),"""")"),"[ '6 వ పిన్న క్రీడాకారులు (16y 221d)']")</f>
        <v>[ '6 వ పిన్న క్రీడాకారులు (16y 221d)']</v>
      </c>
      <c r="E6195" s="2"/>
      <c r="F6195" s="2" t="str">
        <f>IFERROR(__xludf.DUMMYFUNCTION("IF(E6195&lt;&gt;"""", GOOGLETRANSLATE(E6195, ""en"", ""te""),"""")"),"")</f>
        <v/>
      </c>
      <c r="G6195" s="2"/>
      <c r="H6195" s="2" t="str">
        <f>IFERROR(__xludf.DUMMYFUNCTION("IF(G6195&lt;&gt;"""", GOOGLETRANSLATE(G6195, ""en"", ""te""),"""")"),"")</f>
        <v/>
      </c>
      <c r="I6195" s="3"/>
    </row>
    <row r="6196" customHeight="1" spans="1:9">
      <c r="A6196" s="2"/>
      <c r="B6196" s="2" t="str">
        <f>IFERROR(__xludf.DUMMYFUNCTION("IF(A6196&lt;&gt;"""", GOOGLETRANSLATE(A6196, ""en"", ""te""),"""")"),"")</f>
        <v/>
      </c>
      <c r="C6196" s="2"/>
      <c r="D6196" s="2" t="str">
        <f>IFERROR(__xludf.DUMMYFUNCTION("IF(C6196&lt;&gt;"""", GOOGLETRANSLATE(C6196, ""en"", ""te""),"""")"),"")</f>
        <v/>
      </c>
      <c r="E6196" s="2" t="s">
        <v>3797</v>
      </c>
      <c r="F6196" s="2" t="str">
        <f>IFERROR(__xludf.DUMMYFUNCTION("IF(E6196&lt;&gt;"""", GOOGLETRANSLATE(E6196, ""en"", ""te""),"""")"),"[ '23 షార్టేస్ట్ క్రీడాకారులు (43y 110d) నివసించారు']")</f>
        <v>[ '23 షార్టేస్ట్ క్రీడాకారులు (43y 110d) నివసించారు']</v>
      </c>
      <c r="G6196" s="2"/>
      <c r="H6196" s="2" t="str">
        <f>IFERROR(__xludf.DUMMYFUNCTION("IF(G6196&lt;&gt;"""", GOOGLETRANSLATE(G6196, ""en"", ""te""),"""")"),"")</f>
        <v/>
      </c>
      <c r="I6196" s="3"/>
    </row>
    <row r="6197" customHeight="1" spans="1:9">
      <c r="A6197" s="2"/>
      <c r="B6197" s="2" t="str">
        <f>IFERROR(__xludf.DUMMYFUNCTION("IF(A6197&lt;&gt;"""", GOOGLETRANSLATE(A6197, ""en"", ""te""),"""")"),"")</f>
        <v/>
      </c>
      <c r="C6197" s="2"/>
      <c r="D6197" s="2" t="str">
        <f>IFERROR(__xludf.DUMMYFUNCTION("IF(C6197&lt;&gt;"""", GOOGLETRANSLATE(C6197, ""en"", ""te""),"""")"),"")</f>
        <v/>
      </c>
      <c r="E6197" s="2"/>
      <c r="F6197" s="2" t="str">
        <f>IFERROR(__xludf.DUMMYFUNCTION("IF(E6197&lt;&gt;"""", GOOGLETRANSLATE(E6197, ""en"", ""te""),"""")"),"")</f>
        <v/>
      </c>
      <c r="G6197" s="2"/>
      <c r="H6197" s="2" t="str">
        <f>IFERROR(__xludf.DUMMYFUNCTION("IF(G6197&lt;&gt;"""", GOOGLETRANSLATE(G6197, ""en"", ""te""),"""")"),"")</f>
        <v/>
      </c>
      <c r="I6197" s="3"/>
    </row>
    <row r="6198" customHeight="1" spans="1:9">
      <c r="A6198" s="2"/>
      <c r="B6198" s="2" t="str">
        <f>IFERROR(__xludf.DUMMYFUNCTION("IF(A6198&lt;&gt;"""", GOOGLETRANSLATE(A6198, ""en"", ""te""),"""")"),"")</f>
        <v/>
      </c>
      <c r="C6198" s="2"/>
      <c r="D6198" s="2" t="str">
        <f>IFERROR(__xludf.DUMMYFUNCTION("IF(C6198&lt;&gt;"""", GOOGLETRANSLATE(C6198, ""en"", ""te""),"""")"),"")</f>
        <v/>
      </c>
      <c r="E6198" s="2"/>
      <c r="F6198" s="2" t="str">
        <f>IFERROR(__xludf.DUMMYFUNCTION("IF(E6198&lt;&gt;"""", GOOGLETRANSLATE(E6198, ""en"", ""te""),"""")"),"")</f>
        <v/>
      </c>
      <c r="G6198" s="2"/>
      <c r="H6198" s="2" t="str">
        <f>IFERROR(__xludf.DUMMYFUNCTION("IF(G6198&lt;&gt;"""", GOOGLETRANSLATE(G6198, ""en"", ""te""),"""")"),"")</f>
        <v/>
      </c>
      <c r="I6198" s="3"/>
    </row>
    <row r="6199" customHeight="1" spans="1:9">
      <c r="A6199" s="2"/>
      <c r="B6199" s="2" t="str">
        <f>IFERROR(__xludf.DUMMYFUNCTION("IF(A6199&lt;&gt;"""", GOOGLETRANSLATE(A6199, ""en"", ""te""),"""")"),"")</f>
        <v/>
      </c>
      <c r="C6199" s="2"/>
      <c r="D6199" s="2" t="str">
        <f>IFERROR(__xludf.DUMMYFUNCTION("IF(C6199&lt;&gt;"""", GOOGLETRANSLATE(C6199, ""en"", ""te""),"""")"),"")</f>
        <v/>
      </c>
      <c r="E6199" s="2"/>
      <c r="F6199" s="2" t="str">
        <f>IFERROR(__xludf.DUMMYFUNCTION("IF(E6199&lt;&gt;"""", GOOGLETRANSLATE(E6199, ""en"", ""te""),"""")"),"")</f>
        <v/>
      </c>
      <c r="G6199" s="2"/>
      <c r="H6199" s="2" t="str">
        <f>IFERROR(__xludf.DUMMYFUNCTION("IF(G6199&lt;&gt;"""", GOOGLETRANSLATE(G6199, ""en"", ""te""),"""")"),"")</f>
        <v/>
      </c>
      <c r="I6199" s="3"/>
    </row>
    <row r="6200" customHeight="1" spans="1:9">
      <c r="A6200" s="2"/>
      <c r="B6200" s="2" t="str">
        <f>IFERROR(__xludf.DUMMYFUNCTION("IF(A6200&lt;&gt;"""", GOOGLETRANSLATE(A6200, ""en"", ""te""),"""")"),"")</f>
        <v/>
      </c>
      <c r="C6200" s="2"/>
      <c r="D6200" s="2" t="str">
        <f>IFERROR(__xludf.DUMMYFUNCTION("IF(C6200&lt;&gt;"""", GOOGLETRANSLATE(C6200, ""en"", ""te""),"""")"),"")</f>
        <v/>
      </c>
      <c r="E6200" s="2"/>
      <c r="F6200" s="2" t="str">
        <f>IFERROR(__xludf.DUMMYFUNCTION("IF(E6200&lt;&gt;"""", GOOGLETRANSLATE(E6200, ""en"", ""te""),"""")"),"")</f>
        <v/>
      </c>
      <c r="G6200" s="2"/>
      <c r="H6200" s="2" t="str">
        <f>IFERROR(__xludf.DUMMYFUNCTION("IF(G6200&lt;&gt;"""", GOOGLETRANSLATE(G6200, ""en"", ""te""),"""")"),"")</f>
        <v/>
      </c>
      <c r="I6200" s="3"/>
    </row>
    <row r="6201" customHeight="1" spans="1:9">
      <c r="A6201" s="2"/>
      <c r="B6201" s="2" t="str">
        <f>IFERROR(__xludf.DUMMYFUNCTION("IF(A6201&lt;&gt;"""", GOOGLETRANSLATE(A6201, ""en"", ""te""),"""")"),"")</f>
        <v/>
      </c>
      <c r="C6201" s="2"/>
      <c r="D6201" s="2" t="str">
        <f>IFERROR(__xludf.DUMMYFUNCTION("IF(C6201&lt;&gt;"""", GOOGLETRANSLATE(C6201, ""en"", ""te""),"""")"),"")</f>
        <v/>
      </c>
      <c r="E6201" s="2"/>
      <c r="F6201" s="2" t="str">
        <f>IFERROR(__xludf.DUMMYFUNCTION("IF(E6201&lt;&gt;"""", GOOGLETRANSLATE(E6201, ""en"", ""te""),"""")"),"")</f>
        <v/>
      </c>
      <c r="G6201" s="2"/>
      <c r="H6201" s="2" t="str">
        <f>IFERROR(__xludf.DUMMYFUNCTION("IF(G6201&lt;&gt;"""", GOOGLETRANSLATE(G6201, ""en"", ""te""),"""")"),"")</f>
        <v/>
      </c>
      <c r="I6201" s="3"/>
    </row>
    <row r="6202" customHeight="1" spans="1:9">
      <c r="A6202" s="2"/>
      <c r="B6202" s="2" t="str">
        <f>IFERROR(__xludf.DUMMYFUNCTION("IF(A6202&lt;&gt;"""", GOOGLETRANSLATE(A6202, ""en"", ""te""),"""")"),"")</f>
        <v/>
      </c>
      <c r="C6202" s="2"/>
      <c r="D6202" s="2" t="str">
        <f>IFERROR(__xludf.DUMMYFUNCTION("IF(C6202&lt;&gt;"""", GOOGLETRANSLATE(C6202, ""en"", ""te""),"""")"),"")</f>
        <v/>
      </c>
      <c r="E6202" s="2"/>
      <c r="F6202" s="2" t="str">
        <f>IFERROR(__xludf.DUMMYFUNCTION("IF(E6202&lt;&gt;"""", GOOGLETRANSLATE(E6202, ""en"", ""te""),"""")"),"")</f>
        <v/>
      </c>
      <c r="G6202" s="2"/>
      <c r="H6202" s="2" t="str">
        <f>IFERROR(__xludf.DUMMYFUNCTION("IF(G6202&lt;&gt;"""", GOOGLETRANSLATE(G6202, ""en"", ""te""),"""")"),"")</f>
        <v/>
      </c>
      <c r="I6202" s="3"/>
    </row>
    <row r="6203" customHeight="1" spans="1:9">
      <c r="A6203" s="2"/>
      <c r="B6203" s="2" t="str">
        <f>IFERROR(__xludf.DUMMYFUNCTION("IF(A6203&lt;&gt;"""", GOOGLETRANSLATE(A6203, ""en"", ""te""),"""")"),"")</f>
        <v/>
      </c>
      <c r="C6203" s="2"/>
      <c r="D6203" s="2" t="str">
        <f>IFERROR(__xludf.DUMMYFUNCTION("IF(C6203&lt;&gt;"""", GOOGLETRANSLATE(C6203, ""en"", ""te""),"""")"),"")</f>
        <v/>
      </c>
      <c r="E6203" s="2"/>
      <c r="F6203" s="2" t="str">
        <f>IFERROR(__xludf.DUMMYFUNCTION("IF(E6203&lt;&gt;"""", GOOGLETRANSLATE(E6203, ""en"", ""te""),"""")"),"")</f>
        <v/>
      </c>
      <c r="G6203" s="2"/>
      <c r="H6203" s="2" t="str">
        <f>IFERROR(__xludf.DUMMYFUNCTION("IF(G6203&lt;&gt;"""", GOOGLETRANSLATE(G6203, ""en"", ""te""),"""")"),"")</f>
        <v/>
      </c>
      <c r="I6203" s="3"/>
    </row>
    <row r="6204" customHeight="1" spans="1:9">
      <c r="A6204" s="2"/>
      <c r="B6204" s="2" t="str">
        <f>IFERROR(__xludf.DUMMYFUNCTION("IF(A6204&lt;&gt;"""", GOOGLETRANSLATE(A6204, ""en"", ""te""),"""")"),"")</f>
        <v/>
      </c>
      <c r="C6204" s="2"/>
      <c r="D6204" s="2" t="str">
        <f>IFERROR(__xludf.DUMMYFUNCTION("IF(C6204&lt;&gt;"""", GOOGLETRANSLATE(C6204, ""en"", ""te""),"""")"),"")</f>
        <v/>
      </c>
      <c r="E6204" s="2"/>
      <c r="F6204" s="2" t="str">
        <f>IFERROR(__xludf.DUMMYFUNCTION("IF(E6204&lt;&gt;"""", GOOGLETRANSLATE(E6204, ""en"", ""te""),"""")"),"")</f>
        <v/>
      </c>
      <c r="G6204" s="2"/>
      <c r="H6204" s="2" t="str">
        <f>IFERROR(__xludf.DUMMYFUNCTION("IF(G6204&lt;&gt;"""", GOOGLETRANSLATE(G6204, ""en"", ""te""),"""")"),"")</f>
        <v/>
      </c>
      <c r="I6204" s="3"/>
    </row>
    <row r="6205" customHeight="1" spans="1:9">
      <c r="A6205" s="2"/>
      <c r="B6205" s="2" t="str">
        <f>IFERROR(__xludf.DUMMYFUNCTION("IF(A6205&lt;&gt;"""", GOOGLETRANSLATE(A6205, ""en"", ""te""),"""")"),"")</f>
        <v/>
      </c>
      <c r="C6205" s="2"/>
      <c r="D6205" s="2" t="str">
        <f>IFERROR(__xludf.DUMMYFUNCTION("IF(C6205&lt;&gt;"""", GOOGLETRANSLATE(C6205, ""en"", ""te""),"""")"),"")</f>
        <v/>
      </c>
      <c r="E6205" s="2"/>
      <c r="F6205" s="2" t="str">
        <f>IFERROR(__xludf.DUMMYFUNCTION("IF(E6205&lt;&gt;"""", GOOGLETRANSLATE(E6205, ""en"", ""te""),"""")"),"")</f>
        <v/>
      </c>
      <c r="G6205" s="2"/>
      <c r="H6205" s="2" t="str">
        <f>IFERROR(__xludf.DUMMYFUNCTION("IF(G6205&lt;&gt;"""", GOOGLETRANSLATE(G6205, ""en"", ""te""),"""")"),"")</f>
        <v/>
      </c>
      <c r="I6205" s="3"/>
    </row>
    <row r="6206" customHeight="1" spans="1:9">
      <c r="A6206" s="2"/>
      <c r="B6206" s="2" t="str">
        <f>IFERROR(__xludf.DUMMYFUNCTION("IF(A6206&lt;&gt;"""", GOOGLETRANSLATE(A6206, ""en"", ""te""),"""")"),"")</f>
        <v/>
      </c>
      <c r="C6206" s="2"/>
      <c r="D6206" s="2" t="str">
        <f>IFERROR(__xludf.DUMMYFUNCTION("IF(C6206&lt;&gt;"""", GOOGLETRANSLATE(C6206, ""en"", ""te""),"""")"),"")</f>
        <v/>
      </c>
      <c r="E6206" s="2"/>
      <c r="F6206" s="2" t="str">
        <f>IFERROR(__xludf.DUMMYFUNCTION("IF(E6206&lt;&gt;"""", GOOGLETRANSLATE(E6206, ""en"", ""te""),"""")"),"")</f>
        <v/>
      </c>
      <c r="G6206" s="2"/>
      <c r="H6206" s="2" t="str">
        <f>IFERROR(__xludf.DUMMYFUNCTION("IF(G6206&lt;&gt;"""", GOOGLETRANSLATE(G6206, ""en"", ""te""),"""")"),"")</f>
        <v/>
      </c>
      <c r="I6206" s="3"/>
    </row>
    <row r="6207" customHeight="1" spans="1:9">
      <c r="A6207" s="2"/>
      <c r="B6207" s="2" t="str">
        <f>IFERROR(__xludf.DUMMYFUNCTION("IF(A6207&lt;&gt;"""", GOOGLETRANSLATE(A6207, ""en"", ""te""),"""")"),"")</f>
        <v/>
      </c>
      <c r="C6207" s="2"/>
      <c r="D6207" s="2" t="str">
        <f>IFERROR(__xludf.DUMMYFUNCTION("IF(C6207&lt;&gt;"""", GOOGLETRANSLATE(C6207, ""en"", ""te""),"""")"),"")</f>
        <v/>
      </c>
      <c r="E6207" s="2"/>
      <c r="F6207" s="2" t="str">
        <f>IFERROR(__xludf.DUMMYFUNCTION("IF(E6207&lt;&gt;"""", GOOGLETRANSLATE(E6207, ""en"", ""te""),"""")"),"")</f>
        <v/>
      </c>
      <c r="G6207" s="2"/>
      <c r="H6207" s="2" t="str">
        <f>IFERROR(__xludf.DUMMYFUNCTION("IF(G6207&lt;&gt;"""", GOOGLETRANSLATE(G6207, ""en"", ""te""),"""")"),"")</f>
        <v/>
      </c>
      <c r="I6207" s="3"/>
    </row>
    <row r="6208" customHeight="1" spans="1:9">
      <c r="A6208" s="2"/>
      <c r="B6208" s="2" t="str">
        <f>IFERROR(__xludf.DUMMYFUNCTION("IF(A6208&lt;&gt;"""", GOOGLETRANSLATE(A6208, ""en"", ""te""),"""")"),"")</f>
        <v/>
      </c>
      <c r="C6208" s="2"/>
      <c r="D6208" s="2" t="str">
        <f>IFERROR(__xludf.DUMMYFUNCTION("IF(C6208&lt;&gt;"""", GOOGLETRANSLATE(C6208, ""en"", ""te""),"""")"),"")</f>
        <v/>
      </c>
      <c r="E6208" s="2"/>
      <c r="F6208" s="2" t="str">
        <f>IFERROR(__xludf.DUMMYFUNCTION("IF(E6208&lt;&gt;"""", GOOGLETRANSLATE(E6208, ""en"", ""te""),"""")"),"")</f>
        <v/>
      </c>
      <c r="G6208" s="2"/>
      <c r="H6208" s="2" t="str">
        <f>IFERROR(__xludf.DUMMYFUNCTION("IF(G6208&lt;&gt;"""", GOOGLETRANSLATE(G6208, ""en"", ""te""),"""")"),"")</f>
        <v/>
      </c>
      <c r="I6208" s="3"/>
    </row>
    <row r="6209" customHeight="1" spans="1:9">
      <c r="A6209" s="2"/>
      <c r="B6209" s="2" t="str">
        <f>IFERROR(__xludf.DUMMYFUNCTION("IF(A6209&lt;&gt;"""", GOOGLETRANSLATE(A6209, ""en"", ""te""),"""")"),"")</f>
        <v/>
      </c>
      <c r="C6209" s="2"/>
      <c r="D6209" s="2" t="str">
        <f>IFERROR(__xludf.DUMMYFUNCTION("IF(C6209&lt;&gt;"""", GOOGLETRANSLATE(C6209, ""en"", ""te""),"""")"),"")</f>
        <v/>
      </c>
      <c r="E6209" s="2"/>
      <c r="F6209" s="2" t="str">
        <f>IFERROR(__xludf.DUMMYFUNCTION("IF(E6209&lt;&gt;"""", GOOGLETRANSLATE(E6209, ""en"", ""te""),"""")"),"")</f>
        <v/>
      </c>
      <c r="G6209" s="2"/>
      <c r="H6209" s="2" t="str">
        <f>IFERROR(__xludf.DUMMYFUNCTION("IF(G6209&lt;&gt;"""", GOOGLETRANSLATE(G6209, ""en"", ""te""),"""")"),"")</f>
        <v/>
      </c>
      <c r="I6209" s="3"/>
    </row>
    <row r="6210" customHeight="1" spans="1:9">
      <c r="A6210" s="2"/>
      <c r="B6210" s="2" t="str">
        <f>IFERROR(__xludf.DUMMYFUNCTION("IF(A6210&lt;&gt;"""", GOOGLETRANSLATE(A6210, ""en"", ""te""),"""")"),"")</f>
        <v/>
      </c>
      <c r="C6210" s="2"/>
      <c r="D6210" s="2" t="str">
        <f>IFERROR(__xludf.DUMMYFUNCTION("IF(C6210&lt;&gt;"""", GOOGLETRANSLATE(C6210, ""en"", ""te""),"""")"),"")</f>
        <v/>
      </c>
      <c r="E6210" s="2"/>
      <c r="F6210" s="2" t="str">
        <f>IFERROR(__xludf.DUMMYFUNCTION("IF(E6210&lt;&gt;"""", GOOGLETRANSLATE(E6210, ""en"", ""te""),"""")"),"")</f>
        <v/>
      </c>
      <c r="G6210" s="2"/>
      <c r="H6210" s="2" t="str">
        <f>IFERROR(__xludf.DUMMYFUNCTION("IF(G6210&lt;&gt;"""", GOOGLETRANSLATE(G6210, ""en"", ""te""),"""")"),"")</f>
        <v/>
      </c>
      <c r="I6210" s="3"/>
    </row>
    <row r="6211" customHeight="1" spans="1:9">
      <c r="A6211" s="2"/>
      <c r="B6211" s="2" t="str">
        <f>IFERROR(__xludf.DUMMYFUNCTION("IF(A6211&lt;&gt;"""", GOOGLETRANSLATE(A6211, ""en"", ""te""),"""")"),"")</f>
        <v/>
      </c>
      <c r="C6211" s="2"/>
      <c r="D6211" s="2" t="str">
        <f>IFERROR(__xludf.DUMMYFUNCTION("IF(C6211&lt;&gt;"""", GOOGLETRANSLATE(C6211, ""en"", ""te""),"""")"),"")</f>
        <v/>
      </c>
      <c r="E6211" s="2"/>
      <c r="F6211" s="2" t="str">
        <f>IFERROR(__xludf.DUMMYFUNCTION("IF(E6211&lt;&gt;"""", GOOGLETRANSLATE(E6211, ""en"", ""te""),"""")"),"")</f>
        <v/>
      </c>
      <c r="G6211" s="2"/>
      <c r="H6211" s="2" t="str">
        <f>IFERROR(__xludf.DUMMYFUNCTION("IF(G6211&lt;&gt;"""", GOOGLETRANSLATE(G6211, ""en"", ""te""),"""")"),"")</f>
        <v/>
      </c>
      <c r="I6211" s="3"/>
    </row>
    <row r="6212" customHeight="1" spans="1:9">
      <c r="A6212" s="2" t="s">
        <v>3798</v>
      </c>
      <c r="B6212" s="2" t="str">
        <f>IFERROR(__xludf.DUMMYFUNCTION("IF(A6212&lt;&gt;"""", GOOGLETRANSLATE(A6212, ""en"", ""te""),"""")"),"[ 'హండ్రెడ్ ఒక మ్యాచ్లో ప్రతి ఇన్నింగ్స్లో', 'హండ్రెడ్ మరియు ఒక మ్యాచ్లో ఒక డక్', '5000 పరుగులు మరియు 50 ఫీల్డింగ్ వికెట్లు', 'ఒక ఇన్నింగ్స్లో ద్వారా బ్యాట్ నిదర్శన (81 *)', '8 వ వేగవంతమైన 1000 పరుగులు ( 23) ']")</f>
        <v>[ 'హండ్రెడ్ ఒక మ్యాచ్లో ప్రతి ఇన్నింగ్స్లో', 'హండ్రెడ్ మరియు ఒక మ్యాచ్లో ఒక డక్', '5000 పరుగులు మరియు 50 ఫీల్డింగ్ వికెట్లు', 'ఒక ఇన్నింగ్స్లో ద్వారా బ్యాట్ నిదర్శన (81 *)', '8 వ వేగవంతమైన 1000 పరుగులు ( 23) ']</v>
      </c>
      <c r="C6212" s="2" t="s">
        <v>3799</v>
      </c>
      <c r="D6212" s="2" t="str">
        <f>IFERROR(__xludf.DUMMYFUNCTION("IF(C6212&lt;&gt;"""", GOOGLETRANSLATE(C6212, ""en"", ""te""),"""")"),"[ '29 ఇన్నింగ్స్ (302 *) లో అత్యధిక పరుగులు' 'ఒక మ్యాచ్లో 49 వ అత్యధిక పరుగులు (304)', '15 వ ఇన్నింగ్స్ లో అత్యధిక పరుగులు (బ్యాటింగ్ స్థానంలో ప్రకారం) (302 *)', '11 వ చాలా పరుగులు (1) ',' 48 వ లాంగెస్ట్ వ్యక్తిగత ఇన్నింగ్స్ (నిమిషాలు) (658) '(248)', '27 "&amp;"వ అత్యధిక డబుల్ జీవితంలో వందల వృత్తిలో (3)', '5 వ అత్యధిక ట్రిపుల్ వందల పరాజయం వైపు మ్యాచ్, '48 వ 4000 పరుగులు (93) వేగంగా', 'ఫాస్టెస్ట్ 36 వ 5000 పరుగులు (115)', 'మూడో వికెట్ (250) కోసం 48 వ అత్యధిక భాగస్వామ్యం']")</f>
        <v>[ '29 ఇన్నింగ్స్ (302 *) లో అత్యధిక పరుగులు' 'ఒక మ్యాచ్లో 49 వ అత్యధిక పరుగులు (304)', '15 వ ఇన్నింగ్స్ లో అత్యధిక పరుగులు (బ్యాటింగ్ స్థానంలో ప్రకారం) (302 *)', '11 వ చాలా పరుగులు (1) ',' 48 వ లాంగెస్ట్ వ్యక్తిగత ఇన్నింగ్స్ (నిమిషాలు) (658) '(248)', '27 వ అత్యధిక డబుల్ జీవితంలో వందల వృత్తిలో (3)', '5 వ అత్యధిక ట్రిపుల్ వందల పరాజయం వైపు మ్యాచ్, '48 వ 4000 పరుగులు (93) వేగంగా', 'ఫాస్టెస్ట్ 36 వ 5000 పరుగులు (115)', 'మూడో వికెట్ (250) కోసం 48 వ అత్యధిక భాగస్వామ్యం']</v>
      </c>
      <c r="E6212" s="2" t="s">
        <v>3800</v>
      </c>
      <c r="F6212" s="2" t="str">
        <f>IFERROR(__xludf.DUMMYFUNCTION("IF(E6212&lt;&gt;"""", GOOGLETRANSLATE(E6212, ""en"", ""te""),"""")"),"[ 'మొదటి డక్ ముందు 31 మోస్ట్ ఇన్నింగ్స్ (35)', 'ఫాస్టెస్ట్ 1000 పరుగులు 8 వ (23)']")</f>
        <v>[ 'మొదటి డక్ ముందు 31 మోస్ట్ ఇన్నింగ్స్ (35)', 'ఫాస్టెస్ట్ 1000 పరుగులు 8 వ (23)']</v>
      </c>
      <c r="G6212" s="2"/>
      <c r="H6212" s="2" t="str">
        <f>IFERROR(__xludf.DUMMYFUNCTION("IF(G6212&lt;&gt;"""", GOOGLETRANSLATE(G6212, ""en"", ""te""),"""")"),"")</f>
        <v/>
      </c>
      <c r="I6212" s="3"/>
    </row>
    <row r="6213" customHeight="1" spans="1:9">
      <c r="A6213" s="2"/>
      <c r="B6213" s="2" t="str">
        <f>IFERROR(__xludf.DUMMYFUNCTION("IF(A6213&lt;&gt;"""", GOOGLETRANSLATE(A6213, ""en"", ""te""),"""")"),"")</f>
        <v/>
      </c>
      <c r="C6213" s="2"/>
      <c r="D6213" s="2" t="str">
        <f>IFERROR(__xludf.DUMMYFUNCTION("IF(C6213&lt;&gt;"""", GOOGLETRANSLATE(C6213, ""en"", ""te""),"""")"),"")</f>
        <v/>
      </c>
      <c r="E6213" s="2"/>
      <c r="F6213" s="2" t="str">
        <f>IFERROR(__xludf.DUMMYFUNCTION("IF(E6213&lt;&gt;"""", GOOGLETRANSLATE(E6213, ""en"", ""te""),"""")"),"")</f>
        <v/>
      </c>
      <c r="G6213" s="2"/>
      <c r="H6213" s="2" t="str">
        <f>IFERROR(__xludf.DUMMYFUNCTION("IF(G6213&lt;&gt;"""", GOOGLETRANSLATE(G6213, ""en"", ""te""),"""")"),"")</f>
        <v/>
      </c>
      <c r="I6213" s="3"/>
    </row>
    <row r="6214" customHeight="1" spans="1:9">
      <c r="A6214" s="2"/>
      <c r="B6214" s="2" t="str">
        <f>IFERROR(__xludf.DUMMYFUNCTION("IF(A6214&lt;&gt;"""", GOOGLETRANSLATE(A6214, ""en"", ""te""),"""")"),"")</f>
        <v/>
      </c>
      <c r="C6214" s="2"/>
      <c r="D6214" s="2" t="str">
        <f>IFERROR(__xludf.DUMMYFUNCTION("IF(C6214&lt;&gt;"""", GOOGLETRANSLATE(C6214, ""en"", ""te""),"""")"),"")</f>
        <v/>
      </c>
      <c r="E6214" s="2"/>
      <c r="F6214" s="2" t="str">
        <f>IFERROR(__xludf.DUMMYFUNCTION("IF(E6214&lt;&gt;"""", GOOGLETRANSLATE(E6214, ""en"", ""te""),"""")"),"")</f>
        <v/>
      </c>
      <c r="G6214" s="2"/>
      <c r="H6214" s="2" t="str">
        <f>IFERROR(__xludf.DUMMYFUNCTION("IF(G6214&lt;&gt;"""", GOOGLETRANSLATE(G6214, ""en"", ""te""),"""")"),"")</f>
        <v/>
      </c>
      <c r="I6214" s="3"/>
    </row>
    <row r="6215" customHeight="1" spans="1:9">
      <c r="A6215" s="2"/>
      <c r="B6215" s="2" t="str">
        <f>IFERROR(__xludf.DUMMYFUNCTION("IF(A6215&lt;&gt;"""", GOOGLETRANSLATE(A6215, ""en"", ""te""),"""")"),"")</f>
        <v/>
      </c>
      <c r="C6215" s="2"/>
      <c r="D6215" s="2" t="str">
        <f>IFERROR(__xludf.DUMMYFUNCTION("IF(C6215&lt;&gt;"""", GOOGLETRANSLATE(C6215, ""en"", ""te""),"""")"),"")</f>
        <v/>
      </c>
      <c r="E6215" s="2"/>
      <c r="F6215" s="2" t="str">
        <f>IFERROR(__xludf.DUMMYFUNCTION("IF(E6215&lt;&gt;"""", GOOGLETRANSLATE(E6215, ""en"", ""te""),"""")"),"")</f>
        <v/>
      </c>
      <c r="G6215" s="2"/>
      <c r="H6215" s="2" t="str">
        <f>IFERROR(__xludf.DUMMYFUNCTION("IF(G6215&lt;&gt;"""", GOOGLETRANSLATE(G6215, ""en"", ""te""),"""")"),"")</f>
        <v/>
      </c>
      <c r="I6215" s="3"/>
    </row>
    <row r="6216" customHeight="1" spans="1:9">
      <c r="A6216" s="2"/>
      <c r="B6216" s="2" t="str">
        <f>IFERROR(__xludf.DUMMYFUNCTION("IF(A6216&lt;&gt;"""", GOOGLETRANSLATE(A6216, ""en"", ""te""),"""")"),"")</f>
        <v/>
      </c>
      <c r="C6216" s="2"/>
      <c r="D6216" s="2" t="str">
        <f>IFERROR(__xludf.DUMMYFUNCTION("IF(C6216&lt;&gt;"""", GOOGLETRANSLATE(C6216, ""en"", ""te""),"""")"),"")</f>
        <v/>
      </c>
      <c r="E6216" s="2"/>
      <c r="F6216" s="2" t="str">
        <f>IFERROR(__xludf.DUMMYFUNCTION("IF(E6216&lt;&gt;"""", GOOGLETRANSLATE(E6216, ""en"", ""te""),"""")"),"")</f>
        <v/>
      </c>
      <c r="G6216" s="2"/>
      <c r="H6216" s="2" t="str">
        <f>IFERROR(__xludf.DUMMYFUNCTION("IF(G6216&lt;&gt;"""", GOOGLETRANSLATE(G6216, ""en"", ""te""),"""")"),"")</f>
        <v/>
      </c>
      <c r="I6216" s="3"/>
    </row>
    <row r="6217" customHeight="1" spans="1:9">
      <c r="A6217" s="2"/>
      <c r="B6217" s="2" t="str">
        <f>IFERROR(__xludf.DUMMYFUNCTION("IF(A6217&lt;&gt;"""", GOOGLETRANSLATE(A6217, ""en"", ""te""),"""")"),"")</f>
        <v/>
      </c>
      <c r="C6217" s="2"/>
      <c r="D6217" s="2" t="str">
        <f>IFERROR(__xludf.DUMMYFUNCTION("IF(C6217&lt;&gt;"""", GOOGLETRANSLATE(C6217, ""en"", ""te""),"""")"),"")</f>
        <v/>
      </c>
      <c r="E6217" s="2"/>
      <c r="F6217" s="2" t="str">
        <f>IFERROR(__xludf.DUMMYFUNCTION("IF(E6217&lt;&gt;"""", GOOGLETRANSLATE(E6217, ""en"", ""te""),"""")"),"")</f>
        <v/>
      </c>
      <c r="G6217" s="2"/>
      <c r="H6217" s="2" t="str">
        <f>IFERROR(__xludf.DUMMYFUNCTION("IF(G6217&lt;&gt;"""", GOOGLETRANSLATE(G6217, ""en"", ""te""),"""")"),"")</f>
        <v/>
      </c>
      <c r="I6217" s="3"/>
    </row>
    <row r="6218" customHeight="1" spans="1:9">
      <c r="A6218" s="2"/>
      <c r="B6218" s="2" t="str">
        <f>IFERROR(__xludf.DUMMYFUNCTION("IF(A6218&lt;&gt;"""", GOOGLETRANSLATE(A6218, ""en"", ""te""),"""")"),"")</f>
        <v/>
      </c>
      <c r="C6218" s="2"/>
      <c r="D6218" s="2" t="str">
        <f>IFERROR(__xludf.DUMMYFUNCTION("IF(C6218&lt;&gt;"""", GOOGLETRANSLATE(C6218, ""en"", ""te""),"""")"),"")</f>
        <v/>
      </c>
      <c r="E6218" s="2"/>
      <c r="F6218" s="2" t="str">
        <f>IFERROR(__xludf.DUMMYFUNCTION("IF(E6218&lt;&gt;"""", GOOGLETRANSLATE(E6218, ""en"", ""te""),"""")"),"")</f>
        <v/>
      </c>
      <c r="G6218" s="2"/>
      <c r="H6218" s="2" t="str">
        <f>IFERROR(__xludf.DUMMYFUNCTION("IF(G6218&lt;&gt;"""", GOOGLETRANSLATE(G6218, ""en"", ""te""),"""")"),"")</f>
        <v/>
      </c>
      <c r="I6218" s="3"/>
    </row>
    <row r="6219" customHeight="1" spans="1:9">
      <c r="A6219" s="2"/>
      <c r="B6219" s="2" t="str">
        <f>IFERROR(__xludf.DUMMYFUNCTION("IF(A6219&lt;&gt;"""", GOOGLETRANSLATE(A6219, ""en"", ""te""),"""")"),"")</f>
        <v/>
      </c>
      <c r="C6219" s="2"/>
      <c r="D6219" s="2" t="str">
        <f>IFERROR(__xludf.DUMMYFUNCTION("IF(C6219&lt;&gt;"""", GOOGLETRANSLATE(C6219, ""en"", ""te""),"""")"),"")</f>
        <v/>
      </c>
      <c r="E6219" s="2"/>
      <c r="F6219" s="2" t="str">
        <f>IFERROR(__xludf.DUMMYFUNCTION("IF(E6219&lt;&gt;"""", GOOGLETRANSLATE(E6219, ""en"", ""te""),"""")"),"")</f>
        <v/>
      </c>
      <c r="G6219" s="2"/>
      <c r="H6219" s="2" t="str">
        <f>IFERROR(__xludf.DUMMYFUNCTION("IF(G6219&lt;&gt;"""", GOOGLETRANSLATE(G6219, ""en"", ""te""),"""")"),"")</f>
        <v/>
      </c>
      <c r="I6219" s="3"/>
    </row>
    <row r="6220" customHeight="1" spans="1:9">
      <c r="A6220" s="2"/>
      <c r="B6220" s="2" t="str">
        <f>IFERROR(__xludf.DUMMYFUNCTION("IF(A6220&lt;&gt;"""", GOOGLETRANSLATE(A6220, ""en"", ""te""),"""")"),"")</f>
        <v/>
      </c>
      <c r="C6220" s="2"/>
      <c r="D6220" s="2" t="str">
        <f>IFERROR(__xludf.DUMMYFUNCTION("IF(C6220&lt;&gt;"""", GOOGLETRANSLATE(C6220, ""en"", ""te""),"""")"),"")</f>
        <v/>
      </c>
      <c r="E6220" s="2"/>
      <c r="F6220" s="2" t="str">
        <f>IFERROR(__xludf.DUMMYFUNCTION("IF(E6220&lt;&gt;"""", GOOGLETRANSLATE(E6220, ""en"", ""te""),"""")"),"")</f>
        <v/>
      </c>
      <c r="G6220" s="2"/>
      <c r="H6220" s="2" t="str">
        <f>IFERROR(__xludf.DUMMYFUNCTION("IF(G6220&lt;&gt;"""", GOOGLETRANSLATE(G6220, ""en"", ""te""),"""")"),"")</f>
        <v/>
      </c>
      <c r="I6220" s="3"/>
    </row>
    <row r="6221" customHeight="1" spans="1:9">
      <c r="A6221" s="2"/>
      <c r="B6221" s="2" t="str">
        <f>IFERROR(__xludf.DUMMYFUNCTION("IF(A6221&lt;&gt;"""", GOOGLETRANSLATE(A6221, ""en"", ""te""),"""")"),"")</f>
        <v/>
      </c>
      <c r="C6221" s="2"/>
      <c r="D6221" s="2" t="str">
        <f>IFERROR(__xludf.DUMMYFUNCTION("IF(C6221&lt;&gt;"""", GOOGLETRANSLATE(C6221, ""en"", ""te""),"""")"),"")</f>
        <v/>
      </c>
      <c r="E6221" s="2" t="s">
        <v>3801</v>
      </c>
      <c r="F6221" s="2" t="str">
        <f>IFERROR(__xludf.DUMMYFUNCTION("IF(E6221&lt;&gt;"""", GOOGLETRANSLATE(E6221, ""en"", ""te""),"""")"),"[ '26 ఉత్తమ కెరీర్ ఆర్థిక రేటు (3.71)', '18 వ చెత్త కెరీర్లో సమ్మె రేటు (68.4)']")</f>
        <v>[ '26 ఉత్తమ కెరీర్ ఆర్థిక రేటు (3.71)', '18 వ చెత్త కెరీర్లో సమ్మె రేటు (68.4)']</v>
      </c>
      <c r="G6221" s="2"/>
      <c r="H6221" s="2" t="str">
        <f>IFERROR(__xludf.DUMMYFUNCTION("IF(G6221&lt;&gt;"""", GOOGLETRANSLATE(G6221, ""en"", ""te""),"""")"),"")</f>
        <v/>
      </c>
      <c r="I6221" s="3"/>
    </row>
    <row r="6222" customHeight="1" spans="1:9">
      <c r="A6222" s="2"/>
      <c r="B6222" s="2" t="str">
        <f>IFERROR(__xludf.DUMMYFUNCTION("IF(A6222&lt;&gt;"""", GOOGLETRANSLATE(A6222, ""en"", ""te""),"""")"),"")</f>
        <v/>
      </c>
      <c r="C6222" s="2"/>
      <c r="D6222" s="2" t="str">
        <f>IFERROR(__xludf.DUMMYFUNCTION("IF(C6222&lt;&gt;"""", GOOGLETRANSLATE(C6222, ""en"", ""te""),"""")"),"")</f>
        <v/>
      </c>
      <c r="E6222" s="2"/>
      <c r="F6222" s="2" t="str">
        <f>IFERROR(__xludf.DUMMYFUNCTION("IF(E6222&lt;&gt;"""", GOOGLETRANSLATE(E6222, ""en"", ""te""),"""")"),"")</f>
        <v/>
      </c>
      <c r="G6222" s="2"/>
      <c r="H6222" s="2" t="str">
        <f>IFERROR(__xludf.DUMMYFUNCTION("IF(G6222&lt;&gt;"""", GOOGLETRANSLATE(G6222, ""en"", ""te""),"""")"),"")</f>
        <v/>
      </c>
      <c r="I6222" s="3"/>
    </row>
    <row r="6223" customHeight="1" spans="1:9">
      <c r="A6223" s="2" t="s">
        <v>3802</v>
      </c>
      <c r="B6223" s="2" t="str">
        <f>IFERROR(__xludf.DUMMYFUNCTION("IF(A6223&lt;&gt;"""", GOOGLETRANSLATE(A6223, ""en"", ""te""),"""")"),"[ 'రెండవ వికెట్ (263) 4 వ అత్యధిక భాగస్వామ్యం']")</f>
        <v>[ 'రెండవ వికెట్ (263) 4 వ అత్యధిక భాగస్వామ్యం']</v>
      </c>
      <c r="C6223" s="2" t="s">
        <v>3803</v>
      </c>
      <c r="D6223" s="2" t="str">
        <f>IFERROR(__xludf.DUMMYFUNCTION("IF(C6223&lt;&gt;"""", GOOGLETRANSLATE(C6223, ""en"", ""te""),"""")"),"[ '36 వ రోజుకు లో అత్యధిక పరుగులు (205)', '31 అత్యధిక తొలి వంద (205)', '46 వ 99 (199, 299 etc) (99) అవుటయ్యాడు', మొదటి వికెట్కు '15 వ అత్యధిక భాగస్వామ్యం (298 ) ',' మూడో వికెట్ (323 కోసం 18 అత్యధిక భాగస్వామ్యం) ']")</f>
        <v>[ '36 వ రోజుకు లో అత్యధిక పరుగులు (205)', '31 అత్యధిక తొలి వంద (205)', '46 వ 99 (199, 299 etc) (99) అవుటయ్యాడు', మొదటి వికెట్కు '15 వ అత్యధిక భాగస్వామ్యం (298 ) ',' మూడో వికెట్ (323 కోసం 18 అత్యధిక భాగస్వామ్యం) ']</v>
      </c>
      <c r="E6223" s="2" t="s">
        <v>3804</v>
      </c>
      <c r="F6223" s="2" t="str">
        <f>IFERROR(__xludf.DUMMYFUNCTION("IF(E6223&lt;&gt;"""", GOOGLETRANSLATE(E6223, ""en"", ""te""),"""")"),"[ '13 వ లాంగెస్ట్ వ్యక్తిగత ఇన్నింగ్స్ (బంతులతో) (167)', '12 వ అత్యుత్తమ బౌలింగ్ ఇన్నింగ్స్ లో విశ్లేషించడం (2/3)', '23 వ అత్యధిక వికెట్లు స్టంప్ (15) తీసుకున్న' ఏ వికెట్కు, '14 వ అత్యధిక భాగస్వామ్యాల (263 ) ',' రెండవ వికెట్కు 4 వ అత్యధిక భాగస్వామ్యం (263"&amp;") ',' వరుస (3 అన్ని టాస్ గెలిచి 32 వ) ']")</f>
        <v>[ '13 వ లాంగెస్ట్ వ్యక్తిగత ఇన్నింగ్స్ (బంతులతో) (167)', '12 వ అత్యుత్తమ బౌలింగ్ ఇన్నింగ్స్ లో విశ్లేషించడం (2/3)', '23 వ అత్యధిక వికెట్లు స్టంప్ (15) తీసుకున్న' ఏ వికెట్కు, '14 వ అత్యధిక భాగస్వామ్యాల (263 ) ',' రెండవ వికెట్కు 4 వ అత్యధిక భాగస్వామ్యం (263) ',' వరుస (3 అన్ని టాస్ గెలిచి 32 వ) ']</v>
      </c>
      <c r="G6223" s="2"/>
      <c r="H6223" s="2" t="str">
        <f>IFERROR(__xludf.DUMMYFUNCTION("IF(G6223&lt;&gt;"""", GOOGLETRANSLATE(G6223, ""en"", ""te""),"""")"),"")</f>
        <v/>
      </c>
      <c r="I6223" s="3"/>
    </row>
    <row r="6224" customHeight="1" spans="1:9">
      <c r="A6224" s="2"/>
      <c r="B6224" s="2" t="str">
        <f>IFERROR(__xludf.DUMMYFUNCTION("IF(A6224&lt;&gt;"""", GOOGLETRANSLATE(A6224, ""en"", ""te""),"""")"),"")</f>
        <v/>
      </c>
      <c r="C6224" s="2"/>
      <c r="D6224" s="2" t="str">
        <f>IFERROR(__xludf.DUMMYFUNCTION("IF(C6224&lt;&gt;"""", GOOGLETRANSLATE(C6224, ""en"", ""te""),"""")"),"")</f>
        <v/>
      </c>
      <c r="E6224" s="2"/>
      <c r="F6224" s="2" t="str">
        <f>IFERROR(__xludf.DUMMYFUNCTION("IF(E6224&lt;&gt;"""", GOOGLETRANSLATE(E6224, ""en"", ""te""),"""")"),"")</f>
        <v/>
      </c>
      <c r="G6224" s="2"/>
      <c r="H6224" s="2" t="str">
        <f>IFERROR(__xludf.DUMMYFUNCTION("IF(G6224&lt;&gt;"""", GOOGLETRANSLATE(G6224, ""en"", ""te""),"""")"),"")</f>
        <v/>
      </c>
      <c r="I6224" s="3"/>
    </row>
    <row r="6225" customHeight="1" spans="1:9">
      <c r="A6225" s="2"/>
      <c r="B6225" s="2" t="str">
        <f>IFERROR(__xludf.DUMMYFUNCTION("IF(A6225&lt;&gt;"""", GOOGLETRANSLATE(A6225, ""en"", ""te""),"""")"),"")</f>
        <v/>
      </c>
      <c r="C6225" s="2"/>
      <c r="D6225" s="2" t="str">
        <f>IFERROR(__xludf.DUMMYFUNCTION("IF(C6225&lt;&gt;"""", GOOGLETRANSLATE(C6225, ""en"", ""te""),"""")"),"")</f>
        <v/>
      </c>
      <c r="E6225" s="2"/>
      <c r="F6225" s="2" t="str">
        <f>IFERROR(__xludf.DUMMYFUNCTION("IF(E6225&lt;&gt;"""", GOOGLETRANSLATE(E6225, ""en"", ""te""),"""")"),"")</f>
        <v/>
      </c>
      <c r="G6225" s="2"/>
      <c r="H6225" s="2" t="str">
        <f>IFERROR(__xludf.DUMMYFUNCTION("IF(G6225&lt;&gt;"""", GOOGLETRANSLATE(G6225, ""en"", ""te""),"""")"),"")</f>
        <v/>
      </c>
      <c r="I6225" s="3"/>
    </row>
    <row r="6226" customHeight="1" spans="1:9">
      <c r="A6226" s="2"/>
      <c r="B6226" s="2" t="str">
        <f>IFERROR(__xludf.DUMMYFUNCTION("IF(A6226&lt;&gt;"""", GOOGLETRANSLATE(A6226, ""en"", ""te""),"""")"),"")</f>
        <v/>
      </c>
      <c r="C6226" s="2"/>
      <c r="D6226" s="2" t="str">
        <f>IFERROR(__xludf.DUMMYFUNCTION("IF(C6226&lt;&gt;"""", GOOGLETRANSLATE(C6226, ""en"", ""te""),"""")"),"")</f>
        <v/>
      </c>
      <c r="E6226" s="2"/>
      <c r="F6226" s="2" t="str">
        <f>IFERROR(__xludf.DUMMYFUNCTION("IF(E6226&lt;&gt;"""", GOOGLETRANSLATE(E6226, ""en"", ""te""),"""")"),"")</f>
        <v/>
      </c>
      <c r="G6226" s="2"/>
      <c r="H6226" s="2" t="str">
        <f>IFERROR(__xludf.DUMMYFUNCTION("IF(G6226&lt;&gt;"""", GOOGLETRANSLATE(G6226, ""en"", ""te""),"""")"),"")</f>
        <v/>
      </c>
      <c r="I6226" s="3"/>
    </row>
    <row r="6227" customHeight="1" spans="1:9">
      <c r="A6227" s="2"/>
      <c r="B6227" s="2" t="str">
        <f>IFERROR(__xludf.DUMMYFUNCTION("IF(A6227&lt;&gt;"""", GOOGLETRANSLATE(A6227, ""en"", ""te""),"""")"),"")</f>
        <v/>
      </c>
      <c r="C6227" s="2"/>
      <c r="D6227" s="2" t="str">
        <f>IFERROR(__xludf.DUMMYFUNCTION("IF(C6227&lt;&gt;"""", GOOGLETRANSLATE(C6227, ""en"", ""te""),"""")"),"")</f>
        <v/>
      </c>
      <c r="E6227" s="2"/>
      <c r="F6227" s="2" t="str">
        <f>IFERROR(__xludf.DUMMYFUNCTION("IF(E6227&lt;&gt;"""", GOOGLETRANSLATE(E6227, ""en"", ""te""),"""")"),"")</f>
        <v/>
      </c>
      <c r="G6227" s="2"/>
      <c r="H6227" s="2" t="str">
        <f>IFERROR(__xludf.DUMMYFUNCTION("IF(G6227&lt;&gt;"""", GOOGLETRANSLATE(G6227, ""en"", ""te""),"""")"),"")</f>
        <v/>
      </c>
      <c r="I6227" s="3"/>
    </row>
    <row r="6228" customHeight="1" spans="1:9">
      <c r="A6228" s="2" t="s">
        <v>3805</v>
      </c>
      <c r="B6228" s="2" t="str">
        <f>IFERROR(__xludf.DUMMYFUNCTION("IF(A6228&lt;&gt;"""", GOOGLETRANSLATE(A6228, ""en"", ""te""),"""")"),"[ '10 వ ఉత్తమ ఇన్నింగ్స్ లో ఆర్థిక రేటు (0.62)']")</f>
        <v>[ '10 వ ఉత్తమ ఇన్నింగ్స్ లో ఆర్థిక రేటు (0.62)']</v>
      </c>
      <c r="C6228" s="2"/>
      <c r="D6228" s="2" t="str">
        <f>IFERROR(__xludf.DUMMYFUNCTION("IF(C6228&lt;&gt;"""", GOOGLETRANSLATE(C6228, ""en"", ""te""),"""")"),"")</f>
        <v/>
      </c>
      <c r="E6228" s="2" t="s">
        <v>3806</v>
      </c>
      <c r="F6228" s="2" t="str">
        <f>IFERROR(__xludf.DUMMYFUNCTION("IF(E6228&lt;&gt;"""", GOOGLETRANSLATE(E6228, ""en"", ""te""),"""")"),"[ '10 వ ఉత్తమ ఇన్నింగ్స్ లో ఆర్థిక రేటు (0.62)', '38 వ వరుస మ్యాచ్లు ఆడి మధ్య జట్టు (130) కోసం తప్పిన']")</f>
        <v>[ '10 వ ఉత్తమ ఇన్నింగ్స్ లో ఆర్థిక రేటు (0.62)', '38 వ వరుస మ్యాచ్లు ఆడి మధ్య జట్టు (130) కోసం తప్పిన']</v>
      </c>
      <c r="G6228" s="2"/>
      <c r="H6228" s="2" t="str">
        <f>IFERROR(__xludf.DUMMYFUNCTION("IF(G6228&lt;&gt;"""", GOOGLETRANSLATE(G6228, ""en"", ""te""),"""")"),"")</f>
        <v/>
      </c>
      <c r="I6228" s="3"/>
    </row>
    <row r="6229" customHeight="1" spans="1:9">
      <c r="A6229" s="2"/>
      <c r="B6229" s="2" t="str">
        <f>IFERROR(__xludf.DUMMYFUNCTION("IF(A6229&lt;&gt;"""", GOOGLETRANSLATE(A6229, ""en"", ""te""),"""")"),"")</f>
        <v/>
      </c>
      <c r="C6229" s="2"/>
      <c r="D6229" s="2" t="str">
        <f>IFERROR(__xludf.DUMMYFUNCTION("IF(C6229&lt;&gt;"""", GOOGLETRANSLATE(C6229, ""en"", ""te""),"""")"),"")</f>
        <v/>
      </c>
      <c r="E6229" s="2"/>
      <c r="F6229" s="2" t="str">
        <f>IFERROR(__xludf.DUMMYFUNCTION("IF(E6229&lt;&gt;"""", GOOGLETRANSLATE(E6229, ""en"", ""te""),"""")"),"")</f>
        <v/>
      </c>
      <c r="G6229" s="2"/>
      <c r="H6229" s="2" t="str">
        <f>IFERROR(__xludf.DUMMYFUNCTION("IF(G6229&lt;&gt;"""", GOOGLETRANSLATE(G6229, ""en"", ""te""),"""")"),"")</f>
        <v/>
      </c>
      <c r="I6229" s="3"/>
    </row>
    <row r="6230" customHeight="1" spans="1:9">
      <c r="A6230" s="2"/>
      <c r="B6230" s="2" t="str">
        <f>IFERROR(__xludf.DUMMYFUNCTION("IF(A6230&lt;&gt;"""", GOOGLETRANSLATE(A6230, ""en"", ""te""),"""")"),"")</f>
        <v/>
      </c>
      <c r="C6230" s="2"/>
      <c r="D6230" s="2" t="str">
        <f>IFERROR(__xludf.DUMMYFUNCTION("IF(C6230&lt;&gt;"""", GOOGLETRANSLATE(C6230, ""en"", ""te""),"""")"),"")</f>
        <v/>
      </c>
      <c r="E6230" s="2"/>
      <c r="F6230" s="2" t="str">
        <f>IFERROR(__xludf.DUMMYFUNCTION("IF(E6230&lt;&gt;"""", GOOGLETRANSLATE(E6230, ""en"", ""te""),"""")"),"")</f>
        <v/>
      </c>
      <c r="G6230" s="2"/>
      <c r="H6230" s="2" t="str">
        <f>IFERROR(__xludf.DUMMYFUNCTION("IF(G6230&lt;&gt;"""", GOOGLETRANSLATE(G6230, ""en"", ""te""),"""")"),"")</f>
        <v/>
      </c>
      <c r="I6230" s="3"/>
    </row>
    <row r="6231" customHeight="1" spans="1:9">
      <c r="A6231" s="2"/>
      <c r="B6231" s="2" t="str">
        <f>IFERROR(__xludf.DUMMYFUNCTION("IF(A6231&lt;&gt;"""", GOOGLETRANSLATE(A6231, ""en"", ""te""),"""")"),"")</f>
        <v/>
      </c>
      <c r="C6231" s="2"/>
      <c r="D6231" s="2" t="str">
        <f>IFERROR(__xludf.DUMMYFUNCTION("IF(C6231&lt;&gt;"""", GOOGLETRANSLATE(C6231, ""en"", ""te""),"""")"),"")</f>
        <v/>
      </c>
      <c r="E6231" s="2"/>
      <c r="F6231" s="2" t="str">
        <f>IFERROR(__xludf.DUMMYFUNCTION("IF(E6231&lt;&gt;"""", GOOGLETRANSLATE(E6231, ""en"", ""te""),"""")"),"")</f>
        <v/>
      </c>
      <c r="G6231" s="2"/>
      <c r="H6231" s="2" t="str">
        <f>IFERROR(__xludf.DUMMYFUNCTION("IF(G6231&lt;&gt;"""", GOOGLETRANSLATE(G6231, ""en"", ""te""),"""")"),"")</f>
        <v/>
      </c>
      <c r="I6231" s="3"/>
    </row>
    <row r="6232" customHeight="1" spans="1:9">
      <c r="A6232" s="2"/>
      <c r="B6232" s="2" t="str">
        <f>IFERROR(__xludf.DUMMYFUNCTION("IF(A6232&lt;&gt;"""", GOOGLETRANSLATE(A6232, ""en"", ""te""),"""")"),"")</f>
        <v/>
      </c>
      <c r="C6232" s="2"/>
      <c r="D6232" s="2" t="str">
        <f>IFERROR(__xludf.DUMMYFUNCTION("IF(C6232&lt;&gt;"""", GOOGLETRANSLATE(C6232, ""en"", ""te""),"""")"),"")</f>
        <v/>
      </c>
      <c r="E6232" s="2"/>
      <c r="F6232" s="2" t="str">
        <f>IFERROR(__xludf.DUMMYFUNCTION("IF(E6232&lt;&gt;"""", GOOGLETRANSLATE(E6232, ""en"", ""te""),"""")"),"")</f>
        <v/>
      </c>
      <c r="G6232" s="2"/>
      <c r="H6232" s="2" t="str">
        <f>IFERROR(__xludf.DUMMYFUNCTION("IF(G6232&lt;&gt;"""", GOOGLETRANSLATE(G6232, ""en"", ""te""),"""")"),"")</f>
        <v/>
      </c>
      <c r="I6232" s="3"/>
    </row>
    <row r="6233" customHeight="1" spans="1:9">
      <c r="A6233" s="2"/>
      <c r="B6233" s="2" t="str">
        <f>IFERROR(__xludf.DUMMYFUNCTION("IF(A6233&lt;&gt;"""", GOOGLETRANSLATE(A6233, ""en"", ""te""),"""")"),"")</f>
        <v/>
      </c>
      <c r="C6233" s="2"/>
      <c r="D6233" s="2" t="str">
        <f>IFERROR(__xludf.DUMMYFUNCTION("IF(C6233&lt;&gt;"""", GOOGLETRANSLATE(C6233, ""en"", ""te""),"""")"),"")</f>
        <v/>
      </c>
      <c r="E6233" s="2"/>
      <c r="F6233" s="2" t="str">
        <f>IFERROR(__xludf.DUMMYFUNCTION("IF(E6233&lt;&gt;"""", GOOGLETRANSLATE(E6233, ""en"", ""te""),"""")"),"")</f>
        <v/>
      </c>
      <c r="G6233" s="2"/>
      <c r="H6233" s="2" t="str">
        <f>IFERROR(__xludf.DUMMYFUNCTION("IF(G6233&lt;&gt;"""", GOOGLETRANSLATE(G6233, ""en"", ""te""),"""")"),"")</f>
        <v/>
      </c>
      <c r="I6233" s="3"/>
    </row>
    <row r="6234" customHeight="1" spans="1:9">
      <c r="A6234" s="2"/>
      <c r="B6234" s="2" t="str">
        <f>IFERROR(__xludf.DUMMYFUNCTION("IF(A6234&lt;&gt;"""", GOOGLETRANSLATE(A6234, ""en"", ""te""),"""")"),"")</f>
        <v/>
      </c>
      <c r="C6234" s="2"/>
      <c r="D6234" s="2" t="str">
        <f>IFERROR(__xludf.DUMMYFUNCTION("IF(C6234&lt;&gt;"""", GOOGLETRANSLATE(C6234, ""en"", ""te""),"""")"),"")</f>
        <v/>
      </c>
      <c r="E6234" s="2"/>
      <c r="F6234" s="2" t="str">
        <f>IFERROR(__xludf.DUMMYFUNCTION("IF(E6234&lt;&gt;"""", GOOGLETRANSLATE(E6234, ""en"", ""te""),"""")"),"")</f>
        <v/>
      </c>
      <c r="G6234" s="2"/>
      <c r="H6234" s="2" t="str">
        <f>IFERROR(__xludf.DUMMYFUNCTION("IF(G6234&lt;&gt;"""", GOOGLETRANSLATE(G6234, ""en"", ""te""),"""")"),"")</f>
        <v/>
      </c>
      <c r="I6234" s="3"/>
    </row>
    <row r="6235" customHeight="1" spans="1:9">
      <c r="A6235" s="2"/>
      <c r="B6235" s="2" t="str">
        <f>IFERROR(__xludf.DUMMYFUNCTION("IF(A6235&lt;&gt;"""", GOOGLETRANSLATE(A6235, ""en"", ""te""),"""")"),"")</f>
        <v/>
      </c>
      <c r="C6235" s="2"/>
      <c r="D6235" s="2" t="str">
        <f>IFERROR(__xludf.DUMMYFUNCTION("IF(C6235&lt;&gt;"""", GOOGLETRANSLATE(C6235, ""en"", ""te""),"""")"),"")</f>
        <v/>
      </c>
      <c r="E6235" s="2"/>
      <c r="F6235" s="2" t="str">
        <f>IFERROR(__xludf.DUMMYFUNCTION("IF(E6235&lt;&gt;"""", GOOGLETRANSLATE(E6235, ""en"", ""te""),"""")"),"")</f>
        <v/>
      </c>
      <c r="G6235" s="2"/>
      <c r="H6235" s="2" t="str">
        <f>IFERROR(__xludf.DUMMYFUNCTION("IF(G6235&lt;&gt;"""", GOOGLETRANSLATE(G6235, ""en"", ""te""),"""")"),"")</f>
        <v/>
      </c>
      <c r="I6235" s="3"/>
    </row>
    <row r="6236" customHeight="1" spans="1:9">
      <c r="A6236" s="2"/>
      <c r="B6236" s="2" t="str">
        <f>IFERROR(__xludf.DUMMYFUNCTION("IF(A6236&lt;&gt;"""", GOOGLETRANSLATE(A6236, ""en"", ""te""),"""")"),"")</f>
        <v/>
      </c>
      <c r="C6236" s="2"/>
      <c r="D6236" s="2" t="str">
        <f>IFERROR(__xludf.DUMMYFUNCTION("IF(C6236&lt;&gt;"""", GOOGLETRANSLATE(C6236, ""en"", ""te""),"""")"),"")</f>
        <v/>
      </c>
      <c r="E6236" s="2"/>
      <c r="F6236" s="2" t="str">
        <f>IFERROR(__xludf.DUMMYFUNCTION("IF(E6236&lt;&gt;"""", GOOGLETRANSLATE(E6236, ""en"", ""te""),"""")"),"")</f>
        <v/>
      </c>
      <c r="G6236" s="2"/>
      <c r="H6236" s="2" t="str">
        <f>IFERROR(__xludf.DUMMYFUNCTION("IF(G6236&lt;&gt;"""", GOOGLETRANSLATE(G6236, ""en"", ""te""),"""")"),"")</f>
        <v/>
      </c>
      <c r="I6236" s="3"/>
    </row>
    <row r="6237" customHeight="1" spans="1:9">
      <c r="A6237" s="2"/>
      <c r="B6237" s="2" t="str">
        <f>IFERROR(__xludf.DUMMYFUNCTION("IF(A6237&lt;&gt;"""", GOOGLETRANSLATE(A6237, ""en"", ""te""),"""")"),"")</f>
        <v/>
      </c>
      <c r="C6237" s="2"/>
      <c r="D6237" s="2" t="str">
        <f>IFERROR(__xludf.DUMMYFUNCTION("IF(C6237&lt;&gt;"""", GOOGLETRANSLATE(C6237, ""en"", ""te""),"""")"),"")</f>
        <v/>
      </c>
      <c r="E6237" s="2"/>
      <c r="F6237" s="2" t="str">
        <f>IFERROR(__xludf.DUMMYFUNCTION("IF(E6237&lt;&gt;"""", GOOGLETRANSLATE(E6237, ""en"", ""te""),"""")"),"")</f>
        <v/>
      </c>
      <c r="G6237" s="2"/>
      <c r="H6237" s="2" t="str">
        <f>IFERROR(__xludf.DUMMYFUNCTION("IF(G6237&lt;&gt;"""", GOOGLETRANSLATE(G6237, ""en"", ""te""),"""")"),"")</f>
        <v/>
      </c>
      <c r="I6237" s="3"/>
    </row>
    <row r="6238" customHeight="1" spans="1:9">
      <c r="A6238" s="2"/>
      <c r="B6238" s="2" t="str">
        <f>IFERROR(__xludf.DUMMYFUNCTION("IF(A6238&lt;&gt;"""", GOOGLETRANSLATE(A6238, ""en"", ""te""),"""")"),"")</f>
        <v/>
      </c>
      <c r="C6238" s="2"/>
      <c r="D6238" s="2" t="str">
        <f>IFERROR(__xludf.DUMMYFUNCTION("IF(C6238&lt;&gt;"""", GOOGLETRANSLATE(C6238, ""en"", ""te""),"""")"),"")</f>
        <v/>
      </c>
      <c r="E6238" s="2"/>
      <c r="F6238" s="2" t="str">
        <f>IFERROR(__xludf.DUMMYFUNCTION("IF(E6238&lt;&gt;"""", GOOGLETRANSLATE(E6238, ""en"", ""te""),"""")"),"")</f>
        <v/>
      </c>
      <c r="G6238" s="2"/>
      <c r="H6238" s="2" t="str">
        <f>IFERROR(__xludf.DUMMYFUNCTION("IF(G6238&lt;&gt;"""", GOOGLETRANSLATE(G6238, ""en"", ""te""),"""")"),"")</f>
        <v/>
      </c>
      <c r="I6238" s="3"/>
    </row>
    <row r="6239" customHeight="1" spans="1:9">
      <c r="A6239" s="2"/>
      <c r="B6239" s="2" t="str">
        <f>IFERROR(__xludf.DUMMYFUNCTION("IF(A6239&lt;&gt;"""", GOOGLETRANSLATE(A6239, ""en"", ""te""),"""")"),"")</f>
        <v/>
      </c>
      <c r="C6239" s="2" t="s">
        <v>3807</v>
      </c>
      <c r="D6239" s="2" t="str">
        <f>IFERROR(__xludf.DUMMYFUNCTION("IF(C6239&lt;&gt;"""", GOOGLETRANSLATE(C6239, ""en"", ""te""),"""")"),"[ '14 వ పిన్న క్రీడాకారులు (17y 68d)']")</f>
        <v>[ '14 వ పిన్న క్రీడాకారులు (17y 68d)']</v>
      </c>
      <c r="E6239" s="2" t="s">
        <v>3808</v>
      </c>
      <c r="F6239" s="2" t="str">
        <f>IFERROR(__xludf.DUMMYFUNCTION("IF(E6239&lt;&gt;"""", GOOGLETRANSLATE(E6239, ""en"", ""te""),"""")"),"[ '41 వ పిన్న క్రీడాకారులు (17y 251d)']")</f>
        <v>[ '41 వ పిన్న క్రీడాకారులు (17y 251d)']</v>
      </c>
      <c r="G6239" s="2"/>
      <c r="H6239" s="2" t="str">
        <f>IFERROR(__xludf.DUMMYFUNCTION("IF(G6239&lt;&gt;"""", GOOGLETRANSLATE(G6239, ""en"", ""te""),"""")"),"")</f>
        <v/>
      </c>
      <c r="I6239" s="3"/>
    </row>
    <row r="6240" customHeight="1" spans="1:9">
      <c r="A6240" s="2"/>
      <c r="B6240" s="2" t="str">
        <f>IFERROR(__xludf.DUMMYFUNCTION("IF(A6240&lt;&gt;"""", GOOGLETRANSLATE(A6240, ""en"", ""te""),"""")"),"")</f>
        <v/>
      </c>
      <c r="C6240" s="2"/>
      <c r="D6240" s="2" t="str">
        <f>IFERROR(__xludf.DUMMYFUNCTION("IF(C6240&lt;&gt;"""", GOOGLETRANSLATE(C6240, ""en"", ""te""),"""")"),"")</f>
        <v/>
      </c>
      <c r="E6240" s="2"/>
      <c r="F6240" s="2" t="str">
        <f>IFERROR(__xludf.DUMMYFUNCTION("IF(E6240&lt;&gt;"""", GOOGLETRANSLATE(E6240, ""en"", ""te""),"""")"),"")</f>
        <v/>
      </c>
      <c r="G6240" s="2"/>
      <c r="H6240" s="2" t="str">
        <f>IFERROR(__xludf.DUMMYFUNCTION("IF(G6240&lt;&gt;"""", GOOGLETRANSLATE(G6240, ""en"", ""te""),"""")"),"")</f>
        <v/>
      </c>
      <c r="I6240" s="3"/>
    </row>
    <row r="6241" customHeight="1" spans="1:9">
      <c r="A6241" s="2"/>
      <c r="B6241" s="2" t="str">
        <f>IFERROR(__xludf.DUMMYFUNCTION("IF(A6241&lt;&gt;"""", GOOGLETRANSLATE(A6241, ""en"", ""te""),"""")"),"")</f>
        <v/>
      </c>
      <c r="C6241" s="2"/>
      <c r="D6241" s="2" t="str">
        <f>IFERROR(__xludf.DUMMYFUNCTION("IF(C6241&lt;&gt;"""", GOOGLETRANSLATE(C6241, ""en"", ""te""),"""")"),"")</f>
        <v/>
      </c>
      <c r="E6241" s="2"/>
      <c r="F6241" s="2" t="str">
        <f>IFERROR(__xludf.DUMMYFUNCTION("IF(E6241&lt;&gt;"""", GOOGLETRANSLATE(E6241, ""en"", ""te""),"""")"),"")</f>
        <v/>
      </c>
      <c r="G6241" s="2"/>
      <c r="H6241" s="2" t="str">
        <f>IFERROR(__xludf.DUMMYFUNCTION("IF(G6241&lt;&gt;"""", GOOGLETRANSLATE(G6241, ""en"", ""te""),"""")"),"")</f>
        <v/>
      </c>
      <c r="I6241" s="3"/>
    </row>
    <row r="6242" customHeight="1" spans="1:9">
      <c r="A6242" s="2"/>
      <c r="B6242" s="2" t="str">
        <f>IFERROR(__xludf.DUMMYFUNCTION("IF(A6242&lt;&gt;"""", GOOGLETRANSLATE(A6242, ""en"", ""te""),"""")"),"")</f>
        <v/>
      </c>
      <c r="C6242" s="2"/>
      <c r="D6242" s="2" t="str">
        <f>IFERROR(__xludf.DUMMYFUNCTION("IF(C6242&lt;&gt;"""", GOOGLETRANSLATE(C6242, ""en"", ""te""),"""")"),"")</f>
        <v/>
      </c>
      <c r="E6242" s="2"/>
      <c r="F6242" s="2" t="str">
        <f>IFERROR(__xludf.DUMMYFUNCTION("IF(E6242&lt;&gt;"""", GOOGLETRANSLATE(E6242, ""en"", ""te""),"""")"),"")</f>
        <v/>
      </c>
      <c r="G6242" s="2"/>
      <c r="H6242" s="2" t="str">
        <f>IFERROR(__xludf.DUMMYFUNCTION("IF(G6242&lt;&gt;"""", GOOGLETRANSLATE(G6242, ""en"", ""te""),"""")"),"")</f>
        <v/>
      </c>
      <c r="I6242" s="3"/>
    </row>
    <row r="6243" customHeight="1" spans="1:9">
      <c r="A6243" s="2"/>
      <c r="B6243" s="2" t="str">
        <f>IFERROR(__xludf.DUMMYFUNCTION("IF(A6243&lt;&gt;"""", GOOGLETRANSLATE(A6243, ""en"", ""te""),"""")"),"")</f>
        <v/>
      </c>
      <c r="C6243" s="2"/>
      <c r="D6243" s="2" t="str">
        <f>IFERROR(__xludf.DUMMYFUNCTION("IF(C6243&lt;&gt;"""", GOOGLETRANSLATE(C6243, ""en"", ""te""),"""")"),"")</f>
        <v/>
      </c>
      <c r="E6243" s="2"/>
      <c r="F6243" s="2" t="str">
        <f>IFERROR(__xludf.DUMMYFUNCTION("IF(E6243&lt;&gt;"""", GOOGLETRANSLATE(E6243, ""en"", ""te""),"""")"),"")</f>
        <v/>
      </c>
      <c r="G6243" s="2"/>
      <c r="H6243" s="2" t="str">
        <f>IFERROR(__xludf.DUMMYFUNCTION("IF(G6243&lt;&gt;"""", GOOGLETRANSLATE(G6243, ""en"", ""te""),"""")"),"")</f>
        <v/>
      </c>
      <c r="I6243" s="3"/>
    </row>
    <row r="6244" customHeight="1" spans="1:9">
      <c r="A6244" s="2" t="s">
        <v>3809</v>
      </c>
      <c r="B6244" s="2" t="str">
        <f>IFERROR(__xludf.DUMMYFUNCTION("IF(A6244&lt;&gt;"""", GOOGLETRANSLATE(A6244, ""en"", ""te""),"""")"),"[ 'హండ్రెడ్ తొలి (109 *)', 'తొలి నుండి వరుస మ్యాచ్లలో 2 వ వందల (2)', 'హండ్రెడ్ ప్రవేశం (112) న']")</f>
        <v>[ 'హండ్రెడ్ తొలి (109 *)', 'తొలి నుండి వరుస మ్యాచ్లలో 2 వ వందల (2)', 'హండ్రెడ్ ప్రవేశం (112) న']</v>
      </c>
      <c r="C6244" s="2" t="s">
        <v>3810</v>
      </c>
      <c r="D6244" s="2" t="str">
        <f>IFERROR(__xludf.DUMMYFUNCTION("IF(C6244&lt;&gt;"""", GOOGLETRANSLATE(C6244, ""en"", ""te""),"""")"),"[ 'తొలి నుండి వరుస మ్యాచ్లలో 2 వ వందల (2)', 'ఎనిమిదవ వికెట్ (169) 13 వ అత్యధిక భాగస్వామ్యం']")</f>
        <v>[ 'తొలి నుండి వరుస మ్యాచ్లలో 2 వ వందల (2)', 'ఎనిమిదవ వికెట్ (169) 13 వ అత్యధిక భాగస్వామ్యం']</v>
      </c>
      <c r="E6244" s="2" t="s">
        <v>3811</v>
      </c>
      <c r="F6244" s="2" t="str">
        <f>IFERROR(__xludf.DUMMYFUNCTION("IF(E6244&lt;&gt;"""", GOOGLETRANSLATE(E6244, ""en"", ""te""),"""")"),"[ '8 వ అత్యంత తొలి మ్యాచ్ (112) లో నడుస్తుంది']")</f>
        <v>[ '8 వ అత్యంత తొలి మ్యాచ్ (112) లో నడుస్తుంది']</v>
      </c>
      <c r="G6244" s="2"/>
      <c r="H6244" s="2" t="str">
        <f>IFERROR(__xludf.DUMMYFUNCTION("IF(G6244&lt;&gt;"""", GOOGLETRANSLATE(G6244, ""en"", ""te""),"""")"),"")</f>
        <v/>
      </c>
      <c r="I6244" s="3"/>
    </row>
    <row r="6245" customHeight="1" spans="1:9">
      <c r="A6245" s="2"/>
      <c r="B6245" s="2" t="str">
        <f>IFERROR(__xludf.DUMMYFUNCTION("IF(A6245&lt;&gt;"""", GOOGLETRANSLATE(A6245, ""en"", ""te""),"""")"),"")</f>
        <v/>
      </c>
      <c r="C6245" s="2"/>
      <c r="D6245" s="2" t="str">
        <f>IFERROR(__xludf.DUMMYFUNCTION("IF(C6245&lt;&gt;"""", GOOGLETRANSLATE(C6245, ""en"", ""te""),"""")"),"")</f>
        <v/>
      </c>
      <c r="E6245" s="2"/>
      <c r="F6245" s="2" t="str">
        <f>IFERROR(__xludf.DUMMYFUNCTION("IF(E6245&lt;&gt;"""", GOOGLETRANSLATE(E6245, ""en"", ""te""),"""")"),"")</f>
        <v/>
      </c>
      <c r="G6245" s="2"/>
      <c r="H6245" s="2" t="str">
        <f>IFERROR(__xludf.DUMMYFUNCTION("IF(G6245&lt;&gt;"""", GOOGLETRANSLATE(G6245, ""en"", ""te""),"""")"),"")</f>
        <v/>
      </c>
      <c r="I6245" s="3"/>
    </row>
    <row r="6246" customHeight="1" spans="1:9">
      <c r="A6246" s="2"/>
      <c r="B6246" s="2" t="str">
        <f>IFERROR(__xludf.DUMMYFUNCTION("IF(A6246&lt;&gt;"""", GOOGLETRANSLATE(A6246, ""en"", ""te""),"""")"),"")</f>
        <v/>
      </c>
      <c r="C6246" s="2"/>
      <c r="D6246" s="2" t="str">
        <f>IFERROR(__xludf.DUMMYFUNCTION("IF(C6246&lt;&gt;"""", GOOGLETRANSLATE(C6246, ""en"", ""te""),"""")"),"")</f>
        <v/>
      </c>
      <c r="E6246" s="2"/>
      <c r="F6246" s="2" t="str">
        <f>IFERROR(__xludf.DUMMYFUNCTION("IF(E6246&lt;&gt;"""", GOOGLETRANSLATE(E6246, ""en"", ""te""),"""")"),"")</f>
        <v/>
      </c>
      <c r="G6246" s="2"/>
      <c r="H6246" s="2" t="str">
        <f>IFERROR(__xludf.DUMMYFUNCTION("IF(G6246&lt;&gt;"""", GOOGLETRANSLATE(G6246, ""en"", ""te""),"""")"),"")</f>
        <v/>
      </c>
      <c r="I6246" s="3"/>
    </row>
    <row r="6247" customHeight="1" spans="1:9">
      <c r="A6247" s="2"/>
      <c r="B6247" s="2" t="str">
        <f>IFERROR(__xludf.DUMMYFUNCTION("IF(A6247&lt;&gt;"""", GOOGLETRANSLATE(A6247, ""en"", ""te""),"""")"),"")</f>
        <v/>
      </c>
      <c r="C6247" s="2"/>
      <c r="D6247" s="2" t="str">
        <f>IFERROR(__xludf.DUMMYFUNCTION("IF(C6247&lt;&gt;"""", GOOGLETRANSLATE(C6247, ""en"", ""te""),"""")"),"")</f>
        <v/>
      </c>
      <c r="E6247" s="2"/>
      <c r="F6247" s="2" t="str">
        <f>IFERROR(__xludf.DUMMYFUNCTION("IF(E6247&lt;&gt;"""", GOOGLETRANSLATE(E6247, ""en"", ""te""),"""")"),"")</f>
        <v/>
      </c>
      <c r="G6247" s="2"/>
      <c r="H6247" s="2" t="str">
        <f>IFERROR(__xludf.DUMMYFUNCTION("IF(G6247&lt;&gt;"""", GOOGLETRANSLATE(G6247, ""en"", ""te""),"""")"),"")</f>
        <v/>
      </c>
      <c r="I6247" s="3"/>
    </row>
    <row r="6248" customHeight="1" spans="1:9">
      <c r="A6248" s="2"/>
      <c r="B6248" s="2" t="str">
        <f>IFERROR(__xludf.DUMMYFUNCTION("IF(A6248&lt;&gt;"""", GOOGLETRANSLATE(A6248, ""en"", ""te""),"""")"),"")</f>
        <v/>
      </c>
      <c r="C6248" s="2"/>
      <c r="D6248" s="2" t="str">
        <f>IFERROR(__xludf.DUMMYFUNCTION("IF(C6248&lt;&gt;"""", GOOGLETRANSLATE(C6248, ""en"", ""te""),"""")"),"")</f>
        <v/>
      </c>
      <c r="E6248" s="2"/>
      <c r="F6248" s="2" t="str">
        <f>IFERROR(__xludf.DUMMYFUNCTION("IF(E6248&lt;&gt;"""", GOOGLETRANSLATE(E6248, ""en"", ""te""),"""")"),"")</f>
        <v/>
      </c>
      <c r="G6248" s="2"/>
      <c r="H6248" s="2" t="str">
        <f>IFERROR(__xludf.DUMMYFUNCTION("IF(G6248&lt;&gt;"""", GOOGLETRANSLATE(G6248, ""en"", ""te""),"""")"),"")</f>
        <v/>
      </c>
      <c r="I6248" s="3"/>
    </row>
    <row r="6249" customHeight="1" spans="1:9">
      <c r="A6249" s="2"/>
      <c r="B6249" s="2" t="str">
        <f>IFERROR(__xludf.DUMMYFUNCTION("IF(A6249&lt;&gt;"""", GOOGLETRANSLATE(A6249, ""en"", ""te""),"""")"),"")</f>
        <v/>
      </c>
      <c r="C6249" s="2"/>
      <c r="D6249" s="2" t="str">
        <f>IFERROR(__xludf.DUMMYFUNCTION("IF(C6249&lt;&gt;"""", GOOGLETRANSLATE(C6249, ""en"", ""te""),"""")"),"")</f>
        <v/>
      </c>
      <c r="E6249" s="2"/>
      <c r="F6249" s="2" t="str">
        <f>IFERROR(__xludf.DUMMYFUNCTION("IF(E6249&lt;&gt;"""", GOOGLETRANSLATE(E6249, ""en"", ""te""),"""")"),"")</f>
        <v/>
      </c>
      <c r="G6249" s="2"/>
      <c r="H6249" s="2" t="str">
        <f>IFERROR(__xludf.DUMMYFUNCTION("IF(G6249&lt;&gt;"""", GOOGLETRANSLATE(G6249, ""en"", ""te""),"""")"),"")</f>
        <v/>
      </c>
      <c r="I6249" s="3"/>
    </row>
    <row r="6250" customHeight="1" spans="1:9">
      <c r="A6250" s="2"/>
      <c r="B6250" s="2" t="str">
        <f>IFERROR(__xludf.DUMMYFUNCTION("IF(A6250&lt;&gt;"""", GOOGLETRANSLATE(A6250, ""en"", ""te""),"""")"),"")</f>
        <v/>
      </c>
      <c r="C6250" s="2"/>
      <c r="D6250" s="2" t="str">
        <f>IFERROR(__xludf.DUMMYFUNCTION("IF(C6250&lt;&gt;"""", GOOGLETRANSLATE(C6250, ""en"", ""te""),"""")"),"")</f>
        <v/>
      </c>
      <c r="E6250" s="2"/>
      <c r="F6250" s="2" t="str">
        <f>IFERROR(__xludf.DUMMYFUNCTION("IF(E6250&lt;&gt;"""", GOOGLETRANSLATE(E6250, ""en"", ""te""),"""")"),"")</f>
        <v/>
      </c>
      <c r="G6250" s="2"/>
      <c r="H6250" s="2" t="str">
        <f>IFERROR(__xludf.DUMMYFUNCTION("IF(G6250&lt;&gt;"""", GOOGLETRANSLATE(G6250, ""en"", ""te""),"""")"),"")</f>
        <v/>
      </c>
      <c r="I6250" s="3"/>
    </row>
    <row r="6251" customHeight="1" spans="1:9">
      <c r="A6251" s="2"/>
      <c r="B6251" s="2" t="str">
        <f>IFERROR(__xludf.DUMMYFUNCTION("IF(A6251&lt;&gt;"""", GOOGLETRANSLATE(A6251, ""en"", ""te""),"""")"),"")</f>
        <v/>
      </c>
      <c r="C6251" s="2"/>
      <c r="D6251" s="2" t="str">
        <f>IFERROR(__xludf.DUMMYFUNCTION("IF(C6251&lt;&gt;"""", GOOGLETRANSLATE(C6251, ""en"", ""te""),"""")"),"")</f>
        <v/>
      </c>
      <c r="E6251" s="2"/>
      <c r="F6251" s="2" t="str">
        <f>IFERROR(__xludf.DUMMYFUNCTION("IF(E6251&lt;&gt;"""", GOOGLETRANSLATE(E6251, ""en"", ""te""),"""")"),"")</f>
        <v/>
      </c>
      <c r="G6251" s="2"/>
      <c r="H6251" s="2" t="str">
        <f>IFERROR(__xludf.DUMMYFUNCTION("IF(G6251&lt;&gt;"""", GOOGLETRANSLATE(G6251, ""en"", ""te""),"""")"),"")</f>
        <v/>
      </c>
      <c r="I6251" s="3"/>
    </row>
    <row r="6252" customHeight="1" spans="1:9">
      <c r="A6252" s="2" t="s">
        <v>3812</v>
      </c>
      <c r="B6252" s="2" t="str">
        <f>IFERROR(__xludf.DUMMYFUNCTION("IF(A6252&lt;&gt;"""", GOOGLETRANSLATE(A6252, ""en"", ""te""),"""")"),"[ 'హండ్రెడ్ తొలి (128 *)', 'ఒక మ్యాచ్ లో రెండు అజేయంగా అర్ధ', 'పదవ వికెట్కు 3 వ అత్యధిక భాగస్వామ్యం (151)', '2 వ వరుస ఐదు వికెట్ల లో-ఒక-ఇన్నింగ్స్ (2)' '1000 పరుగులు మరియు 100 వికెట్లు']")</f>
        <v>[ 'హండ్రెడ్ తొలి (128 *)', 'ఒక మ్యాచ్ లో రెండు అజేయంగా అర్ధ', 'పదవ వికెట్కు 3 వ అత్యధిక భాగస్వామ్యం (151)', '2 వ వరుస ఐదు వికెట్ల లో-ఒక-ఇన్నింగ్స్ (2)' '1000 పరుగులు మరియు 100 వికెట్లు']</v>
      </c>
      <c r="C6252" s="2" t="s">
        <v>3813</v>
      </c>
      <c r="D6252" s="2" t="str">
        <f>IFERROR(__xludf.DUMMYFUNCTION("IF(C6252&lt;&gt;"""", GOOGLETRANSLATE(C6252, ""en"", ""te""),"""")"),"[ '11 వ ఇన్నింగ్స్ లో అత్యధిక పరుగులు (బ్యాటింగ్ స్థానంలో ప్రకారం) (128 *)', '21 వ తొలి మ్యాచ్లో అత్యధిక పరుగులు (178) ',' పదవ వికెట్ను (151) 3 వ అత్యధిక భాగస్వామ్యం ']")</f>
        <v>[ '11 వ ఇన్నింగ్స్ లో అత్యధిక పరుగులు (బ్యాటింగ్ స్థానంలో ప్రకారం) (128 *)', '21 వ తొలి మ్యాచ్లో అత్యధిక పరుగులు (178) ',' పదవ వికెట్ను (151) 3 వ అత్యధిక భాగస్వామ్యం ']</v>
      </c>
      <c r="E6252" s="2" t="s">
        <v>3814</v>
      </c>
      <c r="F6252" s="2" t="str">
        <f>IFERROR(__xludf.DUMMYFUNCTION("IF(E6252&lt;&gt;"""", GOOGLETRANSLATE(E6252, ""en"", ""te""),"""")"),"[40 వ అత్యంత లేకుండా వంద (1521) ఒక వృత్తిలో పరుగులు '' ఇన్నింగ్స్ లో 23 వ బెస్ట్ ఫిగర్స్ (6/18) ',' 27 ఒక క్యాలెండర్ సంవత్సరంలో అత్యధిక వికెట్లు (46) ',' 11 వ అత్యుత్తమ బౌలింగ్ ఒక విశ్లేషణలలో ఇన్నింగ్స్ (6/18) ',' 25 వ అత్యంత ఒక వృత్తిలో ఐదు వికెట్ల లో-ఒక"&amp;"-ఇన్నింగ్స్ (3) ',' 2 వ వరుస ఐదు వికెట్ల లో-ఒక-ఇన్నింగ్స్ (2) ',' 13 వ వరుస నాలుగు వికెట్లు-ఇన్-ఒక-ఇన్నింగ్స్ (2) ']")</f>
        <v>[40 వ అత్యంత లేకుండా వంద (1521) ఒక వృత్తిలో పరుగులు '' ఇన్నింగ్స్ లో 23 వ బెస్ట్ ఫిగర్స్ (6/18) ',' 27 ఒక క్యాలెండర్ సంవత్సరంలో అత్యధిక వికెట్లు (46) ',' 11 వ అత్యుత్తమ బౌలింగ్ ఒక విశ్లేషణలలో ఇన్నింగ్స్ (6/18) ',' 25 వ అత్యంత ఒక వృత్తిలో ఐదు వికెట్ల లో-ఒక-ఇన్నింగ్స్ (3) ',' 2 వ వరుస ఐదు వికెట్ల లో-ఒక-ఇన్నింగ్స్ (2) ',' 13 వ వరుస నాలుగు వికెట్లు-ఇన్-ఒక-ఇన్నింగ్స్ (2) ']</v>
      </c>
      <c r="G6252" s="2"/>
      <c r="H6252" s="2" t="str">
        <f>IFERROR(__xludf.DUMMYFUNCTION("IF(G6252&lt;&gt;"""", GOOGLETRANSLATE(G6252, ""en"", ""te""),"""")"),"")</f>
        <v/>
      </c>
      <c r="I6252" s="3"/>
    </row>
    <row r="6253" customHeight="1" spans="1:9">
      <c r="A6253" s="2"/>
      <c r="B6253" s="2" t="str">
        <f>IFERROR(__xludf.DUMMYFUNCTION("IF(A6253&lt;&gt;"""", GOOGLETRANSLATE(A6253, ""en"", ""te""),"""")"),"")</f>
        <v/>
      </c>
      <c r="C6253" s="2"/>
      <c r="D6253" s="2" t="str">
        <f>IFERROR(__xludf.DUMMYFUNCTION("IF(C6253&lt;&gt;"""", GOOGLETRANSLATE(C6253, ""en"", ""te""),"""")"),"")</f>
        <v/>
      </c>
      <c r="E6253" s="2"/>
      <c r="F6253" s="2" t="str">
        <f>IFERROR(__xludf.DUMMYFUNCTION("IF(E6253&lt;&gt;"""", GOOGLETRANSLATE(E6253, ""en"", ""te""),"""")"),"")</f>
        <v/>
      </c>
      <c r="G6253" s="2"/>
      <c r="H6253" s="2" t="str">
        <f>IFERROR(__xludf.DUMMYFUNCTION("IF(G6253&lt;&gt;"""", GOOGLETRANSLATE(G6253, ""en"", ""te""),"""")"),"")</f>
        <v/>
      </c>
      <c r="I6253" s="3"/>
    </row>
    <row r="6254" customHeight="1" spans="1:9">
      <c r="A6254" s="2"/>
      <c r="B6254" s="2" t="str">
        <f>IFERROR(__xludf.DUMMYFUNCTION("IF(A6254&lt;&gt;"""", GOOGLETRANSLATE(A6254, ""en"", ""te""),"""")"),"")</f>
        <v/>
      </c>
      <c r="C6254" s="2"/>
      <c r="D6254" s="2" t="str">
        <f>IFERROR(__xludf.DUMMYFUNCTION("IF(C6254&lt;&gt;"""", GOOGLETRANSLATE(C6254, ""en"", ""te""),"""")"),"")</f>
        <v/>
      </c>
      <c r="E6254" s="2"/>
      <c r="F6254" s="2" t="str">
        <f>IFERROR(__xludf.DUMMYFUNCTION("IF(E6254&lt;&gt;"""", GOOGLETRANSLATE(E6254, ""en"", ""te""),"""")"),"")</f>
        <v/>
      </c>
      <c r="G6254" s="2"/>
      <c r="H6254" s="2" t="str">
        <f>IFERROR(__xludf.DUMMYFUNCTION("IF(G6254&lt;&gt;"""", GOOGLETRANSLATE(G6254, ""en"", ""te""),"""")"),"")</f>
        <v/>
      </c>
      <c r="I6254" s="3"/>
    </row>
    <row r="6255" customHeight="1" spans="1:9">
      <c r="A6255" s="2" t="s">
        <v>3815</v>
      </c>
      <c r="B6255" s="2" t="str">
        <f>IFERROR(__xludf.DUMMYFUNCTION("IF(A6255&lt;&gt;"""", GOOGLETRANSLATE(A6255, ""en"", ""te""),"""")"),"[ '1st చాలా ఇన్నింగ్స్ లో సాధించిన బైస్ (20)']")</f>
        <v>[ '1st చాలా ఇన్నింగ్స్ లో సాధించిన బైస్ (20)']</v>
      </c>
      <c r="C6255" s="2" t="s">
        <v>619</v>
      </c>
      <c r="D6255" s="2" t="str">
        <f>IFERROR(__xludf.DUMMYFUNCTION("IF(C6255&lt;&gt;"""", GOOGLETRANSLATE(C6255, ""en"", ""te""),"""")"),"[ '12 వ మ్యాచ్లో (3) అత్యంత స్టంపింగ్లు']")</f>
        <v>[ '12 వ మ్యాచ్లో (3) అత్యంత స్టంపింగ్లు']</v>
      </c>
      <c r="E6255" s="2" t="s">
        <v>3815</v>
      </c>
      <c r="F6255" s="2" t="str">
        <f>IFERROR(__xludf.DUMMYFUNCTION("IF(E6255&lt;&gt;"""", GOOGLETRANSLATE(E6255, ""en"", ""te""),"""")"),"[ '1st చాలా ఇన్నింగ్స్ లో సాధించిన బైస్ (20)']")</f>
        <v>[ '1st చాలా ఇన్నింగ్స్ లో సాధించిన బైస్ (20)']</v>
      </c>
      <c r="G6255" s="2"/>
      <c r="H6255" s="2" t="str">
        <f>IFERROR(__xludf.DUMMYFUNCTION("IF(G6255&lt;&gt;"""", GOOGLETRANSLATE(G6255, ""en"", ""te""),"""")"),"")</f>
        <v/>
      </c>
      <c r="I6255" s="3"/>
    </row>
    <row r="6256" customHeight="1" spans="1:9">
      <c r="A6256" s="2"/>
      <c r="B6256" s="2" t="str">
        <f>IFERROR(__xludf.DUMMYFUNCTION("IF(A6256&lt;&gt;"""", GOOGLETRANSLATE(A6256, ""en"", ""te""),"""")"),"")</f>
        <v/>
      </c>
      <c r="C6256" s="2"/>
      <c r="D6256" s="2" t="str">
        <f>IFERROR(__xludf.DUMMYFUNCTION("IF(C6256&lt;&gt;"""", GOOGLETRANSLATE(C6256, ""en"", ""te""),"""")"),"")</f>
        <v/>
      </c>
      <c r="E6256" s="2"/>
      <c r="F6256" s="2" t="str">
        <f>IFERROR(__xludf.DUMMYFUNCTION("IF(E6256&lt;&gt;"""", GOOGLETRANSLATE(E6256, ""en"", ""te""),"""")"),"")</f>
        <v/>
      </c>
      <c r="G6256" s="2"/>
      <c r="H6256" s="2" t="str">
        <f>IFERROR(__xludf.DUMMYFUNCTION("IF(G6256&lt;&gt;"""", GOOGLETRANSLATE(G6256, ""en"", ""te""),"""")"),"")</f>
        <v/>
      </c>
      <c r="I6256" s="3"/>
    </row>
    <row r="6257" customHeight="1" spans="1:9">
      <c r="A6257" s="2"/>
      <c r="B6257" s="2" t="str">
        <f>IFERROR(__xludf.DUMMYFUNCTION("IF(A6257&lt;&gt;"""", GOOGLETRANSLATE(A6257, ""en"", ""te""),"""")"),"")</f>
        <v/>
      </c>
      <c r="C6257" s="2"/>
      <c r="D6257" s="2" t="str">
        <f>IFERROR(__xludf.DUMMYFUNCTION("IF(C6257&lt;&gt;"""", GOOGLETRANSLATE(C6257, ""en"", ""te""),"""")"),"")</f>
        <v/>
      </c>
      <c r="E6257" s="2" t="s">
        <v>3816</v>
      </c>
      <c r="F6257" s="2" t="str">
        <f>IFERROR(__xludf.DUMMYFUNCTION("IF(E6257&lt;&gt;"""", GOOGLETRANSLATE(E6257, ""en"", ""te""),"""")"),"[ '16 వ ఇన్నింగ్స్ లో అత్యధిక పరుగులు (బ్యాటింగ్ స్థానంలో ప్రకారం) (127 *)', '1000 పరుగులు వేగంగా 36th (28)']")</f>
        <v>[ '16 వ ఇన్నింగ్స్ లో అత్యధిక పరుగులు (బ్యాటింగ్ స్థానంలో ప్రకారం) (127 *)', '1000 పరుగులు వేగంగా 36th (28)']</v>
      </c>
      <c r="G6257" s="2"/>
      <c r="H6257" s="2" t="str">
        <f>IFERROR(__xludf.DUMMYFUNCTION("IF(G6257&lt;&gt;"""", GOOGLETRANSLATE(G6257, ""en"", ""te""),"""")"),"")</f>
        <v/>
      </c>
      <c r="I6257" s="3"/>
    </row>
    <row r="6258" customHeight="1" spans="1:9">
      <c r="A6258" s="2"/>
      <c r="B6258" s="2" t="str">
        <f>IFERROR(__xludf.DUMMYFUNCTION("IF(A6258&lt;&gt;"""", GOOGLETRANSLATE(A6258, ""en"", ""te""),"""")"),"")</f>
        <v/>
      </c>
      <c r="C6258" s="2"/>
      <c r="D6258" s="2" t="str">
        <f>IFERROR(__xludf.DUMMYFUNCTION("IF(C6258&lt;&gt;"""", GOOGLETRANSLATE(C6258, ""en"", ""te""),"""")"),"")</f>
        <v/>
      </c>
      <c r="E6258" s="2"/>
      <c r="F6258" s="2" t="str">
        <f>IFERROR(__xludf.DUMMYFUNCTION("IF(E6258&lt;&gt;"""", GOOGLETRANSLATE(E6258, ""en"", ""te""),"""")"),"")</f>
        <v/>
      </c>
      <c r="G6258" s="2"/>
      <c r="H6258" s="2" t="str">
        <f>IFERROR(__xludf.DUMMYFUNCTION("IF(G6258&lt;&gt;"""", GOOGLETRANSLATE(G6258, ""en"", ""te""),"""")"),"")</f>
        <v/>
      </c>
      <c r="I6258" s="3"/>
    </row>
    <row r="6259" customHeight="1" spans="1:9">
      <c r="A6259" s="2"/>
      <c r="B6259" s="2" t="str">
        <f>IFERROR(__xludf.DUMMYFUNCTION("IF(A6259&lt;&gt;"""", GOOGLETRANSLATE(A6259, ""en"", ""te""),"""")"),"")</f>
        <v/>
      </c>
      <c r="C6259" s="2" t="s">
        <v>761</v>
      </c>
      <c r="D6259" s="2" t="str">
        <f>IFERROR(__xludf.DUMMYFUNCTION("IF(C6259&lt;&gt;"""", GOOGLETRANSLATE(C6259, ""en"", ""te""),"""")"),"[ 'తొలి ఇన్నింగ్స్లో 22 బెస్ట్ ఫిగర్స్ (6)']")</f>
        <v>[ 'తొలి ఇన్నింగ్స్లో 22 బెస్ట్ ఫిగర్స్ (6)']</v>
      </c>
      <c r="E6259" s="2"/>
      <c r="F6259" s="2" t="str">
        <f>IFERROR(__xludf.DUMMYFUNCTION("IF(E6259&lt;&gt;"""", GOOGLETRANSLATE(E6259, ""en"", ""te""),"""")"),"")</f>
        <v/>
      </c>
      <c r="G6259" s="2"/>
      <c r="H6259" s="2" t="str">
        <f>IFERROR(__xludf.DUMMYFUNCTION("IF(G6259&lt;&gt;"""", GOOGLETRANSLATE(G6259, ""en"", ""te""),"""")"),"")</f>
        <v/>
      </c>
      <c r="I6259" s="3"/>
    </row>
    <row r="6260" customHeight="1" spans="1:9">
      <c r="A6260" s="2"/>
      <c r="B6260" s="2" t="str">
        <f>IFERROR(__xludf.DUMMYFUNCTION("IF(A6260&lt;&gt;"""", GOOGLETRANSLATE(A6260, ""en"", ""te""),"""")"),"")</f>
        <v/>
      </c>
      <c r="C6260" s="2"/>
      <c r="D6260" s="2" t="str">
        <f>IFERROR(__xludf.DUMMYFUNCTION("IF(C6260&lt;&gt;"""", GOOGLETRANSLATE(C6260, ""en"", ""te""),"""")"),"")</f>
        <v/>
      </c>
      <c r="E6260" s="2"/>
      <c r="F6260" s="2" t="str">
        <f>IFERROR(__xludf.DUMMYFUNCTION("IF(E6260&lt;&gt;"""", GOOGLETRANSLATE(E6260, ""en"", ""te""),"""")"),"")</f>
        <v/>
      </c>
      <c r="G6260" s="2"/>
      <c r="H6260" s="2" t="str">
        <f>IFERROR(__xludf.DUMMYFUNCTION("IF(G6260&lt;&gt;"""", GOOGLETRANSLATE(G6260, ""en"", ""te""),"""")"),"")</f>
        <v/>
      </c>
      <c r="I6260" s="3"/>
    </row>
    <row r="6261" customHeight="1" spans="1:9">
      <c r="A6261" s="2"/>
      <c r="B6261" s="2" t="str">
        <f>IFERROR(__xludf.DUMMYFUNCTION("IF(A6261&lt;&gt;"""", GOOGLETRANSLATE(A6261, ""en"", ""te""),"""")"),"")</f>
        <v/>
      </c>
      <c r="C6261" s="2"/>
      <c r="D6261" s="2" t="str">
        <f>IFERROR(__xludf.DUMMYFUNCTION("IF(C6261&lt;&gt;"""", GOOGLETRANSLATE(C6261, ""en"", ""te""),"""")"),"")</f>
        <v/>
      </c>
      <c r="E6261" s="2"/>
      <c r="F6261" s="2" t="str">
        <f>IFERROR(__xludf.DUMMYFUNCTION("IF(E6261&lt;&gt;"""", GOOGLETRANSLATE(E6261, ""en"", ""te""),"""")"),"")</f>
        <v/>
      </c>
      <c r="G6261" s="2"/>
      <c r="H6261" s="2" t="str">
        <f>IFERROR(__xludf.DUMMYFUNCTION("IF(G6261&lt;&gt;"""", GOOGLETRANSLATE(G6261, ""en"", ""te""),"""")"),"")</f>
        <v/>
      </c>
      <c r="I6261" s="3"/>
    </row>
    <row r="6262" customHeight="1" spans="1:9">
      <c r="A6262" s="2"/>
      <c r="B6262" s="2" t="str">
        <f>IFERROR(__xludf.DUMMYFUNCTION("IF(A6262&lt;&gt;"""", GOOGLETRANSLATE(A6262, ""en"", ""te""),"""")"),"")</f>
        <v/>
      </c>
      <c r="C6262" s="2"/>
      <c r="D6262" s="2" t="str">
        <f>IFERROR(__xludf.DUMMYFUNCTION("IF(C6262&lt;&gt;"""", GOOGLETRANSLATE(C6262, ""en"", ""te""),"""")"),"")</f>
        <v/>
      </c>
      <c r="E6262" s="2"/>
      <c r="F6262" s="2" t="str">
        <f>IFERROR(__xludf.DUMMYFUNCTION("IF(E6262&lt;&gt;"""", GOOGLETRANSLATE(E6262, ""en"", ""te""),"""")"),"")</f>
        <v/>
      </c>
      <c r="G6262" s="2"/>
      <c r="H6262" s="2" t="str">
        <f>IFERROR(__xludf.DUMMYFUNCTION("IF(G6262&lt;&gt;"""", GOOGLETRANSLATE(G6262, ""en"", ""te""),"""")"),"")</f>
        <v/>
      </c>
      <c r="I6262" s="3"/>
    </row>
    <row r="6263" customHeight="1" spans="1:9">
      <c r="A6263" s="2" t="s">
        <v>3817</v>
      </c>
      <c r="B6263" s="2" t="str">
        <f>IFERROR(__xludf.DUMMYFUNCTION("IF(A6263&lt;&gt;"""", GOOGLETRANSLATE(A6263, ""en"", ""te""),"""")"),"[ 'వంద (2602) లేకుండా ఒక వృత్తిలో 1st అత్యధిక పరుగులు', 'ఇన్నింగ్స్ లో 8 వ ఉత్తమ సమ్మె రేటు (6.2)', '4 వ అత్యధిక క్యాచ్లు' 1st 99 (199, 299 etc) (99) అవుటయ్యాడు ' ఒక ఇన్నింగ్స్ లో (3) నాలుగో వికెట్కు కెరీర్లో (181) ',' 9 వ అత్యధిక మ్యాచ్లు (108) ',' 8 వ క"&amp;"ెరీర్ లో అత్యధిక పరుగులు (2225) కోసం ',' 3 వ అత్యధిక భాగస్వామ్యం ',' 9 వ 2000 పరుగులు వేగంగా ( 95) ',' 1 వ అత్యధిక వికెట్లు తీసిన హిట్ వికెట్ (1) ',' ఇన్నింగ్స్ లో 3 వ అత్యధిక క్యాచ్లు (3) ఏడవ వికెట్ (60 ',' 3 వ అత్యధిక భాగస్వామ్యం) ']")</f>
        <v>[ 'వంద (2602) లేకుండా ఒక వృత్తిలో 1st అత్యధిక పరుగులు', 'ఇన్నింగ్స్ లో 8 వ ఉత్తమ సమ్మె రేటు (6.2)', '4 వ అత్యధిక క్యాచ్లు' 1st 99 (199, 299 etc) (99) అవుటయ్యాడు ' ఒక ఇన్నింగ్స్ లో (3) నాలుగో వికెట్కు కెరీర్లో (181) ',' 9 వ అత్యధిక మ్యాచ్లు (108) ',' 8 వ కెరీర్ లో అత్యధిక పరుగులు (2225) కోసం ',' 3 వ అత్యధిక భాగస్వామ్యం ',' 9 వ 2000 పరుగులు వేగంగా ( 95) ',' 1 వ అత్యధిక వికెట్లు తీసిన హిట్ వికెట్ (1) ',' ఇన్నింగ్స్ లో 3 వ అత్యధిక క్యాచ్లు (3) ఏడవ వికెట్ (60 ',' 3 వ అత్యధిక భాగస్వామ్యం) ']</v>
      </c>
      <c r="C6263" s="2"/>
      <c r="D6263" s="2" t="str">
        <f>IFERROR(__xludf.DUMMYFUNCTION("IF(C6263&lt;&gt;"""", GOOGLETRANSLATE(C6263, ""en"", ""te""),"""")"),"")</f>
        <v/>
      </c>
      <c r="E6263" s="2" t="s">
        <v>3818</v>
      </c>
      <c r="F6263" s="2" t="str">
        <f>IFERROR(__xludf.DUMMYFUNCTION("IF(E6263&lt;&gt;"""", GOOGLETRANSLATE(E6263, ""en"", ""te""),"""")"),"[ '38 వ పరాజయం వైపు ఒక మ్యాచ్లో అత్యధిక పరుగులు (91 *)', '11 వ ఒక సిరీస్లో అత్యధిక పరుగులు ద్వారా' వరుస (546) లో 30 వ అత్యధిక పరుగులు '' 27 వ కెరీర్ లో పరుగులు (2602) ', కెప్టెన్ (447) ',' వంద (2602) ',' 6 వ కెరీర్ తొంభైల (3) ',' 1 వ 99 (199, 299 etc) ("&amp;"99) అవుటయ్యాడు లేకుండా కెరీర్లో 1st అత్యధిక పరుగులు ',' కెరీర్లో 38 వ అత్యంత అర్ధ (14) ',' ఒక డక్ లేకుండా 24 వరుస ఇన్నింగ్స్ (38) ',' ఒక ఇన్నింగ్స్లో పరుగుల 46 వ అత్యధిక శాతం (51.19) ',' ఇన్నింగ్స్ లో 8 వ ఉత్తమ సమ్మె రేటు (6.2) ' '31 అత్యధిక వికెట్లు తీసు"&amp;"కున్న క్యాచ్ మరియు బౌల్డ్ (5)', 'కెరీర్లో 31 అత్యధిక క్యాచ్లు (34)', '4 వ ఇన్నింగ్స్ లో అత్యధిక క్యాచ్లు (3)', '26 ఒక సిరీస్లో అత్యధిక క్యాచ్లు (7)', ' 36 వ ఏ వికెట్కు అత్యధిక భాగస్వామ్యాల (181) ',' నాలుగవ వికెట్కు 3 వ అత్యధిక భాగస్వామ్యం (181) ',' ఐదవ వి"&amp;"కెట్కు 38 వ అత్యధిక భాగస్వామ్యం (91) ',' ఆరవ వికెట్కు 27 అత్యధిక భాగస్వామ్యం (74) ', '34 వ కెరీర్ లో అత్యధిక మ్యాచ్లు (108)', '14 వ పిన్న క్రీడాకారులు (15y 148d)', '41 వ అత్యధిక మ్యాచ్లు కెప్టెన్గా (18)', '18 వ పిన్న కాప్టెన్ (21y 357d) ']")</f>
        <v>[ '38 వ పరాజయం వైపు ఒక మ్యాచ్లో అత్యధిక పరుగులు (91 *)', '11 వ ఒక సిరీస్లో అత్యధిక పరుగులు ద్వారా' వరుస (546) లో 30 వ అత్యధిక పరుగులు '' 27 వ కెరీర్ లో పరుగులు (2602) ', కెప్టెన్ (447) ',' వంద (2602) ',' 6 వ కెరీర్ తొంభైల (3) ',' 1 వ 99 (199, 299 etc) (99) అవుటయ్యాడు లేకుండా కెరీర్లో 1st అత్యధిక పరుగులు ',' కెరీర్లో 38 వ అత్యంత అర్ధ (14) ',' ఒక డక్ లేకుండా 24 వరుస ఇన్నింగ్స్ (38) ',' ఒక ఇన్నింగ్స్లో పరుగుల 46 వ అత్యధిక శాతం (51.19) ',' ఇన్నింగ్స్ లో 8 వ ఉత్తమ సమ్మె రేటు (6.2) ' '31 అత్యధిక వికెట్లు తీసుకున్న క్యాచ్ మరియు బౌల్డ్ (5)', 'కెరీర్లో 31 అత్యధిక క్యాచ్లు (34)', '4 వ ఇన్నింగ్స్ లో అత్యధిక క్యాచ్లు (3)', '26 ఒక సిరీస్లో అత్యధిక క్యాచ్లు (7)', ' 36 వ ఏ వికెట్కు అత్యధిక భాగస్వామ్యాల (181) ',' నాలుగవ వికెట్కు 3 వ అత్యధిక భాగస్వామ్యం (181) ',' ఐదవ వికెట్కు 38 వ అత్యధిక భాగస్వామ్యం (91) ',' ఆరవ వికెట్కు 27 అత్యధిక భాగస్వామ్యం (74) ', '34 వ కెరీర్ లో అత్యధిక మ్యాచ్లు (108)', '14 వ పిన్న క్రీడాకారులు (15y 148d)', '41 వ అత్యధిక మ్యాచ్లు కెప్టెన్గా (18)', '18 వ పిన్న కాప్టెన్ (21y 357d) ']</v>
      </c>
      <c r="G6263" s="2" t="s">
        <v>3819</v>
      </c>
      <c r="H6263" s="2" t="str">
        <f>IFERROR(__xludf.DUMMYFUNCTION("IF(G6263&lt;&gt;"""", GOOGLETRANSLATE(G6263, ""en"", ""te""),"""")"),"[ 'కెరీర్లో 8 వ అత్యధిక పరుగులు (2225)', '19 ఒక క్యాలెండర్ సంవత్సరంలో అత్యధిక పరుగులు (459)', '17 వ ఇన్నింగ్స్ లో అత్యధిక పరుగులు (బ్యాటింగ్ స్థానంలో ప్రకారం) (62 *)', '32 వ మ్యాచ్ లో అత్యధిక పరుగులు పరాజయం వైపు (63 *) న ',' 11 వ ఒకే మైదానంలో అత్యధిక పర"&amp;"ుగులు (236) ',' ఒక కెప్టెన్తో ఇన్నింగ్స్ లో 34 వ అత్యధిక పరుగులు (70 *) ',' 17 వ అత్యధిక కెరీర్ బ్యాటింగ్ సగటు (27.46) ', '14 వ కెరీర్ అర్ధ (11)', 'ఒక డక్ లేకుండా 23 వరుస ఇన్నింగ్స్ (36)', 'కెరీర్లో 37 వ అతి తక్కువ బాతులు (17)', '16 వ అత్యధిక కెరీర్ లో బా"&amp;"తులు (6)', '9 వ వేగంగా 2000 పరుగులు (95) ',' ఇన్నింగ్స్ లో 44 వ అత్యుత్తమ బౌలింగ్ విశ్లేషణలు (2/4) ',' 37 వ ఉత్తమ కెరీర్ ఆర్థిక రేటు (5.62) ',' 22 వ చెత్త కెరీర్లో సమ్మె రేటు (24.2) ',' 18 వ అత్యధిక వికెట్లు తీసుకున్న స్టంప్డ్ (9) ',' 1 వ అత్యధిక వికెట్లు"&amp;" తీసిన హిట్ వికెట్ (1) ',' 18 వ కెరీర్ లో అత్యధిక క్యాచ్లు (30) ',' ఇన్నింగ్స్ లో 3 వ అత్యధిక క్యాచ్లు (3) మూడవ వికెట్కు ',' 15 వ అత్యధిక భాగస్వామ్యం (106 ) ',' నాలుగవ వికెట్కు 12 వ అత్యధిక భాగస్వామ్యం (93) ',' ఐదవ వికెట్కు 3 వ అత్యధిక భాగస్వామ్యం (83) ',"&amp;"' 20 వ అత్యధిక భాగస్వాములు ఆరవ వికెట్కు హిప్ (50) ',' ఏడవ వికెట్కు 3 వ అత్యధిక భాగస్వామ్యం (60) ',' 9 వ అత్యధిక మ్యాచ్లు కెరీర్లో (108) ',' ఒక జట్టు కోసం 19 వరుస మ్యాచ్లు (48) ',' 14 వ అత్యంత కెప్టెన్గా మ్యాచ్లు (38) ',' 35 వ పిన్న కాప్టెన్ (21y 355d) ']")</f>
        <v>[ 'కెరీర్లో 8 వ అత్యధిక పరుగులు (2225)', '19 ఒక క్యాలెండర్ సంవత్సరంలో అత్యధిక పరుగులు (459)', '17 వ ఇన్నింగ్స్ లో అత్యధిక పరుగులు (బ్యాటింగ్ స్థానంలో ప్రకారం) (62 *)', '32 వ మ్యాచ్ లో అత్యధిక పరుగులు పరాజయం వైపు (63 *) న ',' 11 వ ఒకే మైదానంలో అత్యధిక పరుగులు (236) ',' ఒక కెప్టెన్తో ఇన్నింగ్స్ లో 34 వ అత్యధిక పరుగులు (70 *) ',' 17 వ అత్యధిక కెరీర్ బ్యాటింగ్ సగటు (27.46) ', '14 వ కెరీర్ అర్ధ (11)', 'ఒక డక్ లేకుండా 23 వరుస ఇన్నింగ్స్ (36)', 'కెరీర్లో 37 వ అతి తక్కువ బాతులు (17)', '16 వ అత్యధిక కెరీర్ లో బాతులు (6)', '9 వ వేగంగా 2000 పరుగులు (95) ',' ఇన్నింగ్స్ లో 44 వ అత్యుత్తమ బౌలింగ్ విశ్లేషణలు (2/4) ',' 37 వ ఉత్తమ కెరీర్ ఆర్థిక రేటు (5.62) ',' 22 వ చెత్త కెరీర్లో సమ్మె రేటు (24.2) ',' 18 వ అత్యధిక వికెట్లు తీసుకున్న స్టంప్డ్ (9) ',' 1 వ అత్యధిక వికెట్లు తీసిన హిట్ వికెట్ (1) ',' 18 వ కెరీర్ లో అత్యధిక క్యాచ్లు (30) ',' ఇన్నింగ్స్ లో 3 వ అత్యధిక క్యాచ్లు (3) మూడవ వికెట్కు ',' 15 వ అత్యధిక భాగస్వామ్యం (106 ) ',' నాలుగవ వికెట్కు 12 వ అత్యధిక భాగస్వామ్యం (93) ',' ఐదవ వికెట్కు 3 వ అత్యధిక భాగస్వామ్యం (83) ',' 20 వ అత్యధిక భాగస్వాములు ఆరవ వికెట్కు హిప్ (50) ',' ఏడవ వికెట్కు 3 వ అత్యధిక భాగస్వామ్యం (60) ',' 9 వ అత్యధిక మ్యాచ్లు కెరీర్లో (108) ',' ఒక జట్టు కోసం 19 వరుస మ్యాచ్లు (48) ',' 14 వ అత్యంత కెప్టెన్గా మ్యాచ్లు (38) ',' 35 వ పిన్న కాప్టెన్ (21y 355d) ']</v>
      </c>
      <c r="I6263" s="3"/>
    </row>
    <row r="6264" customHeight="1" spans="1:9">
      <c r="A6264" s="2"/>
      <c r="B6264" s="2" t="str">
        <f>IFERROR(__xludf.DUMMYFUNCTION("IF(A6264&lt;&gt;"""", GOOGLETRANSLATE(A6264, ""en"", ""te""),"""")"),"")</f>
        <v/>
      </c>
      <c r="C6264" s="2"/>
      <c r="D6264" s="2" t="str">
        <f>IFERROR(__xludf.DUMMYFUNCTION("IF(C6264&lt;&gt;"""", GOOGLETRANSLATE(C6264, ""en"", ""te""),"""")"),"")</f>
        <v/>
      </c>
      <c r="E6264" s="2"/>
      <c r="F6264" s="2" t="str">
        <f>IFERROR(__xludf.DUMMYFUNCTION("IF(E6264&lt;&gt;"""", GOOGLETRANSLATE(E6264, ""en"", ""te""),"""")"),"")</f>
        <v/>
      </c>
      <c r="G6264" s="2"/>
      <c r="H6264" s="2" t="str">
        <f>IFERROR(__xludf.DUMMYFUNCTION("IF(G6264&lt;&gt;"""", GOOGLETRANSLATE(G6264, ""en"", ""te""),"""")"),"")</f>
        <v/>
      </c>
      <c r="I6264" s="3"/>
    </row>
    <row r="6265" customHeight="1" spans="1:9">
      <c r="A6265" s="2"/>
      <c r="B6265" s="2" t="str">
        <f>IFERROR(__xludf.DUMMYFUNCTION("IF(A6265&lt;&gt;"""", GOOGLETRANSLATE(A6265, ""en"", ""te""),"""")"),"")</f>
        <v/>
      </c>
      <c r="C6265" s="2"/>
      <c r="D6265" s="2" t="str">
        <f>IFERROR(__xludf.DUMMYFUNCTION("IF(C6265&lt;&gt;"""", GOOGLETRANSLATE(C6265, ""en"", ""te""),"""")"),"")</f>
        <v/>
      </c>
      <c r="E6265" s="2"/>
      <c r="F6265" s="2" t="str">
        <f>IFERROR(__xludf.DUMMYFUNCTION("IF(E6265&lt;&gt;"""", GOOGLETRANSLATE(E6265, ""en"", ""te""),"""")"),"")</f>
        <v/>
      </c>
      <c r="G6265" s="2"/>
      <c r="H6265" s="2" t="str">
        <f>IFERROR(__xludf.DUMMYFUNCTION("IF(G6265&lt;&gt;"""", GOOGLETRANSLATE(G6265, ""en"", ""te""),"""")"),"")</f>
        <v/>
      </c>
      <c r="I6265" s="3"/>
    </row>
    <row r="6266" customHeight="1" spans="1:9">
      <c r="A6266" s="2"/>
      <c r="B6266" s="2" t="str">
        <f>IFERROR(__xludf.DUMMYFUNCTION("IF(A6266&lt;&gt;"""", GOOGLETRANSLATE(A6266, ""en"", ""te""),"""")"),"")</f>
        <v/>
      </c>
      <c r="C6266" s="2"/>
      <c r="D6266" s="2" t="str">
        <f>IFERROR(__xludf.DUMMYFUNCTION("IF(C6266&lt;&gt;"""", GOOGLETRANSLATE(C6266, ""en"", ""te""),"""")"),"")</f>
        <v/>
      </c>
      <c r="E6266" s="2"/>
      <c r="F6266" s="2" t="str">
        <f>IFERROR(__xludf.DUMMYFUNCTION("IF(E6266&lt;&gt;"""", GOOGLETRANSLATE(E6266, ""en"", ""te""),"""")"),"")</f>
        <v/>
      </c>
      <c r="G6266" s="2"/>
      <c r="H6266" s="2" t="str">
        <f>IFERROR(__xludf.DUMMYFUNCTION("IF(G6266&lt;&gt;"""", GOOGLETRANSLATE(G6266, ""en"", ""te""),"""")"),"")</f>
        <v/>
      </c>
      <c r="I6266" s="3"/>
    </row>
    <row r="6267" customHeight="1" spans="1:9">
      <c r="A6267" s="2"/>
      <c r="B6267" s="2" t="str">
        <f>IFERROR(__xludf.DUMMYFUNCTION("IF(A6267&lt;&gt;"""", GOOGLETRANSLATE(A6267, ""en"", ""te""),"""")"),"")</f>
        <v/>
      </c>
      <c r="C6267" s="2"/>
      <c r="D6267" s="2" t="str">
        <f>IFERROR(__xludf.DUMMYFUNCTION("IF(C6267&lt;&gt;"""", GOOGLETRANSLATE(C6267, ""en"", ""te""),"""")"),"")</f>
        <v/>
      </c>
      <c r="E6267" s="2"/>
      <c r="F6267" s="2" t="str">
        <f>IFERROR(__xludf.DUMMYFUNCTION("IF(E6267&lt;&gt;"""", GOOGLETRANSLATE(E6267, ""en"", ""te""),"""")"),"")</f>
        <v/>
      </c>
      <c r="G6267" s="2"/>
      <c r="H6267" s="2" t="str">
        <f>IFERROR(__xludf.DUMMYFUNCTION("IF(G6267&lt;&gt;"""", GOOGLETRANSLATE(G6267, ""en"", ""te""),"""")"),"")</f>
        <v/>
      </c>
      <c r="I6267" s="3"/>
    </row>
    <row r="6268" customHeight="1" spans="1:9">
      <c r="A6268" s="2"/>
      <c r="B6268" s="2" t="str">
        <f>IFERROR(__xludf.DUMMYFUNCTION("IF(A6268&lt;&gt;"""", GOOGLETRANSLATE(A6268, ""en"", ""te""),"""")"),"")</f>
        <v/>
      </c>
      <c r="C6268" s="2"/>
      <c r="D6268" s="2" t="str">
        <f>IFERROR(__xludf.DUMMYFUNCTION("IF(C6268&lt;&gt;"""", GOOGLETRANSLATE(C6268, ""en"", ""te""),"""")"),"")</f>
        <v/>
      </c>
      <c r="E6268" s="2"/>
      <c r="F6268" s="2" t="str">
        <f>IFERROR(__xludf.DUMMYFUNCTION("IF(E6268&lt;&gt;"""", GOOGLETRANSLATE(E6268, ""en"", ""te""),"""")"),"")</f>
        <v/>
      </c>
      <c r="G6268" s="2"/>
      <c r="H6268" s="2" t="str">
        <f>IFERROR(__xludf.DUMMYFUNCTION("IF(G6268&lt;&gt;"""", GOOGLETRANSLATE(G6268, ""en"", ""te""),"""")"),"")</f>
        <v/>
      </c>
      <c r="I6268" s="3"/>
    </row>
    <row r="6269" customHeight="1" spans="1:9">
      <c r="A6269" s="2"/>
      <c r="B6269" s="2" t="str">
        <f>IFERROR(__xludf.DUMMYFUNCTION("IF(A6269&lt;&gt;"""", GOOGLETRANSLATE(A6269, ""en"", ""te""),"""")"),"")</f>
        <v/>
      </c>
      <c r="C6269" s="2"/>
      <c r="D6269" s="2" t="str">
        <f>IFERROR(__xludf.DUMMYFUNCTION("IF(C6269&lt;&gt;"""", GOOGLETRANSLATE(C6269, ""en"", ""te""),"""")"),"")</f>
        <v/>
      </c>
      <c r="E6269" s="2"/>
      <c r="F6269" s="2" t="str">
        <f>IFERROR(__xludf.DUMMYFUNCTION("IF(E6269&lt;&gt;"""", GOOGLETRANSLATE(E6269, ""en"", ""te""),"""")"),"")</f>
        <v/>
      </c>
      <c r="G6269" s="2"/>
      <c r="H6269" s="2" t="str">
        <f>IFERROR(__xludf.DUMMYFUNCTION("IF(G6269&lt;&gt;"""", GOOGLETRANSLATE(G6269, ""en"", ""te""),"""")"),"")</f>
        <v/>
      </c>
      <c r="I6269" s="3"/>
    </row>
    <row r="6270" customHeight="1" spans="1:9">
      <c r="A6270" s="2" t="s">
        <v>3820</v>
      </c>
      <c r="B6270" s="2" t="str">
        <f>IFERROR(__xludf.DUMMYFUNCTION("IF(A6270&lt;&gt;"""", GOOGLETRANSLATE(A6270, ""en"", ""te""),"""")"),"[ 'ఇన్నింగ్స్ లో 3 వ అత్యధిక క్యాచ్లు (4)', 'ఇన్నింగ్స్ లో 3 వ అత్యంత స్టంపింగ్లు (4)', 'చాలా 5 వ బాతులు కెరీర్ లో (13)', '1st' 1st ఇన్నింగ్స్ లో (6) ఎక్కువ సార్లు అవుట్ ' ఒక ఇన్నింగ్స్ లో అత్యధిక వికెట్లు (5) ',' 1 వ ఇన్నింగ్స్ లో వచ్చిన ఎక్కువ స్టంపింగ్"&amp;"లు (4) ']")</f>
        <v>[ 'ఇన్నింగ్స్ లో 3 వ అత్యధిక క్యాచ్లు (4)', 'ఇన్నింగ్స్ లో 3 వ అత్యంత స్టంపింగ్లు (4)', 'చాలా 5 వ బాతులు కెరీర్ లో (13)', '1st' 1st ఇన్నింగ్స్ లో (6) ఎక్కువ సార్లు అవుట్ ' ఒక ఇన్నింగ్స్ లో అత్యధిక వికెట్లు (5) ',' 1 వ ఇన్నింగ్స్ లో వచ్చిన ఎక్కువ స్టంపింగ్లు (4) ']</v>
      </c>
      <c r="C6270" s="2" t="s">
        <v>3821</v>
      </c>
      <c r="D6270" s="2" t="str">
        <f>IFERROR(__xludf.DUMMYFUNCTION("IF(C6270&lt;&gt;"""", GOOGLETRANSLATE(C6270, ""en"", ""te""),"""")"),"[ '13 వ మ్యాచ్లో (5) అత్యధిక వికెట్లు']")</f>
        <v>[ '13 వ మ్యాచ్లో (5) అత్యధిక వికెట్లు']</v>
      </c>
      <c r="E6270" s="2" t="s">
        <v>3822</v>
      </c>
      <c r="F6270" s="2" t="str">
        <f>IFERROR(__xludf.DUMMYFUNCTION("IF(E6270&lt;&gt;"""", GOOGLETRANSLATE(E6270, ""en"", ""te""),"""")"),"[ 'కెరీర్లో చాలా 5 వ బాతులు (13)', '7 వ కెరీర్ లో అత్యధిక వికెట్లు (97)', '1 వ ఇన్నింగ్స్ (6) లో అత్యధిక వికెట్లు' 'వరుస 11 వ అత్యధిక వికెట్లు (16)', '9 వ అత్యంత కెరీర్లో క్యాచ్లు (51) ',' వరుస ఇన్నింగ్స్ (4) ',' 16 వ అత్యధిక క్యాచ్లు లో 3 వ అత్యధిక క్యాచ"&amp;"్లు (9) ',' 4 వ కెరీర్ స్టంపింగ్లు (46) ',' 3 వ అత్యంత ఇన్నింగ్స్ లో స్టంపింగ్లు (4) ',' 10 వ వరుస (7) అత్యంత స్టంపింగ్లు ']")</f>
        <v>[ 'కెరీర్లో చాలా 5 వ బాతులు (13)', '7 వ కెరీర్ లో అత్యధిక వికెట్లు (97)', '1 వ ఇన్నింగ్స్ (6) లో అత్యధిక వికెట్లు' 'వరుస 11 వ అత్యధిక వికెట్లు (16)', '9 వ అత్యంత కెరీర్లో క్యాచ్లు (51) ',' వరుస ఇన్నింగ్స్ (4) ',' 16 వ అత్యధిక క్యాచ్లు లో 3 వ అత్యధిక క్యాచ్లు (9) ',' 4 వ కెరీర్ స్టంపింగ్లు (46) ',' 3 వ అత్యంత ఇన్నింగ్స్ లో స్టంపింగ్లు (4) ',' 10 వ వరుస (7) అత్యంత స్టంపింగ్లు ']</v>
      </c>
      <c r="G6270" s="2" t="s">
        <v>3823</v>
      </c>
      <c r="H6270" s="2" t="str">
        <f>IFERROR(__xludf.DUMMYFUNCTION("IF(G6270&lt;&gt;"""", GOOGLETRANSLATE(G6270, ""en"", ""te""),"""")"),"[ 'కెరీర్లో 7 వ అత్యధిక వికెట్లు (50)', '1 వ ఇన్నింగ్స్ లో అత్యధిక వికెట్లు (5)', '16 వ అత్యధిక క్యాచ్లు కెరీర్లో (11)', 'కెరీర్లో 4 వ అత్యంత స్టంపింగ్లు (39)', '1 వ అత్యంత స్టంపింగ్లు ఒక ఇన్నింగ్స్ లో (4) ']")</f>
        <v>[ 'కెరీర్లో 7 వ అత్యధిక వికెట్లు (50)', '1 వ ఇన్నింగ్స్ లో అత్యధిక వికెట్లు (5)', '16 వ అత్యధిక క్యాచ్లు కెరీర్లో (11)', 'కెరీర్లో 4 వ అత్యంత స్టంపింగ్లు (39)', '1 వ అత్యంత స్టంపింగ్లు ఒక ఇన్నింగ్స్ లో (4) ']</v>
      </c>
      <c r="I6270" s="3"/>
    </row>
    <row r="6271" customHeight="1" spans="1:9">
      <c r="A6271" s="2" t="s">
        <v>3824</v>
      </c>
      <c r="B6271" s="2" t="str">
        <f>IFERROR(__xludf.DUMMYFUNCTION("IF(A6271&lt;&gt;"""", GOOGLETRANSLATE(A6271, ""en"", ""te""),"""")"),"[ '3 వ అత్యధిక కెరీర్ బ్యాటింగ్ సగటు (56.83)', 'వరుస ఇన్నింగ్స్లో 2 వ వందల (3)', '2000 పరుగులు 2 వ వేగవంతమైన (45)', '2 వ అత్యంత ప్లేయర్ ఆఫ్ ది సిరీస్ అవార్డులు (5)', 'ఒక కెప్టెన్తో ఇన్నింగ్స్ లో 4 వ అత్యధిక పరుగులు (122)', '3 వ అత్యధిక కెరీర్ బ్యాటింగ్ స"&amp;"గటు (47.32)', 'వరుస ఇన్నింగ్స్లో 3 వ యాభైల్లో (3)', '8 వ అత్యంత ఇన్నింగ్స్ తొలి డక్ ముందు (36)', ' ఒక ఇన్నింగ్స్ లో 2 వ పెద్ద ఫోర్లు (15) ',' ఫాస్టెస్ట్ 2000 పరుగులు (52) ',' చేయడానికి 1st వరుస ఇన్నింగ్స్లో 6 వ వందల (3) ']")</f>
        <v>[ '3 వ అత్యధిక కెరీర్ బ్యాటింగ్ సగటు (56.83)', 'వరుస ఇన్నింగ్స్లో 2 వ వందల (3)', '2000 పరుగులు 2 వ వేగవంతమైన (45)', '2 వ అత్యంత ప్లేయర్ ఆఫ్ ది సిరీస్ అవార్డులు (5)', 'ఒక కెప్టెన్తో ఇన్నింగ్స్ లో 4 వ అత్యధిక పరుగులు (122)', '3 వ అత్యధిక కెరీర్ బ్యాటింగ్ సగటు (47.32)', 'వరుస ఇన్నింగ్స్లో 3 వ యాభైల్లో (3)', '8 వ అత్యంత ఇన్నింగ్స్ తొలి డక్ ముందు (36)', ' ఒక ఇన్నింగ్స్ లో 2 వ పెద్ద ఫోర్లు (15) ',' ఫాస్టెస్ట్ 2000 పరుగులు (52) ',' చేయడానికి 1st వరుస ఇన్నింగ్స్లో 6 వ వందల (3) ']</v>
      </c>
      <c r="C6271" s="2" t="s">
        <v>3825</v>
      </c>
      <c r="D6271" s="2" t="str">
        <f>IFERROR(__xludf.DUMMYFUNCTION("IF(C6271&lt;&gt;"""", GOOGLETRANSLATE(C6271, ""en"", ""te""),"""")"),"[ 'వరుస మ్యాచ్లలో 21 వందల (3)', 'వరుస ఇన్నింగ్స్లో 32 వ యాభైల్లో (5)']")</f>
        <v>[ 'వరుస మ్యాచ్లలో 21 వందల (3)', 'వరుస ఇన్నింగ్స్లో 32 వ యాభైల్లో (5)']</v>
      </c>
      <c r="E6271" s="2" t="s">
        <v>3826</v>
      </c>
      <c r="F6271" s="2" t="str">
        <f>IFERROR(__xludf.DUMMYFUNCTION("IF(E6271&lt;&gt;"""", GOOGLETRANSLATE(E6271, ""en"", ""te""),"""")"),"[ '45 వ ఒక సిరీస్లో అత్యధిక పరుగులు (474)', '15 వ కెప్టెన్ ద్వారా ఒక సిరీస్లో అత్యధిక పరుగులు (449)', '3 వ అత్యధిక కెరీర్ బ్యాటింగ్ సగటు (56.83)', '33 వ ఒక వృత్తిలో అత్యధిక వందలు (13)' 'వరుస 3 వ అత్యధిక వందలు (3)', '29th ఒక క్యాలెండర్ సంవత్సరంలో అత్యధిక వ"&amp;"ందలు (4)', '39 వ ఒక జట్టు వ్యతిరేకంగా అత్యధిక వందలు (4)', 'వరుస ఇన్నింగ్స్లో 2 వ వందల (3)', ' మొదటి డక్ ముందు 31 మోస్ట్ ఇన్నింగ్స్ (35) ',' 22 వ కెరీర్ లో అతి తక్కువ బాతులు (39) ',' 1000 పరుగులు (21) కు 3 వ అత్యంత వేగంగా ',' 2nd 2000 వరకు వేగంగా పరుగులు ("&amp;"45) ',' 3000 పరుగులు 3 వ అత్యంత వేగంగా (68) ',' ఏడవ వికెట్కు 25 అత్యధిక భాగస్వామ్యం (109) ',' 45 వ అత్యంత ప్లేయర్ ఆఫ్ ది సిరీస్ అవార్డులు (3) ']")</f>
        <v>[ '45 వ ఒక సిరీస్లో అత్యధిక పరుగులు (474)', '15 వ కెప్టెన్ ద్వారా ఒక సిరీస్లో అత్యధిక పరుగులు (449)', '3 వ అత్యధిక కెరీర్ బ్యాటింగ్ సగటు (56.83)', '33 వ ఒక వృత్తిలో అత్యధిక వందలు (13)' 'వరుస 3 వ అత్యధిక వందలు (3)', '29th ఒక క్యాలెండర్ సంవత్సరంలో అత్యధిక వందలు (4)', '39 వ ఒక జట్టు వ్యతిరేకంగా అత్యధిక వందలు (4)', 'వరుస ఇన్నింగ్స్లో 2 వ వందల (3)', ' మొదటి డక్ ముందు 31 మోస్ట్ ఇన్నింగ్స్ (35) ',' 22 వ కెరీర్ లో అతి తక్కువ బాతులు (39) ',' 1000 పరుగులు (21) కు 3 వ అత్యంత వేగంగా ',' 2nd 2000 వరకు వేగంగా పరుగులు (45) ',' 3000 పరుగులు 3 వ అత్యంత వేగంగా (68) ',' ఏడవ వికెట్కు 25 అత్యధిక భాగస్వామ్యం (109) ',' 45 వ అత్యంత ప్లేయర్ ఆఫ్ ది సిరీస్ అవార్డులు (3) ']</v>
      </c>
      <c r="G6271" s="2" t="s">
        <v>3827</v>
      </c>
      <c r="H6271" s="2" t="str">
        <f>IFERROR(__xludf.DUMMYFUNCTION("IF(G6271&lt;&gt;"""", GOOGLETRANSLATE(G6271, ""en"", ""te""),"""")"),"[ '11 వ కెరీర్ లో అత్యధిక పరుగులు (2035)', '12 వ ఇన్నింగ్స్ (122) అత్యధిక పరుగులు' 'ఒక క్యాలెండర్ సంవత్సరంలో 11 వ అత్యధిక పరుగులు (563)', ఒక ఇన్నింగ్స్ లో '10 వ అత్యధిక పరుగులు (బ్యాటింగ్ స్థానంలో ప్రకారం) ( 122) ',' 16 వ పరాజయం వైపు ఒక మ్యాచ్లో అత్యధిక "&amp;"పరుగులు (90) ',' 13 వ ఒకే మైదానంలో అత్యధిక పరుగులు (371) ',' ఒక కెప్టెన్తో ఇన్నింగ్స్ లో 4 వ అత్యధిక పరుగులు (122) ',' 3 వ అత్యధిక కెరీర్ బ్యాటింగ్ సగటు (47.32) ',' కెరీర్ లో 3 వ అత్యంత అర్ధ (19) ',' మొదటి డక్ ముందు లేకుండా వరుస ఇన్నింగ్స్లో 3 వ యాభైల్ల"&amp;"ో (3) ',' 8 వ అత్యంత ఇన్నింగ్స్ (36) ',' 31 వరుస ఇన్నింగ్స్ కెరీర్లో డక్ (36) ',' 23 వ అతి తక్కువ బాతులు (26) ',' 10 వ కెరీర్ లో అత్యంత ఫోర్లు (215) ',' ఇన్నింగ్స్ లో 2 వ పెద్ద ఫోర్లు (15) ',' 19 ఒక లో ఫోర్లు, సిక్సర్లు నుండి అత్యధిక పరుగులు ఇన్నింగ్స్ (8"&amp;"4) ',' 2nd 1000 వేగవంతమైన పరుగులు (26) ',' ఫాస్టెస్ట్ 2000 పరుగులు కెరీర్లో (52) ',' 40 వ అత్యధిక క్యాచ్లు (25) ',' 46 వ అత్యధిక వాటా ఏ వికెట్కు (131 *) 1 వ ',' రెండవ వికెట్కు 13 వ అత్యధిక భాగస్వామ్యం (131 *) మూడో వికెట్కు ',' 33 వ అత్యధిక భాగస్వామ్యం (1"&amp;"03) ',' 19 వ అత్యంత ప్లేయర్ ఆఫ్-ma tch అవార్డులు (6) ',' 2 వ అత్యంత ప్లేయర్ ఆఫ్ ది సిరీస్ అవార్డులు (5) ',' 31 అత్యధిక మ్యాచ్లు కెప్టెన్గా (21) ',' 33 వ పిన్న కాప్టెన్ (25y 19d) ']")</f>
        <v>[ '11 వ కెరీర్ లో అత్యధిక పరుగులు (2035)', '12 వ ఇన్నింగ్స్ (122) అత్యధిక పరుగులు' 'ఒక క్యాలెండర్ సంవత్సరంలో 11 వ అత్యధిక పరుగులు (563)', ఒక ఇన్నింగ్స్ లో '10 వ అత్యధిక పరుగులు (బ్యాటింగ్ స్థానంలో ప్రకారం) ( 122) ',' 16 వ పరాజయం వైపు ఒక మ్యాచ్లో అత్యధిక పరుగులు (90) ',' 13 వ ఒకే మైదానంలో అత్యధిక పరుగులు (371) ',' ఒక కెప్టెన్తో ఇన్నింగ్స్ లో 4 వ అత్యధిక పరుగులు (122) ',' 3 వ అత్యధిక కెరీర్ బ్యాటింగ్ సగటు (47.32) ',' కెరీర్ లో 3 వ అత్యంత అర్ధ (19) ',' మొదటి డక్ ముందు లేకుండా వరుస ఇన్నింగ్స్లో 3 వ యాభైల్లో (3) ',' 8 వ అత్యంత ఇన్నింగ్స్ (36) ',' 31 వరుస ఇన్నింగ్స్ కెరీర్లో డక్ (36) ',' 23 వ అతి తక్కువ బాతులు (26) ',' 10 వ కెరీర్ లో అత్యంత ఫోర్లు (215) ',' ఇన్నింగ్స్ లో 2 వ పెద్ద ఫోర్లు (15) ',' 19 ఒక లో ఫోర్లు, సిక్సర్లు నుండి అత్యధిక పరుగులు ఇన్నింగ్స్ (84) ',' 2nd 1000 వేగవంతమైన పరుగులు (26) ',' ఫాస్టెస్ట్ 2000 పరుగులు కెరీర్లో (52) ',' 40 వ అత్యధిక క్యాచ్లు (25) ',' 46 వ అత్యధిక వాటా ఏ వికెట్కు (131 *) 1 వ ',' రెండవ వికెట్కు 13 వ అత్యధిక భాగస్వామ్యం (131 *) మూడో వికెట్కు ',' 33 వ అత్యధిక భాగస్వామ్యం (103) ',' 19 వ అత్యంత ప్లేయర్ ఆఫ్-ma tch అవార్డులు (6) ',' 2 వ అత్యంత ప్లేయర్ ఆఫ్ ది సిరీస్ అవార్డులు (5) ',' 31 అత్యధిక మ్యాచ్లు కెప్టెన్గా (21) ',' 33 వ పిన్న కాప్టెన్ (25y 19d) ']</v>
      </c>
      <c r="I6271" s="3"/>
    </row>
    <row r="6272" customHeight="1" spans="1:9">
      <c r="A6272" s="2"/>
      <c r="B6272" s="2" t="str">
        <f>IFERROR(__xludf.DUMMYFUNCTION("IF(A6272&lt;&gt;"""", GOOGLETRANSLATE(A6272, ""en"", ""te""),"""")"),"")</f>
        <v/>
      </c>
      <c r="C6272" s="2"/>
      <c r="D6272" s="2" t="str">
        <f>IFERROR(__xludf.DUMMYFUNCTION("IF(C6272&lt;&gt;"""", GOOGLETRANSLATE(C6272, ""en"", ""te""),"""")"),"")</f>
        <v/>
      </c>
      <c r="E6272" s="2"/>
      <c r="F6272" s="2" t="str">
        <f>IFERROR(__xludf.DUMMYFUNCTION("IF(E6272&lt;&gt;"""", GOOGLETRANSLATE(E6272, ""en"", ""te""),"""")"),"")</f>
        <v/>
      </c>
      <c r="G6272" s="2"/>
      <c r="H6272" s="2" t="str">
        <f>IFERROR(__xludf.DUMMYFUNCTION("IF(G6272&lt;&gt;"""", GOOGLETRANSLATE(G6272, ""en"", ""te""),"""")"),"")</f>
        <v/>
      </c>
      <c r="I6272" s="3"/>
    </row>
    <row r="6273" customHeight="1" spans="1:9">
      <c r="A6273" s="2"/>
      <c r="B6273" s="2" t="str">
        <f>IFERROR(__xludf.DUMMYFUNCTION("IF(A6273&lt;&gt;"""", GOOGLETRANSLATE(A6273, ""en"", ""te""),"""")"),"")</f>
        <v/>
      </c>
      <c r="C6273" s="2"/>
      <c r="D6273" s="2" t="str">
        <f>IFERROR(__xludf.DUMMYFUNCTION("IF(C6273&lt;&gt;"""", GOOGLETRANSLATE(C6273, ""en"", ""te""),"""")"),"")</f>
        <v/>
      </c>
      <c r="E6273" s="2"/>
      <c r="F6273" s="2" t="str">
        <f>IFERROR(__xludf.DUMMYFUNCTION("IF(E6273&lt;&gt;"""", GOOGLETRANSLATE(E6273, ""en"", ""te""),"""")"),"")</f>
        <v/>
      </c>
      <c r="G6273" s="2"/>
      <c r="H6273" s="2" t="str">
        <f>IFERROR(__xludf.DUMMYFUNCTION("IF(G6273&lt;&gt;"""", GOOGLETRANSLATE(G6273, ""en"", ""te""),"""")"),"")</f>
        <v/>
      </c>
      <c r="I6273" s="3"/>
    </row>
    <row r="6274" customHeight="1" spans="1:9">
      <c r="A6274" s="2"/>
      <c r="B6274" s="2" t="str">
        <f>IFERROR(__xludf.DUMMYFUNCTION("IF(A6274&lt;&gt;"""", GOOGLETRANSLATE(A6274, ""en"", ""te""),"""")"),"")</f>
        <v/>
      </c>
      <c r="C6274" s="2"/>
      <c r="D6274" s="2" t="str">
        <f>IFERROR(__xludf.DUMMYFUNCTION("IF(C6274&lt;&gt;"""", GOOGLETRANSLATE(C6274, ""en"", ""te""),"""")"),"")</f>
        <v/>
      </c>
      <c r="E6274" s="2"/>
      <c r="F6274" s="2" t="str">
        <f>IFERROR(__xludf.DUMMYFUNCTION("IF(E6274&lt;&gt;"""", GOOGLETRANSLATE(E6274, ""en"", ""te""),"""")"),"")</f>
        <v/>
      </c>
      <c r="G6274" s="2"/>
      <c r="H6274" s="2" t="str">
        <f>IFERROR(__xludf.DUMMYFUNCTION("IF(G6274&lt;&gt;"""", GOOGLETRANSLATE(G6274, ""en"", ""te""),"""")"),"")</f>
        <v/>
      </c>
      <c r="I6274" s="3"/>
    </row>
    <row r="6275" customHeight="1" spans="1:9">
      <c r="A6275" s="2"/>
      <c r="B6275" s="2" t="str">
        <f>IFERROR(__xludf.DUMMYFUNCTION("IF(A6275&lt;&gt;"""", GOOGLETRANSLATE(A6275, ""en"", ""te""),"""")"),"")</f>
        <v/>
      </c>
      <c r="C6275" s="2"/>
      <c r="D6275" s="2" t="str">
        <f>IFERROR(__xludf.DUMMYFUNCTION("IF(C6275&lt;&gt;"""", GOOGLETRANSLATE(C6275, ""en"", ""te""),"""")"),"")</f>
        <v/>
      </c>
      <c r="E6275" s="2"/>
      <c r="F6275" s="2" t="str">
        <f>IFERROR(__xludf.DUMMYFUNCTION("IF(E6275&lt;&gt;"""", GOOGLETRANSLATE(E6275, ""en"", ""te""),"""")"),"")</f>
        <v/>
      </c>
      <c r="G6275" s="2"/>
      <c r="H6275" s="2" t="str">
        <f>IFERROR(__xludf.DUMMYFUNCTION("IF(G6275&lt;&gt;"""", GOOGLETRANSLATE(G6275, ""en"", ""te""),"""")"),"")</f>
        <v/>
      </c>
      <c r="I6275" s="3"/>
    </row>
    <row r="6276" customHeight="1" spans="1:9">
      <c r="A6276" s="2"/>
      <c r="B6276" s="2" t="str">
        <f>IFERROR(__xludf.DUMMYFUNCTION("IF(A6276&lt;&gt;"""", GOOGLETRANSLATE(A6276, ""en"", ""te""),"""")"),"")</f>
        <v/>
      </c>
      <c r="C6276" s="2"/>
      <c r="D6276" s="2" t="str">
        <f>IFERROR(__xludf.DUMMYFUNCTION("IF(C6276&lt;&gt;"""", GOOGLETRANSLATE(C6276, ""en"", ""te""),"""")"),"")</f>
        <v/>
      </c>
      <c r="E6276" s="2" t="s">
        <v>3828</v>
      </c>
      <c r="F6276" s="2" t="str">
        <f>IFERROR(__xludf.DUMMYFUNCTION("IF(E6276&lt;&gt;"""", GOOGLETRANSLATE(E6276, ""en"", ""te""),"""")"),"[ '36 వ అత్యధిక పరుగులు ఇన్నింగ్స్ (93) లో సాధించిన]")</f>
        <v>[ '36 వ అత్యధిక పరుగులు ఇన్నింగ్స్ (93) లో సాధించిన]</v>
      </c>
      <c r="G6276" s="2"/>
      <c r="H6276" s="2" t="str">
        <f>IFERROR(__xludf.DUMMYFUNCTION("IF(G6276&lt;&gt;"""", GOOGLETRANSLATE(G6276, ""en"", ""te""),"""")"),"")</f>
        <v/>
      </c>
      <c r="I6276" s="3"/>
    </row>
    <row r="6277" customHeight="1" spans="1:9">
      <c r="A6277" s="2"/>
      <c r="B6277" s="2" t="str">
        <f>IFERROR(__xludf.DUMMYFUNCTION("IF(A6277&lt;&gt;"""", GOOGLETRANSLATE(A6277, ""en"", ""te""),"""")"),"")</f>
        <v/>
      </c>
      <c r="C6277" s="2"/>
      <c r="D6277" s="2" t="str">
        <f>IFERROR(__xludf.DUMMYFUNCTION("IF(C6277&lt;&gt;"""", GOOGLETRANSLATE(C6277, ""en"", ""te""),"""")"),"")</f>
        <v/>
      </c>
      <c r="E6277" s="2"/>
      <c r="F6277" s="2" t="str">
        <f>IFERROR(__xludf.DUMMYFUNCTION("IF(E6277&lt;&gt;"""", GOOGLETRANSLATE(E6277, ""en"", ""te""),"""")"),"")</f>
        <v/>
      </c>
      <c r="G6277" s="2"/>
      <c r="H6277" s="2" t="str">
        <f>IFERROR(__xludf.DUMMYFUNCTION("IF(G6277&lt;&gt;"""", GOOGLETRANSLATE(G6277, ""en"", ""te""),"""")"),"")</f>
        <v/>
      </c>
      <c r="I6277" s="3"/>
    </row>
    <row r="6278" customHeight="1" spans="1:9">
      <c r="A6278" s="2"/>
      <c r="B6278" s="2" t="str">
        <f>IFERROR(__xludf.DUMMYFUNCTION("IF(A6278&lt;&gt;"""", GOOGLETRANSLATE(A6278, ""en"", ""te""),"""")"),"")</f>
        <v/>
      </c>
      <c r="C6278" s="2"/>
      <c r="D6278" s="2" t="str">
        <f>IFERROR(__xludf.DUMMYFUNCTION("IF(C6278&lt;&gt;"""", GOOGLETRANSLATE(C6278, ""en"", ""te""),"""")"),"")</f>
        <v/>
      </c>
      <c r="E6278" s="2"/>
      <c r="F6278" s="2" t="str">
        <f>IFERROR(__xludf.DUMMYFUNCTION("IF(E6278&lt;&gt;"""", GOOGLETRANSLATE(E6278, ""en"", ""te""),"""")"),"")</f>
        <v/>
      </c>
      <c r="G6278" s="2"/>
      <c r="H6278" s="2" t="str">
        <f>IFERROR(__xludf.DUMMYFUNCTION("IF(G6278&lt;&gt;"""", GOOGLETRANSLATE(G6278, ""en"", ""te""),"""")"),"")</f>
        <v/>
      </c>
      <c r="I6278" s="3"/>
    </row>
    <row r="6279" customHeight="1" spans="1:9">
      <c r="A6279" s="2"/>
      <c r="B6279" s="2" t="str">
        <f>IFERROR(__xludf.DUMMYFUNCTION("IF(A6279&lt;&gt;"""", GOOGLETRANSLATE(A6279, ""en"", ""te""),"""")"),"")</f>
        <v/>
      </c>
      <c r="C6279" s="2"/>
      <c r="D6279" s="2" t="str">
        <f>IFERROR(__xludf.DUMMYFUNCTION("IF(C6279&lt;&gt;"""", GOOGLETRANSLATE(C6279, ""en"", ""te""),"""")"),"")</f>
        <v/>
      </c>
      <c r="E6279" s="2"/>
      <c r="F6279" s="2" t="str">
        <f>IFERROR(__xludf.DUMMYFUNCTION("IF(E6279&lt;&gt;"""", GOOGLETRANSLATE(E6279, ""en"", ""te""),"""")"),"")</f>
        <v/>
      </c>
      <c r="G6279" s="2"/>
      <c r="H6279" s="2" t="str">
        <f>IFERROR(__xludf.DUMMYFUNCTION("IF(G6279&lt;&gt;"""", GOOGLETRANSLATE(G6279, ""en"", ""te""),"""")"),"")</f>
        <v/>
      </c>
      <c r="I6279" s="3"/>
    </row>
    <row r="6280" customHeight="1" spans="1:9">
      <c r="A6280" s="2" t="s">
        <v>3829</v>
      </c>
      <c r="B6280" s="2" t="str">
        <f>IFERROR(__xludf.DUMMYFUNCTION("IF(A6280&lt;&gt;"""", GOOGLETRANSLATE(A6280, ""en"", ""te""),"""")"),"[ 'ఇన్నింగ్స్ లో 2 వ అత్యధిక పరుగులు (బ్యాటింగ్ స్థానంలో ప్రకారం) (35 *)', '2 వ వరుస బాతులు (4)', '6 వ చెత్త కెరీర్లో ఆర్థిక రేటు (4.83)', '1 వ వరుస బాతులు (3)']")</f>
        <v>[ 'ఇన్నింగ్స్ లో 2 వ అత్యధిక పరుగులు (బ్యాటింగ్ స్థానంలో ప్రకారం) (35 *)', '2 వ వరుస బాతులు (4)', '6 వ చెత్త కెరీర్లో ఆర్థిక రేటు (4.83)', '1 వ వరుస బాతులు (3)']</v>
      </c>
      <c r="C6280" s="2"/>
      <c r="D6280" s="2" t="str">
        <f>IFERROR(__xludf.DUMMYFUNCTION("IF(C6280&lt;&gt;"""", GOOGLETRANSLATE(C6280, ""en"", ""te""),"""")"),"")</f>
        <v/>
      </c>
      <c r="E6280" s="2" t="s">
        <v>3830</v>
      </c>
      <c r="F6280" s="2" t="str">
        <f>IFERROR(__xludf.DUMMYFUNCTION("IF(E6280&lt;&gt;"""", GOOGLETRANSLATE(E6280, ""en"", ""te""),"""")"),"[ 'ఇన్నింగ్స్ లో 2 వ అత్యధిక పరుగులు (బ్యాటింగ్ స్థానంలో ప్రకారం) (35 *)', '2 వ వరుస బాతులు (4)', '11 వ ఒక ఇన్నింగ్స్ లోని బెస్ట్ ఫిగర్స్ ఉన్నప్పుడు పరాజయం వైపు (4)', '32 వ ఉత్తమ కెరీర్ సమ్మె రేటు (34.5) ',' 6 వ చెత్త కెరీర్లో ఆర్థిక రేటు (4.83) ']")</f>
        <v>[ 'ఇన్నింగ్స్ లో 2 వ అత్యధిక పరుగులు (బ్యాటింగ్ స్థానంలో ప్రకారం) (35 *)', '2 వ వరుస బాతులు (4)', '11 వ ఒక ఇన్నింగ్స్ లోని బెస్ట్ ఫిగర్స్ ఉన్నప్పుడు పరాజయం వైపు (4)', '32 వ ఉత్తమ కెరీర్ సమ్మె రేటు (34.5) ',' 6 వ చెత్త కెరీర్లో ఆర్థిక రేటు (4.83) ']</v>
      </c>
      <c r="G6280" s="2" t="s">
        <v>435</v>
      </c>
      <c r="H6280" s="2" t="str">
        <f>IFERROR(__xludf.DUMMYFUNCTION("IF(G6280&lt;&gt;"""", GOOGLETRANSLATE(G6280, ""en"", ""te""),"""")"),"[ '1st వరుస బాతులు (3)']")</f>
        <v>[ '1st వరుస బాతులు (3)']</v>
      </c>
      <c r="I6280" s="3"/>
    </row>
    <row r="6281" customHeight="1" spans="1:9">
      <c r="A6281" s="2"/>
      <c r="B6281" s="2" t="str">
        <f>IFERROR(__xludf.DUMMYFUNCTION("IF(A6281&lt;&gt;"""", GOOGLETRANSLATE(A6281, ""en"", ""te""),"""")"),"")</f>
        <v/>
      </c>
      <c r="C6281" s="2"/>
      <c r="D6281" s="2" t="str">
        <f>IFERROR(__xludf.DUMMYFUNCTION("IF(C6281&lt;&gt;"""", GOOGLETRANSLATE(C6281, ""en"", ""te""),"""")"),"")</f>
        <v/>
      </c>
      <c r="E6281" s="2"/>
      <c r="F6281" s="2" t="str">
        <f>IFERROR(__xludf.DUMMYFUNCTION("IF(E6281&lt;&gt;"""", GOOGLETRANSLATE(E6281, ""en"", ""te""),"""")"),"")</f>
        <v/>
      </c>
      <c r="G6281" s="2"/>
      <c r="H6281" s="2" t="str">
        <f>IFERROR(__xludf.DUMMYFUNCTION("IF(G6281&lt;&gt;"""", GOOGLETRANSLATE(G6281, ""en"", ""te""),"""")"),"")</f>
        <v/>
      </c>
      <c r="I6281" s="3"/>
    </row>
    <row r="6282" customHeight="1" spans="1:9">
      <c r="A6282" s="2"/>
      <c r="B6282" s="2" t="str">
        <f>IFERROR(__xludf.DUMMYFUNCTION("IF(A6282&lt;&gt;"""", GOOGLETRANSLATE(A6282, ""en"", ""te""),"""")"),"")</f>
        <v/>
      </c>
      <c r="C6282" s="2"/>
      <c r="D6282" s="2" t="str">
        <f>IFERROR(__xludf.DUMMYFUNCTION("IF(C6282&lt;&gt;"""", GOOGLETRANSLATE(C6282, ""en"", ""te""),"""")"),"")</f>
        <v/>
      </c>
      <c r="E6282" s="2"/>
      <c r="F6282" s="2" t="str">
        <f>IFERROR(__xludf.DUMMYFUNCTION("IF(E6282&lt;&gt;"""", GOOGLETRANSLATE(E6282, ""en"", ""te""),"""")"),"")</f>
        <v/>
      </c>
      <c r="G6282" s="2"/>
      <c r="H6282" s="2" t="str">
        <f>IFERROR(__xludf.DUMMYFUNCTION("IF(G6282&lt;&gt;"""", GOOGLETRANSLATE(G6282, ""en"", ""te""),"""")"),"")</f>
        <v/>
      </c>
      <c r="I6282" s="3"/>
    </row>
    <row r="6283" customHeight="1" spans="1:9">
      <c r="A6283" s="2"/>
      <c r="B6283" s="2" t="str">
        <f>IFERROR(__xludf.DUMMYFUNCTION("IF(A6283&lt;&gt;"""", GOOGLETRANSLATE(A6283, ""en"", ""te""),"""")"),"")</f>
        <v/>
      </c>
      <c r="C6283" s="2"/>
      <c r="D6283" s="2" t="str">
        <f>IFERROR(__xludf.DUMMYFUNCTION("IF(C6283&lt;&gt;"""", GOOGLETRANSLATE(C6283, ""en"", ""te""),"""")"),"")</f>
        <v/>
      </c>
      <c r="E6283" s="2"/>
      <c r="F6283" s="2" t="str">
        <f>IFERROR(__xludf.DUMMYFUNCTION("IF(E6283&lt;&gt;"""", GOOGLETRANSLATE(E6283, ""en"", ""te""),"""")"),"")</f>
        <v/>
      </c>
      <c r="G6283" s="2"/>
      <c r="H6283" s="2" t="str">
        <f>IFERROR(__xludf.DUMMYFUNCTION("IF(G6283&lt;&gt;"""", GOOGLETRANSLATE(G6283, ""en"", ""te""),"""")"),"")</f>
        <v/>
      </c>
      <c r="I6283" s="3"/>
    </row>
    <row r="6284" customHeight="1" spans="1:9">
      <c r="A6284" s="2" t="s">
        <v>3831</v>
      </c>
      <c r="B6284" s="2" t="str">
        <f>IFERROR(__xludf.DUMMYFUNCTION("IF(A6284&lt;&gt;"""", GOOGLETRANSLATE(A6284, ""en"", ""te""),"""")"),"[ '4 వ అత్యధిక వరుస బాతులు (4)', '10 వ అత్యుత్తమ బౌలింగ్ ఇన్నింగ్స్ లో విశ్లేషించడం (3/6)', '7 వ అత్యధిక వికెట్లు తీసుకున్న స్టంప్ (19)', '4 వ అత్యధిక వరుస బాతులు (4)']")</f>
        <v>[ '4 వ అత్యధిక వరుస బాతులు (4)', '10 వ అత్యుత్తమ బౌలింగ్ ఇన్నింగ్స్ లో విశ్లేషించడం (3/6)', '7 వ అత్యధిక వికెట్లు తీసుకున్న స్టంప్ (19)', '4 వ అత్యధిక వరుస బాతులు (4)']</v>
      </c>
      <c r="C6284" s="2" t="s">
        <v>3832</v>
      </c>
      <c r="D6284" s="2" t="str">
        <f>IFERROR(__xludf.DUMMYFUNCTION("IF(C6284&lt;&gt;"""", GOOGLETRANSLATE(C6284, ""en"", ""te""),"""")"),"[ '12 వ కెరీర్ బాతులు (25)', '4 వ అత్యధిక వరుస బాతులు (4)', '41 వ అత్యధిక వికెట్లు కెరీర్లో (261)', 'ఇన్నింగ్స్ లో 10 వ అత్యుత్తమ బౌలింగ్ విశ్లేషణలు (3/6)', '24 వ ఒక ఇన్నింగ్స్ లోని బెస్ట్ ఫిగర్స్ ఉన్నప్పుడు పరాజయం వైపు (7) ',' 13 వ చెత్త ఆర్థిక వ్యవస్థ "&amp;"ఇన్నింగ్స్లో రేటు (6.90) ',' 38 వ అత్యంత ఐదు-వికెట్ల లో-ఒక-ఇన్నింగ్స్ కెరీర్లో (15) ',' 15 వ ',' పది వికెట్లు లో ఒక మ్యాచ్ (20y 256d) తీసుకోవాలని పిన్న ఆటగాడు 32 వ కెరీర్ లో బౌల్డ్ చాలా బంతుల్లో (17697) ',' 25 వ కెరీర్ లో సాధించిన అత్యధిక పరుగులు (9082) '"&amp;",' 44 వ అత్యధిక పరుగులు ఒక లో సాధించిన ఇన్నింగ్స్ (194) ',' 36 వ అత్యధిక పరుగులు ఒక మ్యాచ్లో సాధించిన (264) ',' 47 వ బౌలర్ / ఫీల్డర్ కలయికలు (39) ',' 45 వ అత్యధిక వికెట్లు తీసుకున్న క్యాచ్ (158) ',' 13 వ అత్యధిక వికెట్లు క్యాచ్ మరియు బౌల్డ్ తీసుకోకూడదు ( "&amp;"11) ',' 33 వ అత్యధిక వికెట్లు వేగవంతమైన 100 వికెట్లు (23) ',' 27th 150 వికెట్లు (35) వేగంగా 'ఒక ఫీల్డర్ (126)', '7 వ అత్యధిక వికెట్లు తీసుకున్న స్టంప్ (19)', '37 వ పట్టుకుంటే తీసుకున్న '200 వికెట్లు వేగంగా 27 వ (47)', '15 వ 250 వికెట్లు వేగంగా (57)']")</f>
        <v>[ '12 వ కెరీర్ బాతులు (25)', '4 వ అత్యధిక వరుస బాతులు (4)', '41 వ అత్యధిక వికెట్లు కెరీర్లో (261)', 'ఇన్నింగ్స్ లో 10 వ అత్యుత్తమ బౌలింగ్ విశ్లేషణలు (3/6)', '24 వ ఒక ఇన్నింగ్స్ లోని బెస్ట్ ఫిగర్స్ ఉన్నప్పుడు పరాజయం వైపు (7) ',' 13 వ చెత్త ఆర్థిక వ్యవస్థ ఇన్నింగ్స్లో రేటు (6.90) ',' 38 వ అత్యంత ఐదు-వికెట్ల లో-ఒక-ఇన్నింగ్స్ కెరీర్లో (15) ',' 15 వ ',' పది వికెట్లు లో ఒక మ్యాచ్ (20y 256d) తీసుకోవాలని పిన్న ఆటగాడు 32 వ కెరీర్ లో బౌల్డ్ చాలా బంతుల్లో (17697) ',' 25 వ కెరీర్ లో సాధించిన అత్యధిక పరుగులు (9082) ',' 44 వ అత్యధిక పరుగులు ఒక లో సాధించిన ఇన్నింగ్స్ (194) ',' 36 వ అత్యధిక పరుగులు ఒక మ్యాచ్లో సాధించిన (264) ',' 47 వ బౌలర్ / ఫీల్డర్ కలయికలు (39) ',' 45 వ అత్యధిక వికెట్లు తీసుకున్న క్యాచ్ (158) ',' 13 వ అత్యధిక వికెట్లు క్యాచ్ మరియు బౌల్డ్ తీసుకోకూడదు ( 11) ',' 33 వ అత్యధిక వికెట్లు వేగవంతమైన 100 వికెట్లు (23) ',' 27th 150 వికెట్లు (35) వేగంగా 'ఒక ఫీల్డర్ (126)', '7 వ అత్యధిక వికెట్లు తీసుకున్న స్టంప్ (19)', '37 వ పట్టుకుంటే తీసుకున్న '200 వికెట్లు వేగంగా 27 వ (47)', '15 వ 250 వికెట్లు వేగంగా (57)']</v>
      </c>
      <c r="E6284" s="2"/>
      <c r="F6284" s="2" t="str">
        <f>IFERROR(__xludf.DUMMYFUNCTION("IF(E6284&lt;&gt;"""", GOOGLETRANSLATE(E6284, ""en"", ""te""),"""")"),"")</f>
        <v/>
      </c>
      <c r="G6284" s="2"/>
      <c r="H6284" s="2" t="str">
        <f>IFERROR(__xludf.DUMMYFUNCTION("IF(G6284&lt;&gt;"""", GOOGLETRANSLATE(G6284, ""en"", ""te""),"""")"),"")</f>
        <v/>
      </c>
      <c r="I6284" s="3"/>
    </row>
    <row r="6285" customHeight="1" spans="1:9">
      <c r="A6285" s="2"/>
      <c r="B6285" s="2" t="str">
        <f>IFERROR(__xludf.DUMMYFUNCTION("IF(A6285&lt;&gt;"""", GOOGLETRANSLATE(A6285, ""en"", ""te""),"""")"),"")</f>
        <v/>
      </c>
      <c r="C6285" s="2"/>
      <c r="D6285" s="2" t="str">
        <f>IFERROR(__xludf.DUMMYFUNCTION("IF(C6285&lt;&gt;"""", GOOGLETRANSLATE(C6285, ""en"", ""te""),"""")"),"")</f>
        <v/>
      </c>
      <c r="E6285" s="2"/>
      <c r="F6285" s="2" t="str">
        <f>IFERROR(__xludf.DUMMYFUNCTION("IF(E6285&lt;&gt;"""", GOOGLETRANSLATE(E6285, ""en"", ""te""),"""")"),"")</f>
        <v/>
      </c>
      <c r="G6285" s="2"/>
      <c r="H6285" s="2" t="str">
        <f>IFERROR(__xludf.DUMMYFUNCTION("IF(G6285&lt;&gt;"""", GOOGLETRANSLATE(G6285, ""en"", ""te""),"""")"),"")</f>
        <v/>
      </c>
      <c r="I6285" s="3"/>
    </row>
    <row r="6286" customHeight="1" spans="1:9">
      <c r="A6286" s="2"/>
      <c r="B6286" s="2" t="str">
        <f>IFERROR(__xludf.DUMMYFUNCTION("IF(A6286&lt;&gt;"""", GOOGLETRANSLATE(A6286, ""en"", ""te""),"""")"),"")</f>
        <v/>
      </c>
      <c r="C6286" s="2"/>
      <c r="D6286" s="2" t="str">
        <f>IFERROR(__xludf.DUMMYFUNCTION("IF(C6286&lt;&gt;"""", GOOGLETRANSLATE(C6286, ""en"", ""te""),"""")"),"")</f>
        <v/>
      </c>
      <c r="E6286" s="2"/>
      <c r="F6286" s="2" t="str">
        <f>IFERROR(__xludf.DUMMYFUNCTION("IF(E6286&lt;&gt;"""", GOOGLETRANSLATE(E6286, ""en"", ""te""),"""")"),"")</f>
        <v/>
      </c>
      <c r="G6286" s="2"/>
      <c r="H6286" s="2" t="str">
        <f>IFERROR(__xludf.DUMMYFUNCTION("IF(G6286&lt;&gt;"""", GOOGLETRANSLATE(G6286, ""en"", ""te""),"""")"),"")</f>
        <v/>
      </c>
      <c r="I6286" s="3"/>
    </row>
    <row r="6287" customHeight="1" spans="1:9">
      <c r="A6287" s="2"/>
      <c r="B6287" s="2" t="str">
        <f>IFERROR(__xludf.DUMMYFUNCTION("IF(A6287&lt;&gt;"""", GOOGLETRANSLATE(A6287, ""en"", ""te""),"""")"),"")</f>
        <v/>
      </c>
      <c r="C6287" s="2"/>
      <c r="D6287" s="2" t="str">
        <f>IFERROR(__xludf.DUMMYFUNCTION("IF(C6287&lt;&gt;"""", GOOGLETRANSLATE(C6287, ""en"", ""te""),"""")"),"")</f>
        <v/>
      </c>
      <c r="E6287" s="2"/>
      <c r="F6287" s="2" t="str">
        <f>IFERROR(__xludf.DUMMYFUNCTION("IF(E6287&lt;&gt;"""", GOOGLETRANSLATE(E6287, ""en"", ""te""),"""")"),"")</f>
        <v/>
      </c>
      <c r="G6287" s="2"/>
      <c r="H6287" s="2" t="str">
        <f>IFERROR(__xludf.DUMMYFUNCTION("IF(G6287&lt;&gt;"""", GOOGLETRANSLATE(G6287, ""en"", ""te""),"""")"),"")</f>
        <v/>
      </c>
      <c r="I6287" s="3"/>
    </row>
    <row r="6288" customHeight="1" spans="1:9">
      <c r="A6288" s="2"/>
      <c r="B6288" s="2" t="str">
        <f>IFERROR(__xludf.DUMMYFUNCTION("IF(A6288&lt;&gt;"""", GOOGLETRANSLATE(A6288, ""en"", ""te""),"""")"),"")</f>
        <v/>
      </c>
      <c r="C6288" s="2"/>
      <c r="D6288" s="2" t="str">
        <f>IFERROR(__xludf.DUMMYFUNCTION("IF(C6288&lt;&gt;"""", GOOGLETRANSLATE(C6288, ""en"", ""te""),"""")"),"")</f>
        <v/>
      </c>
      <c r="E6288" s="2"/>
      <c r="F6288" s="2" t="str">
        <f>IFERROR(__xludf.DUMMYFUNCTION("IF(E6288&lt;&gt;"""", GOOGLETRANSLATE(E6288, ""en"", ""te""),"""")"),"")</f>
        <v/>
      </c>
      <c r="G6288" s="2"/>
      <c r="H6288" s="2" t="str">
        <f>IFERROR(__xludf.DUMMYFUNCTION("IF(G6288&lt;&gt;"""", GOOGLETRANSLATE(G6288, ""en"", ""te""),"""")"),"")</f>
        <v/>
      </c>
      <c r="I6288" s="3"/>
    </row>
    <row r="6289" customHeight="1" spans="1:9">
      <c r="A6289" s="2"/>
      <c r="B6289" s="2" t="str">
        <f>IFERROR(__xludf.DUMMYFUNCTION("IF(A6289&lt;&gt;"""", GOOGLETRANSLATE(A6289, ""en"", ""te""),"""")"),"")</f>
        <v/>
      </c>
      <c r="C6289" s="2"/>
      <c r="D6289" s="2" t="str">
        <f>IFERROR(__xludf.DUMMYFUNCTION("IF(C6289&lt;&gt;"""", GOOGLETRANSLATE(C6289, ""en"", ""te""),"""")"),"")</f>
        <v/>
      </c>
      <c r="E6289" s="2"/>
      <c r="F6289" s="2" t="str">
        <f>IFERROR(__xludf.DUMMYFUNCTION("IF(E6289&lt;&gt;"""", GOOGLETRANSLATE(E6289, ""en"", ""te""),"""")"),"")</f>
        <v/>
      </c>
      <c r="G6289" s="2"/>
      <c r="H6289" s="2" t="str">
        <f>IFERROR(__xludf.DUMMYFUNCTION("IF(G6289&lt;&gt;"""", GOOGLETRANSLATE(G6289, ""en"", ""te""),"""")"),"")</f>
        <v/>
      </c>
      <c r="I6289" s="3"/>
    </row>
    <row r="6290" customHeight="1" spans="1:9">
      <c r="A6290" s="2"/>
      <c r="B6290" s="2" t="str">
        <f>IFERROR(__xludf.DUMMYFUNCTION("IF(A6290&lt;&gt;"""", GOOGLETRANSLATE(A6290, ""en"", ""te""),"""")"),"")</f>
        <v/>
      </c>
      <c r="C6290" s="2"/>
      <c r="D6290" s="2" t="str">
        <f>IFERROR(__xludf.DUMMYFUNCTION("IF(C6290&lt;&gt;"""", GOOGLETRANSLATE(C6290, ""en"", ""te""),"""")"),"")</f>
        <v/>
      </c>
      <c r="E6290" s="2"/>
      <c r="F6290" s="2" t="str">
        <f>IFERROR(__xludf.DUMMYFUNCTION("IF(E6290&lt;&gt;"""", GOOGLETRANSLATE(E6290, ""en"", ""te""),"""")"),"")</f>
        <v/>
      </c>
      <c r="G6290" s="2"/>
      <c r="H6290" s="2" t="str">
        <f>IFERROR(__xludf.DUMMYFUNCTION("IF(G6290&lt;&gt;"""", GOOGLETRANSLATE(G6290, ""en"", ""te""),"""")"),"")</f>
        <v/>
      </c>
      <c r="I6290" s="3"/>
    </row>
    <row r="6291" customHeight="1" spans="1:9">
      <c r="A6291" s="2"/>
      <c r="B6291" s="2" t="str">
        <f>IFERROR(__xludf.DUMMYFUNCTION("IF(A6291&lt;&gt;"""", GOOGLETRANSLATE(A6291, ""en"", ""te""),"""")"),"")</f>
        <v/>
      </c>
      <c r="C6291" s="2"/>
      <c r="D6291" s="2" t="str">
        <f>IFERROR(__xludf.DUMMYFUNCTION("IF(C6291&lt;&gt;"""", GOOGLETRANSLATE(C6291, ""en"", ""te""),"""")"),"")</f>
        <v/>
      </c>
      <c r="E6291" s="2"/>
      <c r="F6291" s="2" t="str">
        <f>IFERROR(__xludf.DUMMYFUNCTION("IF(E6291&lt;&gt;"""", GOOGLETRANSLATE(E6291, ""en"", ""te""),"""")"),"")</f>
        <v/>
      </c>
      <c r="G6291" s="2"/>
      <c r="H6291" s="2" t="str">
        <f>IFERROR(__xludf.DUMMYFUNCTION("IF(G6291&lt;&gt;"""", GOOGLETRANSLATE(G6291, ""en"", ""te""),"""")"),"")</f>
        <v/>
      </c>
      <c r="I6291" s="3"/>
    </row>
    <row r="6292" customHeight="1" spans="1:9">
      <c r="A6292" s="2"/>
      <c r="B6292" s="2" t="str">
        <f>IFERROR(__xludf.DUMMYFUNCTION("IF(A6292&lt;&gt;"""", GOOGLETRANSLATE(A6292, ""en"", ""te""),"""")"),"")</f>
        <v/>
      </c>
      <c r="C6292" s="2"/>
      <c r="D6292" s="2" t="str">
        <f>IFERROR(__xludf.DUMMYFUNCTION("IF(C6292&lt;&gt;"""", GOOGLETRANSLATE(C6292, ""en"", ""te""),"""")"),"")</f>
        <v/>
      </c>
      <c r="E6292" s="2"/>
      <c r="F6292" s="2" t="str">
        <f>IFERROR(__xludf.DUMMYFUNCTION("IF(E6292&lt;&gt;"""", GOOGLETRANSLATE(E6292, ""en"", ""te""),"""")"),"")</f>
        <v/>
      </c>
      <c r="G6292" s="2"/>
      <c r="H6292" s="2" t="str">
        <f>IFERROR(__xludf.DUMMYFUNCTION("IF(G6292&lt;&gt;"""", GOOGLETRANSLATE(G6292, ""en"", ""te""),"""")"),"")</f>
        <v/>
      </c>
      <c r="I6292" s="3"/>
    </row>
    <row r="6293" customHeight="1" spans="1:9">
      <c r="A6293" s="2" t="s">
        <v>3833</v>
      </c>
      <c r="B6293" s="2" t="str">
        <f>IFERROR(__xludf.DUMMYFUNCTION("IF(A6293&lt;&gt;"""", GOOGLETRANSLATE(A6293, ""en"", ""te""),"""")"),"[ '7th వరుస మ్యాచ్లు ప్రదర్శనల మధ్య బృందం (88) కోసం తప్పిన', 'హండ్రెడ్ తొలి (168)', 'ఎనిమిదవ వికెట్ (100) 9 వ అత్యధిక భాగస్వామ్యం']")</f>
        <v>[ '7th వరుస మ్యాచ్లు ప్రదర్శనల మధ్య బృందం (88) కోసం తప్పిన', 'హండ్రెడ్ తొలి (168)', 'ఎనిమిదవ వికెట్ (100) 9 వ అత్యధిక భాగస్వామ్యం']</v>
      </c>
      <c r="C6293" s="2" t="s">
        <v>3834</v>
      </c>
      <c r="D6293" s="2" t="str">
        <f>IFERROR(__xludf.DUMMYFUNCTION("IF(C6293&lt;&gt;"""", GOOGLETRANSLATE(C6293, ""en"", ""te""),"""")"),"[ '20 వ తొలి మ్యాచ్లో అత్యధిక పరుగులు (184)', 'ప్రదర్శనల మధ్య 20 వ లాంగెస్ట్ వ్యవధిలో (10y 259d)', '7 వ వరుస మ్యాచ్లు ప్రదర్శనల మధ్య బృందం (88) కోసం తప్పిన']")</f>
        <v>[ '20 వ తొలి మ్యాచ్లో అత్యధిక పరుగులు (184)', 'ప్రదర్శనల మధ్య 20 వ లాంగెస్ట్ వ్యవధిలో (10y 259d)', '7 వ వరుస మ్యాచ్లు ప్రదర్శనల మధ్య బృందం (88) కోసం తప్పిన']</v>
      </c>
      <c r="E6293" s="2" t="s">
        <v>3835</v>
      </c>
      <c r="F6293" s="2" t="str">
        <f>IFERROR(__xludf.DUMMYFUNCTION("IF(E6293&lt;&gt;"""", GOOGLETRANSLATE(E6293, ""en"", ""te""),"""")"),"[ 'ఆరవ వికెట్కు 18 అత్యధిక భాగస్వామ్యం (147)', 'ఎనిమిదవ వికెట్ (100) 9 వ అత్యధిక భాగస్వామ్యం']")</f>
        <v>[ 'ఆరవ వికెట్కు 18 అత్యధిక భాగస్వామ్యం (147)', 'ఎనిమిదవ వికెట్ (100) 9 వ అత్యధిక భాగస్వామ్యం']</v>
      </c>
      <c r="G6293" s="2" t="s">
        <v>3836</v>
      </c>
      <c r="H6293" s="2" t="str">
        <f>IFERROR(__xludf.DUMMYFUNCTION("IF(G6293&lt;&gt;"""", GOOGLETRANSLATE(G6293, ""en"", ""te""),"""")"),"[ '49 వ అత్యంత ఇన్నింగ్స్ తొలి డక్ ముందు (15)', 'ఇన్నింగ్స్ లో 17 వ అత్యుత్తమ బౌలింగ్ విశ్లేషణలు (3/7)']")</f>
        <v>[ '49 వ అత్యంత ఇన్నింగ్స్ తొలి డక్ ముందు (15)', 'ఇన్నింగ్స్ లో 17 వ అత్యుత్తమ బౌలింగ్ విశ్లేషణలు (3/7)']</v>
      </c>
      <c r="I6293" s="3"/>
    </row>
    <row r="6294" customHeight="1" spans="1:9">
      <c r="A6294" s="2"/>
      <c r="B6294" s="2" t="str">
        <f>IFERROR(__xludf.DUMMYFUNCTION("IF(A6294&lt;&gt;"""", GOOGLETRANSLATE(A6294, ""en"", ""te""),"""")"),"")</f>
        <v/>
      </c>
      <c r="C6294" s="2"/>
      <c r="D6294" s="2" t="str">
        <f>IFERROR(__xludf.DUMMYFUNCTION("IF(C6294&lt;&gt;"""", GOOGLETRANSLATE(C6294, ""en"", ""te""),"""")"),"")</f>
        <v/>
      </c>
      <c r="E6294" s="2"/>
      <c r="F6294" s="2" t="str">
        <f>IFERROR(__xludf.DUMMYFUNCTION("IF(E6294&lt;&gt;"""", GOOGLETRANSLATE(E6294, ""en"", ""te""),"""")"),"")</f>
        <v/>
      </c>
      <c r="G6294" s="2"/>
      <c r="H6294" s="2" t="str">
        <f>IFERROR(__xludf.DUMMYFUNCTION("IF(G6294&lt;&gt;"""", GOOGLETRANSLATE(G6294, ""en"", ""te""),"""")"),"")</f>
        <v/>
      </c>
      <c r="I6294" s="3"/>
    </row>
    <row r="6295" customHeight="1" spans="1:9">
      <c r="A6295" s="2"/>
      <c r="B6295" s="2" t="str">
        <f>IFERROR(__xludf.DUMMYFUNCTION("IF(A6295&lt;&gt;"""", GOOGLETRANSLATE(A6295, ""en"", ""te""),"""")"),"")</f>
        <v/>
      </c>
      <c r="C6295" s="2"/>
      <c r="D6295" s="2" t="str">
        <f>IFERROR(__xludf.DUMMYFUNCTION("IF(C6295&lt;&gt;"""", GOOGLETRANSLATE(C6295, ""en"", ""te""),"""")"),"")</f>
        <v/>
      </c>
      <c r="E6295" s="2"/>
      <c r="F6295" s="2" t="str">
        <f>IFERROR(__xludf.DUMMYFUNCTION("IF(E6295&lt;&gt;"""", GOOGLETRANSLATE(E6295, ""en"", ""te""),"""")"),"")</f>
        <v/>
      </c>
      <c r="G6295" s="2"/>
      <c r="H6295" s="2" t="str">
        <f>IFERROR(__xludf.DUMMYFUNCTION("IF(G6295&lt;&gt;"""", GOOGLETRANSLATE(G6295, ""en"", ""te""),"""")"),"")</f>
        <v/>
      </c>
      <c r="I6295" s="3"/>
    </row>
    <row r="6296" customHeight="1" spans="1:9">
      <c r="A6296" s="2"/>
      <c r="B6296" s="2" t="str">
        <f>IFERROR(__xludf.DUMMYFUNCTION("IF(A6296&lt;&gt;"""", GOOGLETRANSLATE(A6296, ""en"", ""te""),"""")"),"")</f>
        <v/>
      </c>
      <c r="C6296" s="2"/>
      <c r="D6296" s="2" t="str">
        <f>IFERROR(__xludf.DUMMYFUNCTION("IF(C6296&lt;&gt;"""", GOOGLETRANSLATE(C6296, ""en"", ""te""),"""")"),"")</f>
        <v/>
      </c>
      <c r="E6296" s="2"/>
      <c r="F6296" s="2" t="str">
        <f>IFERROR(__xludf.DUMMYFUNCTION("IF(E6296&lt;&gt;"""", GOOGLETRANSLATE(E6296, ""en"", ""te""),"""")"),"")</f>
        <v/>
      </c>
      <c r="G6296" s="2"/>
      <c r="H6296" s="2" t="str">
        <f>IFERROR(__xludf.DUMMYFUNCTION("IF(G6296&lt;&gt;"""", GOOGLETRANSLATE(G6296, ""en"", ""te""),"""")"),"")</f>
        <v/>
      </c>
      <c r="I6296" s="3"/>
    </row>
    <row r="6297" customHeight="1" spans="1:9">
      <c r="A6297" s="2"/>
      <c r="B6297" s="2" t="str">
        <f>IFERROR(__xludf.DUMMYFUNCTION("IF(A6297&lt;&gt;"""", GOOGLETRANSLATE(A6297, ""en"", ""te""),"""")"),"")</f>
        <v/>
      </c>
      <c r="C6297" s="2"/>
      <c r="D6297" s="2" t="str">
        <f>IFERROR(__xludf.DUMMYFUNCTION("IF(C6297&lt;&gt;"""", GOOGLETRANSLATE(C6297, ""en"", ""te""),"""")"),"")</f>
        <v/>
      </c>
      <c r="E6297" s="2"/>
      <c r="F6297" s="2" t="str">
        <f>IFERROR(__xludf.DUMMYFUNCTION("IF(E6297&lt;&gt;"""", GOOGLETRANSLATE(E6297, ""en"", ""te""),"""")"),"")</f>
        <v/>
      </c>
      <c r="G6297" s="2"/>
      <c r="H6297" s="2" t="str">
        <f>IFERROR(__xludf.DUMMYFUNCTION("IF(G6297&lt;&gt;"""", GOOGLETRANSLATE(G6297, ""en"", ""te""),"""")"),"")</f>
        <v/>
      </c>
      <c r="I6297" s="3"/>
    </row>
    <row r="6298" customHeight="1" spans="1:9">
      <c r="A6298" s="2"/>
      <c r="B6298" s="2" t="str">
        <f>IFERROR(__xludf.DUMMYFUNCTION("IF(A6298&lt;&gt;"""", GOOGLETRANSLATE(A6298, ""en"", ""te""),"""")"),"")</f>
        <v/>
      </c>
      <c r="C6298" s="2"/>
      <c r="D6298" s="2" t="str">
        <f>IFERROR(__xludf.DUMMYFUNCTION("IF(C6298&lt;&gt;"""", GOOGLETRANSLATE(C6298, ""en"", ""te""),"""")"),"")</f>
        <v/>
      </c>
      <c r="E6298" s="2"/>
      <c r="F6298" s="2" t="str">
        <f>IFERROR(__xludf.DUMMYFUNCTION("IF(E6298&lt;&gt;"""", GOOGLETRANSLATE(E6298, ""en"", ""te""),"""")"),"")</f>
        <v/>
      </c>
      <c r="G6298" s="2"/>
      <c r="H6298" s="2" t="str">
        <f>IFERROR(__xludf.DUMMYFUNCTION("IF(G6298&lt;&gt;"""", GOOGLETRANSLATE(G6298, ""en"", ""te""),"""")"),"")</f>
        <v/>
      </c>
      <c r="I6298" s="3"/>
    </row>
    <row r="6299" customHeight="1" spans="1:9">
      <c r="A6299" s="2"/>
      <c r="B6299" s="2" t="str">
        <f>IFERROR(__xludf.DUMMYFUNCTION("IF(A6299&lt;&gt;"""", GOOGLETRANSLATE(A6299, ""en"", ""te""),"""")"),"")</f>
        <v/>
      </c>
      <c r="C6299" s="2"/>
      <c r="D6299" s="2" t="str">
        <f>IFERROR(__xludf.DUMMYFUNCTION("IF(C6299&lt;&gt;"""", GOOGLETRANSLATE(C6299, ""en"", ""te""),"""")"),"")</f>
        <v/>
      </c>
      <c r="E6299" s="2"/>
      <c r="F6299" s="2" t="str">
        <f>IFERROR(__xludf.DUMMYFUNCTION("IF(E6299&lt;&gt;"""", GOOGLETRANSLATE(E6299, ""en"", ""te""),"""")"),"")</f>
        <v/>
      </c>
      <c r="G6299" s="2"/>
      <c r="H6299" s="2" t="str">
        <f>IFERROR(__xludf.DUMMYFUNCTION("IF(G6299&lt;&gt;"""", GOOGLETRANSLATE(G6299, ""en"", ""te""),"""")"),"")</f>
        <v/>
      </c>
      <c r="I6299" s="3"/>
    </row>
    <row r="6300" customHeight="1" spans="1:9">
      <c r="A6300" s="2"/>
      <c r="B6300" s="2" t="str">
        <f>IFERROR(__xludf.DUMMYFUNCTION("IF(A6300&lt;&gt;"""", GOOGLETRANSLATE(A6300, ""en"", ""te""),"""")"),"")</f>
        <v/>
      </c>
      <c r="C6300" s="2"/>
      <c r="D6300" s="2" t="str">
        <f>IFERROR(__xludf.DUMMYFUNCTION("IF(C6300&lt;&gt;"""", GOOGLETRANSLATE(C6300, ""en"", ""te""),"""")"),"")</f>
        <v/>
      </c>
      <c r="E6300" s="2"/>
      <c r="F6300" s="2" t="str">
        <f>IFERROR(__xludf.DUMMYFUNCTION("IF(E6300&lt;&gt;"""", GOOGLETRANSLATE(E6300, ""en"", ""te""),"""")"),"")</f>
        <v/>
      </c>
      <c r="G6300" s="2"/>
      <c r="H6300" s="2" t="str">
        <f>IFERROR(__xludf.DUMMYFUNCTION("IF(G6300&lt;&gt;"""", GOOGLETRANSLATE(G6300, ""en"", ""te""),"""")"),"")</f>
        <v/>
      </c>
      <c r="I6300" s="3"/>
    </row>
    <row r="6301" customHeight="1" spans="1:9">
      <c r="A6301" s="2"/>
      <c r="B6301" s="2" t="str">
        <f>IFERROR(__xludf.DUMMYFUNCTION("IF(A6301&lt;&gt;"""", GOOGLETRANSLATE(A6301, ""en"", ""te""),"""")"),"")</f>
        <v/>
      </c>
      <c r="C6301" s="2"/>
      <c r="D6301" s="2" t="str">
        <f>IFERROR(__xludf.DUMMYFUNCTION("IF(C6301&lt;&gt;"""", GOOGLETRANSLATE(C6301, ""en"", ""te""),"""")"),"")</f>
        <v/>
      </c>
      <c r="E6301" s="2"/>
      <c r="F6301" s="2" t="str">
        <f>IFERROR(__xludf.DUMMYFUNCTION("IF(E6301&lt;&gt;"""", GOOGLETRANSLATE(E6301, ""en"", ""te""),"""")"),"")</f>
        <v/>
      </c>
      <c r="G6301" s="2"/>
      <c r="H6301" s="2" t="str">
        <f>IFERROR(__xludf.DUMMYFUNCTION("IF(G6301&lt;&gt;"""", GOOGLETRANSLATE(G6301, ""en"", ""te""),"""")"),"")</f>
        <v/>
      </c>
      <c r="I6301" s="3"/>
    </row>
    <row r="6302" customHeight="1" spans="1:9">
      <c r="A6302" s="2"/>
      <c r="B6302" s="2" t="str">
        <f>IFERROR(__xludf.DUMMYFUNCTION("IF(A6302&lt;&gt;"""", GOOGLETRANSLATE(A6302, ""en"", ""te""),"""")"),"")</f>
        <v/>
      </c>
      <c r="C6302" s="2"/>
      <c r="D6302" s="2" t="str">
        <f>IFERROR(__xludf.DUMMYFUNCTION("IF(C6302&lt;&gt;"""", GOOGLETRANSLATE(C6302, ""en"", ""te""),"""")"),"")</f>
        <v/>
      </c>
      <c r="E6302" s="2"/>
      <c r="F6302" s="2" t="str">
        <f>IFERROR(__xludf.DUMMYFUNCTION("IF(E6302&lt;&gt;"""", GOOGLETRANSLATE(E6302, ""en"", ""te""),"""")"),"")</f>
        <v/>
      </c>
      <c r="G6302" s="2"/>
      <c r="H6302" s="2" t="str">
        <f>IFERROR(__xludf.DUMMYFUNCTION("IF(G6302&lt;&gt;"""", GOOGLETRANSLATE(G6302, ""en"", ""te""),"""")"),"")</f>
        <v/>
      </c>
      <c r="I6302" s="3"/>
    </row>
    <row r="6303" customHeight="1" spans="1:9">
      <c r="A6303" s="2"/>
      <c r="B6303" s="2" t="str">
        <f>IFERROR(__xludf.DUMMYFUNCTION("IF(A6303&lt;&gt;"""", GOOGLETRANSLATE(A6303, ""en"", ""te""),"""")"),"")</f>
        <v/>
      </c>
      <c r="C6303" s="2"/>
      <c r="D6303" s="2" t="str">
        <f>IFERROR(__xludf.DUMMYFUNCTION("IF(C6303&lt;&gt;"""", GOOGLETRANSLATE(C6303, ""en"", ""te""),"""")"),"")</f>
        <v/>
      </c>
      <c r="E6303" s="2"/>
      <c r="F6303" s="2" t="str">
        <f>IFERROR(__xludf.DUMMYFUNCTION("IF(E6303&lt;&gt;"""", GOOGLETRANSLATE(E6303, ""en"", ""te""),"""")"),"")</f>
        <v/>
      </c>
      <c r="G6303" s="2"/>
      <c r="H6303" s="2" t="str">
        <f>IFERROR(__xludf.DUMMYFUNCTION("IF(G6303&lt;&gt;"""", GOOGLETRANSLATE(G6303, ""en"", ""te""),"""")"),"")</f>
        <v/>
      </c>
      <c r="I6303" s="3"/>
    </row>
    <row r="6304" customHeight="1" spans="1:9">
      <c r="A6304" s="2"/>
      <c r="B6304" s="2" t="str">
        <f>IFERROR(__xludf.DUMMYFUNCTION("IF(A6304&lt;&gt;"""", GOOGLETRANSLATE(A6304, ""en"", ""te""),"""")"),"")</f>
        <v/>
      </c>
      <c r="C6304" s="2"/>
      <c r="D6304" s="2" t="str">
        <f>IFERROR(__xludf.DUMMYFUNCTION("IF(C6304&lt;&gt;"""", GOOGLETRANSLATE(C6304, ""en"", ""te""),"""")"),"")</f>
        <v/>
      </c>
      <c r="E6304" s="2"/>
      <c r="F6304" s="2" t="str">
        <f>IFERROR(__xludf.DUMMYFUNCTION("IF(E6304&lt;&gt;"""", GOOGLETRANSLATE(E6304, ""en"", ""te""),"""")"),"")</f>
        <v/>
      </c>
      <c r="G6304" s="2"/>
      <c r="H6304" s="2" t="str">
        <f>IFERROR(__xludf.DUMMYFUNCTION("IF(G6304&lt;&gt;"""", GOOGLETRANSLATE(G6304, ""en"", ""te""),"""")"),"")</f>
        <v/>
      </c>
      <c r="I6304" s="3"/>
    </row>
    <row r="6305" customHeight="1" spans="1:9">
      <c r="A6305" s="2"/>
      <c r="B6305" s="2" t="str">
        <f>IFERROR(__xludf.DUMMYFUNCTION("IF(A6305&lt;&gt;"""", GOOGLETRANSLATE(A6305, ""en"", ""te""),"""")"),"")</f>
        <v/>
      </c>
      <c r="C6305" s="2"/>
      <c r="D6305" s="2" t="str">
        <f>IFERROR(__xludf.DUMMYFUNCTION("IF(C6305&lt;&gt;"""", GOOGLETRANSLATE(C6305, ""en"", ""te""),"""")"),"")</f>
        <v/>
      </c>
      <c r="E6305" s="2"/>
      <c r="F6305" s="2" t="str">
        <f>IFERROR(__xludf.DUMMYFUNCTION("IF(E6305&lt;&gt;"""", GOOGLETRANSLATE(E6305, ""en"", ""te""),"""")"),"")</f>
        <v/>
      </c>
      <c r="G6305" s="2"/>
      <c r="H6305" s="2" t="str">
        <f>IFERROR(__xludf.DUMMYFUNCTION("IF(G6305&lt;&gt;"""", GOOGLETRANSLATE(G6305, ""en"", ""te""),"""")"),"")</f>
        <v/>
      </c>
      <c r="I6305" s="3"/>
    </row>
    <row r="6306" customHeight="1" spans="1:9">
      <c r="A6306" s="2"/>
      <c r="B6306" s="2" t="str">
        <f>IFERROR(__xludf.DUMMYFUNCTION("IF(A6306&lt;&gt;"""", GOOGLETRANSLATE(A6306, ""en"", ""te""),"""")"),"")</f>
        <v/>
      </c>
      <c r="C6306" s="2"/>
      <c r="D6306" s="2" t="str">
        <f>IFERROR(__xludf.DUMMYFUNCTION("IF(C6306&lt;&gt;"""", GOOGLETRANSLATE(C6306, ""en"", ""te""),"""")"),"")</f>
        <v/>
      </c>
      <c r="E6306" s="2"/>
      <c r="F6306" s="2" t="str">
        <f>IFERROR(__xludf.DUMMYFUNCTION("IF(E6306&lt;&gt;"""", GOOGLETRANSLATE(E6306, ""en"", ""te""),"""")"),"")</f>
        <v/>
      </c>
      <c r="G6306" s="2"/>
      <c r="H6306" s="2" t="str">
        <f>IFERROR(__xludf.DUMMYFUNCTION("IF(G6306&lt;&gt;"""", GOOGLETRANSLATE(G6306, ""en"", ""te""),"""")"),"")</f>
        <v/>
      </c>
      <c r="I6306" s="3"/>
    </row>
    <row r="6307" customHeight="1" spans="1:9">
      <c r="A6307" s="2"/>
      <c r="B6307" s="2" t="str">
        <f>IFERROR(__xludf.DUMMYFUNCTION("IF(A6307&lt;&gt;"""", GOOGLETRANSLATE(A6307, ""en"", ""te""),"""")"),"")</f>
        <v/>
      </c>
      <c r="C6307" s="2"/>
      <c r="D6307" s="2" t="str">
        <f>IFERROR(__xludf.DUMMYFUNCTION("IF(C6307&lt;&gt;"""", GOOGLETRANSLATE(C6307, ""en"", ""te""),"""")"),"")</f>
        <v/>
      </c>
      <c r="E6307" s="2"/>
      <c r="F6307" s="2" t="str">
        <f>IFERROR(__xludf.DUMMYFUNCTION("IF(E6307&lt;&gt;"""", GOOGLETRANSLATE(E6307, ""en"", ""te""),"""")"),"")</f>
        <v/>
      </c>
      <c r="G6307" s="2"/>
      <c r="H6307" s="2" t="str">
        <f>IFERROR(__xludf.DUMMYFUNCTION("IF(G6307&lt;&gt;"""", GOOGLETRANSLATE(G6307, ""en"", ""te""),"""")"),"")</f>
        <v/>
      </c>
      <c r="I6307" s="3"/>
    </row>
    <row r="6308" customHeight="1" spans="1:9">
      <c r="A6308" s="2"/>
      <c r="B6308" s="2" t="str">
        <f>IFERROR(__xludf.DUMMYFUNCTION("IF(A6308&lt;&gt;"""", GOOGLETRANSLATE(A6308, ""en"", ""te""),"""")"),"")</f>
        <v/>
      </c>
      <c r="C6308" s="2"/>
      <c r="D6308" s="2" t="str">
        <f>IFERROR(__xludf.DUMMYFUNCTION("IF(C6308&lt;&gt;"""", GOOGLETRANSLATE(C6308, ""en"", ""te""),"""")"),"")</f>
        <v/>
      </c>
      <c r="E6308" s="2"/>
      <c r="F6308" s="2" t="str">
        <f>IFERROR(__xludf.DUMMYFUNCTION("IF(E6308&lt;&gt;"""", GOOGLETRANSLATE(E6308, ""en"", ""te""),"""")"),"")</f>
        <v/>
      </c>
      <c r="G6308" s="2"/>
      <c r="H6308" s="2" t="str">
        <f>IFERROR(__xludf.DUMMYFUNCTION("IF(G6308&lt;&gt;"""", GOOGLETRANSLATE(G6308, ""en"", ""te""),"""")"),"")</f>
        <v/>
      </c>
      <c r="I6308" s="3"/>
    </row>
    <row r="6309" customHeight="1" spans="1:9">
      <c r="A6309" s="2"/>
      <c r="B6309" s="2" t="str">
        <f>IFERROR(__xludf.DUMMYFUNCTION("IF(A6309&lt;&gt;"""", GOOGLETRANSLATE(A6309, ""en"", ""te""),"""")"),"")</f>
        <v/>
      </c>
      <c r="C6309" s="2"/>
      <c r="D6309" s="2" t="str">
        <f>IFERROR(__xludf.DUMMYFUNCTION("IF(C6309&lt;&gt;"""", GOOGLETRANSLATE(C6309, ""en"", ""te""),"""")"),"")</f>
        <v/>
      </c>
      <c r="E6309" s="2"/>
      <c r="F6309" s="2" t="str">
        <f>IFERROR(__xludf.DUMMYFUNCTION("IF(E6309&lt;&gt;"""", GOOGLETRANSLATE(E6309, ""en"", ""te""),"""")"),"")</f>
        <v/>
      </c>
      <c r="G6309" s="2"/>
      <c r="H6309" s="2" t="str">
        <f>IFERROR(__xludf.DUMMYFUNCTION("IF(G6309&lt;&gt;"""", GOOGLETRANSLATE(G6309, ""en"", ""te""),"""")"),"")</f>
        <v/>
      </c>
      <c r="I6309" s="3"/>
    </row>
    <row r="6310" customHeight="1" spans="1:9">
      <c r="A6310" s="2" t="s">
        <v>3837</v>
      </c>
      <c r="B6310" s="2" t="str">
        <f>IFERROR(__xludf.DUMMYFUNCTION("IF(A6310&lt;&gt;"""", GOOGLETRANSLATE(A6310, ""en"", ""te""),"""")"),"[ 'పరాజయం వైపు ఒక మ్యాచ్లో 2nd అత్యధిక పరుగులు (193)', '4 వ అత్యంత ఇన్నింగ్స్ లో ఫోర్లు (24)', ఒక క్యాలెండర్ సంవత్సరంలో, '9 వ అత్యధిక పరుగులు' 1000 పరుగులు (18) వేగంగా 1st '(576 ) ']")</f>
        <v>[ 'పరాజయం వైపు ఒక మ్యాచ్లో 2nd అత్యధిక పరుగులు (193)', '4 వ అత్యంత ఇన్నింగ్స్ లో ఫోర్లు (24)', ఒక క్యాలెండర్ సంవత్సరంలో, '9 వ అత్యధిక పరుగులు' 1000 పరుగులు (18) వేగంగా 1st '(576 ) ']</v>
      </c>
      <c r="C6310" s="2" t="s">
        <v>3838</v>
      </c>
      <c r="D6310" s="2" t="str">
        <f>IFERROR(__xludf.DUMMYFUNCTION("IF(C6310&lt;&gt;"""", GOOGLETRANSLATE(C6310, ""en"", ""te""),"""")"),"[ '38 వ తొలి మ్యాచ్లో అత్యధిక పరుగులు (160)', '31 తొంభై తొలి (94)']")</f>
        <v>[ '38 వ తొలి మ్యాచ్లో అత్యధిక పరుగులు (160)', '31 తొంభై తొలి (94)']</v>
      </c>
      <c r="E6310" s="2" t="s">
        <v>3839</v>
      </c>
      <c r="F6310" s="2" t="str">
        <f>IFERROR(__xludf.DUMMYFUNCTION("IF(E6310&lt;&gt;"""", GOOGLETRANSLATE(E6310, ""en"", ""te""),"""")"),"[ 'ఇన్నింగ్స్ (210 *) లో 5 వ అత్యధిక పరుగులు' 'వరుస 24 వ అత్యధిక పరుగులు (515)', '5 వ ఇన్నింగ్స్ లో అత్యధిక పరుగులు (బ్యాటింగ్ స్థానంలో ప్రకారం) (210 *)', 'ఒక 2 వ అత్యధిక పరుగులు పరాజయం వైపు మ్యాచ్ (193) ',' 12 వ అత్యధిక కెరీర్ బ్యాటింగ్ సగటు (49.17) ','"&amp;" 43 వ అత్యధిక కెరీర్ సమ్మె రేటు (97.12) ',' గత మ్యాచ్లో 19 హండ్రెడ్ (101) ',' 22 వ ఇన్నింగ్స్ లో వచ్చిన ఎక్కువ సిక్స్ (10) ',' 4 వ అత్యంత ఫోర్లు ఒక ఇన్నింగ్స్ లో (24) ',' ఫోర్లు, సిక్సర్లు నుండి 7 వ అత్యధిక పరుగులు ఇన్నింగ్స్ లో (132) ',' ఒక ఇన్నింగ్స్లో "&amp;"పరుగుల 14 అత్యధిక శాతం (59.56) ',' 1st వేగవంతమైన 1000 పరుగులు (18) ',' 9 వ 2000 వరకు వేగంగా పరుగులు (49) ',' 43 వ చెత్త కెరీర్ బౌలింగ్ సరాసరి (అర్హత లేకుండా) (111.00) ']")</f>
        <v>[ 'ఇన్నింగ్స్ (210 *) లో 5 వ అత్యధిక పరుగులు' 'వరుస 24 వ అత్యధిక పరుగులు (515)', '5 వ ఇన్నింగ్స్ లో అత్యధిక పరుగులు (బ్యాటింగ్ స్థానంలో ప్రకారం) (210 *)', 'ఒక 2 వ అత్యధిక పరుగులు పరాజయం వైపు మ్యాచ్ (193) ',' 12 వ అత్యధిక కెరీర్ బ్యాటింగ్ సగటు (49.17) ',' 43 వ అత్యధిక కెరీర్ సమ్మె రేటు (97.12) ',' గత మ్యాచ్లో 19 హండ్రెడ్ (101) ',' 22 వ ఇన్నింగ్స్ లో వచ్చిన ఎక్కువ సిక్స్ (10) ',' 4 వ అత్యంత ఫోర్లు ఒక ఇన్నింగ్స్ లో (24) ',' ఫోర్లు, సిక్సర్లు నుండి 7 వ అత్యధిక పరుగులు ఇన్నింగ్స్ లో (132) ',' ఒక ఇన్నింగ్స్లో పరుగుల 14 అత్యధిక శాతం (59.56) ',' 1st వేగవంతమైన 1000 పరుగులు (18) ',' 9 వ 2000 వరకు వేగంగా పరుగులు (49) ',' 43 వ చెత్త కెరీర్ బౌలింగ్ సరాసరి (అర్హత లేకుండా) (111.00) ']</v>
      </c>
      <c r="G6310" s="2" t="s">
        <v>3840</v>
      </c>
      <c r="H6310" s="2" t="str">
        <f>IFERROR(__xludf.DUMMYFUNCTION("IF(G6310&lt;&gt;"""", GOOGLETRANSLATE(G6310, ""en"", ""te""),"""")"),"[ 'ఒక క్యాలెండర్ సంవత్సరంలో 9 వ అత్యధిక పరుగులు (576)', '35 వ ఒకే మైదానంలో అత్యధిక పరుగులు (293)', '14 వ అత్యంత ఇన్నింగ్స్ తొలి డక్ ముందు (30)', 'ఒక డక్ లేకుండా 50 వ వరుస ఇన్నింగ్స్ (30) ',' 12 వ ఇన్నింగ్స్ లో వచ్చిన ఎక్కువ ఫోర్లు (12) ',' 44 వ కెరీర్ లో"&amp;" అత్యధిక క్యాచ్లు (24) ',' నాలుగవ వికెట్కు (107) 11 వ అత్యధిక భాగస్వామ్యం ']")</f>
        <v>[ 'ఒక క్యాలెండర్ సంవత్సరంలో 9 వ అత్యధిక పరుగులు (576)', '35 వ ఒకే మైదానంలో అత్యధిక పరుగులు (293)', '14 వ అత్యంత ఇన్నింగ్స్ తొలి డక్ ముందు (30)', 'ఒక డక్ లేకుండా 50 వ వరుస ఇన్నింగ్స్ (30) ',' 12 వ ఇన్నింగ్స్ లో వచ్చిన ఎక్కువ ఫోర్లు (12) ',' 44 వ కెరీర్ లో అత్యధిక క్యాచ్లు (24) ',' నాలుగవ వికెట్కు (107) 11 వ అత్యధిక భాగస్వామ్యం ']</v>
      </c>
      <c r="I6310" s="3"/>
    </row>
    <row r="6311" customHeight="1" spans="1:9">
      <c r="A6311" s="2"/>
      <c r="B6311" s="2" t="str">
        <f>IFERROR(__xludf.DUMMYFUNCTION("IF(A6311&lt;&gt;"""", GOOGLETRANSLATE(A6311, ""en"", ""te""),"""")"),"")</f>
        <v/>
      </c>
      <c r="C6311" s="2"/>
      <c r="D6311" s="2" t="str">
        <f>IFERROR(__xludf.DUMMYFUNCTION("IF(C6311&lt;&gt;"""", GOOGLETRANSLATE(C6311, ""en"", ""te""),"""")"),"")</f>
        <v/>
      </c>
      <c r="E6311" s="2"/>
      <c r="F6311" s="2" t="str">
        <f>IFERROR(__xludf.DUMMYFUNCTION("IF(E6311&lt;&gt;"""", GOOGLETRANSLATE(E6311, ""en"", ""te""),"""")"),"")</f>
        <v/>
      </c>
      <c r="G6311" s="2"/>
      <c r="H6311" s="2" t="str">
        <f>IFERROR(__xludf.DUMMYFUNCTION("IF(G6311&lt;&gt;"""", GOOGLETRANSLATE(G6311, ""en"", ""te""),"""")"),"")</f>
        <v/>
      </c>
      <c r="I6311" s="3"/>
    </row>
    <row r="6312" customHeight="1" spans="1:9">
      <c r="A6312" s="2"/>
      <c r="B6312" s="2" t="str">
        <f>IFERROR(__xludf.DUMMYFUNCTION("IF(A6312&lt;&gt;"""", GOOGLETRANSLATE(A6312, ""en"", ""te""),"""")"),"")</f>
        <v/>
      </c>
      <c r="C6312" s="2"/>
      <c r="D6312" s="2" t="str">
        <f>IFERROR(__xludf.DUMMYFUNCTION("IF(C6312&lt;&gt;"""", GOOGLETRANSLATE(C6312, ""en"", ""te""),"""")"),"")</f>
        <v/>
      </c>
      <c r="E6312" s="2"/>
      <c r="F6312" s="2" t="str">
        <f>IFERROR(__xludf.DUMMYFUNCTION("IF(E6312&lt;&gt;"""", GOOGLETRANSLATE(E6312, ""en"", ""te""),"""")"),"")</f>
        <v/>
      </c>
      <c r="G6312" s="2"/>
      <c r="H6312" s="2" t="str">
        <f>IFERROR(__xludf.DUMMYFUNCTION("IF(G6312&lt;&gt;"""", GOOGLETRANSLATE(G6312, ""en"", ""te""),"""")"),"")</f>
        <v/>
      </c>
      <c r="I6312" s="3"/>
    </row>
    <row r="6313" customHeight="1" spans="1:9">
      <c r="A6313" s="2"/>
      <c r="B6313" s="2" t="str">
        <f>IFERROR(__xludf.DUMMYFUNCTION("IF(A6313&lt;&gt;"""", GOOGLETRANSLATE(A6313, ""en"", ""te""),"""")"),"")</f>
        <v/>
      </c>
      <c r="C6313" s="2"/>
      <c r="D6313" s="2" t="str">
        <f>IFERROR(__xludf.DUMMYFUNCTION("IF(C6313&lt;&gt;"""", GOOGLETRANSLATE(C6313, ""en"", ""te""),"""")"),"")</f>
        <v/>
      </c>
      <c r="E6313" s="2"/>
      <c r="F6313" s="2" t="str">
        <f>IFERROR(__xludf.DUMMYFUNCTION("IF(E6313&lt;&gt;"""", GOOGLETRANSLATE(E6313, ""en"", ""te""),"""")"),"")</f>
        <v/>
      </c>
      <c r="G6313" s="2"/>
      <c r="H6313" s="2" t="str">
        <f>IFERROR(__xludf.DUMMYFUNCTION("IF(G6313&lt;&gt;"""", GOOGLETRANSLATE(G6313, ""en"", ""te""),"""")"),"")</f>
        <v/>
      </c>
      <c r="I6313" s="3"/>
    </row>
    <row r="6314" customHeight="1" spans="1:9">
      <c r="A6314" s="2"/>
      <c r="B6314" s="2" t="str">
        <f>IFERROR(__xludf.DUMMYFUNCTION("IF(A6314&lt;&gt;"""", GOOGLETRANSLATE(A6314, ""en"", ""te""),"""")"),"")</f>
        <v/>
      </c>
      <c r="C6314" s="2"/>
      <c r="D6314" s="2" t="str">
        <f>IFERROR(__xludf.DUMMYFUNCTION("IF(C6314&lt;&gt;"""", GOOGLETRANSLATE(C6314, ""en"", ""te""),"""")"),"")</f>
        <v/>
      </c>
      <c r="E6314" s="2"/>
      <c r="F6314" s="2" t="str">
        <f>IFERROR(__xludf.DUMMYFUNCTION("IF(E6314&lt;&gt;"""", GOOGLETRANSLATE(E6314, ""en"", ""te""),"""")"),"")</f>
        <v/>
      </c>
      <c r="G6314" s="2"/>
      <c r="H6314" s="2" t="str">
        <f>IFERROR(__xludf.DUMMYFUNCTION("IF(G6314&lt;&gt;"""", GOOGLETRANSLATE(G6314, ""en"", ""te""),"""")"),"")</f>
        <v/>
      </c>
      <c r="I6314" s="3"/>
    </row>
    <row r="6315" customHeight="1" spans="1:9">
      <c r="A6315" s="2"/>
      <c r="B6315" s="2" t="str">
        <f>IFERROR(__xludf.DUMMYFUNCTION("IF(A6315&lt;&gt;"""", GOOGLETRANSLATE(A6315, ""en"", ""te""),"""")"),"")</f>
        <v/>
      </c>
      <c r="C6315" s="2"/>
      <c r="D6315" s="2" t="str">
        <f>IFERROR(__xludf.DUMMYFUNCTION("IF(C6315&lt;&gt;"""", GOOGLETRANSLATE(C6315, ""en"", ""te""),"""")"),"")</f>
        <v/>
      </c>
      <c r="E6315" s="2"/>
      <c r="F6315" s="2" t="str">
        <f>IFERROR(__xludf.DUMMYFUNCTION("IF(E6315&lt;&gt;"""", GOOGLETRANSLATE(E6315, ""en"", ""te""),"""")"),"")</f>
        <v/>
      </c>
      <c r="G6315" s="2"/>
      <c r="H6315" s="2" t="str">
        <f>IFERROR(__xludf.DUMMYFUNCTION("IF(G6315&lt;&gt;"""", GOOGLETRANSLATE(G6315, ""en"", ""te""),"""")"),"")</f>
        <v/>
      </c>
      <c r="I6315" s="3"/>
    </row>
    <row r="6316" customHeight="1" spans="1:9">
      <c r="A6316" s="2"/>
      <c r="B6316" s="2" t="str">
        <f>IFERROR(__xludf.DUMMYFUNCTION("IF(A6316&lt;&gt;"""", GOOGLETRANSLATE(A6316, ""en"", ""te""),"""")"),"")</f>
        <v/>
      </c>
      <c r="C6316" s="2"/>
      <c r="D6316" s="2" t="str">
        <f>IFERROR(__xludf.DUMMYFUNCTION("IF(C6316&lt;&gt;"""", GOOGLETRANSLATE(C6316, ""en"", ""te""),"""")"),"")</f>
        <v/>
      </c>
      <c r="E6316" s="2"/>
      <c r="F6316" s="2" t="str">
        <f>IFERROR(__xludf.DUMMYFUNCTION("IF(E6316&lt;&gt;"""", GOOGLETRANSLATE(E6316, ""en"", ""te""),"""")"),"")</f>
        <v/>
      </c>
      <c r="G6316" s="2"/>
      <c r="H6316" s="2" t="str">
        <f>IFERROR(__xludf.DUMMYFUNCTION("IF(G6316&lt;&gt;"""", GOOGLETRANSLATE(G6316, ""en"", ""te""),"""")"),"")</f>
        <v/>
      </c>
      <c r="I6316" s="3"/>
    </row>
    <row r="6317" customHeight="1" spans="1:9">
      <c r="A6317" s="2"/>
      <c r="B6317" s="2" t="str">
        <f>IFERROR(__xludf.DUMMYFUNCTION("IF(A6317&lt;&gt;"""", GOOGLETRANSLATE(A6317, ""en"", ""te""),"""")"),"")</f>
        <v/>
      </c>
      <c r="C6317" s="2"/>
      <c r="D6317" s="2" t="str">
        <f>IFERROR(__xludf.DUMMYFUNCTION("IF(C6317&lt;&gt;"""", GOOGLETRANSLATE(C6317, ""en"", ""te""),"""")"),"")</f>
        <v/>
      </c>
      <c r="E6317" s="2"/>
      <c r="F6317" s="2" t="str">
        <f>IFERROR(__xludf.DUMMYFUNCTION("IF(E6317&lt;&gt;"""", GOOGLETRANSLATE(E6317, ""en"", ""te""),"""")"),"")</f>
        <v/>
      </c>
      <c r="G6317" s="2"/>
      <c r="H6317" s="2" t="str">
        <f>IFERROR(__xludf.DUMMYFUNCTION("IF(G6317&lt;&gt;"""", GOOGLETRANSLATE(G6317, ""en"", ""te""),"""")"),"")</f>
        <v/>
      </c>
      <c r="I6317" s="3"/>
    </row>
    <row r="6318" customHeight="1" spans="1:9">
      <c r="A6318" s="2"/>
      <c r="B6318" s="2" t="str">
        <f>IFERROR(__xludf.DUMMYFUNCTION("IF(A6318&lt;&gt;"""", GOOGLETRANSLATE(A6318, ""en"", ""te""),"""")"),"")</f>
        <v/>
      </c>
      <c r="C6318" s="2"/>
      <c r="D6318" s="2" t="str">
        <f>IFERROR(__xludf.DUMMYFUNCTION("IF(C6318&lt;&gt;"""", GOOGLETRANSLATE(C6318, ""en"", ""te""),"""")"),"")</f>
        <v/>
      </c>
      <c r="E6318" s="2"/>
      <c r="F6318" s="2" t="str">
        <f>IFERROR(__xludf.DUMMYFUNCTION("IF(E6318&lt;&gt;"""", GOOGLETRANSLATE(E6318, ""en"", ""te""),"""")"),"")</f>
        <v/>
      </c>
      <c r="G6318" s="2"/>
      <c r="H6318" s="2" t="str">
        <f>IFERROR(__xludf.DUMMYFUNCTION("IF(G6318&lt;&gt;"""", GOOGLETRANSLATE(G6318, ""en"", ""te""),"""")"),"")</f>
        <v/>
      </c>
      <c r="I6318" s="3"/>
    </row>
    <row r="6319" customHeight="1" spans="1:9">
      <c r="A6319" s="2"/>
      <c r="B6319" s="2" t="str">
        <f>IFERROR(__xludf.DUMMYFUNCTION("IF(A6319&lt;&gt;"""", GOOGLETRANSLATE(A6319, ""en"", ""te""),"""")"),"")</f>
        <v/>
      </c>
      <c r="C6319" s="2"/>
      <c r="D6319" s="2" t="str">
        <f>IFERROR(__xludf.DUMMYFUNCTION("IF(C6319&lt;&gt;"""", GOOGLETRANSLATE(C6319, ""en"", ""te""),"""")"),"")</f>
        <v/>
      </c>
      <c r="E6319" s="2"/>
      <c r="F6319" s="2" t="str">
        <f>IFERROR(__xludf.DUMMYFUNCTION("IF(E6319&lt;&gt;"""", GOOGLETRANSLATE(E6319, ""en"", ""te""),"""")"),"")</f>
        <v/>
      </c>
      <c r="G6319" s="2"/>
      <c r="H6319" s="2" t="str">
        <f>IFERROR(__xludf.DUMMYFUNCTION("IF(G6319&lt;&gt;"""", GOOGLETRANSLATE(G6319, ""en"", ""te""),"""")"),"")</f>
        <v/>
      </c>
      <c r="I6319" s="3"/>
    </row>
    <row r="6320" customHeight="1" spans="1:9">
      <c r="A6320" s="2" t="s">
        <v>3841</v>
      </c>
      <c r="B6320" s="2" t="str">
        <f>IFERROR(__xludf.DUMMYFUNCTION("IF(A6320&lt;&gt;"""", GOOGLETRANSLATE(A6320, ""en"", ""te""),"""")"),"[ 'ఒక కెప్టెన్తో ఒక మ్యాచ్లో 4 వ ఉత్తమ బొమ్మలు (12)', 'చాలా 5 వ బంతుల్లో ఇన్నింగ్స్ లో బౌల్డ్ (512)', 'చాలా 5 వ ఇన్నింగ్స్ లో సాధించిన పరుగులు (247)']")</f>
        <v>[ 'ఒక కెప్టెన్తో ఒక మ్యాచ్లో 4 వ ఉత్తమ బొమ్మలు (12)', 'చాలా 5 వ బంతుల్లో ఇన్నింగ్స్ లో బౌల్డ్ (512)', 'చాలా 5 వ ఇన్నింగ్స్ లో సాధించిన పరుగులు (247)']</v>
      </c>
      <c r="C6320" s="2" t="s">
        <v>3842</v>
      </c>
      <c r="D6320" s="2" t="str">
        <f>IFERROR(__xludf.DUMMYFUNCTION("IF(C6320&lt;&gt;"""", GOOGLETRANSLATE(C6320, ""en"", ""te""),"""")"),"[ '25 వ మ్యాచ్ లో బెస్ట్ ఫిగర్స్ (13)', 'ఒక కెప్టెన్తో ఒక ఇన్నింగ్స్ లో 16 వ బెస్ట్ ఫిగర్స్ (6)', 'ఒక కెప్టెన్తో ఒక మ్యాచ్లో 4 వ ఉత్తమ బొమ్మలు (12)', '46 వ అత్యంత ఐదు-wickets- లో-ఒక-ఇన్నింగ్స్ కెరీర్లో (13) ',' 19 వ అత్యంత పది వికెట్లు లో ఒక మ్యాచ్ ఒక కెర"&amp;"ీర్ లో ఒక ఇన్నింగ్స్ లో బౌల్డ్ చేయడం (4) ',' చాలా 5 వ బంతుల్లో (512) ',' 42 వ అత్యంత బంతుల్లో ఒక మ్యాచ్లో బౌల్డ్ ఒక ఇన్నింగ్స్ లో సాధించిన (606) ',' 5 వ అత్యధిక పరుగులు (247) ',' 27th 100 వికెట్లు (22) వేగంగా ']")</f>
        <v>[ '25 వ మ్యాచ్ లో బెస్ట్ ఫిగర్స్ (13)', 'ఒక కెప్టెన్తో ఒక ఇన్నింగ్స్ లో 16 వ బెస్ట్ ఫిగర్స్ (6)', 'ఒక కెప్టెన్తో ఒక మ్యాచ్లో 4 వ ఉత్తమ బొమ్మలు (12)', '46 వ అత్యంత ఐదు-wickets- లో-ఒక-ఇన్నింగ్స్ కెరీర్లో (13) ',' 19 వ అత్యంత పది వికెట్లు లో ఒక మ్యాచ్ ఒక కెరీర్ లో ఒక ఇన్నింగ్స్ లో బౌల్డ్ చేయడం (4) ',' చాలా 5 వ బంతుల్లో (512) ',' 42 వ అత్యంత బంతుల్లో ఒక మ్యాచ్లో బౌల్డ్ ఒక ఇన్నింగ్స్ లో సాధించిన (606) ',' 5 వ అత్యధిక పరుగులు (247) ',' 27th 100 వికెట్లు (22) వేగంగా ']</v>
      </c>
      <c r="E6320" s="2"/>
      <c r="F6320" s="2" t="str">
        <f>IFERROR(__xludf.DUMMYFUNCTION("IF(E6320&lt;&gt;"""", GOOGLETRANSLATE(E6320, ""en"", ""te""),"""")"),"")</f>
        <v/>
      </c>
      <c r="G6320" s="2"/>
      <c r="H6320" s="2" t="str">
        <f>IFERROR(__xludf.DUMMYFUNCTION("IF(G6320&lt;&gt;"""", GOOGLETRANSLATE(G6320, ""en"", ""te""),"""")"),"")</f>
        <v/>
      </c>
      <c r="I6320" s="3"/>
    </row>
    <row r="6321" customHeight="1" spans="1:9">
      <c r="A6321" s="2"/>
      <c r="B6321" s="2" t="str">
        <f>IFERROR(__xludf.DUMMYFUNCTION("IF(A6321&lt;&gt;"""", GOOGLETRANSLATE(A6321, ""en"", ""te""),"""")"),"")</f>
        <v/>
      </c>
      <c r="C6321" s="2"/>
      <c r="D6321" s="2" t="str">
        <f>IFERROR(__xludf.DUMMYFUNCTION("IF(C6321&lt;&gt;"""", GOOGLETRANSLATE(C6321, ""en"", ""te""),"""")"),"")</f>
        <v/>
      </c>
      <c r="E6321" s="2"/>
      <c r="F6321" s="2" t="str">
        <f>IFERROR(__xludf.DUMMYFUNCTION("IF(E6321&lt;&gt;"""", GOOGLETRANSLATE(E6321, ""en"", ""te""),"""")"),"")</f>
        <v/>
      </c>
      <c r="G6321" s="2"/>
      <c r="H6321" s="2" t="str">
        <f>IFERROR(__xludf.DUMMYFUNCTION("IF(G6321&lt;&gt;"""", GOOGLETRANSLATE(G6321, ""en"", ""te""),"""")"),"")</f>
        <v/>
      </c>
      <c r="I6321" s="3"/>
    </row>
    <row r="6322" customHeight="1" spans="1:9">
      <c r="A6322" s="2"/>
      <c r="B6322" s="2" t="str">
        <f>IFERROR(__xludf.DUMMYFUNCTION("IF(A6322&lt;&gt;"""", GOOGLETRANSLATE(A6322, ""en"", ""te""),"""")"),"")</f>
        <v/>
      </c>
      <c r="C6322" s="2"/>
      <c r="D6322" s="2" t="str">
        <f>IFERROR(__xludf.DUMMYFUNCTION("IF(C6322&lt;&gt;"""", GOOGLETRANSLATE(C6322, ""en"", ""te""),"""")"),"")</f>
        <v/>
      </c>
      <c r="E6322" s="2"/>
      <c r="F6322" s="2" t="str">
        <f>IFERROR(__xludf.DUMMYFUNCTION("IF(E6322&lt;&gt;"""", GOOGLETRANSLATE(E6322, ""en"", ""te""),"""")"),"")</f>
        <v/>
      </c>
      <c r="G6322" s="2"/>
      <c r="H6322" s="2" t="str">
        <f>IFERROR(__xludf.DUMMYFUNCTION("IF(G6322&lt;&gt;"""", GOOGLETRANSLATE(G6322, ""en"", ""te""),"""")"),"")</f>
        <v/>
      </c>
      <c r="I6322" s="3"/>
    </row>
    <row r="6323" customHeight="1" spans="1:9">
      <c r="A6323" s="2"/>
      <c r="B6323" s="2" t="str">
        <f>IFERROR(__xludf.DUMMYFUNCTION("IF(A6323&lt;&gt;"""", GOOGLETRANSLATE(A6323, ""en"", ""te""),"""")"),"")</f>
        <v/>
      </c>
      <c r="C6323" s="2"/>
      <c r="D6323" s="2" t="str">
        <f>IFERROR(__xludf.DUMMYFUNCTION("IF(C6323&lt;&gt;"""", GOOGLETRANSLATE(C6323, ""en"", ""te""),"""")"),"")</f>
        <v/>
      </c>
      <c r="E6323" s="2"/>
      <c r="F6323" s="2" t="str">
        <f>IFERROR(__xludf.DUMMYFUNCTION("IF(E6323&lt;&gt;"""", GOOGLETRANSLATE(E6323, ""en"", ""te""),"""")"),"")</f>
        <v/>
      </c>
      <c r="G6323" s="2"/>
      <c r="H6323" s="2" t="str">
        <f>IFERROR(__xludf.DUMMYFUNCTION("IF(G6323&lt;&gt;"""", GOOGLETRANSLATE(G6323, ""en"", ""te""),"""")"),"")</f>
        <v/>
      </c>
      <c r="I6323" s="3"/>
    </row>
    <row r="6324" customHeight="1" spans="1:9">
      <c r="A6324" s="2"/>
      <c r="B6324" s="2" t="str">
        <f>IFERROR(__xludf.DUMMYFUNCTION("IF(A6324&lt;&gt;"""", GOOGLETRANSLATE(A6324, ""en"", ""te""),"""")"),"")</f>
        <v/>
      </c>
      <c r="C6324" s="2"/>
      <c r="D6324" s="2" t="str">
        <f>IFERROR(__xludf.DUMMYFUNCTION("IF(C6324&lt;&gt;"""", GOOGLETRANSLATE(C6324, ""en"", ""te""),"""")"),"")</f>
        <v/>
      </c>
      <c r="E6324" s="2"/>
      <c r="F6324" s="2" t="str">
        <f>IFERROR(__xludf.DUMMYFUNCTION("IF(E6324&lt;&gt;"""", GOOGLETRANSLATE(E6324, ""en"", ""te""),"""")"),"")</f>
        <v/>
      </c>
      <c r="G6324" s="2"/>
      <c r="H6324" s="2" t="str">
        <f>IFERROR(__xludf.DUMMYFUNCTION("IF(G6324&lt;&gt;"""", GOOGLETRANSLATE(G6324, ""en"", ""te""),"""")"),"")</f>
        <v/>
      </c>
      <c r="I6324" s="3"/>
    </row>
    <row r="6325" customHeight="1" spans="1:9">
      <c r="A6325" s="2"/>
      <c r="B6325" s="2" t="str">
        <f>IFERROR(__xludf.DUMMYFUNCTION("IF(A6325&lt;&gt;"""", GOOGLETRANSLATE(A6325, ""en"", ""te""),"""")"),"")</f>
        <v/>
      </c>
      <c r="C6325" s="2"/>
      <c r="D6325" s="2" t="str">
        <f>IFERROR(__xludf.DUMMYFUNCTION("IF(C6325&lt;&gt;"""", GOOGLETRANSLATE(C6325, ""en"", ""te""),"""")"),"")</f>
        <v/>
      </c>
      <c r="E6325" s="2"/>
      <c r="F6325" s="2" t="str">
        <f>IFERROR(__xludf.DUMMYFUNCTION("IF(E6325&lt;&gt;"""", GOOGLETRANSLATE(E6325, ""en"", ""te""),"""")"),"")</f>
        <v/>
      </c>
      <c r="G6325" s="2"/>
      <c r="H6325" s="2" t="str">
        <f>IFERROR(__xludf.DUMMYFUNCTION("IF(G6325&lt;&gt;"""", GOOGLETRANSLATE(G6325, ""en"", ""te""),"""")"),"")</f>
        <v/>
      </c>
      <c r="I6325" s="3"/>
    </row>
    <row r="6326" customHeight="1" spans="1:9">
      <c r="A6326" s="2"/>
      <c r="B6326" s="2" t="str">
        <f>IFERROR(__xludf.DUMMYFUNCTION("IF(A6326&lt;&gt;"""", GOOGLETRANSLATE(A6326, ""en"", ""te""),"""")"),"")</f>
        <v/>
      </c>
      <c r="C6326" s="2"/>
      <c r="D6326" s="2" t="str">
        <f>IFERROR(__xludf.DUMMYFUNCTION("IF(C6326&lt;&gt;"""", GOOGLETRANSLATE(C6326, ""en"", ""te""),"""")"),"")</f>
        <v/>
      </c>
      <c r="E6326" s="2"/>
      <c r="F6326" s="2" t="str">
        <f>IFERROR(__xludf.DUMMYFUNCTION("IF(E6326&lt;&gt;"""", GOOGLETRANSLATE(E6326, ""en"", ""te""),"""")"),"")</f>
        <v/>
      </c>
      <c r="G6326" s="2"/>
      <c r="H6326" s="2" t="str">
        <f>IFERROR(__xludf.DUMMYFUNCTION("IF(G6326&lt;&gt;"""", GOOGLETRANSLATE(G6326, ""en"", ""te""),"""")"),"")</f>
        <v/>
      </c>
      <c r="I6326" s="3"/>
    </row>
    <row r="6327" customHeight="1" spans="1:9">
      <c r="A6327" s="2"/>
      <c r="B6327" s="2" t="str">
        <f>IFERROR(__xludf.DUMMYFUNCTION("IF(A6327&lt;&gt;"""", GOOGLETRANSLATE(A6327, ""en"", ""te""),"""")"),"")</f>
        <v/>
      </c>
      <c r="C6327" s="2" t="s">
        <v>3843</v>
      </c>
      <c r="D6327" s="2" t="str">
        <f>IFERROR(__xludf.DUMMYFUNCTION("IF(C6327&lt;&gt;"""", GOOGLETRANSLATE(C6327, ""en"", ""te""),"""")"),"[ '22 వ పిన్న క్రీడాకారులు (17y 129d)']")</f>
        <v>[ '22 వ పిన్న క్రీడాకారులు (17y 129d)']</v>
      </c>
      <c r="E6327" s="2" t="s">
        <v>3844</v>
      </c>
      <c r="F6327" s="2" t="str">
        <f>IFERROR(__xludf.DUMMYFUNCTION("IF(E6327&lt;&gt;"""", GOOGLETRANSLATE(E6327, ""en"", ""te""),"""")"),"[ '28 పిన్న క్రీడాకారులు (17y 83d)']")</f>
        <v>[ '28 పిన్న క్రీడాకారులు (17y 83d)']</v>
      </c>
      <c r="G6327" s="2"/>
      <c r="H6327" s="2" t="str">
        <f>IFERROR(__xludf.DUMMYFUNCTION("IF(G6327&lt;&gt;"""", GOOGLETRANSLATE(G6327, ""en"", ""te""),"""")"),"")</f>
        <v/>
      </c>
      <c r="I6327" s="3"/>
    </row>
    <row r="6328" customHeight="1" spans="1:9">
      <c r="A6328" s="2" t="s">
        <v>3845</v>
      </c>
      <c r="B6328" s="2" t="str">
        <f>IFERROR(__xludf.DUMMYFUNCTION("IF(A6328&lt;&gt;"""", GOOGLETRANSLATE(A6328, ""en"", ""te""),"""")"),"[ '8 వ అత్యుత్తమ ఇన్నింగ్స్ (3/5) విశ్లేషణలలో బౌలింగ్']")</f>
        <v>[ '8 వ అత్యుత్తమ ఇన్నింగ్స్ (3/5) విశ్లేషణలలో బౌలింగ్']</v>
      </c>
      <c r="C6328" s="2"/>
      <c r="D6328" s="2" t="str">
        <f>IFERROR(__xludf.DUMMYFUNCTION("IF(C6328&lt;&gt;"""", GOOGLETRANSLATE(C6328, ""en"", ""te""),"""")"),"")</f>
        <v/>
      </c>
      <c r="E6328" s="2"/>
      <c r="F6328" s="2" t="str">
        <f>IFERROR(__xludf.DUMMYFUNCTION("IF(E6328&lt;&gt;"""", GOOGLETRANSLATE(E6328, ""en"", ""te""),"""")"),"")</f>
        <v/>
      </c>
      <c r="G6328" s="2" t="s">
        <v>3846</v>
      </c>
      <c r="H6328" s="2" t="str">
        <f>IFERROR(__xludf.DUMMYFUNCTION("IF(G6328&lt;&gt;"""", GOOGLETRANSLATE(G6328, ""en"", ""te""),"""")"),"[ '35 వ ఇన్నింగ్స్ లో అత్యధిక పరుగులు (బ్యాటింగ్ స్థానంలో ప్రకారం) (31)', 'ఇన్నింగ్స్ లో 8 వ అత్యుత్తమ బౌలింగ్ విశ్లేషణలు (3/5)', '50th చెత్త కెరీర్లో ఆర్థిక రేటు (7.53)', '38 వ అత్యధిక వికెట్లు బౌల్డ్ తీసుకున్న (11) ']")</f>
        <v>[ '35 వ ఇన్నింగ్స్ లో అత్యధిక పరుగులు (బ్యాటింగ్ స్థానంలో ప్రకారం) (31)', 'ఇన్నింగ్స్ లో 8 వ అత్యుత్తమ బౌలింగ్ విశ్లేషణలు (3/5)', '50th చెత్త కెరీర్లో ఆర్థిక రేటు (7.53)', '38 వ అత్యధిక వికెట్లు బౌల్డ్ తీసుకున్న (11) ']</v>
      </c>
      <c r="I6328" s="3"/>
    </row>
    <row r="6329" customHeight="1" spans="1:9">
      <c r="A6329" s="2"/>
      <c r="B6329" s="2" t="str">
        <f>IFERROR(__xludf.DUMMYFUNCTION("IF(A6329&lt;&gt;"""", GOOGLETRANSLATE(A6329, ""en"", ""te""),"""")"),"")</f>
        <v/>
      </c>
      <c r="C6329" s="2"/>
      <c r="D6329" s="2" t="str">
        <f>IFERROR(__xludf.DUMMYFUNCTION("IF(C6329&lt;&gt;"""", GOOGLETRANSLATE(C6329, ""en"", ""te""),"""")"),"")</f>
        <v/>
      </c>
      <c r="E6329" s="2" t="s">
        <v>3847</v>
      </c>
      <c r="F6329" s="2" t="str">
        <f>IFERROR(__xludf.DUMMYFUNCTION("IF(E6329&lt;&gt;"""", GOOGLETRANSLATE(E6329, ""en"", ""te""),"""")"),"[ '26 పిన్న ఆటగాడు వంద (20y 335d) స్కోర్']")</f>
        <v>[ '26 పిన్న ఆటగాడు వంద (20y 335d) స్కోర్']</v>
      </c>
      <c r="G6329" s="2"/>
      <c r="H6329" s="2" t="str">
        <f>IFERROR(__xludf.DUMMYFUNCTION("IF(G6329&lt;&gt;"""", GOOGLETRANSLATE(G6329, ""en"", ""te""),"""")"),"")</f>
        <v/>
      </c>
      <c r="I6329" s="3"/>
    </row>
    <row r="6330" customHeight="1" spans="1:9">
      <c r="A6330" s="2"/>
      <c r="B6330" s="2" t="str">
        <f>IFERROR(__xludf.DUMMYFUNCTION("IF(A6330&lt;&gt;"""", GOOGLETRANSLATE(A6330, ""en"", ""te""),"""")"),"")</f>
        <v/>
      </c>
      <c r="C6330" s="2"/>
      <c r="D6330" s="2" t="str">
        <f>IFERROR(__xludf.DUMMYFUNCTION("IF(C6330&lt;&gt;"""", GOOGLETRANSLATE(C6330, ""en"", ""te""),"""")"),"")</f>
        <v/>
      </c>
      <c r="E6330" s="2"/>
      <c r="F6330" s="2" t="str">
        <f>IFERROR(__xludf.DUMMYFUNCTION("IF(E6330&lt;&gt;"""", GOOGLETRANSLATE(E6330, ""en"", ""te""),"""")"),"")</f>
        <v/>
      </c>
      <c r="G6330" s="2"/>
      <c r="H6330" s="2" t="str">
        <f>IFERROR(__xludf.DUMMYFUNCTION("IF(G6330&lt;&gt;"""", GOOGLETRANSLATE(G6330, ""en"", ""te""),"""")"),"")</f>
        <v/>
      </c>
      <c r="I6330" s="3"/>
    </row>
    <row r="6331" customHeight="1" spans="1:9">
      <c r="A6331" s="2"/>
      <c r="B6331" s="2" t="str">
        <f>IFERROR(__xludf.DUMMYFUNCTION("IF(A6331&lt;&gt;"""", GOOGLETRANSLATE(A6331, ""en"", ""te""),"""")"),"")</f>
        <v/>
      </c>
      <c r="C6331" s="2"/>
      <c r="D6331" s="2" t="str">
        <f>IFERROR(__xludf.DUMMYFUNCTION("IF(C6331&lt;&gt;"""", GOOGLETRANSLATE(C6331, ""en"", ""te""),"""")"),"")</f>
        <v/>
      </c>
      <c r="E6331" s="2"/>
      <c r="F6331" s="2" t="str">
        <f>IFERROR(__xludf.DUMMYFUNCTION("IF(E6331&lt;&gt;"""", GOOGLETRANSLATE(E6331, ""en"", ""te""),"""")"),"")</f>
        <v/>
      </c>
      <c r="G6331" s="2"/>
      <c r="H6331" s="2" t="str">
        <f>IFERROR(__xludf.DUMMYFUNCTION("IF(G6331&lt;&gt;"""", GOOGLETRANSLATE(G6331, ""en"", ""te""),"""")"),"")</f>
        <v/>
      </c>
      <c r="I6331" s="3"/>
    </row>
    <row r="6332" customHeight="1" spans="1:9">
      <c r="A6332" s="2"/>
      <c r="B6332" s="2" t="str">
        <f>IFERROR(__xludf.DUMMYFUNCTION("IF(A6332&lt;&gt;"""", GOOGLETRANSLATE(A6332, ""en"", ""te""),"""")"),"")</f>
        <v/>
      </c>
      <c r="C6332" s="2"/>
      <c r="D6332" s="2" t="str">
        <f>IFERROR(__xludf.DUMMYFUNCTION("IF(C6332&lt;&gt;"""", GOOGLETRANSLATE(C6332, ""en"", ""te""),"""")"),"")</f>
        <v/>
      </c>
      <c r="E6332" s="2"/>
      <c r="F6332" s="2" t="str">
        <f>IFERROR(__xludf.DUMMYFUNCTION("IF(E6332&lt;&gt;"""", GOOGLETRANSLATE(E6332, ""en"", ""te""),"""")"),"")</f>
        <v/>
      </c>
      <c r="G6332" s="2"/>
      <c r="H6332" s="2" t="str">
        <f>IFERROR(__xludf.DUMMYFUNCTION("IF(G6332&lt;&gt;"""", GOOGLETRANSLATE(G6332, ""en"", ""te""),"""")"),"")</f>
        <v/>
      </c>
      <c r="I6332" s="3"/>
    </row>
    <row r="6333" customHeight="1" spans="1:9">
      <c r="A6333" s="2"/>
      <c r="B6333" s="2" t="str">
        <f>IFERROR(__xludf.DUMMYFUNCTION("IF(A6333&lt;&gt;"""", GOOGLETRANSLATE(A6333, ""en"", ""te""),"""")"),"")</f>
        <v/>
      </c>
      <c r="C6333" s="2"/>
      <c r="D6333" s="2" t="str">
        <f>IFERROR(__xludf.DUMMYFUNCTION("IF(C6333&lt;&gt;"""", GOOGLETRANSLATE(C6333, ""en"", ""te""),"""")"),"")</f>
        <v/>
      </c>
      <c r="E6333" s="2"/>
      <c r="F6333" s="2" t="str">
        <f>IFERROR(__xludf.DUMMYFUNCTION("IF(E6333&lt;&gt;"""", GOOGLETRANSLATE(E6333, ""en"", ""te""),"""")"),"")</f>
        <v/>
      </c>
      <c r="G6333" s="2"/>
      <c r="H6333" s="2" t="str">
        <f>IFERROR(__xludf.DUMMYFUNCTION("IF(G6333&lt;&gt;"""", GOOGLETRANSLATE(G6333, ""en"", ""te""),"""")"),"")</f>
        <v/>
      </c>
      <c r="I6333" s="3"/>
    </row>
    <row r="6334" customHeight="1" spans="1:9">
      <c r="A6334" s="2"/>
      <c r="B6334" s="2" t="str">
        <f>IFERROR(__xludf.DUMMYFUNCTION("IF(A6334&lt;&gt;"""", GOOGLETRANSLATE(A6334, ""en"", ""te""),"""")"),"")</f>
        <v/>
      </c>
      <c r="C6334" s="2"/>
      <c r="D6334" s="2" t="str">
        <f>IFERROR(__xludf.DUMMYFUNCTION("IF(C6334&lt;&gt;"""", GOOGLETRANSLATE(C6334, ""en"", ""te""),"""")"),"")</f>
        <v/>
      </c>
      <c r="E6334" s="2"/>
      <c r="F6334" s="2" t="str">
        <f>IFERROR(__xludf.DUMMYFUNCTION("IF(E6334&lt;&gt;"""", GOOGLETRANSLATE(E6334, ""en"", ""te""),"""")"),"")</f>
        <v/>
      </c>
      <c r="G6334" s="2"/>
      <c r="H6334" s="2" t="str">
        <f>IFERROR(__xludf.DUMMYFUNCTION("IF(G6334&lt;&gt;"""", GOOGLETRANSLATE(G6334, ""en"", ""te""),"""")"),"")</f>
        <v/>
      </c>
      <c r="I6334" s="3"/>
    </row>
    <row r="6335" customHeight="1" spans="1:9">
      <c r="A6335" s="2"/>
      <c r="B6335" s="2" t="str">
        <f>IFERROR(__xludf.DUMMYFUNCTION("IF(A6335&lt;&gt;"""", GOOGLETRANSLATE(A6335, ""en"", ""te""),"""")"),"")</f>
        <v/>
      </c>
      <c r="C6335" s="2"/>
      <c r="D6335" s="2" t="str">
        <f>IFERROR(__xludf.DUMMYFUNCTION("IF(C6335&lt;&gt;"""", GOOGLETRANSLATE(C6335, ""en"", ""te""),"""")"),"")</f>
        <v/>
      </c>
      <c r="E6335" s="2"/>
      <c r="F6335" s="2" t="str">
        <f>IFERROR(__xludf.DUMMYFUNCTION("IF(E6335&lt;&gt;"""", GOOGLETRANSLATE(E6335, ""en"", ""te""),"""")"),"")</f>
        <v/>
      </c>
      <c r="G6335" s="2"/>
      <c r="H6335" s="2" t="str">
        <f>IFERROR(__xludf.DUMMYFUNCTION("IF(G6335&lt;&gt;"""", GOOGLETRANSLATE(G6335, ""en"", ""te""),"""")"),"")</f>
        <v/>
      </c>
      <c r="I6335" s="3"/>
    </row>
    <row r="6336" customHeight="1" spans="1:9">
      <c r="A6336" s="2"/>
      <c r="B6336" s="2" t="str">
        <f>IFERROR(__xludf.DUMMYFUNCTION("IF(A6336&lt;&gt;"""", GOOGLETRANSLATE(A6336, ""en"", ""te""),"""")"),"")</f>
        <v/>
      </c>
      <c r="C6336" s="2"/>
      <c r="D6336" s="2" t="str">
        <f>IFERROR(__xludf.DUMMYFUNCTION("IF(C6336&lt;&gt;"""", GOOGLETRANSLATE(C6336, ""en"", ""te""),"""")"),"")</f>
        <v/>
      </c>
      <c r="E6336" s="2"/>
      <c r="F6336" s="2" t="str">
        <f>IFERROR(__xludf.DUMMYFUNCTION("IF(E6336&lt;&gt;"""", GOOGLETRANSLATE(E6336, ""en"", ""te""),"""")"),"")</f>
        <v/>
      </c>
      <c r="G6336" s="2"/>
      <c r="H6336" s="2" t="str">
        <f>IFERROR(__xludf.DUMMYFUNCTION("IF(G6336&lt;&gt;"""", GOOGLETRANSLATE(G6336, ""en"", ""te""),"""")"),"")</f>
        <v/>
      </c>
      <c r="I6336" s="3"/>
    </row>
    <row r="6337" customHeight="1" spans="1:9">
      <c r="A6337" s="2"/>
      <c r="B6337" s="2" t="str">
        <f>IFERROR(__xludf.DUMMYFUNCTION("IF(A6337&lt;&gt;"""", GOOGLETRANSLATE(A6337, ""en"", ""te""),"""")"),"")</f>
        <v/>
      </c>
      <c r="C6337" s="2"/>
      <c r="D6337" s="2" t="str">
        <f>IFERROR(__xludf.DUMMYFUNCTION("IF(C6337&lt;&gt;"""", GOOGLETRANSLATE(C6337, ""en"", ""te""),"""")"),"")</f>
        <v/>
      </c>
      <c r="E6337" s="2"/>
      <c r="F6337" s="2" t="str">
        <f>IFERROR(__xludf.DUMMYFUNCTION("IF(E6337&lt;&gt;"""", GOOGLETRANSLATE(E6337, ""en"", ""te""),"""")"),"")</f>
        <v/>
      </c>
      <c r="G6337" s="2"/>
      <c r="H6337" s="2" t="str">
        <f>IFERROR(__xludf.DUMMYFUNCTION("IF(G6337&lt;&gt;"""", GOOGLETRANSLATE(G6337, ""en"", ""te""),"""")"),"")</f>
        <v/>
      </c>
      <c r="I6337" s="3"/>
    </row>
    <row r="6338" customHeight="1" spans="1:9">
      <c r="A6338" s="2" t="s">
        <v>153</v>
      </c>
      <c r="B6338" s="2" t="str">
        <f>IFERROR(__xludf.DUMMYFUNCTION("IF(A6338&lt;&gt;"""", GOOGLETRANSLATE(A6338, ""en"", ""te""),"""")"),"[ 'రెండు దేశాలకు ప్రాతినిధ్యం']")</f>
        <v>[ 'రెండు దేశాలకు ప్రాతినిధ్యం']</v>
      </c>
      <c r="C6338" s="2" t="s">
        <v>2170</v>
      </c>
      <c r="D6338" s="2" t="str">
        <f>IFERROR(__xludf.DUMMYFUNCTION("IF(C6338&lt;&gt;"""", GOOGLETRANSLATE(C6338, ""en"", ""te""),"""")"),"[ '38 వ ఉత్తమ కెరీర్ బౌలింగ్ సరాసరి (అర్హత లేకుండా) (12.00)']")</f>
        <v>[ '38 వ ఉత్తమ కెరీర్ బౌలింగ్ సరాసరి (అర్హత లేకుండా) (12.00)']</v>
      </c>
      <c r="E6338" s="2"/>
      <c r="F6338" s="2" t="str">
        <f>IFERROR(__xludf.DUMMYFUNCTION("IF(E6338&lt;&gt;"""", GOOGLETRANSLATE(E6338, ""en"", ""te""),"""")"),"")</f>
        <v/>
      </c>
      <c r="G6338" s="2"/>
      <c r="H6338" s="2" t="str">
        <f>IFERROR(__xludf.DUMMYFUNCTION("IF(G6338&lt;&gt;"""", GOOGLETRANSLATE(G6338, ""en"", ""te""),"""")"),"")</f>
        <v/>
      </c>
      <c r="I6338" s="3"/>
    </row>
    <row r="6339" customHeight="1" spans="1:9">
      <c r="A6339" s="2"/>
      <c r="B6339" s="2" t="str">
        <f>IFERROR(__xludf.DUMMYFUNCTION("IF(A6339&lt;&gt;"""", GOOGLETRANSLATE(A6339, ""en"", ""te""),"""")"),"")</f>
        <v/>
      </c>
      <c r="C6339" s="2"/>
      <c r="D6339" s="2" t="str">
        <f>IFERROR(__xludf.DUMMYFUNCTION("IF(C6339&lt;&gt;"""", GOOGLETRANSLATE(C6339, ""en"", ""te""),"""")"),"")</f>
        <v/>
      </c>
      <c r="E6339" s="2"/>
      <c r="F6339" s="2" t="str">
        <f>IFERROR(__xludf.DUMMYFUNCTION("IF(E6339&lt;&gt;"""", GOOGLETRANSLATE(E6339, ""en"", ""te""),"""")"),"")</f>
        <v/>
      </c>
      <c r="G6339" s="2"/>
      <c r="H6339" s="2" t="str">
        <f>IFERROR(__xludf.DUMMYFUNCTION("IF(G6339&lt;&gt;"""", GOOGLETRANSLATE(G6339, ""en"", ""te""),"""")"),"")</f>
        <v/>
      </c>
      <c r="I6339" s="3"/>
    </row>
    <row r="6340" customHeight="1" spans="1:9">
      <c r="A6340" s="2"/>
      <c r="B6340" s="2" t="str">
        <f>IFERROR(__xludf.DUMMYFUNCTION("IF(A6340&lt;&gt;"""", GOOGLETRANSLATE(A6340, ""en"", ""te""),"""")"),"")</f>
        <v/>
      </c>
      <c r="C6340" s="2"/>
      <c r="D6340" s="2" t="str">
        <f>IFERROR(__xludf.DUMMYFUNCTION("IF(C6340&lt;&gt;"""", GOOGLETRANSLATE(C6340, ""en"", ""te""),"""")"),"")</f>
        <v/>
      </c>
      <c r="E6340" s="2"/>
      <c r="F6340" s="2" t="str">
        <f>IFERROR(__xludf.DUMMYFUNCTION("IF(E6340&lt;&gt;"""", GOOGLETRANSLATE(E6340, ""en"", ""te""),"""")"),"")</f>
        <v/>
      </c>
      <c r="G6340" s="2"/>
      <c r="H6340" s="2" t="str">
        <f>IFERROR(__xludf.DUMMYFUNCTION("IF(G6340&lt;&gt;"""", GOOGLETRANSLATE(G6340, ""en"", ""te""),"""")"),"")</f>
        <v/>
      </c>
      <c r="I6340" s="3"/>
    </row>
    <row r="6341" customHeight="1" spans="1:9">
      <c r="A6341" s="2"/>
      <c r="B6341" s="2" t="str">
        <f>IFERROR(__xludf.DUMMYFUNCTION("IF(A6341&lt;&gt;"""", GOOGLETRANSLATE(A6341, ""en"", ""te""),"""")"),"")</f>
        <v/>
      </c>
      <c r="C6341" s="2"/>
      <c r="D6341" s="2" t="str">
        <f>IFERROR(__xludf.DUMMYFUNCTION("IF(C6341&lt;&gt;"""", GOOGLETRANSLATE(C6341, ""en"", ""te""),"""")"),"")</f>
        <v/>
      </c>
      <c r="E6341" s="2"/>
      <c r="F6341" s="2" t="str">
        <f>IFERROR(__xludf.DUMMYFUNCTION("IF(E6341&lt;&gt;"""", GOOGLETRANSLATE(E6341, ""en"", ""te""),"""")"),"")</f>
        <v/>
      </c>
      <c r="G6341" s="2"/>
      <c r="H6341" s="2" t="str">
        <f>IFERROR(__xludf.DUMMYFUNCTION("IF(G6341&lt;&gt;"""", GOOGLETRANSLATE(G6341, ""en"", ""te""),"""")"),"")</f>
        <v/>
      </c>
      <c r="I6341" s="3"/>
    </row>
    <row r="6342" customHeight="1" spans="1:9">
      <c r="A6342" s="2"/>
      <c r="B6342" s="2" t="str">
        <f>IFERROR(__xludf.DUMMYFUNCTION("IF(A6342&lt;&gt;"""", GOOGLETRANSLATE(A6342, ""en"", ""te""),"""")"),"")</f>
        <v/>
      </c>
      <c r="C6342" s="2"/>
      <c r="D6342" s="2" t="str">
        <f>IFERROR(__xludf.DUMMYFUNCTION("IF(C6342&lt;&gt;"""", GOOGLETRANSLATE(C6342, ""en"", ""te""),"""")"),"")</f>
        <v/>
      </c>
      <c r="E6342" s="2"/>
      <c r="F6342" s="2" t="str">
        <f>IFERROR(__xludf.DUMMYFUNCTION("IF(E6342&lt;&gt;"""", GOOGLETRANSLATE(E6342, ""en"", ""te""),"""")"),"")</f>
        <v/>
      </c>
      <c r="G6342" s="2"/>
      <c r="H6342" s="2" t="str">
        <f>IFERROR(__xludf.DUMMYFUNCTION("IF(G6342&lt;&gt;"""", GOOGLETRANSLATE(G6342, ""en"", ""te""),"""")"),"")</f>
        <v/>
      </c>
      <c r="I6342" s="3"/>
    </row>
    <row r="6343" customHeight="1" spans="1:9">
      <c r="A6343" s="2"/>
      <c r="B6343" s="2" t="str">
        <f>IFERROR(__xludf.DUMMYFUNCTION("IF(A6343&lt;&gt;"""", GOOGLETRANSLATE(A6343, ""en"", ""te""),"""")"),"")</f>
        <v/>
      </c>
      <c r="C6343" s="2"/>
      <c r="D6343" s="2" t="str">
        <f>IFERROR(__xludf.DUMMYFUNCTION("IF(C6343&lt;&gt;"""", GOOGLETRANSLATE(C6343, ""en"", ""te""),"""")"),"")</f>
        <v/>
      </c>
      <c r="E6343" s="2"/>
      <c r="F6343" s="2" t="str">
        <f>IFERROR(__xludf.DUMMYFUNCTION("IF(E6343&lt;&gt;"""", GOOGLETRANSLATE(E6343, ""en"", ""te""),"""")"),"")</f>
        <v/>
      </c>
      <c r="G6343" s="2"/>
      <c r="H6343" s="2" t="str">
        <f>IFERROR(__xludf.DUMMYFUNCTION("IF(G6343&lt;&gt;"""", GOOGLETRANSLATE(G6343, ""en"", ""te""),"""")"),"")</f>
        <v/>
      </c>
      <c r="I6343" s="3"/>
    </row>
    <row r="6344" customHeight="1" spans="1:9">
      <c r="A6344" s="2"/>
      <c r="B6344" s="2" t="str">
        <f>IFERROR(__xludf.DUMMYFUNCTION("IF(A6344&lt;&gt;"""", GOOGLETRANSLATE(A6344, ""en"", ""te""),"""")"),"")</f>
        <v/>
      </c>
      <c r="C6344" s="2"/>
      <c r="D6344" s="2" t="str">
        <f>IFERROR(__xludf.DUMMYFUNCTION("IF(C6344&lt;&gt;"""", GOOGLETRANSLATE(C6344, ""en"", ""te""),"""")"),"")</f>
        <v/>
      </c>
      <c r="E6344" s="2"/>
      <c r="F6344" s="2" t="str">
        <f>IFERROR(__xludf.DUMMYFUNCTION("IF(E6344&lt;&gt;"""", GOOGLETRANSLATE(E6344, ""en"", ""te""),"""")"),"")</f>
        <v/>
      </c>
      <c r="G6344" s="2"/>
      <c r="H6344" s="2" t="str">
        <f>IFERROR(__xludf.DUMMYFUNCTION("IF(G6344&lt;&gt;"""", GOOGLETRANSLATE(G6344, ""en"", ""te""),"""")"),"")</f>
        <v/>
      </c>
      <c r="I6344" s="3"/>
    </row>
    <row r="6345" customHeight="1" spans="1:9">
      <c r="A6345" s="2"/>
      <c r="B6345" s="2" t="str">
        <f>IFERROR(__xludf.DUMMYFUNCTION("IF(A6345&lt;&gt;"""", GOOGLETRANSLATE(A6345, ""en"", ""te""),"""")"),"")</f>
        <v/>
      </c>
      <c r="C6345" s="2"/>
      <c r="D6345" s="2" t="str">
        <f>IFERROR(__xludf.DUMMYFUNCTION("IF(C6345&lt;&gt;"""", GOOGLETRANSLATE(C6345, ""en"", ""te""),"""")"),"")</f>
        <v/>
      </c>
      <c r="E6345" s="2"/>
      <c r="F6345" s="2" t="str">
        <f>IFERROR(__xludf.DUMMYFUNCTION("IF(E6345&lt;&gt;"""", GOOGLETRANSLATE(E6345, ""en"", ""te""),"""")"),"")</f>
        <v/>
      </c>
      <c r="G6345" s="2"/>
      <c r="H6345" s="2" t="str">
        <f>IFERROR(__xludf.DUMMYFUNCTION("IF(G6345&lt;&gt;"""", GOOGLETRANSLATE(G6345, ""en"", ""te""),"""")"),"")</f>
        <v/>
      </c>
      <c r="I6345" s="3"/>
    </row>
    <row r="6346" customHeight="1" spans="1:9">
      <c r="A6346" s="2"/>
      <c r="B6346" s="2" t="str">
        <f>IFERROR(__xludf.DUMMYFUNCTION("IF(A6346&lt;&gt;"""", GOOGLETRANSLATE(A6346, ""en"", ""te""),"""")"),"")</f>
        <v/>
      </c>
      <c r="C6346" s="2"/>
      <c r="D6346" s="2" t="str">
        <f>IFERROR(__xludf.DUMMYFUNCTION("IF(C6346&lt;&gt;"""", GOOGLETRANSLATE(C6346, ""en"", ""te""),"""")"),"")</f>
        <v/>
      </c>
      <c r="E6346" s="2"/>
      <c r="F6346" s="2" t="str">
        <f>IFERROR(__xludf.DUMMYFUNCTION("IF(E6346&lt;&gt;"""", GOOGLETRANSLATE(E6346, ""en"", ""te""),"""")"),"")</f>
        <v/>
      </c>
      <c r="G6346" s="2"/>
      <c r="H6346" s="2" t="str">
        <f>IFERROR(__xludf.DUMMYFUNCTION("IF(G6346&lt;&gt;"""", GOOGLETRANSLATE(G6346, ""en"", ""te""),"""")"),"")</f>
        <v/>
      </c>
      <c r="I6346" s="3"/>
    </row>
    <row r="6347" customHeight="1" spans="1:9">
      <c r="A6347" s="2"/>
      <c r="B6347" s="2" t="str">
        <f>IFERROR(__xludf.DUMMYFUNCTION("IF(A6347&lt;&gt;"""", GOOGLETRANSLATE(A6347, ""en"", ""te""),"""")"),"")</f>
        <v/>
      </c>
      <c r="C6347" s="2"/>
      <c r="D6347" s="2" t="str">
        <f>IFERROR(__xludf.DUMMYFUNCTION("IF(C6347&lt;&gt;"""", GOOGLETRANSLATE(C6347, ""en"", ""te""),"""")"),"")</f>
        <v/>
      </c>
      <c r="E6347" s="2"/>
      <c r="F6347" s="2" t="str">
        <f>IFERROR(__xludf.DUMMYFUNCTION("IF(E6347&lt;&gt;"""", GOOGLETRANSLATE(E6347, ""en"", ""te""),"""")"),"")</f>
        <v/>
      </c>
      <c r="G6347" s="2"/>
      <c r="H6347" s="2" t="str">
        <f>IFERROR(__xludf.DUMMYFUNCTION("IF(G6347&lt;&gt;"""", GOOGLETRANSLATE(G6347, ""en"", ""te""),"""")"),"")</f>
        <v/>
      </c>
      <c r="I6347" s="3"/>
    </row>
    <row r="6348" customHeight="1" spans="1:9">
      <c r="A6348" s="2"/>
      <c r="B6348" s="2" t="str">
        <f>IFERROR(__xludf.DUMMYFUNCTION("IF(A6348&lt;&gt;"""", GOOGLETRANSLATE(A6348, ""en"", ""te""),"""")"),"")</f>
        <v/>
      </c>
      <c r="C6348" s="2"/>
      <c r="D6348" s="2" t="str">
        <f>IFERROR(__xludf.DUMMYFUNCTION("IF(C6348&lt;&gt;"""", GOOGLETRANSLATE(C6348, ""en"", ""te""),"""")"),"")</f>
        <v/>
      </c>
      <c r="E6348" s="2"/>
      <c r="F6348" s="2" t="str">
        <f>IFERROR(__xludf.DUMMYFUNCTION("IF(E6348&lt;&gt;"""", GOOGLETRANSLATE(E6348, ""en"", ""te""),"""")"),"")</f>
        <v/>
      </c>
      <c r="G6348" s="2"/>
      <c r="H6348" s="2" t="str">
        <f>IFERROR(__xludf.DUMMYFUNCTION("IF(G6348&lt;&gt;"""", GOOGLETRANSLATE(G6348, ""en"", ""te""),"""")"),"")</f>
        <v/>
      </c>
      <c r="I6348" s="3"/>
    </row>
    <row r="6349" customHeight="1" spans="1:9">
      <c r="A6349" s="2"/>
      <c r="B6349" s="2" t="str">
        <f>IFERROR(__xludf.DUMMYFUNCTION("IF(A6349&lt;&gt;"""", GOOGLETRANSLATE(A6349, ""en"", ""te""),"""")"),"")</f>
        <v/>
      </c>
      <c r="C6349" s="2"/>
      <c r="D6349" s="2" t="str">
        <f>IFERROR(__xludf.DUMMYFUNCTION("IF(C6349&lt;&gt;"""", GOOGLETRANSLATE(C6349, ""en"", ""te""),"""")"),"")</f>
        <v/>
      </c>
      <c r="E6349" s="2"/>
      <c r="F6349" s="2" t="str">
        <f>IFERROR(__xludf.DUMMYFUNCTION("IF(E6349&lt;&gt;"""", GOOGLETRANSLATE(E6349, ""en"", ""te""),"""")"),"")</f>
        <v/>
      </c>
      <c r="G6349" s="2"/>
      <c r="H6349" s="2" t="str">
        <f>IFERROR(__xludf.DUMMYFUNCTION("IF(G6349&lt;&gt;"""", GOOGLETRANSLATE(G6349, ""en"", ""te""),"""")"),"")</f>
        <v/>
      </c>
      <c r="I6349" s="3"/>
    </row>
    <row r="6350" customHeight="1" spans="1:9">
      <c r="A6350" s="2"/>
      <c r="B6350" s="2" t="str">
        <f>IFERROR(__xludf.DUMMYFUNCTION("IF(A6350&lt;&gt;"""", GOOGLETRANSLATE(A6350, ""en"", ""te""),"""")"),"")</f>
        <v/>
      </c>
      <c r="C6350" s="2"/>
      <c r="D6350" s="2" t="str">
        <f>IFERROR(__xludf.DUMMYFUNCTION("IF(C6350&lt;&gt;"""", GOOGLETRANSLATE(C6350, ""en"", ""te""),"""")"),"")</f>
        <v/>
      </c>
      <c r="E6350" s="2"/>
      <c r="F6350" s="2" t="str">
        <f>IFERROR(__xludf.DUMMYFUNCTION("IF(E6350&lt;&gt;"""", GOOGLETRANSLATE(E6350, ""en"", ""te""),"""")"),"")</f>
        <v/>
      </c>
      <c r="G6350" s="2"/>
      <c r="H6350" s="2" t="str">
        <f>IFERROR(__xludf.DUMMYFUNCTION("IF(G6350&lt;&gt;"""", GOOGLETRANSLATE(G6350, ""en"", ""te""),"""")"),"")</f>
        <v/>
      </c>
      <c r="I6350" s="3"/>
    </row>
    <row r="6351" customHeight="1" spans="1:9">
      <c r="A6351" s="2"/>
      <c r="B6351" s="2" t="str">
        <f>IFERROR(__xludf.DUMMYFUNCTION("IF(A6351&lt;&gt;"""", GOOGLETRANSLATE(A6351, ""en"", ""te""),"""")"),"")</f>
        <v/>
      </c>
      <c r="C6351" s="2"/>
      <c r="D6351" s="2" t="str">
        <f>IFERROR(__xludf.DUMMYFUNCTION("IF(C6351&lt;&gt;"""", GOOGLETRANSLATE(C6351, ""en"", ""te""),"""")"),"")</f>
        <v/>
      </c>
      <c r="E6351" s="2"/>
      <c r="F6351" s="2" t="str">
        <f>IFERROR(__xludf.DUMMYFUNCTION("IF(E6351&lt;&gt;"""", GOOGLETRANSLATE(E6351, ""en"", ""te""),"""")"),"")</f>
        <v/>
      </c>
      <c r="G6351" s="2"/>
      <c r="H6351" s="2" t="str">
        <f>IFERROR(__xludf.DUMMYFUNCTION("IF(G6351&lt;&gt;"""", GOOGLETRANSLATE(G6351, ""en"", ""te""),"""")"),"")</f>
        <v/>
      </c>
      <c r="I6351" s="3"/>
    </row>
    <row r="6352" customHeight="1" spans="1:9">
      <c r="A6352" s="2"/>
      <c r="B6352" s="2" t="str">
        <f>IFERROR(__xludf.DUMMYFUNCTION("IF(A6352&lt;&gt;"""", GOOGLETRANSLATE(A6352, ""en"", ""te""),"""")"),"")</f>
        <v/>
      </c>
      <c r="C6352" s="2"/>
      <c r="D6352" s="2" t="str">
        <f>IFERROR(__xludf.DUMMYFUNCTION("IF(C6352&lt;&gt;"""", GOOGLETRANSLATE(C6352, ""en"", ""te""),"""")"),"")</f>
        <v/>
      </c>
      <c r="E6352" s="2"/>
      <c r="F6352" s="2" t="str">
        <f>IFERROR(__xludf.DUMMYFUNCTION("IF(E6352&lt;&gt;"""", GOOGLETRANSLATE(E6352, ""en"", ""te""),"""")"),"")</f>
        <v/>
      </c>
      <c r="G6352" s="2"/>
      <c r="H6352" s="2" t="str">
        <f>IFERROR(__xludf.DUMMYFUNCTION("IF(G6352&lt;&gt;"""", GOOGLETRANSLATE(G6352, ""en"", ""te""),"""")"),"")</f>
        <v/>
      </c>
      <c r="I6352" s="3"/>
    </row>
    <row r="6353" customHeight="1" spans="1:9">
      <c r="A6353" s="2"/>
      <c r="B6353" s="2" t="str">
        <f>IFERROR(__xludf.DUMMYFUNCTION("IF(A6353&lt;&gt;"""", GOOGLETRANSLATE(A6353, ""en"", ""te""),"""")"),"")</f>
        <v/>
      </c>
      <c r="C6353" s="2"/>
      <c r="D6353" s="2" t="str">
        <f>IFERROR(__xludf.DUMMYFUNCTION("IF(C6353&lt;&gt;"""", GOOGLETRANSLATE(C6353, ""en"", ""te""),"""")"),"")</f>
        <v/>
      </c>
      <c r="E6353" s="2"/>
      <c r="F6353" s="2" t="str">
        <f>IFERROR(__xludf.DUMMYFUNCTION("IF(E6353&lt;&gt;"""", GOOGLETRANSLATE(E6353, ""en"", ""te""),"""")"),"")</f>
        <v/>
      </c>
      <c r="G6353" s="2"/>
      <c r="H6353" s="2" t="str">
        <f>IFERROR(__xludf.DUMMYFUNCTION("IF(G6353&lt;&gt;"""", GOOGLETRANSLATE(G6353, ""en"", ""te""),"""")"),"")</f>
        <v/>
      </c>
      <c r="I6353" s="3"/>
    </row>
    <row r="6354" customHeight="1" spans="1:9">
      <c r="A6354" s="2" t="s">
        <v>3848</v>
      </c>
      <c r="B6354" s="2" t="str">
        <f>IFERROR(__xludf.DUMMYFUNCTION("IF(A6354&lt;&gt;"""", GOOGLETRANSLATE(A6354, ""en"", ""te""),"""")"),"[ '7th చాలా బంతుల్లో ఇన్నింగ్స్ (504) లో బౌల్డ్']")</f>
        <v>[ '7th చాలా బంతుల్లో ఇన్నింగ్స్ (504) లో బౌల్డ్']</v>
      </c>
      <c r="C6354" s="2" t="s">
        <v>3849</v>
      </c>
      <c r="D6354" s="2" t="str">
        <f>IFERROR(__xludf.DUMMYFUNCTION("IF(C6354&lt;&gt;"""", GOOGLETRANSLATE(C6354, ""en"", ""te""),"""")"),"[ '46 వ చెత్త కెరీర్ సగటు (49.25) బౌలింగ్' '7th చాలా ఇన్నింగ్స్ లో బౌల్ చేయబడిన బంతులలో (504)', '31 ఇన్నింగ్స్ లో సాధించిన అత్యధిక పరుగులు (202)', '19 వ అత్యధిక పరుగులు ఒక మ్యాచ్ (275) లో సాధించిన ]")</f>
        <v>[ '46 వ చెత్త కెరీర్ సగటు (49.25) బౌలింగ్' '7th చాలా ఇన్నింగ్స్ లో బౌల్ చేయబడిన బంతులలో (504)', '31 ఇన్నింగ్స్ లో సాధించిన అత్యధిక పరుగులు (202)', '19 వ అత్యధిక పరుగులు ఒక మ్యాచ్ (275) లో సాధించిన ]</v>
      </c>
      <c r="E6354" s="2"/>
      <c r="F6354" s="2" t="str">
        <f>IFERROR(__xludf.DUMMYFUNCTION("IF(E6354&lt;&gt;"""", GOOGLETRANSLATE(E6354, ""en"", ""te""),"""")"),"")</f>
        <v/>
      </c>
      <c r="G6354" s="2"/>
      <c r="H6354" s="2" t="str">
        <f>IFERROR(__xludf.DUMMYFUNCTION("IF(G6354&lt;&gt;"""", GOOGLETRANSLATE(G6354, ""en"", ""te""),"""")"),"")</f>
        <v/>
      </c>
      <c r="I6354" s="3"/>
    </row>
    <row r="6355" customHeight="1" spans="1:9">
      <c r="A6355" s="2"/>
      <c r="B6355" s="2" t="str">
        <f>IFERROR(__xludf.DUMMYFUNCTION("IF(A6355&lt;&gt;"""", GOOGLETRANSLATE(A6355, ""en"", ""te""),"""")"),"")</f>
        <v/>
      </c>
      <c r="C6355" s="2"/>
      <c r="D6355" s="2" t="str">
        <f>IFERROR(__xludf.DUMMYFUNCTION("IF(C6355&lt;&gt;"""", GOOGLETRANSLATE(C6355, ""en"", ""te""),"""")"),"")</f>
        <v/>
      </c>
      <c r="E6355" s="2"/>
      <c r="F6355" s="2" t="str">
        <f>IFERROR(__xludf.DUMMYFUNCTION("IF(E6355&lt;&gt;"""", GOOGLETRANSLATE(E6355, ""en"", ""te""),"""")"),"")</f>
        <v/>
      </c>
      <c r="G6355" s="2"/>
      <c r="H6355" s="2" t="str">
        <f>IFERROR(__xludf.DUMMYFUNCTION("IF(G6355&lt;&gt;"""", GOOGLETRANSLATE(G6355, ""en"", ""te""),"""")"),"")</f>
        <v/>
      </c>
      <c r="I6355" s="3"/>
    </row>
    <row r="6356" customHeight="1" spans="1:9">
      <c r="A6356" s="2" t="s">
        <v>3850</v>
      </c>
      <c r="B6356" s="2" t="str">
        <f>IFERROR(__xludf.DUMMYFUNCTION("IF(A6356&lt;&gt;"""", GOOGLETRANSLATE(A6356, ""en"", ""te""),"""")"),"[ 'ఒక ఇన్నింగ్స్ లో ఒక ప్రత్యామ్నాయంగా (3) 3 వ అత్యధిక క్యాచ్లు']")</f>
        <v>[ 'ఒక ఇన్నింగ్స్ లో ఒక ప్రత్యామ్నాయంగా (3) 3 వ అత్యధిక క్యాచ్లు']</v>
      </c>
      <c r="C6356" s="2" t="s">
        <v>3851</v>
      </c>
      <c r="D6356" s="2" t="str">
        <f>IFERROR(__xludf.DUMMYFUNCTION("IF(C6356&lt;&gt;"""", GOOGLETRANSLATE(C6356, ""en"", ""te""),"""")"),"[ 'మొదటి డక్ (30) ముందు 48 వ అత్యంత ఇన్నింగ్స్' '36 వ ఇన్నింగ్స్ లో వచ్చిన ఎక్కువ సిక్స్ (6)', 'ఒక ఇన్నింగ్స్ లో ఒక ప్రత్యామ్నాయంగా 3 వ అత్యధిక క్యాచ్లు (3)', ఒక ఆటలో బదులు ద్వారా '6 వ అత్యధిక క్యాచ్లు (3) ',' తొమ్మిదవ వికెట్ (127) కోసం 22 అత్యధిక భాగస్వా"&amp;"మ్యం ']")</f>
        <v>[ 'మొదటి డక్ (30) ముందు 48 వ అత్యంత ఇన్నింగ్స్' '36 వ ఇన్నింగ్స్ లో వచ్చిన ఎక్కువ సిక్స్ (6)', 'ఒక ఇన్నింగ్స్ లో ఒక ప్రత్యామ్నాయంగా 3 వ అత్యధిక క్యాచ్లు (3)', ఒక ఆటలో బదులు ద్వారా '6 వ అత్యధిక క్యాచ్లు (3) ',' తొమ్మిదవ వికెట్ (127) కోసం 22 అత్యధిక భాగస్వామ్యం ']</v>
      </c>
      <c r="E6356" s="2"/>
      <c r="F6356" s="2" t="str">
        <f>IFERROR(__xludf.DUMMYFUNCTION("IF(E6356&lt;&gt;"""", GOOGLETRANSLATE(E6356, ""en"", ""te""),"""")"),"")</f>
        <v/>
      </c>
      <c r="G6356" s="2"/>
      <c r="H6356" s="2" t="str">
        <f>IFERROR(__xludf.DUMMYFUNCTION("IF(G6356&lt;&gt;"""", GOOGLETRANSLATE(G6356, ""en"", ""te""),"""")"),"")</f>
        <v/>
      </c>
      <c r="I6356" s="3"/>
    </row>
    <row r="6357" customHeight="1" spans="1:9">
      <c r="A6357" s="2"/>
      <c r="B6357" s="2" t="str">
        <f>IFERROR(__xludf.DUMMYFUNCTION("IF(A6357&lt;&gt;"""", GOOGLETRANSLATE(A6357, ""en"", ""te""),"""")"),"")</f>
        <v/>
      </c>
      <c r="C6357" s="2"/>
      <c r="D6357" s="2" t="str">
        <f>IFERROR(__xludf.DUMMYFUNCTION("IF(C6357&lt;&gt;"""", GOOGLETRANSLATE(C6357, ""en"", ""te""),"""")"),"")</f>
        <v/>
      </c>
      <c r="E6357" s="2"/>
      <c r="F6357" s="2" t="str">
        <f>IFERROR(__xludf.DUMMYFUNCTION("IF(E6357&lt;&gt;"""", GOOGLETRANSLATE(E6357, ""en"", ""te""),"""")"),"")</f>
        <v/>
      </c>
      <c r="G6357" s="2"/>
      <c r="H6357" s="2" t="str">
        <f>IFERROR(__xludf.DUMMYFUNCTION("IF(G6357&lt;&gt;"""", GOOGLETRANSLATE(G6357, ""en"", ""te""),"""")"),"")</f>
        <v/>
      </c>
      <c r="I6357" s="3"/>
    </row>
    <row r="6358" customHeight="1" spans="1:9">
      <c r="A6358" s="2"/>
      <c r="B6358" s="2" t="str">
        <f>IFERROR(__xludf.DUMMYFUNCTION("IF(A6358&lt;&gt;"""", GOOGLETRANSLATE(A6358, ""en"", ""te""),"""")"),"")</f>
        <v/>
      </c>
      <c r="C6358" s="2"/>
      <c r="D6358" s="2" t="str">
        <f>IFERROR(__xludf.DUMMYFUNCTION("IF(C6358&lt;&gt;"""", GOOGLETRANSLATE(C6358, ""en"", ""te""),"""")"),"")</f>
        <v/>
      </c>
      <c r="E6358" s="2"/>
      <c r="F6358" s="2" t="str">
        <f>IFERROR(__xludf.DUMMYFUNCTION("IF(E6358&lt;&gt;"""", GOOGLETRANSLATE(E6358, ""en"", ""te""),"""")"),"")</f>
        <v/>
      </c>
      <c r="G6358" s="2"/>
      <c r="H6358" s="2" t="str">
        <f>IFERROR(__xludf.DUMMYFUNCTION("IF(G6358&lt;&gt;"""", GOOGLETRANSLATE(G6358, ""en"", ""te""),"""")"),"")</f>
        <v/>
      </c>
      <c r="I6358" s="3"/>
    </row>
    <row r="6359" customHeight="1" spans="1:9">
      <c r="A6359" s="2"/>
      <c r="B6359" s="2" t="str">
        <f>IFERROR(__xludf.DUMMYFUNCTION("IF(A6359&lt;&gt;"""", GOOGLETRANSLATE(A6359, ""en"", ""te""),"""")"),"")</f>
        <v/>
      </c>
      <c r="C6359" s="2"/>
      <c r="D6359" s="2" t="str">
        <f>IFERROR(__xludf.DUMMYFUNCTION("IF(C6359&lt;&gt;"""", GOOGLETRANSLATE(C6359, ""en"", ""te""),"""")"),"")</f>
        <v/>
      </c>
      <c r="E6359" s="2"/>
      <c r="F6359" s="2" t="str">
        <f>IFERROR(__xludf.DUMMYFUNCTION("IF(E6359&lt;&gt;"""", GOOGLETRANSLATE(E6359, ""en"", ""te""),"""")"),"")</f>
        <v/>
      </c>
      <c r="G6359" s="2"/>
      <c r="H6359" s="2" t="str">
        <f>IFERROR(__xludf.DUMMYFUNCTION("IF(G6359&lt;&gt;"""", GOOGLETRANSLATE(G6359, ""en"", ""te""),"""")"),"")</f>
        <v/>
      </c>
      <c r="I6359" s="3"/>
    </row>
    <row r="6360" customHeight="1" spans="1:9">
      <c r="A6360" s="2"/>
      <c r="B6360" s="2" t="str">
        <f>IFERROR(__xludf.DUMMYFUNCTION("IF(A6360&lt;&gt;"""", GOOGLETRANSLATE(A6360, ""en"", ""te""),"""")"),"")</f>
        <v/>
      </c>
      <c r="C6360" s="2"/>
      <c r="D6360" s="2" t="str">
        <f>IFERROR(__xludf.DUMMYFUNCTION("IF(C6360&lt;&gt;"""", GOOGLETRANSLATE(C6360, ""en"", ""te""),"""")"),"")</f>
        <v/>
      </c>
      <c r="E6360" s="2"/>
      <c r="F6360" s="2" t="str">
        <f>IFERROR(__xludf.DUMMYFUNCTION("IF(E6360&lt;&gt;"""", GOOGLETRANSLATE(E6360, ""en"", ""te""),"""")"),"")</f>
        <v/>
      </c>
      <c r="G6360" s="2"/>
      <c r="H6360" s="2" t="str">
        <f>IFERROR(__xludf.DUMMYFUNCTION("IF(G6360&lt;&gt;"""", GOOGLETRANSLATE(G6360, ""en"", ""te""),"""")"),"")</f>
        <v/>
      </c>
      <c r="I6360" s="3"/>
    </row>
    <row r="6361" customHeight="1" spans="1:9">
      <c r="A6361" s="2"/>
      <c r="B6361" s="2" t="str">
        <f>IFERROR(__xludf.DUMMYFUNCTION("IF(A6361&lt;&gt;"""", GOOGLETRANSLATE(A6361, ""en"", ""te""),"""")"),"")</f>
        <v/>
      </c>
      <c r="C6361" s="2"/>
      <c r="D6361" s="2" t="str">
        <f>IFERROR(__xludf.DUMMYFUNCTION("IF(C6361&lt;&gt;"""", GOOGLETRANSLATE(C6361, ""en"", ""te""),"""")"),"")</f>
        <v/>
      </c>
      <c r="E6361" s="2"/>
      <c r="F6361" s="2" t="str">
        <f>IFERROR(__xludf.DUMMYFUNCTION("IF(E6361&lt;&gt;"""", GOOGLETRANSLATE(E6361, ""en"", ""te""),"""")"),"")</f>
        <v/>
      </c>
      <c r="G6361" s="2"/>
      <c r="H6361" s="2" t="str">
        <f>IFERROR(__xludf.DUMMYFUNCTION("IF(G6361&lt;&gt;"""", GOOGLETRANSLATE(G6361, ""en"", ""te""),"""")"),"")</f>
        <v/>
      </c>
      <c r="I6361" s="3"/>
    </row>
    <row r="6362" customHeight="1" spans="1:9">
      <c r="A6362" s="2"/>
      <c r="B6362" s="2" t="str">
        <f>IFERROR(__xludf.DUMMYFUNCTION("IF(A6362&lt;&gt;"""", GOOGLETRANSLATE(A6362, ""en"", ""te""),"""")"),"")</f>
        <v/>
      </c>
      <c r="C6362" s="2"/>
      <c r="D6362" s="2" t="str">
        <f>IFERROR(__xludf.DUMMYFUNCTION("IF(C6362&lt;&gt;"""", GOOGLETRANSLATE(C6362, ""en"", ""te""),"""")"),"")</f>
        <v/>
      </c>
      <c r="E6362" s="2"/>
      <c r="F6362" s="2" t="str">
        <f>IFERROR(__xludf.DUMMYFUNCTION("IF(E6362&lt;&gt;"""", GOOGLETRANSLATE(E6362, ""en"", ""te""),"""")"),"")</f>
        <v/>
      </c>
      <c r="G6362" s="2" t="s">
        <v>933</v>
      </c>
      <c r="H6362" s="2" t="str">
        <f>IFERROR(__xludf.DUMMYFUNCTION("IF(G6362&lt;&gt;"""", GOOGLETRANSLATE(G6362, ""en"", ""te""),"""")"),"[ '15 వ ఇన్నింగ్స్ లో అత్యధిక క్యాచ్లు (3)']")</f>
        <v>[ '15 వ ఇన్నింగ్స్ లో అత్యధిక క్యాచ్లు (3)']</v>
      </c>
      <c r="I6362" s="3"/>
    </row>
    <row r="6363" customHeight="1" spans="1:9">
      <c r="A6363" s="2"/>
      <c r="B6363" s="2" t="str">
        <f>IFERROR(__xludf.DUMMYFUNCTION("IF(A6363&lt;&gt;"""", GOOGLETRANSLATE(A6363, ""en"", ""te""),"""")"),"")</f>
        <v/>
      </c>
      <c r="C6363" s="2"/>
      <c r="D6363" s="2" t="str">
        <f>IFERROR(__xludf.DUMMYFUNCTION("IF(C6363&lt;&gt;"""", GOOGLETRANSLATE(C6363, ""en"", ""te""),"""")"),"")</f>
        <v/>
      </c>
      <c r="E6363" s="2"/>
      <c r="F6363" s="2" t="str">
        <f>IFERROR(__xludf.DUMMYFUNCTION("IF(E6363&lt;&gt;"""", GOOGLETRANSLATE(E6363, ""en"", ""te""),"""")"),"")</f>
        <v/>
      </c>
      <c r="G6363" s="2" t="s">
        <v>3852</v>
      </c>
      <c r="H6363" s="2" t="str">
        <f>IFERROR(__xludf.DUMMYFUNCTION("IF(G6363&lt;&gt;"""", GOOGLETRANSLATE(G6363, ""en"", ""te""),"""")"),"[ '36 వ తొలి మ్యాచ్లో అత్యధిక పరుగులు (54)', 'కెరీర్లో 47 వ లేవు బాతులు (14)', 'మూడో వికెట్ (100) కోసం 37 వ అత్యధిక భాగస్వామ్యం']")</f>
        <v>[ '36 వ తొలి మ్యాచ్లో అత్యధిక పరుగులు (54)', 'కెరీర్లో 47 వ లేవు బాతులు (14)', 'మూడో వికెట్ (100) కోసం 37 వ అత్యధిక భాగస్వామ్యం']</v>
      </c>
      <c r="I6363" s="3"/>
    </row>
    <row r="6364" customHeight="1" spans="1:9">
      <c r="A6364" s="2"/>
      <c r="B6364" s="2" t="str">
        <f>IFERROR(__xludf.DUMMYFUNCTION("IF(A6364&lt;&gt;"""", GOOGLETRANSLATE(A6364, ""en"", ""te""),"""")"),"")</f>
        <v/>
      </c>
      <c r="C6364" s="2"/>
      <c r="D6364" s="2" t="str">
        <f>IFERROR(__xludf.DUMMYFUNCTION("IF(C6364&lt;&gt;"""", GOOGLETRANSLATE(C6364, ""en"", ""te""),"""")"),"")</f>
        <v/>
      </c>
      <c r="E6364" s="2"/>
      <c r="F6364" s="2" t="str">
        <f>IFERROR(__xludf.DUMMYFUNCTION("IF(E6364&lt;&gt;"""", GOOGLETRANSLATE(E6364, ""en"", ""te""),"""")"),"")</f>
        <v/>
      </c>
      <c r="G6364" s="2"/>
      <c r="H6364" s="2" t="str">
        <f>IFERROR(__xludf.DUMMYFUNCTION("IF(G6364&lt;&gt;"""", GOOGLETRANSLATE(G6364, ""en"", ""te""),"""")"),"")</f>
        <v/>
      </c>
      <c r="I6364" s="3"/>
    </row>
    <row r="6365" customHeight="1" spans="1:9">
      <c r="A6365" s="2"/>
      <c r="B6365" s="2" t="str">
        <f>IFERROR(__xludf.DUMMYFUNCTION("IF(A6365&lt;&gt;"""", GOOGLETRANSLATE(A6365, ""en"", ""te""),"""")"),"")</f>
        <v/>
      </c>
      <c r="C6365" s="2"/>
      <c r="D6365" s="2" t="str">
        <f>IFERROR(__xludf.DUMMYFUNCTION("IF(C6365&lt;&gt;"""", GOOGLETRANSLATE(C6365, ""en"", ""te""),"""")"),"")</f>
        <v/>
      </c>
      <c r="E6365" s="2"/>
      <c r="F6365" s="2" t="str">
        <f>IFERROR(__xludf.DUMMYFUNCTION("IF(E6365&lt;&gt;"""", GOOGLETRANSLATE(E6365, ""en"", ""te""),"""")"),"")</f>
        <v/>
      </c>
      <c r="G6365" s="2"/>
      <c r="H6365" s="2" t="str">
        <f>IFERROR(__xludf.DUMMYFUNCTION("IF(G6365&lt;&gt;"""", GOOGLETRANSLATE(G6365, ""en"", ""te""),"""")"),"")</f>
        <v/>
      </c>
      <c r="I6365" s="3"/>
    </row>
    <row r="6366" customHeight="1" spans="1:9">
      <c r="A6366" s="2"/>
      <c r="B6366" s="2" t="str">
        <f>IFERROR(__xludf.DUMMYFUNCTION("IF(A6366&lt;&gt;"""", GOOGLETRANSLATE(A6366, ""en"", ""te""),"""")"),"")</f>
        <v/>
      </c>
      <c r="C6366" s="2"/>
      <c r="D6366" s="2" t="str">
        <f>IFERROR(__xludf.DUMMYFUNCTION("IF(C6366&lt;&gt;"""", GOOGLETRANSLATE(C6366, ""en"", ""te""),"""")"),"")</f>
        <v/>
      </c>
      <c r="E6366" s="2"/>
      <c r="F6366" s="2" t="str">
        <f>IFERROR(__xludf.DUMMYFUNCTION("IF(E6366&lt;&gt;"""", GOOGLETRANSLATE(E6366, ""en"", ""te""),"""")"),"")</f>
        <v/>
      </c>
      <c r="G6366" s="2"/>
      <c r="H6366" s="2" t="str">
        <f>IFERROR(__xludf.DUMMYFUNCTION("IF(G6366&lt;&gt;"""", GOOGLETRANSLATE(G6366, ""en"", ""te""),"""")"),"")</f>
        <v/>
      </c>
      <c r="I6366" s="3"/>
    </row>
    <row r="6367" customHeight="1" spans="1:9">
      <c r="A6367" s="2"/>
      <c r="B6367" s="2" t="str">
        <f>IFERROR(__xludf.DUMMYFUNCTION("IF(A6367&lt;&gt;"""", GOOGLETRANSLATE(A6367, ""en"", ""te""),"""")"),"")</f>
        <v/>
      </c>
      <c r="C6367" s="2"/>
      <c r="D6367" s="2" t="str">
        <f>IFERROR(__xludf.DUMMYFUNCTION("IF(C6367&lt;&gt;"""", GOOGLETRANSLATE(C6367, ""en"", ""te""),"""")"),"")</f>
        <v/>
      </c>
      <c r="E6367" s="2"/>
      <c r="F6367" s="2" t="str">
        <f>IFERROR(__xludf.DUMMYFUNCTION("IF(E6367&lt;&gt;"""", GOOGLETRANSLATE(E6367, ""en"", ""te""),"""")"),"")</f>
        <v/>
      </c>
      <c r="G6367" s="2"/>
      <c r="H6367" s="2" t="str">
        <f>IFERROR(__xludf.DUMMYFUNCTION("IF(G6367&lt;&gt;"""", GOOGLETRANSLATE(G6367, ""en"", ""te""),"""")"),"")</f>
        <v/>
      </c>
      <c r="I6367" s="3"/>
    </row>
    <row r="6368" customHeight="1" spans="1:9">
      <c r="A6368" s="2" t="s">
        <v>3853</v>
      </c>
      <c r="B6368" s="2" t="str">
        <f>IFERROR(__xludf.DUMMYFUNCTION("IF(A6368&lt;&gt;"""", GOOGLETRANSLATE(A6368, ""en"", ""te""),"""")"),"[ '6 వ ఉత్తమ కెరీర్ సమ్మె రేటు (42.2)', '3 వ అత్యంత ఇన్నింగ్స్ లో నడుస్తుంది (బ్యాటింగ్ స్థానం) (59)', '4 వ 50 వికెట్లు (24) వేగంగా', '1 వ అత్యుత్తమ బౌలింగ్ ఇన్నింగ్స్ లో విశ్లేషించడం (1 / 0) ',' 1 వ ఇన్నింగ్స్ (2) ',' 8 వ అత్యధిక వికెట్లు సాధించిన వికెట్"&amp;"కీపర్గా (9 పట్టుకుంటే తీసుకున్న అత్యంత పనికత్తెలయొద్ద) ']")</f>
        <v>[ '6 వ ఉత్తమ కెరీర్ సమ్మె రేటు (42.2)', '3 వ అత్యంత ఇన్నింగ్స్ లో నడుస్తుంది (బ్యాటింగ్ స్థానం) (59)', '4 వ 50 వికెట్లు (24) వేగంగా', '1 వ అత్యుత్తమ బౌలింగ్ ఇన్నింగ్స్ లో విశ్లేషించడం (1 / 0) ',' 1 వ ఇన్నింగ్స్ (2) ',' 8 వ అత్యధిక వికెట్లు సాధించిన వికెట్కీపర్గా (9 పట్టుకుంటే తీసుకున్న అత్యంత పనికత్తెలయొద్ద) ']</v>
      </c>
      <c r="C6368" s="2" t="s">
        <v>3854</v>
      </c>
      <c r="D6368" s="2" t="str">
        <f>IFERROR(__xludf.DUMMYFUNCTION("IF(C6368&lt;&gt;"""", GOOGLETRANSLATE(C6368, ""en"", ""te""),"""")"),"[ '32 వ ఉత్తమ కెరీర్ బౌలింగ్ సరాసరి (22.05)', '6 వ ఉత్తమ కెరీర్ సమ్మె రేటు (42.2)']")</f>
        <v>[ '32 వ ఉత్తమ కెరీర్ బౌలింగ్ సరాసరి (22.05)', '6 వ ఉత్తమ కెరీర్ సమ్మె రేటు (42.2)']</v>
      </c>
      <c r="E6368" s="2" t="s">
        <v>3855</v>
      </c>
      <c r="F6368" s="2" t="str">
        <f>IFERROR(__xludf.DUMMYFUNCTION("IF(E6368&lt;&gt;"""", GOOGLETRANSLATE(E6368, ""en"", ""te""),"""")"),"[ 'ఇన్నింగ్స్ లో 3 వ అత్యధిక పరుగులు (బ్యాటింగ్ స్థానంలో ప్రకారం) (59)', 'ఇన్నింగ్స్ (290.90) లో 20 వ అత్యధిక స్ట్రైక్ రేట్' 'ఒక క్యాలెండర్ సంవత్సరంలో 36 వ అత్యధిక వికెట్లు (45)', '14 వ ఉత్తమ ఒక లో సంఖ్యలు ఇన్నింగ్స్ ఉన్నప్పుడు పరాజయం వైపు (5) ',' 42 వ "&amp;"ఉత్తమ కెరీర్ సమ్మె రేటు (31.4) ',' 46 వ చెత్త కెరీర్లో ఆర్థిక రేటు (5.65) ',' ఇన్నింగ్స్ లో 37 వ చెత్త ఆర్థిక రేటు (11.11) ',' 25 వ అత్యంత ఐదు -wickets-ఇన్-ఒక-ఇన్నింగ్స్ కెరీర్లో (3) ',' 43 వ పిన్న ఆటగాడు తీసుకుని ఐదు-వికెట్ల లో-ఒక-ఇన్నింగ్స్ (22y 204d) '"&amp;",' 12 వ అత్యంత ఇన్నింగ్స్ లో సాధించిన పరుగులు (100) ', '4 వ వేగవంతమైన 50 వికెట్లు (24)']")</f>
        <v>[ 'ఇన్నింగ్స్ లో 3 వ అత్యధిక పరుగులు (బ్యాటింగ్ స్థానంలో ప్రకారం) (59)', 'ఇన్నింగ్స్ (290.90) లో 20 వ అత్యధిక స్ట్రైక్ రేట్' 'ఒక క్యాలెండర్ సంవత్సరంలో 36 వ అత్యధిక వికెట్లు (45)', '14 వ ఉత్తమ ఒక లో సంఖ్యలు ఇన్నింగ్స్ ఉన్నప్పుడు పరాజయం వైపు (5) ',' 42 వ ఉత్తమ కెరీర్ సమ్మె రేటు (31.4) ',' 46 వ చెత్త కెరీర్లో ఆర్థిక రేటు (5.65) ',' ఇన్నింగ్స్ లో 37 వ చెత్త ఆర్థిక రేటు (11.11) ',' 25 వ అత్యంత ఐదు -wickets-ఇన్-ఒక-ఇన్నింగ్స్ కెరీర్లో (3) ',' 43 వ పిన్న ఆటగాడు తీసుకుని ఐదు-వికెట్ల లో-ఒక-ఇన్నింగ్స్ (22y 204d) ',' 12 వ అత్యంత ఇన్నింగ్స్ లో సాధించిన పరుగులు (100) ', '4 వ వేగవంతమైన 50 వికెట్లు (24)']</v>
      </c>
      <c r="G6368" s="2" t="s">
        <v>3856</v>
      </c>
      <c r="H6368" s="2" t="str">
        <f>IFERROR(__xludf.DUMMYFUNCTION("IF(G6368&lt;&gt;"""", GOOGLETRANSLATE(G6368, ""en"", ""te""),"""")"),"[ '39 వ కెరీర్ లో అత్యధిక వికెట్లు (48)', '1 వ అత్యుత్తమ బౌలింగ్ ఇన్నింగ్స్ లో విశ్లేషించడం (1/0)', ​​'47 వ సగటు (21.97) బౌలింగ్ ఉత్తమ జీవితం' '16 వ ఉత్తమ కెరీర్ సమ్మె రేటు (15.6)', ' 18 చెత్త కెరీర్లో ఆర్థిక రేటు (8.40) ',' 46 వ అత్యధిక పరుగులు కెరీర్లో "&amp;"సాధించిన (1055) ',' 12 వ బౌలర్ / ఫీల్డర్ కలయికలు (8) ',' 20 వ అత్యధిక వికెట్లు తీసుకున్న బౌల్డ్ (14) ',' 46 వ అత్యధిక వికెట్లు ఆకర్షించింది తీసుకున్న (31) ',' 8 వ అత్యధిక వికెట్లు ఒక వికెట్ కీపర్ చే కాట్ తీసుకోకూడదు (9) ',' 19 వ కెరీర్ పనికత్తెలయొద్ద (3) "&amp;"',' 1 వ అత్యంత ఇన్నింగ్స్ లో పనికత్తెలయొద్ద (2) ']")</f>
        <v>[ '39 వ కెరీర్ లో అత్యధిక వికెట్లు (48)', '1 వ అత్యుత్తమ బౌలింగ్ ఇన్నింగ్స్ లో విశ్లేషించడం (1/0)', ​​'47 వ సగటు (21.97) బౌలింగ్ ఉత్తమ జీవితం' '16 వ ఉత్తమ కెరీర్ సమ్మె రేటు (15.6)', ' 18 చెత్త కెరీర్లో ఆర్థిక రేటు (8.40) ',' 46 వ అత్యధిక పరుగులు కెరీర్లో సాధించిన (1055) ',' 12 వ బౌలర్ / ఫీల్డర్ కలయికలు (8) ',' 20 వ అత్యధిక వికెట్లు తీసుకున్న బౌల్డ్ (14) ',' 46 వ అత్యధిక వికెట్లు ఆకర్షించింది తీసుకున్న (31) ',' 8 వ అత్యధిక వికెట్లు ఒక వికెట్ కీపర్ చే కాట్ తీసుకోకూడదు (9) ',' 19 వ కెరీర్ పనికత్తెలయొద్ద (3) ',' 1 వ అత్యంత ఇన్నింగ్స్ లో పనికత్తెలయొద్ద (2) ']</v>
      </c>
      <c r="I6368" s="3"/>
    </row>
    <row r="6369" customHeight="1" spans="1:9">
      <c r="A6369" s="2"/>
      <c r="B6369" s="2" t="str">
        <f>IFERROR(__xludf.DUMMYFUNCTION("IF(A6369&lt;&gt;"""", GOOGLETRANSLATE(A6369, ""en"", ""te""),"""")"),"")</f>
        <v/>
      </c>
      <c r="C6369" s="2"/>
      <c r="D6369" s="2" t="str">
        <f>IFERROR(__xludf.DUMMYFUNCTION("IF(C6369&lt;&gt;"""", GOOGLETRANSLATE(C6369, ""en"", ""te""),"""")"),"")</f>
        <v/>
      </c>
      <c r="E6369" s="2"/>
      <c r="F6369" s="2" t="str">
        <f>IFERROR(__xludf.DUMMYFUNCTION("IF(E6369&lt;&gt;"""", GOOGLETRANSLATE(E6369, ""en"", ""te""),"""")"),"")</f>
        <v/>
      </c>
      <c r="G6369" s="2"/>
      <c r="H6369" s="2" t="str">
        <f>IFERROR(__xludf.DUMMYFUNCTION("IF(G6369&lt;&gt;"""", GOOGLETRANSLATE(G6369, ""en"", ""te""),"""")"),"")</f>
        <v/>
      </c>
      <c r="I6369" s="3"/>
    </row>
    <row r="6370" customHeight="1" spans="1:9">
      <c r="A6370" s="2"/>
      <c r="B6370" s="2" t="str">
        <f>IFERROR(__xludf.DUMMYFUNCTION("IF(A6370&lt;&gt;"""", GOOGLETRANSLATE(A6370, ""en"", ""te""),"""")"),"")</f>
        <v/>
      </c>
      <c r="C6370" s="2"/>
      <c r="D6370" s="2" t="str">
        <f>IFERROR(__xludf.DUMMYFUNCTION("IF(C6370&lt;&gt;"""", GOOGLETRANSLATE(C6370, ""en"", ""te""),"""")"),"")</f>
        <v/>
      </c>
      <c r="E6370" s="2"/>
      <c r="F6370" s="2" t="str">
        <f>IFERROR(__xludf.DUMMYFUNCTION("IF(E6370&lt;&gt;"""", GOOGLETRANSLATE(E6370, ""en"", ""te""),"""")"),"")</f>
        <v/>
      </c>
      <c r="G6370" s="2"/>
      <c r="H6370" s="2" t="str">
        <f>IFERROR(__xludf.DUMMYFUNCTION("IF(G6370&lt;&gt;"""", GOOGLETRANSLATE(G6370, ""en"", ""te""),"""")"),"")</f>
        <v/>
      </c>
      <c r="I6370" s="3"/>
    </row>
    <row r="6371" customHeight="1" spans="1:9">
      <c r="A6371" s="2" t="s">
        <v>3857</v>
      </c>
      <c r="B6371" s="2" t="str">
        <f>IFERROR(__xludf.DUMMYFUNCTION("IF(A6371&lt;&gt;"""", GOOGLETRANSLATE(A6371, ""en"", ""te""),"""")"),"[ '4 వ అత్యంత ఇన్నింగ్స్ లో నడుస్తుంది (బ్యాటింగ్ స్థానం) (337)', 'ఒక మ్యాచ్లో ప్రతి ఇన్నింగ్స్లో హండ్రెడ్', 'హండ్రెడ్ మరియు ఒక మ్యాచ్లో తొంభై', 'హండ్రెడ్ మరియు ఒక మ్యాచ్లో ఒక డక్', '1st లాంగెస్ట్ వ్యక్తిగత ఇన్నింగ్స్ (నిమిషాలు) (970) ']")</f>
        <v>[ '4 వ అత్యంత ఇన్నింగ్స్ లో నడుస్తుంది (బ్యాటింగ్ స్థానం) (337)', 'ఒక మ్యాచ్లో ప్రతి ఇన్నింగ్స్లో హండ్రెడ్', 'హండ్రెడ్ మరియు ఒక మ్యాచ్లో తొంభై', 'హండ్రెడ్ మరియు ఒక మ్యాచ్లో ఒక డక్', '1st లాంగెస్ట్ వ్యక్తిగత ఇన్నింగ్స్ (నిమిషాలు) (970) ']</v>
      </c>
      <c r="C6371" s="2" t="s">
        <v>3858</v>
      </c>
      <c r="D6371" s="2" t="str">
        <f>IFERROR(__xludf.DUMMYFUNCTION("IF(C6371&lt;&gt;"""", GOOGLETRANSLATE(C6371, ""en"", ""te""),"""")"),"[ 'ఇన్నింగ్స్ లో 8 వ అత్యధిక పరుగులు (337)', '13 వ మ్యాచ్ లో అత్యధిక పరుగులు (354)', '4 వ ఇన్నింగ్స్ లో అత్యధిక పరుగులు (బ్యాటింగ్ స్థానంలో ప్రకారం) (337)', '5 వ అత్యధిక ట్రిపుల్ ఒక వృత్తిలో వందల (1) ',' 25 వ పిన్న ఆటగాడు ట్రిపుల్ వందల (23y 27d) స్కోర్ డబ"&amp;"ుల్ సెంచరీ (23y 27d) ',' 4 వ పిన్న ఆటగాడు స్కోర్ వంద (20y 25d) స్కోర్ ',' 18 వ పిన్న ఆటగాడు ',' 1 వ లాంగెస్ట్ వ్యక్తిగత ఇన్నింగ్స్ (నిమిషాలు) (970) ',' 20 వ లాంగెస్ట్ వ్యక్తిగత ఇన్నింగ్స్ (బంతులతో) (556) ',' ఆరవ వికెట్కు 33 వ అత్యధిక భాగస్వామ్యం (217) ఎని"&amp;"మిదో వికెట్కు ',' 38 వ అత్యధిక భాగస్వామ్యం (130 ) ',' 32 వ పిన్న క్రీడాకారులు (17y 300D) ',' 17 వ వరుస అన్ని టాస్ గెలిచిన (3) ',' 16 వ ఇన్నింగ్స్ లో సాధించిన బైస్ (28) ']")</f>
        <v>[ 'ఇన్నింగ్స్ లో 8 వ అత్యధిక పరుగులు (337)', '13 వ మ్యాచ్ లో అత్యధిక పరుగులు (354)', '4 వ ఇన్నింగ్స్ లో అత్యధిక పరుగులు (బ్యాటింగ్ స్థానంలో ప్రకారం) (337)', '5 వ అత్యధిక ట్రిపుల్ ఒక వృత్తిలో వందల (1) ',' 25 వ పిన్న ఆటగాడు ట్రిపుల్ వందల (23y 27d) స్కోర్ డబుల్ సెంచరీ (23y 27d) ',' 4 వ పిన్న ఆటగాడు స్కోర్ వంద (20y 25d) స్కోర్ ',' 18 వ పిన్న ఆటగాడు ',' 1 వ లాంగెస్ట్ వ్యక్తిగత ఇన్నింగ్స్ (నిమిషాలు) (970) ',' 20 వ లాంగెస్ట్ వ్యక్తిగత ఇన్నింగ్స్ (బంతులతో) (556) ',' ఆరవ వికెట్కు 33 వ అత్యధిక భాగస్వామ్యం (217) ఎనిమిదో వికెట్కు ',' 38 వ అత్యధిక భాగస్వామ్యం (130 ) ',' 32 వ పిన్న క్రీడాకారులు (17y 300D) ',' 17 వ వరుస అన్ని టాస్ గెలిచిన (3) ',' 16 వ ఇన్నింగ్స్ లో సాధించిన బైస్ (28) ']</v>
      </c>
      <c r="E6371" s="2"/>
      <c r="F6371" s="2" t="str">
        <f>IFERROR(__xludf.DUMMYFUNCTION("IF(E6371&lt;&gt;"""", GOOGLETRANSLATE(E6371, ""en"", ""te""),"""")"),"")</f>
        <v/>
      </c>
      <c r="G6371" s="2"/>
      <c r="H6371" s="2" t="str">
        <f>IFERROR(__xludf.DUMMYFUNCTION("IF(G6371&lt;&gt;"""", GOOGLETRANSLATE(G6371, ""en"", ""te""),"""")"),"")</f>
        <v/>
      </c>
      <c r="I6371" s="3"/>
    </row>
    <row r="6372" customHeight="1" spans="1:9">
      <c r="A6372" s="2"/>
      <c r="B6372" s="2" t="str">
        <f>IFERROR(__xludf.DUMMYFUNCTION("IF(A6372&lt;&gt;"""", GOOGLETRANSLATE(A6372, ""en"", ""te""),"""")"),"")</f>
        <v/>
      </c>
      <c r="C6372" s="2"/>
      <c r="D6372" s="2" t="str">
        <f>IFERROR(__xludf.DUMMYFUNCTION("IF(C6372&lt;&gt;"""", GOOGLETRANSLATE(C6372, ""en"", ""te""),"""")"),"")</f>
        <v/>
      </c>
      <c r="E6372" s="2"/>
      <c r="F6372" s="2" t="str">
        <f>IFERROR(__xludf.DUMMYFUNCTION("IF(E6372&lt;&gt;"""", GOOGLETRANSLATE(E6372, ""en"", ""te""),"""")"),"")</f>
        <v/>
      </c>
      <c r="G6372" s="2"/>
      <c r="H6372" s="2" t="str">
        <f>IFERROR(__xludf.DUMMYFUNCTION("IF(G6372&lt;&gt;"""", GOOGLETRANSLATE(G6372, ""en"", ""te""),"""")"),"")</f>
        <v/>
      </c>
      <c r="I6372" s="3"/>
    </row>
    <row r="6373" customHeight="1" spans="1:9">
      <c r="A6373" s="2"/>
      <c r="B6373" s="2" t="str">
        <f>IFERROR(__xludf.DUMMYFUNCTION("IF(A6373&lt;&gt;"""", GOOGLETRANSLATE(A6373, ""en"", ""te""),"""")"),"")</f>
        <v/>
      </c>
      <c r="C6373" s="2"/>
      <c r="D6373" s="2" t="str">
        <f>IFERROR(__xludf.DUMMYFUNCTION("IF(C6373&lt;&gt;"""", GOOGLETRANSLATE(C6373, ""en"", ""te""),"""")"),"")</f>
        <v/>
      </c>
      <c r="E6373" s="2"/>
      <c r="F6373" s="2" t="str">
        <f>IFERROR(__xludf.DUMMYFUNCTION("IF(E6373&lt;&gt;"""", GOOGLETRANSLATE(E6373, ""en"", ""te""),"""")"),"")</f>
        <v/>
      </c>
      <c r="G6373" s="2"/>
      <c r="H6373" s="2" t="str">
        <f>IFERROR(__xludf.DUMMYFUNCTION("IF(G6373&lt;&gt;"""", GOOGLETRANSLATE(G6373, ""en"", ""te""),"""")"),"")</f>
        <v/>
      </c>
      <c r="I6373" s="3"/>
    </row>
    <row r="6374" customHeight="1" spans="1:9">
      <c r="A6374" s="2"/>
      <c r="B6374" s="2" t="str">
        <f>IFERROR(__xludf.DUMMYFUNCTION("IF(A6374&lt;&gt;"""", GOOGLETRANSLATE(A6374, ""en"", ""te""),"""")"),"")</f>
        <v/>
      </c>
      <c r="C6374" s="2"/>
      <c r="D6374" s="2" t="str">
        <f>IFERROR(__xludf.DUMMYFUNCTION("IF(C6374&lt;&gt;"""", GOOGLETRANSLATE(C6374, ""en"", ""te""),"""")"),"")</f>
        <v/>
      </c>
      <c r="E6374" s="2"/>
      <c r="F6374" s="2" t="str">
        <f>IFERROR(__xludf.DUMMYFUNCTION("IF(E6374&lt;&gt;"""", GOOGLETRANSLATE(E6374, ""en"", ""te""),"""")"),"")</f>
        <v/>
      </c>
      <c r="G6374" s="2"/>
      <c r="H6374" s="2" t="str">
        <f>IFERROR(__xludf.DUMMYFUNCTION("IF(G6374&lt;&gt;"""", GOOGLETRANSLATE(G6374, ""en"", ""te""),"""")"),"")</f>
        <v/>
      </c>
      <c r="I6374" s="3"/>
    </row>
    <row r="6375" customHeight="1" spans="1:9">
      <c r="A6375" s="2"/>
      <c r="B6375" s="2" t="str">
        <f>IFERROR(__xludf.DUMMYFUNCTION("IF(A6375&lt;&gt;"""", GOOGLETRANSLATE(A6375, ""en"", ""te""),"""")"),"")</f>
        <v/>
      </c>
      <c r="C6375" s="2"/>
      <c r="D6375" s="2" t="str">
        <f>IFERROR(__xludf.DUMMYFUNCTION("IF(C6375&lt;&gt;"""", GOOGLETRANSLATE(C6375, ""en"", ""te""),"""")"),"")</f>
        <v/>
      </c>
      <c r="E6375" s="2" t="s">
        <v>3859</v>
      </c>
      <c r="F6375" s="2" t="str">
        <f>IFERROR(__xludf.DUMMYFUNCTION("IF(E6375&lt;&gt;"""", GOOGLETRANSLATE(E6375, ""en"", ""te""),"""")"),"[ '34 వ లాంగెస్ట్ క్రీడాకారులు నివసించారు (63y 74d)']")</f>
        <v>[ '34 వ లాంగెస్ట్ క్రీడాకారులు నివసించారు (63y 74d)']</v>
      </c>
      <c r="G6375" s="2"/>
      <c r="H6375" s="2" t="str">
        <f>IFERROR(__xludf.DUMMYFUNCTION("IF(G6375&lt;&gt;"""", GOOGLETRANSLATE(G6375, ""en"", ""te""),"""")"),"")</f>
        <v/>
      </c>
      <c r="I6375" s="3"/>
    </row>
    <row r="6376" customHeight="1" spans="1:9">
      <c r="A6376" s="2"/>
      <c r="B6376" s="2" t="str">
        <f>IFERROR(__xludf.DUMMYFUNCTION("IF(A6376&lt;&gt;"""", GOOGLETRANSLATE(A6376, ""en"", ""te""),"""")"),"")</f>
        <v/>
      </c>
      <c r="C6376" s="2"/>
      <c r="D6376" s="2" t="str">
        <f>IFERROR(__xludf.DUMMYFUNCTION("IF(C6376&lt;&gt;"""", GOOGLETRANSLATE(C6376, ""en"", ""te""),"""")"),"")</f>
        <v/>
      </c>
      <c r="E6376" s="2"/>
      <c r="F6376" s="2" t="str">
        <f>IFERROR(__xludf.DUMMYFUNCTION("IF(E6376&lt;&gt;"""", GOOGLETRANSLATE(E6376, ""en"", ""te""),"""")"),"")</f>
        <v/>
      </c>
      <c r="G6376" s="2"/>
      <c r="H6376" s="2" t="str">
        <f>IFERROR(__xludf.DUMMYFUNCTION("IF(G6376&lt;&gt;"""", GOOGLETRANSLATE(G6376, ""en"", ""te""),"""")"),"")</f>
        <v/>
      </c>
      <c r="I6376" s="3"/>
    </row>
    <row r="6377" customHeight="1" spans="1:9">
      <c r="A6377" s="2"/>
      <c r="B6377" s="2" t="str">
        <f>IFERROR(__xludf.DUMMYFUNCTION("IF(A6377&lt;&gt;"""", GOOGLETRANSLATE(A6377, ""en"", ""te""),"""")"),"")</f>
        <v/>
      </c>
      <c r="C6377" s="2"/>
      <c r="D6377" s="2" t="str">
        <f>IFERROR(__xludf.DUMMYFUNCTION("IF(C6377&lt;&gt;"""", GOOGLETRANSLATE(C6377, ""en"", ""te""),"""")"),"")</f>
        <v/>
      </c>
      <c r="E6377" s="2"/>
      <c r="F6377" s="2" t="str">
        <f>IFERROR(__xludf.DUMMYFUNCTION("IF(E6377&lt;&gt;"""", GOOGLETRANSLATE(E6377, ""en"", ""te""),"""")"),"")</f>
        <v/>
      </c>
      <c r="G6377" s="2"/>
      <c r="H6377" s="2" t="str">
        <f>IFERROR(__xludf.DUMMYFUNCTION("IF(G6377&lt;&gt;"""", GOOGLETRANSLATE(G6377, ""en"", ""te""),"""")"),"")</f>
        <v/>
      </c>
      <c r="I6377" s="3"/>
    </row>
    <row r="6378" customHeight="1" spans="1:9">
      <c r="A6378" s="2"/>
      <c r="B6378" s="2" t="str">
        <f>IFERROR(__xludf.DUMMYFUNCTION("IF(A6378&lt;&gt;"""", GOOGLETRANSLATE(A6378, ""en"", ""te""),"""")"),"")</f>
        <v/>
      </c>
      <c r="C6378" s="2"/>
      <c r="D6378" s="2" t="str">
        <f>IFERROR(__xludf.DUMMYFUNCTION("IF(C6378&lt;&gt;"""", GOOGLETRANSLATE(C6378, ""en"", ""te""),"""")"),"")</f>
        <v/>
      </c>
      <c r="E6378" s="2"/>
      <c r="F6378" s="2" t="str">
        <f>IFERROR(__xludf.DUMMYFUNCTION("IF(E6378&lt;&gt;"""", GOOGLETRANSLATE(E6378, ""en"", ""te""),"""")"),"")</f>
        <v/>
      </c>
      <c r="G6378" s="2"/>
      <c r="H6378" s="2" t="str">
        <f>IFERROR(__xludf.DUMMYFUNCTION("IF(G6378&lt;&gt;"""", GOOGLETRANSLATE(G6378, ""en"", ""te""),"""")"),"")</f>
        <v/>
      </c>
      <c r="I6378" s="3"/>
    </row>
    <row r="6379" customHeight="1" spans="1:9">
      <c r="A6379" s="2"/>
      <c r="B6379" s="2" t="str">
        <f>IFERROR(__xludf.DUMMYFUNCTION("IF(A6379&lt;&gt;"""", GOOGLETRANSLATE(A6379, ""en"", ""te""),"""")"),"")</f>
        <v/>
      </c>
      <c r="C6379" s="2"/>
      <c r="D6379" s="2" t="str">
        <f>IFERROR(__xludf.DUMMYFUNCTION("IF(C6379&lt;&gt;"""", GOOGLETRANSLATE(C6379, ""en"", ""te""),"""")"),"")</f>
        <v/>
      </c>
      <c r="E6379" s="2"/>
      <c r="F6379" s="2" t="str">
        <f>IFERROR(__xludf.DUMMYFUNCTION("IF(E6379&lt;&gt;"""", GOOGLETRANSLATE(E6379, ""en"", ""te""),"""")"),"")</f>
        <v/>
      </c>
      <c r="G6379" s="2"/>
      <c r="H6379" s="2" t="str">
        <f>IFERROR(__xludf.DUMMYFUNCTION("IF(G6379&lt;&gt;"""", GOOGLETRANSLATE(G6379, ""en"", ""te""),"""")"),"")</f>
        <v/>
      </c>
      <c r="I6379" s="3"/>
    </row>
    <row r="6380" customHeight="1" spans="1:9">
      <c r="A6380" s="2"/>
      <c r="B6380" s="2" t="str">
        <f>IFERROR(__xludf.DUMMYFUNCTION("IF(A6380&lt;&gt;"""", GOOGLETRANSLATE(A6380, ""en"", ""te""),"""")"),"")</f>
        <v/>
      </c>
      <c r="C6380" s="2"/>
      <c r="D6380" s="2" t="str">
        <f>IFERROR(__xludf.DUMMYFUNCTION("IF(C6380&lt;&gt;"""", GOOGLETRANSLATE(C6380, ""en"", ""te""),"""")"),"")</f>
        <v/>
      </c>
      <c r="E6380" s="2"/>
      <c r="F6380" s="2" t="str">
        <f>IFERROR(__xludf.DUMMYFUNCTION("IF(E6380&lt;&gt;"""", GOOGLETRANSLATE(E6380, ""en"", ""te""),"""")"),"")</f>
        <v/>
      </c>
      <c r="G6380" s="2"/>
      <c r="H6380" s="2" t="str">
        <f>IFERROR(__xludf.DUMMYFUNCTION("IF(G6380&lt;&gt;"""", GOOGLETRANSLATE(G6380, ""en"", ""te""),"""")"),"")</f>
        <v/>
      </c>
      <c r="I6380" s="3"/>
    </row>
    <row r="6381" customHeight="1" spans="1:9">
      <c r="A6381" s="2"/>
      <c r="B6381" s="2" t="str">
        <f>IFERROR(__xludf.DUMMYFUNCTION("IF(A6381&lt;&gt;"""", GOOGLETRANSLATE(A6381, ""en"", ""te""),"""")"),"")</f>
        <v/>
      </c>
      <c r="C6381" s="2"/>
      <c r="D6381" s="2" t="str">
        <f>IFERROR(__xludf.DUMMYFUNCTION("IF(C6381&lt;&gt;"""", GOOGLETRANSLATE(C6381, ""en"", ""te""),"""")"),"")</f>
        <v/>
      </c>
      <c r="E6381" s="2"/>
      <c r="F6381" s="2" t="str">
        <f>IFERROR(__xludf.DUMMYFUNCTION("IF(E6381&lt;&gt;"""", GOOGLETRANSLATE(E6381, ""en"", ""te""),"""")"),"")</f>
        <v/>
      </c>
      <c r="G6381" s="2"/>
      <c r="H6381" s="2" t="str">
        <f>IFERROR(__xludf.DUMMYFUNCTION("IF(G6381&lt;&gt;"""", GOOGLETRANSLATE(G6381, ""en"", ""te""),"""")"),"")</f>
        <v/>
      </c>
      <c r="I6381" s="3"/>
    </row>
    <row r="6382" customHeight="1" spans="1:9">
      <c r="A6382" s="2" t="s">
        <v>3860</v>
      </c>
      <c r="B6382" s="2" t="str">
        <f>IFERROR(__xludf.DUMMYFUNCTION("IF(A6382&lt;&gt;"""", GOOGLETRANSLATE(A6382, ""en"", ""te""),"""")"),"[ '1st పిన్న క్రీడాకారులు (14y 227d)']")</f>
        <v>[ '1st పిన్న క్రీడాకారులు (14y 227d)']</v>
      </c>
      <c r="C6382" s="2" t="s">
        <v>3860</v>
      </c>
      <c r="D6382" s="2" t="str">
        <f>IFERROR(__xludf.DUMMYFUNCTION("IF(C6382&lt;&gt;"""", GOOGLETRANSLATE(C6382, ""en"", ""te""),"""")"),"[ '1st పిన్న క్రీడాకారులు (14y 227d)']")</f>
        <v>[ '1st పిన్న క్రీడాకారులు (14y 227d)']</v>
      </c>
      <c r="E6382" s="2" t="s">
        <v>3861</v>
      </c>
      <c r="F6382" s="2" t="str">
        <f>IFERROR(__xludf.DUMMYFUNCTION("IF(E6382&lt;&gt;"""", GOOGLETRANSLATE(E6382, ""en"", ""te""),"""")"),"[ '1st పిన్న క్రీడాకారులు (14y 233d)']")</f>
        <v>[ '1st పిన్న క్రీడాకారులు (14y 233d)']</v>
      </c>
      <c r="G6382" s="2"/>
      <c r="H6382" s="2" t="str">
        <f>IFERROR(__xludf.DUMMYFUNCTION("IF(G6382&lt;&gt;"""", GOOGLETRANSLATE(G6382, ""en"", ""te""),"""")"),"")</f>
        <v/>
      </c>
      <c r="I6382" s="3"/>
    </row>
    <row r="6383" customHeight="1" spans="1:9">
      <c r="A6383" s="2"/>
      <c r="B6383" s="2" t="str">
        <f>IFERROR(__xludf.DUMMYFUNCTION("IF(A6383&lt;&gt;"""", GOOGLETRANSLATE(A6383, ""en"", ""te""),"""")"),"")</f>
        <v/>
      </c>
      <c r="C6383" s="2"/>
      <c r="D6383" s="2" t="str">
        <f>IFERROR(__xludf.DUMMYFUNCTION("IF(C6383&lt;&gt;"""", GOOGLETRANSLATE(C6383, ""en"", ""te""),"""")"),"")</f>
        <v/>
      </c>
      <c r="E6383" s="2"/>
      <c r="F6383" s="2" t="str">
        <f>IFERROR(__xludf.DUMMYFUNCTION("IF(E6383&lt;&gt;"""", GOOGLETRANSLATE(E6383, ""en"", ""te""),"""")"),"")</f>
        <v/>
      </c>
      <c r="G6383" s="2"/>
      <c r="H6383" s="2" t="str">
        <f>IFERROR(__xludf.DUMMYFUNCTION("IF(G6383&lt;&gt;"""", GOOGLETRANSLATE(G6383, ""en"", ""te""),"""")"),"")</f>
        <v/>
      </c>
      <c r="I6383" s="3"/>
    </row>
    <row r="6384" customHeight="1" spans="1:9">
      <c r="A6384" s="2"/>
      <c r="B6384" s="2" t="str">
        <f>IFERROR(__xludf.DUMMYFUNCTION("IF(A6384&lt;&gt;"""", GOOGLETRANSLATE(A6384, ""en"", ""te""),"""")"),"")</f>
        <v/>
      </c>
      <c r="C6384" s="2"/>
      <c r="D6384" s="2" t="str">
        <f>IFERROR(__xludf.DUMMYFUNCTION("IF(C6384&lt;&gt;"""", GOOGLETRANSLATE(C6384, ""en"", ""te""),"""")"),"")</f>
        <v/>
      </c>
      <c r="E6384" s="2"/>
      <c r="F6384" s="2" t="str">
        <f>IFERROR(__xludf.DUMMYFUNCTION("IF(E6384&lt;&gt;"""", GOOGLETRANSLATE(E6384, ""en"", ""te""),"""")"),"")</f>
        <v/>
      </c>
      <c r="G6384" s="2"/>
      <c r="H6384" s="2" t="str">
        <f>IFERROR(__xludf.DUMMYFUNCTION("IF(G6384&lt;&gt;"""", GOOGLETRANSLATE(G6384, ""en"", ""te""),"""")"),"")</f>
        <v/>
      </c>
      <c r="I6384" s="3"/>
    </row>
    <row r="6385" customHeight="1" spans="1:9">
      <c r="A6385" s="2" t="s">
        <v>847</v>
      </c>
      <c r="B6385" s="2" t="str">
        <f>IFERROR(__xludf.DUMMYFUNCTION("IF(A6385&lt;&gt;"""", GOOGLETRANSLATE(A6385, ""en"", ""te""),"""")"),"[ '2 వ అత్యుత్తమ ఇన్నింగ్స్ (3/1) విశ్లేషణలలో బౌలింగ్']")</f>
        <v>[ '2 వ అత్యుత్తమ ఇన్నింగ్స్ (3/1) విశ్లేషణలలో బౌలింగ్']</v>
      </c>
      <c r="C6385" s="2" t="s">
        <v>847</v>
      </c>
      <c r="D6385" s="2" t="str">
        <f>IFERROR(__xludf.DUMMYFUNCTION("IF(C6385&lt;&gt;"""", GOOGLETRANSLATE(C6385, ""en"", ""te""),"""")"),"[ '2 వ అత్యుత్తమ ఇన్నింగ్స్ (3/1) విశ్లేషణలలో బౌలింగ్']")</f>
        <v>[ '2 వ అత్యుత్తమ ఇన్నింగ్స్ (3/1) విశ్లేషణలలో బౌలింగ్']</v>
      </c>
      <c r="E6385" s="2" t="s">
        <v>3862</v>
      </c>
      <c r="F6385" s="2" t="str">
        <f>IFERROR(__xludf.DUMMYFUNCTION("IF(E6385&lt;&gt;"""", GOOGLETRANSLATE(E6385, ""en"", ""te""),"""")"),"[ '26 అత్యధిక కెరీర్ బ్యాటింగ్ సగటు (46.80)', 'వరుస ఇన్నింగ్స్లో 11 వ యాభైల్లో (5)', 'ఫాస్టెస్ట్ 20 వ 1000 పరుగులు (26)', 'ఏడవ వికెట్ (110) కోసం 22 అత్యధిక భాగస్వామ్యం']")</f>
        <v>[ '26 అత్యధిక కెరీర్ బ్యాటింగ్ సగటు (46.80)', 'వరుస ఇన్నింగ్స్లో 11 వ యాభైల్లో (5)', 'ఫాస్టెస్ట్ 20 వ 1000 పరుగులు (26)', 'ఏడవ వికెట్ (110) కోసం 22 అత్యధిక భాగస్వామ్యం']</v>
      </c>
      <c r="G6385" s="2"/>
      <c r="H6385" s="2" t="str">
        <f>IFERROR(__xludf.DUMMYFUNCTION("IF(G6385&lt;&gt;"""", GOOGLETRANSLATE(G6385, ""en"", ""te""),"""")"),"")</f>
        <v/>
      </c>
      <c r="I6385" s="3"/>
    </row>
    <row r="6386" customHeight="1" spans="1:9">
      <c r="A6386" s="2"/>
      <c r="B6386" s="2" t="str">
        <f>IFERROR(__xludf.DUMMYFUNCTION("IF(A6386&lt;&gt;"""", GOOGLETRANSLATE(A6386, ""en"", ""te""),"""")"),"")</f>
        <v/>
      </c>
      <c r="C6386" s="2"/>
      <c r="D6386" s="2" t="str">
        <f>IFERROR(__xludf.DUMMYFUNCTION("IF(C6386&lt;&gt;"""", GOOGLETRANSLATE(C6386, ""en"", ""te""),"""")"),"")</f>
        <v/>
      </c>
      <c r="E6386" s="2"/>
      <c r="F6386" s="2" t="str">
        <f>IFERROR(__xludf.DUMMYFUNCTION("IF(E6386&lt;&gt;"""", GOOGLETRANSLATE(E6386, ""en"", ""te""),"""")"),"")</f>
        <v/>
      </c>
      <c r="G6386" s="2"/>
      <c r="H6386" s="2" t="str">
        <f>IFERROR(__xludf.DUMMYFUNCTION("IF(G6386&lt;&gt;"""", GOOGLETRANSLATE(G6386, ""en"", ""te""),"""")"),"")</f>
        <v/>
      </c>
      <c r="I6386" s="3"/>
    </row>
    <row r="6387" customHeight="1" spans="1:9">
      <c r="A6387" s="2"/>
      <c r="B6387" s="2" t="str">
        <f>IFERROR(__xludf.DUMMYFUNCTION("IF(A6387&lt;&gt;"""", GOOGLETRANSLATE(A6387, ""en"", ""te""),"""")"),"")</f>
        <v/>
      </c>
      <c r="C6387" s="2"/>
      <c r="D6387" s="2" t="str">
        <f>IFERROR(__xludf.DUMMYFUNCTION("IF(C6387&lt;&gt;"""", GOOGLETRANSLATE(C6387, ""en"", ""te""),"""")"),"")</f>
        <v/>
      </c>
      <c r="E6387" s="2"/>
      <c r="F6387" s="2" t="str">
        <f>IFERROR(__xludf.DUMMYFUNCTION("IF(E6387&lt;&gt;"""", GOOGLETRANSLATE(E6387, ""en"", ""te""),"""")"),"")</f>
        <v/>
      </c>
      <c r="G6387" s="2" t="s">
        <v>797</v>
      </c>
      <c r="H6387" s="2" t="str">
        <f>IFERROR(__xludf.DUMMYFUNCTION("IF(G6387&lt;&gt;"""", GOOGLETRANSLATE(G6387, ""en"", ""te""),"""")"),"[ '17 వ బౌలర్ / బ్యాట్స్ కలయికలు (3)']")</f>
        <v>[ '17 వ బౌలర్ / బ్యాట్స్ కలయికలు (3)']</v>
      </c>
      <c r="I6387" s="3"/>
    </row>
    <row r="6388" customHeight="1" spans="1:9">
      <c r="A6388" s="2"/>
      <c r="B6388" s="2" t="str">
        <f>IFERROR(__xludf.DUMMYFUNCTION("IF(A6388&lt;&gt;"""", GOOGLETRANSLATE(A6388, ""en"", ""te""),"""")"),"")</f>
        <v/>
      </c>
      <c r="C6388" s="2"/>
      <c r="D6388" s="2" t="str">
        <f>IFERROR(__xludf.DUMMYFUNCTION("IF(C6388&lt;&gt;"""", GOOGLETRANSLATE(C6388, ""en"", ""te""),"""")"),"")</f>
        <v/>
      </c>
      <c r="E6388" s="2"/>
      <c r="F6388" s="2" t="str">
        <f>IFERROR(__xludf.DUMMYFUNCTION("IF(E6388&lt;&gt;"""", GOOGLETRANSLATE(E6388, ""en"", ""te""),"""")"),"")</f>
        <v/>
      </c>
      <c r="G6388" s="2"/>
      <c r="H6388" s="2" t="str">
        <f>IFERROR(__xludf.DUMMYFUNCTION("IF(G6388&lt;&gt;"""", GOOGLETRANSLATE(G6388, ""en"", ""te""),"""")"),"")</f>
        <v/>
      </c>
      <c r="I6388" s="3"/>
    </row>
    <row r="6389" customHeight="1" spans="1:9">
      <c r="A6389" s="2"/>
      <c r="B6389" s="2" t="str">
        <f>IFERROR(__xludf.DUMMYFUNCTION("IF(A6389&lt;&gt;"""", GOOGLETRANSLATE(A6389, ""en"", ""te""),"""")"),"")</f>
        <v/>
      </c>
      <c r="C6389" s="2"/>
      <c r="D6389" s="2" t="str">
        <f>IFERROR(__xludf.DUMMYFUNCTION("IF(C6389&lt;&gt;"""", GOOGLETRANSLATE(C6389, ""en"", ""te""),"""")"),"")</f>
        <v/>
      </c>
      <c r="E6389" s="2"/>
      <c r="F6389" s="2" t="str">
        <f>IFERROR(__xludf.DUMMYFUNCTION("IF(E6389&lt;&gt;"""", GOOGLETRANSLATE(E6389, ""en"", ""te""),"""")"),"")</f>
        <v/>
      </c>
      <c r="G6389" s="2"/>
      <c r="H6389" s="2" t="str">
        <f>IFERROR(__xludf.DUMMYFUNCTION("IF(G6389&lt;&gt;"""", GOOGLETRANSLATE(G6389, ""en"", ""te""),"""")"),"")</f>
        <v/>
      </c>
      <c r="I6389" s="3"/>
    </row>
    <row r="6390" customHeight="1" spans="1:9">
      <c r="A6390" s="2"/>
      <c r="B6390" s="2" t="str">
        <f>IFERROR(__xludf.DUMMYFUNCTION("IF(A6390&lt;&gt;"""", GOOGLETRANSLATE(A6390, ""en"", ""te""),"""")"),"")</f>
        <v/>
      </c>
      <c r="C6390" s="2"/>
      <c r="D6390" s="2" t="str">
        <f>IFERROR(__xludf.DUMMYFUNCTION("IF(C6390&lt;&gt;"""", GOOGLETRANSLATE(C6390, ""en"", ""te""),"""")"),"")</f>
        <v/>
      </c>
      <c r="E6390" s="2"/>
      <c r="F6390" s="2" t="str">
        <f>IFERROR(__xludf.DUMMYFUNCTION("IF(E6390&lt;&gt;"""", GOOGLETRANSLATE(E6390, ""en"", ""te""),"""")"),"")</f>
        <v/>
      </c>
      <c r="G6390" s="2"/>
      <c r="H6390" s="2" t="str">
        <f>IFERROR(__xludf.DUMMYFUNCTION("IF(G6390&lt;&gt;"""", GOOGLETRANSLATE(G6390, ""en"", ""te""),"""")"),"")</f>
        <v/>
      </c>
      <c r="I6390" s="3"/>
    </row>
    <row r="6391" customHeight="1" spans="1:9">
      <c r="A6391" s="2"/>
      <c r="B6391" s="2" t="str">
        <f>IFERROR(__xludf.DUMMYFUNCTION("IF(A6391&lt;&gt;"""", GOOGLETRANSLATE(A6391, ""en"", ""te""),"""")"),"")</f>
        <v/>
      </c>
      <c r="C6391" s="2"/>
      <c r="D6391" s="2" t="str">
        <f>IFERROR(__xludf.DUMMYFUNCTION("IF(C6391&lt;&gt;"""", GOOGLETRANSLATE(C6391, ""en"", ""te""),"""")"),"")</f>
        <v/>
      </c>
      <c r="E6391" s="2"/>
      <c r="F6391" s="2" t="str">
        <f>IFERROR(__xludf.DUMMYFUNCTION("IF(E6391&lt;&gt;"""", GOOGLETRANSLATE(E6391, ""en"", ""te""),"""")"),"")</f>
        <v/>
      </c>
      <c r="G6391" s="2"/>
      <c r="H6391" s="2" t="str">
        <f>IFERROR(__xludf.DUMMYFUNCTION("IF(G6391&lt;&gt;"""", GOOGLETRANSLATE(G6391, ""en"", ""te""),"""")"),"")</f>
        <v/>
      </c>
      <c r="I6391" s="3"/>
    </row>
    <row r="6392" customHeight="1" spans="1:9">
      <c r="A6392" s="2"/>
      <c r="B6392" s="2" t="str">
        <f>IFERROR(__xludf.DUMMYFUNCTION("IF(A6392&lt;&gt;"""", GOOGLETRANSLATE(A6392, ""en"", ""te""),"""")"),"")</f>
        <v/>
      </c>
      <c r="C6392" s="2"/>
      <c r="D6392" s="2" t="str">
        <f>IFERROR(__xludf.DUMMYFUNCTION("IF(C6392&lt;&gt;"""", GOOGLETRANSLATE(C6392, ""en"", ""te""),"""")"),"")</f>
        <v/>
      </c>
      <c r="E6392" s="2"/>
      <c r="F6392" s="2" t="str">
        <f>IFERROR(__xludf.DUMMYFUNCTION("IF(E6392&lt;&gt;"""", GOOGLETRANSLATE(E6392, ""en"", ""te""),"""")"),"")</f>
        <v/>
      </c>
      <c r="G6392" s="2"/>
      <c r="H6392" s="2" t="str">
        <f>IFERROR(__xludf.DUMMYFUNCTION("IF(G6392&lt;&gt;"""", GOOGLETRANSLATE(G6392, ""en"", ""te""),"""")"),"")</f>
        <v/>
      </c>
      <c r="I6392" s="3"/>
    </row>
    <row r="6393" customHeight="1" spans="1:9">
      <c r="A6393" s="2"/>
      <c r="B6393" s="2" t="str">
        <f>IFERROR(__xludf.DUMMYFUNCTION("IF(A6393&lt;&gt;"""", GOOGLETRANSLATE(A6393, ""en"", ""te""),"""")"),"")</f>
        <v/>
      </c>
      <c r="C6393" s="2"/>
      <c r="D6393" s="2" t="str">
        <f>IFERROR(__xludf.DUMMYFUNCTION("IF(C6393&lt;&gt;"""", GOOGLETRANSLATE(C6393, ""en"", ""te""),"""")"),"")</f>
        <v/>
      </c>
      <c r="E6393" s="2"/>
      <c r="F6393" s="2" t="str">
        <f>IFERROR(__xludf.DUMMYFUNCTION("IF(E6393&lt;&gt;"""", GOOGLETRANSLATE(E6393, ""en"", ""te""),"""")"),"")</f>
        <v/>
      </c>
      <c r="G6393" s="2"/>
      <c r="H6393" s="2" t="str">
        <f>IFERROR(__xludf.DUMMYFUNCTION("IF(G6393&lt;&gt;"""", GOOGLETRANSLATE(G6393, ""en"", ""te""),"""")"),"")</f>
        <v/>
      </c>
      <c r="I6393" s="3"/>
    </row>
    <row r="6394" customHeight="1" spans="1:9">
      <c r="A6394" s="2"/>
      <c r="B6394" s="2" t="str">
        <f>IFERROR(__xludf.DUMMYFUNCTION("IF(A6394&lt;&gt;"""", GOOGLETRANSLATE(A6394, ""en"", ""te""),"""")"),"")</f>
        <v/>
      </c>
      <c r="C6394" s="2"/>
      <c r="D6394" s="2" t="str">
        <f>IFERROR(__xludf.DUMMYFUNCTION("IF(C6394&lt;&gt;"""", GOOGLETRANSLATE(C6394, ""en"", ""te""),"""")"),"")</f>
        <v/>
      </c>
      <c r="E6394" s="2"/>
      <c r="F6394" s="2" t="str">
        <f>IFERROR(__xludf.DUMMYFUNCTION("IF(E6394&lt;&gt;"""", GOOGLETRANSLATE(E6394, ""en"", ""te""),"""")"),"")</f>
        <v/>
      </c>
      <c r="G6394" s="2"/>
      <c r="H6394" s="2" t="str">
        <f>IFERROR(__xludf.DUMMYFUNCTION("IF(G6394&lt;&gt;"""", GOOGLETRANSLATE(G6394, ""en"", ""te""),"""")"),"")</f>
        <v/>
      </c>
      <c r="I6394" s="3"/>
    </row>
    <row r="6395" customHeight="1" spans="1:9">
      <c r="A6395" s="2" t="s">
        <v>3863</v>
      </c>
      <c r="B6395" s="2" t="str">
        <f>IFERROR(__xludf.DUMMYFUNCTION("IF(A6395&lt;&gt;"""", GOOGLETRANSLATE(A6395, ""en"", ""te""),"""")"),"[ '3 వ చెత్త కెరీర్లో సమ్మె రేటు (85.8)']")</f>
        <v>[ '3 వ చెత్త కెరీర్లో సమ్మె రేటు (85.8)']</v>
      </c>
      <c r="C6395" s="2"/>
      <c r="D6395" s="2" t="str">
        <f>IFERROR(__xludf.DUMMYFUNCTION("IF(C6395&lt;&gt;"""", GOOGLETRANSLATE(C6395, ""en"", ""te""),"""")"),"")</f>
        <v/>
      </c>
      <c r="E6395" s="2" t="s">
        <v>3864</v>
      </c>
      <c r="F6395" s="2" t="str">
        <f>IFERROR(__xludf.DUMMYFUNCTION("IF(E6395&lt;&gt;"""", GOOGLETRANSLATE(E6395, ""en"", ""te""),"""")"),"[ '4 వ చెత్త కెరీర్ బౌలింగ్ సరాసరి (63.00)', '3 వ చెత్త కెరీర్లో సమ్మె రేటు (85.8)']")</f>
        <v>[ '4 వ చెత్త కెరీర్ బౌలింగ్ సరాసరి (63.00)', '3 వ చెత్త కెరీర్లో సమ్మె రేటు (85.8)']</v>
      </c>
      <c r="G6395" s="2"/>
      <c r="H6395" s="2" t="str">
        <f>IFERROR(__xludf.DUMMYFUNCTION("IF(G6395&lt;&gt;"""", GOOGLETRANSLATE(G6395, ""en"", ""te""),"""")"),"")</f>
        <v/>
      </c>
      <c r="I6395" s="3"/>
    </row>
    <row r="6396" customHeight="1" spans="1:9">
      <c r="A6396" s="2"/>
      <c r="B6396" s="2" t="str">
        <f>IFERROR(__xludf.DUMMYFUNCTION("IF(A6396&lt;&gt;"""", GOOGLETRANSLATE(A6396, ""en"", ""te""),"""")"),"")</f>
        <v/>
      </c>
      <c r="C6396" s="2"/>
      <c r="D6396" s="2" t="str">
        <f>IFERROR(__xludf.DUMMYFUNCTION("IF(C6396&lt;&gt;"""", GOOGLETRANSLATE(C6396, ""en"", ""te""),"""")"),"")</f>
        <v/>
      </c>
      <c r="E6396" s="2"/>
      <c r="F6396" s="2" t="str">
        <f>IFERROR(__xludf.DUMMYFUNCTION("IF(E6396&lt;&gt;"""", GOOGLETRANSLATE(E6396, ""en"", ""te""),"""")"),"")</f>
        <v/>
      </c>
      <c r="G6396" s="2"/>
      <c r="H6396" s="2" t="str">
        <f>IFERROR(__xludf.DUMMYFUNCTION("IF(G6396&lt;&gt;"""", GOOGLETRANSLATE(G6396, ""en"", ""te""),"""")"),"")</f>
        <v/>
      </c>
      <c r="I6396" s="3"/>
    </row>
    <row r="6397" customHeight="1" spans="1:9">
      <c r="A6397" s="2"/>
      <c r="B6397" s="2" t="str">
        <f>IFERROR(__xludf.DUMMYFUNCTION("IF(A6397&lt;&gt;"""", GOOGLETRANSLATE(A6397, ""en"", ""te""),"""")"),"")</f>
        <v/>
      </c>
      <c r="C6397" s="2"/>
      <c r="D6397" s="2" t="str">
        <f>IFERROR(__xludf.DUMMYFUNCTION("IF(C6397&lt;&gt;"""", GOOGLETRANSLATE(C6397, ""en"", ""te""),"""")"),"")</f>
        <v/>
      </c>
      <c r="E6397" s="2"/>
      <c r="F6397" s="2" t="str">
        <f>IFERROR(__xludf.DUMMYFUNCTION("IF(E6397&lt;&gt;"""", GOOGLETRANSLATE(E6397, ""en"", ""te""),"""")"),"")</f>
        <v/>
      </c>
      <c r="G6397" s="2"/>
      <c r="H6397" s="2" t="str">
        <f>IFERROR(__xludf.DUMMYFUNCTION("IF(G6397&lt;&gt;"""", GOOGLETRANSLATE(G6397, ""en"", ""te""),"""")"),"")</f>
        <v/>
      </c>
      <c r="I6397" s="3"/>
    </row>
    <row r="6398" customHeight="1" spans="1:9">
      <c r="A6398" s="2"/>
      <c r="B6398" s="2" t="str">
        <f>IFERROR(__xludf.DUMMYFUNCTION("IF(A6398&lt;&gt;"""", GOOGLETRANSLATE(A6398, ""en"", ""te""),"""")"),"")</f>
        <v/>
      </c>
      <c r="C6398" s="2"/>
      <c r="D6398" s="2" t="str">
        <f>IFERROR(__xludf.DUMMYFUNCTION("IF(C6398&lt;&gt;"""", GOOGLETRANSLATE(C6398, ""en"", ""te""),"""")"),"")</f>
        <v/>
      </c>
      <c r="E6398" s="2"/>
      <c r="F6398" s="2" t="str">
        <f>IFERROR(__xludf.DUMMYFUNCTION("IF(E6398&lt;&gt;"""", GOOGLETRANSLATE(E6398, ""en"", ""te""),"""")"),"")</f>
        <v/>
      </c>
      <c r="G6398" s="2"/>
      <c r="H6398" s="2" t="str">
        <f>IFERROR(__xludf.DUMMYFUNCTION("IF(G6398&lt;&gt;"""", GOOGLETRANSLATE(G6398, ""en"", ""te""),"""")"),"")</f>
        <v/>
      </c>
      <c r="I6398" s="3"/>
    </row>
    <row r="6399" customHeight="1" spans="1:9">
      <c r="A6399" s="2"/>
      <c r="B6399" s="2" t="str">
        <f>IFERROR(__xludf.DUMMYFUNCTION("IF(A6399&lt;&gt;"""", GOOGLETRANSLATE(A6399, ""en"", ""te""),"""")"),"")</f>
        <v/>
      </c>
      <c r="C6399" s="2"/>
      <c r="D6399" s="2" t="str">
        <f>IFERROR(__xludf.DUMMYFUNCTION("IF(C6399&lt;&gt;"""", GOOGLETRANSLATE(C6399, ""en"", ""te""),"""")"),"")</f>
        <v/>
      </c>
      <c r="E6399" s="2"/>
      <c r="F6399" s="2" t="str">
        <f>IFERROR(__xludf.DUMMYFUNCTION("IF(E6399&lt;&gt;"""", GOOGLETRANSLATE(E6399, ""en"", ""te""),"""")"),"")</f>
        <v/>
      </c>
      <c r="G6399" s="2"/>
      <c r="H6399" s="2" t="str">
        <f>IFERROR(__xludf.DUMMYFUNCTION("IF(G6399&lt;&gt;"""", GOOGLETRANSLATE(G6399, ""en"", ""te""),"""")"),"")</f>
        <v/>
      </c>
      <c r="I6399" s="3"/>
    </row>
    <row r="6400" customHeight="1" spans="1:9">
      <c r="A6400" s="2"/>
      <c r="B6400" s="2" t="str">
        <f>IFERROR(__xludf.DUMMYFUNCTION("IF(A6400&lt;&gt;"""", GOOGLETRANSLATE(A6400, ""en"", ""te""),"""")"),"")</f>
        <v/>
      </c>
      <c r="C6400" s="2"/>
      <c r="D6400" s="2" t="str">
        <f>IFERROR(__xludf.DUMMYFUNCTION("IF(C6400&lt;&gt;"""", GOOGLETRANSLATE(C6400, ""en"", ""te""),"""")"),"")</f>
        <v/>
      </c>
      <c r="E6400" s="2"/>
      <c r="F6400" s="2" t="str">
        <f>IFERROR(__xludf.DUMMYFUNCTION("IF(E6400&lt;&gt;"""", GOOGLETRANSLATE(E6400, ""en"", ""te""),"""")"),"")</f>
        <v/>
      </c>
      <c r="G6400" s="2"/>
      <c r="H6400" s="2" t="str">
        <f>IFERROR(__xludf.DUMMYFUNCTION("IF(G6400&lt;&gt;"""", GOOGLETRANSLATE(G6400, ""en"", ""te""),"""")"),"")</f>
        <v/>
      </c>
      <c r="I6400" s="3"/>
    </row>
    <row r="6401" customHeight="1" spans="1:9">
      <c r="A6401" s="2"/>
      <c r="B6401" s="2" t="str">
        <f>IFERROR(__xludf.DUMMYFUNCTION("IF(A6401&lt;&gt;"""", GOOGLETRANSLATE(A6401, ""en"", ""te""),"""")"),"")</f>
        <v/>
      </c>
      <c r="C6401" s="2"/>
      <c r="D6401" s="2" t="str">
        <f>IFERROR(__xludf.DUMMYFUNCTION("IF(C6401&lt;&gt;"""", GOOGLETRANSLATE(C6401, ""en"", ""te""),"""")"),"")</f>
        <v/>
      </c>
      <c r="E6401" s="2"/>
      <c r="F6401" s="2" t="str">
        <f>IFERROR(__xludf.DUMMYFUNCTION("IF(E6401&lt;&gt;"""", GOOGLETRANSLATE(E6401, ""en"", ""te""),"""")"),"")</f>
        <v/>
      </c>
      <c r="G6401" s="2"/>
      <c r="H6401" s="2" t="str">
        <f>IFERROR(__xludf.DUMMYFUNCTION("IF(G6401&lt;&gt;"""", GOOGLETRANSLATE(G6401, ""en"", ""te""),"""")"),"")</f>
        <v/>
      </c>
      <c r="I6401" s="3"/>
    </row>
    <row r="6402" customHeight="1" spans="1:9">
      <c r="A6402" s="2"/>
      <c r="B6402" s="2" t="str">
        <f>IFERROR(__xludf.DUMMYFUNCTION("IF(A6402&lt;&gt;"""", GOOGLETRANSLATE(A6402, ""en"", ""te""),"""")"),"")</f>
        <v/>
      </c>
      <c r="C6402" s="2"/>
      <c r="D6402" s="2" t="str">
        <f>IFERROR(__xludf.DUMMYFUNCTION("IF(C6402&lt;&gt;"""", GOOGLETRANSLATE(C6402, ""en"", ""te""),"""")"),"")</f>
        <v/>
      </c>
      <c r="E6402" s="2"/>
      <c r="F6402" s="2" t="str">
        <f>IFERROR(__xludf.DUMMYFUNCTION("IF(E6402&lt;&gt;"""", GOOGLETRANSLATE(E6402, ""en"", ""te""),"""")"),"")</f>
        <v/>
      </c>
      <c r="G6402" s="2"/>
      <c r="H6402" s="2" t="str">
        <f>IFERROR(__xludf.DUMMYFUNCTION("IF(G6402&lt;&gt;"""", GOOGLETRANSLATE(G6402, ""en"", ""te""),"""")"),"")</f>
        <v/>
      </c>
      <c r="I6402" s="3"/>
    </row>
    <row r="6403" customHeight="1" spans="1:9">
      <c r="A6403" s="2" t="s">
        <v>3865</v>
      </c>
      <c r="B6403" s="2" t="str">
        <f>IFERROR(__xludf.DUMMYFUNCTION("IF(A6403&lt;&gt;"""", GOOGLETRANSLATE(A6403, ""en"", ""te""),"""")"),"[ '3 వ అత్యంత ప్లేయర్ ఆఫ్ ది సిరీస్ అవార్డులు (8)', '8 వ అత్యధిక పరుగులు ఇన్నింగ్స్ లో (135 *) (బ్యాటింగ్ స్థానం)', 'ఒక ఇన్నింగ్స్ లో 2 వ బెస్ట్ ఫిగర్స్ ఒక కెప్టెన్తో (8)', '4 వ అత్యధిక వరుస పది వికెట్లు లో ఒక మ్యాచ్ (2)', 'ఫాస్టెస్ట్ 9 250 వికెట్లు (55) "&amp;"కు', 'ఎ నూట ఒక ఇన్నింగ్స్ లో ఐదు వికెట్లు' '9 వ అత్యధిక వికెట్లు బౌల్డ్ (96) తీసుకున్న' '9 వ వరుస అన్ని టాస్ గెలిచిన (3)', '1st ఒక ఇన్నింగ్స్ లోని బెస్ట్ ఫిగర్స్ ఉన్నప్పుడు పరాజయం వైపు (6)', '1000 పరుగులు మరియు 100 వికెట్లు', '5 వ బౌలర్ / బ్యాట్స్మన్ కలయ"&amp;"ికలు (18)']")</f>
        <v>[ '3 వ అత్యంత ప్లేయర్ ఆఫ్ ది సిరీస్ అవార్డులు (8)', '8 వ అత్యధిక పరుగులు ఇన్నింగ్స్ లో (135 *) (బ్యాటింగ్ స్థానం)', 'ఒక ఇన్నింగ్స్ లో 2 వ బెస్ట్ ఫిగర్స్ ఒక కెప్టెన్తో (8)', '4 వ అత్యధిక వరుస పది వికెట్లు లో ఒక మ్యాచ్ (2)', 'ఫాస్టెస్ట్ 9 250 వికెట్లు (55) కు', 'ఎ నూట ఒక ఇన్నింగ్స్ లో ఐదు వికెట్లు' '9 వ అత్యధిక వికెట్లు బౌల్డ్ (96) తీసుకున్న' '9 వ వరుస అన్ని టాస్ గెలిచిన (3)', '1st ఒక ఇన్నింగ్స్ లోని బెస్ట్ ఫిగర్స్ ఉన్నప్పుడు పరాజయం వైపు (6)', '1000 పరుగులు మరియు 100 వికెట్లు', '5 వ బౌలర్ / బ్యాట్స్మన్ కలయికలు (18)']</v>
      </c>
      <c r="C6403" s="2" t="s">
        <v>3866</v>
      </c>
      <c r="D6403" s="2" t="str">
        <f>IFERROR(__xludf.DUMMYFUNCTION("IF(C6403&lt;&gt;"""", GOOGLETRANSLATE(C6403, ""en"", ""te""),"""")"),"[ 'ఇన్నింగ్స్ లో 8 వ అత్యధిక పరుగులు (బ్యాటింగ్ స్థానంలో ప్రకారం) (135 *)', '32 వ కెరీర్ లో వచ్చిన ఎక్కువ సిక్స్ (55)', '22 వ కెరీర్ లో అత్యధిక వికెట్లు (362)', '48 వ ఇన్నింగ్స్ లో బెస్ట్ ఫిగర్స్ (8 / 58) ',' 13 వ మ్యాచ్ లో బెస్ట్ ఫిగర్స్ (14) ',' 7th ఒక "&amp;"సిరీస్లో అత్యధిక వికెట్లు (40) ',' ఒక క్యాలెండర్ సంవత్సరంలో 37 వ అత్యధిక వికెట్లు (62) ',' 29 వ అత్యధిక ఒకే మైదానంలో వికెట్లు ఒక కెప్టెన్తో ఒక ఇన్నింగ్స్ లో (56) ',' 2 వ బెస్ట్ ఫిగర్స్ (8) ',' ఒక కెప్టెన్తో ఒక మ్యాచ్లో 5 వ ఉత్తమ బొమ్మలు (11) ',' 24th ఒక "&amp;"ఇన్నింగ్స్ లోని బెస్ట్ ఫిగర్స్ ఉన్నప్పుడు పరాజయం వైపు (7) ',' 50th బౌలింగ్ ఉత్తమ కెరీర్ సగటు (22.81) ',' 14 వ అత్యంత ఐదు-వికెట్ల లో-ఒక-ఇన్నింగ్స్ కెరీర్లో (23) ',' 10 వ అత్యంత పది వికెట్లు లో ఒక మ్యాచ్ ఒక వృత్తిలో (6 ) ',' 5 వ అత్యధిక వరుస ఐదు వికెట్ల లో"&amp;"-ఒక-ఇన్నింగ్స్ (4) ',' 4 వ అత్యధిక వరుస పది వికెట్లు లో ఒక మ్యాచ్ (2) ',' పది వికెట్ల తేడాతో తీసుకోవాలని 20 వ అత్యంత వృద్ధ ఆటగాడు -a మ్యాచ్ల (35y 180d) ',' 26th కెరీర్లో బౌల్డ్ చాలా బంతుల్లో (19458) ',' 34 వ కెరీర్ లో సాధించిన అత్యధిక పరుగులు (8258) ',' 3"&amp;"2 వ బౌలర్ / బ్యాటర్ కలయికలు (11) ',' 9 వ అత్యధిక వికెట్లు తీసుకున్న బౌల్డ్ (96) ',' 36 వ అత్యంత w ickets ఆకర్షించింది తీసుకున్న ఫీల్డర్ చేత క్యాచ్ తీసుకున్న (185) ',' 37 వ అత్యధిక వికెట్లు (118) ',' 27 వ అత్యధిక వికెట్లు ఒక వికెట్ కీపర్ చే కాట్ తీసుకోకూడద"&amp;"ు (67) ',' 16 వ అత్యధిక వికెట్లు తీసుకున్న ఎల్బిడబ్ల్యు (80) ',' 18 వ వేగంగా 200 వికెట్లు (45) ',' 9 వ 250 వికెట్లు వేగంగా (55) ',' 300 వికెట్లు వేగంగా 13 (68) ',' 11 వ 350 వికెట్లు (79) ',' 15 వ అత్యంత ప్లేయర్ ఆఫ్ ది వేగంగా అవార్డులు మ్యాచ్ (11) ',' 3 వ "&amp;"అత్యంత ప్లేయర్ ఆఫ్ ది సిరీస్ అవార్డులు (8) ',' 13 వ లాంగెస్ట్ కెరీర్లు (20y 218d) ',' 20 వ అత్యధిక మ్యాచ్లు కెప్టెన్గా (48) ',' 32 వ ఓల్డెస్ట్ కాప్టెన్ (39y 94d) ']")</f>
        <v>[ 'ఇన్నింగ్స్ లో 8 వ అత్యధిక పరుగులు (బ్యాటింగ్ స్థానంలో ప్రకారం) (135 *)', '32 వ కెరీర్ లో వచ్చిన ఎక్కువ సిక్స్ (55)', '22 వ కెరీర్ లో అత్యధిక వికెట్లు (362)', '48 వ ఇన్నింగ్స్ లో బెస్ట్ ఫిగర్స్ (8 / 58) ',' 13 వ మ్యాచ్ లో బెస్ట్ ఫిగర్స్ (14) ',' 7th ఒక సిరీస్లో అత్యధిక వికెట్లు (40) ',' ఒక క్యాలెండర్ సంవత్సరంలో 37 వ అత్యధిక వికెట్లు (62) ',' 29 వ అత్యధిక ఒకే మైదానంలో వికెట్లు ఒక కెప్టెన్తో ఒక ఇన్నింగ్స్ లో (56) ',' 2 వ బెస్ట్ ఫిగర్స్ (8) ',' ఒక కెప్టెన్తో ఒక మ్యాచ్లో 5 వ ఉత్తమ బొమ్మలు (11) ',' 24th ఒక ఇన్నింగ్స్ లోని బెస్ట్ ఫిగర్స్ ఉన్నప్పుడు పరాజయం వైపు (7) ',' 50th బౌలింగ్ ఉత్తమ కెరీర్ సగటు (22.81) ',' 14 వ అత్యంత ఐదు-వికెట్ల లో-ఒక-ఇన్నింగ్స్ కెరీర్లో (23) ',' 10 వ అత్యంత పది వికెట్లు లో ఒక మ్యాచ్ ఒక వృత్తిలో (6 ) ',' 5 వ అత్యధిక వరుస ఐదు వికెట్ల లో-ఒక-ఇన్నింగ్స్ (4) ',' 4 వ అత్యధిక వరుస పది వికెట్లు లో ఒక మ్యాచ్ (2) ',' పది వికెట్ల తేడాతో తీసుకోవాలని 20 వ అత్యంత వృద్ధ ఆటగాడు -a మ్యాచ్ల (35y 180d) ',' 26th కెరీర్లో బౌల్డ్ చాలా బంతుల్లో (19458) ',' 34 వ కెరీర్ లో సాధించిన అత్యధిక పరుగులు (8258) ',' 32 వ బౌలర్ / బ్యాటర్ కలయికలు (11) ',' 9 వ అత్యధిక వికెట్లు తీసుకున్న బౌల్డ్ (96) ',' 36 వ అత్యంత w ickets ఆకర్షించింది తీసుకున్న ఫీల్డర్ చేత క్యాచ్ తీసుకున్న (185) ',' 37 వ అత్యధిక వికెట్లు (118) ',' 27 వ అత్యధిక వికెట్లు ఒక వికెట్ కీపర్ చే కాట్ తీసుకోకూడదు (67) ',' 16 వ అత్యధిక వికెట్లు తీసుకున్న ఎల్బిడబ్ల్యు (80) ',' 18 వ వేగంగా 200 వికెట్లు (45) ',' 9 వ 250 వికెట్లు వేగంగా (55) ',' 300 వికెట్లు వేగంగా 13 (68) ',' 11 వ 350 వికెట్లు (79) ',' 15 వ అత్యంత ప్లేయర్ ఆఫ్ ది వేగంగా అవార్డులు మ్యాచ్ (11) ',' 3 వ అత్యంత ప్లేయర్ ఆఫ్ ది సిరీస్ అవార్డులు (8) ',' 13 వ లాంగెస్ట్ కెరీర్లు (20y 218d) ',' 20 వ అత్యధిక మ్యాచ్లు కెప్టెన్గా (48) ',' 32 వ ఓల్డెస్ట్ కాప్టెన్ (39y 94d) ']</v>
      </c>
      <c r="E6403" s="2" t="s">
        <v>3867</v>
      </c>
      <c r="F6403" s="2" t="str">
        <f>IFERROR(__xludf.DUMMYFUNCTION("IF(E6403&lt;&gt;"""", GOOGLETRANSLATE(E6403, ""en"", ""te""),"""")"),"[ '31 అత్యధిక సమ్మె ఇన్నింగ్స్ లో రేటు (277.77)', 'ఒక డక్ లేకుండా 16 వరుస ఇన్నింగ్స్ (80)', ఒక ఇన్నింగ్స్ లో '16 వ ఉత్తమ ఇన్నింగ్స్ లో సంఖ్యలు (6/14)', '4 వ అత్యుత్తమ బౌలింగ్ విశ్లేషణలు ( 6/14) ',' 47 వ ఒకే మైదానంలో అత్యధిక వికెట్లు (31) ',' ఒక కెప్టెన్త"&amp;"ో ఒక ఇన్నింగ్స్ లో 26 వ బెస్ట్ ఫిగర్స్ (4) ',' 1st ఒక ఇన్నింగ్స్ లోని బెస్ట్ ఫిగర్స్ ఉన్నప్పుడు పరాజయం వైపు (6) ' '39 వ ఉత్తమ కెరీర్ ఆర్థిక రేటు (3.89)', '13 వ వరుస నాలుగు వికెట్లు-ఇన్-ఒక-ఇన్నింగ్స్ (2)', 'ఐదు వికెట్ల లో-ఒక-ఇన్నింగ్స్ తీసుకోవాలని 36 వ అత"&amp;"్యంత వృద్ధ ఆటగాడు (32y 168d)' , '48 వ కెరీర్ (7461) లో బౌల్డ్ చాలా బంతుల్లో', '31 అత్యధిక వికెట్లు బౌల్డ్ తీసుకోకూడదు (54)', '38 వ అత్యంత' తొలి ఐదు వికెట్ల లో-ఒక-ఇన్నింగ్స్ (32y 168d) తీసుకోవాలని 21 వ అత్యంత వృద్ధ ఆటగాడు ' వికెట్లు తీసుకున్న ఎల్బిడబ్ల్యు "&amp;"(25) ',' ఆరవ వికెట్కు 21 అత్యధిక భాగస్వామ్యం (144) ',' 20 వ లాంగెస్ట్ కెరీర్లు (17y 207d) ',' కెప్టెన్ 9 వ అత్యధిక మ్యాచ్లు (139) ',' 9 వ వరుస అన్ని టాస్ గెలిచి (3) ',' 20 వ ఓల్డెస్ట్ కాప్టెన్ (39y 172d) ']")</f>
        <v>[ '31 అత్యధిక సమ్మె ఇన్నింగ్స్ లో రేటు (277.77)', 'ఒక డక్ లేకుండా 16 వరుస ఇన్నింగ్స్ (80)', ఒక ఇన్నింగ్స్ లో '16 వ ఉత్తమ ఇన్నింగ్స్ లో సంఖ్యలు (6/14)', '4 వ అత్యుత్తమ బౌలింగ్ విశ్లేషణలు ( 6/14) ',' 47 వ ఒకే మైదానంలో అత్యధిక వికెట్లు (31) ',' ఒక కెప్టెన్తో ఒక ఇన్నింగ్స్ లో 26 వ బెస్ట్ ఫిగర్స్ (4) ',' 1st ఒక ఇన్నింగ్స్ లోని బెస్ట్ ఫిగర్స్ ఉన్నప్పుడు పరాజయం వైపు (6) ' '39 వ ఉత్తమ కెరీర్ ఆర్థిక రేటు (3.89)', '13 వ వరుస నాలుగు వికెట్లు-ఇన్-ఒక-ఇన్నింగ్స్ (2)', 'ఐదు వికెట్ల లో-ఒక-ఇన్నింగ్స్ తీసుకోవాలని 36 వ అత్యంత వృద్ధ ఆటగాడు (32y 168d)' , '48 వ కెరీర్ (7461) లో బౌల్డ్ చాలా బంతుల్లో', '31 అత్యధిక వికెట్లు బౌల్డ్ తీసుకోకూడదు (54)', '38 వ అత్యంత' తొలి ఐదు వికెట్ల లో-ఒక-ఇన్నింగ్స్ (32y 168d) తీసుకోవాలని 21 వ అత్యంత వృద్ధ ఆటగాడు ' వికెట్లు తీసుకున్న ఎల్బిడబ్ల్యు (25) ',' ఆరవ వికెట్కు 21 అత్యధిక భాగస్వామ్యం (144) ',' 20 వ లాంగెస్ట్ కెరీర్లు (17y 207d) ',' కెప్టెన్ 9 వ అత్యధిక మ్యాచ్లు (139) ',' 9 వ వరుస అన్ని టాస్ గెలిచి (3) ',' 20 వ ఓల్డెస్ట్ కాప్టెన్ (39y 172d) ']</v>
      </c>
      <c r="G6403" s="2"/>
      <c r="H6403" s="2" t="str">
        <f>IFERROR(__xludf.DUMMYFUNCTION("IF(G6403&lt;&gt;"""", GOOGLETRANSLATE(G6403, ""en"", ""te""),"""")"),"")</f>
        <v/>
      </c>
      <c r="I6403" s="3"/>
    </row>
    <row r="6404" customHeight="1" spans="1:9">
      <c r="A6404" s="2"/>
      <c r="B6404" s="2" t="str">
        <f>IFERROR(__xludf.DUMMYFUNCTION("IF(A6404&lt;&gt;"""", GOOGLETRANSLATE(A6404, ""en"", ""te""),"""")"),"")</f>
        <v/>
      </c>
      <c r="C6404" s="2"/>
      <c r="D6404" s="2" t="str">
        <f>IFERROR(__xludf.DUMMYFUNCTION("IF(C6404&lt;&gt;"""", GOOGLETRANSLATE(C6404, ""en"", ""te""),"""")"),"")</f>
        <v/>
      </c>
      <c r="E6404" s="2"/>
      <c r="F6404" s="2" t="str">
        <f>IFERROR(__xludf.DUMMYFUNCTION("IF(E6404&lt;&gt;"""", GOOGLETRANSLATE(E6404, ""en"", ""te""),"""")"),"")</f>
        <v/>
      </c>
      <c r="G6404" s="2"/>
      <c r="H6404" s="2" t="str">
        <f>IFERROR(__xludf.DUMMYFUNCTION("IF(G6404&lt;&gt;"""", GOOGLETRANSLATE(G6404, ""en"", ""te""),"""")"),"")</f>
        <v/>
      </c>
      <c r="I6404" s="3"/>
    </row>
    <row r="6405" customHeight="1" spans="1:9">
      <c r="A6405" s="2"/>
      <c r="B6405" s="2" t="str">
        <f>IFERROR(__xludf.DUMMYFUNCTION("IF(A6405&lt;&gt;"""", GOOGLETRANSLATE(A6405, ""en"", ""te""),"""")"),"")</f>
        <v/>
      </c>
      <c r="C6405" s="2"/>
      <c r="D6405" s="2" t="str">
        <f>IFERROR(__xludf.DUMMYFUNCTION("IF(C6405&lt;&gt;"""", GOOGLETRANSLATE(C6405, ""en"", ""te""),"""")"),"")</f>
        <v/>
      </c>
      <c r="E6405" s="2"/>
      <c r="F6405" s="2" t="str">
        <f>IFERROR(__xludf.DUMMYFUNCTION("IF(E6405&lt;&gt;"""", GOOGLETRANSLATE(E6405, ""en"", ""te""),"""")"),"")</f>
        <v/>
      </c>
      <c r="G6405" s="2"/>
      <c r="H6405" s="2" t="str">
        <f>IFERROR(__xludf.DUMMYFUNCTION("IF(G6405&lt;&gt;"""", GOOGLETRANSLATE(G6405, ""en"", ""te""),"""")"),"")</f>
        <v/>
      </c>
      <c r="I6405" s="3"/>
    </row>
    <row r="6406" customHeight="1" spans="1:9">
      <c r="A6406" s="2"/>
      <c r="B6406" s="2" t="str">
        <f>IFERROR(__xludf.DUMMYFUNCTION("IF(A6406&lt;&gt;"""", GOOGLETRANSLATE(A6406, ""en"", ""te""),"""")"),"")</f>
        <v/>
      </c>
      <c r="C6406" s="2" t="s">
        <v>3868</v>
      </c>
      <c r="D6406" s="2" t="str">
        <f>IFERROR(__xludf.DUMMYFUNCTION("IF(C6406&lt;&gt;"""", GOOGLETRANSLATE(C6406, ""en"", ""te""),"""")"),"[ '11 వ ఒక సిరీస్లో అత్యధిక బాతులు (4)', '40 వ మ్యాచ్ లో బెస్ట్ ఫిగర్స్ పరాజయం వైపు (10) ఉన్నప్పుడు', '11 వ అత్యధిక వికెట్లు స్టంప్ తీసుకున్న (17)']")</f>
        <v>[ '11 వ ఒక సిరీస్లో అత్యధిక బాతులు (4)', '40 వ మ్యాచ్ లో బెస్ట్ ఫిగర్స్ పరాజయం వైపు (10) ఉన్నప్పుడు', '11 వ అత్యధిక వికెట్లు స్టంప్ తీసుకున్న (17)']</v>
      </c>
      <c r="E6406" s="2"/>
      <c r="F6406" s="2" t="str">
        <f>IFERROR(__xludf.DUMMYFUNCTION("IF(E6406&lt;&gt;"""", GOOGLETRANSLATE(E6406, ""en"", ""te""),"""")"),"")</f>
        <v/>
      </c>
      <c r="G6406" s="2"/>
      <c r="H6406" s="2" t="str">
        <f>IFERROR(__xludf.DUMMYFUNCTION("IF(G6406&lt;&gt;"""", GOOGLETRANSLATE(G6406, ""en"", ""te""),"""")"),"")</f>
        <v/>
      </c>
      <c r="I6406" s="3"/>
    </row>
    <row r="6407" customHeight="1" spans="1:9">
      <c r="A6407" s="2"/>
      <c r="B6407" s="2" t="str">
        <f>IFERROR(__xludf.DUMMYFUNCTION("IF(A6407&lt;&gt;"""", GOOGLETRANSLATE(A6407, ""en"", ""te""),"""")"),"")</f>
        <v/>
      </c>
      <c r="C6407" s="2"/>
      <c r="D6407" s="2" t="str">
        <f>IFERROR(__xludf.DUMMYFUNCTION("IF(C6407&lt;&gt;"""", GOOGLETRANSLATE(C6407, ""en"", ""te""),"""")"),"")</f>
        <v/>
      </c>
      <c r="E6407" s="2"/>
      <c r="F6407" s="2" t="str">
        <f>IFERROR(__xludf.DUMMYFUNCTION("IF(E6407&lt;&gt;"""", GOOGLETRANSLATE(E6407, ""en"", ""te""),"""")"),"")</f>
        <v/>
      </c>
      <c r="G6407" s="2"/>
      <c r="H6407" s="2" t="str">
        <f>IFERROR(__xludf.DUMMYFUNCTION("IF(G6407&lt;&gt;"""", GOOGLETRANSLATE(G6407, ""en"", ""te""),"""")"),"")</f>
        <v/>
      </c>
      <c r="I6407" s="3"/>
    </row>
    <row r="6408" customHeight="1" spans="1:9">
      <c r="A6408" s="2"/>
      <c r="B6408" s="2" t="str">
        <f>IFERROR(__xludf.DUMMYFUNCTION("IF(A6408&lt;&gt;"""", GOOGLETRANSLATE(A6408, ""en"", ""te""),"""")"),"")</f>
        <v/>
      </c>
      <c r="C6408" s="2"/>
      <c r="D6408" s="2" t="str">
        <f>IFERROR(__xludf.DUMMYFUNCTION("IF(C6408&lt;&gt;"""", GOOGLETRANSLATE(C6408, ""en"", ""te""),"""")"),"")</f>
        <v/>
      </c>
      <c r="E6408" s="2"/>
      <c r="F6408" s="2" t="str">
        <f>IFERROR(__xludf.DUMMYFUNCTION("IF(E6408&lt;&gt;"""", GOOGLETRANSLATE(E6408, ""en"", ""te""),"""")"),"")</f>
        <v/>
      </c>
      <c r="G6408" s="2"/>
      <c r="H6408" s="2" t="str">
        <f>IFERROR(__xludf.DUMMYFUNCTION("IF(G6408&lt;&gt;"""", GOOGLETRANSLATE(G6408, ""en"", ""te""),"""")"),"")</f>
        <v/>
      </c>
      <c r="I6408" s="3"/>
    </row>
    <row r="6409" customHeight="1" spans="1:9">
      <c r="A6409" s="2"/>
      <c r="B6409" s="2" t="str">
        <f>IFERROR(__xludf.DUMMYFUNCTION("IF(A6409&lt;&gt;"""", GOOGLETRANSLATE(A6409, ""en"", ""te""),"""")"),"")</f>
        <v/>
      </c>
      <c r="C6409" s="2"/>
      <c r="D6409" s="2" t="str">
        <f>IFERROR(__xludf.DUMMYFUNCTION("IF(C6409&lt;&gt;"""", GOOGLETRANSLATE(C6409, ""en"", ""te""),"""")"),"")</f>
        <v/>
      </c>
      <c r="E6409" s="2"/>
      <c r="F6409" s="2" t="str">
        <f>IFERROR(__xludf.DUMMYFUNCTION("IF(E6409&lt;&gt;"""", GOOGLETRANSLATE(E6409, ""en"", ""te""),"""")"),"")</f>
        <v/>
      </c>
      <c r="G6409" s="2"/>
      <c r="H6409" s="2" t="str">
        <f>IFERROR(__xludf.DUMMYFUNCTION("IF(G6409&lt;&gt;"""", GOOGLETRANSLATE(G6409, ""en"", ""te""),"""")"),"")</f>
        <v/>
      </c>
      <c r="I6409" s="3"/>
    </row>
    <row r="6410" customHeight="1" spans="1:9">
      <c r="A6410" s="2"/>
      <c r="B6410" s="2" t="str">
        <f>IFERROR(__xludf.DUMMYFUNCTION("IF(A6410&lt;&gt;"""", GOOGLETRANSLATE(A6410, ""en"", ""te""),"""")"),"")</f>
        <v/>
      </c>
      <c r="C6410" s="2"/>
      <c r="D6410" s="2" t="str">
        <f>IFERROR(__xludf.DUMMYFUNCTION("IF(C6410&lt;&gt;"""", GOOGLETRANSLATE(C6410, ""en"", ""te""),"""")"),"")</f>
        <v/>
      </c>
      <c r="E6410" s="2" t="s">
        <v>2700</v>
      </c>
      <c r="F6410" s="2" t="str">
        <f>IFERROR(__xludf.DUMMYFUNCTION("IF(E6410&lt;&gt;"""", GOOGLETRANSLATE(E6410, ""en"", ""te""),"""")"),"[ '13 వ వరుస నాలుగు వికెట్లు-ఇన్-ఒక-ఇన్నింగ్స్ (2)']")</f>
        <v>[ '13 వ వరుస నాలుగు వికెట్లు-ఇన్-ఒక-ఇన్నింగ్స్ (2)']</v>
      </c>
      <c r="G6410" s="2" t="s">
        <v>3869</v>
      </c>
      <c r="H6410" s="2" t="str">
        <f>IFERROR(__xludf.DUMMYFUNCTION("IF(G6410&lt;&gt;"""", GOOGLETRANSLATE(G6410, ""en"", ""te""),"""")"),"[ '45 వ చెత్త కెరీర్ బౌలింగ్ సరాసరి (అర్హత లేకుండా) (67.00)']")</f>
        <v>[ '45 వ చెత్త కెరీర్ బౌలింగ్ సరాసరి (అర్హత లేకుండా) (67.00)']</v>
      </c>
      <c r="I6410" s="3"/>
    </row>
    <row r="6411" customHeight="1" spans="1:9">
      <c r="A6411" s="2"/>
      <c r="B6411" s="2" t="str">
        <f>IFERROR(__xludf.DUMMYFUNCTION("IF(A6411&lt;&gt;"""", GOOGLETRANSLATE(A6411, ""en"", ""te""),"""")"),"")</f>
        <v/>
      </c>
      <c r="C6411" s="2"/>
      <c r="D6411" s="2" t="str">
        <f>IFERROR(__xludf.DUMMYFUNCTION("IF(C6411&lt;&gt;"""", GOOGLETRANSLATE(C6411, ""en"", ""te""),"""")"),"")</f>
        <v/>
      </c>
      <c r="E6411" s="2"/>
      <c r="F6411" s="2" t="str">
        <f>IFERROR(__xludf.DUMMYFUNCTION("IF(E6411&lt;&gt;"""", GOOGLETRANSLATE(E6411, ""en"", ""te""),"""")"),"")</f>
        <v/>
      </c>
      <c r="G6411" s="2"/>
      <c r="H6411" s="2" t="str">
        <f>IFERROR(__xludf.DUMMYFUNCTION("IF(G6411&lt;&gt;"""", GOOGLETRANSLATE(G6411, ""en"", ""te""),"""")"),"")</f>
        <v/>
      </c>
      <c r="I6411" s="3"/>
    </row>
    <row r="6412" customHeight="1" spans="1:9">
      <c r="A6412" s="2"/>
      <c r="B6412" s="2" t="str">
        <f>IFERROR(__xludf.DUMMYFUNCTION("IF(A6412&lt;&gt;"""", GOOGLETRANSLATE(A6412, ""en"", ""te""),"""")"),"")</f>
        <v/>
      </c>
      <c r="C6412" s="2"/>
      <c r="D6412" s="2" t="str">
        <f>IFERROR(__xludf.DUMMYFUNCTION("IF(C6412&lt;&gt;"""", GOOGLETRANSLATE(C6412, ""en"", ""te""),"""")"),"")</f>
        <v/>
      </c>
      <c r="E6412" s="2"/>
      <c r="F6412" s="2" t="str">
        <f>IFERROR(__xludf.DUMMYFUNCTION("IF(E6412&lt;&gt;"""", GOOGLETRANSLATE(E6412, ""en"", ""te""),"""")"),"")</f>
        <v/>
      </c>
      <c r="G6412" s="2"/>
      <c r="H6412" s="2" t="str">
        <f>IFERROR(__xludf.DUMMYFUNCTION("IF(G6412&lt;&gt;"""", GOOGLETRANSLATE(G6412, ""en"", ""te""),"""")"),"")</f>
        <v/>
      </c>
      <c r="I6412" s="3"/>
    </row>
    <row r="6413" customHeight="1" spans="1:9">
      <c r="A6413" s="2" t="s">
        <v>3870</v>
      </c>
      <c r="B6413" s="2" t="str">
        <f>IFERROR(__xludf.DUMMYFUNCTION("IF(A6413&lt;&gt;"""", GOOGLETRANSLATE(A6413, ""en"", ""te""),"""")"),"[ '6 వ ఉత్తమ కెరీర్ ఆర్థిక రేటు (6.22)', 'ఎనిమిదవ వికెట్కు 6 వ అత్యధిక భాగస్వామ్యం (58)']")</f>
        <v>[ '6 వ ఉత్తమ కెరీర్ ఆర్థిక రేటు (6.22)', 'ఎనిమిదవ వికెట్కు 6 వ అత్యధిక భాగస్వామ్యం (58)']</v>
      </c>
      <c r="C6413" s="2"/>
      <c r="D6413" s="2" t="str">
        <f>IFERROR(__xludf.DUMMYFUNCTION("IF(C6413&lt;&gt;"""", GOOGLETRANSLATE(C6413, ""en"", ""te""),"""")"),"")</f>
        <v/>
      </c>
      <c r="E6413" s="2" t="s">
        <v>3871</v>
      </c>
      <c r="F6413" s="2" t="str">
        <f>IFERROR(__xludf.DUMMYFUNCTION("IF(E6413&lt;&gt;"""", GOOGLETRANSLATE(E6413, ""en"", ""te""),"""")"),"[ '39 వ అత్యధిక కెరీర్ బ్యాటింగ్ సగటు (42.86)', '13 వ అత్యధిక కెరీర్ సమ్మె రేటు (110.29)', '13 వ అత్యుత్తమ ఇన్నింగ్స్ లో బౌలింగ్ విశ్లేషణలు (5/14)', 'ఇన్నింగ్స్ లో 40 వ ఉత్తమ సమ్మె రేటు (6.8)' ]")</f>
        <v>[ '39 వ అత్యధిక కెరీర్ బ్యాటింగ్ సగటు (42.86)', '13 వ అత్యధిక కెరీర్ సమ్మె రేటు (110.29)', '13 వ అత్యుత్తమ ఇన్నింగ్స్ లో బౌలింగ్ విశ్లేషణలు (5/14)', 'ఇన్నింగ్స్ లో 40 వ ఉత్తమ సమ్మె రేటు (6.8)' ]</v>
      </c>
      <c r="G6413" s="2" t="s">
        <v>3872</v>
      </c>
      <c r="H6413" s="2" t="str">
        <f>IFERROR(__xludf.DUMMYFUNCTION("IF(G6413&lt;&gt;"""", GOOGLETRANSLATE(G6413, ""en"", ""te""),"""")"),"[ '23 వ ఇన్నింగ్స్ లో అత్యధిక పరుగులు (బ్యాటింగ్ స్థానంలో ప్రకారం) (47)', '13 వ అత్యంత బాతులు కెరీర్ (6) లో', '41 వ కెరీర్ లో అత్యధిక వికెట్లు (47)', '19 వ ఇన్నింగ్స్ లో బెస్ట్ ఫిగర్స్ (5 / 14) ',' 14 వ అత్యుత్తమ బౌలింగ్ ఇన్నింగ్స్ లో విశ్లేషించడం (5/14) "&amp;"',' 6 వ ఉత్తమ కెరీర్ ఆర్థిక రేటు (6.22) ',' 16 వ అత్యంత నాలుగు వికెట్లు-ఇన్-ఒక-ఇన్నింగ్స్ కెరీర్ (2) లో ', 'కెరీర్ లో బౌల్డ్ 30 వ అత్యంత బంతుల్లో (1032)', '44 వ అత్యధిక పరుగులు కెరీర్లో సాధించిన (1070)', '12 వ అత్యధిక వికెట్లు తీసుకున్న బౌల్డ్ (17)', '14 "&amp;"వ అత్యధిక వికెట్లు ఆకర్షించింది తీసుకున్న మరియు బౌల్డ్ (3)', '14 వ ఎక్కువ వికెట్లు తీసుకున్న ఎల్బిడబ్ల్యు (7) ',' ఎనిమిదవ వికెట్కు 6 వ అత్యధిక భాగస్వామ్యం (58) ',' 28 వ అతి ప్లేయర్ ఆఫ్ ది మ్యాచ్ అవార్డులు (5) ',' 19 వ కెరీర్ పనికత్తెలయొద్ద (3) ']")</f>
        <v>[ '23 వ ఇన్నింగ్స్ లో అత్యధిక పరుగులు (బ్యాటింగ్ స్థానంలో ప్రకారం) (47)', '13 వ అత్యంత బాతులు కెరీర్ (6) లో', '41 వ కెరీర్ లో అత్యధిక వికెట్లు (47)', '19 వ ఇన్నింగ్స్ లో బెస్ట్ ఫిగర్స్ (5 / 14) ',' 14 వ అత్యుత్తమ బౌలింగ్ ఇన్నింగ్స్ లో విశ్లేషించడం (5/14) ',' 6 వ ఉత్తమ కెరీర్ ఆర్థిక రేటు (6.22) ',' 16 వ అత్యంత నాలుగు వికెట్లు-ఇన్-ఒక-ఇన్నింగ్స్ కెరీర్ (2) లో ', 'కెరీర్ లో బౌల్డ్ 30 వ అత్యంత బంతుల్లో (1032)', '44 వ అత్యధిక పరుగులు కెరీర్లో సాధించిన (1070)', '12 వ అత్యధిక వికెట్లు తీసుకున్న బౌల్డ్ (17)', '14 వ అత్యధిక వికెట్లు ఆకర్షించింది తీసుకున్న మరియు బౌల్డ్ (3)', '14 వ ఎక్కువ వికెట్లు తీసుకున్న ఎల్బిడబ్ల్యు (7) ',' ఎనిమిదవ వికెట్కు 6 వ అత్యధిక భాగస్వామ్యం (58) ',' 28 వ అతి ప్లేయర్ ఆఫ్ ది మ్యాచ్ అవార్డులు (5) ',' 19 వ కెరీర్ పనికత్తెలయొద్ద (3) ']</v>
      </c>
      <c r="I6413" s="3"/>
    </row>
    <row r="6414" customHeight="1" spans="1:9">
      <c r="A6414" s="2"/>
      <c r="B6414" s="2" t="str">
        <f>IFERROR(__xludf.DUMMYFUNCTION("IF(A6414&lt;&gt;"""", GOOGLETRANSLATE(A6414, ""en"", ""te""),"""")"),"")</f>
        <v/>
      </c>
      <c r="C6414" s="2"/>
      <c r="D6414" s="2" t="str">
        <f>IFERROR(__xludf.DUMMYFUNCTION("IF(C6414&lt;&gt;"""", GOOGLETRANSLATE(C6414, ""en"", ""te""),"""")"),"")</f>
        <v/>
      </c>
      <c r="E6414" s="2"/>
      <c r="F6414" s="2" t="str">
        <f>IFERROR(__xludf.DUMMYFUNCTION("IF(E6414&lt;&gt;"""", GOOGLETRANSLATE(E6414, ""en"", ""te""),"""")"),"")</f>
        <v/>
      </c>
      <c r="G6414" s="2"/>
      <c r="H6414" s="2" t="str">
        <f>IFERROR(__xludf.DUMMYFUNCTION("IF(G6414&lt;&gt;"""", GOOGLETRANSLATE(G6414, ""en"", ""te""),"""")"),"")</f>
        <v/>
      </c>
      <c r="I6414" s="3"/>
    </row>
    <row r="6415" customHeight="1" spans="1:9">
      <c r="A6415" s="2"/>
      <c r="B6415" s="2" t="str">
        <f>IFERROR(__xludf.DUMMYFUNCTION("IF(A6415&lt;&gt;"""", GOOGLETRANSLATE(A6415, ""en"", ""te""),"""")"),"")</f>
        <v/>
      </c>
      <c r="C6415" s="2"/>
      <c r="D6415" s="2" t="str">
        <f>IFERROR(__xludf.DUMMYFUNCTION("IF(C6415&lt;&gt;"""", GOOGLETRANSLATE(C6415, ""en"", ""te""),"""")"),"")</f>
        <v/>
      </c>
      <c r="E6415" s="2"/>
      <c r="F6415" s="2" t="str">
        <f>IFERROR(__xludf.DUMMYFUNCTION("IF(E6415&lt;&gt;"""", GOOGLETRANSLATE(E6415, ""en"", ""te""),"""")"),"")</f>
        <v/>
      </c>
      <c r="G6415" s="2" t="s">
        <v>3873</v>
      </c>
      <c r="H6415" s="2" t="str">
        <f>IFERROR(__xludf.DUMMYFUNCTION("IF(G6415&lt;&gt;"""", GOOGLETRANSLATE(G6415, ""en"", ""te""),"""")"),"[ '12 వ ఇన్నింగ్స్ లో అత్యధిక పరుగులు (బ్యాటింగ్ స్థానంలో ప్రకారం) (55)', '17 వ అత్యంత ఇన్నింగ్స్ తొలి డక్ (21) ముందు' '39 వ కెరీర్ (16.5) లో అతి తక్కువ బాతులు']")</f>
        <v>[ '12 వ ఇన్నింగ్స్ లో అత్యధిక పరుగులు (బ్యాటింగ్ స్థానంలో ప్రకారం) (55)', '17 వ అత్యంత ఇన్నింగ్స్ తొలి డక్ (21) ముందు' '39 వ కెరీర్ (16.5) లో అతి తక్కువ బాతులు']</v>
      </c>
      <c r="I6415" s="3"/>
    </row>
    <row r="6416" customHeight="1" spans="1:9">
      <c r="A6416" s="2" t="s">
        <v>3874</v>
      </c>
      <c r="B6416" s="2" t="str">
        <f>IFERROR(__xludf.DUMMYFUNCTION("IF(A6416&lt;&gt;"""", GOOGLETRANSLATE(A6416, ""en"", ""te""),"""")"),"[ '7 వ అత్యధిక కెరీర్ బ్యాటింగ్ సగటు (51.73)', 'హండ్రెడ్ తొలి (100)', 'వరుస 3 వ అత్యధిక వందలు (3)', '2 వ వేగవంతమైన 1000 పరుగులు (19)', '2 వ అత్యధిక కొరకు చేసిన భాగస్వామ్యం తొలి వికెట్కు (304) ']")</f>
        <v>[ '7 వ అత్యధిక కెరీర్ బ్యాటింగ్ సగటు (51.73)', 'హండ్రెడ్ తొలి (100)', 'వరుస 3 వ అత్యధిక వందలు (3)', '2 వ వేగవంతమైన 1000 పరుగులు (19)', '2 వ అత్యధిక కొరకు చేసిన భాగస్వామ్యం తొలి వికెట్కు (304) ']</v>
      </c>
      <c r="C6416" s="2"/>
      <c r="D6416" s="2" t="str">
        <f>IFERROR(__xludf.DUMMYFUNCTION("IF(C6416&lt;&gt;"""", GOOGLETRANSLATE(C6416, ""en"", ""te""),"""")"),"")</f>
        <v/>
      </c>
      <c r="E6416" s="2" t="s">
        <v>3875</v>
      </c>
      <c r="F6416" s="2" t="str">
        <f>IFERROR(__xludf.DUMMYFUNCTION("IF(E6416&lt;&gt;"""", GOOGLETRANSLATE(E6416, ""en"", ""te""),"""")"),"[ '16 వ పరాజయం వైపు ఒక మ్యాచ్లో అత్యధిక పరుగులు (151)', '7 వ అత్యధిక కెరీర్ బ్యాటింగ్ సగటు (51.73)', '16 వ తొలి మ్యాచ్లో అత్యధిక పరుగులు (100)', 'వరుస 3 వ అత్యధిక వందలు (3) ',' వంద (21y 300D) ఏ వికెట్కు (304) కోసం 2 వ అత్యధిక భాగస్వామ్యం తొలి వికెట్కు స్"&amp;"కోర్ 50 వ పిన్న ఆటగాడు ',' 2 వ వేగవంతమైన 1000 పరుగులు (19) ',' 5 వ అత్యధిక భాగస్వామ్యాలు ',' (304) ']")</f>
        <v>[ '16 వ పరాజయం వైపు ఒక మ్యాచ్లో అత్యధిక పరుగులు (151)', '7 వ అత్యధిక కెరీర్ బ్యాటింగ్ సగటు (51.73)', '16 వ తొలి మ్యాచ్లో అత్యధిక పరుగులు (100)', 'వరుస 3 వ అత్యధిక వందలు (3) ',' వంద (21y 300D) ఏ వికెట్కు (304) కోసం 2 వ అత్యధిక భాగస్వామ్యం తొలి వికెట్కు స్కోర్ 50 వ పిన్న ఆటగాడు ',' 2 వ వేగవంతమైన 1000 పరుగులు (19) ',' 5 వ అత్యధిక భాగస్వామ్యాలు ',' (304) ']</v>
      </c>
      <c r="G6416" s="2"/>
      <c r="H6416" s="2" t="str">
        <f>IFERROR(__xludf.DUMMYFUNCTION("IF(G6416&lt;&gt;"""", GOOGLETRANSLATE(G6416, ""en"", ""te""),"""")"),"")</f>
        <v/>
      </c>
      <c r="I6416" s="3"/>
    </row>
    <row r="6417" customHeight="1" spans="1:9">
      <c r="A6417" s="2" t="s">
        <v>3876</v>
      </c>
      <c r="B6417" s="2" t="str">
        <f>IFERROR(__xludf.DUMMYFUNCTION("IF(A6417&lt;&gt;"""", GOOGLETRANSLATE(A6417, ""en"", ""te""),"""")"),"[ '5 వ పిన్న ఆటగాడు వంద (18y 154d) స్కోర్']")</f>
        <v>[ '5 వ పిన్న ఆటగాడు వంద (18y 154d) స్కోర్']</v>
      </c>
      <c r="C6417" s="2" t="s">
        <v>3877</v>
      </c>
      <c r="D6417" s="2" t="str">
        <f>IFERROR(__xludf.DUMMYFUNCTION("IF(C6417&lt;&gt;"""", GOOGLETRANSLATE(C6417, ""en"", ""te""),"""")"),"[ '5 వ పిన్న ఆటగాడు వంద (18y 154d) స్కోర్', '17 వ పిన్న క్రీడాకారులు (17y 78d)']")</f>
        <v>[ '5 వ పిన్న ఆటగాడు వంద (18y 154d) స్కోర్', '17 వ పిన్న క్రీడాకారులు (17y 78d)']</v>
      </c>
      <c r="E6417" s="2" t="s">
        <v>3878</v>
      </c>
      <c r="F6417" s="2" t="str">
        <f>IFERROR(__xludf.DUMMYFUNCTION("IF(E6417&lt;&gt;"""", GOOGLETRANSLATE(E6417, ""en"", ""te""),"""")"),"[ '44 వ ఎక్కువ సిక్స్ ఇన్నింగ్స్ లో (8)', 'ఇన్నింగ్స్ లో ఫోర్లు, సిక్సర్లు నుండి 44 వ అత్యధిక పరుగులు (104)', '30 వ పిన్న క్రీడాకారులు (17y 101d' 3 వ పిన్న ఆటగాడు వంద (18y 121d) స్కోర్ ' ) ']")</f>
        <v>[ '44 వ ఎక్కువ సిక్స్ ఇన్నింగ్స్ లో (8)', 'ఇన్నింగ్స్ లో ఫోర్లు, సిక్సర్లు నుండి 44 వ అత్యధిక పరుగులు (104)', '30 వ పిన్న క్రీడాకారులు (17y 101d' 3 వ పిన్న ఆటగాడు వంద (18y 121d) స్కోర్ ' ) ']</v>
      </c>
      <c r="G6417" s="2"/>
      <c r="H6417" s="2" t="str">
        <f>IFERROR(__xludf.DUMMYFUNCTION("IF(G6417&lt;&gt;"""", GOOGLETRANSLATE(G6417, ""en"", ""te""),"""")"),"")</f>
        <v/>
      </c>
      <c r="I6417" s="3"/>
    </row>
    <row r="6418" customHeight="1" spans="1:9">
      <c r="A6418" s="2"/>
      <c r="B6418" s="2" t="str">
        <f>IFERROR(__xludf.DUMMYFUNCTION("IF(A6418&lt;&gt;"""", GOOGLETRANSLATE(A6418, ""en"", ""te""),"""")"),"")</f>
        <v/>
      </c>
      <c r="C6418" s="2"/>
      <c r="D6418" s="2" t="str">
        <f>IFERROR(__xludf.DUMMYFUNCTION("IF(C6418&lt;&gt;"""", GOOGLETRANSLATE(C6418, ""en"", ""te""),"""")"),"")</f>
        <v/>
      </c>
      <c r="E6418" s="2" t="s">
        <v>1391</v>
      </c>
      <c r="F6418" s="2" t="str">
        <f>IFERROR(__xludf.DUMMYFUNCTION("IF(E6418&lt;&gt;"""", GOOGLETRANSLATE(E6418, ""en"", ""te""),"""")"),"[ '25 వ ఉత్తమ కెరీర్ బౌలింగ్ సరాసరి (అర్హత లేకుండా) (11.00)']")</f>
        <v>[ '25 వ ఉత్తమ కెరీర్ బౌలింగ్ సరాసరి (అర్హత లేకుండా) (11.00)']</v>
      </c>
      <c r="G6418" s="2"/>
      <c r="H6418" s="2" t="str">
        <f>IFERROR(__xludf.DUMMYFUNCTION("IF(G6418&lt;&gt;"""", GOOGLETRANSLATE(G6418, ""en"", ""te""),"""")"),"")</f>
        <v/>
      </c>
      <c r="I6418" s="3"/>
    </row>
    <row r="6419" customHeight="1" spans="1:9">
      <c r="A6419" s="2"/>
      <c r="B6419" s="2" t="str">
        <f>IFERROR(__xludf.DUMMYFUNCTION("IF(A6419&lt;&gt;"""", GOOGLETRANSLATE(A6419, ""en"", ""te""),"""")"),"")</f>
        <v/>
      </c>
      <c r="C6419" s="2" t="s">
        <v>844</v>
      </c>
      <c r="D6419" s="2" t="str">
        <f>IFERROR(__xludf.DUMMYFUNCTION("IF(C6419&lt;&gt;"""", GOOGLETRANSLATE(C6419, ""en"", ""te""),"""")"),"[ '39 వ చెత్త కెరీర్ బౌలింగ్ సరాసరి (అర్హత లేకుండా) (141.00)']")</f>
        <v>[ '39 వ చెత్త కెరీర్ బౌలింగ్ సరాసరి (అర్హత లేకుండా) (141.00)']</v>
      </c>
      <c r="E6419" s="2"/>
      <c r="F6419" s="2" t="str">
        <f>IFERROR(__xludf.DUMMYFUNCTION("IF(E6419&lt;&gt;"""", GOOGLETRANSLATE(E6419, ""en"", ""te""),"""")"),"")</f>
        <v/>
      </c>
      <c r="G6419" s="2" t="s">
        <v>3879</v>
      </c>
      <c r="H6419" s="2" t="str">
        <f>IFERROR(__xludf.DUMMYFUNCTION("IF(G6419&lt;&gt;"""", GOOGLETRANSLATE(G6419, ""en"", ""te""),"""")"),"[ '15 వ ఇన్నింగ్స్ లో అత్యధిక పరుగులు (బ్యాటింగ్ స్థానంలో ప్రకారం) (62 *)', '37 వ చెత్త కెరీర్ (71.00) (అర్హత లేకుండా) సగటు బౌలింగ్', '33 వ వరుస మ్యాచ్లు ప్రదర్శనల మధ్య బృందం (41) కోసం తప్పిన']")</f>
        <v>[ '15 వ ఇన్నింగ్స్ లో అత్యధిక పరుగులు (బ్యాటింగ్ స్థానంలో ప్రకారం) (62 *)', '37 వ చెత్త కెరీర్ (71.00) (అర్హత లేకుండా) సగటు బౌలింగ్', '33 వ వరుస మ్యాచ్లు ప్రదర్శనల మధ్య బృందం (41) కోసం తప్పిన']</v>
      </c>
      <c r="I6419" s="3"/>
    </row>
    <row r="6420" customHeight="1" spans="1:9">
      <c r="A6420" s="2"/>
      <c r="B6420" s="2" t="str">
        <f>IFERROR(__xludf.DUMMYFUNCTION("IF(A6420&lt;&gt;"""", GOOGLETRANSLATE(A6420, ""en"", ""te""),"""")"),"")</f>
        <v/>
      </c>
      <c r="C6420" s="2"/>
      <c r="D6420" s="2" t="str">
        <f>IFERROR(__xludf.DUMMYFUNCTION("IF(C6420&lt;&gt;"""", GOOGLETRANSLATE(C6420, ""en"", ""te""),"""")"),"")</f>
        <v/>
      </c>
      <c r="E6420" s="2"/>
      <c r="F6420" s="2" t="str">
        <f>IFERROR(__xludf.DUMMYFUNCTION("IF(E6420&lt;&gt;"""", GOOGLETRANSLATE(E6420, ""en"", ""te""),"""")"),"")</f>
        <v/>
      </c>
      <c r="G6420" s="2"/>
      <c r="H6420" s="2" t="str">
        <f>IFERROR(__xludf.DUMMYFUNCTION("IF(G6420&lt;&gt;"""", GOOGLETRANSLATE(G6420, ""en"", ""te""),"""")"),"")</f>
        <v/>
      </c>
      <c r="I6420" s="3"/>
    </row>
    <row r="6421" customHeight="1" spans="1:9">
      <c r="A6421" s="2"/>
      <c r="B6421" s="2" t="str">
        <f>IFERROR(__xludf.DUMMYFUNCTION("IF(A6421&lt;&gt;"""", GOOGLETRANSLATE(A6421, ""en"", ""te""),"""")"),"")</f>
        <v/>
      </c>
      <c r="C6421" s="2"/>
      <c r="D6421" s="2" t="str">
        <f>IFERROR(__xludf.DUMMYFUNCTION("IF(C6421&lt;&gt;"""", GOOGLETRANSLATE(C6421, ""en"", ""te""),"""")"),"")</f>
        <v/>
      </c>
      <c r="E6421" s="2"/>
      <c r="F6421" s="2" t="str">
        <f>IFERROR(__xludf.DUMMYFUNCTION("IF(E6421&lt;&gt;"""", GOOGLETRANSLATE(E6421, ""en"", ""te""),"""")"),"")</f>
        <v/>
      </c>
      <c r="G6421" s="2"/>
      <c r="H6421" s="2" t="str">
        <f>IFERROR(__xludf.DUMMYFUNCTION("IF(G6421&lt;&gt;"""", GOOGLETRANSLATE(G6421, ""en"", ""te""),"""")"),"")</f>
        <v/>
      </c>
      <c r="I6421" s="3"/>
    </row>
    <row r="6422" customHeight="1" spans="1:9">
      <c r="A6422" s="2"/>
      <c r="B6422" s="2" t="str">
        <f>IFERROR(__xludf.DUMMYFUNCTION("IF(A6422&lt;&gt;"""", GOOGLETRANSLATE(A6422, ""en"", ""te""),"""")"),"")</f>
        <v/>
      </c>
      <c r="C6422" s="2"/>
      <c r="D6422" s="2" t="str">
        <f>IFERROR(__xludf.DUMMYFUNCTION("IF(C6422&lt;&gt;"""", GOOGLETRANSLATE(C6422, ""en"", ""te""),"""")"),"")</f>
        <v/>
      </c>
      <c r="E6422" s="2"/>
      <c r="F6422" s="2" t="str">
        <f>IFERROR(__xludf.DUMMYFUNCTION("IF(E6422&lt;&gt;"""", GOOGLETRANSLATE(E6422, ""en"", ""te""),"""")"),"")</f>
        <v/>
      </c>
      <c r="G6422" s="2"/>
      <c r="H6422" s="2" t="str">
        <f>IFERROR(__xludf.DUMMYFUNCTION("IF(G6422&lt;&gt;"""", GOOGLETRANSLATE(G6422, ""en"", ""te""),"""")"),"")</f>
        <v/>
      </c>
      <c r="I6422" s="3"/>
    </row>
    <row r="6423" customHeight="1" spans="1:9">
      <c r="A6423" s="2" t="s">
        <v>3880</v>
      </c>
      <c r="B6423" s="2" t="str">
        <f>IFERROR(__xludf.DUMMYFUNCTION("IF(A6423&lt;&gt;"""", GOOGLETRANSLATE(A6423, ""en"", ""te""),"""")"),"[ 'ఒక కెప్టెన్తో ఒక మ్యాచ్లో 5 వ ఉత్తమ బొమ్మలు (11)', '1000 పరుగులు మరియు 100 వికెట్లు']")</f>
        <v>[ 'ఒక కెప్టెన్తో ఒక మ్యాచ్లో 5 వ ఉత్తమ బొమ్మలు (11)', '1000 పరుగులు మరియు 100 వికెట్లు']</v>
      </c>
      <c r="C6423" s="2" t="s">
        <v>3881</v>
      </c>
      <c r="D6423" s="2" t="str">
        <f>IFERROR(__xludf.DUMMYFUNCTION("IF(C6423&lt;&gt;"""", GOOGLETRANSLATE(C6423, ""en"", ""te""),"""")"),"[ 'ఒక ఇన్నింగ్స్ లో 5 వ బెస్ట్ ఫిగర్స్ ఒక కెప్టెన్తో (7)', 'ఒక కెప్టెన్తో ఒక మ్యాచ్లో 5 వ ఉత్తమ బొమ్మలు (11)', '34 వ పిన్న క్రీడాకారులు (17y 341d)', '23 వ వరుస అన్ని టాస్ గెలిచిన ( 3) ']")</f>
        <v>[ 'ఒక ఇన్నింగ్స్ లో 5 వ బెస్ట్ ఫిగర్స్ ఒక కెప్టెన్తో (7)', 'ఒక కెప్టెన్తో ఒక మ్యాచ్లో 5 వ ఉత్తమ బొమ్మలు (11)', '34 వ పిన్న క్రీడాకారులు (17y 341d)', '23 వ వరుస అన్ని టాస్ గెలిచిన ( 3) ']</v>
      </c>
      <c r="E6423" s="2" t="s">
        <v>3882</v>
      </c>
      <c r="F6423" s="2" t="str">
        <f>IFERROR(__xludf.DUMMYFUNCTION("IF(E6423&lt;&gt;"""", GOOGLETRANSLATE(E6423, ""en"", ""te""),"""")"),"[ '31 పురాతన దేశం ఆటగాళ్ళు (79y 155d)']")</f>
        <v>[ '31 పురాతన దేశం ఆటగాళ్ళు (79y 155d)']</v>
      </c>
      <c r="G6423" s="2"/>
      <c r="H6423" s="2" t="str">
        <f>IFERROR(__xludf.DUMMYFUNCTION("IF(G6423&lt;&gt;"""", GOOGLETRANSLATE(G6423, ""en"", ""te""),"""")"),"")</f>
        <v/>
      </c>
      <c r="I6423" s="3"/>
    </row>
    <row r="6424" customHeight="1" spans="1:9">
      <c r="A6424" s="2"/>
      <c r="B6424" s="2" t="str">
        <f>IFERROR(__xludf.DUMMYFUNCTION("IF(A6424&lt;&gt;"""", GOOGLETRANSLATE(A6424, ""en"", ""te""),"""")"),"")</f>
        <v/>
      </c>
      <c r="C6424" s="2"/>
      <c r="D6424" s="2" t="str">
        <f>IFERROR(__xludf.DUMMYFUNCTION("IF(C6424&lt;&gt;"""", GOOGLETRANSLATE(C6424, ""en"", ""te""),"""")"),"")</f>
        <v/>
      </c>
      <c r="E6424" s="2"/>
      <c r="F6424" s="2" t="str">
        <f>IFERROR(__xludf.DUMMYFUNCTION("IF(E6424&lt;&gt;"""", GOOGLETRANSLATE(E6424, ""en"", ""te""),"""")"),"")</f>
        <v/>
      </c>
      <c r="G6424" s="2"/>
      <c r="H6424" s="2" t="str">
        <f>IFERROR(__xludf.DUMMYFUNCTION("IF(G6424&lt;&gt;"""", GOOGLETRANSLATE(G6424, ""en"", ""te""),"""")"),"")</f>
        <v/>
      </c>
      <c r="I6424" s="3"/>
    </row>
    <row r="6425" customHeight="1" spans="1:9">
      <c r="A6425" s="2" t="s">
        <v>3883</v>
      </c>
      <c r="B6425" s="2" t="str">
        <f>IFERROR(__xludf.DUMMYFUNCTION("IF(A6425&lt;&gt;"""", GOOGLETRANSLATE(A6425, ""en"", ""te""),"""")"),"[ 'హండ్రెడ్ మరియు ఒక మ్యాచ్లో ఒక డక్', 'మూడో వికెట్కు 9 వ అత్యధిక భాగస్వామ్యం (352 *)', 'ఒక సిరీస్లో 6 వ అత్యంత బాతులు (3)', '5000 పరుగులు మరియు 50 ఫీల్డింగ్ వికెట్లు']")</f>
        <v>[ 'హండ్రెడ్ మరియు ఒక మ్యాచ్లో ఒక డక్', 'మూడో వికెట్కు 9 వ అత్యధిక భాగస్వామ్యం (352 *)', 'ఒక సిరీస్లో 6 వ అత్యంత బాతులు (3)', '5000 పరుగులు మరియు 50 ఫీల్డింగ్ వికెట్లు']</v>
      </c>
      <c r="C6425" s="2" t="s">
        <v>3884</v>
      </c>
      <c r="D6425" s="2" t="str">
        <f>IFERROR(__xludf.DUMMYFUNCTION("IF(C6425&lt;&gt;"""", GOOGLETRANSLATE(C6425, ""en"", ""te""),"""")"),"[ 'ఏ వికెట్కు (352 *) కోసం 40 వ అత్యధిక భాగస్వామ్యాలు' 'మూడో వికెట్ (352 *) 9 వ అత్యధిక భాగస్వామ్యం' '22 వ పిన్న ఆటగాడు వంద (20y 3) స్కోర్',]")</f>
        <v>[ 'ఏ వికెట్కు (352 *) కోసం 40 వ అత్యధిక భాగస్వామ్యాలు' 'మూడో వికెట్ (352 *) 9 వ అత్యధిక భాగస్వామ్యం' '22 వ పిన్న ఆటగాడు వంద (20y 3) స్కోర్',]</v>
      </c>
      <c r="E6425" s="2" t="s">
        <v>3885</v>
      </c>
      <c r="F6425" s="2" t="str">
        <f>IFERROR(__xludf.DUMMYFUNCTION("IF(E6425&lt;&gt;"""", GOOGLETRANSLATE(E6425, ""en"", ""te""),"""")"),"[ '34 వ ఒక క్యాలెండర్ సంవత్సరంలో అత్యధిక పరుగులు (1281)', '16 వ పిన్న ఆటగాడు వంద (20y 39d) స్కోర్' 'కెరీర్లో 34 వ అత్యంత తొంభైల (4)', '8 వ అత్యంత ఇన్నింగ్స్ తొలి డక్ ముందు (53)' , 'ఇన్నింగ్స్ (9) 31 వ ఎక్కువ సిక్స్' 'ఒక సిరీస్లో 6 వ అత్యంత బాతులు (3)', '"&amp;"కెరీర్లో 39 వ అత్యధిక క్యాచ్లు (90)', 'నాలుగవ వికెట్కు (163 *) 50 వ అత్యధిక భాగస్వామ్యం', 'ఐదో వికెట్కు (147 *) కోసం 47 వ అత్యధిక భాగస్వామ్యం', '41 వ కెరీర్ (250) లో అత్యధిక మ్యాచ్లు']")</f>
        <v>[ '34 వ ఒక క్యాలెండర్ సంవత్సరంలో అత్యధిక పరుగులు (1281)', '16 వ పిన్న ఆటగాడు వంద (20y 39d) స్కోర్' 'కెరీర్లో 34 వ అత్యంత తొంభైల (4)', '8 వ అత్యంత ఇన్నింగ్స్ తొలి డక్ ముందు (53)' , 'ఇన్నింగ్స్ (9) 31 వ ఎక్కువ సిక్స్' 'ఒక సిరీస్లో 6 వ అత్యంత బాతులు (3)', 'కెరీర్లో 39 వ అత్యధిక క్యాచ్లు (90)', 'నాలుగవ వికెట్కు (163 *) 50 వ అత్యధిక భాగస్వామ్యం', 'ఐదో వికెట్కు (147 *) కోసం 47 వ అత్యధిక భాగస్వామ్యం', '41 వ కెరీర్ (250) లో అత్యధిక మ్యాచ్లు']</v>
      </c>
      <c r="G6425" s="2"/>
      <c r="H6425" s="2" t="str">
        <f>IFERROR(__xludf.DUMMYFUNCTION("IF(G6425&lt;&gt;"""", GOOGLETRANSLATE(G6425, ""en"", ""te""),"""")"),"")</f>
        <v/>
      </c>
      <c r="I6425" s="3"/>
    </row>
    <row r="6426" customHeight="1" spans="1:9">
      <c r="A6426" s="2" t="s">
        <v>3886</v>
      </c>
      <c r="B6426" s="2" t="str">
        <f>IFERROR(__xludf.DUMMYFUNCTION("IF(A6426&lt;&gt;"""", GOOGLETRANSLATE(A6426, ""en"", ""te""),"""")"),"[ 'ఇన్నింగ్స్ పూర్తి ద్వారా బ్యాట్ నిదర్శన (117 *)']")</f>
        <v>[ 'ఇన్నింగ్స్ పూర్తి ద్వారా బ్యాట్ నిదర్శన (117 *)']</v>
      </c>
      <c r="C6426" s="2" t="s">
        <v>3887</v>
      </c>
      <c r="D6426" s="2" t="str">
        <f>IFERROR(__xludf.DUMMYFUNCTION("IF(C6426&lt;&gt;"""", GOOGLETRANSLATE(C6426, ""en"", ""te""),"""")"),"[ 'మొదటి డక్ (36) ముందు 30 వ అత్యంత ఇన్నింగ్స్' '44 వ కెరీర్ లో అతి తక్కువ బాతులు (25.66)']")</f>
        <v>[ 'మొదటి డక్ (36) ముందు 30 వ అత్యంత ఇన్నింగ్స్' '44 వ కెరీర్ లో అతి తక్కువ బాతులు (25.66)']</v>
      </c>
      <c r="E6426" s="2" t="s">
        <v>3888</v>
      </c>
      <c r="F6426" s="2" t="str">
        <f>IFERROR(__xludf.DUMMYFUNCTION("IF(E6426&lt;&gt;"""", GOOGLETRANSLATE(E6426, ""en"", ""te""),"""")"),"[ '44 వ పిన్న ఆటగాడు వంద స్కోర్ (21y 201d)', 'వరుస ఇన్నింగ్స్లో 44 వ యాభైల్లో (4)']")</f>
        <v>[ '44 వ పిన్న ఆటగాడు వంద స్కోర్ (21y 201d)', 'వరుస ఇన్నింగ్స్లో 44 వ యాభైల్లో (4)']</v>
      </c>
      <c r="G6426" s="2"/>
      <c r="H6426" s="2" t="str">
        <f>IFERROR(__xludf.DUMMYFUNCTION("IF(G6426&lt;&gt;"""", GOOGLETRANSLATE(G6426, ""en"", ""te""),"""")"),"")</f>
        <v/>
      </c>
      <c r="I6426" s="3"/>
    </row>
    <row r="6427" customHeight="1" spans="1:9">
      <c r="A6427" s="2"/>
      <c r="B6427" s="2" t="str">
        <f>IFERROR(__xludf.DUMMYFUNCTION("IF(A6427&lt;&gt;"""", GOOGLETRANSLATE(A6427, ""en"", ""te""),"""")"),"")</f>
        <v/>
      </c>
      <c r="C6427" s="2"/>
      <c r="D6427" s="2" t="str">
        <f>IFERROR(__xludf.DUMMYFUNCTION("IF(C6427&lt;&gt;"""", GOOGLETRANSLATE(C6427, ""en"", ""te""),"""")"),"")</f>
        <v/>
      </c>
      <c r="E6427" s="2"/>
      <c r="F6427" s="2" t="str">
        <f>IFERROR(__xludf.DUMMYFUNCTION("IF(E6427&lt;&gt;"""", GOOGLETRANSLATE(E6427, ""en"", ""te""),"""")"),"")</f>
        <v/>
      </c>
      <c r="G6427" s="2"/>
      <c r="H6427" s="2" t="str">
        <f>IFERROR(__xludf.DUMMYFUNCTION("IF(G6427&lt;&gt;"""", GOOGLETRANSLATE(G6427, ""en"", ""te""),"""")"),"")</f>
        <v/>
      </c>
      <c r="I6427" s="3"/>
    </row>
    <row r="6428" customHeight="1" spans="1:9">
      <c r="A6428" s="2"/>
      <c r="B6428" s="2" t="str">
        <f>IFERROR(__xludf.DUMMYFUNCTION("IF(A6428&lt;&gt;"""", GOOGLETRANSLATE(A6428, ""en"", ""te""),"""")"),"")</f>
        <v/>
      </c>
      <c r="C6428" s="2"/>
      <c r="D6428" s="2" t="str">
        <f>IFERROR(__xludf.DUMMYFUNCTION("IF(C6428&lt;&gt;"""", GOOGLETRANSLATE(C6428, ""en"", ""te""),"""")"),"")</f>
        <v/>
      </c>
      <c r="E6428" s="2"/>
      <c r="F6428" s="2" t="str">
        <f>IFERROR(__xludf.DUMMYFUNCTION("IF(E6428&lt;&gt;"""", GOOGLETRANSLATE(E6428, ""en"", ""te""),"""")"),"")</f>
        <v/>
      </c>
      <c r="G6428" s="2"/>
      <c r="H6428" s="2" t="str">
        <f>IFERROR(__xludf.DUMMYFUNCTION("IF(G6428&lt;&gt;"""", GOOGLETRANSLATE(G6428, ""en"", ""te""),"""")"),"")</f>
        <v/>
      </c>
      <c r="I6428" s="3"/>
    </row>
    <row r="6429" customHeight="1" spans="1:9">
      <c r="A6429" s="2" t="s">
        <v>3889</v>
      </c>
      <c r="B6429" s="2" t="str">
        <f>IFERROR(__xludf.DUMMYFUNCTION("IF(A6429&lt;&gt;"""", GOOGLETRANSLATE(A6429, ""en"", ""te""),"""")"),"[ 'ఇన్నింగ్స్ లో 2 వ అత్యధిక పరుగులు (బ్యాటింగ్ స్థానంలో ప్రకారం) (329)', 'హండ్రెడ్ ఒక మ్యాచ్లో ప్రతి ఇన్నింగ్స్లో', 'కెరీర్ లో చాలా 5 వ దశకం (8)', '3 వ అత్యంత ఇన్నింగ్స్ లో ఫోర్లు, సిక్సర్లు నుండి నడుస్తుంది (206) ',' 5000 పరుగులు మరియు 50 ఫీల్డింగ్ వికె"&amp;"ట్లు ',' కెరీర్ లో 6 వ అత్యధిక మ్యాచ్లు (378) ',' 5 వ ఒకే మైదానంలో అత్యధిక పరుగులు (2464) ',' 10 వ అత్యంత అర్ధ కెరీర్లో (93) ',' 5 వ అసాధారణ వికెట్లు (అడ్డుకోవడం) ',' 7 వ వేగవంతమైన వరకు 11000 పరుగులు (324) ',' 1 వ అత్యుత్తమ బౌలింగ్ ఇన్నింగ్స్ లో విశ్లేష"&amp;"ించడం (1/0) ',' 5000 పరుగులు మరియు 50 ఫీల్డింగ్ వికెట్లు ',' 10 వ కెరీర్ లో అత్యధిక మ్యాచ్లు (499) ',' కెరీర్ లో 6 వ అత్యంత తొంభైల (12) ',' కెరీర్ (164) లో 9 వ అత్యంత అర్ధ ']")</f>
        <v>[ 'ఇన్నింగ్స్ లో 2 వ అత్యధిక పరుగులు (బ్యాటింగ్ స్థానంలో ప్రకారం) (329)', 'హండ్రెడ్ ఒక మ్యాచ్లో ప్రతి ఇన్నింగ్స్లో', 'కెరీర్ లో చాలా 5 వ దశకం (8)', '3 వ అత్యంత ఇన్నింగ్స్ లో ఫోర్లు, సిక్సర్లు నుండి నడుస్తుంది (206) ',' 5000 పరుగులు మరియు 50 ఫీల్డింగ్ వికెట్లు ',' కెరీర్ లో 6 వ అత్యధిక మ్యాచ్లు (378) ',' 5 వ ఒకే మైదానంలో అత్యధిక పరుగులు (2464) ',' 10 వ అత్యంత అర్ధ కెరీర్లో (93) ',' 5 వ అసాధారణ వికెట్లు (అడ్డుకోవడం) ',' 7 వ వేగవంతమైన వరకు 11000 పరుగులు (324) ',' 1 వ అత్యుత్తమ బౌలింగ్ ఇన్నింగ్స్ లో విశ్లేషించడం (1/0) ',' 5000 పరుగులు మరియు 50 ఫీల్డింగ్ వికెట్లు ',' 10 వ కెరీర్ లో అత్యధిక మ్యాచ్లు (499) ',' కెరీర్ లో 6 వ అత్యంత తొంభైల (12) ',' కెరీర్ (164) లో 9 వ అత్యంత అర్ధ ']</v>
      </c>
      <c r="C6429" s="2" t="s">
        <v>3890</v>
      </c>
      <c r="D6429" s="2" t="str">
        <f>IFERROR(__xludf.DUMMYFUNCTION("IF(C6429&lt;&gt;"""", GOOGLETRANSLATE(C6429, ""en"", ""te""),"""")"),"[ 'ఒక మ్యాచ్లో 27 అత్యధిక పరుగులు (329)' '18 వ అత్యధిక కెరీర్ లో పరుగులు (8830)', '16 వ ఇన్నింగ్స్ లో అత్యధిక పరుగులు (329)', 'ఇన్నింగ్స్ లో 2 వ అత్యధిక పరుగులు (బ్యాటింగ్ స్థానంలో ప్రకారం) (329 ) ',' 44 వ అత్యధిక కెరీర్ బ్యాటింగ్ సగటు (49.60) ',' ఒక వృత్"&amp;"తిలో ఒక వృత్తి 22 వ అత్యధిక వందలు (25) ',' 5 వ అత్యధిక ట్రిపుల్ సెంచరీలు (1) ',' వందవ మ్యాచ్లో 5 వ హండ్రెడ్ (184) ', 'కెరీర్ లో చాలా 5 వ దశకం (8)', '14 వ అత్యంత అర్ధ కెరీర్లో (71)', 'వరుస ఇన్నింగ్స్లో 32 వ యాభైల్లో (5)', '40 వ ఎక్కువ సిక్స్ కెరీర్లో (48)"&amp;"' లో, '17 వ అత్యంత ఫోర్లు వృత్తి (1105) ',' ఇన్నింగ్స్ (9) ', '21 వ ఇన్నింగ్స్ లో వచ్చిన ఎక్కువ ఫోర్లు (38)', '3 వ అత్యంత ఫోర్లు, సిక్సర్లు నుండి ఇన్నింగ్స్ (206)', '38 వ అత్యధిక శాతం నడుస్తుంది 8 వ ఎక్కువ సిక్స్ 6000 పరుగులు (135) ',' 28th 34 వ వేగంగా ఒక"&amp;" ఇన్నింగ్స్లో పరుగులు (57.57) ',' ఫాస్టెస్ట్ 7000 పరుగులు (158) ',' 18 వ 8000 పరుగులు (175) ',' నాలుగోది 38 వ అత్యధిక భాగస్వామ్యం వేగంగా వికెట్ (259) ',' ఆరవ వికెట్కు 46 వ అత్యధిక భాగస్వామ్యం (206) ',' 28th అత్యధిక కెరీర్ లో మ్యాచ్లు (120) ',' మోస్ట్ 32 వ"&amp;"-క్రీడాకారుని-ma tch అవార్డులు (9) ',' 44 వ అత్యంత ప్లేయర్ ఆఫ్ ది సిరీస్ అవార్డులు (3) ',' 45 వ కెప్టెన్ (31) గా అత్యధిక మ్యాచ్లు ']")</f>
        <v>[ 'ఒక మ్యాచ్లో 27 అత్యధిక పరుగులు (329)' '18 వ అత్యధిక కెరీర్ లో పరుగులు (8830)', '16 వ ఇన్నింగ్స్ లో అత్యధిక పరుగులు (329)', 'ఇన్నింగ్స్ లో 2 వ అత్యధిక పరుగులు (బ్యాటింగ్ స్థానంలో ప్రకారం) (329 ) ',' 44 వ అత్యధిక కెరీర్ బ్యాటింగ్ సగటు (49.60) ',' ఒక వృత్తిలో ఒక వృత్తి 22 వ అత్యధిక వందలు (25) ',' 5 వ అత్యధిక ట్రిపుల్ సెంచరీలు (1) ',' వందవ మ్యాచ్లో 5 వ హండ్రెడ్ (184) ', 'కెరీర్ లో చాలా 5 వ దశకం (8)', '14 వ అత్యంత అర్ధ కెరీర్లో (71)', 'వరుస ఇన్నింగ్స్లో 32 వ యాభైల్లో (5)', '40 వ ఎక్కువ సిక్స్ కెరీర్లో (48)' లో, '17 వ అత్యంత ఫోర్లు వృత్తి (1105) ',' ఇన్నింగ్స్ (9) ', '21 వ ఇన్నింగ్స్ లో వచ్చిన ఎక్కువ ఫోర్లు (38)', '3 వ అత్యంత ఫోర్లు, సిక్సర్లు నుండి ఇన్నింగ్స్ (206)', '38 వ అత్యధిక శాతం నడుస్తుంది 8 వ ఎక్కువ సిక్స్ 6000 పరుగులు (135) ',' 28th 34 వ వేగంగా ఒక ఇన్నింగ్స్లో పరుగులు (57.57) ',' ఫాస్టెస్ట్ 7000 పరుగులు (158) ',' 18 వ 8000 పరుగులు (175) ',' నాలుగోది 38 వ అత్యధిక భాగస్వామ్యం వేగంగా వికెట్ (259) ',' ఆరవ వికెట్కు 46 వ అత్యధిక భాగస్వామ్యం (206) ',' 28th అత్యధిక కెరీర్ లో మ్యాచ్లు (120) ',' మోస్ట్ 32 వ-క్రీడాకారుని-ma tch అవార్డులు (9) ',' 44 వ అత్యంత ప్లేయర్ ఆఫ్ ది సిరీస్ అవార్డులు (3) ',' 45 వ కెప్టెన్ (31) గా అత్యధిక మ్యాచ్లు ']</v>
      </c>
      <c r="E6429" s="2" t="s">
        <v>3891</v>
      </c>
      <c r="F6429" s="2" t="str">
        <f>IFERROR(__xludf.DUMMYFUNCTION("IF(E6429&lt;&gt;"""", GOOGLETRANSLATE(E6429, ""en"", ""te""),"""")"),"[ 'కెరీర్లో 7 వ అత్యధిక పరుగులు (11739)', '5 వ ఒకే మైదానంలో అత్యధిక పరుగులు (2464)', 'ఒక కెప్టెన్ ద్వారా ఒక సిరీస్లో 31 అత్యధిక పరుగులు (364)', '39 వ ఒక జట్టు వ్యతిరేకంగా అత్యధిక వందలు (4) ',' 34 వ కెరీర్ తొంభైల (4) ',' 10 వ కెరీర్ లో చాలా అర్ధ (93) ','"&amp;" వరుస ఇన్నింగ్స్లో 44 వ యాభైల్లో (4) ',' 13 వ కెరీర్ బాతులు (20) ',' 17 వ ఎక్కువ సిక్స్ కెరీర్లో (144) ',' 13 వ కెరీర్ ఫోర్లు (971) ',' 5 వ అసాధారణ తొలగింపులకు 2000 పరుగులు (58) ',' 36 వ వేగవంతమైన 3000 పరుగులు (87) 'వేగంగా', '48 వ (అడ్డుకోవడం), '15 వ వే"&amp;"గవంతమైన' 8000 పరుగులు (231) 20 వ వేగవంతమైన ',' 6000 పరుగులు (176) కు 30 వ వేగవంతమైన ',' 5000 పరుగులు (150) కు 42 వ వేగవంతమైన ',' 22 వ వేగవంతమైన 7000 పరుగులు (208) కు '9000 పరుగులు (273) ',' 12 వ 10000 పరుగులు (299) ',' 7 వ వేగంగా 11000 పరుగులు (324) "&amp;"',' 1 వ అత్యుత్తమ బౌలింగ్ ఇన్నింగ్స్ లో విశ్లేషించడం (1/0) ',' 19 వ కెరీర్ లో అత్యధిక క్యాచ్లు వేగంగా (113 ) ',' రెండవ వికెట్కు 38 వ అత్యధిక భాగస్వామ్యం (204) ',' ఐదవ వికెట్కు 23 అత్యధిక భాగస్వామ్యం (162) ',' 6 వ అత్యధిక కెరీర్ లో మ్యాచ్లు (378) ',' 19 వ "&amp;"అత్యంత ప్లేయర్ ఆఫ్ ది మ్యాచ్ అవార్డులు (24) ',' 12 వ అత్యంత ప్లేయర్ ఆఫ్ ది సిరీస్ అవార్డులు (6) ',' 50th లాంగెస్ట్ కెరీర్లు (15y 119d) ',' 23 వ అత్యధిక మ్యాచ్లు కెప్టెన్గా (90) ', '42 వ ఓల్డెస్ట్ కాప్టెన్ (37y 18d)' '50 వ (5) వరుస అన్ని టాస్ గెలిచి']")</f>
        <v>[ 'కెరీర్లో 7 వ అత్యధిక పరుగులు (11739)', '5 వ ఒకే మైదానంలో అత్యధిక పరుగులు (2464)', 'ఒక కెప్టెన్ ద్వారా ఒక సిరీస్లో 31 అత్యధిక పరుగులు (364)', '39 వ ఒక జట్టు వ్యతిరేకంగా అత్యధిక వందలు (4) ',' 34 వ కెరీర్ తొంభైల (4) ',' 10 వ కెరీర్ లో చాలా అర్ధ (93) ',' వరుస ఇన్నింగ్స్లో 44 వ యాభైల్లో (4) ',' 13 వ కెరీర్ బాతులు (20) ',' 17 వ ఎక్కువ సిక్స్ కెరీర్లో (144) ',' 13 వ కెరీర్ ఫోర్లు (971) ',' 5 వ అసాధారణ తొలగింపులకు 2000 పరుగులు (58) ',' 36 వ వేగవంతమైన 3000 పరుగులు (87) 'వేగంగా', '48 వ (అడ్డుకోవడం), '15 వ వేగవంతమైన' 8000 పరుగులు (231) 20 వ వేగవంతమైన ',' 6000 పరుగులు (176) కు 30 వ వేగవంతమైన ',' 5000 పరుగులు (150) కు 42 వ వేగవంతమైన ',' 22 వ వేగవంతమైన 7000 పరుగులు (208) కు '9000 పరుగులు (273) ',' 12 వ 10000 పరుగులు (299) ',' 7 వ వేగంగా 11000 పరుగులు (324) ',' 1 వ అత్యుత్తమ బౌలింగ్ ఇన్నింగ్స్ లో విశ్లేషించడం (1/0) ',' 19 వ కెరీర్ లో అత్యధిక క్యాచ్లు వేగంగా (113 ) ',' రెండవ వికెట్కు 38 వ అత్యధిక భాగస్వామ్యం (204) ',' ఐదవ వికెట్కు 23 అత్యధిక భాగస్వామ్యం (162) ',' 6 వ అత్యధిక కెరీర్ లో మ్యాచ్లు (378) ',' 19 వ అత్యంత ప్లేయర్ ఆఫ్ ది మ్యాచ్ అవార్డులు (24) ',' 12 వ అత్యంత ప్లేయర్ ఆఫ్ ది సిరీస్ అవార్డులు (6) ',' 50th లాంగెస్ట్ కెరీర్లు (15y 119d) ',' 23 వ అత్యధిక మ్యాచ్లు కెప్టెన్గా (90) ', '42 వ ఓల్డెస్ట్ కాప్టెన్ (37y 18d)' '50 వ (5) వరుస అన్ని టాస్ గెలిచి']</v>
      </c>
      <c r="G6429" s="2" t="s">
        <v>3892</v>
      </c>
      <c r="H6429" s="2" t="str">
        <f>IFERROR(__xludf.DUMMYFUNCTION("IF(G6429&lt;&gt;"""", GOOGLETRANSLATE(G6429, ""en"", ""te""),"""")"),"[ '13 వ పురాతన దేశం ఆటగాళ్ళు (51y 12D)', '49 వ ఓల్డెస్ట్ కాప్టెన్ (36y 178d)', '35 వ ఓల్డెస్ట్ కెప్టెన్లు కెప్టెన్సీ ప్రవేశం (36y 178d) న']")</f>
        <v>[ '13 వ పురాతన దేశం ఆటగాళ్ళు (51y 12D)', '49 వ ఓల్డెస్ట్ కాప్టెన్ (36y 178d)', '35 వ ఓల్డెస్ట్ కెప్టెన్లు కెప్టెన్సీ ప్రవేశం (36y 178d) న']</v>
      </c>
      <c r="I6429" s="3"/>
    </row>
    <row r="6430" customHeight="1" spans="1:9">
      <c r="A6430" s="2" t="s">
        <v>3893</v>
      </c>
      <c r="B6430" s="2" t="str">
        <f>IFERROR(__xludf.DUMMYFUNCTION("IF(A6430&lt;&gt;"""", GOOGLETRANSLATE(A6430, ""en"", ""te""),"""")"),"[ '(3) వికెట్ను కాపాడుకున్నాడు మరియు బ్యాటింగ్ తెరిచారు ఎవరు 3 వ కెప్టెన్ల' '(బ్యాటింగ్ స్థానం) ఒక ఇన్నింగ్స్ లో 2 వ అత్యధిక పరుగులు (209)', 'హండ్రెడ్ మరియు ఒక మ్యాచ్లో ఒక డక్']")</f>
        <v>[ '(3) వికెట్ను కాపాడుకున్నాడు మరియు బ్యాటింగ్ తెరిచారు ఎవరు 3 వ కెప్టెన్ల' '(బ్యాటింగ్ స్థానం) ఒక ఇన్నింగ్స్ లో 2 వ అత్యధిక పరుగులు (209)', 'హండ్రెడ్ మరియు ఒక మ్యాచ్లో ఒక డక్']</v>
      </c>
      <c r="C6430" s="2" t="s">
        <v>3894</v>
      </c>
      <c r="D6430" s="2" t="str">
        <f>IFERROR(__xludf.DUMMYFUNCTION("IF(C6430&lt;&gt;"""", GOOGLETRANSLATE(C6430, ""en"", ""te""),"""")"),"[ 'వికెట్కీపర్గా (375) 17 వ ఒక సిరీస్లో అత్యధిక పరుగులు' '2 వ అత్యంత ఇన్నింగ్స్ లో పరుగులు (బ్యాటింగ్ స్థానంలో ప్రకారం) (209)', 'అత్యధిక వికెట్లు ఇన్నింగ్స్ లో 6 వ అత్యధిక పరుగులు (209)', '28th అత్యధిక తొలి వంద (209) ',' 15 వ వరుస అన్ని టాస్ గెలిచిన (3) '"&amp;",' వికెట్ను కాపాడుకున్నాడు చేసిన 19 కెప్టెన్ల (4) ',' వికెట్ను కాపాడుకున్నాడు మరియు బ్యాటింగ్ తెరిచారు ఎవరు 3 వ కెప్టెన్ల (3) ',' ఒక మ్యాచ్లో కెరీర్లో 25 వ అత్యంత స్టంపింగ్లు (16) ',' 12 వ అత్యంత స్టంపింగ్లు (3) ']")</f>
        <v>[ 'వికెట్కీపర్గా (375) 17 వ ఒక సిరీస్లో అత్యధిక పరుగులు' '2 వ అత్యంత ఇన్నింగ్స్ లో పరుగులు (బ్యాటింగ్ స్థానంలో ప్రకారం) (209)', 'అత్యధిక వికెట్లు ఇన్నింగ్స్ లో 6 వ అత్యధిక పరుగులు (209)', '28th అత్యధిక తొలి వంద (209) ',' 15 వ వరుస అన్ని టాస్ గెలిచిన (3) ',' వికెట్ను కాపాడుకున్నాడు చేసిన 19 కెప్టెన్ల (4) ',' వికెట్ను కాపాడుకున్నాడు మరియు బ్యాటింగ్ తెరిచారు ఎవరు 3 వ కెప్టెన్ల (3) ',' ఒక మ్యాచ్లో కెరీర్లో 25 వ అత్యంత స్టంపింగ్లు (16) ',' 12 వ అత్యంత స్టంపింగ్లు (3) ']</v>
      </c>
      <c r="E6430" s="2"/>
      <c r="F6430" s="2" t="str">
        <f>IFERROR(__xludf.DUMMYFUNCTION("IF(E6430&lt;&gt;"""", GOOGLETRANSLATE(E6430, ""en"", ""te""),"""")"),"")</f>
        <v/>
      </c>
      <c r="G6430" s="2"/>
      <c r="H6430" s="2" t="str">
        <f>IFERROR(__xludf.DUMMYFUNCTION("IF(G6430&lt;&gt;"""", GOOGLETRANSLATE(G6430, ""en"", ""te""),"""")"),"")</f>
        <v/>
      </c>
      <c r="I6430" s="3"/>
    </row>
    <row r="6431" customHeight="1" spans="1:9">
      <c r="A6431" s="2"/>
      <c r="B6431" s="2" t="str">
        <f>IFERROR(__xludf.DUMMYFUNCTION("IF(A6431&lt;&gt;"""", GOOGLETRANSLATE(A6431, ""en"", ""te""),"""")"),"")</f>
        <v/>
      </c>
      <c r="C6431" s="2"/>
      <c r="D6431" s="2" t="str">
        <f>IFERROR(__xludf.DUMMYFUNCTION("IF(C6431&lt;&gt;"""", GOOGLETRANSLATE(C6431, ""en"", ""te""),"""")"),"")</f>
        <v/>
      </c>
      <c r="E6431" s="2"/>
      <c r="F6431" s="2" t="str">
        <f>IFERROR(__xludf.DUMMYFUNCTION("IF(E6431&lt;&gt;"""", GOOGLETRANSLATE(E6431, ""en"", ""te""),"""")"),"")</f>
        <v/>
      </c>
      <c r="G6431" s="2"/>
      <c r="H6431" s="2" t="str">
        <f>IFERROR(__xludf.DUMMYFUNCTION("IF(G6431&lt;&gt;"""", GOOGLETRANSLATE(G6431, ""en"", ""te""),"""")"),"")</f>
        <v/>
      </c>
      <c r="I6431" s="3"/>
    </row>
    <row r="6432" customHeight="1" spans="1:9">
      <c r="A6432" s="2"/>
      <c r="B6432" s="2" t="str">
        <f>IFERROR(__xludf.DUMMYFUNCTION("IF(A6432&lt;&gt;"""", GOOGLETRANSLATE(A6432, ""en"", ""te""),"""")"),"")</f>
        <v/>
      </c>
      <c r="C6432" s="2"/>
      <c r="D6432" s="2" t="str">
        <f>IFERROR(__xludf.DUMMYFUNCTION("IF(C6432&lt;&gt;"""", GOOGLETRANSLATE(C6432, ""en"", ""te""),"""")"),"")</f>
        <v/>
      </c>
      <c r="E6432" s="2"/>
      <c r="F6432" s="2" t="str">
        <f>IFERROR(__xludf.DUMMYFUNCTION("IF(E6432&lt;&gt;"""", GOOGLETRANSLATE(E6432, ""en"", ""te""),"""")"),"")</f>
        <v/>
      </c>
      <c r="G6432" s="2"/>
      <c r="H6432" s="2" t="str">
        <f>IFERROR(__xludf.DUMMYFUNCTION("IF(G6432&lt;&gt;"""", GOOGLETRANSLATE(G6432, ""en"", ""te""),"""")"),"")</f>
        <v/>
      </c>
      <c r="I6432" s="3"/>
    </row>
    <row r="6433" customHeight="1" spans="1:9">
      <c r="A6433" s="2"/>
      <c r="B6433" s="2" t="str">
        <f>IFERROR(__xludf.DUMMYFUNCTION("IF(A6433&lt;&gt;"""", GOOGLETRANSLATE(A6433, ""en"", ""te""),"""")"),"")</f>
        <v/>
      </c>
      <c r="C6433" s="2"/>
      <c r="D6433" s="2" t="str">
        <f>IFERROR(__xludf.DUMMYFUNCTION("IF(C6433&lt;&gt;"""", GOOGLETRANSLATE(C6433, ""en"", ""te""),"""")"),"")</f>
        <v/>
      </c>
      <c r="E6433" s="2"/>
      <c r="F6433" s="2" t="str">
        <f>IFERROR(__xludf.DUMMYFUNCTION("IF(E6433&lt;&gt;"""", GOOGLETRANSLATE(E6433, ""en"", ""te""),"""")"),"")</f>
        <v/>
      </c>
      <c r="G6433" s="2"/>
      <c r="H6433" s="2" t="str">
        <f>IFERROR(__xludf.DUMMYFUNCTION("IF(G6433&lt;&gt;"""", GOOGLETRANSLATE(G6433, ""en"", ""te""),"""")"),"")</f>
        <v/>
      </c>
      <c r="I6433" s="3"/>
    </row>
    <row r="6434" customHeight="1" spans="1:9">
      <c r="A6434" s="2"/>
      <c r="B6434" s="2" t="str">
        <f>IFERROR(__xludf.DUMMYFUNCTION("IF(A6434&lt;&gt;"""", GOOGLETRANSLATE(A6434, ""en"", ""te""),"""")"),"")</f>
        <v/>
      </c>
      <c r="C6434" s="2"/>
      <c r="D6434" s="2" t="str">
        <f>IFERROR(__xludf.DUMMYFUNCTION("IF(C6434&lt;&gt;"""", GOOGLETRANSLATE(C6434, ""en"", ""te""),"""")"),"")</f>
        <v/>
      </c>
      <c r="E6434" s="2"/>
      <c r="F6434" s="2" t="str">
        <f>IFERROR(__xludf.DUMMYFUNCTION("IF(E6434&lt;&gt;"""", GOOGLETRANSLATE(E6434, ""en"", ""te""),"""")"),"")</f>
        <v/>
      </c>
      <c r="G6434" s="2"/>
      <c r="H6434" s="2" t="str">
        <f>IFERROR(__xludf.DUMMYFUNCTION("IF(G6434&lt;&gt;"""", GOOGLETRANSLATE(G6434, ""en"", ""te""),"""")"),"")</f>
        <v/>
      </c>
      <c r="I6434" s="3"/>
    </row>
    <row r="6435" customHeight="1" spans="1:9">
      <c r="A6435" s="2"/>
      <c r="B6435" s="2" t="str">
        <f>IFERROR(__xludf.DUMMYFUNCTION("IF(A6435&lt;&gt;"""", GOOGLETRANSLATE(A6435, ""en"", ""te""),"""")"),"")</f>
        <v/>
      </c>
      <c r="C6435" s="2"/>
      <c r="D6435" s="2" t="str">
        <f>IFERROR(__xludf.DUMMYFUNCTION("IF(C6435&lt;&gt;"""", GOOGLETRANSLATE(C6435, ""en"", ""te""),"""")"),"")</f>
        <v/>
      </c>
      <c r="E6435" s="2"/>
      <c r="F6435" s="2" t="str">
        <f>IFERROR(__xludf.DUMMYFUNCTION("IF(E6435&lt;&gt;"""", GOOGLETRANSLATE(E6435, ""en"", ""te""),"""")"),"")</f>
        <v/>
      </c>
      <c r="G6435" s="2"/>
      <c r="H6435" s="2" t="str">
        <f>IFERROR(__xludf.DUMMYFUNCTION("IF(G6435&lt;&gt;"""", GOOGLETRANSLATE(G6435, ""en"", ""te""),"""")"),"")</f>
        <v/>
      </c>
      <c r="I6435" s="3"/>
    </row>
    <row r="6436" customHeight="1" spans="1:9">
      <c r="A6436" s="2"/>
      <c r="B6436" s="2" t="str">
        <f>IFERROR(__xludf.DUMMYFUNCTION("IF(A6436&lt;&gt;"""", GOOGLETRANSLATE(A6436, ""en"", ""te""),"""")"),"")</f>
        <v/>
      </c>
      <c r="C6436" s="2"/>
      <c r="D6436" s="2" t="str">
        <f>IFERROR(__xludf.DUMMYFUNCTION("IF(C6436&lt;&gt;"""", GOOGLETRANSLATE(C6436, ""en"", ""te""),"""")"),"")</f>
        <v/>
      </c>
      <c r="E6436" s="2"/>
      <c r="F6436" s="2" t="str">
        <f>IFERROR(__xludf.DUMMYFUNCTION("IF(E6436&lt;&gt;"""", GOOGLETRANSLATE(E6436, ""en"", ""te""),"""")"),"")</f>
        <v/>
      </c>
      <c r="G6436" s="2"/>
      <c r="H6436" s="2" t="str">
        <f>IFERROR(__xludf.DUMMYFUNCTION("IF(G6436&lt;&gt;"""", GOOGLETRANSLATE(G6436, ""en"", ""te""),"""")"),"")</f>
        <v/>
      </c>
      <c r="I6436" s="3"/>
    </row>
    <row r="6437" customHeight="1" spans="1:9">
      <c r="A6437" s="2"/>
      <c r="B6437" s="2" t="str">
        <f>IFERROR(__xludf.DUMMYFUNCTION("IF(A6437&lt;&gt;"""", GOOGLETRANSLATE(A6437, ""en"", ""te""),"""")"),"")</f>
        <v/>
      </c>
      <c r="C6437" s="2"/>
      <c r="D6437" s="2" t="str">
        <f>IFERROR(__xludf.DUMMYFUNCTION("IF(C6437&lt;&gt;"""", GOOGLETRANSLATE(C6437, ""en"", ""te""),"""")"),"")</f>
        <v/>
      </c>
      <c r="E6437" s="2"/>
      <c r="F6437" s="2" t="str">
        <f>IFERROR(__xludf.DUMMYFUNCTION("IF(E6437&lt;&gt;"""", GOOGLETRANSLATE(E6437, ""en"", ""te""),"""")"),"")</f>
        <v/>
      </c>
      <c r="G6437" s="2"/>
      <c r="H6437" s="2" t="str">
        <f>IFERROR(__xludf.DUMMYFUNCTION("IF(G6437&lt;&gt;"""", GOOGLETRANSLATE(G6437, ""en"", ""te""),"""")"),"")</f>
        <v/>
      </c>
      <c r="I6437" s="3"/>
    </row>
    <row r="6438" customHeight="1" spans="1:9">
      <c r="A6438" s="2"/>
      <c r="B6438" s="2" t="str">
        <f>IFERROR(__xludf.DUMMYFUNCTION("IF(A6438&lt;&gt;"""", GOOGLETRANSLATE(A6438, ""en"", ""te""),"""")"),"")</f>
        <v/>
      </c>
      <c r="C6438" s="2"/>
      <c r="D6438" s="2" t="str">
        <f>IFERROR(__xludf.DUMMYFUNCTION("IF(C6438&lt;&gt;"""", GOOGLETRANSLATE(C6438, ""en"", ""te""),"""")"),"")</f>
        <v/>
      </c>
      <c r="E6438" s="2"/>
      <c r="F6438" s="2" t="str">
        <f>IFERROR(__xludf.DUMMYFUNCTION("IF(E6438&lt;&gt;"""", GOOGLETRANSLATE(E6438, ""en"", ""te""),"""")"),"")</f>
        <v/>
      </c>
      <c r="G6438" s="2"/>
      <c r="H6438" s="2" t="str">
        <f>IFERROR(__xludf.DUMMYFUNCTION("IF(G6438&lt;&gt;"""", GOOGLETRANSLATE(G6438, ""en"", ""te""),"""")"),"")</f>
        <v/>
      </c>
      <c r="I6438" s="3"/>
    </row>
    <row r="6439" customHeight="1" spans="1:9">
      <c r="A6439" s="2"/>
      <c r="B6439" s="2" t="str">
        <f>IFERROR(__xludf.DUMMYFUNCTION("IF(A6439&lt;&gt;"""", GOOGLETRANSLATE(A6439, ""en"", ""te""),"""")"),"")</f>
        <v/>
      </c>
      <c r="C6439" s="2"/>
      <c r="D6439" s="2" t="str">
        <f>IFERROR(__xludf.DUMMYFUNCTION("IF(C6439&lt;&gt;"""", GOOGLETRANSLATE(C6439, ""en"", ""te""),"""")"),"")</f>
        <v/>
      </c>
      <c r="E6439" s="2"/>
      <c r="F6439" s="2" t="str">
        <f>IFERROR(__xludf.DUMMYFUNCTION("IF(E6439&lt;&gt;"""", GOOGLETRANSLATE(E6439, ""en"", ""te""),"""")"),"")</f>
        <v/>
      </c>
      <c r="G6439" s="2"/>
      <c r="H6439" s="2" t="str">
        <f>IFERROR(__xludf.DUMMYFUNCTION("IF(G6439&lt;&gt;"""", GOOGLETRANSLATE(G6439, ""en"", ""te""),"""")"),"")</f>
        <v/>
      </c>
      <c r="I6439" s="3"/>
    </row>
    <row r="6440" customHeight="1" spans="1:9">
      <c r="A6440" s="2"/>
      <c r="B6440" s="2" t="str">
        <f>IFERROR(__xludf.DUMMYFUNCTION("IF(A6440&lt;&gt;"""", GOOGLETRANSLATE(A6440, ""en"", ""te""),"""")"),"")</f>
        <v/>
      </c>
      <c r="C6440" s="2"/>
      <c r="D6440" s="2" t="str">
        <f>IFERROR(__xludf.DUMMYFUNCTION("IF(C6440&lt;&gt;"""", GOOGLETRANSLATE(C6440, ""en"", ""te""),"""")"),"")</f>
        <v/>
      </c>
      <c r="E6440" s="2"/>
      <c r="F6440" s="2" t="str">
        <f>IFERROR(__xludf.DUMMYFUNCTION("IF(E6440&lt;&gt;"""", GOOGLETRANSLATE(E6440, ""en"", ""te""),"""")"),"")</f>
        <v/>
      </c>
      <c r="G6440" s="2"/>
      <c r="H6440" s="2" t="str">
        <f>IFERROR(__xludf.DUMMYFUNCTION("IF(G6440&lt;&gt;"""", GOOGLETRANSLATE(G6440, ""en"", ""te""),"""")"),"")</f>
        <v/>
      </c>
      <c r="I6440" s="3"/>
    </row>
    <row r="6441" customHeight="1" spans="1:9">
      <c r="A6441" s="2" t="s">
        <v>3895</v>
      </c>
      <c r="B6441" s="2" t="str">
        <f>IFERROR(__xludf.DUMMYFUNCTION("IF(A6441&lt;&gt;"""", GOOGLETRANSLATE(A6441, ""en"", ""te""),"""")"),"[ '8 వ పిన్న కాప్టెన్ (22y 260d)', '7 వ అత్యధిక పరుగులు ఇన్నింగ్స్ లో (బ్యాటింగ్ స్థానం) (280 *)', 'హండ్రెడ్ ప్రవేశం (163) న', 'హండ్రెడ్ ఒక మ్యాచ్లో ప్రతి ఇన్నింగ్స్లో', '1st 8000 పరుగులు (162) ',' 5000 పరుగులు మరియు 50 ఫీల్డింగ్ వికెట్లు ',' 3 వ లాంగెస్ట"&amp;"్ వృత్తిలో 6 వ వేగవంతమైన ఒక మ్యాచ్లో 99 (199, 299 etc) (99) అవుటయ్యాడు '' రెండు అజేయంగా అర్ధ ',' (20y 272d) ',' వరుస ఇన్నింగ్స్లో 1st యాభైల్లో (9) ',' ఒక డక్ లేకుండా 4 వ అత్యధిక వరుస ఇన్నింగ్స్ (96) ',' 5000 పరుగులు మరియు 50 ఫీల్డింగ్ వికెట్లు ',' వరుస "&amp;"ఇన్నింగ్స్లో 6 వ వందల (3) ',' 1st ఒక డక్ లేకుండా వరుస ఇన్నింగ్స్లో యాభైల్లో (8) ',' 6 వ అత్యధిక వరుస ఇన్నింగ్స్ (112) ']")</f>
        <v>[ '8 వ పిన్న కాప్టెన్ (22y 260d)', '7 వ అత్యధిక పరుగులు ఇన్నింగ్స్ లో (బ్యాటింగ్ స్థానం) (280 *)', 'హండ్రెడ్ ప్రవేశం (163) న', 'హండ్రెడ్ ఒక మ్యాచ్లో ప్రతి ఇన్నింగ్స్లో', '1st 8000 పరుగులు (162) ',' 5000 పరుగులు మరియు 50 ఫీల్డింగ్ వికెట్లు ',' 3 వ లాంగెస్ట్ వృత్తిలో 6 వ వేగవంతమైన ఒక మ్యాచ్లో 99 (199, 299 etc) (99) అవుటయ్యాడు '' రెండు అజేయంగా అర్ధ ',' (20y 272d) ',' వరుస ఇన్నింగ్స్లో 1st యాభైల్లో (9) ',' ఒక డక్ లేకుండా 4 వ అత్యధిక వరుస ఇన్నింగ్స్ (96) ',' 5000 పరుగులు మరియు 50 ఫీల్డింగ్ వికెట్లు ',' వరుస ఇన్నింగ్స్లో 6 వ వందల (3) ',' 1st ఒక డక్ లేకుండా వరుస ఇన్నింగ్స్లో యాభైల్లో (8) ',' 6 వ అత్యధిక వరుస ఇన్నింగ్స్ (112) ']</v>
      </c>
      <c r="C6441" s="2" t="s">
        <v>3896</v>
      </c>
      <c r="D6441" s="2" t="str">
        <f>IFERROR(__xludf.DUMMYFUNCTION("IF(C6441&lt;&gt;"""", GOOGLETRANSLATE(C6441, ""en"", ""te""),"""")"),"[ '17 వ కెరీర్ లో అత్యధిక పరుగులు (8832)', '43 వ ఇన్నింగ్స్ లో అత్యధిక పరుగులు (280 *)', 'ఇన్నింగ్స్ లో 7 వ అత్యధిక పరుగులు (బ్యాటింగ్ స్థానంలో ప్రకారం) (280 *)', '21 వ ఒక సింగిల్ అత్యధిక పరుగులు భూమి (1393) ',' 26th అత్యధిక కెరీర్ బ్యాటింగ్ సగటు (52.57) "&amp;"',' 17 వ తొలి మ్యాచ్లో అత్యధిక పరుగులు (188) ',' 28th ఒక వృత్తిలో అత్యధిక వందలు (23) ',' ఒక వృత్తిలో 7 వ అత్యధిక డబుల్ సెంచరీలు ( 6) ',' 33 వ ఒక జట్టు వ్యతిరేకంగా అత్యధిక వందలు (7) ',' 2 వ హండ్రెడ్ లో వందవ మ్యాచ్ (145) ',' 11 వ పిన్న ఆటగాడు డబుల్ సెంచరీ స"&amp;"్కోర్ వంద (19y 119d) ',' 1st పిన్న ఆటగాడు స్కోర్ (19y 140d) ',' 1 వ 99 పరుగుల (199, 299 etc) (99) ',' 22 వ కెరీర్ అర్ధ (66) ',' కెరీర్లో 22 వ అతి తక్కువ బాతులు (31.5) ',' 40 వ లో వచ్చిన ఎక్కువ సిక్స్ కెరీర్ (48) ',' 48 వ కెరీర్ ఫోర్లు (788+) ',' 28th లాంగ"&amp;"ెస్ట్ వ్యక్తిగత ఇన్నింగ్స్ (నిమిషాలు) (696) ',' 36 వ లాంగెస్ట్ వ్యక్తిగత ఇన్నింగ్స్ (బంతులతో) (521) ',' 27 వ వేగంగా 2000 పరుగులు (42) ',' 34 వ 3000 పరుగులు (67) ',' ఫాస్టెస్ట్ 17 4000 పరుగులు వేగంగా (84) ',' 20 వ 5000 పరుగులు (107) ',' 29th 600 వేగవంతమైన"&amp;" వేగంగా 0 పరుగులు (133) ',' ఫాస్టెస్ట్ 7000 పరుగులు (145) ',' 6 వ వేగవంతమైన కెరీర్ లో 8000 పరుగులు (162) ',' 47 వ అత్యధిక క్యాచ్లు 14 (93) ',' నాలుగవ వికెట్కు 14 అత్యధిక భాగస్వామ్యం (322 ) ',' ఐదవ వికెట్కు 16 అత్యధిక భాగస్వామ్యం (281) ',' 24th కెరీర్లో అ"&amp;"త్యధిక మ్యాచ్లు (124) ',' 36 వ అత్యధిక మ్యాచ్లు కెప్టెన్గా (34) ',' 8 వ పిన్న కాప్టెన్ (22y 260d) ']")</f>
        <v>[ '17 వ కెరీర్ లో అత్యధిక పరుగులు (8832)', '43 వ ఇన్నింగ్స్ లో అత్యధిక పరుగులు (280 *)', 'ఇన్నింగ్స్ లో 7 వ అత్యధిక పరుగులు (బ్యాటింగ్ స్థానంలో ప్రకారం) (280 *)', '21 వ ఒక సింగిల్ అత్యధిక పరుగులు భూమి (1393) ',' 26th అత్యధిక కెరీర్ బ్యాటింగ్ సగటు (52.57) ',' 17 వ తొలి మ్యాచ్లో అత్యధిక పరుగులు (188) ',' 28th ఒక వృత్తిలో అత్యధిక వందలు (23) ',' ఒక వృత్తిలో 7 వ అత్యధిక డబుల్ సెంచరీలు ( 6) ',' 33 వ ఒక జట్టు వ్యతిరేకంగా అత్యధిక వందలు (7) ',' 2 వ హండ్రెడ్ లో వందవ మ్యాచ్ (145) ',' 11 వ పిన్న ఆటగాడు డబుల్ సెంచరీ స్కోర్ వంద (19y 119d) ',' 1st పిన్న ఆటగాడు స్కోర్ (19y 140d) ',' 1 వ 99 పరుగుల (199, 299 etc) (99) ',' 22 వ కెరీర్ అర్ధ (66) ',' కెరీర్లో 22 వ అతి తక్కువ బాతులు (31.5) ',' 40 వ లో వచ్చిన ఎక్కువ సిక్స్ కెరీర్ (48) ',' 48 వ కెరీర్ ఫోర్లు (788+) ',' 28th లాంగెస్ట్ వ్యక్తిగత ఇన్నింగ్స్ (నిమిషాలు) (696) ',' 36 వ లాంగెస్ట్ వ్యక్తిగత ఇన్నింగ్స్ (బంతులతో) (521) ',' 27 వ వేగంగా 2000 పరుగులు (42) ',' 34 వ 3000 పరుగులు (67) ',' ఫాస్టెస్ట్ 17 4000 పరుగులు వేగంగా (84) ',' 20 వ 5000 పరుగులు (107) ',' 29th 600 వేగవంతమైన వేగంగా 0 పరుగులు (133) ',' ఫాస్టెస్ట్ 7000 పరుగులు (145) ',' 6 వ వేగవంతమైన కెరీర్ లో 8000 పరుగులు (162) ',' 47 వ అత్యధిక క్యాచ్లు 14 (93) ',' నాలుగవ వికెట్కు 14 అత్యధిక భాగస్వామ్యం (322 ) ',' ఐదవ వికెట్కు 16 అత్యధిక భాగస్వామ్యం (281) ',' 24th కెరీర్లో అత్యధిక మ్యాచ్లు (124) ',' 36 వ అత్యధిక మ్యాచ్లు కెప్టెన్గా (34) ',' 8 వ పిన్న కాప్టెన్ (22y 260d) ']</v>
      </c>
      <c r="E6441" s="2" t="s">
        <v>3897</v>
      </c>
      <c r="F6441" s="2" t="str">
        <f>IFERROR(__xludf.DUMMYFUNCTION("IF(E6441&lt;&gt;"""", GOOGLETRANSLATE(E6441, ""en"", ""te""),"""")"),"[ 'ఒకే క్రీడా (1052) లో 43 వ అత్యధిక పరుగులు' 'కెరీర్లో 39 వ అత్యధిక పరుగులు (7381)', '33 వ కెరీర్ అర్ధ (58)' '35 వ అత్యంత వృద్ధ ఆటగాడు వంద (35y 248d) స్కోర్', 'ఒక డక్ లేకుండా 4 వ అత్యధిక వరుస ఇన్నింగ్స్ (96)' 'వరుస ఇన్నింగ్స్లో 1st యాభైల్లో (9)', '13 వ "&amp;"లాంగెస్ట్ వ్యక్తిగత ఇన్నింగ్స్ (బంతులతో) (167)', '40 వ 4000 పరుగులు వేగంగా (116)', ' 29 వేగవంతమైన 5000 పరుగులు (139) ',' ఫాస్టెస్ట్ 6000 పరుగులు 28 (175) ',' 18 వ వేగవంతమైన 7000 పరుగులు (204) ',' నాలుగవ వికెట్కు 45 వ అత్యధిక భాగస్వామ్యం (165) ',' 40 వ అ"&amp;"త్యంత player- ఆఫ్ ది మ్యాచ్ అవార్డులు (18) ',' 3 వ లాంగెస్ట్ కెరీర్లు (20y 272d) ',' 43 వ అత్యధిక మ్యాచ్లు కెప్టెన్గా (62) ',' 14 వ పిన్న కాప్టెన్ (23y 162d) ']")</f>
        <v>[ 'ఒకే క్రీడా (1052) లో 43 వ అత్యధిక పరుగులు' 'కెరీర్లో 39 వ అత్యధిక పరుగులు (7381)', '33 వ కెరీర్ అర్ధ (58)' '35 వ అత్యంత వృద్ధ ఆటగాడు వంద (35y 248d) స్కోర్', 'ఒక డక్ లేకుండా 4 వ అత్యధిక వరుస ఇన్నింగ్స్ (96)' 'వరుస ఇన్నింగ్స్లో 1st యాభైల్లో (9)', '13 వ లాంగెస్ట్ వ్యక్తిగత ఇన్నింగ్స్ (బంతులతో) (167)', '40 వ 4000 పరుగులు వేగంగా (116)', ' 29 వేగవంతమైన 5000 పరుగులు (139) ',' ఫాస్టెస్ట్ 6000 పరుగులు 28 (175) ',' 18 వ వేగవంతమైన 7000 పరుగులు (204) ',' నాలుగవ వికెట్కు 45 వ అత్యధిక భాగస్వామ్యం (165) ',' 40 వ అత్యంత player- ఆఫ్ ది మ్యాచ్ అవార్డులు (18) ',' 3 వ లాంగెస్ట్ కెరీర్లు (20y 272d) ',' 43 వ అత్యధిక మ్యాచ్లు కెప్టెన్గా (62) ',' 14 వ పిన్న కాప్టెన్ (23y 162d) ']</v>
      </c>
      <c r="G6441" s="2"/>
      <c r="H6441" s="2" t="str">
        <f>IFERROR(__xludf.DUMMYFUNCTION("IF(G6441&lt;&gt;"""", GOOGLETRANSLATE(G6441, ""en"", ""te""),"""")"),"")</f>
        <v/>
      </c>
      <c r="I6441" s="3"/>
    </row>
    <row r="6442" customHeight="1" spans="1:9">
      <c r="A6442" s="2"/>
      <c r="B6442" s="2" t="str">
        <f>IFERROR(__xludf.DUMMYFUNCTION("IF(A6442&lt;&gt;"""", GOOGLETRANSLATE(A6442, ""en"", ""te""),"""")"),"")</f>
        <v/>
      </c>
      <c r="C6442" s="2"/>
      <c r="D6442" s="2" t="str">
        <f>IFERROR(__xludf.DUMMYFUNCTION("IF(C6442&lt;&gt;"""", GOOGLETRANSLATE(C6442, ""en"", ""te""),"""")"),"")</f>
        <v/>
      </c>
      <c r="E6442" s="2"/>
      <c r="F6442" s="2" t="str">
        <f>IFERROR(__xludf.DUMMYFUNCTION("IF(E6442&lt;&gt;"""", GOOGLETRANSLATE(E6442, ""en"", ""te""),"""")"),"")</f>
        <v/>
      </c>
      <c r="G6442" s="2"/>
      <c r="H6442" s="2" t="str">
        <f>IFERROR(__xludf.DUMMYFUNCTION("IF(G6442&lt;&gt;"""", GOOGLETRANSLATE(G6442, ""en"", ""te""),"""")"),"")</f>
        <v/>
      </c>
      <c r="I6442" s="3"/>
    </row>
    <row r="6443" customHeight="1" spans="1:9">
      <c r="A6443" s="2"/>
      <c r="B6443" s="2" t="str">
        <f>IFERROR(__xludf.DUMMYFUNCTION("IF(A6443&lt;&gt;"""", GOOGLETRANSLATE(A6443, ""en"", ""te""),"""")"),"")</f>
        <v/>
      </c>
      <c r="C6443" s="2"/>
      <c r="D6443" s="2" t="str">
        <f>IFERROR(__xludf.DUMMYFUNCTION("IF(C6443&lt;&gt;"""", GOOGLETRANSLATE(C6443, ""en"", ""te""),"""")"),"")</f>
        <v/>
      </c>
      <c r="E6443" s="2"/>
      <c r="F6443" s="2" t="str">
        <f>IFERROR(__xludf.DUMMYFUNCTION("IF(E6443&lt;&gt;"""", GOOGLETRANSLATE(E6443, ""en"", ""te""),"""")"),"")</f>
        <v/>
      </c>
      <c r="G6443" s="2"/>
      <c r="H6443" s="2" t="str">
        <f>IFERROR(__xludf.DUMMYFUNCTION("IF(G6443&lt;&gt;"""", GOOGLETRANSLATE(G6443, ""en"", ""te""),"""")"),"")</f>
        <v/>
      </c>
      <c r="I6443" s="3"/>
    </row>
    <row r="6444" customHeight="1" spans="1:9">
      <c r="A6444" s="2"/>
      <c r="B6444" s="2" t="str">
        <f>IFERROR(__xludf.DUMMYFUNCTION("IF(A6444&lt;&gt;"""", GOOGLETRANSLATE(A6444, ""en"", ""te""),"""")"),"")</f>
        <v/>
      </c>
      <c r="C6444" s="2"/>
      <c r="D6444" s="2" t="str">
        <f>IFERROR(__xludf.DUMMYFUNCTION("IF(C6444&lt;&gt;"""", GOOGLETRANSLATE(C6444, ""en"", ""te""),"""")"),"")</f>
        <v/>
      </c>
      <c r="E6444" s="2"/>
      <c r="F6444" s="2" t="str">
        <f>IFERROR(__xludf.DUMMYFUNCTION("IF(E6444&lt;&gt;"""", GOOGLETRANSLATE(E6444, ""en"", ""te""),"""")"),"")</f>
        <v/>
      </c>
      <c r="G6444" s="2"/>
      <c r="H6444" s="2" t="str">
        <f>IFERROR(__xludf.DUMMYFUNCTION("IF(G6444&lt;&gt;"""", GOOGLETRANSLATE(G6444, ""en"", ""te""),"""")"),"")</f>
        <v/>
      </c>
      <c r="I6444" s="3"/>
    </row>
    <row r="6445" customHeight="1" spans="1:9">
      <c r="A6445" s="2"/>
      <c r="B6445" s="2" t="str">
        <f>IFERROR(__xludf.DUMMYFUNCTION("IF(A6445&lt;&gt;"""", GOOGLETRANSLATE(A6445, ""en"", ""te""),"""")"),"")</f>
        <v/>
      </c>
      <c r="C6445" s="2"/>
      <c r="D6445" s="2" t="str">
        <f>IFERROR(__xludf.DUMMYFUNCTION("IF(C6445&lt;&gt;"""", GOOGLETRANSLATE(C6445, ""en"", ""te""),"""")"),"")</f>
        <v/>
      </c>
      <c r="E6445" s="2"/>
      <c r="F6445" s="2" t="str">
        <f>IFERROR(__xludf.DUMMYFUNCTION("IF(E6445&lt;&gt;"""", GOOGLETRANSLATE(E6445, ""en"", ""te""),"""")"),"")</f>
        <v/>
      </c>
      <c r="G6445" s="2"/>
      <c r="H6445" s="2" t="str">
        <f>IFERROR(__xludf.DUMMYFUNCTION("IF(G6445&lt;&gt;"""", GOOGLETRANSLATE(G6445, ""en"", ""te""),"""")"),"")</f>
        <v/>
      </c>
      <c r="I6445" s="3"/>
    </row>
    <row r="6446" customHeight="1" spans="1:9">
      <c r="A6446" s="2"/>
      <c r="B6446" s="2" t="str">
        <f>IFERROR(__xludf.DUMMYFUNCTION("IF(A6446&lt;&gt;"""", GOOGLETRANSLATE(A6446, ""en"", ""te""),"""")"),"")</f>
        <v/>
      </c>
      <c r="C6446" s="2"/>
      <c r="D6446" s="2" t="str">
        <f>IFERROR(__xludf.DUMMYFUNCTION("IF(C6446&lt;&gt;"""", GOOGLETRANSLATE(C6446, ""en"", ""te""),"""")"),"")</f>
        <v/>
      </c>
      <c r="E6446" s="2"/>
      <c r="F6446" s="2" t="str">
        <f>IFERROR(__xludf.DUMMYFUNCTION("IF(E6446&lt;&gt;"""", GOOGLETRANSLATE(E6446, ""en"", ""te""),"""")"),"")</f>
        <v/>
      </c>
      <c r="G6446" s="2"/>
      <c r="H6446" s="2" t="str">
        <f>IFERROR(__xludf.DUMMYFUNCTION("IF(G6446&lt;&gt;"""", GOOGLETRANSLATE(G6446, ""en"", ""te""),"""")"),"")</f>
        <v/>
      </c>
      <c r="I6446" s="3"/>
    </row>
    <row r="6447" customHeight="1" spans="1:9">
      <c r="A6447" s="2"/>
      <c r="B6447" s="2" t="str">
        <f>IFERROR(__xludf.DUMMYFUNCTION("IF(A6447&lt;&gt;"""", GOOGLETRANSLATE(A6447, ""en"", ""te""),"""")"),"")</f>
        <v/>
      </c>
      <c r="C6447" s="2"/>
      <c r="D6447" s="2" t="str">
        <f>IFERROR(__xludf.DUMMYFUNCTION("IF(C6447&lt;&gt;"""", GOOGLETRANSLATE(C6447, ""en"", ""te""),"""")"),"")</f>
        <v/>
      </c>
      <c r="E6447" s="2"/>
      <c r="F6447" s="2" t="str">
        <f>IFERROR(__xludf.DUMMYFUNCTION("IF(E6447&lt;&gt;"""", GOOGLETRANSLATE(E6447, ""en"", ""te""),"""")"),"")</f>
        <v/>
      </c>
      <c r="G6447" s="2"/>
      <c r="H6447" s="2" t="str">
        <f>IFERROR(__xludf.DUMMYFUNCTION("IF(G6447&lt;&gt;"""", GOOGLETRANSLATE(G6447, ""en"", ""te""),"""")"),"")</f>
        <v/>
      </c>
      <c r="I6447" s="3"/>
    </row>
    <row r="6448" customHeight="1" spans="1:9">
      <c r="A6448" s="2"/>
      <c r="B6448" s="2" t="str">
        <f>IFERROR(__xludf.DUMMYFUNCTION("IF(A6448&lt;&gt;"""", GOOGLETRANSLATE(A6448, ""en"", ""te""),"""")"),"")</f>
        <v/>
      </c>
      <c r="C6448" s="2"/>
      <c r="D6448" s="2" t="str">
        <f>IFERROR(__xludf.DUMMYFUNCTION("IF(C6448&lt;&gt;"""", GOOGLETRANSLATE(C6448, ""en"", ""te""),"""")"),"")</f>
        <v/>
      </c>
      <c r="E6448" s="2"/>
      <c r="F6448" s="2" t="str">
        <f>IFERROR(__xludf.DUMMYFUNCTION("IF(E6448&lt;&gt;"""", GOOGLETRANSLATE(E6448, ""en"", ""te""),"""")"),"")</f>
        <v/>
      </c>
      <c r="G6448" s="2"/>
      <c r="H6448" s="2" t="str">
        <f>IFERROR(__xludf.DUMMYFUNCTION("IF(G6448&lt;&gt;"""", GOOGLETRANSLATE(G6448, ""en"", ""te""),"""")"),"")</f>
        <v/>
      </c>
      <c r="I6448" s="3"/>
    </row>
    <row r="6449" customHeight="1" spans="1:9">
      <c r="A6449" s="2"/>
      <c r="B6449" s="2" t="str">
        <f>IFERROR(__xludf.DUMMYFUNCTION("IF(A6449&lt;&gt;"""", GOOGLETRANSLATE(A6449, ""en"", ""te""),"""")"),"")</f>
        <v/>
      </c>
      <c r="C6449" s="2"/>
      <c r="D6449" s="2" t="str">
        <f>IFERROR(__xludf.DUMMYFUNCTION("IF(C6449&lt;&gt;"""", GOOGLETRANSLATE(C6449, ""en"", ""te""),"""")"),"")</f>
        <v/>
      </c>
      <c r="E6449" s="2"/>
      <c r="F6449" s="2" t="str">
        <f>IFERROR(__xludf.DUMMYFUNCTION("IF(E6449&lt;&gt;"""", GOOGLETRANSLATE(E6449, ""en"", ""te""),"""")"),"")</f>
        <v/>
      </c>
      <c r="G6449" s="2"/>
      <c r="H6449" s="2" t="str">
        <f>IFERROR(__xludf.DUMMYFUNCTION("IF(G6449&lt;&gt;"""", GOOGLETRANSLATE(G6449, ""en"", ""te""),"""")"),"")</f>
        <v/>
      </c>
      <c r="I6449" s="3"/>
    </row>
    <row r="6450" customHeight="1" spans="1:9">
      <c r="A6450" s="2"/>
      <c r="B6450" s="2" t="str">
        <f>IFERROR(__xludf.DUMMYFUNCTION("IF(A6450&lt;&gt;"""", GOOGLETRANSLATE(A6450, ""en"", ""te""),"""")"),"")</f>
        <v/>
      </c>
      <c r="C6450" s="2"/>
      <c r="D6450" s="2" t="str">
        <f>IFERROR(__xludf.DUMMYFUNCTION("IF(C6450&lt;&gt;"""", GOOGLETRANSLATE(C6450, ""en"", ""te""),"""")"),"")</f>
        <v/>
      </c>
      <c r="E6450" s="2"/>
      <c r="F6450" s="2" t="str">
        <f>IFERROR(__xludf.DUMMYFUNCTION("IF(E6450&lt;&gt;"""", GOOGLETRANSLATE(E6450, ""en"", ""te""),"""")"),"")</f>
        <v/>
      </c>
      <c r="G6450" s="2"/>
      <c r="H6450" s="2" t="str">
        <f>IFERROR(__xludf.DUMMYFUNCTION("IF(G6450&lt;&gt;"""", GOOGLETRANSLATE(G6450, ""en"", ""te""),"""")"),"")</f>
        <v/>
      </c>
      <c r="I6450" s="3"/>
    </row>
    <row r="6451" customHeight="1" spans="1:9">
      <c r="A6451" s="2"/>
      <c r="B6451" s="2" t="str">
        <f>IFERROR(__xludf.DUMMYFUNCTION("IF(A6451&lt;&gt;"""", GOOGLETRANSLATE(A6451, ""en"", ""te""),"""")"),"")</f>
        <v/>
      </c>
      <c r="C6451" s="2"/>
      <c r="D6451" s="2" t="str">
        <f>IFERROR(__xludf.DUMMYFUNCTION("IF(C6451&lt;&gt;"""", GOOGLETRANSLATE(C6451, ""en"", ""te""),"""")"),"")</f>
        <v/>
      </c>
      <c r="E6451" s="2"/>
      <c r="F6451" s="2" t="str">
        <f>IFERROR(__xludf.DUMMYFUNCTION("IF(E6451&lt;&gt;"""", GOOGLETRANSLATE(E6451, ""en"", ""te""),"""")"),"")</f>
        <v/>
      </c>
      <c r="G6451" s="2"/>
      <c r="H6451" s="2" t="str">
        <f>IFERROR(__xludf.DUMMYFUNCTION("IF(G6451&lt;&gt;"""", GOOGLETRANSLATE(G6451, ""en"", ""te""),"""")"),"")</f>
        <v/>
      </c>
      <c r="I6451" s="3"/>
    </row>
    <row r="6452" customHeight="1" spans="1:9">
      <c r="A6452" s="2"/>
      <c r="B6452" s="2" t="str">
        <f>IFERROR(__xludf.DUMMYFUNCTION("IF(A6452&lt;&gt;"""", GOOGLETRANSLATE(A6452, ""en"", ""te""),"""")"),"")</f>
        <v/>
      </c>
      <c r="C6452" s="2"/>
      <c r="D6452" s="2" t="str">
        <f>IFERROR(__xludf.DUMMYFUNCTION("IF(C6452&lt;&gt;"""", GOOGLETRANSLATE(C6452, ""en"", ""te""),"""")"),"")</f>
        <v/>
      </c>
      <c r="E6452" s="2"/>
      <c r="F6452" s="2" t="str">
        <f>IFERROR(__xludf.DUMMYFUNCTION("IF(E6452&lt;&gt;"""", GOOGLETRANSLATE(E6452, ""en"", ""te""),"""")"),"")</f>
        <v/>
      </c>
      <c r="G6452" s="2"/>
      <c r="H6452" s="2" t="str">
        <f>IFERROR(__xludf.DUMMYFUNCTION("IF(G6452&lt;&gt;"""", GOOGLETRANSLATE(G6452, ""en"", ""te""),"""")"),"")</f>
        <v/>
      </c>
      <c r="I6452" s="3"/>
    </row>
    <row r="6453" customHeight="1" spans="1:9">
      <c r="A6453" s="2"/>
      <c r="B6453" s="2" t="str">
        <f>IFERROR(__xludf.DUMMYFUNCTION("IF(A6453&lt;&gt;"""", GOOGLETRANSLATE(A6453, ""en"", ""te""),"""")"),"")</f>
        <v/>
      </c>
      <c r="C6453" s="2"/>
      <c r="D6453" s="2" t="str">
        <f>IFERROR(__xludf.DUMMYFUNCTION("IF(C6453&lt;&gt;"""", GOOGLETRANSLATE(C6453, ""en"", ""te""),"""")"),"")</f>
        <v/>
      </c>
      <c r="E6453" s="2"/>
      <c r="F6453" s="2" t="str">
        <f>IFERROR(__xludf.DUMMYFUNCTION("IF(E6453&lt;&gt;"""", GOOGLETRANSLATE(E6453, ""en"", ""te""),"""")"),"")</f>
        <v/>
      </c>
      <c r="G6453" s="2"/>
      <c r="H6453" s="2" t="str">
        <f>IFERROR(__xludf.DUMMYFUNCTION("IF(G6453&lt;&gt;"""", GOOGLETRANSLATE(G6453, ""en"", ""te""),"""")"),"")</f>
        <v/>
      </c>
      <c r="I6453" s="3"/>
    </row>
    <row r="6454" customHeight="1" spans="1:9">
      <c r="A6454" s="2"/>
      <c r="B6454" s="2" t="str">
        <f>IFERROR(__xludf.DUMMYFUNCTION("IF(A6454&lt;&gt;"""", GOOGLETRANSLATE(A6454, ""en"", ""te""),"""")"),"")</f>
        <v/>
      </c>
      <c r="C6454" s="2"/>
      <c r="D6454" s="2" t="str">
        <f>IFERROR(__xludf.DUMMYFUNCTION("IF(C6454&lt;&gt;"""", GOOGLETRANSLATE(C6454, ""en"", ""te""),"""")"),"")</f>
        <v/>
      </c>
      <c r="E6454" s="2"/>
      <c r="F6454" s="2" t="str">
        <f>IFERROR(__xludf.DUMMYFUNCTION("IF(E6454&lt;&gt;"""", GOOGLETRANSLATE(E6454, ""en"", ""te""),"""")"),"")</f>
        <v/>
      </c>
      <c r="G6454" s="2"/>
      <c r="H6454" s="2" t="str">
        <f>IFERROR(__xludf.DUMMYFUNCTION("IF(G6454&lt;&gt;"""", GOOGLETRANSLATE(G6454, ""en"", ""te""),"""")"),"")</f>
        <v/>
      </c>
      <c r="I6454" s="3"/>
    </row>
    <row r="6455" customHeight="1" spans="1:9">
      <c r="A6455" s="2"/>
      <c r="B6455" s="2" t="str">
        <f>IFERROR(__xludf.DUMMYFUNCTION("IF(A6455&lt;&gt;"""", GOOGLETRANSLATE(A6455, ""en"", ""te""),"""")"),"")</f>
        <v/>
      </c>
      <c r="C6455" s="2"/>
      <c r="D6455" s="2" t="str">
        <f>IFERROR(__xludf.DUMMYFUNCTION("IF(C6455&lt;&gt;"""", GOOGLETRANSLATE(C6455, ""en"", ""te""),"""")"),"")</f>
        <v/>
      </c>
      <c r="E6455" s="2" t="s">
        <v>3898</v>
      </c>
      <c r="F6455" s="2" t="str">
        <f>IFERROR(__xludf.DUMMYFUNCTION("IF(E6455&lt;&gt;"""", GOOGLETRANSLATE(E6455, ""en"", ""te""),"""")"),"[ '12 వ ఒక క్యాలెండర్ సంవత్సరంలో అత్యధిక వికెట్లు (52)', 'ఫాస్టెస్ట్ 100 వికెట్లు 39 వ (68)']")</f>
        <v>[ '12 వ ఒక క్యాలెండర్ సంవత్సరంలో అత్యధిక వికెట్లు (52)', 'ఫాస్టెస్ట్ 100 వికెట్లు 39 వ (68)']</v>
      </c>
      <c r="G6455" s="2"/>
      <c r="H6455" s="2" t="str">
        <f>IFERROR(__xludf.DUMMYFUNCTION("IF(G6455&lt;&gt;"""", GOOGLETRANSLATE(G6455, ""en"", ""te""),"""")"),"")</f>
        <v/>
      </c>
      <c r="I6455" s="3"/>
    </row>
    <row r="6456" customHeight="1" spans="1:9">
      <c r="A6456" s="2" t="s">
        <v>9</v>
      </c>
      <c r="B6456" s="2" t="str">
        <f>IFERROR(__xludf.DUMMYFUNCTION("IF(A6456&lt;&gt;"""", GOOGLETRANSLATE(A6456, ""en"", ""te""),"""")"),"[ 'హండ్రెడ్ మరియు ఒక మ్యాచ్లో ఒక డక్']")</f>
        <v>[ 'హండ్రెడ్ మరియు ఒక మ్యాచ్లో ఒక డక్']</v>
      </c>
      <c r="C6456" s="2" t="s">
        <v>3899</v>
      </c>
      <c r="D6456" s="2" t="str">
        <f>IFERROR(__xludf.DUMMYFUNCTION("IF(C6456&lt;&gt;"""", GOOGLETRANSLATE(C6456, ""en"", ""te""),"""")"),"[18 వ పిన్న కాప్టెన్ (24y 23d) ',' 29th అత్యధిక మ్యాచ్లు ఒక మ్యాచ్ రిఫరీ (6) గా ']")</f>
        <v>[18 వ పిన్న కాప్టెన్ (24y 23d) ',' 29th అత్యధిక మ్యాచ్లు ఒక మ్యాచ్ రిఫరీ (6) గా ']</v>
      </c>
      <c r="E6456" s="2" t="s">
        <v>3900</v>
      </c>
      <c r="F6456" s="2" t="str">
        <f>IFERROR(__xludf.DUMMYFUNCTION("IF(E6456&lt;&gt;"""", GOOGLETRANSLATE(E6456, ""en"", ""te""),"""")"),"[ '33 వ అత్యంత ఒక మ్యాచ్ రిఫరీ (15) గా పేర్కొంటే']")</f>
        <v>[ '33 వ అత్యంత ఒక మ్యాచ్ రిఫరీ (15) గా పేర్కొంటే']</v>
      </c>
      <c r="G6456" s="2"/>
      <c r="H6456" s="2" t="str">
        <f>IFERROR(__xludf.DUMMYFUNCTION("IF(G6456&lt;&gt;"""", GOOGLETRANSLATE(G6456, ""en"", ""te""),"""")"),"")</f>
        <v/>
      </c>
      <c r="I6456" s="3"/>
    </row>
    <row r="6457" customHeight="1" spans="1:9">
      <c r="A6457" s="2"/>
      <c r="B6457" s="2" t="str">
        <f>IFERROR(__xludf.DUMMYFUNCTION("IF(A6457&lt;&gt;"""", GOOGLETRANSLATE(A6457, ""en"", ""te""),"""")"),"")</f>
        <v/>
      </c>
      <c r="C6457" s="2"/>
      <c r="D6457" s="2" t="str">
        <f>IFERROR(__xludf.DUMMYFUNCTION("IF(C6457&lt;&gt;"""", GOOGLETRANSLATE(C6457, ""en"", ""te""),"""")"),"")</f>
        <v/>
      </c>
      <c r="E6457" s="2"/>
      <c r="F6457" s="2" t="str">
        <f>IFERROR(__xludf.DUMMYFUNCTION("IF(E6457&lt;&gt;"""", GOOGLETRANSLATE(E6457, ""en"", ""te""),"""")"),"")</f>
        <v/>
      </c>
      <c r="G6457" s="2"/>
      <c r="H6457" s="2" t="str">
        <f>IFERROR(__xludf.DUMMYFUNCTION("IF(G6457&lt;&gt;"""", GOOGLETRANSLATE(G6457, ""en"", ""te""),"""")"),"")</f>
        <v/>
      </c>
      <c r="I6457" s="3"/>
    </row>
    <row r="6458" customHeight="1" spans="1:9">
      <c r="A6458" s="2" t="s">
        <v>3901</v>
      </c>
      <c r="B6458" s="2" t="str">
        <f>IFERROR(__xludf.DUMMYFUNCTION("IF(A6458&lt;&gt;"""", GOOGLETRANSLATE(A6458, ""en"", ""te""),"""")"),"[ 'కెరీర్లో 10 వ అత్యంత తొంభైల (2)', 'ఒక డక్ లేకుండా 10 వ వరుస ఇన్నింగ్స్ (47 *)', 'ఆరవ వికెట్కు 6 వ అత్యధిక భాగస్వామ్యం (61)']")</f>
        <v>[ 'కెరీర్లో 10 వ అత్యంత తొంభైల (2)', 'ఒక డక్ లేకుండా 10 వ వరుస ఇన్నింగ్స్ (47 *)', 'ఆరవ వికెట్కు 6 వ అత్యధిక భాగస్వామ్యం (61)']</v>
      </c>
      <c r="C6458" s="2"/>
      <c r="D6458" s="2" t="str">
        <f>IFERROR(__xludf.DUMMYFUNCTION("IF(C6458&lt;&gt;"""", GOOGLETRANSLATE(C6458, ""en"", ""te""),"""")"),"")</f>
        <v/>
      </c>
      <c r="E6458" s="2" t="s">
        <v>3902</v>
      </c>
      <c r="F6458" s="2" t="str">
        <f>IFERROR(__xludf.DUMMYFUNCTION("IF(E6458&lt;&gt;"""", GOOGLETRANSLATE(E6458, ""en"", ""te""),"""")"),"[ 'ఇన్నింగ్స్ (133 *) లో 46 వ అత్యధిక పరుగులు' '21 వ అత్యధిక కెరీర్ లో పరుగులు (2744) ',' వరుస 22 వ అత్యధిక పరుగులు (605) ',' 31 ఒకే క్రీడా (341) పై అత్యధిక పరుగులు ', '25 వ ఒక వృత్తిలో అత్యధిక వందలు (2)', '11 వ ఒక జట్టు వ్యతిరేకంగా అత్యధిక వందలు (2)', '"&amp;"15 వ అత్యధిక తొలి వంద (133 *)', '10 వ కెరీర్ లో అత్యంత తొంభైల (2)', '29 వ అత్యధిక అర్ధ కెరీర్లో (17) ',' ఒక డక్ లేకుండా 10 వ వరుస ఇన్నింగ్స్ (47 *) ',' కెరీర్లో 25 వ అతి తక్కువ బాతులు (25.75) ',' ఇన్నింగ్స్ లో 43 చెత్త ఆర్థిక రేటు (వీటిలో సగటు 8.60) ',' "&amp;"44 వ అత్యధిక క్యాచ్లు లో కెరీర్ (28) ',' నాలుగవ వికెట్కు (127 *) ',' ఏడవ వికెట్కు 37 వ అత్యధిక భాగస్వామ్యం (60 *) ',' 35 వ కెరీర్ లో అత్యధిక మ్యాచ్లు (106) 18 వ అత్యధిక భాగస్వామ్యం ',' 28th ఓల్డెస్ట్ న కెప్టెన్లు కెప్టెన్సీ ప్రవేశం (30y 147d) ']")</f>
        <v>[ 'ఇన్నింగ్స్ (133 *) లో 46 వ అత్యధిక పరుగులు' '21 వ అత్యధిక కెరీర్ లో పరుగులు (2744) ',' వరుస 22 వ అత్యధిక పరుగులు (605) ',' 31 ఒకే క్రీడా (341) పై అత్యధిక పరుగులు ', '25 వ ఒక వృత్తిలో అత్యధిక వందలు (2)', '11 వ ఒక జట్టు వ్యతిరేకంగా అత్యధిక వందలు (2)', '15 వ అత్యధిక తొలి వంద (133 *)', '10 వ కెరీర్ లో అత్యంత తొంభైల (2)', '29 వ అత్యధిక అర్ధ కెరీర్లో (17) ',' ఒక డక్ లేకుండా 10 వ వరుస ఇన్నింగ్స్ (47 *) ',' కెరీర్లో 25 వ అతి తక్కువ బాతులు (25.75) ',' ఇన్నింగ్స్ లో 43 చెత్త ఆర్థిక రేటు (వీటిలో సగటు 8.60) ',' 44 వ అత్యధిక క్యాచ్లు లో కెరీర్ (28) ',' నాలుగవ వికెట్కు (127 *) ',' ఏడవ వికెట్కు 37 వ అత్యధిక భాగస్వామ్యం (60 *) ',' 35 వ కెరీర్ లో అత్యధిక మ్యాచ్లు (106) 18 వ అత్యధిక భాగస్వామ్యం ',' 28th ఓల్డెస్ట్ న కెప్టెన్లు కెప్టెన్సీ ప్రవేశం (30y 147d) ']</v>
      </c>
      <c r="G6458" s="2" t="s">
        <v>3903</v>
      </c>
      <c r="H6458" s="2" t="str">
        <f>IFERROR(__xludf.DUMMYFUNCTION("IF(G6458&lt;&gt;"""", GOOGLETRANSLATE(G6458, ""en"", ""te""),"""")"),"[ '12 వ కెరీర్ లో అత్యధిక పరుగులు (1882)', '20 వ ఒక క్యాలెండర్ సంవత్సరంలో అత్యధిక పరుగులు (454)', '19 వ ఇన్నింగ్స్ లో అత్యధిక పరుగులు (బ్యాటింగ్ స్థానంలో ప్రకారం) (74 *)', '39 వ అత్యంత ఒకే పరుగులు భూమి (185) ',' ఒక కెప్టెన్తో ఇన్నింగ్స్ లో 26 వ అత్యధిక పర"&amp;"ుగులు (74 *) ',' 16 వ కెరీర్ అర్ధ (9) ',' ఒక డక్ లేకుండా 14 వరుస ఇన్నింగ్స్ (40) ',' 22 వ అతి తక్కువ బాతులు కెరీర్లో (24) ',' 27 వ అత్యుత్తమ ఇన్నింగ్స్ లో బౌలింగ్ విశ్లేషణలు ఏ వికెట్కు (1/2) ',' 36 వ అత్యధిక భాగస్వామ్యాల (123 *) ',' మొదటి వికెట్కు 19 అత్య"&amp;"ధిక భాగస్వామ్యం (123 *) ',' రెండవ వికెట్కు 38 వ అత్యధిక భాగస్వామ్యం (95) ',' మూడో వికెట్కు 12 వ అత్యధిక భాగస్వామ్యం (109) ',' ఆరవ వికెట్కు 6 వ అత్యధిక భాగస్వామ్యం (61) ',' ఎనిమిదవ వికెట్కు 23 అత్యధిక భాగస్వామ్యం (26 *) ',' కెరీర్లో 17 వ అత్యధిక మ్యాచ్లు ("&amp;"102) ',' 35 వ అత్యధిక మ్యాచ్లు కెప్టెన్గా కెప్టెన్సీ తొలి (13) ',' 40 వ ఓల్డెస్ట్ కాప్టెన్ (30y 142d) ']")</f>
        <v>[ '12 వ కెరీర్ లో అత్యధిక పరుగులు (1882)', '20 వ ఒక క్యాలెండర్ సంవత్సరంలో అత్యధిక పరుగులు (454)', '19 వ ఇన్నింగ్స్ లో అత్యధిక పరుగులు (బ్యాటింగ్ స్థానంలో ప్రకారం) (74 *)', '39 వ అత్యంత ఒకే పరుగులు భూమి (185) ',' ఒక కెప్టెన్తో ఇన్నింగ్స్ లో 26 వ అత్యధిక పరుగులు (74 *) ',' 16 వ కెరీర్ అర్ధ (9) ',' ఒక డక్ లేకుండా 14 వరుస ఇన్నింగ్స్ (40) ',' 22 వ అతి తక్కువ బాతులు కెరీర్లో (24) ',' 27 వ అత్యుత్తమ ఇన్నింగ్స్ లో బౌలింగ్ విశ్లేషణలు ఏ వికెట్కు (1/2) ',' 36 వ అత్యధిక భాగస్వామ్యాల (123 *) ',' మొదటి వికెట్కు 19 అత్యధిక భాగస్వామ్యం (123 *) ',' రెండవ వికెట్కు 38 వ అత్యధిక భాగస్వామ్యం (95) ',' మూడో వికెట్కు 12 వ అత్యధిక భాగస్వామ్యం (109) ',' ఆరవ వికెట్కు 6 వ అత్యధిక భాగస్వామ్యం (61) ',' ఎనిమిదవ వికెట్కు 23 అత్యధిక భాగస్వామ్యం (26 *) ',' కెరీర్లో 17 వ అత్యధిక మ్యాచ్లు (102) ',' 35 వ అత్యధిక మ్యాచ్లు కెప్టెన్గా కెప్టెన్సీ తొలి (13) ',' 40 వ ఓల్డెస్ట్ కాప్టెన్ (30y 142d) ']</v>
      </c>
      <c r="I6458" s="3"/>
    </row>
    <row r="6459" customHeight="1" spans="1:9">
      <c r="A6459" s="2"/>
      <c r="B6459" s="2" t="str">
        <f>IFERROR(__xludf.DUMMYFUNCTION("IF(A6459&lt;&gt;"""", GOOGLETRANSLATE(A6459, ""en"", ""te""),"""")"),"")</f>
        <v/>
      </c>
      <c r="C6459" s="2"/>
      <c r="D6459" s="2" t="str">
        <f>IFERROR(__xludf.DUMMYFUNCTION("IF(C6459&lt;&gt;"""", GOOGLETRANSLATE(C6459, ""en"", ""te""),"""")"),"")</f>
        <v/>
      </c>
      <c r="E6459" s="2"/>
      <c r="F6459" s="2" t="str">
        <f>IFERROR(__xludf.DUMMYFUNCTION("IF(E6459&lt;&gt;"""", GOOGLETRANSLATE(E6459, ""en"", ""te""),"""")"),"")</f>
        <v/>
      </c>
      <c r="G6459" s="2"/>
      <c r="H6459" s="2" t="str">
        <f>IFERROR(__xludf.DUMMYFUNCTION("IF(G6459&lt;&gt;"""", GOOGLETRANSLATE(G6459, ""en"", ""te""),"""")"),"")</f>
        <v/>
      </c>
      <c r="I6459" s="3"/>
    </row>
    <row r="6460" customHeight="1" spans="1:9">
      <c r="A6460" s="2"/>
      <c r="B6460" s="2" t="str">
        <f>IFERROR(__xludf.DUMMYFUNCTION("IF(A6460&lt;&gt;"""", GOOGLETRANSLATE(A6460, ""en"", ""te""),"""")"),"")</f>
        <v/>
      </c>
      <c r="C6460" s="2"/>
      <c r="D6460" s="2" t="str">
        <f>IFERROR(__xludf.DUMMYFUNCTION("IF(C6460&lt;&gt;"""", GOOGLETRANSLATE(C6460, ""en"", ""te""),"""")"),"")</f>
        <v/>
      </c>
      <c r="E6460" s="2"/>
      <c r="F6460" s="2" t="str">
        <f>IFERROR(__xludf.DUMMYFUNCTION("IF(E6460&lt;&gt;"""", GOOGLETRANSLATE(E6460, ""en"", ""te""),"""")"),"")</f>
        <v/>
      </c>
      <c r="G6460" s="2"/>
      <c r="H6460" s="2" t="str">
        <f>IFERROR(__xludf.DUMMYFUNCTION("IF(G6460&lt;&gt;"""", GOOGLETRANSLATE(G6460, ""en"", ""te""),"""")"),"")</f>
        <v/>
      </c>
      <c r="I6460" s="3"/>
    </row>
    <row r="6461" customHeight="1" spans="1:9">
      <c r="A6461" s="2" t="s">
        <v>3904</v>
      </c>
      <c r="B6461" s="2" t="str">
        <f>IFERROR(__xludf.DUMMYFUNCTION("IF(A6461&lt;&gt;"""", GOOGLETRANSLATE(A6461, ""en"", ""te""),"""")"),"[ 'ఒక మ్యాచ్లో 8 వ అత్యధిక వికెట్లు (9)', 'ఇన్నింగ్స్ లో 4 వ అత్యంత స్టంపింగ్లు (3)', '9 వ అత్యధిక ఇన్నింగ్స్ బై గూడా ఇవ్వకుండా సంపూర్ణమైనది' 8 వ మ్యాచ్లో (9) అత్యధిక క్యాచ్లు '(644 / 7D ) ',' 4 వ ఇన్నింగ్స్ లో అత్యధిక పరుగులు (బ్యాటింగ్ స్థానంలో ప్రకార"&amp;"ం) (154) ',' 2000 పరుగులు మరియు 100 వికెట్ కీపింగ్ తొలగింపులకు ',' కెరీర్లో 4 వ అత్యధిక వికెట్లు (60) ',' 8 వ అత్యధిక క్యాచ్లు కెరీర్లో (28) ' , '1st ఇన్నింగ్స్ (4) అత్యంత స్టంపింగ్లు' 'ఇన్నింగ్స్ లో 8 వ అత్యంత సాధించిన బైస్ (8)', '10 వ కెరీర్ లో చాలా బా"&amp;"తులు (7)', '10 వ అత్యధిక వికెట్లు కెరీర్లో (453)', '7th జీవితంలో అత్యధిక స్టంపింగ్లు (85) ']")</f>
        <v>[ 'ఒక మ్యాచ్లో 8 వ అత్యధిక వికెట్లు (9)', 'ఇన్నింగ్స్ లో 4 వ అత్యంత స్టంపింగ్లు (3)', '9 వ అత్యధిక ఇన్నింగ్స్ బై గూడా ఇవ్వకుండా సంపూర్ణమైనది' 8 వ మ్యాచ్లో (9) అత్యధిక క్యాచ్లు '(644 / 7D ) ',' 4 వ ఇన్నింగ్స్ లో అత్యధిక పరుగులు (బ్యాటింగ్ స్థానంలో ప్రకారం) (154) ',' 2000 పరుగులు మరియు 100 వికెట్ కీపింగ్ తొలగింపులకు ',' కెరీర్లో 4 వ అత్యధిక వికెట్లు (60) ',' 8 వ అత్యధిక క్యాచ్లు కెరీర్లో (28) ' , '1st ఇన్నింగ్స్ (4) అత్యంత స్టంపింగ్లు' 'ఇన్నింగ్స్ లో 8 వ అత్యంత సాధించిన బైస్ (8)', '10 వ కెరీర్ లో చాలా బాతులు (7)', '10 వ అత్యధిక వికెట్లు కెరీర్లో (453)', '7th జీవితంలో అత్యధిక స్టంపింగ్లు (85) ']</v>
      </c>
      <c r="C6461" s="2" t="s">
        <v>3905</v>
      </c>
      <c r="D6461" s="2" t="str">
        <f>IFERROR(__xludf.DUMMYFUNCTION("IF(C6461&lt;&gt;"""", GOOGLETRANSLATE(C6461, ""en"", ""te""),"""")"),"[ '4 వ ఎక్కువ (బ్యాటింగ్ స్థానంలో ద్వారా) ఒక ఇన్నింగ్స్ లో నడుస్తుంది (154)', 'అత్యధిక వికెట్లు ఇన్నింగ్స్ లో 31 అత్యధిక పరుగులు (158 *)', 'ఏడవ వికెట్కు 36 వ అత్యధిక భాగస్వామ్యం (169 *)', '17 వ కెరీర్లో అత్యధిక వికెట్లు (206) ',' 8 వ అత్యధిక వికెట్లు ఒక మ"&amp;"్యాచ్లో (9) ',' 17 వ కెరీర్ లో అత్యధిక క్యాచ్లు (184) ',' 8 వ ఒక మ్యాచ్లో అత్యధిక క్యాచ్లు (9) ',' 15 వ అత్యధిక కెరీర్ లో స్టంపింగ్లు (22) ',' 4 వ అత్యంత స్టంపింగ్లు ఇన్నింగ్స్ లో (3) ',' 12 వ మ్యాచ్లో (3) ',' 9 వ అత్యధిక ఇన్నింగ్స్ బై (644 / 7D) గూడా ఇవ"&amp;"్వకుండా మొత్తంగా చాలా స్టంపింగ్లు ']")</f>
        <v>[ '4 వ ఎక్కువ (బ్యాటింగ్ స్థానంలో ద్వారా) ఒక ఇన్నింగ్స్ లో నడుస్తుంది (154)', 'అత్యధిక వికెట్లు ఇన్నింగ్స్ లో 31 అత్యధిక పరుగులు (158 *)', 'ఏడవ వికెట్కు 36 వ అత్యధిక భాగస్వామ్యం (169 *)', '17 వ కెరీర్లో అత్యధిక వికెట్లు (206) ',' 8 వ అత్యధిక వికెట్లు ఒక మ్యాచ్లో (9) ',' 17 వ కెరీర్ లో అత్యధిక క్యాచ్లు (184) ',' 8 వ ఒక మ్యాచ్లో అత్యధిక క్యాచ్లు (9) ',' 15 వ అత్యధిక కెరీర్ లో స్టంపింగ్లు (22) ',' 4 వ అత్యంత స్టంపింగ్లు ఇన్నింగ్స్ లో (3) ',' 12 వ మ్యాచ్లో (3) ',' 9 వ అత్యధిక ఇన్నింగ్స్ బై (644 / 7D) గూడా ఇవ్వకుండా మొత్తంగా చాలా స్టంపింగ్లు ']</v>
      </c>
      <c r="E6461" s="2" t="s">
        <v>3906</v>
      </c>
      <c r="F6461" s="2" t="str">
        <f>IFERROR(__xludf.DUMMYFUNCTION("IF(E6461&lt;&gt;"""", GOOGLETRANSLATE(E6461, ""en"", ""te""),"""")"),"[ 'ఇన్నింగ్స్ లో 16 వ అత్యధిక వికెట్లు (5)' '18 వ అత్యధిక నాలుగో వికెట్కు (198 *) కొరకు చేసిన భాగస్వామ్యం', 'ఎనిమిదవ వికెట్కు 15 అత్యధిక భాగస్వామ్యం (93)', '15 వ కెరీర్ లో అత్యధిక వికెట్లు (187)', '16 వ కెరీర్ లో అత్యధిక క్యాచ్లు (156)', '14 వ కెరీర్ స్టం"&amp;"పింగ్లు (31)', '21 వ ఒక సిరీస్లో అత్యధిక స్టంపింగ్లు (4) ']")</f>
        <v>[ 'ఇన్నింగ్స్ లో 16 వ అత్యధిక వికెట్లు (5)' '18 వ అత్యధిక నాలుగో వికెట్కు (198 *) కొరకు చేసిన భాగస్వామ్యం', 'ఎనిమిదవ వికెట్కు 15 అత్యధిక భాగస్వామ్యం (93)', '15 వ కెరీర్ లో అత్యధిక వికెట్లు (187)', '16 వ కెరీర్ లో అత్యధిక క్యాచ్లు (156)', '14 వ కెరీర్ స్టంపింగ్లు (31)', '21 వ ఒక సిరీస్లో అత్యధిక స్టంపింగ్లు (4) ']</v>
      </c>
      <c r="G6461" s="2" t="s">
        <v>3907</v>
      </c>
      <c r="H6461" s="2" t="str">
        <f>IFERROR(__xludf.DUMMYFUNCTION("IF(G6461&lt;&gt;"""", GOOGLETRANSLATE(G6461, ""en"", ""te""),"""")"),"[ 'అత్యధిక వికెట్లు ఇన్నింగ్స్ లో 34 వ అత్యధిక పరుగులు (73)', '10 వ కెరీర్ లో చాలా బాతులు (7)', 'ఏ వికెట్కు 29 అత్యధిక భాగస్వామ్యాల (142)', మొదటి వికెట్కు '15 వ అత్యధిక భాగస్వామ్యం (142) ',' మూడో వికెట్కు 41 వ అత్యధిక భాగస్వామ్యం (96) ',' 50 వ వరుస జట్టు "&amp;"మ్యాచ్లు (28) ',' 4 వ కెరీర్ లో అత్యధిక వికెట్లు (60) ',' 5 వ ఇన్నింగ్స్ లో అత్యధిక వికెట్లు (4) ' 'కెరీర్లో 8 వ అత్యధిక క్యాచ్లు (28)', '13 వ ఇన్నింగ్స్ (3) లో అత్యధిక క్యాచ్లు' 'కెరీర్లో 2 వ అత్యంత స్టంపింగ్లు (32)', '1 వ ఇన్నింగ్స్ లో వచ్చిన ఎక్కువ స్ట"&amp;"ంపింగ్లు (4)', '8 వ అత్యంత ఒక ఇన్నింగ్స్ లో సాధించిన బైస్ (8) ']")</f>
        <v>[ 'అత్యధిక వికెట్లు ఇన్నింగ్స్ లో 34 వ అత్యధిక పరుగులు (73)', '10 వ కెరీర్ లో చాలా బాతులు (7)', 'ఏ వికెట్కు 29 అత్యధిక భాగస్వామ్యాల (142)', మొదటి వికెట్కు '15 వ అత్యధిక భాగస్వామ్యం (142) ',' మూడో వికెట్కు 41 వ అత్యధిక భాగస్వామ్యం (96) ',' 50 వ వరుస జట్టు మ్యాచ్లు (28) ',' 4 వ కెరీర్ లో అత్యధిక వికెట్లు (60) ',' 5 వ ఇన్నింగ్స్ లో అత్యధిక వికెట్లు (4) ' 'కెరీర్లో 8 వ అత్యధిక క్యాచ్లు (28)', '13 వ ఇన్నింగ్స్ (3) లో అత్యధిక క్యాచ్లు' 'కెరీర్లో 2 వ అత్యంత స్టంపింగ్లు (32)', '1 వ ఇన్నింగ్స్ లో వచ్చిన ఎక్కువ స్టంపింగ్లు (4)', '8 వ అత్యంత ఒక ఇన్నింగ్స్ లో సాధించిన బైస్ (8) ']</v>
      </c>
      <c r="I6461" s="3"/>
    </row>
    <row r="6462" customHeight="1" spans="1:9">
      <c r="A6462" s="2"/>
      <c r="B6462" s="2" t="str">
        <f>IFERROR(__xludf.DUMMYFUNCTION("IF(A6462&lt;&gt;"""", GOOGLETRANSLATE(A6462, ""en"", ""te""),"""")"),"")</f>
        <v/>
      </c>
      <c r="C6462" s="2"/>
      <c r="D6462" s="2" t="str">
        <f>IFERROR(__xludf.DUMMYFUNCTION("IF(C6462&lt;&gt;"""", GOOGLETRANSLATE(C6462, ""en"", ""te""),"""")"),"")</f>
        <v/>
      </c>
      <c r="E6462" s="2"/>
      <c r="F6462" s="2" t="str">
        <f>IFERROR(__xludf.DUMMYFUNCTION("IF(E6462&lt;&gt;"""", GOOGLETRANSLATE(E6462, ""en"", ""te""),"""")"),"")</f>
        <v/>
      </c>
      <c r="G6462" s="2"/>
      <c r="H6462" s="2" t="str">
        <f>IFERROR(__xludf.DUMMYFUNCTION("IF(G6462&lt;&gt;"""", GOOGLETRANSLATE(G6462, ""en"", ""te""),"""")"),"")</f>
        <v/>
      </c>
      <c r="I6462" s="3"/>
    </row>
    <row r="6463" customHeight="1" spans="1:9">
      <c r="A6463" s="2"/>
      <c r="B6463" s="2" t="str">
        <f>IFERROR(__xludf.DUMMYFUNCTION("IF(A6463&lt;&gt;"""", GOOGLETRANSLATE(A6463, ""en"", ""te""),"""")"),"")</f>
        <v/>
      </c>
      <c r="C6463" s="2"/>
      <c r="D6463" s="2" t="str">
        <f>IFERROR(__xludf.DUMMYFUNCTION("IF(C6463&lt;&gt;"""", GOOGLETRANSLATE(C6463, ""en"", ""te""),"""")"),"")</f>
        <v/>
      </c>
      <c r="E6463" s="2"/>
      <c r="F6463" s="2" t="str">
        <f>IFERROR(__xludf.DUMMYFUNCTION("IF(E6463&lt;&gt;"""", GOOGLETRANSLATE(E6463, ""en"", ""te""),"""")"),"")</f>
        <v/>
      </c>
      <c r="G6463" s="2"/>
      <c r="H6463" s="2" t="str">
        <f>IFERROR(__xludf.DUMMYFUNCTION("IF(G6463&lt;&gt;"""", GOOGLETRANSLATE(G6463, ""en"", ""te""),"""")"),"")</f>
        <v/>
      </c>
      <c r="I6463" s="3"/>
    </row>
    <row r="6464" customHeight="1" spans="1:9">
      <c r="A6464" s="2"/>
      <c r="B6464" s="2" t="str">
        <f>IFERROR(__xludf.DUMMYFUNCTION("IF(A6464&lt;&gt;"""", GOOGLETRANSLATE(A6464, ""en"", ""te""),"""")"),"")</f>
        <v/>
      </c>
      <c r="C6464" s="2"/>
      <c r="D6464" s="2" t="str">
        <f>IFERROR(__xludf.DUMMYFUNCTION("IF(C6464&lt;&gt;"""", GOOGLETRANSLATE(C6464, ""en"", ""te""),"""")"),"")</f>
        <v/>
      </c>
      <c r="E6464" s="2"/>
      <c r="F6464" s="2" t="str">
        <f>IFERROR(__xludf.DUMMYFUNCTION("IF(E6464&lt;&gt;"""", GOOGLETRANSLATE(E6464, ""en"", ""te""),"""")"),"")</f>
        <v/>
      </c>
      <c r="G6464" s="2"/>
      <c r="H6464" s="2" t="str">
        <f>IFERROR(__xludf.DUMMYFUNCTION("IF(G6464&lt;&gt;"""", GOOGLETRANSLATE(G6464, ""en"", ""te""),"""")"),"")</f>
        <v/>
      </c>
      <c r="I6464" s="3"/>
    </row>
    <row r="6465" customHeight="1" spans="1:9">
      <c r="A6465" s="2"/>
      <c r="B6465" s="2" t="str">
        <f>IFERROR(__xludf.DUMMYFUNCTION("IF(A6465&lt;&gt;"""", GOOGLETRANSLATE(A6465, ""en"", ""te""),"""")"),"")</f>
        <v/>
      </c>
      <c r="C6465" s="2"/>
      <c r="D6465" s="2" t="str">
        <f>IFERROR(__xludf.DUMMYFUNCTION("IF(C6465&lt;&gt;"""", GOOGLETRANSLATE(C6465, ""en"", ""te""),"""")"),"")</f>
        <v/>
      </c>
      <c r="E6465" s="2"/>
      <c r="F6465" s="2" t="str">
        <f>IFERROR(__xludf.DUMMYFUNCTION("IF(E6465&lt;&gt;"""", GOOGLETRANSLATE(E6465, ""en"", ""te""),"""")"),"")</f>
        <v/>
      </c>
      <c r="G6465" s="2"/>
      <c r="H6465" s="2" t="str">
        <f>IFERROR(__xludf.DUMMYFUNCTION("IF(G6465&lt;&gt;"""", GOOGLETRANSLATE(G6465, ""en"", ""te""),"""")"),"")</f>
        <v/>
      </c>
      <c r="I6465" s="3"/>
    </row>
    <row r="6466" customHeight="1" spans="1:9">
      <c r="A6466" s="2"/>
      <c r="B6466" s="2" t="str">
        <f>IFERROR(__xludf.DUMMYFUNCTION("IF(A6466&lt;&gt;"""", GOOGLETRANSLATE(A6466, ""en"", ""te""),"""")"),"")</f>
        <v/>
      </c>
      <c r="C6466" s="2"/>
      <c r="D6466" s="2" t="str">
        <f>IFERROR(__xludf.DUMMYFUNCTION("IF(C6466&lt;&gt;"""", GOOGLETRANSLATE(C6466, ""en"", ""te""),"""")"),"")</f>
        <v/>
      </c>
      <c r="E6466" s="2"/>
      <c r="F6466" s="2" t="str">
        <f>IFERROR(__xludf.DUMMYFUNCTION("IF(E6466&lt;&gt;"""", GOOGLETRANSLATE(E6466, ""en"", ""te""),"""")"),"")</f>
        <v/>
      </c>
      <c r="G6466" s="2"/>
      <c r="H6466" s="2" t="str">
        <f>IFERROR(__xludf.DUMMYFUNCTION("IF(G6466&lt;&gt;"""", GOOGLETRANSLATE(G6466, ""en"", ""te""),"""")"),"")</f>
        <v/>
      </c>
      <c r="I6466" s="3"/>
    </row>
    <row r="6467" customHeight="1" spans="1:9">
      <c r="A6467" s="2"/>
      <c r="B6467" s="2" t="str">
        <f>IFERROR(__xludf.DUMMYFUNCTION("IF(A6467&lt;&gt;"""", GOOGLETRANSLATE(A6467, ""en"", ""te""),"""")"),"")</f>
        <v/>
      </c>
      <c r="C6467" s="2"/>
      <c r="D6467" s="2" t="str">
        <f>IFERROR(__xludf.DUMMYFUNCTION("IF(C6467&lt;&gt;"""", GOOGLETRANSLATE(C6467, ""en"", ""te""),"""")"),"")</f>
        <v/>
      </c>
      <c r="E6467" s="2"/>
      <c r="F6467" s="2" t="str">
        <f>IFERROR(__xludf.DUMMYFUNCTION("IF(E6467&lt;&gt;"""", GOOGLETRANSLATE(E6467, ""en"", ""te""),"""")"),"")</f>
        <v/>
      </c>
      <c r="G6467" s="2"/>
      <c r="H6467" s="2" t="str">
        <f>IFERROR(__xludf.DUMMYFUNCTION("IF(G6467&lt;&gt;"""", GOOGLETRANSLATE(G6467, ""en"", ""te""),"""")"),"")</f>
        <v/>
      </c>
      <c r="I6467" s="3"/>
    </row>
    <row r="6468" customHeight="1" spans="1:9">
      <c r="A6468" s="2"/>
      <c r="B6468" s="2" t="str">
        <f>IFERROR(__xludf.DUMMYFUNCTION("IF(A6468&lt;&gt;"""", GOOGLETRANSLATE(A6468, ""en"", ""te""),"""")"),"")</f>
        <v/>
      </c>
      <c r="C6468" s="2"/>
      <c r="D6468" s="2" t="str">
        <f>IFERROR(__xludf.DUMMYFUNCTION("IF(C6468&lt;&gt;"""", GOOGLETRANSLATE(C6468, ""en"", ""te""),"""")"),"")</f>
        <v/>
      </c>
      <c r="E6468" s="2"/>
      <c r="F6468" s="2" t="str">
        <f>IFERROR(__xludf.DUMMYFUNCTION("IF(E6468&lt;&gt;"""", GOOGLETRANSLATE(E6468, ""en"", ""te""),"""")"),"")</f>
        <v/>
      </c>
      <c r="G6468" s="2"/>
      <c r="H6468" s="2" t="str">
        <f>IFERROR(__xludf.DUMMYFUNCTION("IF(G6468&lt;&gt;"""", GOOGLETRANSLATE(G6468, ""en"", ""te""),"""")"),"")</f>
        <v/>
      </c>
      <c r="I6468" s="3"/>
    </row>
    <row r="6469" customHeight="1" spans="1:9">
      <c r="A6469" s="2"/>
      <c r="B6469" s="2" t="str">
        <f>IFERROR(__xludf.DUMMYFUNCTION("IF(A6469&lt;&gt;"""", GOOGLETRANSLATE(A6469, ""en"", ""te""),"""")"),"")</f>
        <v/>
      </c>
      <c r="C6469" s="2"/>
      <c r="D6469" s="2" t="str">
        <f>IFERROR(__xludf.DUMMYFUNCTION("IF(C6469&lt;&gt;"""", GOOGLETRANSLATE(C6469, ""en"", ""te""),"""")"),"")</f>
        <v/>
      </c>
      <c r="E6469" s="2"/>
      <c r="F6469" s="2" t="str">
        <f>IFERROR(__xludf.DUMMYFUNCTION("IF(E6469&lt;&gt;"""", GOOGLETRANSLATE(E6469, ""en"", ""te""),"""")"),"")</f>
        <v/>
      </c>
      <c r="G6469" s="2"/>
      <c r="H6469" s="2" t="str">
        <f>IFERROR(__xludf.DUMMYFUNCTION("IF(G6469&lt;&gt;"""", GOOGLETRANSLATE(G6469, ""en"", ""te""),"""")"),"")</f>
        <v/>
      </c>
      <c r="I6469" s="3"/>
    </row>
    <row r="6470" customHeight="1" spans="1:9">
      <c r="A6470" s="2"/>
      <c r="B6470" s="2" t="str">
        <f>IFERROR(__xludf.DUMMYFUNCTION("IF(A6470&lt;&gt;"""", GOOGLETRANSLATE(A6470, ""en"", ""te""),"""")"),"")</f>
        <v/>
      </c>
      <c r="C6470" s="2"/>
      <c r="D6470" s="2" t="str">
        <f>IFERROR(__xludf.DUMMYFUNCTION("IF(C6470&lt;&gt;"""", GOOGLETRANSLATE(C6470, ""en"", ""te""),"""")"),"")</f>
        <v/>
      </c>
      <c r="E6470" s="2"/>
      <c r="F6470" s="2" t="str">
        <f>IFERROR(__xludf.DUMMYFUNCTION("IF(E6470&lt;&gt;"""", GOOGLETRANSLATE(E6470, ""en"", ""te""),"""")"),"")</f>
        <v/>
      </c>
      <c r="G6470" s="2"/>
      <c r="H6470" s="2" t="str">
        <f>IFERROR(__xludf.DUMMYFUNCTION("IF(G6470&lt;&gt;"""", GOOGLETRANSLATE(G6470, ""en"", ""te""),"""")"),"")</f>
        <v/>
      </c>
      <c r="I6470" s="3"/>
    </row>
    <row r="6471" customHeight="1" spans="1:9">
      <c r="A6471" s="2"/>
      <c r="B6471" s="2" t="str">
        <f>IFERROR(__xludf.DUMMYFUNCTION("IF(A6471&lt;&gt;"""", GOOGLETRANSLATE(A6471, ""en"", ""te""),"""")"),"")</f>
        <v/>
      </c>
      <c r="C6471" s="2" t="s">
        <v>3908</v>
      </c>
      <c r="D6471" s="2" t="str">
        <f>IFERROR(__xludf.DUMMYFUNCTION("IF(C6471&lt;&gt;"""", GOOGLETRANSLATE(C6471, ""en"", ""te""),"""")"),"[ '11 వ పిన్న క్రీడాకారులు (16y 352d)']")</f>
        <v>[ '11 వ పిన్న క్రీడాకారులు (16y 352d)']</v>
      </c>
      <c r="E6471" s="2"/>
      <c r="F6471" s="2" t="str">
        <f>IFERROR(__xludf.DUMMYFUNCTION("IF(E6471&lt;&gt;"""", GOOGLETRANSLATE(E6471, ""en"", ""te""),"""")"),"")</f>
        <v/>
      </c>
      <c r="G6471" s="2"/>
      <c r="H6471" s="2" t="str">
        <f>IFERROR(__xludf.DUMMYFUNCTION("IF(G6471&lt;&gt;"""", GOOGLETRANSLATE(G6471, ""en"", ""te""),"""")"),"")</f>
        <v/>
      </c>
      <c r="I6471" s="3"/>
    </row>
    <row r="6472" customHeight="1" spans="1:9">
      <c r="A6472" s="2"/>
      <c r="B6472" s="2" t="str">
        <f>IFERROR(__xludf.DUMMYFUNCTION("IF(A6472&lt;&gt;"""", GOOGLETRANSLATE(A6472, ""en"", ""te""),"""")"),"")</f>
        <v/>
      </c>
      <c r="C6472" s="2"/>
      <c r="D6472" s="2" t="str">
        <f>IFERROR(__xludf.DUMMYFUNCTION("IF(C6472&lt;&gt;"""", GOOGLETRANSLATE(C6472, ""en"", ""te""),"""")"),"")</f>
        <v/>
      </c>
      <c r="E6472" s="2"/>
      <c r="F6472" s="2" t="str">
        <f>IFERROR(__xludf.DUMMYFUNCTION("IF(E6472&lt;&gt;"""", GOOGLETRANSLATE(E6472, ""en"", ""te""),"""")"),"")</f>
        <v/>
      </c>
      <c r="G6472" s="2"/>
      <c r="H6472" s="2" t="str">
        <f>IFERROR(__xludf.DUMMYFUNCTION("IF(G6472&lt;&gt;"""", GOOGLETRANSLATE(G6472, ""en"", ""te""),"""")"),"")</f>
        <v/>
      </c>
      <c r="I6472" s="3"/>
    </row>
    <row r="6473" customHeight="1" spans="1:9">
      <c r="A6473" s="2"/>
      <c r="B6473" s="2" t="str">
        <f>IFERROR(__xludf.DUMMYFUNCTION("IF(A6473&lt;&gt;"""", GOOGLETRANSLATE(A6473, ""en"", ""te""),"""")"),"")</f>
        <v/>
      </c>
      <c r="C6473" s="2"/>
      <c r="D6473" s="2" t="str">
        <f>IFERROR(__xludf.DUMMYFUNCTION("IF(C6473&lt;&gt;"""", GOOGLETRANSLATE(C6473, ""en"", ""te""),"""")"),"")</f>
        <v/>
      </c>
      <c r="E6473" s="2"/>
      <c r="F6473" s="2" t="str">
        <f>IFERROR(__xludf.DUMMYFUNCTION("IF(E6473&lt;&gt;"""", GOOGLETRANSLATE(E6473, ""en"", ""te""),"""")"),"")</f>
        <v/>
      </c>
      <c r="G6473" s="2"/>
      <c r="H6473" s="2" t="str">
        <f>IFERROR(__xludf.DUMMYFUNCTION("IF(G6473&lt;&gt;"""", GOOGLETRANSLATE(G6473, ""en"", ""te""),"""")"),"")</f>
        <v/>
      </c>
      <c r="I6473" s="3"/>
    </row>
    <row r="6474" customHeight="1" spans="1:9">
      <c r="A6474" s="2"/>
      <c r="B6474" s="2" t="str">
        <f>IFERROR(__xludf.DUMMYFUNCTION("IF(A6474&lt;&gt;"""", GOOGLETRANSLATE(A6474, ""en"", ""te""),"""")"),"")</f>
        <v/>
      </c>
      <c r="C6474" s="2"/>
      <c r="D6474" s="2" t="str">
        <f>IFERROR(__xludf.DUMMYFUNCTION("IF(C6474&lt;&gt;"""", GOOGLETRANSLATE(C6474, ""en"", ""te""),"""")"),"")</f>
        <v/>
      </c>
      <c r="E6474" s="2"/>
      <c r="F6474" s="2" t="str">
        <f>IFERROR(__xludf.DUMMYFUNCTION("IF(E6474&lt;&gt;"""", GOOGLETRANSLATE(E6474, ""en"", ""te""),"""")"),"")</f>
        <v/>
      </c>
      <c r="G6474" s="2"/>
      <c r="H6474" s="2" t="str">
        <f>IFERROR(__xludf.DUMMYFUNCTION("IF(G6474&lt;&gt;"""", GOOGLETRANSLATE(G6474, ""en"", ""te""),"""")"),"")</f>
        <v/>
      </c>
      <c r="I6474" s="3"/>
    </row>
    <row r="6475" customHeight="1" spans="1:9">
      <c r="A6475" s="2"/>
      <c r="B6475" s="2" t="str">
        <f>IFERROR(__xludf.DUMMYFUNCTION("IF(A6475&lt;&gt;"""", GOOGLETRANSLATE(A6475, ""en"", ""te""),"""")"),"")</f>
        <v/>
      </c>
      <c r="C6475" s="2"/>
      <c r="D6475" s="2" t="str">
        <f>IFERROR(__xludf.DUMMYFUNCTION("IF(C6475&lt;&gt;"""", GOOGLETRANSLATE(C6475, ""en"", ""te""),"""")"),"")</f>
        <v/>
      </c>
      <c r="E6475" s="2"/>
      <c r="F6475" s="2" t="str">
        <f>IFERROR(__xludf.DUMMYFUNCTION("IF(E6475&lt;&gt;"""", GOOGLETRANSLATE(E6475, ""en"", ""te""),"""")"),"")</f>
        <v/>
      </c>
      <c r="G6475" s="2"/>
      <c r="H6475" s="2" t="str">
        <f>IFERROR(__xludf.DUMMYFUNCTION("IF(G6475&lt;&gt;"""", GOOGLETRANSLATE(G6475, ""en"", ""te""),"""")"),"")</f>
        <v/>
      </c>
      <c r="I6475" s="3"/>
    </row>
    <row r="6476" customHeight="1" spans="1:9">
      <c r="A6476" s="2"/>
      <c r="B6476" s="2" t="str">
        <f>IFERROR(__xludf.DUMMYFUNCTION("IF(A6476&lt;&gt;"""", GOOGLETRANSLATE(A6476, ""en"", ""te""),"""")"),"")</f>
        <v/>
      </c>
      <c r="C6476" s="2"/>
      <c r="D6476" s="2" t="str">
        <f>IFERROR(__xludf.DUMMYFUNCTION("IF(C6476&lt;&gt;"""", GOOGLETRANSLATE(C6476, ""en"", ""te""),"""")"),"")</f>
        <v/>
      </c>
      <c r="E6476" s="2"/>
      <c r="F6476" s="2" t="str">
        <f>IFERROR(__xludf.DUMMYFUNCTION("IF(E6476&lt;&gt;"""", GOOGLETRANSLATE(E6476, ""en"", ""te""),"""")"),"")</f>
        <v/>
      </c>
      <c r="G6476" s="2"/>
      <c r="H6476" s="2" t="str">
        <f>IFERROR(__xludf.DUMMYFUNCTION("IF(G6476&lt;&gt;"""", GOOGLETRANSLATE(G6476, ""en"", ""te""),"""")"),"")</f>
        <v/>
      </c>
      <c r="I6476" s="3"/>
    </row>
    <row r="6477" customHeight="1" spans="1:9">
      <c r="A6477" s="2"/>
      <c r="B6477" s="2" t="str">
        <f>IFERROR(__xludf.DUMMYFUNCTION("IF(A6477&lt;&gt;"""", GOOGLETRANSLATE(A6477, ""en"", ""te""),"""")"),"")</f>
        <v/>
      </c>
      <c r="C6477" s="2"/>
      <c r="D6477" s="2" t="str">
        <f>IFERROR(__xludf.DUMMYFUNCTION("IF(C6477&lt;&gt;"""", GOOGLETRANSLATE(C6477, ""en"", ""te""),"""")"),"")</f>
        <v/>
      </c>
      <c r="E6477" s="2"/>
      <c r="F6477" s="2" t="str">
        <f>IFERROR(__xludf.DUMMYFUNCTION("IF(E6477&lt;&gt;"""", GOOGLETRANSLATE(E6477, ""en"", ""te""),"""")"),"")</f>
        <v/>
      </c>
      <c r="G6477" s="2"/>
      <c r="H6477" s="2" t="str">
        <f>IFERROR(__xludf.DUMMYFUNCTION("IF(G6477&lt;&gt;"""", GOOGLETRANSLATE(G6477, ""en"", ""te""),"""")"),"")</f>
        <v/>
      </c>
      <c r="I6477" s="3"/>
    </row>
    <row r="6478" customHeight="1" spans="1:9">
      <c r="A6478" s="2"/>
      <c r="B6478" s="2" t="str">
        <f>IFERROR(__xludf.DUMMYFUNCTION("IF(A6478&lt;&gt;"""", GOOGLETRANSLATE(A6478, ""en"", ""te""),"""")"),"")</f>
        <v/>
      </c>
      <c r="C6478" s="2"/>
      <c r="D6478" s="2" t="str">
        <f>IFERROR(__xludf.DUMMYFUNCTION("IF(C6478&lt;&gt;"""", GOOGLETRANSLATE(C6478, ""en"", ""te""),"""")"),"")</f>
        <v/>
      </c>
      <c r="E6478" s="2"/>
      <c r="F6478" s="2" t="str">
        <f>IFERROR(__xludf.DUMMYFUNCTION("IF(E6478&lt;&gt;"""", GOOGLETRANSLATE(E6478, ""en"", ""te""),"""")"),"")</f>
        <v/>
      </c>
      <c r="G6478" s="2"/>
      <c r="H6478" s="2" t="str">
        <f>IFERROR(__xludf.DUMMYFUNCTION("IF(G6478&lt;&gt;"""", GOOGLETRANSLATE(G6478, ""en"", ""te""),"""")"),"")</f>
        <v/>
      </c>
      <c r="I6478" s="3"/>
    </row>
    <row r="6479" customHeight="1" spans="1:9">
      <c r="A6479" s="2"/>
      <c r="B6479" s="2" t="str">
        <f>IFERROR(__xludf.DUMMYFUNCTION("IF(A6479&lt;&gt;"""", GOOGLETRANSLATE(A6479, ""en"", ""te""),"""")"),"")</f>
        <v/>
      </c>
      <c r="C6479" s="2"/>
      <c r="D6479" s="2" t="str">
        <f>IFERROR(__xludf.DUMMYFUNCTION("IF(C6479&lt;&gt;"""", GOOGLETRANSLATE(C6479, ""en"", ""te""),"""")"),"")</f>
        <v/>
      </c>
      <c r="E6479" s="2"/>
      <c r="F6479" s="2" t="str">
        <f>IFERROR(__xludf.DUMMYFUNCTION("IF(E6479&lt;&gt;"""", GOOGLETRANSLATE(E6479, ""en"", ""te""),"""")"),"")</f>
        <v/>
      </c>
      <c r="G6479" s="2"/>
      <c r="H6479" s="2" t="str">
        <f>IFERROR(__xludf.DUMMYFUNCTION("IF(G6479&lt;&gt;"""", GOOGLETRANSLATE(G6479, ""en"", ""te""),"""")"),"")</f>
        <v/>
      </c>
      <c r="I6479" s="3"/>
    </row>
    <row r="6480" customHeight="1" spans="1:9">
      <c r="A6480" s="2"/>
      <c r="B6480" s="2" t="str">
        <f>IFERROR(__xludf.DUMMYFUNCTION("IF(A6480&lt;&gt;"""", GOOGLETRANSLATE(A6480, ""en"", ""te""),"""")"),"")</f>
        <v/>
      </c>
      <c r="C6480" s="2"/>
      <c r="D6480" s="2" t="str">
        <f>IFERROR(__xludf.DUMMYFUNCTION("IF(C6480&lt;&gt;"""", GOOGLETRANSLATE(C6480, ""en"", ""te""),"""")"),"")</f>
        <v/>
      </c>
      <c r="E6480" s="2"/>
      <c r="F6480" s="2" t="str">
        <f>IFERROR(__xludf.DUMMYFUNCTION("IF(E6480&lt;&gt;"""", GOOGLETRANSLATE(E6480, ""en"", ""te""),"""")"),"")</f>
        <v/>
      </c>
      <c r="G6480" s="2"/>
      <c r="H6480" s="2" t="str">
        <f>IFERROR(__xludf.DUMMYFUNCTION("IF(G6480&lt;&gt;"""", GOOGLETRANSLATE(G6480, ""en"", ""te""),"""")"),"")</f>
        <v/>
      </c>
      <c r="I6480" s="3"/>
    </row>
    <row r="6481" customHeight="1" spans="1:9">
      <c r="A6481" s="2" t="s">
        <v>3909</v>
      </c>
      <c r="B6481" s="2" t="str">
        <f>IFERROR(__xludf.DUMMYFUNCTION("IF(A6481&lt;&gt;"""", GOOGLETRANSLATE(A6481, ""en"", ""te""),"""")"),"[ 'ఇన్నింగ్స్ లో 1 వ అత్యధిక పరుగులు (బ్యాటింగ్ స్థానంలో ప్రకారం) (242)', 'గత మ్యాచ్లో 9 వ హండ్రెడ్ (242)', '1 వ అత్యధిక తొలి వంద (242)', మొదటి వికెట్కు '1st అత్యధిక భాగస్వామ్యం (241) ',' బ్యాటింగ్ తెరవడం మరియు అదే మ్యాచ్ లో బౌలింగ్ ']")</f>
        <v>[ 'ఇన్నింగ్స్ లో 1 వ అత్యధిక పరుగులు (బ్యాటింగ్ స్థానంలో ప్రకారం) (242)', 'గత మ్యాచ్లో 9 వ హండ్రెడ్ (242)', '1 వ అత్యధిక తొలి వంద (242)', మొదటి వికెట్కు '1st అత్యధిక భాగస్వామ్యం (241) ',' బ్యాటింగ్ తెరవడం మరియు అదే మ్యాచ్ లో బౌలింగ్ ']</v>
      </c>
      <c r="C6481" s="2" t="s">
        <v>3910</v>
      </c>
      <c r="D6481" s="2" t="str">
        <f>IFERROR(__xludf.DUMMYFUNCTION("IF(C6481&lt;&gt;"""", GOOGLETRANSLATE(C6481, ""en"", ""te""),"""")"),"[ 'ఇన్నింగ్స్ (242) లో 1 వ అత్యధిక పరుగులు' 'ఇన్నింగ్స్ లో 10 వ అత్యధిక పరుగులు (ప్రగతిశీల రికార్డు హోల్డర్) (242)', 'ఒక మ్యాచ్లో 1st అత్యధిక పరుగులు (264)', '41 వ అత్యంత వరుస పరుగులు ( 264) ',' పరాజయం వైపు ఒక మ్యాచ్లో ఇన్నింగ్స్ లో 1 వ అత్యధిక పరుగులు ("&amp;"బ్యాటింగ్ స్థానంలో ప్రకారం) (242) ',' 26th అత్యధిక పరుగులు (84) ',' 7th ఒకే క్రీడా (264) పై అత్యధిక పరుగులు ', 'గత మ్యాచ్లో 9 వ హండ్రెడ్ (242)', '1 వ అత్యధిక తొలి వంద (242)' 'ఒక కెరీర్ (1) 1 వ అధిక రెండొందల పరుగులు', '22 వ చెత్త కెరీర్ సగటు (76.50) (అర్హ"&amp;"త లేకుండా) బౌలింగ్', ' ఏ వికెట్కు 4 వ అత్యధిక భాగస్వామ్యాల (241) ',' వికెట్ తేడాతో 1st అత్యధిక భాగస్వామ్యాల (1 వ) తొలి వికెట్కు ',' 1 వ అత్యధిక భాగస్వామ్యం (241) ',' ఆరవ వికెట్కు 6 వ అత్యధిక భాగస్వామ్యం (95) ']")</f>
        <v>[ 'ఇన్నింగ్స్ (242) లో 1 వ అత్యధిక పరుగులు' 'ఇన్నింగ్స్ లో 10 వ అత్యధిక పరుగులు (ప్రగతిశీల రికార్డు హోల్డర్) (242)', 'ఒక మ్యాచ్లో 1st అత్యధిక పరుగులు (264)', '41 వ అత్యంత వరుస పరుగులు ( 264) ',' పరాజయం వైపు ఒక మ్యాచ్లో ఇన్నింగ్స్ లో 1 వ అత్యధిక పరుగులు (బ్యాటింగ్ స్థానంలో ప్రకారం) (242) ',' 26th అత్యధిక పరుగులు (84) ',' 7th ఒకే క్రీడా (264) పై అత్యధిక పరుగులు ', 'గత మ్యాచ్లో 9 వ హండ్రెడ్ (242)', '1 వ అత్యధిక తొలి వంద (242)' 'ఒక కెరీర్ (1) 1 వ అధిక రెండొందల పరుగులు', '22 వ చెత్త కెరీర్ సగటు (76.50) (అర్హత లేకుండా) బౌలింగ్', ' ఏ వికెట్కు 4 వ అత్యధిక భాగస్వామ్యాల (241) ',' వికెట్ తేడాతో 1st అత్యధిక భాగస్వామ్యాల (1 వ) తొలి వికెట్కు ',' 1 వ అత్యధిక భాగస్వామ్యం (241) ',' ఆరవ వికెట్కు 6 వ అత్యధిక భాగస్వామ్యం (95) ']</v>
      </c>
      <c r="E6481" s="2" t="s">
        <v>3911</v>
      </c>
      <c r="F6481" s="2" t="str">
        <f>IFERROR(__xludf.DUMMYFUNCTION("IF(E6481&lt;&gt;"""", GOOGLETRANSLATE(E6481, ""en"", ""te""),"""")"),"[ '16 వ చెత్త కెరీర్ బౌలింగ్ సరాసరి (37.81)', '15 వ చెత్త కెరీర్లో సమ్మె రేటు (62.5)', '33 వ ఇన్నింగ్స్ (73) లో సాధించిన అత్యధిక పరుగులు' 'బృందం (40) కోసం 40 వ వరుస మ్యాచ్లు']")</f>
        <v>[ '16 వ చెత్త కెరీర్ బౌలింగ్ సరాసరి (37.81)', '15 వ చెత్త కెరీర్లో సమ్మె రేటు (62.5)', '33 వ ఇన్నింగ్స్ (73) లో సాధించిన అత్యధిక పరుగులు' 'బృందం (40) కోసం 40 వ వరుస మ్యాచ్లు']</v>
      </c>
      <c r="G6481" s="2"/>
      <c r="H6481" s="2" t="str">
        <f>IFERROR(__xludf.DUMMYFUNCTION("IF(G6481&lt;&gt;"""", GOOGLETRANSLATE(G6481, ""en"", ""te""),"""")"),"")</f>
        <v/>
      </c>
      <c r="I6481" s="3"/>
    </row>
    <row r="6482" customHeight="1" spans="1:9">
      <c r="A6482" s="2"/>
      <c r="B6482" s="2" t="str">
        <f>IFERROR(__xludf.DUMMYFUNCTION("IF(A6482&lt;&gt;"""", GOOGLETRANSLATE(A6482, ""en"", ""te""),"""")"),"")</f>
        <v/>
      </c>
      <c r="C6482" s="2"/>
      <c r="D6482" s="2" t="str">
        <f>IFERROR(__xludf.DUMMYFUNCTION("IF(C6482&lt;&gt;"""", GOOGLETRANSLATE(C6482, ""en"", ""te""),"""")"),"")</f>
        <v/>
      </c>
      <c r="E6482" s="2"/>
      <c r="F6482" s="2" t="str">
        <f>IFERROR(__xludf.DUMMYFUNCTION("IF(E6482&lt;&gt;"""", GOOGLETRANSLATE(E6482, ""en"", ""te""),"""")"),"")</f>
        <v/>
      </c>
      <c r="G6482" s="2"/>
      <c r="H6482" s="2" t="str">
        <f>IFERROR(__xludf.DUMMYFUNCTION("IF(G6482&lt;&gt;"""", GOOGLETRANSLATE(G6482, ""en"", ""te""),"""")"),"")</f>
        <v/>
      </c>
      <c r="I6482" s="3"/>
    </row>
    <row r="6483" customHeight="1" spans="1:9">
      <c r="A6483" s="2"/>
      <c r="B6483" s="2" t="str">
        <f>IFERROR(__xludf.DUMMYFUNCTION("IF(A6483&lt;&gt;"""", GOOGLETRANSLATE(A6483, ""en"", ""te""),"""")"),"")</f>
        <v/>
      </c>
      <c r="C6483" s="2"/>
      <c r="D6483" s="2" t="str">
        <f>IFERROR(__xludf.DUMMYFUNCTION("IF(C6483&lt;&gt;"""", GOOGLETRANSLATE(C6483, ""en"", ""te""),"""")"),"")</f>
        <v/>
      </c>
      <c r="E6483" s="2"/>
      <c r="F6483" s="2" t="str">
        <f>IFERROR(__xludf.DUMMYFUNCTION("IF(E6483&lt;&gt;"""", GOOGLETRANSLATE(E6483, ""en"", ""te""),"""")"),"")</f>
        <v/>
      </c>
      <c r="G6483" s="2"/>
      <c r="H6483" s="2" t="str">
        <f>IFERROR(__xludf.DUMMYFUNCTION("IF(G6483&lt;&gt;"""", GOOGLETRANSLATE(G6483, ""en"", ""te""),"""")"),"")</f>
        <v/>
      </c>
      <c r="I6483" s="3"/>
    </row>
    <row r="6484" customHeight="1" spans="1:9">
      <c r="A6484" s="2" t="s">
        <v>153</v>
      </c>
      <c r="B6484" s="2" t="str">
        <f>IFERROR(__xludf.DUMMYFUNCTION("IF(A6484&lt;&gt;"""", GOOGLETRANSLATE(A6484, ""en"", ""te""),"""")"),"[ 'రెండు దేశాలకు ప్రాతినిధ్యం']")</f>
        <v>[ 'రెండు దేశాలకు ప్రాతినిధ్యం']</v>
      </c>
      <c r="C6484" s="2" t="s">
        <v>3912</v>
      </c>
      <c r="D6484" s="2" t="str">
        <f>IFERROR(__xludf.DUMMYFUNCTION("IF(C6484&lt;&gt;"""", GOOGLETRANSLATE(C6484, ""en"", ""te""),"""")"),"[ '19 చెత్త కెరీర్లో సమ్మె రేటు (129.1)', 'బృందం (23) కెప్టెన్ గా 39 వ వరుస మ్యాచ్లు']")</f>
        <v>[ '19 చెత్త కెరీర్లో సమ్మె రేటు (129.1)', 'బృందం (23) కెప్టెన్ గా 39 వ వరుస మ్యాచ్లు']</v>
      </c>
      <c r="E6484" s="2"/>
      <c r="F6484" s="2" t="str">
        <f>IFERROR(__xludf.DUMMYFUNCTION("IF(E6484&lt;&gt;"""", GOOGLETRANSLATE(E6484, ""en"", ""te""),"""")"),"")</f>
        <v/>
      </c>
      <c r="G6484" s="2"/>
      <c r="H6484" s="2" t="str">
        <f>IFERROR(__xludf.DUMMYFUNCTION("IF(G6484&lt;&gt;"""", GOOGLETRANSLATE(G6484, ""en"", ""te""),"""")"),"")</f>
        <v/>
      </c>
      <c r="I6484" s="3"/>
    </row>
    <row r="6485" customHeight="1" spans="1:9">
      <c r="A6485" s="2"/>
      <c r="B6485" s="2" t="str">
        <f>IFERROR(__xludf.DUMMYFUNCTION("IF(A6485&lt;&gt;"""", GOOGLETRANSLATE(A6485, ""en"", ""te""),"""")"),"")</f>
        <v/>
      </c>
      <c r="C6485" s="2"/>
      <c r="D6485" s="2" t="str">
        <f>IFERROR(__xludf.DUMMYFUNCTION("IF(C6485&lt;&gt;"""", GOOGLETRANSLATE(C6485, ""en"", ""te""),"""")"),"")</f>
        <v/>
      </c>
      <c r="E6485" s="2"/>
      <c r="F6485" s="2" t="str">
        <f>IFERROR(__xludf.DUMMYFUNCTION("IF(E6485&lt;&gt;"""", GOOGLETRANSLATE(E6485, ""en"", ""te""),"""")"),"")</f>
        <v/>
      </c>
      <c r="G6485" s="2"/>
      <c r="H6485" s="2" t="str">
        <f>IFERROR(__xludf.DUMMYFUNCTION("IF(G6485&lt;&gt;"""", GOOGLETRANSLATE(G6485, ""en"", ""te""),"""")"),"")</f>
        <v/>
      </c>
      <c r="I6485" s="3"/>
    </row>
    <row r="6486" customHeight="1" spans="1:9">
      <c r="A6486" s="2"/>
      <c r="B6486" s="2" t="str">
        <f>IFERROR(__xludf.DUMMYFUNCTION("IF(A6486&lt;&gt;"""", GOOGLETRANSLATE(A6486, ""en"", ""te""),"""")"),"")</f>
        <v/>
      </c>
      <c r="C6486" s="2"/>
      <c r="D6486" s="2" t="str">
        <f>IFERROR(__xludf.DUMMYFUNCTION("IF(C6486&lt;&gt;"""", GOOGLETRANSLATE(C6486, ""en"", ""te""),"""")"),"")</f>
        <v/>
      </c>
      <c r="E6486" s="2"/>
      <c r="F6486" s="2" t="str">
        <f>IFERROR(__xludf.DUMMYFUNCTION("IF(E6486&lt;&gt;"""", GOOGLETRANSLATE(E6486, ""en"", ""te""),"""")"),"")</f>
        <v/>
      </c>
      <c r="G6486" s="2"/>
      <c r="H6486" s="2" t="str">
        <f>IFERROR(__xludf.DUMMYFUNCTION("IF(G6486&lt;&gt;"""", GOOGLETRANSLATE(G6486, ""en"", ""te""),"""")"),"")</f>
        <v/>
      </c>
      <c r="I6486" s="3"/>
    </row>
    <row r="6487" customHeight="1" spans="1:9">
      <c r="A6487" s="2"/>
      <c r="B6487" s="2" t="str">
        <f>IFERROR(__xludf.DUMMYFUNCTION("IF(A6487&lt;&gt;"""", GOOGLETRANSLATE(A6487, ""en"", ""te""),"""")"),"")</f>
        <v/>
      </c>
      <c r="C6487" s="2"/>
      <c r="D6487" s="2" t="str">
        <f>IFERROR(__xludf.DUMMYFUNCTION("IF(C6487&lt;&gt;"""", GOOGLETRANSLATE(C6487, ""en"", ""te""),"""")"),"")</f>
        <v/>
      </c>
      <c r="E6487" s="2"/>
      <c r="F6487" s="2" t="str">
        <f>IFERROR(__xludf.DUMMYFUNCTION("IF(E6487&lt;&gt;"""", GOOGLETRANSLATE(E6487, ""en"", ""te""),"""")"),"")</f>
        <v/>
      </c>
      <c r="G6487" s="2"/>
      <c r="H6487" s="2" t="str">
        <f>IFERROR(__xludf.DUMMYFUNCTION("IF(G6487&lt;&gt;"""", GOOGLETRANSLATE(G6487, ""en"", ""te""),"""")"),"")</f>
        <v/>
      </c>
      <c r="I6487" s="3"/>
    </row>
    <row r="6488" customHeight="1" spans="1:9">
      <c r="A6488" s="2"/>
      <c r="B6488" s="2" t="str">
        <f>IFERROR(__xludf.DUMMYFUNCTION("IF(A6488&lt;&gt;"""", GOOGLETRANSLATE(A6488, ""en"", ""te""),"""")"),"")</f>
        <v/>
      </c>
      <c r="C6488" s="2"/>
      <c r="D6488" s="2" t="str">
        <f>IFERROR(__xludf.DUMMYFUNCTION("IF(C6488&lt;&gt;"""", GOOGLETRANSLATE(C6488, ""en"", ""te""),"""")"),"")</f>
        <v/>
      </c>
      <c r="E6488" s="2"/>
      <c r="F6488" s="2" t="str">
        <f>IFERROR(__xludf.DUMMYFUNCTION("IF(E6488&lt;&gt;"""", GOOGLETRANSLATE(E6488, ""en"", ""te""),"""")"),"")</f>
        <v/>
      </c>
      <c r="G6488" s="2"/>
      <c r="H6488" s="2" t="str">
        <f>IFERROR(__xludf.DUMMYFUNCTION("IF(G6488&lt;&gt;"""", GOOGLETRANSLATE(G6488, ""en"", ""te""),"""")"),"")</f>
        <v/>
      </c>
      <c r="I6488" s="3"/>
    </row>
    <row r="6489" customHeight="1" spans="1:9">
      <c r="A6489" s="2"/>
      <c r="B6489" s="2" t="str">
        <f>IFERROR(__xludf.DUMMYFUNCTION("IF(A6489&lt;&gt;"""", GOOGLETRANSLATE(A6489, ""en"", ""te""),"""")"),"")</f>
        <v/>
      </c>
      <c r="C6489" s="2"/>
      <c r="D6489" s="2" t="str">
        <f>IFERROR(__xludf.DUMMYFUNCTION("IF(C6489&lt;&gt;"""", GOOGLETRANSLATE(C6489, ""en"", ""te""),"""")"),"")</f>
        <v/>
      </c>
      <c r="E6489" s="2"/>
      <c r="F6489" s="2" t="str">
        <f>IFERROR(__xludf.DUMMYFUNCTION("IF(E6489&lt;&gt;"""", GOOGLETRANSLATE(E6489, ""en"", ""te""),"""")"),"")</f>
        <v/>
      </c>
      <c r="G6489" s="2"/>
      <c r="H6489" s="2" t="str">
        <f>IFERROR(__xludf.DUMMYFUNCTION("IF(G6489&lt;&gt;"""", GOOGLETRANSLATE(G6489, ""en"", ""te""),"""")"),"")</f>
        <v/>
      </c>
      <c r="I6489" s="3"/>
    </row>
    <row r="6490" customHeight="1" spans="1:9">
      <c r="A6490" s="2"/>
      <c r="B6490" s="2" t="str">
        <f>IFERROR(__xludf.DUMMYFUNCTION("IF(A6490&lt;&gt;"""", GOOGLETRANSLATE(A6490, ""en"", ""te""),"""")"),"")</f>
        <v/>
      </c>
      <c r="C6490" s="2"/>
      <c r="D6490" s="2" t="str">
        <f>IFERROR(__xludf.DUMMYFUNCTION("IF(C6490&lt;&gt;"""", GOOGLETRANSLATE(C6490, ""en"", ""te""),"""")"),"")</f>
        <v/>
      </c>
      <c r="E6490" s="2" t="s">
        <v>477</v>
      </c>
      <c r="F6490" s="2" t="str">
        <f>IFERROR(__xludf.DUMMYFUNCTION("IF(E6490&lt;&gt;"""", GOOGLETRANSLATE(E6490, ""en"", ""te""),"""")"),"[ '49 వ వరుస మ్యాచ్లు ప్రదర్శనల మధ్య (29) జట్టు తప్పిన']")</f>
        <v>[ '49 వ వరుస మ్యాచ్లు ప్రదర్శనల మధ్య (29) జట్టు తప్పిన']</v>
      </c>
      <c r="G6490" s="2" t="s">
        <v>3913</v>
      </c>
      <c r="H6490" s="2" t="str">
        <f>IFERROR(__xludf.DUMMYFUNCTION("IF(G6490&lt;&gt;"""", GOOGLETRANSLATE(G6490, ""en"", ""te""),"""")"),"[ 'కెరీర్లో 13 వ లేవు బాతులు (13)']")</f>
        <v>[ 'కెరీర్లో 13 వ లేవు బాతులు (13)']</v>
      </c>
      <c r="I6490" s="3"/>
    </row>
    <row r="6491" customHeight="1" spans="1:9">
      <c r="A6491" s="2"/>
      <c r="B6491" s="2" t="str">
        <f>IFERROR(__xludf.DUMMYFUNCTION("IF(A6491&lt;&gt;"""", GOOGLETRANSLATE(A6491, ""en"", ""te""),"""")"),"")</f>
        <v/>
      </c>
      <c r="C6491" s="2"/>
      <c r="D6491" s="2" t="str">
        <f>IFERROR(__xludf.DUMMYFUNCTION("IF(C6491&lt;&gt;"""", GOOGLETRANSLATE(C6491, ""en"", ""te""),"""")"),"")</f>
        <v/>
      </c>
      <c r="E6491" s="2"/>
      <c r="F6491" s="2" t="str">
        <f>IFERROR(__xludf.DUMMYFUNCTION("IF(E6491&lt;&gt;"""", GOOGLETRANSLATE(E6491, ""en"", ""te""),"""")"),"")</f>
        <v/>
      </c>
      <c r="G6491" s="2"/>
      <c r="H6491" s="2" t="str">
        <f>IFERROR(__xludf.DUMMYFUNCTION("IF(G6491&lt;&gt;"""", GOOGLETRANSLATE(G6491, ""en"", ""te""),"""")"),"")</f>
        <v/>
      </c>
      <c r="I6491" s="3"/>
    </row>
    <row r="6492" customHeight="1" spans="1:9">
      <c r="A6492" s="2" t="s">
        <v>3914</v>
      </c>
      <c r="B6492" s="2" t="str">
        <f>IFERROR(__xludf.DUMMYFUNCTION("IF(A6492&lt;&gt;"""", GOOGLETRANSLATE(A6492, ""en"", ""te""),"""")"),"[ 'ప్రవేశం (166) పై వంద']")</f>
        <v>[ 'ప్రవేశం (166) పై వంద']</v>
      </c>
      <c r="C6492" s="2" t="s">
        <v>3915</v>
      </c>
      <c r="D6492" s="2" t="str">
        <f>IFERROR(__xludf.DUMMYFUNCTION("IF(C6492&lt;&gt;"""", GOOGLETRANSLATE(C6492, ""en"", ""te""),"""")"),"[ '27 తొలి మ్యాచ్లో అత్యధిక పరుగులు (169)', 'తొలి వికెట్కు (249) కోసం 36 వ అత్యధిక భాగస్వామ్యం']")</f>
        <v>[ '27 తొలి మ్యాచ్లో అత్యధిక పరుగులు (169)', 'తొలి వికెట్కు (249) కోసం 36 వ అత్యధిక భాగస్వామ్యం']</v>
      </c>
      <c r="E6492" s="2"/>
      <c r="F6492" s="2" t="str">
        <f>IFERROR(__xludf.DUMMYFUNCTION("IF(E6492&lt;&gt;"""", GOOGLETRANSLATE(E6492, ""en"", ""te""),"""")"),"")</f>
        <v/>
      </c>
      <c r="G6492" s="2"/>
      <c r="H6492" s="2" t="str">
        <f>IFERROR(__xludf.DUMMYFUNCTION("IF(G6492&lt;&gt;"""", GOOGLETRANSLATE(G6492, ""en"", ""te""),"""")"),"")</f>
        <v/>
      </c>
      <c r="I6492" s="3"/>
    </row>
    <row r="6493" customHeight="1" spans="1:9">
      <c r="A6493" s="2" t="s">
        <v>3916</v>
      </c>
      <c r="B6493" s="2" t="str">
        <f>IFERROR(__xludf.DUMMYFUNCTION("IF(A6493&lt;&gt;"""", GOOGLETRANSLATE(A6493, ""en"", ""te""),"""")"),"[ '4 వ అత్యధిక పరుగులు ఇన్నింగ్స్ (259) లో సాధించిన]")</f>
        <v>[ '4 వ అత్యధిక పరుగులు ఇన్నింగ్స్ (259) లో సాధించిన]</v>
      </c>
      <c r="C6493" s="2" t="s">
        <v>3917</v>
      </c>
      <c r="D6493" s="2" t="str">
        <f>IFERROR(__xludf.DUMMYFUNCTION("IF(C6493&lt;&gt;"""", GOOGLETRANSLATE(C6493, ""en"", ""te""),"""")"),"[ 'ఇన్నింగ్స్ లో సాధించిన 4 వ అత్యధిక పరుగులు (259)', '43 వ అత్యధిక పరుగులు ఒక మ్యాచ్లో సాధించిన (259)', '41 వ 50 వికెట్లు (11) వేగంగా']")</f>
        <v>[ 'ఇన్నింగ్స్ లో సాధించిన 4 వ అత్యధిక పరుగులు (259)', '43 వ అత్యధిక పరుగులు ఒక మ్యాచ్లో సాధించిన (259)', '41 వ 50 వికెట్లు (11) వేగంగా']</v>
      </c>
      <c r="E6493" s="2"/>
      <c r="F6493" s="2" t="str">
        <f>IFERROR(__xludf.DUMMYFUNCTION("IF(E6493&lt;&gt;"""", GOOGLETRANSLATE(E6493, ""en"", ""te""),"""")"),"")</f>
        <v/>
      </c>
      <c r="G6493" s="2"/>
      <c r="H6493" s="2" t="str">
        <f>IFERROR(__xludf.DUMMYFUNCTION("IF(G6493&lt;&gt;"""", GOOGLETRANSLATE(G6493, ""en"", ""te""),"""")"),"")</f>
        <v/>
      </c>
      <c r="I6493" s="3"/>
    </row>
    <row r="6494" customHeight="1" spans="1:9">
      <c r="A6494" s="2"/>
      <c r="B6494" s="2" t="str">
        <f>IFERROR(__xludf.DUMMYFUNCTION("IF(A6494&lt;&gt;"""", GOOGLETRANSLATE(A6494, ""en"", ""te""),"""")"),"")</f>
        <v/>
      </c>
      <c r="C6494" s="2" t="s">
        <v>3918</v>
      </c>
      <c r="D6494" s="2" t="str">
        <f>IFERROR(__xludf.DUMMYFUNCTION("IF(C6494&lt;&gt;"""", GOOGLETRANSLATE(C6494, ""en"", ""te""),"""")"),"[ '44 వ పిన్న క్రీడాకారులు (18y 44d)']")</f>
        <v>[ '44 వ పిన్న క్రీడాకారులు (18y 44d)']</v>
      </c>
      <c r="E6494" s="2"/>
      <c r="F6494" s="2" t="str">
        <f>IFERROR(__xludf.DUMMYFUNCTION("IF(E6494&lt;&gt;"""", GOOGLETRANSLATE(E6494, ""en"", ""te""),"""")"),"")</f>
        <v/>
      </c>
      <c r="G6494" s="2"/>
      <c r="H6494" s="2" t="str">
        <f>IFERROR(__xludf.DUMMYFUNCTION("IF(G6494&lt;&gt;"""", GOOGLETRANSLATE(G6494, ""en"", ""te""),"""")"),"")</f>
        <v/>
      </c>
      <c r="I6494" s="3"/>
    </row>
    <row r="6495" customHeight="1" spans="1:9">
      <c r="A6495" s="2"/>
      <c r="B6495" s="2" t="str">
        <f>IFERROR(__xludf.DUMMYFUNCTION("IF(A6495&lt;&gt;"""", GOOGLETRANSLATE(A6495, ""en"", ""te""),"""")"),"")</f>
        <v/>
      </c>
      <c r="C6495" s="2"/>
      <c r="D6495" s="2" t="str">
        <f>IFERROR(__xludf.DUMMYFUNCTION("IF(C6495&lt;&gt;"""", GOOGLETRANSLATE(C6495, ""en"", ""te""),"""")"),"")</f>
        <v/>
      </c>
      <c r="E6495" s="2"/>
      <c r="F6495" s="2" t="str">
        <f>IFERROR(__xludf.DUMMYFUNCTION("IF(E6495&lt;&gt;"""", GOOGLETRANSLATE(E6495, ""en"", ""te""),"""")"),"")</f>
        <v/>
      </c>
      <c r="G6495" s="2"/>
      <c r="H6495" s="2" t="str">
        <f>IFERROR(__xludf.DUMMYFUNCTION("IF(G6495&lt;&gt;"""", GOOGLETRANSLATE(G6495, ""en"", ""te""),"""")"),"")</f>
        <v/>
      </c>
      <c r="I6495" s="3"/>
    </row>
    <row r="6496" customHeight="1" spans="1:9">
      <c r="A6496" s="2"/>
      <c r="B6496" s="2" t="str">
        <f>IFERROR(__xludf.DUMMYFUNCTION("IF(A6496&lt;&gt;"""", GOOGLETRANSLATE(A6496, ""en"", ""te""),"""")"),"")</f>
        <v/>
      </c>
      <c r="C6496" s="2"/>
      <c r="D6496" s="2" t="str">
        <f>IFERROR(__xludf.DUMMYFUNCTION("IF(C6496&lt;&gt;"""", GOOGLETRANSLATE(C6496, ""en"", ""te""),"""")"),"")</f>
        <v/>
      </c>
      <c r="E6496" s="2" t="s">
        <v>832</v>
      </c>
      <c r="F6496" s="2" t="str">
        <f>IFERROR(__xludf.DUMMYFUNCTION("IF(E6496&lt;&gt;"""", GOOGLETRANSLATE(E6496, ""en"", ""te""),"""")"),"[ 'తొలి ఇన్నింగ్స్ 15 వ బెస్ట్ ఫిగర్స్ (3)']")</f>
        <v>[ 'తొలి ఇన్నింగ్స్ 15 వ బెస్ట్ ఫిగర్స్ (3)']</v>
      </c>
      <c r="G6496" s="2"/>
      <c r="H6496" s="2" t="str">
        <f>IFERROR(__xludf.DUMMYFUNCTION("IF(G6496&lt;&gt;"""", GOOGLETRANSLATE(G6496, ""en"", ""te""),"""")"),"")</f>
        <v/>
      </c>
      <c r="I6496" s="3"/>
    </row>
    <row r="6497" customHeight="1" spans="1:9">
      <c r="A6497" s="2"/>
      <c r="B6497" s="2" t="str">
        <f>IFERROR(__xludf.DUMMYFUNCTION("IF(A6497&lt;&gt;"""", GOOGLETRANSLATE(A6497, ""en"", ""te""),"""")"),"")</f>
        <v/>
      </c>
      <c r="C6497" s="2"/>
      <c r="D6497" s="2" t="str">
        <f>IFERROR(__xludf.DUMMYFUNCTION("IF(C6497&lt;&gt;"""", GOOGLETRANSLATE(C6497, ""en"", ""te""),"""")"),"")</f>
        <v/>
      </c>
      <c r="E6497" s="2"/>
      <c r="F6497" s="2" t="str">
        <f>IFERROR(__xludf.DUMMYFUNCTION("IF(E6497&lt;&gt;"""", GOOGLETRANSLATE(E6497, ""en"", ""te""),"""")"),"")</f>
        <v/>
      </c>
      <c r="G6497" s="2" t="s">
        <v>3919</v>
      </c>
      <c r="H6497" s="2" t="str">
        <f>IFERROR(__xludf.DUMMYFUNCTION("IF(G6497&lt;&gt;"""", GOOGLETRANSLATE(G6497, ""en"", ""te""),"""")"),"[ '20 వ వరుస మ్యాచ్లు ప్రదర్శనల మధ్య (49) జట్టుకు దూరమయ్యాడు']")</f>
        <v>[ '20 వ వరుస మ్యాచ్లు ప్రదర్శనల మధ్య (49) జట్టుకు దూరమయ్యాడు']</v>
      </c>
      <c r="I6497" s="3"/>
    </row>
    <row r="6498" customHeight="1" spans="1:9">
      <c r="A6498" s="2"/>
      <c r="B6498" s="2" t="str">
        <f>IFERROR(__xludf.DUMMYFUNCTION("IF(A6498&lt;&gt;"""", GOOGLETRANSLATE(A6498, ""en"", ""te""),"""")"),"")</f>
        <v/>
      </c>
      <c r="C6498" s="2"/>
      <c r="D6498" s="2" t="str">
        <f>IFERROR(__xludf.DUMMYFUNCTION("IF(C6498&lt;&gt;"""", GOOGLETRANSLATE(C6498, ""en"", ""te""),"""")"),"")</f>
        <v/>
      </c>
      <c r="E6498" s="2"/>
      <c r="F6498" s="2" t="str">
        <f>IFERROR(__xludf.DUMMYFUNCTION("IF(E6498&lt;&gt;"""", GOOGLETRANSLATE(E6498, ""en"", ""te""),"""")"),"")</f>
        <v/>
      </c>
      <c r="G6498" s="2"/>
      <c r="H6498" s="2" t="str">
        <f>IFERROR(__xludf.DUMMYFUNCTION("IF(G6498&lt;&gt;"""", GOOGLETRANSLATE(G6498, ""en"", ""te""),"""")"),"")</f>
        <v/>
      </c>
      <c r="I6498" s="3"/>
    </row>
    <row r="6499" customHeight="1" spans="1:9">
      <c r="A6499" s="2"/>
      <c r="B6499" s="2" t="str">
        <f>IFERROR(__xludf.DUMMYFUNCTION("IF(A6499&lt;&gt;"""", GOOGLETRANSLATE(A6499, ""en"", ""te""),"""")"),"")</f>
        <v/>
      </c>
      <c r="C6499" s="2"/>
      <c r="D6499" s="2" t="str">
        <f>IFERROR(__xludf.DUMMYFUNCTION("IF(C6499&lt;&gt;"""", GOOGLETRANSLATE(C6499, ""en"", ""te""),"""")"),"")</f>
        <v/>
      </c>
      <c r="E6499" s="2"/>
      <c r="F6499" s="2" t="str">
        <f>IFERROR(__xludf.DUMMYFUNCTION("IF(E6499&lt;&gt;"""", GOOGLETRANSLATE(E6499, ""en"", ""te""),"""")"),"")</f>
        <v/>
      </c>
      <c r="G6499" s="2"/>
      <c r="H6499" s="2" t="str">
        <f>IFERROR(__xludf.DUMMYFUNCTION("IF(G6499&lt;&gt;"""", GOOGLETRANSLATE(G6499, ""en"", ""te""),"""")"),"")</f>
        <v/>
      </c>
      <c r="I6499" s="3"/>
    </row>
    <row r="6500" customHeight="1" spans="1:9">
      <c r="A6500" s="2" t="s">
        <v>3920</v>
      </c>
      <c r="B6500" s="2" t="str">
        <f>IFERROR(__xludf.DUMMYFUNCTION("IF(A6500&lt;&gt;"""", GOOGLETRANSLATE(A6500, ""en"", ""te""),"""")"),"[ '5 వ అత్యుత్తమ బౌలింగ్ ఇన్నింగ్స్ లో విశ్లేషించడం (3/2)', 'ఇన్నింగ్స్ లో 7 వ ఉత్తమ ఆర్థిక రేటు (0.20)']")</f>
        <v>[ '5 వ అత్యుత్తమ బౌలింగ్ ఇన్నింగ్స్ లో విశ్లేషించడం (3/2)', 'ఇన్నింగ్స్ లో 7 వ ఉత్తమ ఆర్థిక రేటు (0.20)']</v>
      </c>
      <c r="C6500" s="2" t="s">
        <v>3921</v>
      </c>
      <c r="D6500" s="2" t="str">
        <f>IFERROR(__xludf.DUMMYFUNCTION("IF(C6500&lt;&gt;"""", GOOGLETRANSLATE(C6500, ""en"", ""te""),"""")"),"[ '32 వ చెత్త కెరీర్ (అర్హత లేకుండా) సగటు బౌలింగ్ (68.00)']")</f>
        <v>[ '32 వ చెత్త కెరీర్ (అర్హత లేకుండా) సగటు బౌలింగ్ (68.00)']</v>
      </c>
      <c r="E6500" s="2" t="s">
        <v>3922</v>
      </c>
      <c r="F6500" s="2" t="str">
        <f>IFERROR(__xludf.DUMMYFUNCTION("IF(E6500&lt;&gt;"""", GOOGLETRANSLATE(E6500, ""en"", ""te""),"""")"),"[ 'ఒకే మైదానంలో 33 వ అత్యధిక వికెట్లు (12)', 'ఇన్నింగ్స్ లో 7 వ ఉత్తమ ఆర్థిక రేటు (0.20)', '46 వ చెత్త కెరీర్లో సమ్మె రేటు' 5 వ అత్యుత్తమ బౌలింగ్ ఇన్నింగ్స్ (3/2) విశ్లేషణలలో '(52.4 ) ']")</f>
        <v>[ 'ఒకే మైదానంలో 33 వ అత్యధిక వికెట్లు (12)', 'ఇన్నింగ్స్ లో 7 వ ఉత్తమ ఆర్థిక రేటు (0.20)', '46 వ చెత్త కెరీర్లో సమ్మె రేటు' 5 వ అత్యుత్తమ బౌలింగ్ ఇన్నింగ్స్ (3/2) విశ్లేషణలలో '(52.4 ) ']</v>
      </c>
      <c r="G6500" s="2"/>
      <c r="H6500" s="2" t="str">
        <f>IFERROR(__xludf.DUMMYFUNCTION("IF(G6500&lt;&gt;"""", GOOGLETRANSLATE(G6500, ""en"", ""te""),"""")"),"")</f>
        <v/>
      </c>
      <c r="I6500" s="3"/>
    </row>
    <row r="6501" customHeight="1" spans="1:9">
      <c r="A6501" s="2"/>
      <c r="B6501" s="2" t="str">
        <f>IFERROR(__xludf.DUMMYFUNCTION("IF(A6501&lt;&gt;"""", GOOGLETRANSLATE(A6501, ""en"", ""te""),"""")"),"")</f>
        <v/>
      </c>
      <c r="C6501" s="2"/>
      <c r="D6501" s="2" t="str">
        <f>IFERROR(__xludf.DUMMYFUNCTION("IF(C6501&lt;&gt;"""", GOOGLETRANSLATE(C6501, ""en"", ""te""),"""")"),"")</f>
        <v/>
      </c>
      <c r="E6501" s="2"/>
      <c r="F6501" s="2" t="str">
        <f>IFERROR(__xludf.DUMMYFUNCTION("IF(E6501&lt;&gt;"""", GOOGLETRANSLATE(E6501, ""en"", ""te""),"""")"),"")</f>
        <v/>
      </c>
      <c r="G6501" s="2"/>
      <c r="H6501" s="2" t="str">
        <f>IFERROR(__xludf.DUMMYFUNCTION("IF(G6501&lt;&gt;"""", GOOGLETRANSLATE(G6501, ""en"", ""te""),"""")"),"")</f>
        <v/>
      </c>
      <c r="I6501" s="3"/>
    </row>
    <row r="6502" customHeight="1" spans="1:9">
      <c r="A6502" s="2"/>
      <c r="B6502" s="2" t="str">
        <f>IFERROR(__xludf.DUMMYFUNCTION("IF(A6502&lt;&gt;"""", GOOGLETRANSLATE(A6502, ""en"", ""te""),"""")"),"")</f>
        <v/>
      </c>
      <c r="C6502" s="2"/>
      <c r="D6502" s="2" t="str">
        <f>IFERROR(__xludf.DUMMYFUNCTION("IF(C6502&lt;&gt;"""", GOOGLETRANSLATE(C6502, ""en"", ""te""),"""")"),"")</f>
        <v/>
      </c>
      <c r="E6502" s="2"/>
      <c r="F6502" s="2" t="str">
        <f>IFERROR(__xludf.DUMMYFUNCTION("IF(E6502&lt;&gt;"""", GOOGLETRANSLATE(E6502, ""en"", ""te""),"""")"),"")</f>
        <v/>
      </c>
      <c r="G6502" s="2"/>
      <c r="H6502" s="2" t="str">
        <f>IFERROR(__xludf.DUMMYFUNCTION("IF(G6502&lt;&gt;"""", GOOGLETRANSLATE(G6502, ""en"", ""te""),"""")"),"")</f>
        <v/>
      </c>
      <c r="I6502" s="3"/>
    </row>
    <row r="6503" customHeight="1" spans="1:9">
      <c r="A6503" s="2"/>
      <c r="B6503" s="2" t="str">
        <f>IFERROR(__xludf.DUMMYFUNCTION("IF(A6503&lt;&gt;"""", GOOGLETRANSLATE(A6503, ""en"", ""te""),"""")"),"")</f>
        <v/>
      </c>
      <c r="C6503" s="2"/>
      <c r="D6503" s="2" t="str">
        <f>IFERROR(__xludf.DUMMYFUNCTION("IF(C6503&lt;&gt;"""", GOOGLETRANSLATE(C6503, ""en"", ""te""),"""")"),"")</f>
        <v/>
      </c>
      <c r="E6503" s="2"/>
      <c r="F6503" s="2" t="str">
        <f>IFERROR(__xludf.DUMMYFUNCTION("IF(E6503&lt;&gt;"""", GOOGLETRANSLATE(E6503, ""en"", ""te""),"""")"),"")</f>
        <v/>
      </c>
      <c r="G6503" s="2"/>
      <c r="H6503" s="2" t="str">
        <f>IFERROR(__xludf.DUMMYFUNCTION("IF(G6503&lt;&gt;"""", GOOGLETRANSLATE(G6503, ""en"", ""te""),"""")"),"")</f>
        <v/>
      </c>
      <c r="I6503" s="3"/>
    </row>
    <row r="6504" customHeight="1" spans="1:9">
      <c r="A6504" s="2"/>
      <c r="B6504" s="2" t="str">
        <f>IFERROR(__xludf.DUMMYFUNCTION("IF(A6504&lt;&gt;"""", GOOGLETRANSLATE(A6504, ""en"", ""te""),"""")"),"")</f>
        <v/>
      </c>
      <c r="C6504" s="2"/>
      <c r="D6504" s="2" t="str">
        <f>IFERROR(__xludf.DUMMYFUNCTION("IF(C6504&lt;&gt;"""", GOOGLETRANSLATE(C6504, ""en"", ""te""),"""")"),"")</f>
        <v/>
      </c>
      <c r="E6504" s="2"/>
      <c r="F6504" s="2" t="str">
        <f>IFERROR(__xludf.DUMMYFUNCTION("IF(E6504&lt;&gt;"""", GOOGLETRANSLATE(E6504, ""en"", ""te""),"""")"),"")</f>
        <v/>
      </c>
      <c r="G6504" s="2"/>
      <c r="H6504" s="2" t="str">
        <f>IFERROR(__xludf.DUMMYFUNCTION("IF(G6504&lt;&gt;"""", GOOGLETRANSLATE(G6504, ""en"", ""te""),"""")"),"")</f>
        <v/>
      </c>
      <c r="I6504" s="3"/>
    </row>
    <row r="6505" customHeight="1" spans="1:9">
      <c r="A6505" s="2" t="s">
        <v>3923</v>
      </c>
      <c r="B6505" s="2" t="str">
        <f>IFERROR(__xludf.DUMMYFUNCTION("IF(A6505&lt;&gt;"""", GOOGLETRANSLATE(A6505, ""en"", ""te""),"""")"),"[ 'హండ్రెడ్ తొలి (109 *)', '10 వ పిన్న ఆటగాడు వంద (19y 105d) స్కోర్', 'హండ్రెడ్ మరియు ఒక మ్యాచ్లో ఒక డక్']")</f>
        <v>[ 'హండ్రెడ్ తొలి (109 *)', '10 వ పిన్న ఆటగాడు వంద (19y 105d) స్కోర్', 'హండ్రెడ్ మరియు ఒక మ్యాచ్లో ఒక డక్']</v>
      </c>
      <c r="C6505" s="2" t="s">
        <v>3924</v>
      </c>
      <c r="D6505" s="2" t="str">
        <f>IFERROR(__xludf.DUMMYFUNCTION("IF(C6505&lt;&gt;"""", GOOGLETRANSLATE(C6505, ""en"", ""te""),"""")"),"[ '10 వ పిన్న ఆటగాడు వంద స్కోర్ (19y 105d)', 'తొమ్మిదవ వికెట్ (147) కోసం 12 వ అత్యధిక భాగస్వామ్యం']")</f>
        <v>[ '10 వ పిన్న ఆటగాడు వంద స్కోర్ (19y 105d)', 'తొమ్మిదవ వికెట్ (147) కోసం 12 వ అత్యధిక భాగస్వామ్యం']</v>
      </c>
      <c r="E6505" s="2" t="s">
        <v>749</v>
      </c>
      <c r="F6505" s="2" t="str">
        <f>IFERROR(__xludf.DUMMYFUNCTION("IF(E6505&lt;&gt;"""", GOOGLETRANSLATE(E6505, ""en"", ""te""),"""")"),"[ '6 వ అత్యధిక వరుస బాతులు (3)']")</f>
        <v>[ '6 వ అత్యధిక వరుస బాతులు (3)']</v>
      </c>
      <c r="G6505" s="2"/>
      <c r="H6505" s="2" t="str">
        <f>IFERROR(__xludf.DUMMYFUNCTION("IF(G6505&lt;&gt;"""", GOOGLETRANSLATE(G6505, ""en"", ""te""),"""")"),"")</f>
        <v/>
      </c>
      <c r="I6505" s="3"/>
    </row>
    <row r="6506" customHeight="1" spans="1:9">
      <c r="A6506" s="2"/>
      <c r="B6506" s="2" t="str">
        <f>IFERROR(__xludf.DUMMYFUNCTION("IF(A6506&lt;&gt;"""", GOOGLETRANSLATE(A6506, ""en"", ""te""),"""")"),"")</f>
        <v/>
      </c>
      <c r="C6506" s="2"/>
      <c r="D6506" s="2" t="str">
        <f>IFERROR(__xludf.DUMMYFUNCTION("IF(C6506&lt;&gt;"""", GOOGLETRANSLATE(C6506, ""en"", ""te""),"""")"),"")</f>
        <v/>
      </c>
      <c r="E6506" s="2"/>
      <c r="F6506" s="2" t="str">
        <f>IFERROR(__xludf.DUMMYFUNCTION("IF(E6506&lt;&gt;"""", GOOGLETRANSLATE(E6506, ""en"", ""te""),"""")"),"")</f>
        <v/>
      </c>
      <c r="G6506" s="2"/>
      <c r="H6506" s="2" t="str">
        <f>IFERROR(__xludf.DUMMYFUNCTION("IF(G6506&lt;&gt;"""", GOOGLETRANSLATE(G6506, ""en"", ""te""),"""")"),"")</f>
        <v/>
      </c>
      <c r="I6506" s="3"/>
    </row>
    <row r="6507" customHeight="1" spans="1:9">
      <c r="A6507" s="2"/>
      <c r="B6507" s="2" t="str">
        <f>IFERROR(__xludf.DUMMYFUNCTION("IF(A6507&lt;&gt;"""", GOOGLETRANSLATE(A6507, ""en"", ""te""),"""")"),"")</f>
        <v/>
      </c>
      <c r="C6507" s="2"/>
      <c r="D6507" s="2" t="str">
        <f>IFERROR(__xludf.DUMMYFUNCTION("IF(C6507&lt;&gt;"""", GOOGLETRANSLATE(C6507, ""en"", ""te""),"""")"),"")</f>
        <v/>
      </c>
      <c r="E6507" s="2"/>
      <c r="F6507" s="2" t="str">
        <f>IFERROR(__xludf.DUMMYFUNCTION("IF(E6507&lt;&gt;"""", GOOGLETRANSLATE(E6507, ""en"", ""te""),"""")"),"")</f>
        <v/>
      </c>
      <c r="G6507" s="2"/>
      <c r="H6507" s="2" t="str">
        <f>IFERROR(__xludf.DUMMYFUNCTION("IF(G6507&lt;&gt;"""", GOOGLETRANSLATE(G6507, ""en"", ""te""),"""")"),"")</f>
        <v/>
      </c>
      <c r="I6507" s="3"/>
    </row>
    <row r="6508" customHeight="1" spans="1:9">
      <c r="A6508" s="2"/>
      <c r="B6508" s="2" t="str">
        <f>IFERROR(__xludf.DUMMYFUNCTION("IF(A6508&lt;&gt;"""", GOOGLETRANSLATE(A6508, ""en"", ""te""),"""")"),"")</f>
        <v/>
      </c>
      <c r="C6508" s="2"/>
      <c r="D6508" s="2" t="str">
        <f>IFERROR(__xludf.DUMMYFUNCTION("IF(C6508&lt;&gt;"""", GOOGLETRANSLATE(C6508, ""en"", ""te""),"""")"),"")</f>
        <v/>
      </c>
      <c r="E6508" s="2"/>
      <c r="F6508" s="2" t="str">
        <f>IFERROR(__xludf.DUMMYFUNCTION("IF(E6508&lt;&gt;"""", GOOGLETRANSLATE(E6508, ""en"", ""te""),"""")"),"")</f>
        <v/>
      </c>
      <c r="G6508" s="2"/>
      <c r="H6508" s="2" t="str">
        <f>IFERROR(__xludf.DUMMYFUNCTION("IF(G6508&lt;&gt;"""", GOOGLETRANSLATE(G6508, ""en"", ""te""),"""")"),"")</f>
        <v/>
      </c>
      <c r="I6508" s="3"/>
    </row>
    <row r="6509" customHeight="1" spans="1:9">
      <c r="A6509" s="2"/>
      <c r="B6509" s="2" t="str">
        <f>IFERROR(__xludf.DUMMYFUNCTION("IF(A6509&lt;&gt;"""", GOOGLETRANSLATE(A6509, ""en"", ""te""),"""")"),"")</f>
        <v/>
      </c>
      <c r="C6509" s="2"/>
      <c r="D6509" s="2" t="str">
        <f>IFERROR(__xludf.DUMMYFUNCTION("IF(C6509&lt;&gt;"""", GOOGLETRANSLATE(C6509, ""en"", ""te""),"""")"),"")</f>
        <v/>
      </c>
      <c r="E6509" s="2"/>
      <c r="F6509" s="2" t="str">
        <f>IFERROR(__xludf.DUMMYFUNCTION("IF(E6509&lt;&gt;"""", GOOGLETRANSLATE(E6509, ""en"", ""te""),"""")"),"")</f>
        <v/>
      </c>
      <c r="G6509" s="2"/>
      <c r="H6509" s="2" t="str">
        <f>IFERROR(__xludf.DUMMYFUNCTION("IF(G6509&lt;&gt;"""", GOOGLETRANSLATE(G6509, ""en"", ""te""),"""")"),"")</f>
        <v/>
      </c>
      <c r="I6509" s="3"/>
    </row>
    <row r="6510" customHeight="1" spans="1:9">
      <c r="A6510" s="2" t="s">
        <v>3925</v>
      </c>
      <c r="B6510" s="2" t="str">
        <f>IFERROR(__xludf.DUMMYFUNCTION("IF(A6510&lt;&gt;"""", GOOGLETRANSLATE(A6510, ""en"", ""te""),"""")"),"[ 'వరుస 2 వ అత్యధిక వందలు (4)', 'ఒక ఇన్నింగ్స్లో ద్వారా బ్యాట్ నిదర్శన (152 *)', 'బ్యాటింగ్ తెరవడం మరియు అదే మ్యాచ్ లో బౌలింగ్', 'మూడో వికెట్ (451) 3 వ అత్యధిక భాగస్వామ్యం' '7 వ అత్యంత లేకుండా కెరీర్లో నడుస్తుంది వంద (2653)', '250 పరుగులు మరియు ఒక సిరీస్ల"&amp;"ో 10 వికెట్లు']")</f>
        <v>[ 'వరుస 2 వ అత్యధిక వందలు (4)', 'ఒక ఇన్నింగ్స్లో ద్వారా బ్యాట్ నిదర్శన (152 *)', 'బ్యాటింగ్ తెరవడం మరియు అదే మ్యాచ్ లో బౌలింగ్', 'మూడో వికెట్ (451) 3 వ అత్యధిక భాగస్వామ్యం' '7 వ అత్యంత లేకుండా కెరీర్లో నడుస్తుంది వంద (2653)', '250 పరుగులు మరియు ఒక సిరీస్లో 10 వికెట్లు']</v>
      </c>
      <c r="C6510" s="2" t="s">
        <v>3926</v>
      </c>
      <c r="D6510" s="2" t="str">
        <f>IFERROR(__xludf.DUMMYFUNCTION("IF(C6510&lt;&gt;"""", GOOGLETRANSLATE(C6510, ""en"", ""te""),"""")"),"[ '17 ఒక సిరీస్లో అత్యధిక పరుగులు (761)', 'వరుస 2 వ అత్యధిక వందలు (4)', 'వరుస ఇన్నింగ్స్లో 5 వ వందల (3)', 'వరుస మ్యాచ్లలో 21 వందల (3)', '38 వ కొట్టివేయబడింది 99 (199, 299 etc) (199) కోసం ',' 48 వ అత్యంత ఇన్నింగ్స్ తొలి డక్ ముందు (30) ',' 12 వ అత్యుత్తమ బౌ"&amp;"లింగ్ ఇన్నింగ్స్ ఏ వికెట్కు (3/8) ',' 4 వ అత్యధిక భాగస్వామ్య విశ్లేషించడం (451 ) ',' రెండవ వికెట్కు 48 వ అత్యధిక భాగస్వామ్యం (250) ',' మూడో వికెట్ (451 3 వ అత్యధిక భాగస్వామ్యం) ']")</f>
        <v>[ '17 ఒక సిరీస్లో అత్యధిక పరుగులు (761)', 'వరుస 2 వ అత్యధిక వందలు (4)', 'వరుస ఇన్నింగ్స్లో 5 వ వందల (3)', 'వరుస మ్యాచ్లలో 21 వందల (3)', '38 వ కొట్టివేయబడింది 99 (199, 299 etc) (199) కోసం ',' 48 వ అత్యంత ఇన్నింగ్స్ తొలి డక్ ముందు (30) ',' 12 వ అత్యుత్తమ బౌలింగ్ ఇన్నింగ్స్ ఏ వికెట్కు (3/8) ',' 4 వ అత్యధిక భాగస్వామ్య విశ్లేషించడం (451 ) ',' రెండవ వికెట్కు 48 వ అత్యధిక భాగస్వామ్యం (250) ',' మూడో వికెట్ (451 3 వ అత్యధిక భాగస్వామ్యం) ']</v>
      </c>
      <c r="E6510" s="2" t="s">
        <v>3927</v>
      </c>
      <c r="F6510" s="2" t="str">
        <f>IFERROR(__xludf.DUMMYFUNCTION("IF(E6510&lt;&gt;"""", GOOGLETRANSLATE(E6510, ""en"", ""te""),"""")"),"[ '7th చాలా వంద (2653) లేకుండా ఒక వృత్తిలో నడుస్తుంది' '12 వ ఉత్తమ సమ్మె ఇన్నింగ్స్ లో రేటు (6.0)']")</f>
        <v>[ '7th చాలా వంద (2653) లేకుండా ఒక వృత్తిలో నడుస్తుంది' '12 వ ఉత్తమ సమ్మె ఇన్నింగ్స్ లో రేటు (6.0)']</v>
      </c>
      <c r="G6510" s="2"/>
      <c r="H6510" s="2" t="str">
        <f>IFERROR(__xludf.DUMMYFUNCTION("IF(G6510&lt;&gt;"""", GOOGLETRANSLATE(G6510, ""en"", ""te""),"""")"),"")</f>
        <v/>
      </c>
      <c r="I6510" s="3"/>
    </row>
    <row r="6511" customHeight="1" spans="1:9">
      <c r="A6511" s="2"/>
      <c r="B6511" s="2" t="str">
        <f>IFERROR(__xludf.DUMMYFUNCTION("IF(A6511&lt;&gt;"""", GOOGLETRANSLATE(A6511, ""en"", ""te""),"""")"),"")</f>
        <v/>
      </c>
      <c r="C6511" s="2"/>
      <c r="D6511" s="2" t="str">
        <f>IFERROR(__xludf.DUMMYFUNCTION("IF(C6511&lt;&gt;"""", GOOGLETRANSLATE(C6511, ""en"", ""te""),"""")"),"")</f>
        <v/>
      </c>
      <c r="E6511" s="2"/>
      <c r="F6511" s="2" t="str">
        <f>IFERROR(__xludf.DUMMYFUNCTION("IF(E6511&lt;&gt;"""", GOOGLETRANSLATE(E6511, ""en"", ""te""),"""")"),"")</f>
        <v/>
      </c>
      <c r="G6511" s="2"/>
      <c r="H6511" s="2" t="str">
        <f>IFERROR(__xludf.DUMMYFUNCTION("IF(G6511&lt;&gt;"""", GOOGLETRANSLATE(G6511, ""en"", ""te""),"""")"),"")</f>
        <v/>
      </c>
      <c r="I6511" s="3"/>
    </row>
    <row r="6512" customHeight="1" spans="1:9">
      <c r="A6512" s="2"/>
      <c r="B6512" s="2" t="str">
        <f>IFERROR(__xludf.DUMMYFUNCTION("IF(A6512&lt;&gt;"""", GOOGLETRANSLATE(A6512, ""en"", ""te""),"""")"),"")</f>
        <v/>
      </c>
      <c r="C6512" s="2"/>
      <c r="D6512" s="2" t="str">
        <f>IFERROR(__xludf.DUMMYFUNCTION("IF(C6512&lt;&gt;"""", GOOGLETRANSLATE(C6512, ""en"", ""te""),"""")"),"")</f>
        <v/>
      </c>
      <c r="E6512" s="2"/>
      <c r="F6512" s="2" t="str">
        <f>IFERROR(__xludf.DUMMYFUNCTION("IF(E6512&lt;&gt;"""", GOOGLETRANSLATE(E6512, ""en"", ""te""),"""")"),"")</f>
        <v/>
      </c>
      <c r="G6512" s="2"/>
      <c r="H6512" s="2" t="str">
        <f>IFERROR(__xludf.DUMMYFUNCTION("IF(G6512&lt;&gt;"""", GOOGLETRANSLATE(G6512, ""en"", ""te""),"""")"),"")</f>
        <v/>
      </c>
      <c r="I6512" s="3"/>
    </row>
    <row r="6513" customHeight="1" spans="1:9">
      <c r="A6513" s="2"/>
      <c r="B6513" s="2" t="str">
        <f>IFERROR(__xludf.DUMMYFUNCTION("IF(A6513&lt;&gt;"""", GOOGLETRANSLATE(A6513, ""en"", ""te""),"""")"),"")</f>
        <v/>
      </c>
      <c r="C6513" s="2" t="s">
        <v>3928</v>
      </c>
      <c r="D6513" s="2" t="str">
        <f>IFERROR(__xludf.DUMMYFUNCTION("IF(C6513&lt;&gt;"""", GOOGLETRANSLATE(C6513, ""en"", ""te""),"""")"),"[ '49 వ లాంగెస్ట్ క్రీడాకారులు నివసించారు (91y 17d)']")</f>
        <v>[ '49 వ లాంగెస్ట్ క్రీడాకారులు నివసించారు (91y 17d)']</v>
      </c>
      <c r="E6513" s="2"/>
      <c r="F6513" s="2" t="str">
        <f>IFERROR(__xludf.DUMMYFUNCTION("IF(E6513&lt;&gt;"""", GOOGLETRANSLATE(E6513, ""en"", ""te""),"""")"),"")</f>
        <v/>
      </c>
      <c r="G6513" s="2"/>
      <c r="H6513" s="2" t="str">
        <f>IFERROR(__xludf.DUMMYFUNCTION("IF(G6513&lt;&gt;"""", GOOGLETRANSLATE(G6513, ""en"", ""te""),"""")"),"")</f>
        <v/>
      </c>
      <c r="I6513" s="3"/>
    </row>
    <row r="6514" customHeight="1" spans="1:9">
      <c r="A6514" s="2"/>
      <c r="B6514" s="2" t="str">
        <f>IFERROR(__xludf.DUMMYFUNCTION("IF(A6514&lt;&gt;"""", GOOGLETRANSLATE(A6514, ""en"", ""te""),"""")"),"")</f>
        <v/>
      </c>
      <c r="C6514" s="2"/>
      <c r="D6514" s="2" t="str">
        <f>IFERROR(__xludf.DUMMYFUNCTION("IF(C6514&lt;&gt;"""", GOOGLETRANSLATE(C6514, ""en"", ""te""),"""")"),"")</f>
        <v/>
      </c>
      <c r="E6514" s="2"/>
      <c r="F6514" s="2" t="str">
        <f>IFERROR(__xludf.DUMMYFUNCTION("IF(E6514&lt;&gt;"""", GOOGLETRANSLATE(E6514, ""en"", ""te""),"""")"),"")</f>
        <v/>
      </c>
      <c r="G6514" s="2" t="s">
        <v>3929</v>
      </c>
      <c r="H6514" s="2" t="str">
        <f>IFERROR(__xludf.DUMMYFUNCTION("IF(G6514&lt;&gt;"""", GOOGLETRANSLATE(G6514, ""en"", ""te""),"""")"),"[ '33 వ వరుస మ్యాచ్లు ప్రదర్శనల మధ్య బృందం (41) కోసం తప్పిన']")</f>
        <v>[ '33 వ వరుస మ్యాచ్లు ప్రదర్శనల మధ్య బృందం (41) కోసం తప్పిన']</v>
      </c>
      <c r="I6514" s="3"/>
    </row>
    <row r="6515" customHeight="1" spans="1:9">
      <c r="A6515" s="2"/>
      <c r="B6515" s="2" t="str">
        <f>IFERROR(__xludf.DUMMYFUNCTION("IF(A6515&lt;&gt;"""", GOOGLETRANSLATE(A6515, ""en"", ""te""),"""")"),"")</f>
        <v/>
      </c>
      <c r="C6515" s="2"/>
      <c r="D6515" s="2" t="str">
        <f>IFERROR(__xludf.DUMMYFUNCTION("IF(C6515&lt;&gt;"""", GOOGLETRANSLATE(C6515, ""en"", ""te""),"""")"),"")</f>
        <v/>
      </c>
      <c r="E6515" s="2"/>
      <c r="F6515" s="2" t="str">
        <f>IFERROR(__xludf.DUMMYFUNCTION("IF(E6515&lt;&gt;"""", GOOGLETRANSLATE(E6515, ""en"", ""te""),"""")"),"")</f>
        <v/>
      </c>
      <c r="G6515" s="2"/>
      <c r="H6515" s="2" t="str">
        <f>IFERROR(__xludf.DUMMYFUNCTION("IF(G6515&lt;&gt;"""", GOOGLETRANSLATE(G6515, ""en"", ""te""),"""")"),"")</f>
        <v/>
      </c>
      <c r="I6515" s="3"/>
    </row>
    <row r="6516" customHeight="1" spans="1:9">
      <c r="A6516" s="2"/>
      <c r="B6516" s="2" t="str">
        <f>IFERROR(__xludf.DUMMYFUNCTION("IF(A6516&lt;&gt;"""", GOOGLETRANSLATE(A6516, ""en"", ""te""),"""")"),"")</f>
        <v/>
      </c>
      <c r="C6516" s="2"/>
      <c r="D6516" s="2" t="str">
        <f>IFERROR(__xludf.DUMMYFUNCTION("IF(C6516&lt;&gt;"""", GOOGLETRANSLATE(C6516, ""en"", ""te""),"""")"),"")</f>
        <v/>
      </c>
      <c r="E6516" s="2"/>
      <c r="F6516" s="2" t="str">
        <f>IFERROR(__xludf.DUMMYFUNCTION("IF(E6516&lt;&gt;"""", GOOGLETRANSLATE(E6516, ""en"", ""te""),"""")"),"")</f>
        <v/>
      </c>
      <c r="G6516" s="2"/>
      <c r="H6516" s="2" t="str">
        <f>IFERROR(__xludf.DUMMYFUNCTION("IF(G6516&lt;&gt;"""", GOOGLETRANSLATE(G6516, ""en"", ""te""),"""")"),"")</f>
        <v/>
      </c>
      <c r="I6516" s="3"/>
    </row>
    <row r="6517" customHeight="1" spans="1:9">
      <c r="A6517" s="2"/>
      <c r="B6517" s="2" t="str">
        <f>IFERROR(__xludf.DUMMYFUNCTION("IF(A6517&lt;&gt;"""", GOOGLETRANSLATE(A6517, ""en"", ""te""),"""")"),"")</f>
        <v/>
      </c>
      <c r="C6517" s="2"/>
      <c r="D6517" s="2" t="str">
        <f>IFERROR(__xludf.DUMMYFUNCTION("IF(C6517&lt;&gt;"""", GOOGLETRANSLATE(C6517, ""en"", ""te""),"""")"),"")</f>
        <v/>
      </c>
      <c r="E6517" s="2"/>
      <c r="F6517" s="2" t="str">
        <f>IFERROR(__xludf.DUMMYFUNCTION("IF(E6517&lt;&gt;"""", GOOGLETRANSLATE(E6517, ""en"", ""te""),"""")"),"")</f>
        <v/>
      </c>
      <c r="G6517" s="2"/>
      <c r="H6517" s="2" t="str">
        <f>IFERROR(__xludf.DUMMYFUNCTION("IF(G6517&lt;&gt;"""", GOOGLETRANSLATE(G6517, ""en"", ""te""),"""")"),"")</f>
        <v/>
      </c>
      <c r="I6517" s="3"/>
    </row>
    <row r="6518" customHeight="1" spans="1:9">
      <c r="A6518" s="2"/>
      <c r="B6518" s="2" t="str">
        <f>IFERROR(__xludf.DUMMYFUNCTION("IF(A6518&lt;&gt;"""", GOOGLETRANSLATE(A6518, ""en"", ""te""),"""")"),"")</f>
        <v/>
      </c>
      <c r="C6518" s="2"/>
      <c r="D6518" s="2" t="str">
        <f>IFERROR(__xludf.DUMMYFUNCTION("IF(C6518&lt;&gt;"""", GOOGLETRANSLATE(C6518, ""en"", ""te""),"""")"),"")</f>
        <v/>
      </c>
      <c r="E6518" s="2" t="s">
        <v>3930</v>
      </c>
      <c r="F6518" s="2" t="str">
        <f>IFERROR(__xludf.DUMMYFUNCTION("IF(E6518&lt;&gt;"""", GOOGLETRANSLATE(E6518, ""en"", ""te""),"""")"),"[ 'మూడో వికెట్కు (205) కోసం 29 అత్యధిక భాగస్వామ్యం']")</f>
        <v>[ 'మూడో వికెట్కు (205) కోసం 29 అత్యధిక భాగస్వామ్యం']</v>
      </c>
      <c r="G6518" s="2"/>
      <c r="H6518" s="2" t="str">
        <f>IFERROR(__xludf.DUMMYFUNCTION("IF(G6518&lt;&gt;"""", GOOGLETRANSLATE(G6518, ""en"", ""te""),"""")"),"")</f>
        <v/>
      </c>
      <c r="I6518" s="3"/>
    </row>
    <row r="6519" customHeight="1" spans="1:9">
      <c r="A6519" s="2"/>
      <c r="B6519" s="2" t="str">
        <f>IFERROR(__xludf.DUMMYFUNCTION("IF(A6519&lt;&gt;"""", GOOGLETRANSLATE(A6519, ""en"", ""te""),"""")"),"")</f>
        <v/>
      </c>
      <c r="C6519" s="2"/>
      <c r="D6519" s="2" t="str">
        <f>IFERROR(__xludf.DUMMYFUNCTION("IF(C6519&lt;&gt;"""", GOOGLETRANSLATE(C6519, ""en"", ""te""),"""")"),"")</f>
        <v/>
      </c>
      <c r="E6519" s="2"/>
      <c r="F6519" s="2" t="str">
        <f>IFERROR(__xludf.DUMMYFUNCTION("IF(E6519&lt;&gt;"""", GOOGLETRANSLATE(E6519, ""en"", ""te""),"""")"),"")</f>
        <v/>
      </c>
      <c r="G6519" s="2"/>
      <c r="H6519" s="2" t="str">
        <f>IFERROR(__xludf.DUMMYFUNCTION("IF(G6519&lt;&gt;"""", GOOGLETRANSLATE(G6519, ""en"", ""te""),"""")"),"")</f>
        <v/>
      </c>
      <c r="I6519" s="3"/>
    </row>
    <row r="6520" customHeight="1" spans="1:9">
      <c r="A6520" s="2"/>
      <c r="B6520" s="2" t="str">
        <f>IFERROR(__xludf.DUMMYFUNCTION("IF(A6520&lt;&gt;"""", GOOGLETRANSLATE(A6520, ""en"", ""te""),"""")"),"")</f>
        <v/>
      </c>
      <c r="C6520" s="2"/>
      <c r="D6520" s="2" t="str">
        <f>IFERROR(__xludf.DUMMYFUNCTION("IF(C6520&lt;&gt;"""", GOOGLETRANSLATE(C6520, ""en"", ""te""),"""")"),"")</f>
        <v/>
      </c>
      <c r="E6520" s="2"/>
      <c r="F6520" s="2" t="str">
        <f>IFERROR(__xludf.DUMMYFUNCTION("IF(E6520&lt;&gt;"""", GOOGLETRANSLATE(E6520, ""en"", ""te""),"""")"),"")</f>
        <v/>
      </c>
      <c r="G6520" s="2"/>
      <c r="H6520" s="2" t="str">
        <f>IFERROR(__xludf.DUMMYFUNCTION("IF(G6520&lt;&gt;"""", GOOGLETRANSLATE(G6520, ""en"", ""te""),"""")"),"")</f>
        <v/>
      </c>
      <c r="I6520" s="3"/>
    </row>
    <row r="6521" customHeight="1" spans="1:9">
      <c r="A6521" s="2"/>
      <c r="B6521" s="2" t="str">
        <f>IFERROR(__xludf.DUMMYFUNCTION("IF(A6521&lt;&gt;"""", GOOGLETRANSLATE(A6521, ""en"", ""te""),"""")"),"")</f>
        <v/>
      </c>
      <c r="C6521" s="2"/>
      <c r="D6521" s="2" t="str">
        <f>IFERROR(__xludf.DUMMYFUNCTION("IF(C6521&lt;&gt;"""", GOOGLETRANSLATE(C6521, ""en"", ""te""),"""")"),"")</f>
        <v/>
      </c>
      <c r="E6521" s="2"/>
      <c r="F6521" s="2" t="str">
        <f>IFERROR(__xludf.DUMMYFUNCTION("IF(E6521&lt;&gt;"""", GOOGLETRANSLATE(E6521, ""en"", ""te""),"""")"),"")</f>
        <v/>
      </c>
      <c r="G6521" s="2"/>
      <c r="H6521" s="2" t="str">
        <f>IFERROR(__xludf.DUMMYFUNCTION("IF(G6521&lt;&gt;"""", GOOGLETRANSLATE(G6521, ""en"", ""te""),"""")"),"")</f>
        <v/>
      </c>
      <c r="I6521" s="3"/>
    </row>
    <row r="6522" customHeight="1" spans="1:9">
      <c r="A6522" s="2"/>
      <c r="B6522" s="2" t="str">
        <f>IFERROR(__xludf.DUMMYFUNCTION("IF(A6522&lt;&gt;"""", GOOGLETRANSLATE(A6522, ""en"", ""te""),"""")"),"")</f>
        <v/>
      </c>
      <c r="C6522" s="2"/>
      <c r="D6522" s="2" t="str">
        <f>IFERROR(__xludf.DUMMYFUNCTION("IF(C6522&lt;&gt;"""", GOOGLETRANSLATE(C6522, ""en"", ""te""),"""")"),"")</f>
        <v/>
      </c>
      <c r="E6522" s="2"/>
      <c r="F6522" s="2" t="str">
        <f>IFERROR(__xludf.DUMMYFUNCTION("IF(E6522&lt;&gt;"""", GOOGLETRANSLATE(E6522, ""en"", ""te""),"""")"),"")</f>
        <v/>
      </c>
      <c r="G6522" s="2"/>
      <c r="H6522" s="2" t="str">
        <f>IFERROR(__xludf.DUMMYFUNCTION("IF(G6522&lt;&gt;"""", GOOGLETRANSLATE(G6522, ""en"", ""te""),"""")"),"")</f>
        <v/>
      </c>
      <c r="I6522" s="3"/>
    </row>
    <row r="6523" customHeight="1" spans="1:9">
      <c r="A6523" s="2"/>
      <c r="B6523" s="2" t="str">
        <f>IFERROR(__xludf.DUMMYFUNCTION("IF(A6523&lt;&gt;"""", GOOGLETRANSLATE(A6523, ""en"", ""te""),"""")"),"")</f>
        <v/>
      </c>
      <c r="C6523" s="2"/>
      <c r="D6523" s="2" t="str">
        <f>IFERROR(__xludf.DUMMYFUNCTION("IF(C6523&lt;&gt;"""", GOOGLETRANSLATE(C6523, ""en"", ""te""),"""")"),"")</f>
        <v/>
      </c>
      <c r="E6523" s="2"/>
      <c r="F6523" s="2" t="str">
        <f>IFERROR(__xludf.DUMMYFUNCTION("IF(E6523&lt;&gt;"""", GOOGLETRANSLATE(E6523, ""en"", ""te""),"""")"),"")</f>
        <v/>
      </c>
      <c r="G6523" s="2"/>
      <c r="H6523" s="2" t="str">
        <f>IFERROR(__xludf.DUMMYFUNCTION("IF(G6523&lt;&gt;"""", GOOGLETRANSLATE(G6523, ""en"", ""te""),"""")"),"")</f>
        <v/>
      </c>
      <c r="I6523" s="3"/>
    </row>
    <row r="6524" customHeight="1" spans="1:9">
      <c r="A6524" s="2"/>
      <c r="B6524" s="2" t="str">
        <f>IFERROR(__xludf.DUMMYFUNCTION("IF(A6524&lt;&gt;"""", GOOGLETRANSLATE(A6524, ""en"", ""te""),"""")"),"")</f>
        <v/>
      </c>
      <c r="C6524" s="2"/>
      <c r="D6524" s="2" t="str">
        <f>IFERROR(__xludf.DUMMYFUNCTION("IF(C6524&lt;&gt;"""", GOOGLETRANSLATE(C6524, ""en"", ""te""),"""")"),"")</f>
        <v/>
      </c>
      <c r="E6524" s="2"/>
      <c r="F6524" s="2" t="str">
        <f>IFERROR(__xludf.DUMMYFUNCTION("IF(E6524&lt;&gt;"""", GOOGLETRANSLATE(E6524, ""en"", ""te""),"""")"),"")</f>
        <v/>
      </c>
      <c r="G6524" s="2"/>
      <c r="H6524" s="2" t="str">
        <f>IFERROR(__xludf.DUMMYFUNCTION("IF(G6524&lt;&gt;"""", GOOGLETRANSLATE(G6524, ""en"", ""te""),"""")"),"")</f>
        <v/>
      </c>
      <c r="I6524" s="3"/>
    </row>
    <row r="6525" customHeight="1" spans="1:9">
      <c r="A6525" s="2"/>
      <c r="B6525" s="2" t="str">
        <f>IFERROR(__xludf.DUMMYFUNCTION("IF(A6525&lt;&gt;"""", GOOGLETRANSLATE(A6525, ""en"", ""te""),"""")"),"")</f>
        <v/>
      </c>
      <c r="C6525" s="2"/>
      <c r="D6525" s="2" t="str">
        <f>IFERROR(__xludf.DUMMYFUNCTION("IF(C6525&lt;&gt;"""", GOOGLETRANSLATE(C6525, ""en"", ""te""),"""")"),"")</f>
        <v/>
      </c>
      <c r="E6525" s="2"/>
      <c r="F6525" s="2" t="str">
        <f>IFERROR(__xludf.DUMMYFUNCTION("IF(E6525&lt;&gt;"""", GOOGLETRANSLATE(E6525, ""en"", ""te""),"""")"),"")</f>
        <v/>
      </c>
      <c r="G6525" s="2"/>
      <c r="H6525" s="2" t="str">
        <f>IFERROR(__xludf.DUMMYFUNCTION("IF(G6525&lt;&gt;"""", GOOGLETRANSLATE(G6525, ""en"", ""te""),"""")"),"")</f>
        <v/>
      </c>
      <c r="I6525" s="3"/>
    </row>
    <row r="6526" customHeight="1" spans="1:9">
      <c r="A6526" s="2"/>
      <c r="B6526" s="2" t="str">
        <f>IFERROR(__xludf.DUMMYFUNCTION("IF(A6526&lt;&gt;"""", GOOGLETRANSLATE(A6526, ""en"", ""te""),"""")"),"")</f>
        <v/>
      </c>
      <c r="C6526" s="2"/>
      <c r="D6526" s="2" t="str">
        <f>IFERROR(__xludf.DUMMYFUNCTION("IF(C6526&lt;&gt;"""", GOOGLETRANSLATE(C6526, ""en"", ""te""),"""")"),"")</f>
        <v/>
      </c>
      <c r="E6526" s="2"/>
      <c r="F6526" s="2" t="str">
        <f>IFERROR(__xludf.DUMMYFUNCTION("IF(E6526&lt;&gt;"""", GOOGLETRANSLATE(E6526, ""en"", ""te""),"""")"),"")</f>
        <v/>
      </c>
      <c r="G6526" s="2"/>
      <c r="H6526" s="2" t="str">
        <f>IFERROR(__xludf.DUMMYFUNCTION("IF(G6526&lt;&gt;"""", GOOGLETRANSLATE(G6526, ""en"", ""te""),"""")"),"")</f>
        <v/>
      </c>
      <c r="I6526" s="3"/>
    </row>
    <row r="6527" customHeight="1" spans="1:9">
      <c r="A6527" s="2" t="s">
        <v>3931</v>
      </c>
      <c r="B6527" s="2" t="str">
        <f>IFERROR(__xludf.DUMMYFUNCTION("IF(A6527&lt;&gt;"""", GOOGLETRANSLATE(A6527, ""en"", ""te""),"""")"),"[ '9 వ పిన్న ఆటగాడు వంద (19y 21d) స్కోర్']")</f>
        <v>[ '9 వ పిన్న ఆటగాడు వంద (19y 21d) స్కోర్']</v>
      </c>
      <c r="C6527" s="2" t="s">
        <v>3931</v>
      </c>
      <c r="D6527" s="2" t="str">
        <f>IFERROR(__xludf.DUMMYFUNCTION("IF(C6527&lt;&gt;"""", GOOGLETRANSLATE(C6527, ""en"", ""te""),"""")"),"[ '9 వ పిన్న ఆటగాడు వంద (19y 21d) స్కోర్']")</f>
        <v>[ '9 వ పిన్న ఆటగాడు వంద (19y 21d) స్కోర్']</v>
      </c>
      <c r="E6527" s="2"/>
      <c r="F6527" s="2" t="str">
        <f>IFERROR(__xludf.DUMMYFUNCTION("IF(E6527&lt;&gt;"""", GOOGLETRANSLATE(E6527, ""en"", ""te""),"""")"),"")</f>
        <v/>
      </c>
      <c r="G6527" s="2"/>
      <c r="H6527" s="2" t="str">
        <f>IFERROR(__xludf.DUMMYFUNCTION("IF(G6527&lt;&gt;"""", GOOGLETRANSLATE(G6527, ""en"", ""te""),"""")"),"")</f>
        <v/>
      </c>
      <c r="I6527" s="3"/>
    </row>
    <row r="6528" customHeight="1" spans="1:9">
      <c r="A6528" s="2"/>
      <c r="B6528" s="2" t="str">
        <f>IFERROR(__xludf.DUMMYFUNCTION("IF(A6528&lt;&gt;"""", GOOGLETRANSLATE(A6528, ""en"", ""te""),"""")"),"")</f>
        <v/>
      </c>
      <c r="C6528" s="2"/>
      <c r="D6528" s="2" t="str">
        <f>IFERROR(__xludf.DUMMYFUNCTION("IF(C6528&lt;&gt;"""", GOOGLETRANSLATE(C6528, ""en"", ""te""),"""")"),"")</f>
        <v/>
      </c>
      <c r="E6528" s="2"/>
      <c r="F6528" s="2" t="str">
        <f>IFERROR(__xludf.DUMMYFUNCTION("IF(E6528&lt;&gt;"""", GOOGLETRANSLATE(E6528, ""en"", ""te""),"""")"),"")</f>
        <v/>
      </c>
      <c r="G6528" s="2"/>
      <c r="H6528" s="2" t="str">
        <f>IFERROR(__xludf.DUMMYFUNCTION("IF(G6528&lt;&gt;"""", GOOGLETRANSLATE(G6528, ""en"", ""te""),"""")"),"")</f>
        <v/>
      </c>
      <c r="I6528" s="3"/>
    </row>
    <row r="6529" customHeight="1" spans="1:9">
      <c r="A6529" s="2"/>
      <c r="B6529" s="2" t="str">
        <f>IFERROR(__xludf.DUMMYFUNCTION("IF(A6529&lt;&gt;"""", GOOGLETRANSLATE(A6529, ""en"", ""te""),"""")"),"")</f>
        <v/>
      </c>
      <c r="C6529" s="2"/>
      <c r="D6529" s="2" t="str">
        <f>IFERROR(__xludf.DUMMYFUNCTION("IF(C6529&lt;&gt;"""", GOOGLETRANSLATE(C6529, ""en"", ""te""),"""")"),"")</f>
        <v/>
      </c>
      <c r="E6529" s="2" t="s">
        <v>3932</v>
      </c>
      <c r="F6529" s="2" t="str">
        <f>IFERROR(__xludf.DUMMYFUNCTION("IF(E6529&lt;&gt;"""", GOOGLETRANSLATE(E6529, ""en"", ""te""),"""")"),"[ '17 వ పిన్న ఆటగాడు ఐదు వికెట్ల లో-ఒక-ఇన్నింగ్స్ తీసుకోవాలని (20y 212d)']")</f>
        <v>[ '17 వ పిన్న ఆటగాడు ఐదు వికెట్ల లో-ఒక-ఇన్నింగ్స్ తీసుకోవాలని (20y 212d)']</v>
      </c>
      <c r="G6529" s="2"/>
      <c r="H6529" s="2" t="str">
        <f>IFERROR(__xludf.DUMMYFUNCTION("IF(G6529&lt;&gt;"""", GOOGLETRANSLATE(G6529, ""en"", ""te""),"""")"),"")</f>
        <v/>
      </c>
      <c r="I6529" s="3"/>
    </row>
    <row r="6530" customHeight="1" spans="1:9">
      <c r="A6530" s="2"/>
      <c r="B6530" s="2" t="str">
        <f>IFERROR(__xludf.DUMMYFUNCTION("IF(A6530&lt;&gt;"""", GOOGLETRANSLATE(A6530, ""en"", ""te""),"""")"),"")</f>
        <v/>
      </c>
      <c r="C6530" s="2"/>
      <c r="D6530" s="2" t="str">
        <f>IFERROR(__xludf.DUMMYFUNCTION("IF(C6530&lt;&gt;"""", GOOGLETRANSLATE(C6530, ""en"", ""te""),"""")"),"")</f>
        <v/>
      </c>
      <c r="E6530" s="2"/>
      <c r="F6530" s="2" t="str">
        <f>IFERROR(__xludf.DUMMYFUNCTION("IF(E6530&lt;&gt;"""", GOOGLETRANSLATE(E6530, ""en"", ""te""),"""")"),"")</f>
        <v/>
      </c>
      <c r="G6530" s="2"/>
      <c r="H6530" s="2" t="str">
        <f>IFERROR(__xludf.DUMMYFUNCTION("IF(G6530&lt;&gt;"""", GOOGLETRANSLATE(G6530, ""en"", ""te""),"""")"),"")</f>
        <v/>
      </c>
      <c r="I6530" s="3"/>
    </row>
    <row r="6531" customHeight="1" spans="1:9">
      <c r="A6531" s="2"/>
      <c r="B6531" s="2" t="str">
        <f>IFERROR(__xludf.DUMMYFUNCTION("IF(A6531&lt;&gt;"""", GOOGLETRANSLATE(A6531, ""en"", ""te""),"""")"),"")</f>
        <v/>
      </c>
      <c r="C6531" s="2"/>
      <c r="D6531" s="2" t="str">
        <f>IFERROR(__xludf.DUMMYFUNCTION("IF(C6531&lt;&gt;"""", GOOGLETRANSLATE(C6531, ""en"", ""te""),"""")"),"")</f>
        <v/>
      </c>
      <c r="E6531" s="2"/>
      <c r="F6531" s="2" t="str">
        <f>IFERROR(__xludf.DUMMYFUNCTION("IF(E6531&lt;&gt;"""", GOOGLETRANSLATE(E6531, ""en"", ""te""),"""")"),"")</f>
        <v/>
      </c>
      <c r="G6531" s="2"/>
      <c r="H6531" s="2" t="str">
        <f>IFERROR(__xludf.DUMMYFUNCTION("IF(G6531&lt;&gt;"""", GOOGLETRANSLATE(G6531, ""en"", ""te""),"""")"),"")</f>
        <v/>
      </c>
      <c r="I6531" s="3"/>
    </row>
    <row r="6532" customHeight="1" spans="1:9">
      <c r="A6532" s="2"/>
      <c r="B6532" s="2" t="str">
        <f>IFERROR(__xludf.DUMMYFUNCTION("IF(A6532&lt;&gt;"""", GOOGLETRANSLATE(A6532, ""en"", ""te""),"""")"),"")</f>
        <v/>
      </c>
      <c r="C6532" s="2"/>
      <c r="D6532" s="2" t="str">
        <f>IFERROR(__xludf.DUMMYFUNCTION("IF(C6532&lt;&gt;"""", GOOGLETRANSLATE(C6532, ""en"", ""te""),"""")"),"")</f>
        <v/>
      </c>
      <c r="E6532" s="2" t="s">
        <v>3933</v>
      </c>
      <c r="F6532" s="2" t="str">
        <f>IFERROR(__xludf.DUMMYFUNCTION("IF(E6532&lt;&gt;"""", GOOGLETRANSLATE(E6532, ""en"", ""te""),"""")"),"[ '11 వ ఉత్తమ కెరీర్ బౌలింగ్ సరాసరి (అర్హత లేకుండా) (6.00)']")</f>
        <v>[ '11 వ ఉత్తమ కెరీర్ బౌలింగ్ సరాసరి (అర్హత లేకుండా) (6.00)']</v>
      </c>
      <c r="G6532" s="2"/>
      <c r="H6532" s="2" t="str">
        <f>IFERROR(__xludf.DUMMYFUNCTION("IF(G6532&lt;&gt;"""", GOOGLETRANSLATE(G6532, ""en"", ""te""),"""")"),"")</f>
        <v/>
      </c>
      <c r="I6532" s="3"/>
    </row>
    <row r="6533" customHeight="1" spans="1:9">
      <c r="A6533" s="2" t="s">
        <v>3934</v>
      </c>
      <c r="B6533" s="2" t="str">
        <f>IFERROR(__xludf.DUMMYFUNCTION("IF(A6533&lt;&gt;"""", GOOGLETRANSLATE(A6533, ""en"", ""te""),"""")"),"[ 'హండ్రెడ్ మరియు ఒక మ్యాచ్లో తొంభై', '2 వ అసాధారణ వికెట్లు (bal నిర్వహించింది)', '3 వ లాంగెస్ట్ వ్యక్తిగత ఇన్నింగ్స్ (బంతులతో) (176)', '5 వ ఉత్తమ కెరీర్ (5.00) (అర్హత లేకుండా) సగటు బౌలింగ్' ]")</f>
        <v>[ 'హండ్రెడ్ మరియు ఒక మ్యాచ్లో తొంభై', '2 వ అసాధారణ వికెట్లు (bal నిర్వహించింది)', '3 వ లాంగెస్ట్ వ్యక్తిగత ఇన్నింగ్స్ (బంతులతో) (176)', '5 వ ఉత్తమ కెరీర్ (5.00) (అర్హత లేకుండా) సగటు బౌలింగ్' ]</v>
      </c>
      <c r="C6533" s="2" t="s">
        <v>3935</v>
      </c>
      <c r="D6533" s="2" t="str">
        <f>IFERROR(__xludf.DUMMYFUNCTION("IF(C6533&lt;&gt;"""", GOOGLETRANSLATE(C6533, ""en"", ""te""),"""")"),"[40 వ కెరీర్ లో అతి తక్కువ బాతులు (26.33) ',' 2 వ అసాధారణ వికెట్లు (bal నిర్వహించింది) ']")</f>
        <v>[40 వ కెరీర్ లో అతి తక్కువ బాతులు (26.33) ',' 2 వ అసాధారణ వికెట్లు (bal నిర్వహించింది) ']</v>
      </c>
      <c r="E6533" s="2" t="s">
        <v>3936</v>
      </c>
      <c r="F6533" s="2" t="str">
        <f>IFERROR(__xludf.DUMMYFUNCTION("IF(E6533&lt;&gt;"""", GOOGLETRANSLATE(E6533, ""en"", ""te""),"""")"),"[ '3 వ లాంగెస్ట్ వ్యక్తిగత ఇన్నింగ్స్ (బంతులతో) (176)', '5 వ ఉత్తమ కెరీర్ బౌలింగ్ సరాసరి (అర్హత లేకుండా) (5.00)', 'రెండవ వికెట్ (205) కోసం 33 వ అత్యధిక భాగస్వామ్యం']")</f>
        <v>[ '3 వ లాంగెస్ట్ వ్యక్తిగత ఇన్నింగ్స్ (బంతులతో) (176)', '5 వ ఉత్తమ కెరీర్ బౌలింగ్ సరాసరి (అర్హత లేకుండా) (5.00)', 'రెండవ వికెట్ (205) కోసం 33 వ అత్యధిక భాగస్వామ్యం']</v>
      </c>
      <c r="G6533" s="2"/>
      <c r="H6533" s="2" t="str">
        <f>IFERROR(__xludf.DUMMYFUNCTION("IF(G6533&lt;&gt;"""", GOOGLETRANSLATE(G6533, ""en"", ""te""),"""")"),"")</f>
        <v/>
      </c>
      <c r="I6533" s="3"/>
    </row>
    <row r="6534" customHeight="1" spans="1:9">
      <c r="A6534" s="2"/>
      <c r="B6534" s="2" t="str">
        <f>IFERROR(__xludf.DUMMYFUNCTION("IF(A6534&lt;&gt;"""", GOOGLETRANSLATE(A6534, ""en"", ""te""),"""")"),"")</f>
        <v/>
      </c>
      <c r="C6534" s="2"/>
      <c r="D6534" s="2" t="str">
        <f>IFERROR(__xludf.DUMMYFUNCTION("IF(C6534&lt;&gt;"""", GOOGLETRANSLATE(C6534, ""en"", ""te""),"""")"),"")</f>
        <v/>
      </c>
      <c r="E6534" s="2"/>
      <c r="F6534" s="2" t="str">
        <f>IFERROR(__xludf.DUMMYFUNCTION("IF(E6534&lt;&gt;"""", GOOGLETRANSLATE(E6534, ""en"", ""te""),"""")"),"")</f>
        <v/>
      </c>
      <c r="G6534" s="2"/>
      <c r="H6534" s="2" t="str">
        <f>IFERROR(__xludf.DUMMYFUNCTION("IF(G6534&lt;&gt;"""", GOOGLETRANSLATE(G6534, ""en"", ""te""),"""")"),"")</f>
        <v/>
      </c>
      <c r="I6534" s="3"/>
    </row>
    <row r="6535" customHeight="1" spans="1:9">
      <c r="A6535" s="2"/>
      <c r="B6535" s="2" t="str">
        <f>IFERROR(__xludf.DUMMYFUNCTION("IF(A6535&lt;&gt;"""", GOOGLETRANSLATE(A6535, ""en"", ""te""),"""")"),"")</f>
        <v/>
      </c>
      <c r="C6535" s="2"/>
      <c r="D6535" s="2" t="str">
        <f>IFERROR(__xludf.DUMMYFUNCTION("IF(C6535&lt;&gt;"""", GOOGLETRANSLATE(C6535, ""en"", ""te""),"""")"),"")</f>
        <v/>
      </c>
      <c r="E6535" s="2"/>
      <c r="F6535" s="2" t="str">
        <f>IFERROR(__xludf.DUMMYFUNCTION("IF(E6535&lt;&gt;"""", GOOGLETRANSLATE(E6535, ""en"", ""te""),"""")"),"")</f>
        <v/>
      </c>
      <c r="G6535" s="2"/>
      <c r="H6535" s="2" t="str">
        <f>IFERROR(__xludf.DUMMYFUNCTION("IF(G6535&lt;&gt;"""", GOOGLETRANSLATE(G6535, ""en"", ""te""),"""")"),"")</f>
        <v/>
      </c>
      <c r="I6535" s="3"/>
    </row>
    <row r="6536" customHeight="1" spans="1:9">
      <c r="A6536" s="2"/>
      <c r="B6536" s="2" t="str">
        <f>IFERROR(__xludf.DUMMYFUNCTION("IF(A6536&lt;&gt;"""", GOOGLETRANSLATE(A6536, ""en"", ""te""),"""")"),"")</f>
        <v/>
      </c>
      <c r="C6536" s="2"/>
      <c r="D6536" s="2" t="str">
        <f>IFERROR(__xludf.DUMMYFUNCTION("IF(C6536&lt;&gt;"""", GOOGLETRANSLATE(C6536, ""en"", ""te""),"""")"),"")</f>
        <v/>
      </c>
      <c r="E6536" s="2"/>
      <c r="F6536" s="2" t="str">
        <f>IFERROR(__xludf.DUMMYFUNCTION("IF(E6536&lt;&gt;"""", GOOGLETRANSLATE(E6536, ""en"", ""te""),"""")"),"")</f>
        <v/>
      </c>
      <c r="G6536" s="2"/>
      <c r="H6536" s="2" t="str">
        <f>IFERROR(__xludf.DUMMYFUNCTION("IF(G6536&lt;&gt;"""", GOOGLETRANSLATE(G6536, ""en"", ""te""),"""")"),"")</f>
        <v/>
      </c>
      <c r="I6536" s="3"/>
    </row>
    <row r="6537" customHeight="1" spans="1:9">
      <c r="A6537" s="2"/>
      <c r="B6537" s="2" t="str">
        <f>IFERROR(__xludf.DUMMYFUNCTION("IF(A6537&lt;&gt;"""", GOOGLETRANSLATE(A6537, ""en"", ""te""),"""")"),"")</f>
        <v/>
      </c>
      <c r="C6537" s="2"/>
      <c r="D6537" s="2" t="str">
        <f>IFERROR(__xludf.DUMMYFUNCTION("IF(C6537&lt;&gt;"""", GOOGLETRANSLATE(C6537, ""en"", ""te""),"""")"),"")</f>
        <v/>
      </c>
      <c r="E6537" s="2"/>
      <c r="F6537" s="2" t="str">
        <f>IFERROR(__xludf.DUMMYFUNCTION("IF(E6537&lt;&gt;"""", GOOGLETRANSLATE(E6537, ""en"", ""te""),"""")"),"")</f>
        <v/>
      </c>
      <c r="G6537" s="2"/>
      <c r="H6537" s="2" t="str">
        <f>IFERROR(__xludf.DUMMYFUNCTION("IF(G6537&lt;&gt;"""", GOOGLETRANSLATE(G6537, ""en"", ""te""),"""")"),"")</f>
        <v/>
      </c>
      <c r="I6537" s="3"/>
    </row>
    <row r="6538" customHeight="1" spans="1:9">
      <c r="A6538" s="2" t="s">
        <v>3937</v>
      </c>
      <c r="B6538" s="2" t="str">
        <f>IFERROR(__xludf.DUMMYFUNCTION("IF(A6538&lt;&gt;"""", GOOGLETRANSLATE(A6538, ""en"", ""te""),"""")"),"[ '8 వ వేగవంతమైన 7000 పరుగులు (139)' '1st చాలా క్యాలెండర్ సంవత్సరంలో పరుగులు (1788)', 'హండ్రెడ్ ఒక మ్యాచ్లో ప్రతి ఇన్నింగ్స్లో', 'వరుస ఇన్నింగ్స్లో 7 వ యాభైల్లో (6)', '5000 పరుగులు మరియు 50 ఫీల్డింగ్ వికెట్లు ',' ఏడవ వికెట్ (248) ',' 3 వ హండ్రెడ్ వందవ మ"&amp;"్యాచ్ (129) లో 7 వ అత్యధిక భాగస్వామ్యం ',' నాటౌట్ 99 (199, 299 etc) (99 *) ',' 2 వ యాభైల్లో వరుస ఇన్నింగ్స్లో డకౌట్ లేకుండా (6) ',' 5 వ అత్యధిక వరుస ఇన్నింగ్స్ (92 *) ',' 10th 9000 పరుగులు (245) వేగంగా ',' 1 వ అత్యుత్తమ బౌలింగ్ ఇన్నింగ్స్ లో విశ్లేషించడం"&amp;" (1/0) ',' 1st బెస్ట్ కెరీర్ బౌలింగ్ సరాసరి (అర్హత లేకుండా) (1.00) ',' 5000 పరుగులు మరియు 50 ఫీల్డింగ్ వికెట్లు ',' ఏడవ వికెట్ (124) కోసం 7 వ అత్యధిక భాగస్వామ్యం ',' వరుస ఇన్నింగ్స్లో 6 వ వందల వరుసగా (3) ',' 10 వ యాభైల్లో ఒక డక్ లేకుండా ఇన్నింగ్స్ (6) ',"&amp;"' 9 వ వరుస ఇన్నింగ్స్ (103) ']")</f>
        <v>[ '8 వ వేగవంతమైన 7000 పరుగులు (139)' '1st చాలా క్యాలెండర్ సంవత్సరంలో పరుగులు (1788)', 'హండ్రెడ్ ఒక మ్యాచ్లో ప్రతి ఇన్నింగ్స్లో', 'వరుస ఇన్నింగ్స్లో 7 వ యాభైల్లో (6)', '5000 పరుగులు మరియు 50 ఫీల్డింగ్ వికెట్లు ',' ఏడవ వికెట్ (248) ',' 3 వ హండ్రెడ్ వందవ మ్యాచ్ (129) లో 7 వ అత్యధిక భాగస్వామ్యం ',' నాటౌట్ 99 (199, 299 etc) (99 *) ',' 2 వ యాభైల్లో వరుస ఇన్నింగ్స్లో డకౌట్ లేకుండా (6) ',' 5 వ అత్యధిక వరుస ఇన్నింగ్స్ (92 *) ',' 10th 9000 పరుగులు (245) వేగంగా ',' 1 వ అత్యుత్తమ బౌలింగ్ ఇన్నింగ్స్ లో విశ్లేషించడం (1/0) ',' 1st బెస్ట్ కెరీర్ బౌలింగ్ సరాసరి (అర్హత లేకుండా) (1.00) ',' 5000 పరుగులు మరియు 50 ఫీల్డింగ్ వికెట్లు ',' ఏడవ వికెట్ (124) కోసం 7 వ అత్యధిక భాగస్వామ్యం ',' వరుస ఇన్నింగ్స్లో 6 వ వందల వరుసగా (3) ',' 10 వ యాభైల్లో ఒక డక్ లేకుండా ఇన్నింగ్స్ (6) ',' 9 వ వరుస ఇన్నింగ్స్ (103) ']</v>
      </c>
      <c r="C6538" s="2" t="s">
        <v>3938</v>
      </c>
      <c r="D6538" s="2" t="str">
        <f>IFERROR(__xludf.DUMMYFUNCTION("IF(C6538&lt;&gt;"""", GOOGLETRANSLATE(C6538, ""en"", ""te""),"""")"),"[ '38 వ అత్యధిక కెరీర్ లో పరుగులు (7530)', 'వరుస 46 వ అత్యధిక పరుగులు (665)', '1st ఒక క్యాలెండర్ సంవత్సరంలో అత్యధిక పరుగులు (1788)', '29th అత్యధిక కెరీర్ బ్యాటింగ్ సగటు (52.29)', '23 ఒక వృత్తిలో అత్యధిక వందలు (24) ',' ఒక కెరీర్ లో 17 వ అత్యధిక డబుల్ సెంచర"&amp;"ీలు (4) ',' వరుస 2 వ అత్యధిక వందలు (4) ',' 1st ఒక క్యాలెండర్ సంవత్సరంలో అత్యధిక వందలు (9) ',' 33 వ ఒక జట్టు వ్యతిరేకంగా అత్యధిక వందలు (7) ',' వరుస ఇన్నింగ్స్లో 5 వ వందల (3) ',' వరుస మ్యాచ్లలో 2 వ వందల (5) ',' 34 వ కెరీర్ అర్ధ (57) ',' వరుస ఇన్నింగ్స్లో 7 "&amp;"వ యాభైల్లో ( 6) ',' 37 వ కెరీర్ లో వచ్చిన ఎక్కువ సిక్స్ (51) ',' 26th కెరీర్ ఫోర్లు (957) ',' 34 వ 3000 పరుగులు (వేగంగా 67) ',' 42 వ 4000 పరుగులు (92) ',' 24 వ వేగంగా వేగవంతమైన 5000 పరుగులు (108) ',' 10th 6000 పరుగులు (120) ',' 7000 పరుగులు (139) ',' ఆర"&amp;"వ వికెట్కు 16 అత్యధిక భాగస్వామ్యం (269) ',' 7 వ అత్యధిక కోసం భాగస్వామ్యానికి వేగవంతమైన 8 వ అత్యంత వేగంగా ఏడవ వికెట్ (248) ',' తొమ్మిదవ వికెట్కు 22 అత్యధిక భాగస్వామ్యం (127) ',' 44 వ అత్యంత ప్లేయర్ ఆఫ్ ది సిరీస్ అవార్డులు (3) ']")</f>
        <v>[ '38 వ అత్యధిక కెరీర్ లో పరుగులు (7530)', 'వరుస 46 వ అత్యధిక పరుగులు (665)', '1st ఒక క్యాలెండర్ సంవత్సరంలో అత్యధిక పరుగులు (1788)', '29th అత్యధిక కెరీర్ బ్యాటింగ్ సగటు (52.29)', '23 ఒక వృత్తిలో అత్యధిక వందలు (24) ',' ఒక కెరీర్ లో 17 వ అత్యధిక డబుల్ సెంచరీలు (4) ',' వరుస 2 వ అత్యధిక వందలు (4) ',' 1st ఒక క్యాలెండర్ సంవత్సరంలో అత్యధిక వందలు (9) ',' 33 వ ఒక జట్టు వ్యతిరేకంగా అత్యధిక వందలు (7) ',' వరుస ఇన్నింగ్స్లో 5 వ వందల (3) ',' వరుస మ్యాచ్లలో 2 వ వందల (5) ',' 34 వ కెరీర్ అర్ధ (57) ',' వరుస ఇన్నింగ్స్లో 7 వ యాభైల్లో ( 6) ',' 37 వ కెరీర్ లో వచ్చిన ఎక్కువ సిక్స్ (51) ',' 26th కెరీర్ ఫోర్లు (957) ',' 34 వ 3000 పరుగులు (వేగంగా 67) ',' 42 వ 4000 పరుగులు (92) ',' 24 వ వేగంగా వేగవంతమైన 5000 పరుగులు (108) ',' 10th 6000 పరుగులు (120) ',' 7000 పరుగులు (139) ',' ఆరవ వికెట్కు 16 అత్యధిక భాగస్వామ్యం (269) ',' 7 వ అత్యధిక కోసం భాగస్వామ్యానికి వేగవంతమైన 8 వ అత్యంత వేగంగా ఏడవ వికెట్ (248) ',' తొమ్మిదవ వికెట్కు 22 అత్యధిక భాగస్వామ్యం (127) ',' 44 వ అత్యంత ప్లేయర్ ఆఫ్ ది సిరీస్ అవార్డులు (3) ']</v>
      </c>
      <c r="E6538" s="2" t="s">
        <v>3939</v>
      </c>
      <c r="F6538" s="2" t="str">
        <f>IFERROR(__xludf.DUMMYFUNCTION("IF(E6538&lt;&gt;"""", GOOGLETRANSLATE(E6538, ""en"", ""te""),"""")"),"[ '15 వ కెరీర్ లో అత్యధిక పరుగులు (9720)', '21 వ ఒక క్యాలెండర్ సంవత్సరంలో అత్యధిక పరుగులు (1362) ',' 49 వ ఒకే మైదానంలో అత్యధిక పరుగులు (1002) ',' 27 ఒక వృత్తిలో అత్యధిక వందలు (15) ', 'ఒక క్యాలెండర్ సంవత్సరంలో 11 వ అత్యధిక వందలు (5)', 'వందవ మ్యాచ్లో 3 వ హ"&amp;"ండ్రెడ్ (129)', '22 వ అత్యంత తొంభైల కెరీర్లో (5)', '13 వ కెరీర్ అర్ధ (79)', '2 వ యాభైల్లో వరుస ఇన్నింగ్స్లో (6) ',' 5 వ అత్యధిక వరుస ఇన్నింగ్స్లో డకౌట్ లేకుండా (92 *) ',' 45 వ అత్యంత బాతులు కెరీర్లో కెరీర్లో (15) ',' 6 వ ఒక సిరీస్లో అత్యధిక బాతులు (3) '"&amp;",' 45 వ ఎక్కువ సిక్స్ ఒక ఇన్నింగ్స్ లో కెరీర్ లో (90) ',' 27 వ ఫోర్లు (785) ',' 44th ఎక్కువ సిక్స్ (8) ',' ఫాస్టెస్ట్ 1000 పరుగులు (27) ', '21 వ వేగవంతమైన 4000 పరుగులు 27 (110)', '26th 5000 పరుగులు (138) వేగంగా', '6000 పరుగులు (168) కు 22 వ వేగవంతమైన', "&amp;"'17 వ వేగవంతమైన 7000 పరుగులు (199) కు' '16 వ వేగవంతమైన 8000 పరుగులు (227)', 'ఫాస్టెస్ట్ 9000 పరుగులు 10 వ (245) ',' 1 వ అత్యుత్తమ బౌలింగ్ నాల్గవ విక్ ఇన్నింగ్స్ లో విశ్లేషించడం (1/0) ',' 1st బెస్ట్ కెరీర్ (1.00) (అర్హత లేకుండా) సగటు బౌలింగ్ ',' 40 వ అత్"&amp;"యధిక భాగస్వామ్యం మరియు (168) ',' ఐదవ వికెట్కు 35 వ అత్యధిక భాగస్వామ్యం (155) ',' ఏడవ వికెట్కు 7 వ అత్యధిక భాగస్వామ్యం (124) ',' ఎనిమిదవ వికెట్కు 16 అత్యధిక భాగస్వామ్యం (92) ',' 25 వ అత్యధిక మ్యాచ్లు లో కెరీర్ (288) ',' ఒక జట్టుకు 13 వ వరుస మ్యాచ్లు (111) "&amp;"',' 40 వ అత్యంత ప్లేయర్ ఆఫ్ ది మ్యాచ్ అవార్డులు (18) ',' 45 వ అత్యంత ప్లేయర్ ఆఫ్ ది సిరీస్ అవార్డులు (3) ' ]")</f>
        <v>[ '15 వ కెరీర్ లో అత్యధిక పరుగులు (9720)', '21 వ ఒక క్యాలెండర్ సంవత్సరంలో అత్యధిక పరుగులు (1362) ',' 49 వ ఒకే మైదానంలో అత్యధిక పరుగులు (1002) ',' 27 ఒక వృత్తిలో అత్యధిక వందలు (15) ', 'ఒక క్యాలెండర్ సంవత్సరంలో 11 వ అత్యధిక వందలు (5)', 'వందవ మ్యాచ్లో 3 వ హండ్రెడ్ (129)', '22 వ అత్యంత తొంభైల కెరీర్లో (5)', '13 వ కెరీర్ అర్ధ (79)', '2 వ యాభైల్లో వరుస ఇన్నింగ్స్లో (6) ',' 5 వ అత్యధిక వరుస ఇన్నింగ్స్లో డకౌట్ లేకుండా (92 *) ',' 45 వ అత్యంత బాతులు కెరీర్లో కెరీర్లో (15) ',' 6 వ ఒక సిరీస్లో అత్యధిక బాతులు (3) ',' 45 వ ఎక్కువ సిక్స్ ఒక ఇన్నింగ్స్ లో కెరీర్ లో (90) ',' 27 వ ఫోర్లు (785) ',' 44th ఎక్కువ సిక్స్ (8) ',' ఫాస్టెస్ట్ 1000 పరుగులు (27) ', '21 వ వేగవంతమైన 4000 పరుగులు 27 (110)', '26th 5000 పరుగులు (138) వేగంగా', '6000 పరుగులు (168) కు 22 వ వేగవంతమైన', '17 వ వేగవంతమైన 7000 పరుగులు (199) కు' '16 వ వేగవంతమైన 8000 పరుగులు (227)', 'ఫాస్టెస్ట్ 9000 పరుగులు 10 వ (245) ',' 1 వ అత్యుత్తమ బౌలింగ్ నాల్గవ విక్ ఇన్నింగ్స్ లో విశ్లేషించడం (1/0) ',' 1st బెస్ట్ కెరీర్ (1.00) (అర్హత లేకుండా) సగటు బౌలింగ్ ',' 40 వ అత్యధిక భాగస్వామ్యం మరియు (168) ',' ఐదవ వికెట్కు 35 వ అత్యధిక భాగస్వామ్యం (155) ',' ఏడవ వికెట్కు 7 వ అత్యధిక భాగస్వామ్యం (124) ',' ఎనిమిదవ వికెట్కు 16 అత్యధిక భాగస్వామ్యం (92) ',' 25 వ అత్యధిక మ్యాచ్లు లో కెరీర్ (288) ',' ఒక జట్టుకు 13 వ వరుస మ్యాచ్లు (111) ',' 40 వ అత్యంత ప్లేయర్ ఆఫ్ ది మ్యాచ్ అవార్డులు (18) ',' 45 వ అత్యంత ప్లేయర్ ఆఫ్ ది సిరీస్ అవార్డులు (3) ' ]</v>
      </c>
      <c r="G6538" s="2" t="s">
        <v>3940</v>
      </c>
      <c r="H6538" s="2" t="str">
        <f>IFERROR(__xludf.DUMMYFUNCTION("IF(G6538&lt;&gt;"""", GOOGLETRANSLATE(G6538, ""en"", ""te""),"""")"),"[ '47 వ వరుస మ్యాచ్లు ప్రదర్శనల మధ్య (37) జట్టు తప్పిన']")</f>
        <v>[ '47 వ వరుస మ్యాచ్లు ప్రదర్శనల మధ్య (37) జట్టు తప్పిన']</v>
      </c>
      <c r="I6538" s="3"/>
    </row>
    <row r="6539" customHeight="1" spans="1:9">
      <c r="A6539" s="2"/>
      <c r="B6539" s="2" t="str">
        <f>IFERROR(__xludf.DUMMYFUNCTION("IF(A6539&lt;&gt;"""", GOOGLETRANSLATE(A6539, ""en"", ""te""),"""")"),"")</f>
        <v/>
      </c>
      <c r="C6539" s="2"/>
      <c r="D6539" s="2" t="str">
        <f>IFERROR(__xludf.DUMMYFUNCTION("IF(C6539&lt;&gt;"""", GOOGLETRANSLATE(C6539, ""en"", ""te""),"""")"),"")</f>
        <v/>
      </c>
      <c r="E6539" s="2"/>
      <c r="F6539" s="2" t="str">
        <f>IFERROR(__xludf.DUMMYFUNCTION("IF(E6539&lt;&gt;"""", GOOGLETRANSLATE(E6539, ""en"", ""te""),"""")"),"")</f>
        <v/>
      </c>
      <c r="G6539" s="2"/>
      <c r="H6539" s="2" t="str">
        <f>IFERROR(__xludf.DUMMYFUNCTION("IF(G6539&lt;&gt;"""", GOOGLETRANSLATE(G6539, ""en"", ""te""),"""")"),"")</f>
        <v/>
      </c>
      <c r="I6539" s="3"/>
    </row>
    <row r="6540" customHeight="1" spans="1:9">
      <c r="A6540" s="2"/>
      <c r="B6540" s="2" t="str">
        <f>IFERROR(__xludf.DUMMYFUNCTION("IF(A6540&lt;&gt;"""", GOOGLETRANSLATE(A6540, ""en"", ""te""),"""")"),"")</f>
        <v/>
      </c>
      <c r="C6540" s="2"/>
      <c r="D6540" s="2" t="str">
        <f>IFERROR(__xludf.DUMMYFUNCTION("IF(C6540&lt;&gt;"""", GOOGLETRANSLATE(C6540, ""en"", ""te""),"""")"),"")</f>
        <v/>
      </c>
      <c r="E6540" s="2"/>
      <c r="F6540" s="2" t="str">
        <f>IFERROR(__xludf.DUMMYFUNCTION("IF(E6540&lt;&gt;"""", GOOGLETRANSLATE(E6540, ""en"", ""te""),"""")"),"")</f>
        <v/>
      </c>
      <c r="G6540" s="2" t="s">
        <v>3941</v>
      </c>
      <c r="H6540" s="2" t="str">
        <f>IFERROR(__xludf.DUMMYFUNCTION("IF(G6540&lt;&gt;"""", GOOGLETRANSLATE(G6540, ""en"", ""te""),"""")"),"[ '12 వ ఇన్నింగ్స్ (12) అత్యంత ఫోర్లు' 'ఏ వికెట్కు 29 అత్యధిక భాగస్వామ్యాల (142)', 'తొలి వికెట్కు (142) కోసం 15 అత్యధిక భాగస్వామ్యం']")</f>
        <v>[ '12 వ ఇన్నింగ్స్ (12) అత్యంత ఫోర్లు' 'ఏ వికెట్కు 29 అత్యధిక భాగస్వామ్యాల (142)', 'తొలి వికెట్కు (142) కోసం 15 అత్యధిక భాగస్వామ్యం']</v>
      </c>
      <c r="I6540" s="3"/>
    </row>
    <row r="6541" customHeight="1" spans="1:9">
      <c r="A6541" s="2"/>
      <c r="B6541" s="2" t="str">
        <f>IFERROR(__xludf.DUMMYFUNCTION("IF(A6541&lt;&gt;"""", GOOGLETRANSLATE(A6541, ""en"", ""te""),"""")"),"")</f>
        <v/>
      </c>
      <c r="C6541" s="2"/>
      <c r="D6541" s="2" t="str">
        <f>IFERROR(__xludf.DUMMYFUNCTION("IF(C6541&lt;&gt;"""", GOOGLETRANSLATE(C6541, ""en"", ""te""),"""")"),"")</f>
        <v/>
      </c>
      <c r="E6541" s="2"/>
      <c r="F6541" s="2" t="str">
        <f>IFERROR(__xludf.DUMMYFUNCTION("IF(E6541&lt;&gt;"""", GOOGLETRANSLATE(E6541, ""en"", ""te""),"""")"),"")</f>
        <v/>
      </c>
      <c r="G6541" s="2"/>
      <c r="H6541" s="2" t="str">
        <f>IFERROR(__xludf.DUMMYFUNCTION("IF(G6541&lt;&gt;"""", GOOGLETRANSLATE(G6541, ""en"", ""te""),"""")"),"")</f>
        <v/>
      </c>
      <c r="I6541" s="3"/>
    </row>
    <row r="6542" customHeight="1" spans="1:9">
      <c r="A6542" s="2"/>
      <c r="B6542" s="2" t="str">
        <f>IFERROR(__xludf.DUMMYFUNCTION("IF(A6542&lt;&gt;"""", GOOGLETRANSLATE(A6542, ""en"", ""te""),"""")"),"")</f>
        <v/>
      </c>
      <c r="C6542" s="2"/>
      <c r="D6542" s="2" t="str">
        <f>IFERROR(__xludf.DUMMYFUNCTION("IF(C6542&lt;&gt;"""", GOOGLETRANSLATE(C6542, ""en"", ""te""),"""")"),"")</f>
        <v/>
      </c>
      <c r="E6542" s="2"/>
      <c r="F6542" s="2" t="str">
        <f>IFERROR(__xludf.DUMMYFUNCTION("IF(E6542&lt;&gt;"""", GOOGLETRANSLATE(E6542, ""en"", ""te""),"""")"),"")</f>
        <v/>
      </c>
      <c r="G6542" s="2"/>
      <c r="H6542" s="2" t="str">
        <f>IFERROR(__xludf.DUMMYFUNCTION("IF(G6542&lt;&gt;"""", GOOGLETRANSLATE(G6542, ""en"", ""te""),"""")"),"")</f>
        <v/>
      </c>
      <c r="I6542" s="3"/>
    </row>
    <row r="6543" customHeight="1" spans="1:9">
      <c r="A6543" s="2"/>
      <c r="B6543" s="2" t="str">
        <f>IFERROR(__xludf.DUMMYFUNCTION("IF(A6543&lt;&gt;"""", GOOGLETRANSLATE(A6543, ""en"", ""te""),"""")"),"")</f>
        <v/>
      </c>
      <c r="C6543" s="2"/>
      <c r="D6543" s="2" t="str">
        <f>IFERROR(__xludf.DUMMYFUNCTION("IF(C6543&lt;&gt;"""", GOOGLETRANSLATE(C6543, ""en"", ""te""),"""")"),"")</f>
        <v/>
      </c>
      <c r="E6543" s="2"/>
      <c r="F6543" s="2" t="str">
        <f>IFERROR(__xludf.DUMMYFUNCTION("IF(E6543&lt;&gt;"""", GOOGLETRANSLATE(E6543, ""en"", ""te""),"""")"),"")</f>
        <v/>
      </c>
      <c r="G6543" s="2"/>
      <c r="H6543" s="2" t="str">
        <f>IFERROR(__xludf.DUMMYFUNCTION("IF(G6543&lt;&gt;"""", GOOGLETRANSLATE(G6543, ""en"", ""te""),"""")"),"")</f>
        <v/>
      </c>
      <c r="I6543" s="3"/>
    </row>
    <row r="6544" customHeight="1" spans="1:9">
      <c r="A6544" s="2"/>
      <c r="B6544" s="2" t="str">
        <f>IFERROR(__xludf.DUMMYFUNCTION("IF(A6544&lt;&gt;"""", GOOGLETRANSLATE(A6544, ""en"", ""te""),"""")"),"")</f>
        <v/>
      </c>
      <c r="C6544" s="2"/>
      <c r="D6544" s="2" t="str">
        <f>IFERROR(__xludf.DUMMYFUNCTION("IF(C6544&lt;&gt;"""", GOOGLETRANSLATE(C6544, ""en"", ""te""),"""")"),"")</f>
        <v/>
      </c>
      <c r="E6544" s="2"/>
      <c r="F6544" s="2" t="str">
        <f>IFERROR(__xludf.DUMMYFUNCTION("IF(E6544&lt;&gt;"""", GOOGLETRANSLATE(E6544, ""en"", ""te""),"""")"),"")</f>
        <v/>
      </c>
      <c r="G6544" s="2"/>
      <c r="H6544" s="2" t="str">
        <f>IFERROR(__xludf.DUMMYFUNCTION("IF(G6544&lt;&gt;"""", GOOGLETRANSLATE(G6544, ""en"", ""te""),"""")"),"")</f>
        <v/>
      </c>
      <c r="I6544" s="3"/>
    </row>
    <row r="6545" customHeight="1" spans="1:9">
      <c r="A6545" s="2"/>
      <c r="B6545" s="2" t="str">
        <f>IFERROR(__xludf.DUMMYFUNCTION("IF(A6545&lt;&gt;"""", GOOGLETRANSLATE(A6545, ""en"", ""te""),"""")"),"")</f>
        <v/>
      </c>
      <c r="C6545" s="2"/>
      <c r="D6545" s="2" t="str">
        <f>IFERROR(__xludf.DUMMYFUNCTION("IF(C6545&lt;&gt;"""", GOOGLETRANSLATE(C6545, ""en"", ""te""),"""")"),"")</f>
        <v/>
      </c>
      <c r="E6545" s="2"/>
      <c r="F6545" s="2" t="str">
        <f>IFERROR(__xludf.DUMMYFUNCTION("IF(E6545&lt;&gt;"""", GOOGLETRANSLATE(E6545, ""en"", ""te""),"""")"),"")</f>
        <v/>
      </c>
      <c r="G6545" s="2"/>
      <c r="H6545" s="2" t="str">
        <f>IFERROR(__xludf.DUMMYFUNCTION("IF(G6545&lt;&gt;"""", GOOGLETRANSLATE(G6545, ""en"", ""te""),"""")"),"")</f>
        <v/>
      </c>
      <c r="I6545" s="3"/>
    </row>
    <row r="6546" customHeight="1" spans="1:9">
      <c r="A6546" s="2"/>
      <c r="B6546" s="2" t="str">
        <f>IFERROR(__xludf.DUMMYFUNCTION("IF(A6546&lt;&gt;"""", GOOGLETRANSLATE(A6546, ""en"", ""te""),"""")"),"")</f>
        <v/>
      </c>
      <c r="C6546" s="2"/>
      <c r="D6546" s="2" t="str">
        <f>IFERROR(__xludf.DUMMYFUNCTION("IF(C6546&lt;&gt;"""", GOOGLETRANSLATE(C6546, ""en"", ""te""),"""")"),"")</f>
        <v/>
      </c>
      <c r="E6546" s="2"/>
      <c r="F6546" s="2" t="str">
        <f>IFERROR(__xludf.DUMMYFUNCTION("IF(E6546&lt;&gt;"""", GOOGLETRANSLATE(E6546, ""en"", ""te""),"""")"),"")</f>
        <v/>
      </c>
      <c r="G6546" s="2"/>
      <c r="H6546" s="2" t="str">
        <f>IFERROR(__xludf.DUMMYFUNCTION("IF(G6546&lt;&gt;"""", GOOGLETRANSLATE(G6546, ""en"", ""te""),"""")"),"")</f>
        <v/>
      </c>
      <c r="I6546" s="3"/>
    </row>
    <row r="6547" customHeight="1" spans="1:9">
      <c r="A6547" s="2"/>
      <c r="B6547" s="2" t="str">
        <f>IFERROR(__xludf.DUMMYFUNCTION("IF(A6547&lt;&gt;"""", GOOGLETRANSLATE(A6547, ""en"", ""te""),"""")"),"")</f>
        <v/>
      </c>
      <c r="C6547" s="2"/>
      <c r="D6547" s="2" t="str">
        <f>IFERROR(__xludf.DUMMYFUNCTION("IF(C6547&lt;&gt;"""", GOOGLETRANSLATE(C6547, ""en"", ""te""),"""")"),"")</f>
        <v/>
      </c>
      <c r="E6547" s="2"/>
      <c r="F6547" s="2" t="str">
        <f>IFERROR(__xludf.DUMMYFUNCTION("IF(E6547&lt;&gt;"""", GOOGLETRANSLATE(E6547, ""en"", ""te""),"""")"),"")</f>
        <v/>
      </c>
      <c r="G6547" s="2"/>
      <c r="H6547" s="2" t="str">
        <f>IFERROR(__xludf.DUMMYFUNCTION("IF(G6547&lt;&gt;"""", GOOGLETRANSLATE(G6547, ""en"", ""te""),"""")"),"")</f>
        <v/>
      </c>
      <c r="I6547" s="3"/>
    </row>
    <row r="6548" customHeight="1" spans="1:9">
      <c r="A6548" s="2"/>
      <c r="B6548" s="2" t="str">
        <f>IFERROR(__xludf.DUMMYFUNCTION("IF(A6548&lt;&gt;"""", GOOGLETRANSLATE(A6548, ""en"", ""te""),"""")"),"")</f>
        <v/>
      </c>
      <c r="C6548" s="2"/>
      <c r="D6548" s="2" t="str">
        <f>IFERROR(__xludf.DUMMYFUNCTION("IF(C6548&lt;&gt;"""", GOOGLETRANSLATE(C6548, ""en"", ""te""),"""")"),"")</f>
        <v/>
      </c>
      <c r="E6548" s="2"/>
      <c r="F6548" s="2" t="str">
        <f>IFERROR(__xludf.DUMMYFUNCTION("IF(E6548&lt;&gt;"""", GOOGLETRANSLATE(E6548, ""en"", ""te""),"""")"),"")</f>
        <v/>
      </c>
      <c r="G6548" s="2"/>
      <c r="H6548" s="2" t="str">
        <f>IFERROR(__xludf.DUMMYFUNCTION("IF(G6548&lt;&gt;"""", GOOGLETRANSLATE(G6548, ""en"", ""te""),"""")"),"")</f>
        <v/>
      </c>
      <c r="I6548" s="3"/>
    </row>
    <row r="6549" customHeight="1" spans="1:9">
      <c r="A6549" s="2" t="s">
        <v>3942</v>
      </c>
      <c r="B6549" s="2" t="str">
        <f>IFERROR(__xludf.DUMMYFUNCTION("IF(A6549&lt;&gt;"""", GOOGLETRANSLATE(A6549, ""en"", ""te""),"""")"),"[ '8 వ పిన్న క్రీడాకారులు (16y 332d)']")</f>
        <v>[ '8 వ పిన్న క్రీడాకారులు (16y 332d)']</v>
      </c>
      <c r="C6549" s="2" t="s">
        <v>3942</v>
      </c>
      <c r="D6549" s="2" t="str">
        <f>IFERROR(__xludf.DUMMYFUNCTION("IF(C6549&lt;&gt;"""", GOOGLETRANSLATE(C6549, ""en"", ""te""),"""")"),"[ '8 వ పిన్న క్రీడాకారులు (16y 332d)']")</f>
        <v>[ '8 వ పిన్న క్రీడాకారులు (16y 332d)']</v>
      </c>
      <c r="E6549" s="2" t="s">
        <v>3943</v>
      </c>
      <c r="F6549" s="2" t="str">
        <f>IFERROR(__xludf.DUMMYFUNCTION("IF(E6549&lt;&gt;"""", GOOGLETRANSLATE(E6549, ""en"", ""te""),"""")"),"[ '33 వ పిన్న క్రీడాకారులు (16y 94d)']")</f>
        <v>[ '33 వ పిన్న క్రీడాకారులు (16y 94d)']</v>
      </c>
      <c r="G6549" s="2"/>
      <c r="H6549" s="2" t="str">
        <f>IFERROR(__xludf.DUMMYFUNCTION("IF(G6549&lt;&gt;"""", GOOGLETRANSLATE(G6549, ""en"", ""te""),"""")"),"")</f>
        <v/>
      </c>
      <c r="I6549" s="3"/>
    </row>
    <row r="6550" customHeight="1" spans="1:9">
      <c r="A6550" s="2"/>
      <c r="B6550" s="2" t="str">
        <f>IFERROR(__xludf.DUMMYFUNCTION("IF(A6550&lt;&gt;"""", GOOGLETRANSLATE(A6550, ""en"", ""te""),"""")"),"")</f>
        <v/>
      </c>
      <c r="C6550" s="2"/>
      <c r="D6550" s="2" t="str">
        <f>IFERROR(__xludf.DUMMYFUNCTION("IF(C6550&lt;&gt;"""", GOOGLETRANSLATE(C6550, ""en"", ""te""),"""")"),"")</f>
        <v/>
      </c>
      <c r="E6550" s="2"/>
      <c r="F6550" s="2" t="str">
        <f>IFERROR(__xludf.DUMMYFUNCTION("IF(E6550&lt;&gt;"""", GOOGLETRANSLATE(E6550, ""en"", ""te""),"""")"),"")</f>
        <v/>
      </c>
      <c r="G6550" s="2"/>
      <c r="H6550" s="2" t="str">
        <f>IFERROR(__xludf.DUMMYFUNCTION("IF(G6550&lt;&gt;"""", GOOGLETRANSLATE(G6550, ""en"", ""te""),"""")"),"")</f>
        <v/>
      </c>
      <c r="I6550" s="3"/>
    </row>
    <row r="6551" customHeight="1" spans="1:9">
      <c r="A6551" s="2"/>
      <c r="B6551" s="2" t="str">
        <f>IFERROR(__xludf.DUMMYFUNCTION("IF(A6551&lt;&gt;"""", GOOGLETRANSLATE(A6551, ""en"", ""te""),"""")"),"")</f>
        <v/>
      </c>
      <c r="C6551" s="2"/>
      <c r="D6551" s="2" t="str">
        <f>IFERROR(__xludf.DUMMYFUNCTION("IF(C6551&lt;&gt;"""", GOOGLETRANSLATE(C6551, ""en"", ""te""),"""")"),"")</f>
        <v/>
      </c>
      <c r="E6551" s="2"/>
      <c r="F6551" s="2" t="str">
        <f>IFERROR(__xludf.DUMMYFUNCTION("IF(E6551&lt;&gt;"""", GOOGLETRANSLATE(E6551, ""en"", ""te""),"""")"),"")</f>
        <v/>
      </c>
      <c r="G6551" s="2"/>
      <c r="H6551" s="2" t="str">
        <f>IFERROR(__xludf.DUMMYFUNCTION("IF(G6551&lt;&gt;"""", GOOGLETRANSLATE(G6551, ""en"", ""te""),"""")"),"")</f>
        <v/>
      </c>
      <c r="I6551" s="3"/>
    </row>
    <row r="6552" customHeight="1" spans="1:9">
      <c r="A6552" s="2"/>
      <c r="B6552" s="2" t="str">
        <f>IFERROR(__xludf.DUMMYFUNCTION("IF(A6552&lt;&gt;"""", GOOGLETRANSLATE(A6552, ""en"", ""te""),"""")"),"")</f>
        <v/>
      </c>
      <c r="C6552" s="2"/>
      <c r="D6552" s="2" t="str">
        <f>IFERROR(__xludf.DUMMYFUNCTION("IF(C6552&lt;&gt;"""", GOOGLETRANSLATE(C6552, ""en"", ""te""),"""")"),"")</f>
        <v/>
      </c>
      <c r="E6552" s="2"/>
      <c r="F6552" s="2" t="str">
        <f>IFERROR(__xludf.DUMMYFUNCTION("IF(E6552&lt;&gt;"""", GOOGLETRANSLATE(E6552, ""en"", ""te""),"""")"),"")</f>
        <v/>
      </c>
      <c r="G6552" s="2"/>
      <c r="H6552" s="2" t="str">
        <f>IFERROR(__xludf.DUMMYFUNCTION("IF(G6552&lt;&gt;"""", GOOGLETRANSLATE(G6552, ""en"", ""te""),"""")"),"")</f>
        <v/>
      </c>
      <c r="I6552" s="3"/>
    </row>
    <row r="6553" customHeight="1" spans="1:9">
      <c r="A6553" s="2"/>
      <c r="B6553" s="2" t="str">
        <f>IFERROR(__xludf.DUMMYFUNCTION("IF(A6553&lt;&gt;"""", GOOGLETRANSLATE(A6553, ""en"", ""te""),"""")"),"")</f>
        <v/>
      </c>
      <c r="C6553" s="2"/>
      <c r="D6553" s="2" t="str">
        <f>IFERROR(__xludf.DUMMYFUNCTION("IF(C6553&lt;&gt;"""", GOOGLETRANSLATE(C6553, ""en"", ""te""),"""")"),"")</f>
        <v/>
      </c>
      <c r="E6553" s="2"/>
      <c r="F6553" s="2" t="str">
        <f>IFERROR(__xludf.DUMMYFUNCTION("IF(E6553&lt;&gt;"""", GOOGLETRANSLATE(E6553, ""en"", ""te""),"""")"),"")</f>
        <v/>
      </c>
      <c r="G6553" s="2"/>
      <c r="H6553" s="2" t="str">
        <f>IFERROR(__xludf.DUMMYFUNCTION("IF(G6553&lt;&gt;"""", GOOGLETRANSLATE(G6553, ""en"", ""te""),"""")"),"")</f>
        <v/>
      </c>
      <c r="I6553" s="3"/>
    </row>
    <row r="6554" customHeight="1" spans="1:9">
      <c r="A6554" s="2"/>
      <c r="B6554" s="2" t="str">
        <f>IFERROR(__xludf.DUMMYFUNCTION("IF(A6554&lt;&gt;"""", GOOGLETRANSLATE(A6554, ""en"", ""te""),"""")"),"")</f>
        <v/>
      </c>
      <c r="C6554" s="2"/>
      <c r="D6554" s="2" t="str">
        <f>IFERROR(__xludf.DUMMYFUNCTION("IF(C6554&lt;&gt;"""", GOOGLETRANSLATE(C6554, ""en"", ""te""),"""")"),"")</f>
        <v/>
      </c>
      <c r="E6554" s="2"/>
      <c r="F6554" s="2" t="str">
        <f>IFERROR(__xludf.DUMMYFUNCTION("IF(E6554&lt;&gt;"""", GOOGLETRANSLATE(E6554, ""en"", ""te""),"""")"),"")</f>
        <v/>
      </c>
      <c r="G6554" s="2"/>
      <c r="H6554" s="2" t="str">
        <f>IFERROR(__xludf.DUMMYFUNCTION("IF(G6554&lt;&gt;"""", GOOGLETRANSLATE(G6554, ""en"", ""te""),"""")"),"")</f>
        <v/>
      </c>
      <c r="I6554" s="3"/>
    </row>
    <row r="6555" customHeight="1" spans="1:9">
      <c r="A6555" s="2"/>
      <c r="B6555" s="2" t="str">
        <f>IFERROR(__xludf.DUMMYFUNCTION("IF(A6555&lt;&gt;"""", GOOGLETRANSLATE(A6555, ""en"", ""te""),"""")"),"")</f>
        <v/>
      </c>
      <c r="C6555" s="2"/>
      <c r="D6555" s="2" t="str">
        <f>IFERROR(__xludf.DUMMYFUNCTION("IF(C6555&lt;&gt;"""", GOOGLETRANSLATE(C6555, ""en"", ""te""),"""")"),"")</f>
        <v/>
      </c>
      <c r="E6555" s="2"/>
      <c r="F6555" s="2" t="str">
        <f>IFERROR(__xludf.DUMMYFUNCTION("IF(E6555&lt;&gt;"""", GOOGLETRANSLATE(E6555, ""en"", ""te""),"""")"),"")</f>
        <v/>
      </c>
      <c r="G6555" s="2"/>
      <c r="H6555" s="2" t="str">
        <f>IFERROR(__xludf.DUMMYFUNCTION("IF(G6555&lt;&gt;"""", GOOGLETRANSLATE(G6555, ""en"", ""te""),"""")"),"")</f>
        <v/>
      </c>
      <c r="I6555" s="3"/>
    </row>
    <row r="6556" customHeight="1" spans="1:9">
      <c r="A6556" s="2"/>
      <c r="B6556" s="2" t="str">
        <f>IFERROR(__xludf.DUMMYFUNCTION("IF(A6556&lt;&gt;"""", GOOGLETRANSLATE(A6556, ""en"", ""te""),"""")"),"")</f>
        <v/>
      </c>
      <c r="C6556" s="2"/>
      <c r="D6556" s="2" t="str">
        <f>IFERROR(__xludf.DUMMYFUNCTION("IF(C6556&lt;&gt;"""", GOOGLETRANSLATE(C6556, ""en"", ""te""),"""")"),"")</f>
        <v/>
      </c>
      <c r="E6556" s="2"/>
      <c r="F6556" s="2" t="str">
        <f>IFERROR(__xludf.DUMMYFUNCTION("IF(E6556&lt;&gt;"""", GOOGLETRANSLATE(E6556, ""en"", ""te""),"""")"),"")</f>
        <v/>
      </c>
      <c r="G6556" s="2"/>
      <c r="H6556" s="2" t="str">
        <f>IFERROR(__xludf.DUMMYFUNCTION("IF(G6556&lt;&gt;"""", GOOGLETRANSLATE(G6556, ""en"", ""te""),"""")"),"")</f>
        <v/>
      </c>
      <c r="I6556" s="3"/>
    </row>
    <row r="6557" customHeight="1" spans="1:9">
      <c r="A6557" s="2"/>
      <c r="B6557" s="2" t="str">
        <f>IFERROR(__xludf.DUMMYFUNCTION("IF(A6557&lt;&gt;"""", GOOGLETRANSLATE(A6557, ""en"", ""te""),"""")"),"")</f>
        <v/>
      </c>
      <c r="C6557" s="2"/>
      <c r="D6557" s="2" t="str">
        <f>IFERROR(__xludf.DUMMYFUNCTION("IF(C6557&lt;&gt;"""", GOOGLETRANSLATE(C6557, ""en"", ""te""),"""")"),"")</f>
        <v/>
      </c>
      <c r="E6557" s="2"/>
      <c r="F6557" s="2" t="str">
        <f>IFERROR(__xludf.DUMMYFUNCTION("IF(E6557&lt;&gt;"""", GOOGLETRANSLATE(E6557, ""en"", ""te""),"""")"),"")</f>
        <v/>
      </c>
      <c r="G6557" s="2"/>
      <c r="H6557" s="2" t="str">
        <f>IFERROR(__xludf.DUMMYFUNCTION("IF(G6557&lt;&gt;"""", GOOGLETRANSLATE(G6557, ""en"", ""te""),"""")"),"")</f>
        <v/>
      </c>
      <c r="I6557" s="3"/>
    </row>
    <row r="6558" customHeight="1" spans="1:9">
      <c r="A6558" s="2" t="s">
        <v>3944</v>
      </c>
      <c r="B6558" s="2" t="str">
        <f>IFERROR(__xludf.DUMMYFUNCTION("IF(A6558&lt;&gt;"""", GOOGLETRANSLATE(A6558, ""en"", ""te""),"""")"),"[ 'తొలి 2nd ఓల్డెస్ట్ క్రీడాకారులు (47y 284d)']")</f>
        <v>[ 'తొలి 2nd ఓల్డెస్ట్ క్రీడాకారులు (47y 284d)']</v>
      </c>
      <c r="C6558" s="2" t="s">
        <v>3945</v>
      </c>
      <c r="D6558" s="2" t="str">
        <f>IFERROR(__xludf.DUMMYFUNCTION("IF(C6558&lt;&gt;"""", GOOGLETRANSLATE(C6558, ""en"", ""te""),"""")"),"[ 'తొలి 2nd ఓల్డెస్ట్ క్రీడాకారులు (47y 284d)', '6 వ ఓల్డెస్ట్ క్రీడాకారులు (47y 301d)']")</f>
        <v>[ 'తొలి 2nd ఓల్డెస్ట్ క్రీడాకారులు (47y 284d)', '6 వ ఓల్డెస్ట్ క్రీడాకారులు (47y 301d)']</v>
      </c>
      <c r="E6558" s="2"/>
      <c r="F6558" s="2" t="str">
        <f>IFERROR(__xludf.DUMMYFUNCTION("IF(E6558&lt;&gt;"""", GOOGLETRANSLATE(E6558, ""en"", ""te""),"""")"),"")</f>
        <v/>
      </c>
      <c r="G6558" s="2"/>
      <c r="H6558" s="2" t="str">
        <f>IFERROR(__xludf.DUMMYFUNCTION("IF(G6558&lt;&gt;"""", GOOGLETRANSLATE(G6558, ""en"", ""te""),"""")"),"")</f>
        <v/>
      </c>
      <c r="I6558" s="3"/>
    </row>
    <row r="6559" customHeight="1" spans="1:9">
      <c r="A6559" s="2"/>
      <c r="B6559" s="2" t="str">
        <f>IFERROR(__xludf.DUMMYFUNCTION("IF(A6559&lt;&gt;"""", GOOGLETRANSLATE(A6559, ""en"", ""te""),"""")"),"")</f>
        <v/>
      </c>
      <c r="C6559" s="2"/>
      <c r="D6559" s="2" t="str">
        <f>IFERROR(__xludf.DUMMYFUNCTION("IF(C6559&lt;&gt;"""", GOOGLETRANSLATE(C6559, ""en"", ""te""),"""")"),"")</f>
        <v/>
      </c>
      <c r="E6559" s="2"/>
      <c r="F6559" s="2" t="str">
        <f>IFERROR(__xludf.DUMMYFUNCTION("IF(E6559&lt;&gt;"""", GOOGLETRANSLATE(E6559, ""en"", ""te""),"""")"),"")</f>
        <v/>
      </c>
      <c r="G6559" s="2"/>
      <c r="H6559" s="2" t="str">
        <f>IFERROR(__xludf.DUMMYFUNCTION("IF(G6559&lt;&gt;"""", GOOGLETRANSLATE(G6559, ""en"", ""te""),"""")"),"")</f>
        <v/>
      </c>
      <c r="I6559" s="3"/>
    </row>
    <row r="6560" customHeight="1" spans="1:9">
      <c r="A6560" s="2" t="s">
        <v>3946</v>
      </c>
      <c r="B6560" s="2" t="str">
        <f>IFERROR(__xludf.DUMMYFUNCTION("IF(A6560&lt;&gt;"""", GOOGLETRANSLATE(A6560, ""en"", ""te""),"""")"),"[ '7th అత్యుత్తమ ఇన్నింగ్స్ (5/10) విశ్లేషణలలో బౌలింగ్']")</f>
        <v>[ '7th అత్యుత్తమ ఇన్నింగ్స్ (5/10) విశ్లేషణలలో బౌలింగ్']</v>
      </c>
      <c r="C6560" s="2" t="s">
        <v>3947</v>
      </c>
      <c r="D6560" s="2" t="str">
        <f>IFERROR(__xludf.DUMMYFUNCTION("IF(C6560&lt;&gt;"""", GOOGLETRANSLATE(C6560, ""en"", ""te""),"""")"),"[ 'సగటు (52.74) బౌలింగ్ 32 వ చెత్త జీవితం' '25 వ చెత్త కెరీర్లో ఆర్థిక రేటు (3.58)', '33 వ అరంగేట్రంలోనే మ్యాచ్లో బెస్ట్ ఫిగర్స్ (8)', 'అయిదు వికెట్లు ఇన్ ఒక తీసుకోవాలని 35 వ పిన్న ఆటగాడు -innings (20y 12D) ']")</f>
        <v>[ 'సగటు (52.74) బౌలింగ్ 32 వ చెత్త జీవితం' '25 వ చెత్త కెరీర్లో ఆర్థిక రేటు (3.58)', '33 వ అరంగేట్రంలోనే మ్యాచ్లో బెస్ట్ ఫిగర్స్ (8)', 'అయిదు వికెట్లు ఇన్ ఒక తీసుకోవాలని 35 వ పిన్న ఆటగాడు -innings (20y 12D) ']</v>
      </c>
      <c r="E6560" s="2" t="s">
        <v>3948</v>
      </c>
      <c r="F6560" s="2" t="str">
        <f>IFERROR(__xludf.DUMMYFUNCTION("IF(E6560&lt;&gt;"""", GOOGLETRANSLATE(E6560, ""en"", ""te""),"""")"),"[ '12 వ ఇన్నింగ్స్ లో అత్యధిక పరుగులు (బ్యాటింగ్ స్థానంలో ప్రకారం) (46)', 'ఇన్నింగ్స్ లో 7 వ అత్యుత్తమ బౌలింగ్ విశ్లేషణలు (5/10)', ఐదు వికెట్లు-ఇన్-ఒక-ఇన్నింగ్స్ తీసుకోవాలని '47 వ పిన్న వయస్కుడిగా నిలిచాడు (22y 280d) ',' 100 వికెట్లు వేగంగా 45 వ (69) ']")</f>
        <v>[ '12 వ ఇన్నింగ్స్ లో అత్యధిక పరుగులు (బ్యాటింగ్ స్థానంలో ప్రకారం) (46)', 'ఇన్నింగ్స్ లో 7 వ అత్యుత్తమ బౌలింగ్ విశ్లేషణలు (5/10)', ఐదు వికెట్లు-ఇన్-ఒక-ఇన్నింగ్స్ తీసుకోవాలని '47 వ పిన్న వయస్కుడిగా నిలిచాడు (22y 280d) ',' 100 వికెట్లు వేగంగా 45 వ (69) ']</v>
      </c>
      <c r="G6560" s="2"/>
      <c r="H6560" s="2" t="str">
        <f>IFERROR(__xludf.DUMMYFUNCTION("IF(G6560&lt;&gt;"""", GOOGLETRANSLATE(G6560, ""en"", ""te""),"""")"),"")</f>
        <v/>
      </c>
      <c r="I6560" s="3"/>
    </row>
    <row r="6561" customHeight="1" spans="1:9">
      <c r="A6561" s="2"/>
      <c r="B6561" s="2" t="str">
        <f>IFERROR(__xludf.DUMMYFUNCTION("IF(A6561&lt;&gt;"""", GOOGLETRANSLATE(A6561, ""en"", ""te""),"""")"),"")</f>
        <v/>
      </c>
      <c r="C6561" s="2"/>
      <c r="D6561" s="2" t="str">
        <f>IFERROR(__xludf.DUMMYFUNCTION("IF(C6561&lt;&gt;"""", GOOGLETRANSLATE(C6561, ""en"", ""te""),"""")"),"")</f>
        <v/>
      </c>
      <c r="E6561" s="2"/>
      <c r="F6561" s="2" t="str">
        <f>IFERROR(__xludf.DUMMYFUNCTION("IF(E6561&lt;&gt;"""", GOOGLETRANSLATE(E6561, ""en"", ""te""),"""")"),"")</f>
        <v/>
      </c>
      <c r="G6561" s="2"/>
      <c r="H6561" s="2" t="str">
        <f>IFERROR(__xludf.DUMMYFUNCTION("IF(G6561&lt;&gt;"""", GOOGLETRANSLATE(G6561, ""en"", ""te""),"""")"),"")</f>
        <v/>
      </c>
      <c r="I6561" s="3"/>
    </row>
    <row r="6562" customHeight="1" spans="1:9">
      <c r="A6562" s="2"/>
      <c r="B6562" s="2" t="str">
        <f>IFERROR(__xludf.DUMMYFUNCTION("IF(A6562&lt;&gt;"""", GOOGLETRANSLATE(A6562, ""en"", ""te""),"""")"),"")</f>
        <v/>
      </c>
      <c r="C6562" s="2"/>
      <c r="D6562" s="2" t="str">
        <f>IFERROR(__xludf.DUMMYFUNCTION("IF(C6562&lt;&gt;"""", GOOGLETRANSLATE(C6562, ""en"", ""te""),"""")"),"")</f>
        <v/>
      </c>
      <c r="E6562" s="2"/>
      <c r="F6562" s="2" t="str">
        <f>IFERROR(__xludf.DUMMYFUNCTION("IF(E6562&lt;&gt;"""", GOOGLETRANSLATE(E6562, ""en"", ""te""),"""")"),"")</f>
        <v/>
      </c>
      <c r="G6562" s="2"/>
      <c r="H6562" s="2" t="str">
        <f>IFERROR(__xludf.DUMMYFUNCTION("IF(G6562&lt;&gt;"""", GOOGLETRANSLATE(G6562, ""en"", ""te""),"""")"),"")</f>
        <v/>
      </c>
      <c r="I6562" s="3"/>
    </row>
    <row r="6563" customHeight="1" spans="1:9">
      <c r="A6563" s="2"/>
      <c r="B6563" s="2" t="str">
        <f>IFERROR(__xludf.DUMMYFUNCTION("IF(A6563&lt;&gt;"""", GOOGLETRANSLATE(A6563, ""en"", ""te""),"""")"),"")</f>
        <v/>
      </c>
      <c r="C6563" s="2"/>
      <c r="D6563" s="2" t="str">
        <f>IFERROR(__xludf.DUMMYFUNCTION("IF(C6563&lt;&gt;"""", GOOGLETRANSLATE(C6563, ""en"", ""te""),"""")"),"")</f>
        <v/>
      </c>
      <c r="E6563" s="2"/>
      <c r="F6563" s="2" t="str">
        <f>IFERROR(__xludf.DUMMYFUNCTION("IF(E6563&lt;&gt;"""", GOOGLETRANSLATE(E6563, ""en"", ""te""),"""")"),"")</f>
        <v/>
      </c>
      <c r="G6563" s="2"/>
      <c r="H6563" s="2" t="str">
        <f>IFERROR(__xludf.DUMMYFUNCTION("IF(G6563&lt;&gt;"""", GOOGLETRANSLATE(G6563, ""en"", ""te""),"""")"),"")</f>
        <v/>
      </c>
      <c r="I6563" s="3"/>
    </row>
    <row r="6564" customHeight="1" spans="1:9">
      <c r="A6564" s="2"/>
      <c r="B6564" s="2" t="str">
        <f>IFERROR(__xludf.DUMMYFUNCTION("IF(A6564&lt;&gt;"""", GOOGLETRANSLATE(A6564, ""en"", ""te""),"""")"),"")</f>
        <v/>
      </c>
      <c r="C6564" s="2"/>
      <c r="D6564" s="2" t="str">
        <f>IFERROR(__xludf.DUMMYFUNCTION("IF(C6564&lt;&gt;"""", GOOGLETRANSLATE(C6564, ""en"", ""te""),"""")"),"")</f>
        <v/>
      </c>
      <c r="E6564" s="2"/>
      <c r="F6564" s="2" t="str">
        <f>IFERROR(__xludf.DUMMYFUNCTION("IF(E6564&lt;&gt;"""", GOOGLETRANSLATE(E6564, ""en"", ""te""),"""")"),"")</f>
        <v/>
      </c>
      <c r="G6564" s="2"/>
      <c r="H6564" s="2" t="str">
        <f>IFERROR(__xludf.DUMMYFUNCTION("IF(G6564&lt;&gt;"""", GOOGLETRANSLATE(G6564, ""en"", ""te""),"""")"),"")</f>
        <v/>
      </c>
      <c r="I6564" s="3"/>
    </row>
    <row r="6565" customHeight="1" spans="1:9">
      <c r="A6565" s="2"/>
      <c r="B6565" s="2" t="str">
        <f>IFERROR(__xludf.DUMMYFUNCTION("IF(A6565&lt;&gt;"""", GOOGLETRANSLATE(A6565, ""en"", ""te""),"""")"),"")</f>
        <v/>
      </c>
      <c r="C6565" s="2"/>
      <c r="D6565" s="2" t="str">
        <f>IFERROR(__xludf.DUMMYFUNCTION("IF(C6565&lt;&gt;"""", GOOGLETRANSLATE(C6565, ""en"", ""te""),"""")"),"")</f>
        <v/>
      </c>
      <c r="E6565" s="2"/>
      <c r="F6565" s="2" t="str">
        <f>IFERROR(__xludf.DUMMYFUNCTION("IF(E6565&lt;&gt;"""", GOOGLETRANSLATE(E6565, ""en"", ""te""),"""")"),"")</f>
        <v/>
      </c>
      <c r="G6565" s="2"/>
      <c r="H6565" s="2" t="str">
        <f>IFERROR(__xludf.DUMMYFUNCTION("IF(G6565&lt;&gt;"""", GOOGLETRANSLATE(G6565, ""en"", ""te""),"""")"),"")</f>
        <v/>
      </c>
      <c r="I6565" s="3"/>
    </row>
    <row r="6566" customHeight="1" spans="1:9">
      <c r="A6566" s="2"/>
      <c r="B6566" s="2" t="str">
        <f>IFERROR(__xludf.DUMMYFUNCTION("IF(A6566&lt;&gt;"""", GOOGLETRANSLATE(A6566, ""en"", ""te""),"""")"),"")</f>
        <v/>
      </c>
      <c r="C6566" s="2"/>
      <c r="D6566" s="2" t="str">
        <f>IFERROR(__xludf.DUMMYFUNCTION("IF(C6566&lt;&gt;"""", GOOGLETRANSLATE(C6566, ""en"", ""te""),"""")"),"")</f>
        <v/>
      </c>
      <c r="E6566" s="2"/>
      <c r="F6566" s="2" t="str">
        <f>IFERROR(__xludf.DUMMYFUNCTION("IF(E6566&lt;&gt;"""", GOOGLETRANSLATE(E6566, ""en"", ""te""),"""")"),"")</f>
        <v/>
      </c>
      <c r="G6566" s="2"/>
      <c r="H6566" s="2" t="str">
        <f>IFERROR(__xludf.DUMMYFUNCTION("IF(G6566&lt;&gt;"""", GOOGLETRANSLATE(G6566, ""en"", ""te""),"""")"),"")</f>
        <v/>
      </c>
      <c r="I6566" s="3"/>
    </row>
    <row r="6567" customHeight="1" spans="1:9">
      <c r="A6567" s="2" t="s">
        <v>63</v>
      </c>
      <c r="B6567" s="2" t="str">
        <f>IFERROR(__xludf.DUMMYFUNCTION("IF(A6567&lt;&gt;"""", GOOGLETRANSLATE(A6567, ""en"", ""te""),"""")"),"[ 'తొలి ఇన్నింగ్స్లో 9 వ బెస్ట్ ఫిగర్స్ (7)']")</f>
        <v>[ 'తొలి ఇన్నింగ్స్లో 9 వ బెస్ట్ ఫిగర్స్ (7)']</v>
      </c>
      <c r="C6567" s="2" t="s">
        <v>3949</v>
      </c>
      <c r="D6567" s="2" t="str">
        <f>IFERROR(__xludf.DUMMYFUNCTION("IF(C6567&lt;&gt;"""", GOOGLETRANSLATE(C6567, ""en"", ""te""),"""")"),"[ 'తొలి ఇన్నింగ్స్లో 9 వ బెస్ట్ ఫిగర్స్ (7)', 'ఐదు వికెట్ల లో-ఒక-ఇన్నింగ్స్ పడుతుంది 36 వ ఓల్డెస్ట్ ఆటగాడు (37y 211d)']")</f>
        <v>[ 'తొలి ఇన్నింగ్స్లో 9 వ బెస్ట్ ఫిగర్స్ (7)', 'ఐదు వికెట్ల లో-ఒక-ఇన్నింగ్స్ పడుతుంది 36 వ ఓల్డెస్ట్ ఆటగాడు (37y 211d)']</v>
      </c>
      <c r="E6567" s="2"/>
      <c r="F6567" s="2" t="str">
        <f>IFERROR(__xludf.DUMMYFUNCTION("IF(E6567&lt;&gt;"""", GOOGLETRANSLATE(E6567, ""en"", ""te""),"""")"),"")</f>
        <v/>
      </c>
      <c r="G6567" s="2"/>
      <c r="H6567" s="2" t="str">
        <f>IFERROR(__xludf.DUMMYFUNCTION("IF(G6567&lt;&gt;"""", GOOGLETRANSLATE(G6567, ""en"", ""te""),"""")"),"")</f>
        <v/>
      </c>
      <c r="I6567" s="3"/>
    </row>
    <row r="6568" customHeight="1" spans="1:9">
      <c r="A6568" s="2" t="s">
        <v>3950</v>
      </c>
      <c r="B6568" s="2" t="str">
        <f>IFERROR(__xludf.DUMMYFUNCTION("IF(A6568&lt;&gt;"""", GOOGLETRANSLATE(A6568, ""en"", ""te""),"""")"),"[ '1st ఇన్నింగ్స్ లో అత్యధిక పరుగులు (బ్యాటింగ్ స్థానంలో ద్వారా) (58)' 2 వ అత్యధిక భాగస్వామ్యం పదవ వికెట్కు '3 వ పిన్న ఆటగాడు ఐదు వికెట్ల లో-ఒక-ఇన్నింగ్స్ (17y 257d) తీసుకోవాలని', '(103) ',' 10 వ వరుస మ్యాచ్లు ప్రదర్శనల మధ్య బృందం (57) కోసం తప్పిన ',' 7 వ"&amp;" అత్యుత్తమ బౌలింగ్ ఇన్నింగ్స్ లో విశ్లేషించడం (2/3) ',' కెరీర్ (5) 3 వ అత్యంత పనికత్తెలయొద్ద ']")</f>
        <v>[ '1st ఇన్నింగ్స్ లో అత్యధిక పరుగులు (బ్యాటింగ్ స్థానంలో ద్వారా) (58)' 2 వ అత్యధిక భాగస్వామ్యం పదవ వికెట్కు '3 వ పిన్న ఆటగాడు ఐదు వికెట్ల లో-ఒక-ఇన్నింగ్స్ (17y 257d) తీసుకోవాలని', '(103) ',' 10 వ వరుస మ్యాచ్లు ప్రదర్శనల మధ్య బృందం (57) కోసం తప్పిన ',' 7 వ అత్యుత్తమ బౌలింగ్ ఇన్నింగ్స్ లో విశ్లేషించడం (2/3) ',' కెరీర్ (5) 3 వ అత్యంత పనికత్తెలయొద్ద ']</v>
      </c>
      <c r="C6568" s="2" t="s">
        <v>3951</v>
      </c>
      <c r="D6568" s="2" t="str">
        <f>IFERROR(__xludf.DUMMYFUNCTION("IF(C6568&lt;&gt;"""", GOOGLETRANSLATE(C6568, ""en"", ""te""),"""")"),"[ '3 వ పిన్న ఆటగాడు ఐదు వికెట్ల లో-ఒక-ఇన్నింగ్స్ తీసుకోవాలని (17y 257d)', '19 వ పిన్న క్రీడాకారులు (17y 82d)']")</f>
        <v>[ '3 వ పిన్న ఆటగాడు ఐదు వికెట్ల లో-ఒక-ఇన్నింగ్స్ తీసుకోవాలని (17y 257d)', '19 వ పిన్న క్రీడాకారులు (17y 82d)']</v>
      </c>
      <c r="E6568" s="2" t="s">
        <v>3952</v>
      </c>
      <c r="F6568" s="2" t="str">
        <f>IFERROR(__xludf.DUMMYFUNCTION("IF(E6568&lt;&gt;"""", GOOGLETRANSLATE(E6568, ""en"", ""te""),"""")"),"[ 'ఇన్నింగ్స్ లో 1 వ అత్యధిక పరుగులు (బ్యాటింగ్ స్థానంలో ద్వారా) (58)', '14 వ ఒక ఇన్నింగ్స్ లోని బెస్ట్ ఫిగర్స్ ఉన్నప్పుడు పరాజయం వైపు (5)', 'పదవ వికెట్కు 2 వ అత్యధిక భాగస్వామ్యం (103)', '31 చిన్న క్రీడాకారులు (17y 108d) ',' 30 వ వరుస మ్యాచ్లు ఆడి మధ్య జ"&amp;"ట్టు (138) '] కోసం తప్పిన")</f>
        <v>[ 'ఇన్నింగ్స్ లో 1 వ అత్యధిక పరుగులు (బ్యాటింగ్ స్థానంలో ద్వారా) (58)', '14 వ ఒక ఇన్నింగ్స్ లోని బెస్ట్ ఫిగర్స్ ఉన్నప్పుడు పరాజయం వైపు (5)', 'పదవ వికెట్కు 2 వ అత్యధిక భాగస్వామ్యం (103)', '31 చిన్న క్రీడాకారులు (17y 108d) ',' 30 వ వరుస మ్యాచ్లు ఆడి మధ్య జట్టు (138) '] కోసం తప్పిన</v>
      </c>
      <c r="G6568" s="2" t="s">
        <v>3953</v>
      </c>
      <c r="H6568" s="2" t="str">
        <f>IFERROR(__xludf.DUMMYFUNCTION("IF(G6568&lt;&gt;"""", GOOGLETRANSLATE(G6568, ""en"", ""te""),"""")"),"[ '20 వ కెరీర్ లో అత్యధిక వికెట్లు (59)', '7 వ అత్యుత్తమ బౌలింగ్ ఇన్నింగ్స్ లో విశ్లేషించడం (2/3)', '43 వ ఉత్తమ కెరీర్ సగటు (21.40) బౌలింగ్', '45 వ ఉత్తమ కెరీర్ ఆర్థిక రేటు (7.02)', ' కెరీర్లో బౌల్డ్ 25 మోస్ట్ బంతుల్లో (1079) ',' 23 వ అత్యధిక పరుగులు కెరీ"&amp;"ర్లో సాధించిన (1263) ',' 17 వ బౌలర్ / బ్యాట్స్ కలయికలు (3) ',' 12 వ అత్యధిక వికెట్లు తీసుకున్న బౌల్డ్ (17) ',' 26th అత్యధిక వికెట్లు తీసుకున్న క్యాచ్ (36) ',' 27 వ అత్యధిక వికెట్లు ఒక ఫీల్డర్ చేత క్యాచ్ తీసుకున్న (30) ',' 33 వ అత్యధిక వికెట్లు ఒక వికెట్ క"&amp;"ీపర్ చే కాట్ తీసుకోకూడదు (6) ',' 24 వ అత్యధిక వికెట్లు తీసుకున్న ఎల్బిడబ్ల్యు (6) ',' 50 వేగవంతమైన 14 వికెట్లు (41) ',' 41 వ పిన్న క్రీడాకారులు (17y 55d) ',' 10 వ వరుస మ్యాచ్లు ఆడి మధ్య జట్టుకు దూరమయ్యాడు (57) ',' ప్రదర్శనలు (5 సం 193d) ',' 3 వ అత్యధిక క"&amp;"ెరీర్ లో పనికత్తెలయొద్ద మధ్య 30 వ లాంగెస్ట్ వ్యవధిలో (5) ']")</f>
        <v>[ '20 వ కెరీర్ లో అత్యధిక వికెట్లు (59)', '7 వ అత్యుత్తమ బౌలింగ్ ఇన్నింగ్స్ లో విశ్లేషించడం (2/3)', '43 వ ఉత్తమ కెరీర్ సగటు (21.40) బౌలింగ్', '45 వ ఉత్తమ కెరీర్ ఆర్థిక రేటు (7.02)', ' కెరీర్లో బౌల్డ్ 25 మోస్ట్ బంతుల్లో (1079) ',' 23 వ అత్యధిక పరుగులు కెరీర్లో సాధించిన (1263) ',' 17 వ బౌలర్ / బ్యాట్స్ కలయికలు (3) ',' 12 వ అత్యధిక వికెట్లు తీసుకున్న బౌల్డ్ (17) ',' 26th అత్యధిక వికెట్లు తీసుకున్న క్యాచ్ (36) ',' 27 వ అత్యధిక వికెట్లు ఒక ఫీల్డర్ చేత క్యాచ్ తీసుకున్న (30) ',' 33 వ అత్యధిక వికెట్లు ఒక వికెట్ కీపర్ చే కాట్ తీసుకోకూడదు (6) ',' 24 వ అత్యధిక వికెట్లు తీసుకున్న ఎల్బిడబ్ల్యు (6) ',' 50 వేగవంతమైన 14 వికెట్లు (41) ',' 41 వ పిన్న క్రీడాకారులు (17y 55d) ',' 10 వ వరుస మ్యాచ్లు ఆడి మధ్య జట్టుకు దూరమయ్యాడు (57) ',' ప్రదర్శనలు (5 సం 193d) ',' 3 వ అత్యధిక కెరీర్ లో పనికత్తెలయొద్ద మధ్య 30 వ లాంగెస్ట్ వ్యవధిలో (5) ']</v>
      </c>
      <c r="I6568" s="3"/>
    </row>
    <row r="6569" customHeight="1" spans="1:9">
      <c r="A6569" s="2"/>
      <c r="B6569" s="2" t="str">
        <f>IFERROR(__xludf.DUMMYFUNCTION("IF(A6569&lt;&gt;"""", GOOGLETRANSLATE(A6569, ""en"", ""te""),"""")"),"")</f>
        <v/>
      </c>
      <c r="C6569" s="2"/>
      <c r="D6569" s="2" t="str">
        <f>IFERROR(__xludf.DUMMYFUNCTION("IF(C6569&lt;&gt;"""", GOOGLETRANSLATE(C6569, ""en"", ""te""),"""")"),"")</f>
        <v/>
      </c>
      <c r="E6569" s="2"/>
      <c r="F6569" s="2" t="str">
        <f>IFERROR(__xludf.DUMMYFUNCTION("IF(E6569&lt;&gt;"""", GOOGLETRANSLATE(E6569, ""en"", ""te""),"""")"),"")</f>
        <v/>
      </c>
      <c r="G6569" s="2"/>
      <c r="H6569" s="2" t="str">
        <f>IFERROR(__xludf.DUMMYFUNCTION("IF(G6569&lt;&gt;"""", GOOGLETRANSLATE(G6569, ""en"", ""te""),"""")"),"")</f>
        <v/>
      </c>
      <c r="I6569" s="3"/>
    </row>
    <row r="6570" customHeight="1" spans="1:9">
      <c r="A6570" s="2"/>
      <c r="B6570" s="2" t="str">
        <f>IFERROR(__xludf.DUMMYFUNCTION("IF(A6570&lt;&gt;"""", GOOGLETRANSLATE(A6570, ""en"", ""te""),"""")"),"")</f>
        <v/>
      </c>
      <c r="C6570" s="2"/>
      <c r="D6570" s="2" t="str">
        <f>IFERROR(__xludf.DUMMYFUNCTION("IF(C6570&lt;&gt;"""", GOOGLETRANSLATE(C6570, ""en"", ""te""),"""")"),"")</f>
        <v/>
      </c>
      <c r="E6570" s="2"/>
      <c r="F6570" s="2" t="str">
        <f>IFERROR(__xludf.DUMMYFUNCTION("IF(E6570&lt;&gt;"""", GOOGLETRANSLATE(E6570, ""en"", ""te""),"""")"),"")</f>
        <v/>
      </c>
      <c r="G6570" s="2"/>
      <c r="H6570" s="2" t="str">
        <f>IFERROR(__xludf.DUMMYFUNCTION("IF(G6570&lt;&gt;"""", GOOGLETRANSLATE(G6570, ""en"", ""te""),"""")"),"")</f>
        <v/>
      </c>
      <c r="I6570" s="3"/>
    </row>
    <row r="6571" customHeight="1" spans="1:9">
      <c r="A6571" s="2" t="s">
        <v>3954</v>
      </c>
      <c r="B6571" s="2" t="str">
        <f>IFERROR(__xludf.DUMMYFUNCTION("IF(A6571&lt;&gt;"""", GOOGLETRANSLATE(A6571, ""en"", ""te""),"""")"),"[ '99 పరుగుల 1st (మరియు 199, 299 etc) (99)', 'ఇన్నింగ్స్ లో 4 వ ఉత్తమ ఆర్థిక రేటు (0.30)', 'బ్యాటింగ్ తెరవడం మరియు అదే మ్యాచ్ లో బౌలింగ్']")</f>
        <v>[ '99 పరుగుల 1st (మరియు 199, 299 etc) (99)', 'ఇన్నింగ్స్ లో 4 వ ఉత్తమ ఆర్థిక రేటు (0.30)', 'బ్యాటింగ్ తెరవడం మరియు అదే మ్యాచ్ లో బౌలింగ్']</v>
      </c>
      <c r="C6571" s="2" t="s">
        <v>3955</v>
      </c>
      <c r="D6571" s="2" t="str">
        <f>IFERROR(__xludf.DUMMYFUNCTION("IF(C6571&lt;&gt;"""", GOOGLETRANSLATE(C6571, ""en"", ""te""),"""")"),"[ '99 పరుగుల 1st (మరియు 199, 299 etc) (99)', 'ఒక డక్ లేకుండా 50 వ వరుస ఇన్నింగ్స్ (53)', 'ఇన్నింగ్స్ లో 4 వ ఉత్తమ ఆర్థిక రేటు (0.30)', '30 వ చెత్త కెరీర్ బౌలింగ్ సగటు (53.92) ',' 17 వ చెత్త కెరీర్లో సమ్మె రేటు (132.7) ',' 40 వ పిన్న క్రీడాకారులు (18y 26d)"&amp;" ',' 34 వ లాంగెస్ట్ కెరీర్లు (18y 96d) ']")</f>
        <v>[ '99 పరుగుల 1st (మరియు 199, 299 etc) (99)', 'ఒక డక్ లేకుండా 50 వ వరుస ఇన్నింగ్స్ (53)', 'ఇన్నింగ్స్ లో 4 వ ఉత్తమ ఆర్థిక రేటు (0.30)', '30 వ చెత్త కెరీర్ బౌలింగ్ సగటు (53.92) ',' 17 వ చెత్త కెరీర్లో సమ్మె రేటు (132.7) ',' 40 వ పిన్న క్రీడాకారులు (18y 26d) ',' 34 వ లాంగెస్ట్ కెరీర్లు (18y 96d) ']</v>
      </c>
      <c r="E6571" s="2" t="s">
        <v>3136</v>
      </c>
      <c r="F6571" s="2" t="str">
        <f>IFERROR(__xludf.DUMMYFUNCTION("IF(E6571&lt;&gt;"""", GOOGLETRANSLATE(E6571, ""en"", ""te""),"""")"),"[ '48 వ బెస్ట్ ఇన్నింగ్స్ లో ఆర్థిక రేటు (1.00)']")</f>
        <v>[ '48 వ బెస్ట్ ఇన్నింగ్స్ లో ఆర్థిక రేటు (1.00)']</v>
      </c>
      <c r="G6571" s="2"/>
      <c r="H6571" s="2" t="str">
        <f>IFERROR(__xludf.DUMMYFUNCTION("IF(G6571&lt;&gt;"""", GOOGLETRANSLATE(G6571, ""en"", ""te""),"""")"),"")</f>
        <v/>
      </c>
      <c r="I6571" s="3"/>
    </row>
    <row r="6572" customHeight="1" spans="1:9">
      <c r="A6572" s="2" t="s">
        <v>352</v>
      </c>
      <c r="B6572" s="2" t="str">
        <f>IFERROR(__xludf.DUMMYFUNCTION("IF(A6572&lt;&gt;"""", GOOGLETRANSLATE(A6572, ""en"", ""te""),"""")"),"[ 'బ్యాటింగ్ ప్రారంభించుటకు మరియు అదే మ్యాచ్ లో బౌలింగ్']")</f>
        <v>[ 'బ్యాటింగ్ ప్రారంభించుటకు మరియు అదే మ్యాచ్ లో బౌలింగ్']</v>
      </c>
      <c r="C6572" s="2"/>
      <c r="D6572" s="2" t="str">
        <f>IFERROR(__xludf.DUMMYFUNCTION("IF(C6572&lt;&gt;"""", GOOGLETRANSLATE(C6572, ""en"", ""te""),"""")"),"")</f>
        <v/>
      </c>
      <c r="E6572" s="2" t="s">
        <v>3956</v>
      </c>
      <c r="F6572" s="2" t="str">
        <f>IFERROR(__xludf.DUMMYFUNCTION("IF(E6572&lt;&gt;"""", GOOGLETRANSLATE(E6572, ""en"", ""te""),"""")"),"[ '47 వ ఒక సిరీస్లో అత్యధిక క్యాచ్లు (6)', 'ఎనిమిదవ వికెట్కు 48 వ అత్యధిక భాగస్వామ్యం (41 *)']")</f>
        <v>[ '47 వ ఒక సిరీస్లో అత్యధిక క్యాచ్లు (6)', 'ఎనిమిదవ వికెట్కు 48 వ అత్యధిక భాగస్వామ్యం (41 *)']</v>
      </c>
      <c r="G6572" s="2" t="s">
        <v>3957</v>
      </c>
      <c r="H6572" s="2" t="str">
        <f>IFERROR(__xludf.DUMMYFUNCTION("IF(G6572&lt;&gt;"""", GOOGLETRANSLATE(G6572, ""en"", ""te""),"""")"),"[ 'ఎనిమిదవ వికెట్కు 40 వ అత్యధిక భాగస్వామ్యం (22 *)']")</f>
        <v>[ 'ఎనిమిదవ వికెట్కు 40 వ అత్యధిక భాగస్వామ్యం (22 *)']</v>
      </c>
      <c r="I6572" s="3"/>
    </row>
    <row r="6573" customHeight="1" spans="1:9">
      <c r="A6573" s="2"/>
      <c r="B6573" s="2" t="str">
        <f>IFERROR(__xludf.DUMMYFUNCTION("IF(A6573&lt;&gt;"""", GOOGLETRANSLATE(A6573, ""en"", ""te""),"""")"),"")</f>
        <v/>
      </c>
      <c r="C6573" s="2"/>
      <c r="D6573" s="2" t="str">
        <f>IFERROR(__xludf.DUMMYFUNCTION("IF(C6573&lt;&gt;"""", GOOGLETRANSLATE(C6573, ""en"", ""te""),"""")"),"")</f>
        <v/>
      </c>
      <c r="E6573" s="2"/>
      <c r="F6573" s="2" t="str">
        <f>IFERROR(__xludf.DUMMYFUNCTION("IF(E6573&lt;&gt;"""", GOOGLETRANSLATE(E6573, ""en"", ""te""),"""")"),"")</f>
        <v/>
      </c>
      <c r="G6573" s="2"/>
      <c r="H6573" s="2" t="str">
        <f>IFERROR(__xludf.DUMMYFUNCTION("IF(G6573&lt;&gt;"""", GOOGLETRANSLATE(G6573, ""en"", ""te""),"""")"),"")</f>
        <v/>
      </c>
      <c r="I6573" s="3"/>
    </row>
    <row r="6574" customHeight="1" spans="1:9">
      <c r="A6574" s="2"/>
      <c r="B6574" s="2" t="str">
        <f>IFERROR(__xludf.DUMMYFUNCTION("IF(A6574&lt;&gt;"""", GOOGLETRANSLATE(A6574, ""en"", ""te""),"""")"),"")</f>
        <v/>
      </c>
      <c r="C6574" s="2"/>
      <c r="D6574" s="2" t="str">
        <f>IFERROR(__xludf.DUMMYFUNCTION("IF(C6574&lt;&gt;"""", GOOGLETRANSLATE(C6574, ""en"", ""te""),"""")"),"")</f>
        <v/>
      </c>
      <c r="E6574" s="2"/>
      <c r="F6574" s="2" t="str">
        <f>IFERROR(__xludf.DUMMYFUNCTION("IF(E6574&lt;&gt;"""", GOOGLETRANSLATE(E6574, ""en"", ""te""),"""")"),"")</f>
        <v/>
      </c>
      <c r="G6574" s="2"/>
      <c r="H6574" s="2" t="str">
        <f>IFERROR(__xludf.DUMMYFUNCTION("IF(G6574&lt;&gt;"""", GOOGLETRANSLATE(G6574, ""en"", ""te""),"""")"),"")</f>
        <v/>
      </c>
      <c r="I6574" s="3"/>
    </row>
    <row r="6575" customHeight="1" spans="1:9">
      <c r="A6575" s="2"/>
      <c r="B6575" s="2" t="str">
        <f>IFERROR(__xludf.DUMMYFUNCTION("IF(A6575&lt;&gt;"""", GOOGLETRANSLATE(A6575, ""en"", ""te""),"""")"),"")</f>
        <v/>
      </c>
      <c r="C6575" s="2"/>
      <c r="D6575" s="2" t="str">
        <f>IFERROR(__xludf.DUMMYFUNCTION("IF(C6575&lt;&gt;"""", GOOGLETRANSLATE(C6575, ""en"", ""te""),"""")"),"")</f>
        <v/>
      </c>
      <c r="E6575" s="2"/>
      <c r="F6575" s="2" t="str">
        <f>IFERROR(__xludf.DUMMYFUNCTION("IF(E6575&lt;&gt;"""", GOOGLETRANSLATE(E6575, ""en"", ""te""),"""")"),"")</f>
        <v/>
      </c>
      <c r="G6575" s="2"/>
      <c r="H6575" s="2" t="str">
        <f>IFERROR(__xludf.DUMMYFUNCTION("IF(G6575&lt;&gt;"""", GOOGLETRANSLATE(G6575, ""en"", ""te""),"""")"),"")</f>
        <v/>
      </c>
      <c r="I6575" s="3"/>
    </row>
    <row r="6576" customHeight="1" spans="1:9">
      <c r="A6576" s="2"/>
      <c r="B6576" s="2" t="str">
        <f>IFERROR(__xludf.DUMMYFUNCTION("IF(A6576&lt;&gt;"""", GOOGLETRANSLATE(A6576, ""en"", ""te""),"""")"),"")</f>
        <v/>
      </c>
      <c r="C6576" s="2"/>
      <c r="D6576" s="2" t="str">
        <f>IFERROR(__xludf.DUMMYFUNCTION("IF(C6576&lt;&gt;"""", GOOGLETRANSLATE(C6576, ""en"", ""te""),"""")"),"")</f>
        <v/>
      </c>
      <c r="E6576" s="2"/>
      <c r="F6576" s="2" t="str">
        <f>IFERROR(__xludf.DUMMYFUNCTION("IF(E6576&lt;&gt;"""", GOOGLETRANSLATE(E6576, ""en"", ""te""),"""")"),"")</f>
        <v/>
      </c>
      <c r="G6576" s="2"/>
      <c r="H6576" s="2" t="str">
        <f>IFERROR(__xludf.DUMMYFUNCTION("IF(G6576&lt;&gt;"""", GOOGLETRANSLATE(G6576, ""en"", ""te""),"""")"),"")</f>
        <v/>
      </c>
      <c r="I6576" s="3"/>
    </row>
    <row r="6577" customHeight="1" spans="1:9">
      <c r="A6577" s="2"/>
      <c r="B6577" s="2" t="str">
        <f>IFERROR(__xludf.DUMMYFUNCTION("IF(A6577&lt;&gt;"""", GOOGLETRANSLATE(A6577, ""en"", ""te""),"""")"),"")</f>
        <v/>
      </c>
      <c r="C6577" s="2"/>
      <c r="D6577" s="2" t="str">
        <f>IFERROR(__xludf.DUMMYFUNCTION("IF(C6577&lt;&gt;"""", GOOGLETRANSLATE(C6577, ""en"", ""te""),"""")"),"")</f>
        <v/>
      </c>
      <c r="E6577" s="2"/>
      <c r="F6577" s="2" t="str">
        <f>IFERROR(__xludf.DUMMYFUNCTION("IF(E6577&lt;&gt;"""", GOOGLETRANSLATE(E6577, ""en"", ""te""),"""")"),"")</f>
        <v/>
      </c>
      <c r="G6577" s="2"/>
      <c r="H6577" s="2" t="str">
        <f>IFERROR(__xludf.DUMMYFUNCTION("IF(G6577&lt;&gt;"""", GOOGLETRANSLATE(G6577, ""en"", ""te""),"""")"),"")</f>
        <v/>
      </c>
      <c r="I6577" s="3"/>
    </row>
    <row r="6578" customHeight="1" spans="1:9">
      <c r="A6578" s="2"/>
      <c r="B6578" s="2" t="str">
        <f>IFERROR(__xludf.DUMMYFUNCTION("IF(A6578&lt;&gt;"""", GOOGLETRANSLATE(A6578, ""en"", ""te""),"""")"),"")</f>
        <v/>
      </c>
      <c r="C6578" s="2"/>
      <c r="D6578" s="2" t="str">
        <f>IFERROR(__xludf.DUMMYFUNCTION("IF(C6578&lt;&gt;"""", GOOGLETRANSLATE(C6578, ""en"", ""te""),"""")"),"")</f>
        <v/>
      </c>
      <c r="E6578" s="2"/>
      <c r="F6578" s="2" t="str">
        <f>IFERROR(__xludf.DUMMYFUNCTION("IF(E6578&lt;&gt;"""", GOOGLETRANSLATE(E6578, ""en"", ""te""),"""")"),"")</f>
        <v/>
      </c>
      <c r="G6578" s="2"/>
      <c r="H6578" s="2" t="str">
        <f>IFERROR(__xludf.DUMMYFUNCTION("IF(G6578&lt;&gt;"""", GOOGLETRANSLATE(G6578, ""en"", ""te""),"""")"),"")</f>
        <v/>
      </c>
      <c r="I6578" s="3"/>
    </row>
    <row r="6579" customHeight="1" spans="1:9">
      <c r="A6579" s="2"/>
      <c r="B6579" s="2" t="str">
        <f>IFERROR(__xludf.DUMMYFUNCTION("IF(A6579&lt;&gt;"""", GOOGLETRANSLATE(A6579, ""en"", ""te""),"""")"),"")</f>
        <v/>
      </c>
      <c r="C6579" s="2"/>
      <c r="D6579" s="2" t="str">
        <f>IFERROR(__xludf.DUMMYFUNCTION("IF(C6579&lt;&gt;"""", GOOGLETRANSLATE(C6579, ""en"", ""te""),"""")"),"")</f>
        <v/>
      </c>
      <c r="E6579" s="2"/>
      <c r="F6579" s="2" t="str">
        <f>IFERROR(__xludf.DUMMYFUNCTION("IF(E6579&lt;&gt;"""", GOOGLETRANSLATE(E6579, ""en"", ""te""),"""")"),"")</f>
        <v/>
      </c>
      <c r="G6579" s="2"/>
      <c r="H6579" s="2" t="str">
        <f>IFERROR(__xludf.DUMMYFUNCTION("IF(G6579&lt;&gt;"""", GOOGLETRANSLATE(G6579, ""en"", ""te""),"""")"),"")</f>
        <v/>
      </c>
      <c r="I6579" s="3"/>
    </row>
    <row r="6580" customHeight="1" spans="1:9">
      <c r="A6580" s="2" t="s">
        <v>349</v>
      </c>
      <c r="B6580" s="2" t="str">
        <f>IFERROR(__xludf.DUMMYFUNCTION("IF(A6580&lt;&gt;"""", GOOGLETRANSLATE(A6580, ""en"", ""te""),"""")"),"[ '99 పరుగుల 1st (మరియు 199, 299 etc) (99)']")</f>
        <v>[ '99 పరుగుల 1st (మరియు 199, 299 etc) (99)']</v>
      </c>
      <c r="C6580" s="2" t="s">
        <v>349</v>
      </c>
      <c r="D6580" s="2" t="str">
        <f>IFERROR(__xludf.DUMMYFUNCTION("IF(C6580&lt;&gt;"""", GOOGLETRANSLATE(C6580, ""en"", ""te""),"""")"),"[ '99 పరుగుల 1st (మరియు 199, 299 etc) (99)']")</f>
        <v>[ '99 పరుగుల 1st (మరియు 199, 299 etc) (99)']</v>
      </c>
      <c r="E6580" s="2"/>
      <c r="F6580" s="2" t="str">
        <f>IFERROR(__xludf.DUMMYFUNCTION("IF(E6580&lt;&gt;"""", GOOGLETRANSLATE(E6580, ""en"", ""te""),"""")"),"")</f>
        <v/>
      </c>
      <c r="G6580" s="2"/>
      <c r="H6580" s="2" t="str">
        <f>IFERROR(__xludf.DUMMYFUNCTION("IF(G6580&lt;&gt;"""", GOOGLETRANSLATE(G6580, ""en"", ""te""),"""")"),"")</f>
        <v/>
      </c>
      <c r="I6580" s="3"/>
    </row>
    <row r="6581" customHeight="1" spans="1:9">
      <c r="A6581" s="2"/>
      <c r="B6581" s="2" t="str">
        <f>IFERROR(__xludf.DUMMYFUNCTION("IF(A6581&lt;&gt;"""", GOOGLETRANSLATE(A6581, ""en"", ""te""),"""")"),"")</f>
        <v/>
      </c>
      <c r="C6581" s="2"/>
      <c r="D6581" s="2" t="str">
        <f>IFERROR(__xludf.DUMMYFUNCTION("IF(C6581&lt;&gt;"""", GOOGLETRANSLATE(C6581, ""en"", ""te""),"""")"),"")</f>
        <v/>
      </c>
      <c r="E6581" s="2"/>
      <c r="F6581" s="2" t="str">
        <f>IFERROR(__xludf.DUMMYFUNCTION("IF(E6581&lt;&gt;"""", GOOGLETRANSLATE(E6581, ""en"", ""te""),"""")"),"")</f>
        <v/>
      </c>
      <c r="G6581" s="2"/>
      <c r="H6581" s="2" t="str">
        <f>IFERROR(__xludf.DUMMYFUNCTION("IF(G6581&lt;&gt;"""", GOOGLETRANSLATE(G6581, ""en"", ""te""),"""")"),"")</f>
        <v/>
      </c>
      <c r="I6581" s="3"/>
    </row>
    <row r="6582" customHeight="1" spans="1:9">
      <c r="A6582" s="2"/>
      <c r="B6582" s="2" t="str">
        <f>IFERROR(__xludf.DUMMYFUNCTION("IF(A6582&lt;&gt;"""", GOOGLETRANSLATE(A6582, ""en"", ""te""),"""")"),"")</f>
        <v/>
      </c>
      <c r="C6582" s="2" t="s">
        <v>2184</v>
      </c>
      <c r="D6582" s="2" t="str">
        <f>IFERROR(__xludf.DUMMYFUNCTION("IF(C6582&lt;&gt;"""", GOOGLETRANSLATE(C6582, ""en"", ""te""),"""")"),"[ '44 వ వరుస మ్యాచ్లు ప్రదర్శనల మధ్య (54) జట్టు తప్పిన']")</f>
        <v>[ '44 వ వరుస మ్యాచ్లు ప్రదర్శనల మధ్య (54) జట్టు తప్పిన']</v>
      </c>
      <c r="E6582" s="2" t="s">
        <v>3958</v>
      </c>
      <c r="F6582" s="2" t="str">
        <f>IFERROR(__xludf.DUMMYFUNCTION("IF(E6582&lt;&gt;"""", GOOGLETRANSLATE(E6582, ""en"", ""te""),"""")"),"[ 'మొదటి డక్ ముందు 40 వ అత్యంత ఇన్నింగ్స్ (30)', '37 వ చెత్త కెరీర్లో సమ్మె రేటు (60.1)']")</f>
        <v>[ 'మొదటి డక్ ముందు 40 వ అత్యంత ఇన్నింగ్స్ (30)', '37 వ చెత్త కెరీర్లో సమ్మె రేటు (60.1)']</v>
      </c>
      <c r="G6582" s="2"/>
      <c r="H6582" s="2" t="str">
        <f>IFERROR(__xludf.DUMMYFUNCTION("IF(G6582&lt;&gt;"""", GOOGLETRANSLATE(G6582, ""en"", ""te""),"""")"),"")</f>
        <v/>
      </c>
      <c r="I6582" s="3"/>
    </row>
    <row r="6583" customHeight="1" spans="1:9">
      <c r="A6583" s="2"/>
      <c r="B6583" s="2" t="str">
        <f>IFERROR(__xludf.DUMMYFUNCTION("IF(A6583&lt;&gt;"""", GOOGLETRANSLATE(A6583, ""en"", ""te""),"""")"),"")</f>
        <v/>
      </c>
      <c r="C6583" s="2"/>
      <c r="D6583" s="2" t="str">
        <f>IFERROR(__xludf.DUMMYFUNCTION("IF(C6583&lt;&gt;"""", GOOGLETRANSLATE(C6583, ""en"", ""te""),"""")"),"")</f>
        <v/>
      </c>
      <c r="E6583" s="2"/>
      <c r="F6583" s="2" t="str">
        <f>IFERROR(__xludf.DUMMYFUNCTION("IF(E6583&lt;&gt;"""", GOOGLETRANSLATE(E6583, ""en"", ""te""),"""")"),"")</f>
        <v/>
      </c>
      <c r="G6583" s="2"/>
      <c r="H6583" s="2" t="str">
        <f>IFERROR(__xludf.DUMMYFUNCTION("IF(G6583&lt;&gt;"""", GOOGLETRANSLATE(G6583, ""en"", ""te""),"""")"),"")</f>
        <v/>
      </c>
      <c r="I6583" s="3"/>
    </row>
    <row r="6584" customHeight="1" spans="1:9">
      <c r="A6584" s="2" t="s">
        <v>3959</v>
      </c>
      <c r="B6584" s="2" t="str">
        <f>IFERROR(__xludf.DUMMYFUNCTION("IF(A6584&lt;&gt;"""", GOOGLETRANSLATE(A6584, ""en"", ""te""),"""")"),"[ 'ఒక సిరీస్లో 6 వ అత్యధిక క్యాచ్లు (31)', 'అత్యధిక వికెట్లు ఇన్నింగ్స్ లో 4 వ అత్యధిక పరుగులు (104 *)', '5 వ అత్యధిక కెరీర్ బ్యాటింగ్ సగటు (44.36)', 'వరుస ఇన్నింగ్స్లో 3 వ యాభైల్లో (3)' 'తొలి వికెట్కు (197) 4 వ అత్యధిక భాగస్వామ్యం']")</f>
        <v>[ 'ఒక సిరీస్లో 6 వ అత్యధిక క్యాచ్లు (31)', 'అత్యధిక వికెట్లు ఇన్నింగ్స్ లో 4 వ అత్యధిక పరుగులు (104 *)', '5 వ అత్యధిక కెరీర్ బ్యాటింగ్ సగటు (44.36)', 'వరుస ఇన్నింగ్స్లో 3 వ యాభైల్లో (3)' 'తొలి వికెట్కు (197) 4 వ అత్యధిక భాగస్వామ్యం']</v>
      </c>
      <c r="C6584" s="2" t="s">
        <v>3960</v>
      </c>
      <c r="D6584" s="2" t="str">
        <f>IFERROR(__xludf.DUMMYFUNCTION("IF(C6584&lt;&gt;"""", GOOGLETRANSLATE(C6584, ""en"", ""te""),"""")"),"[ 'వరుస ఇన్నింగ్స్లో 32 వ యాభైల్లో (5)', 'వికెట్ (2) ఉంచింది చేసిన 25 కెప్టెన్ల' 'ఒక సిరీస్లో 6 వ అత్యధిక క్యాచ్లు (31)', '23 వ ఎత్తైన ఇన్నింగ్స్ బై గూడా ఇవ్వకుండా మొత్తం (589/3) ',' 19 వ అత్యంత బైలు ఇన్నింగ్స్ (27) లో సాధించిన]")</f>
        <v>[ 'వరుస ఇన్నింగ్స్లో 32 వ యాభైల్లో (5)', 'వికెట్ (2) ఉంచింది చేసిన 25 కెప్టెన్ల' 'ఒక సిరీస్లో 6 వ అత్యధిక క్యాచ్లు (31)', '23 వ ఎత్తైన ఇన్నింగ్స్ బై గూడా ఇవ్వకుండా మొత్తం (589/3) ',' 19 వ అత్యంత బైలు ఇన్నింగ్స్ (27) లో సాధించిన]</v>
      </c>
      <c r="E6584" s="2" t="s">
        <v>3961</v>
      </c>
      <c r="F6584" s="2" t="str">
        <f>IFERROR(__xludf.DUMMYFUNCTION("IF(E6584&lt;&gt;"""", GOOGLETRANSLATE(E6584, ""en"", ""te""),"""")"),"[ 'ఆరవ వికెట్ (124) కోసం 48 వ అత్యధిక భాగస్వామ్యం']")</f>
        <v>[ 'ఆరవ వికెట్ (124) కోసం 48 వ అత్యధిక భాగస్వామ్యం']</v>
      </c>
      <c r="G6584" s="2" t="s">
        <v>3962</v>
      </c>
      <c r="H6584" s="2" t="str">
        <f>IFERROR(__xludf.DUMMYFUNCTION("IF(G6584&lt;&gt;"""", GOOGLETRANSLATE(G6584, ""en"", ""te""),"""")"),"[ '36 వ ఇన్నింగ్స్ లో అత్యధిక పరుగులు (104 *)', '14 వ ఒక క్యాలెండర్ సంవత్సరంలో అత్యధిక పరుగులు (530)', '27 వ ఇన్నింగ్స్ లో అత్యధిక పరుగులు (బ్యాటింగ్ స్థానంలో ప్రకారం) (104 *)', '4 వ అత్యధిక పరుగులు వికెట్కీపర్గా (104 *) ద్వారా ఇన్నింగ్స్ ',' 5 వ అత్యధిక "&amp;"కెరీర్ బ్యాటింగ్ సగటు (44.36) ',' 41 వ కెరీర్ అర్ధ (7) ',' వరుస ఇన్నింగ్స్లో 3 వ యాభైల్లో (3) ',' 42 వ ఒక లో వచ్చిన ఎక్కువ సిక్స్ ఇన్నింగ్స్ (7) ', '21 వ లాంగెస్ట్ వ్యక్తిగత ఇన్నింగ్స్ (బంతులతో) (64)', '16 వ అత్యధిక ఏ వికెట్కు ఇన్నింగ్స్ పూర్తి (61.53)',"&amp;" '4 వ అత్యధిక భాగస్వామ్య పరుగులు శాతం (197)', '4 వ అత్యధిక మొదటి వికెట్ కొరకు చేసిన భాగస్వామ్యం (197) ',' రెండవ వికెట్కు 20 వ అత్యధిక భాగస్వామ్యం (126) ',' ఆరవ వికెట్కు 48 వ అత్యధిక భాగస్వామ్యం (61) ',' 19 వ అత్యధిక కెరీర్ లో (23) ',' 20 వ అత్యధిక వికెట్ల"&amp;"ు కెరీర్లో క్యాచ్లు (17) ',' 13 వ ఇన్నింగ్స్ లో అత్యధిక క్యాచ్లు (3) ',' 17 వ కెరీర్ (6) అత్యంత స్టంపింగ్లు ']")</f>
        <v>[ '36 వ ఇన్నింగ్స్ లో అత్యధిక పరుగులు (104 *)', '14 వ ఒక క్యాలెండర్ సంవత్సరంలో అత్యధిక పరుగులు (530)', '27 వ ఇన్నింగ్స్ లో అత్యధిక పరుగులు (బ్యాటింగ్ స్థానంలో ప్రకారం) (104 *)', '4 వ అత్యధిక పరుగులు వికెట్కీపర్గా (104 *) ద్వారా ఇన్నింగ్స్ ',' 5 వ అత్యధిక కెరీర్ బ్యాటింగ్ సగటు (44.36) ',' 41 వ కెరీర్ అర్ధ (7) ',' వరుస ఇన్నింగ్స్లో 3 వ యాభైల్లో (3) ',' 42 వ ఒక లో వచ్చిన ఎక్కువ సిక్స్ ఇన్నింగ్స్ (7) ', '21 వ లాంగెస్ట్ వ్యక్తిగత ఇన్నింగ్స్ (బంతులతో) (64)', '16 వ అత్యధిక ఏ వికెట్కు ఇన్నింగ్స్ పూర్తి (61.53)', '4 వ అత్యధిక భాగస్వామ్య పరుగులు శాతం (197)', '4 వ అత్యధిక మొదటి వికెట్ కొరకు చేసిన భాగస్వామ్యం (197) ',' రెండవ వికెట్కు 20 వ అత్యధిక భాగస్వామ్యం (126) ',' ఆరవ వికెట్కు 48 వ అత్యధిక భాగస్వామ్యం (61) ',' 19 వ అత్యధిక కెరీర్ లో (23) ',' 20 వ అత్యధిక వికెట్లు కెరీర్లో క్యాచ్లు (17) ',' 13 వ ఇన్నింగ్స్ లో అత్యధిక క్యాచ్లు (3) ',' 17 వ కెరీర్ (6) అత్యంత స్టంపింగ్లు ']</v>
      </c>
      <c r="I6584" s="3"/>
    </row>
    <row r="6585" customHeight="1" spans="1:9">
      <c r="A6585" s="2"/>
      <c r="B6585" s="2" t="str">
        <f>IFERROR(__xludf.DUMMYFUNCTION("IF(A6585&lt;&gt;"""", GOOGLETRANSLATE(A6585, ""en"", ""te""),"""")"),"")</f>
        <v/>
      </c>
      <c r="C6585" s="2"/>
      <c r="D6585" s="2" t="str">
        <f>IFERROR(__xludf.DUMMYFUNCTION("IF(C6585&lt;&gt;"""", GOOGLETRANSLATE(C6585, ""en"", ""te""),"""")"),"")</f>
        <v/>
      </c>
      <c r="E6585" s="2"/>
      <c r="F6585" s="2" t="str">
        <f>IFERROR(__xludf.DUMMYFUNCTION("IF(E6585&lt;&gt;"""", GOOGLETRANSLATE(E6585, ""en"", ""te""),"""")"),"")</f>
        <v/>
      </c>
      <c r="G6585" s="2" t="s">
        <v>3963</v>
      </c>
      <c r="H6585" s="2" t="str">
        <f>IFERROR(__xludf.DUMMYFUNCTION("IF(G6585&lt;&gt;"""", GOOGLETRANSLATE(G6585, ""en"", ""te""),"""")"),"[ '24 చెత్త కెరీర్ బౌలింగ్ సరాసరి (అర్హత లేకుండా) (75,00)']")</f>
        <v>[ '24 చెత్త కెరీర్ బౌలింగ్ సరాసరి (అర్హత లేకుండా) (75,00)']</v>
      </c>
      <c r="I6585" s="3"/>
    </row>
    <row r="6586" customHeight="1" spans="1:9">
      <c r="A6586" s="2"/>
      <c r="B6586" s="2" t="str">
        <f>IFERROR(__xludf.DUMMYFUNCTION("IF(A6586&lt;&gt;"""", GOOGLETRANSLATE(A6586, ""en"", ""te""),"""")"),"")</f>
        <v/>
      </c>
      <c r="C6586" s="2"/>
      <c r="D6586" s="2" t="str">
        <f>IFERROR(__xludf.DUMMYFUNCTION("IF(C6586&lt;&gt;"""", GOOGLETRANSLATE(C6586, ""en"", ""te""),"""")"),"")</f>
        <v/>
      </c>
      <c r="E6586" s="2"/>
      <c r="F6586" s="2" t="str">
        <f>IFERROR(__xludf.DUMMYFUNCTION("IF(E6586&lt;&gt;"""", GOOGLETRANSLATE(E6586, ""en"", ""te""),"""")"),"")</f>
        <v/>
      </c>
      <c r="G6586" s="2"/>
      <c r="H6586" s="2" t="str">
        <f>IFERROR(__xludf.DUMMYFUNCTION("IF(G6586&lt;&gt;"""", GOOGLETRANSLATE(G6586, ""en"", ""te""),"""")"),"")</f>
        <v/>
      </c>
      <c r="I6586" s="3"/>
    </row>
    <row r="6587" customHeight="1" spans="1:9">
      <c r="A6587" s="2"/>
      <c r="B6587" s="2" t="str">
        <f>IFERROR(__xludf.DUMMYFUNCTION("IF(A6587&lt;&gt;"""", GOOGLETRANSLATE(A6587, ""en"", ""te""),"""")"),"")</f>
        <v/>
      </c>
      <c r="C6587" s="2"/>
      <c r="D6587" s="2" t="str">
        <f>IFERROR(__xludf.DUMMYFUNCTION("IF(C6587&lt;&gt;"""", GOOGLETRANSLATE(C6587, ""en"", ""te""),"""")"),"")</f>
        <v/>
      </c>
      <c r="E6587" s="2"/>
      <c r="F6587" s="2" t="str">
        <f>IFERROR(__xludf.DUMMYFUNCTION("IF(E6587&lt;&gt;"""", GOOGLETRANSLATE(E6587, ""en"", ""te""),"""")"),"")</f>
        <v/>
      </c>
      <c r="G6587" s="2"/>
      <c r="H6587" s="2" t="str">
        <f>IFERROR(__xludf.DUMMYFUNCTION("IF(G6587&lt;&gt;"""", GOOGLETRANSLATE(G6587, ""en"", ""te""),"""")"),"")</f>
        <v/>
      </c>
      <c r="I6587" s="3"/>
    </row>
    <row r="6588" customHeight="1" spans="1:9">
      <c r="A6588" s="2"/>
      <c r="B6588" s="2" t="str">
        <f>IFERROR(__xludf.DUMMYFUNCTION("IF(A6588&lt;&gt;"""", GOOGLETRANSLATE(A6588, ""en"", ""te""),"""")"),"")</f>
        <v/>
      </c>
      <c r="C6588" s="2"/>
      <c r="D6588" s="2" t="str">
        <f>IFERROR(__xludf.DUMMYFUNCTION("IF(C6588&lt;&gt;"""", GOOGLETRANSLATE(C6588, ""en"", ""te""),"""")"),"")</f>
        <v/>
      </c>
      <c r="E6588" s="2"/>
      <c r="F6588" s="2" t="str">
        <f>IFERROR(__xludf.DUMMYFUNCTION("IF(E6588&lt;&gt;"""", GOOGLETRANSLATE(E6588, ""en"", ""te""),"""")"),"")</f>
        <v/>
      </c>
      <c r="G6588" s="2"/>
      <c r="H6588" s="2" t="str">
        <f>IFERROR(__xludf.DUMMYFUNCTION("IF(G6588&lt;&gt;"""", GOOGLETRANSLATE(G6588, ""en"", ""te""),"""")"),"")</f>
        <v/>
      </c>
      <c r="I6588" s="3"/>
    </row>
    <row r="6589" customHeight="1" spans="1:9">
      <c r="A6589" s="2"/>
      <c r="B6589" s="2" t="str">
        <f>IFERROR(__xludf.DUMMYFUNCTION("IF(A6589&lt;&gt;"""", GOOGLETRANSLATE(A6589, ""en"", ""te""),"""")"),"")</f>
        <v/>
      </c>
      <c r="C6589" s="2"/>
      <c r="D6589" s="2" t="str">
        <f>IFERROR(__xludf.DUMMYFUNCTION("IF(C6589&lt;&gt;"""", GOOGLETRANSLATE(C6589, ""en"", ""te""),"""")"),"")</f>
        <v/>
      </c>
      <c r="E6589" s="2"/>
      <c r="F6589" s="2" t="str">
        <f>IFERROR(__xludf.DUMMYFUNCTION("IF(E6589&lt;&gt;"""", GOOGLETRANSLATE(E6589, ""en"", ""te""),"""")"),"")</f>
        <v/>
      </c>
      <c r="G6589" s="2"/>
      <c r="H6589" s="2" t="str">
        <f>IFERROR(__xludf.DUMMYFUNCTION("IF(G6589&lt;&gt;"""", GOOGLETRANSLATE(G6589, ""en"", ""te""),"""")"),"")</f>
        <v/>
      </c>
      <c r="I6589" s="3"/>
    </row>
    <row r="6590" customHeight="1" spans="1:9">
      <c r="A6590" s="2"/>
      <c r="B6590" s="2" t="str">
        <f>IFERROR(__xludf.DUMMYFUNCTION("IF(A6590&lt;&gt;"""", GOOGLETRANSLATE(A6590, ""en"", ""te""),"""")"),"")</f>
        <v/>
      </c>
      <c r="C6590" s="2"/>
      <c r="D6590" s="2" t="str">
        <f>IFERROR(__xludf.DUMMYFUNCTION("IF(C6590&lt;&gt;"""", GOOGLETRANSLATE(C6590, ""en"", ""te""),"""")"),"")</f>
        <v/>
      </c>
      <c r="E6590" s="2"/>
      <c r="F6590" s="2" t="str">
        <f>IFERROR(__xludf.DUMMYFUNCTION("IF(E6590&lt;&gt;"""", GOOGLETRANSLATE(E6590, ""en"", ""te""),"""")"),"")</f>
        <v/>
      </c>
      <c r="G6590" s="2"/>
      <c r="H6590" s="2" t="str">
        <f>IFERROR(__xludf.DUMMYFUNCTION("IF(G6590&lt;&gt;"""", GOOGLETRANSLATE(G6590, ""en"", ""te""),"""")"),"")</f>
        <v/>
      </c>
      <c r="I6590" s="3"/>
    </row>
    <row r="6591" customHeight="1" spans="1:9">
      <c r="A6591" s="2"/>
      <c r="B6591" s="2" t="str">
        <f>IFERROR(__xludf.DUMMYFUNCTION("IF(A6591&lt;&gt;"""", GOOGLETRANSLATE(A6591, ""en"", ""te""),"""")"),"")</f>
        <v/>
      </c>
      <c r="C6591" s="2"/>
      <c r="D6591" s="2" t="str">
        <f>IFERROR(__xludf.DUMMYFUNCTION("IF(C6591&lt;&gt;"""", GOOGLETRANSLATE(C6591, ""en"", ""te""),"""")"),"")</f>
        <v/>
      </c>
      <c r="E6591" s="2"/>
      <c r="F6591" s="2" t="str">
        <f>IFERROR(__xludf.DUMMYFUNCTION("IF(E6591&lt;&gt;"""", GOOGLETRANSLATE(E6591, ""en"", ""te""),"""")"),"")</f>
        <v/>
      </c>
      <c r="G6591" s="2"/>
      <c r="H6591" s="2" t="str">
        <f>IFERROR(__xludf.DUMMYFUNCTION("IF(G6591&lt;&gt;"""", GOOGLETRANSLATE(G6591, ""en"", ""te""),"""")"),"")</f>
        <v/>
      </c>
      <c r="I6591" s="3"/>
    </row>
    <row r="6592" customHeight="1" spans="1:9">
      <c r="A6592" s="2"/>
      <c r="B6592" s="2" t="str">
        <f>IFERROR(__xludf.DUMMYFUNCTION("IF(A6592&lt;&gt;"""", GOOGLETRANSLATE(A6592, ""en"", ""te""),"""")"),"")</f>
        <v/>
      </c>
      <c r="C6592" s="2"/>
      <c r="D6592" s="2" t="str">
        <f>IFERROR(__xludf.DUMMYFUNCTION("IF(C6592&lt;&gt;"""", GOOGLETRANSLATE(C6592, ""en"", ""te""),"""")"),"")</f>
        <v/>
      </c>
      <c r="E6592" s="2"/>
      <c r="F6592" s="2" t="str">
        <f>IFERROR(__xludf.DUMMYFUNCTION("IF(E6592&lt;&gt;"""", GOOGLETRANSLATE(E6592, ""en"", ""te""),"""")"),"")</f>
        <v/>
      </c>
      <c r="G6592" s="2"/>
      <c r="H6592" s="2" t="str">
        <f>IFERROR(__xludf.DUMMYFUNCTION("IF(G6592&lt;&gt;"""", GOOGLETRANSLATE(G6592, ""en"", ""te""),"""")"),"")</f>
        <v/>
      </c>
      <c r="I6592" s="3"/>
    </row>
    <row r="6593" customHeight="1" spans="1:9">
      <c r="A6593" s="2"/>
      <c r="B6593" s="2" t="str">
        <f>IFERROR(__xludf.DUMMYFUNCTION("IF(A6593&lt;&gt;"""", GOOGLETRANSLATE(A6593, ""en"", ""te""),"""")"),"")</f>
        <v/>
      </c>
      <c r="C6593" s="2"/>
      <c r="D6593" s="2" t="str">
        <f>IFERROR(__xludf.DUMMYFUNCTION("IF(C6593&lt;&gt;"""", GOOGLETRANSLATE(C6593, ""en"", ""te""),"""")"),"")</f>
        <v/>
      </c>
      <c r="E6593" s="2"/>
      <c r="F6593" s="2" t="str">
        <f>IFERROR(__xludf.DUMMYFUNCTION("IF(E6593&lt;&gt;"""", GOOGLETRANSLATE(E6593, ""en"", ""te""),"""")"),"")</f>
        <v/>
      </c>
      <c r="G6593" s="2"/>
      <c r="H6593" s="2" t="str">
        <f>IFERROR(__xludf.DUMMYFUNCTION("IF(G6593&lt;&gt;"""", GOOGLETRANSLATE(G6593, ""en"", ""te""),"""")"),"")</f>
        <v/>
      </c>
      <c r="I6593" s="3"/>
    </row>
    <row r="6594" customHeight="1" spans="1:9">
      <c r="A6594" s="2"/>
      <c r="B6594" s="2" t="str">
        <f>IFERROR(__xludf.DUMMYFUNCTION("IF(A6594&lt;&gt;"""", GOOGLETRANSLATE(A6594, ""en"", ""te""),"""")"),"")</f>
        <v/>
      </c>
      <c r="C6594" s="2"/>
      <c r="D6594" s="2" t="str">
        <f>IFERROR(__xludf.DUMMYFUNCTION("IF(C6594&lt;&gt;"""", GOOGLETRANSLATE(C6594, ""en"", ""te""),"""")"),"")</f>
        <v/>
      </c>
      <c r="E6594" s="2"/>
      <c r="F6594" s="2" t="str">
        <f>IFERROR(__xludf.DUMMYFUNCTION("IF(E6594&lt;&gt;"""", GOOGLETRANSLATE(E6594, ""en"", ""te""),"""")"),"")</f>
        <v/>
      </c>
      <c r="G6594" s="2"/>
      <c r="H6594" s="2" t="str">
        <f>IFERROR(__xludf.DUMMYFUNCTION("IF(G6594&lt;&gt;"""", GOOGLETRANSLATE(G6594, ""en"", ""te""),"""")"),"")</f>
        <v/>
      </c>
      <c r="I6594" s="3"/>
    </row>
    <row r="6595" customHeight="1" spans="1:9">
      <c r="A6595" s="2" t="s">
        <v>3964</v>
      </c>
      <c r="B6595" s="2" t="str">
        <f>IFERROR(__xludf.DUMMYFUNCTION("IF(A6595&lt;&gt;"""", GOOGLETRANSLATE(A6595, ""en"", ""te""),"""")"),"[ '5 వ ఓల్డెస్ట్ కాప్టెన్ (42y 351d)', 'హండ్రెడ్ ఒక మ్యాచ్లో ప్రతి ఇన్నింగ్స్లో' '99 నాటౌట్ (199, 299 etc) (99 *)', 'వరుస ఇన్నింగ్స్లో 7 వ యాభైల్లో (6)', ' నూట ఒక మ్యాచ్లో ఒక డక్ ',' 5000 పరుగులు మరియు 50 ఫీల్డింగ్ వికెట్లు ',' ఒక జట్టు కెప్టెన్గా 6 వ వర"&amp;"ుస మ్యాచ్లు (75) ',' వంద (5122) ',' 2 వ లేకుండా కెరీర్లో 1st అత్యధిక పరుగులు ఒక ఇన్నింగ్స్ లో అత్యధిక క్యాచ్లు (4) ',' 5000 పరుగులు మరియు 50 ఫీల్డింగ్ వికెట్లు ',' 6 వ వరుస మ్యాచ్లు ఒక జట్టు కెప్టెన్గా వరుస ఇన్నింగ్స్లో (75) ',' 6 వ వందల (3) ',' వరుసగా 2 "&amp;"వ యాభైల్లో ఇన్నింగ్స్ (7) ']")</f>
        <v>[ '5 వ ఓల్డెస్ట్ కాప్టెన్ (42y 351d)', 'హండ్రెడ్ ఒక మ్యాచ్లో ప్రతి ఇన్నింగ్స్లో' '99 నాటౌట్ (199, 299 etc) (99 *)', 'వరుస ఇన్నింగ్స్లో 7 వ యాభైల్లో (6)', ' నూట ఒక మ్యాచ్లో ఒక డక్ ',' 5000 పరుగులు మరియు 50 ఫీల్డింగ్ వికెట్లు ',' ఒక జట్టు కెప్టెన్గా 6 వ వరుస మ్యాచ్లు (75) ',' వంద (5122) ',' 2 వ లేకుండా కెరీర్లో 1st అత్యధిక పరుగులు ఒక ఇన్నింగ్స్ లో అత్యధిక క్యాచ్లు (4) ',' 5000 పరుగులు మరియు 50 ఫీల్డింగ్ వికెట్లు ',' 6 వ వరుస మ్యాచ్లు ఒక జట్టు కెప్టెన్గా వరుస ఇన్నింగ్స్లో (75) ',' 6 వ వందల (3) ',' వరుసగా 2 వ యాభైల్లో ఇన్నింగ్స్ (7) ']</v>
      </c>
      <c r="C6595" s="2" t="s">
        <v>3965</v>
      </c>
      <c r="D6595" s="2" t="str">
        <f>IFERROR(__xludf.DUMMYFUNCTION("IF(C6595&lt;&gt;"""", GOOGLETRANSLATE(C6595, ""en"", ""te""),"""")"),"[ '41 వ అత్యధిక ఇన్నింగ్స్ లో సమ్మె రేటు (177.19)', 'వరుస ఇన్నింగ్స్లో 5 వ వందల (3)', '6 వ అత్యంత వృద్ధ ఆటగాడు వంద (42y 47d) స్కోర్' '20 వ కెరీర్ తొంభైల (5)', 'వరుస ఇన్నింగ్స్లో 7 వ యాభైల్లో (6)', 'వరుస మ్యాచ్లలో 26 యాభైల్లో (7)', '11 వ కెరీర్ లో వచ్చి"&amp;"న ఎక్కువ సిక్స్ (81)', 'ఆరవ వికెట్కు 41 వ అత్యధిక భాగస్వామ్యం (207)', '27 వ ఓల్డెస్ట్ క్రీడాకారులు (42y 351d) ',' 10 వ కెప్టెన్గా అత్యధిక మ్యాచ్లు (56) ',' ఒక జట్టు కెప్టెన్ (35) ',' 47 వ వరుస అన్ని టాస్ గెలిచిన (3) ',' 5 వ ఓల్డెస్ట్ కెప్టెన్లు 13 వ వరుస "&amp;"మ్యాచ్లు ( 42y 351d) ',' కెప్టెన్సీ తొలి 34 వ ఓల్డెస్ట్ కాప్టెన్ (36y 168d) ']")</f>
        <v>[ '41 వ అత్యధిక ఇన్నింగ్స్ లో సమ్మె రేటు (177.19)', 'వరుస ఇన్నింగ్స్లో 5 వ వందల (3)', '6 వ అత్యంత వృద్ధ ఆటగాడు వంద (42y 47d) స్కోర్' '20 వ కెరీర్ తొంభైల (5)', 'వరుస ఇన్నింగ్స్లో 7 వ యాభైల్లో (6)', 'వరుస మ్యాచ్లలో 26 యాభైల్లో (7)', '11 వ కెరీర్ లో వచ్చిన ఎక్కువ సిక్స్ (81)', 'ఆరవ వికెట్కు 41 వ అత్యధిక భాగస్వామ్యం (207)', '27 వ ఓల్డెస్ట్ క్రీడాకారులు (42y 351d) ',' 10 వ కెప్టెన్గా అత్యధిక మ్యాచ్లు (56) ',' ఒక జట్టు కెప్టెన్ (35) ',' 47 వ వరుస అన్ని టాస్ గెలిచిన (3) ',' 5 వ ఓల్డెస్ట్ కెప్టెన్లు 13 వ వరుస మ్యాచ్లు ( 42y 351d) ',' కెప్టెన్సీ తొలి 34 వ ఓల్డెస్ట్ కాప్టెన్ (36y 168d) ']</v>
      </c>
      <c r="E6595" s="2" t="s">
        <v>3966</v>
      </c>
      <c r="F6595" s="2" t="str">
        <f>IFERROR(__xludf.DUMMYFUNCTION("IF(E6595&lt;&gt;"""", GOOGLETRANSLATE(E6595, ""en"", ""te""),"""")"),"[ '20 వ అత్యంత ఒక క్యాలెండర్ సంవత్సరంలో పరుగులు (1373)', 'ఒక సిరీస్లో ఒక కెప్టెన్తో 37 వ అత్యధిక పరుగులు (350)', '37 వ అత్యధిక కెరీర్ బ్యాటింగ్ సగటు వంద (5122) లేకుండా ఒక వృత్తిలో 1st అత్యధిక పరుగులు' (43.40) ',' వరుస ఇన్నింగ్స్లో 44 వ యాభైల్లో (4) ',' ఒ"&amp;"క ఇన్నింగ్స్లో పరుగుల 30 వ అత్యధిక శాతం (56.47) ',' 43 వ 4000 పరుగులు (118) ',' ఫాస్టెస్ట్ 37 వ 5000 పరుగులు వేగంగా (147 ) ',' 2 వ ఇన్నింగ్స్ జట్టు (4) ',' 25 వ వరుస మ్యాచ్లు లో అత్యధిక క్యాచ్లు (88) ',' 33 వ ఓల్డెస్ట్ క్రీడాకారులు (40y 296d) ',' 25 వ అత్"&amp;"యధిక మ్యాచ్లు కెప్టెన్గా (87) ',' 6 వ అత్యంత జట్టు కెప్టెన్గా వరుస మ్యాచ్లు (75) ',' 10 వ ఓల్డెస్ట్ కాప్టెన్ (40y 296d) ',' కెప్టెన్సీ తొలి 43 వ ఓల్డెస్ట్ కాప్టెన్ (34y -35 D) ']")</f>
        <v>[ '20 వ అత్యంత ఒక క్యాలెండర్ సంవత్సరంలో పరుగులు (1373)', 'ఒక సిరీస్లో ఒక కెప్టెన్తో 37 వ అత్యధిక పరుగులు (350)', '37 వ అత్యధిక కెరీర్ బ్యాటింగ్ సగటు వంద (5122) లేకుండా ఒక వృత్తిలో 1st అత్యధిక పరుగులు' (43.40) ',' వరుస ఇన్నింగ్స్లో 44 వ యాభైల్లో (4) ',' ఒక ఇన్నింగ్స్లో పరుగుల 30 వ అత్యధిక శాతం (56.47) ',' 43 వ 4000 పరుగులు (118) ',' ఫాస్టెస్ట్ 37 వ 5000 పరుగులు వేగంగా (147 ) ',' 2 వ ఇన్నింగ్స్ జట్టు (4) ',' 25 వ వరుస మ్యాచ్లు లో అత్యధిక క్యాచ్లు (88) ',' 33 వ ఓల్డెస్ట్ క్రీడాకారులు (40y 296d) ',' 25 వ అత్యధిక మ్యాచ్లు కెప్టెన్గా (87) ',' 6 వ అత్యంత జట్టు కెప్టెన్గా వరుస మ్యాచ్లు (75) ',' 10 వ ఓల్డెస్ట్ కాప్టెన్ (40y 296d) ',' కెప్టెన్సీ తొలి 43 వ ఓల్డెస్ట్ కాప్టెన్ (34y -35 D) ']</v>
      </c>
      <c r="G6595" s="2" t="s">
        <v>3967</v>
      </c>
      <c r="H6595" s="2" t="str">
        <f>IFERROR(__xludf.DUMMYFUNCTION("IF(G6595&lt;&gt;"""", GOOGLETRANSLATE(G6595, ""en"", ""te""),"""")"),"[ '12 వ ఇన్నింగ్స్ లో అత్యధిక పరుగులు (బ్యాటింగ్ స్థానంలో ప్రకారం) (66 *)', '13 వ అత్యధిక కెరీర్ బ్యాటింగ్ సగటు (37.52)', '18 వ అత్యంత ఇన్నింగ్స్ తొలి డక్ ముందు (24)', '23 వ ఎత్తైన ఆరో వికెట్కు భాగస్వామ్యానికి (71) ',' ఎనిమిదవ వికెట్కు 48 వ అత్యధిక భాగస్"&amp;"వామ్యం (34) ',' పదవ వికెట్కు 24 అత్యధిక భాగస్వామ్యం (20) ',' 35 వ ఓల్డెస్ట్ కాప్టెన్ (37y 275d) ',' కెప్టెన్సీ తొలి 47 వ ఓల్డెస్ట్ కాప్టెన్ (34y 344d) ',' బృందం (75 కెప్టెన్గా 6 వ వరుస మ్యాచ్లు) ']")</f>
        <v>[ '12 వ ఇన్నింగ్స్ లో అత్యధిక పరుగులు (బ్యాటింగ్ స్థానంలో ప్రకారం) (66 *)', '13 వ అత్యధిక కెరీర్ బ్యాటింగ్ సగటు (37.52)', '18 వ అత్యంత ఇన్నింగ్స్ తొలి డక్ ముందు (24)', '23 వ ఎత్తైన ఆరో వికెట్కు భాగస్వామ్యానికి (71) ',' ఎనిమిదవ వికెట్కు 48 వ అత్యధిక భాగస్వామ్యం (34) ',' పదవ వికెట్కు 24 అత్యధిక భాగస్వామ్యం (20) ',' 35 వ ఓల్డెస్ట్ కాప్టెన్ (37y 275d) ',' కెప్టెన్సీ తొలి 47 వ ఓల్డెస్ట్ కాప్టెన్ (34y 344d) ',' బృందం (75 కెప్టెన్గా 6 వ వరుస మ్యాచ్లు) ']</v>
      </c>
      <c r="I6595" s="3"/>
    </row>
    <row r="6596" customHeight="1" spans="1:9">
      <c r="A6596" s="2"/>
      <c r="B6596" s="2" t="str">
        <f>IFERROR(__xludf.DUMMYFUNCTION("IF(A6596&lt;&gt;"""", GOOGLETRANSLATE(A6596, ""en"", ""te""),"""")"),"")</f>
        <v/>
      </c>
      <c r="C6596" s="2"/>
      <c r="D6596" s="2" t="str">
        <f>IFERROR(__xludf.DUMMYFUNCTION("IF(C6596&lt;&gt;"""", GOOGLETRANSLATE(C6596, ""en"", ""te""),"""")"),"")</f>
        <v/>
      </c>
      <c r="E6596" s="2"/>
      <c r="F6596" s="2" t="str">
        <f>IFERROR(__xludf.DUMMYFUNCTION("IF(E6596&lt;&gt;"""", GOOGLETRANSLATE(E6596, ""en"", ""te""),"""")"),"")</f>
        <v/>
      </c>
      <c r="G6596" s="2"/>
      <c r="H6596" s="2" t="str">
        <f>IFERROR(__xludf.DUMMYFUNCTION("IF(G6596&lt;&gt;"""", GOOGLETRANSLATE(G6596, ""en"", ""te""),"""")"),"")</f>
        <v/>
      </c>
      <c r="I6596" s="3"/>
    </row>
    <row r="6597" customHeight="1" spans="1:9">
      <c r="A6597" s="2"/>
      <c r="B6597" s="2" t="str">
        <f>IFERROR(__xludf.DUMMYFUNCTION("IF(A6597&lt;&gt;"""", GOOGLETRANSLATE(A6597, ""en"", ""te""),"""")"),"")</f>
        <v/>
      </c>
      <c r="C6597" s="2"/>
      <c r="D6597" s="2" t="str">
        <f>IFERROR(__xludf.DUMMYFUNCTION("IF(C6597&lt;&gt;"""", GOOGLETRANSLATE(C6597, ""en"", ""te""),"""")"),"")</f>
        <v/>
      </c>
      <c r="E6597" s="2"/>
      <c r="F6597" s="2" t="str">
        <f>IFERROR(__xludf.DUMMYFUNCTION("IF(E6597&lt;&gt;"""", GOOGLETRANSLATE(E6597, ""en"", ""te""),"""")"),"")</f>
        <v/>
      </c>
      <c r="G6597" s="2"/>
      <c r="H6597" s="2" t="str">
        <f>IFERROR(__xludf.DUMMYFUNCTION("IF(G6597&lt;&gt;"""", GOOGLETRANSLATE(G6597, ""en"", ""te""),"""")"),"")</f>
        <v/>
      </c>
      <c r="I6597" s="3"/>
    </row>
    <row r="6598" customHeight="1" spans="1:9">
      <c r="A6598" s="2"/>
      <c r="B6598" s="2" t="str">
        <f>IFERROR(__xludf.DUMMYFUNCTION("IF(A6598&lt;&gt;"""", GOOGLETRANSLATE(A6598, ""en"", ""te""),"""")"),"")</f>
        <v/>
      </c>
      <c r="C6598" s="2"/>
      <c r="D6598" s="2" t="str">
        <f>IFERROR(__xludf.DUMMYFUNCTION("IF(C6598&lt;&gt;"""", GOOGLETRANSLATE(C6598, ""en"", ""te""),"""")"),"")</f>
        <v/>
      </c>
      <c r="E6598" s="2"/>
      <c r="F6598" s="2" t="str">
        <f>IFERROR(__xludf.DUMMYFUNCTION("IF(E6598&lt;&gt;"""", GOOGLETRANSLATE(E6598, ""en"", ""te""),"""")"),"")</f>
        <v/>
      </c>
      <c r="G6598" s="2"/>
      <c r="H6598" s="2" t="str">
        <f>IFERROR(__xludf.DUMMYFUNCTION("IF(G6598&lt;&gt;"""", GOOGLETRANSLATE(G6598, ""en"", ""te""),"""")"),"")</f>
        <v/>
      </c>
      <c r="I6598" s="3"/>
    </row>
    <row r="6599" customHeight="1" spans="1:9">
      <c r="A6599" s="2"/>
      <c r="B6599" s="2" t="str">
        <f>IFERROR(__xludf.DUMMYFUNCTION("IF(A6599&lt;&gt;"""", GOOGLETRANSLATE(A6599, ""en"", ""te""),"""")"),"")</f>
        <v/>
      </c>
      <c r="C6599" s="2"/>
      <c r="D6599" s="2" t="str">
        <f>IFERROR(__xludf.DUMMYFUNCTION("IF(C6599&lt;&gt;"""", GOOGLETRANSLATE(C6599, ""en"", ""te""),"""")"),"")</f>
        <v/>
      </c>
      <c r="E6599" s="2"/>
      <c r="F6599" s="2" t="str">
        <f>IFERROR(__xludf.DUMMYFUNCTION("IF(E6599&lt;&gt;"""", GOOGLETRANSLATE(E6599, ""en"", ""te""),"""")"),"")</f>
        <v/>
      </c>
      <c r="G6599" s="2"/>
      <c r="H6599" s="2" t="str">
        <f>IFERROR(__xludf.DUMMYFUNCTION("IF(G6599&lt;&gt;"""", GOOGLETRANSLATE(G6599, ""en"", ""te""),"""")"),"")</f>
        <v/>
      </c>
      <c r="I6599" s="3"/>
    </row>
    <row r="6600" customHeight="1" spans="1:9">
      <c r="A6600" s="2" t="s">
        <v>3968</v>
      </c>
      <c r="B6600" s="2" t="str">
        <f>IFERROR(__xludf.DUMMYFUNCTION("IF(A6600&lt;&gt;"""", GOOGLETRANSLATE(A6600, ""en"", ""te""),"""")"),"[ '1st అత్యుత్తమ ఇన్నింగ్స్ లో విశ్లేషణలు బౌలింగ్ (3/3)', '1st బెస్ట్ కెరీర్ (అర్హత లేకుండా) సగటు బౌలింగ్ (1.00)']")</f>
        <v>[ '1st అత్యుత్తమ ఇన్నింగ్స్ లో విశ్లేషణలు బౌలింగ్ (3/3)', '1st బెస్ట్ కెరీర్ (అర్హత లేకుండా) సగటు బౌలింగ్ (1.00)']</v>
      </c>
      <c r="C6600" s="2"/>
      <c r="D6600" s="2" t="str">
        <f>IFERROR(__xludf.DUMMYFUNCTION("IF(C6600&lt;&gt;"""", GOOGLETRANSLATE(C6600, ""en"", ""te""),"""")"),"")</f>
        <v/>
      </c>
      <c r="E6600" s="2"/>
      <c r="F6600" s="2" t="str">
        <f>IFERROR(__xludf.DUMMYFUNCTION("IF(E6600&lt;&gt;"""", GOOGLETRANSLATE(E6600, ""en"", ""te""),"""")"),"")</f>
        <v/>
      </c>
      <c r="G6600" s="2" t="s">
        <v>3968</v>
      </c>
      <c r="H6600" s="2" t="str">
        <f>IFERROR(__xludf.DUMMYFUNCTION("IF(G6600&lt;&gt;"""", GOOGLETRANSLATE(G6600, ""en"", ""te""),"""")"),"[ '1st అత్యుత్తమ ఇన్నింగ్స్ లో విశ్లేషణలు బౌలింగ్ (3/3)', '1st బెస్ట్ కెరీర్ (అర్హత లేకుండా) సగటు బౌలింగ్ (1.00)']")</f>
        <v>[ '1st అత్యుత్తమ ఇన్నింగ్స్ లో విశ్లేషణలు బౌలింగ్ (3/3)', '1st బెస్ట్ కెరీర్ (అర్హత లేకుండా) సగటు బౌలింగ్ (1.00)']</v>
      </c>
      <c r="I6600" s="3"/>
    </row>
    <row r="6601" customHeight="1" spans="1:9">
      <c r="A6601" s="2"/>
      <c r="B6601" s="2" t="str">
        <f>IFERROR(__xludf.DUMMYFUNCTION("IF(A6601&lt;&gt;"""", GOOGLETRANSLATE(A6601, ""en"", ""te""),"""")"),"")</f>
        <v/>
      </c>
      <c r="C6601" s="2"/>
      <c r="D6601" s="2" t="str">
        <f>IFERROR(__xludf.DUMMYFUNCTION("IF(C6601&lt;&gt;"""", GOOGLETRANSLATE(C6601, ""en"", ""te""),"""")"),"")</f>
        <v/>
      </c>
      <c r="E6601" s="2"/>
      <c r="F6601" s="2" t="str">
        <f>IFERROR(__xludf.DUMMYFUNCTION("IF(E6601&lt;&gt;"""", GOOGLETRANSLATE(E6601, ""en"", ""te""),"""")"),"")</f>
        <v/>
      </c>
      <c r="G6601" s="2"/>
      <c r="H6601" s="2" t="str">
        <f>IFERROR(__xludf.DUMMYFUNCTION("IF(G6601&lt;&gt;"""", GOOGLETRANSLATE(G6601, ""en"", ""te""),"""")"),"")</f>
        <v/>
      </c>
      <c r="I6601" s="3"/>
    </row>
    <row r="6602" customHeight="1" spans="1:9">
      <c r="A6602" s="2"/>
      <c r="B6602" s="2" t="str">
        <f>IFERROR(__xludf.DUMMYFUNCTION("IF(A6602&lt;&gt;"""", GOOGLETRANSLATE(A6602, ""en"", ""te""),"""")"),"")</f>
        <v/>
      </c>
      <c r="C6602" s="2"/>
      <c r="D6602" s="2" t="str">
        <f>IFERROR(__xludf.DUMMYFUNCTION("IF(C6602&lt;&gt;"""", GOOGLETRANSLATE(C6602, ""en"", ""te""),"""")"),"")</f>
        <v/>
      </c>
      <c r="E6602" s="2"/>
      <c r="F6602" s="2" t="str">
        <f>IFERROR(__xludf.DUMMYFUNCTION("IF(E6602&lt;&gt;"""", GOOGLETRANSLATE(E6602, ""en"", ""te""),"""")"),"")</f>
        <v/>
      </c>
      <c r="G6602" s="2"/>
      <c r="H6602" s="2" t="str">
        <f>IFERROR(__xludf.DUMMYFUNCTION("IF(G6602&lt;&gt;"""", GOOGLETRANSLATE(G6602, ""en"", ""te""),"""")"),"")</f>
        <v/>
      </c>
      <c r="I6602" s="3"/>
    </row>
    <row r="6603" customHeight="1" spans="1:9">
      <c r="A6603" s="2" t="s">
        <v>3969</v>
      </c>
      <c r="B6603" s="2" t="str">
        <f>IFERROR(__xludf.DUMMYFUNCTION("IF(A6603&lt;&gt;"""", GOOGLETRANSLATE(A6603, ""en"", ""te""),"""")"),"[ '1st వరుస బాతులు (5)']")</f>
        <v>[ '1st వరుస బాతులు (5)']</v>
      </c>
      <c r="C6603" s="2" t="s">
        <v>3970</v>
      </c>
      <c r="D6603" s="2" t="str">
        <f>IFERROR(__xludf.DUMMYFUNCTION("IF(C6603&lt;&gt;"""", GOOGLETRANSLATE(C6603, ""en"", ""te""),"""")"),"[ '11 వ ఒక సిరీస్లో అత్యధిక బాతులు (4)', '1 వ వరుస బాతులు (5)', '28th ఉత్తమ కెరీర్ సమ్మె రేటు (48.7)', 'పది వికెట్లు లో ఒక మ్యాచ్ (తీసుకోవాలని 41 వ పిన్న ఆటగాడు 23y 104d) ',' 20 వ 50 వికెట్లు వేగంగా (10) ',' 13 వ 100 వికెట్లు (20) వేగంగా ']")</f>
        <v>[ '11 వ ఒక సిరీస్లో అత్యధిక బాతులు (4)', '1 వ వరుస బాతులు (5)', '28th ఉత్తమ కెరీర్ సమ్మె రేటు (48.7)', 'పది వికెట్లు లో ఒక మ్యాచ్ (తీసుకోవాలని 41 వ పిన్న ఆటగాడు 23y 104d) ',' 20 వ 50 వికెట్లు వేగంగా (10) ',' 13 వ 100 వికెట్లు (20) వేగంగా ']</v>
      </c>
      <c r="E6603" s="2"/>
      <c r="F6603" s="2" t="str">
        <f>IFERROR(__xludf.DUMMYFUNCTION("IF(E6603&lt;&gt;"""", GOOGLETRANSLATE(E6603, ""en"", ""te""),"""")"),"")</f>
        <v/>
      </c>
      <c r="G6603" s="2"/>
      <c r="H6603" s="2" t="str">
        <f>IFERROR(__xludf.DUMMYFUNCTION("IF(G6603&lt;&gt;"""", GOOGLETRANSLATE(G6603, ""en"", ""te""),"""")"),"")</f>
        <v/>
      </c>
      <c r="I6603" s="3"/>
    </row>
    <row r="6604" customHeight="1" spans="1:9">
      <c r="A6604" s="2"/>
      <c r="B6604" s="2" t="str">
        <f>IFERROR(__xludf.DUMMYFUNCTION("IF(A6604&lt;&gt;"""", GOOGLETRANSLATE(A6604, ""en"", ""te""),"""")"),"")</f>
        <v/>
      </c>
      <c r="C6604" s="2"/>
      <c r="D6604" s="2" t="str">
        <f>IFERROR(__xludf.DUMMYFUNCTION("IF(C6604&lt;&gt;"""", GOOGLETRANSLATE(C6604, ""en"", ""te""),"""")"),"")</f>
        <v/>
      </c>
      <c r="E6604" s="2"/>
      <c r="F6604" s="2" t="str">
        <f>IFERROR(__xludf.DUMMYFUNCTION("IF(E6604&lt;&gt;"""", GOOGLETRANSLATE(E6604, ""en"", ""te""),"""")"),"")</f>
        <v/>
      </c>
      <c r="G6604" s="2"/>
      <c r="H6604" s="2" t="str">
        <f>IFERROR(__xludf.DUMMYFUNCTION("IF(G6604&lt;&gt;"""", GOOGLETRANSLATE(G6604, ""en"", ""te""),"""")"),"")</f>
        <v/>
      </c>
      <c r="I6604" s="3"/>
    </row>
    <row r="6605" customHeight="1" spans="1:9">
      <c r="A6605" s="2"/>
      <c r="B6605" s="2" t="str">
        <f>IFERROR(__xludf.DUMMYFUNCTION("IF(A6605&lt;&gt;"""", GOOGLETRANSLATE(A6605, ""en"", ""te""),"""")"),"")</f>
        <v/>
      </c>
      <c r="C6605" s="2"/>
      <c r="D6605" s="2" t="str">
        <f>IFERROR(__xludf.DUMMYFUNCTION("IF(C6605&lt;&gt;"""", GOOGLETRANSLATE(C6605, ""en"", ""te""),"""")"),"")</f>
        <v/>
      </c>
      <c r="E6605" s="2"/>
      <c r="F6605" s="2" t="str">
        <f>IFERROR(__xludf.DUMMYFUNCTION("IF(E6605&lt;&gt;"""", GOOGLETRANSLATE(E6605, ""en"", ""te""),"""")"),"")</f>
        <v/>
      </c>
      <c r="G6605" s="2"/>
      <c r="H6605" s="2" t="str">
        <f>IFERROR(__xludf.DUMMYFUNCTION("IF(G6605&lt;&gt;"""", GOOGLETRANSLATE(G6605, ""en"", ""te""),"""")"),"")</f>
        <v/>
      </c>
      <c r="I6605" s="3"/>
    </row>
    <row r="6606" customHeight="1" spans="1:9">
      <c r="A6606" s="2"/>
      <c r="B6606" s="2" t="str">
        <f>IFERROR(__xludf.DUMMYFUNCTION("IF(A6606&lt;&gt;"""", GOOGLETRANSLATE(A6606, ""en"", ""te""),"""")"),"")</f>
        <v/>
      </c>
      <c r="C6606" s="2"/>
      <c r="D6606" s="2" t="str">
        <f>IFERROR(__xludf.DUMMYFUNCTION("IF(C6606&lt;&gt;"""", GOOGLETRANSLATE(C6606, ""en"", ""te""),"""")"),"")</f>
        <v/>
      </c>
      <c r="E6606" s="2"/>
      <c r="F6606" s="2" t="str">
        <f>IFERROR(__xludf.DUMMYFUNCTION("IF(E6606&lt;&gt;"""", GOOGLETRANSLATE(E6606, ""en"", ""te""),"""")"),"")</f>
        <v/>
      </c>
      <c r="G6606" s="2"/>
      <c r="H6606" s="2" t="str">
        <f>IFERROR(__xludf.DUMMYFUNCTION("IF(G6606&lt;&gt;"""", GOOGLETRANSLATE(G6606, ""en"", ""te""),"""")"),"")</f>
        <v/>
      </c>
      <c r="I6606" s="3"/>
    </row>
    <row r="6607" customHeight="1" spans="1:9">
      <c r="A6607" s="2"/>
      <c r="B6607" s="2" t="str">
        <f>IFERROR(__xludf.DUMMYFUNCTION("IF(A6607&lt;&gt;"""", GOOGLETRANSLATE(A6607, ""en"", ""te""),"""")"),"")</f>
        <v/>
      </c>
      <c r="C6607" s="2"/>
      <c r="D6607" s="2" t="str">
        <f>IFERROR(__xludf.DUMMYFUNCTION("IF(C6607&lt;&gt;"""", GOOGLETRANSLATE(C6607, ""en"", ""te""),"""")"),"")</f>
        <v/>
      </c>
      <c r="E6607" s="2"/>
      <c r="F6607" s="2" t="str">
        <f>IFERROR(__xludf.DUMMYFUNCTION("IF(E6607&lt;&gt;"""", GOOGLETRANSLATE(E6607, ""en"", ""te""),"""")"),"")</f>
        <v/>
      </c>
      <c r="G6607" s="2"/>
      <c r="H6607" s="2" t="str">
        <f>IFERROR(__xludf.DUMMYFUNCTION("IF(G6607&lt;&gt;"""", GOOGLETRANSLATE(G6607, ""en"", ""te""),"""")"),"")</f>
        <v/>
      </c>
      <c r="I6607" s="3"/>
    </row>
    <row r="6608" customHeight="1" spans="1:9">
      <c r="A6608" s="2"/>
      <c r="B6608" s="2" t="str">
        <f>IFERROR(__xludf.DUMMYFUNCTION("IF(A6608&lt;&gt;"""", GOOGLETRANSLATE(A6608, ""en"", ""te""),"""")"),"")</f>
        <v/>
      </c>
      <c r="C6608" s="2"/>
      <c r="D6608" s="2" t="str">
        <f>IFERROR(__xludf.DUMMYFUNCTION("IF(C6608&lt;&gt;"""", GOOGLETRANSLATE(C6608, ""en"", ""te""),"""")"),"")</f>
        <v/>
      </c>
      <c r="E6608" s="2"/>
      <c r="F6608" s="2" t="str">
        <f>IFERROR(__xludf.DUMMYFUNCTION("IF(E6608&lt;&gt;"""", GOOGLETRANSLATE(E6608, ""en"", ""te""),"""")"),"")</f>
        <v/>
      </c>
      <c r="G6608" s="2"/>
      <c r="H6608" s="2" t="str">
        <f>IFERROR(__xludf.DUMMYFUNCTION("IF(G6608&lt;&gt;"""", GOOGLETRANSLATE(G6608, ""en"", ""te""),"""")"),"")</f>
        <v/>
      </c>
      <c r="I6608" s="3"/>
    </row>
    <row r="6609" customHeight="1" spans="1:9">
      <c r="A6609" s="2" t="s">
        <v>352</v>
      </c>
      <c r="B6609" s="2" t="str">
        <f>IFERROR(__xludf.DUMMYFUNCTION("IF(A6609&lt;&gt;"""", GOOGLETRANSLATE(A6609, ""en"", ""te""),"""")"),"[ 'బ్యాటింగ్ ప్రారంభించుటకు మరియు అదే మ్యాచ్ లో బౌలింగ్']")</f>
        <v>[ 'బ్యాటింగ్ ప్రారంభించుటకు మరియు అదే మ్యాచ్ లో బౌలింగ్']</v>
      </c>
      <c r="C6609" s="2"/>
      <c r="D6609" s="2" t="str">
        <f>IFERROR(__xludf.DUMMYFUNCTION("IF(C6609&lt;&gt;"""", GOOGLETRANSLATE(C6609, ""en"", ""te""),"""")"),"")</f>
        <v/>
      </c>
      <c r="E6609" s="2" t="s">
        <v>3971</v>
      </c>
      <c r="F6609" s="2" t="str">
        <f>IFERROR(__xludf.DUMMYFUNCTION("IF(E6609&lt;&gt;"""", GOOGLETRANSLATE(E6609, ""en"", ""te""),"""")"),"[ '41 వ అత్యధిక పరుగులు ఇన్నింగ్స్ (71) లో సాధించిన]")</f>
        <v>[ '41 వ అత్యధిక పరుగులు ఇన్నింగ్స్ (71) లో సాధించిన]</v>
      </c>
      <c r="G6609" s="2"/>
      <c r="H6609" s="2" t="str">
        <f>IFERROR(__xludf.DUMMYFUNCTION("IF(G6609&lt;&gt;"""", GOOGLETRANSLATE(G6609, ""en"", ""te""),"""")"),"")</f>
        <v/>
      </c>
      <c r="I6609" s="3"/>
    </row>
    <row r="6610" customHeight="1" spans="1:9">
      <c r="A6610" s="2"/>
      <c r="B6610" s="2" t="str">
        <f>IFERROR(__xludf.DUMMYFUNCTION("IF(A6610&lt;&gt;"""", GOOGLETRANSLATE(A6610, ""en"", ""te""),"""")"),"")</f>
        <v/>
      </c>
      <c r="C6610" s="2"/>
      <c r="D6610" s="2" t="str">
        <f>IFERROR(__xludf.DUMMYFUNCTION("IF(C6610&lt;&gt;"""", GOOGLETRANSLATE(C6610, ""en"", ""te""),"""")"),"")</f>
        <v/>
      </c>
      <c r="E6610" s="2"/>
      <c r="F6610" s="2" t="str">
        <f>IFERROR(__xludf.DUMMYFUNCTION("IF(E6610&lt;&gt;"""", GOOGLETRANSLATE(E6610, ""en"", ""te""),"""")"),"")</f>
        <v/>
      </c>
      <c r="G6610" s="2"/>
      <c r="H6610" s="2" t="str">
        <f>IFERROR(__xludf.DUMMYFUNCTION("IF(G6610&lt;&gt;"""", GOOGLETRANSLATE(G6610, ""en"", ""te""),"""")"),"")</f>
        <v/>
      </c>
      <c r="I6610" s="3"/>
    </row>
    <row r="6611" customHeight="1" spans="1:9">
      <c r="A6611" s="2"/>
      <c r="B6611" s="2" t="str">
        <f>IFERROR(__xludf.DUMMYFUNCTION("IF(A6611&lt;&gt;"""", GOOGLETRANSLATE(A6611, ""en"", ""te""),"""")"),"")</f>
        <v/>
      </c>
      <c r="C6611" s="2"/>
      <c r="D6611" s="2" t="str">
        <f>IFERROR(__xludf.DUMMYFUNCTION("IF(C6611&lt;&gt;"""", GOOGLETRANSLATE(C6611, ""en"", ""te""),"""")"),"")</f>
        <v/>
      </c>
      <c r="E6611" s="2"/>
      <c r="F6611" s="2" t="str">
        <f>IFERROR(__xludf.DUMMYFUNCTION("IF(E6611&lt;&gt;"""", GOOGLETRANSLATE(E6611, ""en"", ""te""),"""")"),"")</f>
        <v/>
      </c>
      <c r="G6611" s="2"/>
      <c r="H6611" s="2" t="str">
        <f>IFERROR(__xludf.DUMMYFUNCTION("IF(G6611&lt;&gt;"""", GOOGLETRANSLATE(G6611, ""en"", ""te""),"""")"),"")</f>
        <v/>
      </c>
      <c r="I6611" s="3"/>
    </row>
    <row r="6612" customHeight="1" spans="1:9">
      <c r="A6612" s="2"/>
      <c r="B6612" s="2" t="str">
        <f>IFERROR(__xludf.DUMMYFUNCTION("IF(A6612&lt;&gt;"""", GOOGLETRANSLATE(A6612, ""en"", ""te""),"""")"),"")</f>
        <v/>
      </c>
      <c r="C6612" s="2"/>
      <c r="D6612" s="2" t="str">
        <f>IFERROR(__xludf.DUMMYFUNCTION("IF(C6612&lt;&gt;"""", GOOGLETRANSLATE(C6612, ""en"", ""te""),"""")"),"")</f>
        <v/>
      </c>
      <c r="E6612" s="2"/>
      <c r="F6612" s="2" t="str">
        <f>IFERROR(__xludf.DUMMYFUNCTION("IF(E6612&lt;&gt;"""", GOOGLETRANSLATE(E6612, ""en"", ""te""),"""")"),"")</f>
        <v/>
      </c>
      <c r="G6612" s="2"/>
      <c r="H6612" s="2" t="str">
        <f>IFERROR(__xludf.DUMMYFUNCTION("IF(G6612&lt;&gt;"""", GOOGLETRANSLATE(G6612, ""en"", ""te""),"""")"),"")</f>
        <v/>
      </c>
      <c r="I6612" s="3"/>
    </row>
    <row r="6613" customHeight="1" spans="1:9">
      <c r="A6613" s="2" t="s">
        <v>3972</v>
      </c>
      <c r="B6613" s="2" t="str">
        <f>IFERROR(__xludf.DUMMYFUNCTION("IF(A6613&lt;&gt;"""", GOOGLETRANSLATE(A6613, ""en"", ""te""),"""")"),"[ '2nd పిన్న క్రీడాకారులు (15y 124d)', ఒక 'నూట ఐదు వికెట్లు' 1st 99 (199, 299 etc) (99) అవుటయ్యాడు '' 2 వ పిన్న ఆటగాడు వంద (17y 78d) స్కోర్ ' ఇన్నింగ్స్]")</f>
        <v>[ '2nd పిన్న క్రీడాకారులు (15y 124d)', ఒక 'నూట ఐదు వికెట్లు' 1st 99 (199, 299 etc) (99) అవుటయ్యాడు '' 2 వ పిన్న ఆటగాడు వంద (17y 78d) స్కోర్ ' ఇన్నింగ్స్]</v>
      </c>
      <c r="C6613" s="2" t="s">
        <v>3973</v>
      </c>
      <c r="D6613" s="2" t="str">
        <f>IFERROR(__xludf.DUMMYFUNCTION("IF(C6613&lt;&gt;"""", GOOGLETRANSLATE(C6613, ""en"", ""te""),"""")"),"[ '99 (199, 299 etc) కొట్టివేయబడింది 1st (99)' 'వరుస మ్యాచ్లలో 26 యాభైల్లో (7)' '2 వ పిన్న ఆటగాడు వంద (17y 78d) స్కోర్', 'కెరీర్లో 46 వ అతి తక్కువ బాతులు ( 25) ',' ఒక కెప్టెన్తో ఒక మ్యాచ్లో 21 వ బెస్ట్ ఫిగర్స్ (9) ',' ఏ వికెట్కు 45 వ అత్యధిక భాగస్వామ్యాల"&amp;" (350) ',' నాలుగవ వికెట్కు (350) 11 వ అత్యధిక భాగస్వామ్యం ',' 2 వ పిన్న క్రీడాకారులు (15y 124d) ',' 17 వ లాంగెస్ట్ కెరీర్లు (20y 3) ',' 23 వ వరుస అన్ని టాస్ గెలిచిన (3) ']")</f>
        <v>[ '99 (199, 299 etc) కొట్టివేయబడింది 1st (99)' 'వరుస మ్యాచ్లలో 26 యాభైల్లో (7)' '2 వ పిన్న ఆటగాడు వంద (17y 78d) స్కోర్', 'కెరీర్లో 46 వ అతి తక్కువ బాతులు ( 25) ',' ఒక కెప్టెన్తో ఒక మ్యాచ్లో 21 వ బెస్ట్ ఫిగర్స్ (9) ',' ఏ వికెట్కు 45 వ అత్యధిక భాగస్వామ్యాల (350) ',' నాలుగవ వికెట్కు (350) 11 వ అత్యధిక భాగస్వామ్యం ',' 2 వ పిన్న క్రీడాకారులు (15y 124d) ',' 17 వ లాంగెస్ట్ కెరీర్లు (20y 3) ',' 23 వ వరుస అన్ని టాస్ గెలిచిన (3) ']</v>
      </c>
      <c r="E6613" s="2" t="s">
        <v>3974</v>
      </c>
      <c r="F6613" s="2" t="str">
        <f>IFERROR(__xludf.DUMMYFUNCTION("IF(E6613&lt;&gt;"""", GOOGLETRANSLATE(E6613, ""en"", ""te""),"""")"),"[ '44 వ పురాతన దేశం ఆటగాళ్ళు (77y 191d)']")</f>
        <v>[ '44 వ పురాతన దేశం ఆటగాళ్ళు (77y 191d)']</v>
      </c>
      <c r="G6613" s="2"/>
      <c r="H6613" s="2" t="str">
        <f>IFERROR(__xludf.DUMMYFUNCTION("IF(G6613&lt;&gt;"""", GOOGLETRANSLATE(G6613, ""en"", ""te""),"""")"),"")</f>
        <v/>
      </c>
      <c r="I6613" s="3"/>
    </row>
    <row r="6614" customHeight="1" spans="1:9">
      <c r="A6614" s="2"/>
      <c r="B6614" s="2" t="str">
        <f>IFERROR(__xludf.DUMMYFUNCTION("IF(A6614&lt;&gt;"""", GOOGLETRANSLATE(A6614, ""en"", ""te""),"""")"),"")</f>
        <v/>
      </c>
      <c r="C6614" s="2"/>
      <c r="D6614" s="2" t="str">
        <f>IFERROR(__xludf.DUMMYFUNCTION("IF(C6614&lt;&gt;"""", GOOGLETRANSLATE(C6614, ""en"", ""te""),"""")"),"")</f>
        <v/>
      </c>
      <c r="E6614" s="2"/>
      <c r="F6614" s="2" t="str">
        <f>IFERROR(__xludf.DUMMYFUNCTION("IF(E6614&lt;&gt;"""", GOOGLETRANSLATE(E6614, ""en"", ""te""),"""")"),"")</f>
        <v/>
      </c>
      <c r="G6614" s="2"/>
      <c r="H6614" s="2" t="str">
        <f>IFERROR(__xludf.DUMMYFUNCTION("IF(G6614&lt;&gt;"""", GOOGLETRANSLATE(G6614, ""en"", ""te""),"""")"),"")</f>
        <v/>
      </c>
      <c r="I6614" s="3"/>
    </row>
    <row r="6615" customHeight="1" spans="1:9">
      <c r="A6615" s="2" t="s">
        <v>3975</v>
      </c>
      <c r="B6615" s="2" t="str">
        <f>IFERROR(__xludf.DUMMYFUNCTION("IF(A6615&lt;&gt;"""", GOOGLETRANSLATE(A6615, ""en"", ""te""),"""")"),"[ '10 వ చెత్త కెరీర్ బౌలింగ్ సరాసరి (అర్హత లేకుండా) (136.00)']")</f>
        <v>[ '10 వ చెత్త కెరీర్ బౌలింగ్ సరాసరి (అర్హత లేకుండా) (136.00)']</v>
      </c>
      <c r="C6615" s="2"/>
      <c r="D6615" s="2" t="str">
        <f>IFERROR(__xludf.DUMMYFUNCTION("IF(C6615&lt;&gt;"""", GOOGLETRANSLATE(C6615, ""en"", ""te""),"""")"),"")</f>
        <v/>
      </c>
      <c r="E6615" s="2" t="s">
        <v>3975</v>
      </c>
      <c r="F6615" s="2" t="str">
        <f>IFERROR(__xludf.DUMMYFUNCTION("IF(E6615&lt;&gt;"""", GOOGLETRANSLATE(E6615, ""en"", ""te""),"""")"),"[ '10 వ చెత్త కెరీర్ బౌలింగ్ సరాసరి (అర్హత లేకుండా) (136.00)']")</f>
        <v>[ '10 వ చెత్త కెరీర్ బౌలింగ్ సరాసరి (అర్హత లేకుండా) (136.00)']</v>
      </c>
      <c r="G6615" s="2"/>
      <c r="H6615" s="2" t="str">
        <f>IFERROR(__xludf.DUMMYFUNCTION("IF(G6615&lt;&gt;"""", GOOGLETRANSLATE(G6615, ""en"", ""te""),"""")"),"")</f>
        <v/>
      </c>
      <c r="I6615" s="3"/>
    </row>
    <row r="6616" customHeight="1" spans="1:9">
      <c r="A6616" s="2"/>
      <c r="B6616" s="2" t="str">
        <f>IFERROR(__xludf.DUMMYFUNCTION("IF(A6616&lt;&gt;"""", GOOGLETRANSLATE(A6616, ""en"", ""te""),"""")"),"")</f>
        <v/>
      </c>
      <c r="C6616" s="2"/>
      <c r="D6616" s="2" t="str">
        <f>IFERROR(__xludf.DUMMYFUNCTION("IF(C6616&lt;&gt;"""", GOOGLETRANSLATE(C6616, ""en"", ""te""),"""")"),"")</f>
        <v/>
      </c>
      <c r="E6616" s="2"/>
      <c r="F6616" s="2" t="str">
        <f>IFERROR(__xludf.DUMMYFUNCTION("IF(E6616&lt;&gt;"""", GOOGLETRANSLATE(E6616, ""en"", ""te""),"""")"),"")</f>
        <v/>
      </c>
      <c r="G6616" s="2"/>
      <c r="H6616" s="2" t="str">
        <f>IFERROR(__xludf.DUMMYFUNCTION("IF(G6616&lt;&gt;"""", GOOGLETRANSLATE(G6616, ""en"", ""te""),"""")"),"")</f>
        <v/>
      </c>
      <c r="I6616" s="3"/>
    </row>
    <row r="6617" customHeight="1" spans="1:9">
      <c r="A6617" s="2" t="s">
        <v>3976</v>
      </c>
      <c r="B6617" s="2" t="str">
        <f>IFERROR(__xludf.DUMMYFUNCTION("IF(A6617&lt;&gt;"""", GOOGLETRANSLATE(A6617, ""en"", ""te""),"""")"),"[ 'వికెట్ను కాపాడుకున్నాడు చేసిన 6 వ కెప్టెన్ల (13)', '2000 పరుగులు మరియు 100 వికెట్ కీపింగ్ తొలగింపులకు', 'కెరీర్ లో 5 వ అత్యధిక వికెట్లు (287)', '6 వ అత్యధిక క్యాచ్లు కెరీర్లో (214)', '7 వ కెప్టెన్ల ఎవరు ఉండేది వికెట్ (34) ',' 1 వ ఇన్నింగ్స్ లో వచ్చిన ఎ"&amp;"క్కువ స్టంపింగ్లు (3) ',' 3 వ అత్యంత వంద (3266) ',' 200 పరుగులు మరియు ఒక సిరీస్లో 10 వికెట్కీపింగ్ తొలగింపులకు ',' 4 వ అత్యంత స్టంపింగ్లు లేకుండా ఒక వృత్తిలో నడుస్తుంది కెరీర్ (93) ']")</f>
        <v>[ 'వికెట్ను కాపాడుకున్నాడు చేసిన 6 వ కెప్టెన్ల (13)', '2000 పరుగులు మరియు 100 వికెట్ కీపింగ్ తొలగింపులకు', 'కెరీర్ లో 5 వ అత్యధిక వికెట్లు (287)', '6 వ అత్యధిక క్యాచ్లు కెరీర్లో (214)', '7 వ కెప్టెన్ల ఎవరు ఉండేది వికెట్ (34) ',' 1 వ ఇన్నింగ్స్ లో వచ్చిన ఎక్కువ స్టంపింగ్లు (3) ',' 3 వ అత్యంత వంద (3266) ',' 200 పరుగులు మరియు ఒక సిరీస్లో 10 వికెట్కీపింగ్ తొలగింపులకు ',' 4 వ అత్యంత స్టంపింగ్లు లేకుండా ఒక వృత్తిలో నడుస్తుంది కెరీర్ (93) ']</v>
      </c>
      <c r="C6617" s="2" t="s">
        <v>3977</v>
      </c>
      <c r="D6617" s="2" t="str">
        <f>IFERROR(__xludf.DUMMYFUNCTION("IF(C6617&lt;&gt;"""", GOOGLETRANSLATE(C6617, ""en"", ""te""),"""")"),"[ 'వికెట్ను కాపాడుకున్నాడు చేసిన 6 వ కెప్టెన్ల (13)', '33 వ కెరీర్ లో అత్యధిక వికెట్లు (147)', '33 వ అత్యధిక క్యాచ్లు కెరీర్లో (127)', '19 వ అత్యంత స్టంపింగ్లు కెరీర్లో (20)', '18 వ అత్యధిక ఇన్నింగ్స్ ఒక బై (599 / 4D) గూడా ఇవ్వకుండా మొత్తం ']")</f>
        <v>[ 'వికెట్ను కాపాడుకున్నాడు చేసిన 6 వ కెప్టెన్ల (13)', '33 వ కెరీర్ లో అత్యధిక వికెట్లు (147)', '33 వ అత్యధిక క్యాచ్లు కెరీర్లో (127)', '19 వ అత్యంత స్టంపింగ్లు కెరీర్లో (20)', '18 వ అత్యధిక ఇన్నింగ్స్ ఒక బై (599 / 4D) గూడా ఇవ్వకుండా మొత్తం ']</v>
      </c>
      <c r="E6617" s="2" t="s">
        <v>3978</v>
      </c>
      <c r="F6617" s="2" t="str">
        <f>IFERROR(__xludf.DUMMYFUNCTION("IF(E6617&lt;&gt;"""", GOOGLETRANSLATE(E6617, ""en"", ""te""),"""")"),"[ '3 వ అత్యంత వంద (3266) లేకుండా ఒక వృత్తిలో నడుస్తుంది' '42 వ అత్యధిక సమ్మె ఇన్నింగ్స్ లో రేటు (270.00)', '30 వ కెరీర్ బాతులు (17)', ఎనిమిదవ వికెట్కు '41 వ అత్యధిక భాగస్వామ్యం (77 ) ',' ఒక జట్టుకు 44 వ వరుస మ్యాచ్లు (76) ',' 37 వ వరుస అన్ని టాస్ గెలిచిన "&amp;"(5) ',' 16 వ పిన్న కాప్టెన్ (23y 196d) ',' వికెట్ను కాపాడుకున్నాడు చేసిన 7th కెప్టెన్ల (34) ' 'కెరీర్ లో 5 వ అత్యధిక వికెట్లు (287)', 'ఇన్నింగ్స్ (5) 16 వ అత్యధిక వికెట్లు' 'వరుస 9 వ అత్యధిక వికెట్లు (19)', '6 వ అత్యధిక క్యాచ్లు కెరీర్లో (214)', '11 వ అత్"&amp;"యంత వరుస ఇన్నింగ్స్ (5) ',' 24 వ అత్యధిక క్యాచ్లు లో క్యాచ్లు (15) ',' 4 వ కెరీర్ స్టంపింగ్లు (73) ',' 1 వ ఇన్నింగ్స్ లో వచ్చిన ఎక్కువ స్టంపింగ్లు (3) ', '21 వ చాలా లో స్టంపింగ్లు సిరీస్ (4) ',' 23 వ ఇన్నింగ్స్ లో సాధించిన బైస్ (10) ']")</f>
        <v>[ '3 వ అత్యంత వంద (3266) లేకుండా ఒక వృత్తిలో నడుస్తుంది' '42 వ అత్యధిక సమ్మె ఇన్నింగ్స్ లో రేటు (270.00)', '30 వ కెరీర్ బాతులు (17)', ఎనిమిదవ వికెట్కు '41 వ అత్యధిక భాగస్వామ్యం (77 ) ',' ఒక జట్టుకు 44 వ వరుస మ్యాచ్లు (76) ',' 37 వ వరుస అన్ని టాస్ గెలిచిన (5) ',' 16 వ పిన్న కాప్టెన్ (23y 196d) ',' వికెట్ను కాపాడుకున్నాడు చేసిన 7th కెప్టెన్ల (34) ' 'కెరీర్ లో 5 వ అత్యధిక వికెట్లు (287)', 'ఇన్నింగ్స్ (5) 16 వ అత్యధిక వికెట్లు' 'వరుస 9 వ అత్యధిక వికెట్లు (19)', '6 వ అత్యధిక క్యాచ్లు కెరీర్లో (214)', '11 వ అత్యంత వరుస ఇన్నింగ్స్ (5) ',' 24 వ అత్యధిక క్యాచ్లు లో క్యాచ్లు (15) ',' 4 వ కెరీర్ స్టంపింగ్లు (73) ',' 1 వ ఇన్నింగ్స్ లో వచ్చిన ఎక్కువ స్టంపింగ్లు (3) ', '21 వ చాలా లో స్టంపింగ్లు సిరీస్ (4) ',' 23 వ ఇన్నింగ్స్ లో సాధించిన బైస్ (10) ']</v>
      </c>
      <c r="G6617" s="2"/>
      <c r="H6617" s="2" t="str">
        <f>IFERROR(__xludf.DUMMYFUNCTION("IF(G6617&lt;&gt;"""", GOOGLETRANSLATE(G6617, ""en"", ""te""),"""")"),"")</f>
        <v/>
      </c>
      <c r="I6617" s="3"/>
    </row>
    <row r="6618" customHeight="1" spans="1:9">
      <c r="A6618" s="2"/>
      <c r="B6618" s="2" t="str">
        <f>IFERROR(__xludf.DUMMYFUNCTION("IF(A6618&lt;&gt;"""", GOOGLETRANSLATE(A6618, ""en"", ""te""),"""")"),"")</f>
        <v/>
      </c>
      <c r="C6618" s="2"/>
      <c r="D6618" s="2" t="str">
        <f>IFERROR(__xludf.DUMMYFUNCTION("IF(C6618&lt;&gt;"""", GOOGLETRANSLATE(C6618, ""en"", ""te""),"""")"),"")</f>
        <v/>
      </c>
      <c r="E6618" s="2"/>
      <c r="F6618" s="2" t="str">
        <f>IFERROR(__xludf.DUMMYFUNCTION("IF(E6618&lt;&gt;"""", GOOGLETRANSLATE(E6618, ""en"", ""te""),"""")"),"")</f>
        <v/>
      </c>
      <c r="G6618" s="2"/>
      <c r="H6618" s="2" t="str">
        <f>IFERROR(__xludf.DUMMYFUNCTION("IF(G6618&lt;&gt;"""", GOOGLETRANSLATE(G6618, ""en"", ""te""),"""")"),"")</f>
        <v/>
      </c>
      <c r="I6618" s="3"/>
    </row>
    <row r="6619" customHeight="1" spans="1:9">
      <c r="A6619" s="2"/>
      <c r="B6619" s="2" t="str">
        <f>IFERROR(__xludf.DUMMYFUNCTION("IF(A6619&lt;&gt;"""", GOOGLETRANSLATE(A6619, ""en"", ""te""),"""")"),"")</f>
        <v/>
      </c>
      <c r="C6619" s="2"/>
      <c r="D6619" s="2" t="str">
        <f>IFERROR(__xludf.DUMMYFUNCTION("IF(C6619&lt;&gt;"""", GOOGLETRANSLATE(C6619, ""en"", ""te""),"""")"),"")</f>
        <v/>
      </c>
      <c r="E6619" s="2"/>
      <c r="F6619" s="2" t="str">
        <f>IFERROR(__xludf.DUMMYFUNCTION("IF(E6619&lt;&gt;"""", GOOGLETRANSLATE(E6619, ""en"", ""te""),"""")"),"")</f>
        <v/>
      </c>
      <c r="G6619" s="2"/>
      <c r="H6619" s="2" t="str">
        <f>IFERROR(__xludf.DUMMYFUNCTION("IF(G6619&lt;&gt;"""", GOOGLETRANSLATE(G6619, ""en"", ""te""),"""")"),"")</f>
        <v/>
      </c>
      <c r="I6619" s="3"/>
    </row>
    <row r="6620" customHeight="1" spans="1:9">
      <c r="A6620" s="2"/>
      <c r="B6620" s="2" t="str">
        <f>IFERROR(__xludf.DUMMYFUNCTION("IF(A6620&lt;&gt;"""", GOOGLETRANSLATE(A6620, ""en"", ""te""),"""")"),"")</f>
        <v/>
      </c>
      <c r="C6620" s="2"/>
      <c r="D6620" s="2" t="str">
        <f>IFERROR(__xludf.DUMMYFUNCTION("IF(C6620&lt;&gt;"""", GOOGLETRANSLATE(C6620, ""en"", ""te""),"""")"),"")</f>
        <v/>
      </c>
      <c r="E6620" s="2"/>
      <c r="F6620" s="2" t="str">
        <f>IFERROR(__xludf.DUMMYFUNCTION("IF(E6620&lt;&gt;"""", GOOGLETRANSLATE(E6620, ""en"", ""te""),"""")"),"")</f>
        <v/>
      </c>
      <c r="G6620" s="2"/>
      <c r="H6620" s="2" t="str">
        <f>IFERROR(__xludf.DUMMYFUNCTION("IF(G6620&lt;&gt;"""", GOOGLETRANSLATE(G6620, ""en"", ""te""),"""")"),"")</f>
        <v/>
      </c>
      <c r="I6620" s="3"/>
    </row>
    <row r="6621" customHeight="1" spans="1:9">
      <c r="A6621" s="2"/>
      <c r="B6621" s="2" t="str">
        <f>IFERROR(__xludf.DUMMYFUNCTION("IF(A6621&lt;&gt;"""", GOOGLETRANSLATE(A6621, ""en"", ""te""),"""")"),"")</f>
        <v/>
      </c>
      <c r="C6621" s="2"/>
      <c r="D6621" s="2" t="str">
        <f>IFERROR(__xludf.DUMMYFUNCTION("IF(C6621&lt;&gt;"""", GOOGLETRANSLATE(C6621, ""en"", ""te""),"""")"),"")</f>
        <v/>
      </c>
      <c r="E6621" s="2"/>
      <c r="F6621" s="2" t="str">
        <f>IFERROR(__xludf.DUMMYFUNCTION("IF(E6621&lt;&gt;"""", GOOGLETRANSLATE(E6621, ""en"", ""te""),"""")"),"")</f>
        <v/>
      </c>
      <c r="G6621" s="2"/>
      <c r="H6621" s="2" t="str">
        <f>IFERROR(__xludf.DUMMYFUNCTION("IF(G6621&lt;&gt;"""", GOOGLETRANSLATE(G6621, ""en"", ""te""),"""")"),"")</f>
        <v/>
      </c>
      <c r="I6621" s="3"/>
    </row>
    <row r="6622" customHeight="1" spans="1:9">
      <c r="A6622" s="2"/>
      <c r="B6622" s="2" t="str">
        <f>IFERROR(__xludf.DUMMYFUNCTION("IF(A6622&lt;&gt;"""", GOOGLETRANSLATE(A6622, ""en"", ""te""),"""")"),"")</f>
        <v/>
      </c>
      <c r="C6622" s="2"/>
      <c r="D6622" s="2" t="str">
        <f>IFERROR(__xludf.DUMMYFUNCTION("IF(C6622&lt;&gt;"""", GOOGLETRANSLATE(C6622, ""en"", ""te""),"""")"),"")</f>
        <v/>
      </c>
      <c r="E6622" s="2"/>
      <c r="F6622" s="2" t="str">
        <f>IFERROR(__xludf.DUMMYFUNCTION("IF(E6622&lt;&gt;"""", GOOGLETRANSLATE(E6622, ""en"", ""te""),"""")"),"")</f>
        <v/>
      </c>
      <c r="G6622" s="2"/>
      <c r="H6622" s="2" t="str">
        <f>IFERROR(__xludf.DUMMYFUNCTION("IF(G6622&lt;&gt;"""", GOOGLETRANSLATE(G6622, ""en"", ""te""),"""")"),"")</f>
        <v/>
      </c>
      <c r="I6622" s="3"/>
    </row>
    <row r="6623" customHeight="1" spans="1:9">
      <c r="A6623" s="2"/>
      <c r="B6623" s="2" t="str">
        <f>IFERROR(__xludf.DUMMYFUNCTION("IF(A6623&lt;&gt;"""", GOOGLETRANSLATE(A6623, ""en"", ""te""),"""")"),"")</f>
        <v/>
      </c>
      <c r="C6623" s="2"/>
      <c r="D6623" s="2" t="str">
        <f>IFERROR(__xludf.DUMMYFUNCTION("IF(C6623&lt;&gt;"""", GOOGLETRANSLATE(C6623, ""en"", ""te""),"""")"),"")</f>
        <v/>
      </c>
      <c r="E6623" s="2"/>
      <c r="F6623" s="2" t="str">
        <f>IFERROR(__xludf.DUMMYFUNCTION("IF(E6623&lt;&gt;"""", GOOGLETRANSLATE(E6623, ""en"", ""te""),"""")"),"")</f>
        <v/>
      </c>
      <c r="G6623" s="2"/>
      <c r="H6623" s="2" t="str">
        <f>IFERROR(__xludf.DUMMYFUNCTION("IF(G6623&lt;&gt;"""", GOOGLETRANSLATE(G6623, ""en"", ""te""),"""")"),"")</f>
        <v/>
      </c>
      <c r="I6623" s="3"/>
    </row>
    <row r="6624" customHeight="1" spans="1:9">
      <c r="A6624" s="2"/>
      <c r="B6624" s="2" t="str">
        <f>IFERROR(__xludf.DUMMYFUNCTION("IF(A6624&lt;&gt;"""", GOOGLETRANSLATE(A6624, ""en"", ""te""),"""")"),"")</f>
        <v/>
      </c>
      <c r="C6624" s="2"/>
      <c r="D6624" s="2" t="str">
        <f>IFERROR(__xludf.DUMMYFUNCTION("IF(C6624&lt;&gt;"""", GOOGLETRANSLATE(C6624, ""en"", ""te""),"""")"),"")</f>
        <v/>
      </c>
      <c r="E6624" s="2"/>
      <c r="F6624" s="2" t="str">
        <f>IFERROR(__xludf.DUMMYFUNCTION("IF(E6624&lt;&gt;"""", GOOGLETRANSLATE(E6624, ""en"", ""te""),"""")"),"")</f>
        <v/>
      </c>
      <c r="G6624" s="2"/>
      <c r="H6624" s="2" t="str">
        <f>IFERROR(__xludf.DUMMYFUNCTION("IF(G6624&lt;&gt;"""", GOOGLETRANSLATE(G6624, ""en"", ""te""),"""")"),"")</f>
        <v/>
      </c>
      <c r="I6624" s="3"/>
    </row>
    <row r="6625" customHeight="1" spans="1:9">
      <c r="A6625" s="2" t="s">
        <v>3979</v>
      </c>
      <c r="B6625" s="2" t="str">
        <f>IFERROR(__xludf.DUMMYFUNCTION("IF(A6625&lt;&gt;"""", GOOGLETRANSLATE(A6625, ""en"", ""te""),"""")"),"[ '10 వ ఇన్నింగ్స్ లో అత్యధిక పరుగులు (బ్యాటింగ్ స్థానంలో ప్రకారం) (59)']")</f>
        <v>[ '10 వ ఇన్నింగ్స్ లో అత్యధిక పరుగులు (బ్యాటింగ్ స్థానంలో ప్రకారం) (59)']</v>
      </c>
      <c r="C6625" s="2" t="s">
        <v>3980</v>
      </c>
      <c r="D6625" s="2" t="str">
        <f>IFERROR(__xludf.DUMMYFUNCTION("IF(C6625&lt;&gt;"""", GOOGLETRANSLATE(C6625, ""en"", ""te""),"""")"),"[ '10 వ ఇన్నింగ్స్ లో అత్యధిక పరుగులు (బ్యాటింగ్ స్థానంలో ప్రకారం) (59)', '40 వ మ్యాచ్ లో బెస్ట్ ఫిగర్స్ ఉన్నప్పుడు పరాజయం వైపు (10)', '29th చాలా కెరీర్లో-ఇన్-పది-వికెట్లు ఒక మ్యాచ్ ఒక ఇన్నింగ్స్ లో సాధించిన (3) ',' 44 వ అత్యధిక పరుగులు (194) ',' 16 వ అత"&amp;"్యధిక వికెట్లు స్టంప్ తీసుకోకూడదు (13) ',' 36 వ 150 వికెట్లు (36) వేగంగా ']")</f>
        <v>[ '10 వ ఇన్నింగ్స్ లో అత్యధిక పరుగులు (బ్యాటింగ్ స్థానంలో ప్రకారం) (59)', '40 వ మ్యాచ్ లో బెస్ట్ ఫిగర్స్ ఉన్నప్పుడు పరాజయం వైపు (10)', '29th చాలా కెరీర్లో-ఇన్-పది-వికెట్లు ఒక మ్యాచ్ ఒక ఇన్నింగ్స్ లో సాధించిన (3) ',' 44 వ అత్యధిక పరుగులు (194) ',' 16 వ అత్యధిక వికెట్లు స్టంప్ తీసుకోకూడదు (13) ',' 36 వ 150 వికెట్లు (36) వేగంగా ']</v>
      </c>
      <c r="E6625" s="2" t="s">
        <v>3981</v>
      </c>
      <c r="F6625" s="2" t="str">
        <f>IFERROR(__xludf.DUMMYFUNCTION("IF(E6625&lt;&gt;"""", GOOGLETRANSLATE(E6625, ""en"", ""te""),"""")"),"[ 'ఇన్నింగ్స్ లో 7 వ అత్యధిక పరుగులు (బ్యాటింగ్ స్థానంలో ప్రకారం) (34 *)', 'ఒకే మైదానంలో 18 వ అత్యధిక వికెట్లు (46)', '46 వ కెరీర్ లో బౌల్డ్ చాలా బంతుల్లో (7543)', '46 వ అత్యధిక వికెట్లు ఆకర్షించింది తీసుకున్న ఒక ఫీల్డర్ చేత (87) ',' 15 వ అత్యధిక వికెట్ల"&amp;"ు స్టంప్ తీసుకున్న (19) ']")</f>
        <v>[ 'ఇన్నింగ్స్ లో 7 వ అత్యధిక పరుగులు (బ్యాటింగ్ స్థానంలో ప్రకారం) (34 *)', 'ఒకే మైదానంలో 18 వ అత్యధిక వికెట్లు (46)', '46 వ కెరీర్ లో బౌల్డ్ చాలా బంతుల్లో (7543)', '46 వ అత్యధిక వికెట్లు ఆకర్షించింది తీసుకున్న ఒక ఫీల్డర్ చేత (87) ',' 15 వ అత్యధిక వికెట్లు స్టంప్ తీసుకున్న (19) ']</v>
      </c>
      <c r="G6625" s="2"/>
      <c r="H6625" s="2" t="str">
        <f>IFERROR(__xludf.DUMMYFUNCTION("IF(G6625&lt;&gt;"""", GOOGLETRANSLATE(G6625, ""en"", ""te""),"""")"),"")</f>
        <v/>
      </c>
      <c r="I6625" s="3"/>
    </row>
    <row r="6626" customHeight="1" spans="1:9">
      <c r="A6626" s="2"/>
      <c r="B6626" s="2" t="str">
        <f>IFERROR(__xludf.DUMMYFUNCTION("IF(A6626&lt;&gt;"""", GOOGLETRANSLATE(A6626, ""en"", ""te""),"""")"),"")</f>
        <v/>
      </c>
      <c r="C6626" s="2"/>
      <c r="D6626" s="2" t="str">
        <f>IFERROR(__xludf.DUMMYFUNCTION("IF(C6626&lt;&gt;"""", GOOGLETRANSLATE(C6626, ""en"", ""te""),"""")"),"")</f>
        <v/>
      </c>
      <c r="E6626" s="2"/>
      <c r="F6626" s="2" t="str">
        <f>IFERROR(__xludf.DUMMYFUNCTION("IF(E6626&lt;&gt;"""", GOOGLETRANSLATE(E6626, ""en"", ""te""),"""")"),"")</f>
        <v/>
      </c>
      <c r="G6626" s="2"/>
      <c r="H6626" s="2" t="str">
        <f>IFERROR(__xludf.DUMMYFUNCTION("IF(G6626&lt;&gt;"""", GOOGLETRANSLATE(G6626, ""en"", ""te""),"""")"),"")</f>
        <v/>
      </c>
      <c r="I6626" s="3"/>
    </row>
    <row r="6627" customHeight="1" spans="1:9">
      <c r="A6627" s="2"/>
      <c r="B6627" s="2" t="str">
        <f>IFERROR(__xludf.DUMMYFUNCTION("IF(A6627&lt;&gt;"""", GOOGLETRANSLATE(A6627, ""en"", ""te""),"""")"),"")</f>
        <v/>
      </c>
      <c r="C6627" s="2"/>
      <c r="D6627" s="2" t="str">
        <f>IFERROR(__xludf.DUMMYFUNCTION("IF(C6627&lt;&gt;"""", GOOGLETRANSLATE(C6627, ""en"", ""te""),"""")"),"")</f>
        <v/>
      </c>
      <c r="E6627" s="2"/>
      <c r="F6627" s="2" t="str">
        <f>IFERROR(__xludf.DUMMYFUNCTION("IF(E6627&lt;&gt;"""", GOOGLETRANSLATE(E6627, ""en"", ""te""),"""")"),"")</f>
        <v/>
      </c>
      <c r="G6627" s="2"/>
      <c r="H6627" s="2" t="str">
        <f>IFERROR(__xludf.DUMMYFUNCTION("IF(G6627&lt;&gt;"""", GOOGLETRANSLATE(G6627, ""en"", ""te""),"""")"),"")</f>
        <v/>
      </c>
      <c r="I6627" s="3"/>
    </row>
    <row r="6628" customHeight="1" spans="1:9">
      <c r="A6628" s="2"/>
      <c r="B6628" s="2" t="str">
        <f>IFERROR(__xludf.DUMMYFUNCTION("IF(A6628&lt;&gt;"""", GOOGLETRANSLATE(A6628, ""en"", ""te""),"""")"),"")</f>
        <v/>
      </c>
      <c r="C6628" s="2"/>
      <c r="D6628" s="2" t="str">
        <f>IFERROR(__xludf.DUMMYFUNCTION("IF(C6628&lt;&gt;"""", GOOGLETRANSLATE(C6628, ""en"", ""te""),"""")"),"")</f>
        <v/>
      </c>
      <c r="E6628" s="2"/>
      <c r="F6628" s="2" t="str">
        <f>IFERROR(__xludf.DUMMYFUNCTION("IF(E6628&lt;&gt;"""", GOOGLETRANSLATE(E6628, ""en"", ""te""),"""")"),"")</f>
        <v/>
      </c>
      <c r="G6628" s="2"/>
      <c r="H6628" s="2" t="str">
        <f>IFERROR(__xludf.DUMMYFUNCTION("IF(G6628&lt;&gt;"""", GOOGLETRANSLATE(G6628, ""en"", ""te""),"""")"),"")</f>
        <v/>
      </c>
      <c r="I6628" s="3"/>
    </row>
    <row r="6629" customHeight="1" spans="1:9">
      <c r="A6629" s="2"/>
      <c r="B6629" s="2" t="str">
        <f>IFERROR(__xludf.DUMMYFUNCTION("IF(A6629&lt;&gt;"""", GOOGLETRANSLATE(A6629, ""en"", ""te""),"""")"),"")</f>
        <v/>
      </c>
      <c r="C6629" s="2" t="s">
        <v>3982</v>
      </c>
      <c r="D6629" s="2" t="str">
        <f>IFERROR(__xludf.DUMMYFUNCTION("IF(C6629&lt;&gt;"""", GOOGLETRANSLATE(C6629, ""en"", ""te""),"""")"),"[ 'ఫాస్టెస్ట్ 50 వికెట్లు (10) కు 20 వ', '49 వ ఉత్తమ కెరీర్ సగటు (22.80) బౌలింగ్']")</f>
        <v>[ 'ఫాస్టెస్ట్ 50 వికెట్లు (10) కు 20 వ', '49 వ ఉత్తమ కెరీర్ సగటు (22.80) బౌలింగ్']</v>
      </c>
      <c r="E6629" s="2" t="s">
        <v>3983</v>
      </c>
      <c r="F6629" s="2" t="str">
        <f>IFERROR(__xludf.DUMMYFUNCTION("IF(E6629&lt;&gt;"""", GOOGLETRANSLATE(E6629, ""en"", ""te""),"""")"),"[ '17 చెత్త కెరీర్ బౌలింగ్ సరాసరి (అర్హత లేకుండా) (153.00)']")</f>
        <v>[ '17 చెత్త కెరీర్ బౌలింగ్ సరాసరి (అర్హత లేకుండా) (153.00)']</v>
      </c>
      <c r="G6629" s="2"/>
      <c r="H6629" s="2" t="str">
        <f>IFERROR(__xludf.DUMMYFUNCTION("IF(G6629&lt;&gt;"""", GOOGLETRANSLATE(G6629, ""en"", ""te""),"""")"),"")</f>
        <v/>
      </c>
      <c r="I6629" s="3"/>
    </row>
    <row r="6630" customHeight="1" spans="1:9">
      <c r="A6630" s="2"/>
      <c r="B6630" s="2" t="str">
        <f>IFERROR(__xludf.DUMMYFUNCTION("IF(A6630&lt;&gt;"""", GOOGLETRANSLATE(A6630, ""en"", ""te""),"""")"),"")</f>
        <v/>
      </c>
      <c r="C6630" s="2"/>
      <c r="D6630" s="2" t="str">
        <f>IFERROR(__xludf.DUMMYFUNCTION("IF(C6630&lt;&gt;"""", GOOGLETRANSLATE(C6630, ""en"", ""te""),"""")"),"")</f>
        <v/>
      </c>
      <c r="E6630" s="2"/>
      <c r="F6630" s="2" t="str">
        <f>IFERROR(__xludf.DUMMYFUNCTION("IF(E6630&lt;&gt;"""", GOOGLETRANSLATE(E6630, ""en"", ""te""),"""")"),"")</f>
        <v/>
      </c>
      <c r="G6630" s="2"/>
      <c r="H6630" s="2" t="str">
        <f>IFERROR(__xludf.DUMMYFUNCTION("IF(G6630&lt;&gt;"""", GOOGLETRANSLATE(G6630, ""en"", ""te""),"""")"),"")</f>
        <v/>
      </c>
      <c r="I6630" s="3"/>
    </row>
    <row r="6631" customHeight="1" spans="1:9">
      <c r="A6631" s="2" t="s">
        <v>493</v>
      </c>
      <c r="B6631" s="2" t="str">
        <f>IFERROR(__xludf.DUMMYFUNCTION("IF(A6631&lt;&gt;"""", GOOGLETRANSLATE(A6631, ""en"", ""te""),"""")"),"[ 'ఒక ఇన్నింగ్స్ లో ఒక ప్రత్యామ్నాయంగా (2) 3 వ అత్యధిక క్యాచ్లు']")</f>
        <v>[ 'ఒక ఇన్నింగ్స్ లో ఒక ప్రత్యామ్నాయంగా (2) 3 వ అత్యధిక క్యాచ్లు']</v>
      </c>
      <c r="C6631" s="2"/>
      <c r="D6631" s="2" t="str">
        <f>IFERROR(__xludf.DUMMYFUNCTION("IF(C6631&lt;&gt;"""", GOOGLETRANSLATE(C6631, ""en"", ""te""),"""")"),"")</f>
        <v/>
      </c>
      <c r="E6631" s="2"/>
      <c r="F6631" s="2" t="str">
        <f>IFERROR(__xludf.DUMMYFUNCTION("IF(E6631&lt;&gt;"""", GOOGLETRANSLATE(E6631, ""en"", ""te""),"""")"),"")</f>
        <v/>
      </c>
      <c r="G6631" s="2" t="s">
        <v>3984</v>
      </c>
      <c r="H6631" s="2" t="str">
        <f>IFERROR(__xludf.DUMMYFUNCTION("IF(G6631&lt;&gt;"""", GOOGLETRANSLATE(G6631, ""en"", ""te""),"""")"),"[ '17 వ బౌలర్ / బ్యాట్స్ కలయికలు (3)', 'ఒక ఇన్నింగ్స్ లో ఒక ప్రత్యామ్నాయంగా (2) 3 వ అత్యధిక క్యాచ్లు']")</f>
        <v>[ '17 వ బౌలర్ / బ్యాట్స్ కలయికలు (3)', 'ఒక ఇన్నింగ్స్ లో ఒక ప్రత్యామ్నాయంగా (2) 3 వ అత్యధిక క్యాచ్లు']</v>
      </c>
      <c r="I6631" s="3"/>
    </row>
    <row r="6632" customHeight="1" spans="1:9">
      <c r="A6632" s="2" t="s">
        <v>3015</v>
      </c>
      <c r="B6632" s="2" t="str">
        <f>IFERROR(__xludf.DUMMYFUNCTION("IF(A6632&lt;&gt;"""", GOOGLETRANSLATE(A6632, ""en"", ""te""),"""")"),"[ '2nd అత్యంత ఇన్నింగ్స్ లో సాధించిన బైస్ (18)']")</f>
        <v>[ '2nd అత్యంత ఇన్నింగ్స్ లో సాధించిన బైస్ (18)']</v>
      </c>
      <c r="C6632" s="2"/>
      <c r="D6632" s="2" t="str">
        <f>IFERROR(__xludf.DUMMYFUNCTION("IF(C6632&lt;&gt;"""", GOOGLETRANSLATE(C6632, ""en"", ""te""),"""")"),"")</f>
        <v/>
      </c>
      <c r="E6632" s="2" t="s">
        <v>3015</v>
      </c>
      <c r="F6632" s="2" t="str">
        <f>IFERROR(__xludf.DUMMYFUNCTION("IF(E6632&lt;&gt;"""", GOOGLETRANSLATE(E6632, ""en"", ""te""),"""")"),"[ '2nd అత్యంత ఇన్నింగ్స్ లో సాధించిన బైస్ (18)']")</f>
        <v>[ '2nd అత్యంత ఇన్నింగ్స్ లో సాధించిన బైస్ (18)']</v>
      </c>
      <c r="G6632" s="2"/>
      <c r="H6632" s="2" t="str">
        <f>IFERROR(__xludf.DUMMYFUNCTION("IF(G6632&lt;&gt;"""", GOOGLETRANSLATE(G6632, ""en"", ""te""),"""")"),"")</f>
        <v/>
      </c>
      <c r="I6632" s="3"/>
    </row>
    <row r="6633" customHeight="1" spans="1:9">
      <c r="A6633" s="2" t="s">
        <v>3985</v>
      </c>
      <c r="B6633" s="2" t="str">
        <f>IFERROR(__xludf.DUMMYFUNCTION("IF(A6633&lt;&gt;"""", GOOGLETRANSLATE(A6633, ""en"", ""te""),"""")"),"[ 'హండ్రెడ్ మరియు ఒక మ్యాచ్లో తొంభై', 'బ్యాటింగ్ తెరవడం మరియు అదే మ్యాచ్ లో బౌలింగ్', 'వరుస 3 వ అత్యధిక వందలు (3)', '5 వ అసాధారణ వికెట్లు (అడ్డుకోవడం)', 'బ్యాటింగ్ తెరవడం మరియు ఒకే మ్యాచ్ లో బౌలింగ్ ',' 1000 పరుగులు, 50 వికెట్లు, 50 క్యాచ్లు ',' 5000 పరు"&amp;"గులు మరియు 50 ఫీల్డింగ్ వికెట్లు ',' 3 వ లాంగెస్ట్ కెరీర్లు (14y 240d) ',' 3 వ వరుస అన్ని టాస్ గెలిచిన (3) ', 10 వ వేగవంతమైన 2000 పరుగులు 'కెరీర్లో 4 వ అత్యధిక పరుగులు (2388)', 'వరుస ఇన్నింగ్స్లో 3 వ యాభైల్లో (3)', '1 వ వరుస బాతులు (3)', '5 వ కెరీర్ ఫోర"&amp;"్లు (240)', '( 89) ',' 7 వ అత్యుత్తమ బౌలింగ్ ఇన్నింగ్స్ లో విశ్లేషించడం (2/3) ',' 2 వ అత్యంత బృందం (136) 'కోసం తీసుకున్న క్యాచ్ మరియు బౌల్డ్ (6)', '7 వ వరుస మ్యాచ్లు వికెట్లు]")</f>
        <v>[ 'హండ్రెడ్ మరియు ఒక మ్యాచ్లో తొంభై', 'బ్యాటింగ్ తెరవడం మరియు అదే మ్యాచ్ లో బౌలింగ్', 'వరుస 3 వ అత్యధిక వందలు (3)', '5 వ అసాధారణ వికెట్లు (అడ్డుకోవడం)', 'బ్యాటింగ్ తెరవడం మరియు ఒకే మ్యాచ్ లో బౌలింగ్ ',' 1000 పరుగులు, 50 వికెట్లు, 50 క్యాచ్లు ',' 5000 పరుగులు మరియు 50 ఫీల్డింగ్ వికెట్లు ',' 3 వ లాంగెస్ట్ కెరీర్లు (14y 240d) ',' 3 వ వరుస అన్ని టాస్ గెలిచిన (3) ', 10 వ వేగవంతమైన 2000 పరుగులు 'కెరీర్లో 4 వ అత్యధిక పరుగులు (2388)', 'వరుస ఇన్నింగ్స్లో 3 వ యాభైల్లో (3)', '1 వ వరుస బాతులు (3)', '5 వ కెరీర్ ఫోర్లు (240)', '( 89) ',' 7 వ అత్యుత్తమ బౌలింగ్ ఇన్నింగ్స్ లో విశ్లేషించడం (2/3) ',' 2 వ అత్యంత బృందం (136) 'కోసం తీసుకున్న క్యాచ్ మరియు బౌల్డ్ (6)', '7 వ వరుస మ్యాచ్లు వికెట్లు]</v>
      </c>
      <c r="C6633" s="2" t="s">
        <v>3986</v>
      </c>
      <c r="D6633" s="2" t="str">
        <f>IFERROR(__xludf.DUMMYFUNCTION("IF(C6633&lt;&gt;"""", GOOGLETRANSLATE(C6633, ""en"", ""te""),"""")"),"[ '27 పరాజయం వైపు ఒక మ్యాచ్లో అత్యధిక పరుగులు (221)', 'వరుస మ్యాచ్లలో 21 వందల (3)', 'రెండవ వికెట్ (287) 25 వ అత్యధిక భాగస్వామ్యం']")</f>
        <v>[ '27 పరాజయం వైపు ఒక మ్యాచ్లో అత్యధిక పరుగులు (221)', 'వరుస మ్యాచ్లలో 21 వందల (3)', 'రెండవ వికెట్ (287) 25 వ అత్యధిక భాగస్వామ్యం']</v>
      </c>
      <c r="E6633" s="2" t="s">
        <v>3987</v>
      </c>
      <c r="F6633" s="2" t="str">
        <f>IFERROR(__xludf.DUMMYFUNCTION("IF(E6633&lt;&gt;"""", GOOGLETRANSLATE(E6633, ""en"", ""te""),"""")"),"[ '50 వ అత్యధిక కెరీర్ లో పరుగులు (6614)', '30th ఒక క్యాలెండర్ సంవత్సరంలో అత్యధిక పరుగులు (1301)', 'ఒక వృత్తిలో 41 వ అత్యధిక వందలు (11)', 'వరుస 3 వ అత్యధిక వందలు (3)', ' ఒక క్యాలెండర్ సంవత్సరంలో 11 వ అత్యధిక వందలు (5) ',' 39 వ ఒక జట్టు (4) ',' 50 వ అత్యంత"&amp;" వృద్ధ ఆటగాడు వ్యతిరేకంగా అత్యధిక వందలు వంద (35y 25d) ',' 18 వ అత్యంత బాతులు వృత్తి జీవితంలో చేసిన (19) ',' కెరీర్లో 34 వ ఎక్కువ సిక్స్ (110) ',' 38 వ అత్యంత ఫోర్లు కెరీర్లో (664) ',' 5 వ అసాధారణ తొలగింపులకు ',' ఫాస్టెస్ట్ 44 వ కెరీర్ లో బౌల్డ్ 6000 పరుగు"&amp;"లు (196) ',' 45 వ అత్యంత బంతులకు (అడ్డుకోవడం) ( 7733) ',' 18 వ అత్యధిక వికెట్లు తీసుకున్న ఎల్బిడబ్ల్యు (41) ',' 44 వ కెరీర్ లో అత్యధిక క్యాచ్లు (85) ',' తొలి వికెట్కు (228 *) ',' ఒక జట్టు కోసం 25 వరుస మ్యాచ్లు కోసం 23 అత్యధిక భాగస్వామ్యం (88 న) ',' 36 వ అ"&amp;"త్యంత ప్లేయర్ ఆఫ్ ది మ్యాచ్ అవార్డులు (19) ',' 24 వ అత్యంత ప్లేయర్ ఆఫ్ ది సిరీస్ అవార్డులు (4) ',' 34 వ లాంగెస్ట్ కెరీర్లు (16y 93d) ',' 20 వ ఓల్డెస్ట్ కెప్టెన్లు కెప్టెన్సీ ప్రవేశం (36y 90D) ']")</f>
        <v>[ '50 వ అత్యధిక కెరీర్ లో పరుగులు (6614)', '30th ఒక క్యాలెండర్ సంవత్సరంలో అత్యధిక పరుగులు (1301)', 'ఒక వృత్తిలో 41 వ అత్యధిక వందలు (11)', 'వరుస 3 వ అత్యధిక వందలు (3)', ' ఒక క్యాలెండర్ సంవత్సరంలో 11 వ అత్యధిక వందలు (5) ',' 39 వ ఒక జట్టు (4) ',' 50 వ అత్యంత వృద్ధ ఆటగాడు వ్యతిరేకంగా అత్యధిక వందలు వంద (35y 25d) ',' 18 వ అత్యంత బాతులు వృత్తి జీవితంలో చేసిన (19) ',' కెరీర్లో 34 వ ఎక్కువ సిక్స్ (110) ',' 38 వ అత్యంత ఫోర్లు కెరీర్లో (664) ',' 5 వ అసాధారణ తొలగింపులకు ',' ఫాస్టెస్ట్ 44 వ కెరీర్ లో బౌల్డ్ 6000 పరుగులు (196) ',' 45 వ అత్యంత బంతులకు (అడ్డుకోవడం) ( 7733) ',' 18 వ అత్యధిక వికెట్లు తీసుకున్న ఎల్బిడబ్ల్యు (41) ',' 44 వ కెరీర్ లో అత్యధిక క్యాచ్లు (85) ',' తొలి వికెట్కు (228 *) ',' ఒక జట్టు కోసం 25 వరుస మ్యాచ్లు కోసం 23 అత్యధిక భాగస్వామ్యం (88 న) ',' 36 వ అత్యంత ప్లేయర్ ఆఫ్ ది మ్యాచ్ అవార్డులు (19) ',' 24 వ అత్యంత ప్లేయర్ ఆఫ్ ది సిరీస్ అవార్డులు (4) ',' 34 వ లాంగెస్ట్ కెరీర్లు (16y 93d) ',' 20 వ ఓల్డెస్ట్ కెప్టెన్లు కెప్టెన్సీ ప్రవేశం (36y 90D) ']</v>
      </c>
      <c r="G6633" s="2" t="s">
        <v>3988</v>
      </c>
      <c r="H6633" s="2" t="str">
        <f>IFERROR(__xludf.DUMMYFUNCTION("IF(G6633&lt;&gt;"""", GOOGLETRANSLATE(G6633, ""en"", ""te""),"""")"),"[ 'కెరీర్లో 4 వ అత్యధిక పరుగులు (2388)', '33 వ ఒక క్యాలెండర్ సంవత్సరంలో అత్యధిక పరుగులు (415)', '7 వ ఇన్నింగ్స్ లో అత్యధిక పరుగులు (బ్యాటింగ్ స్థానంలో ప్రకారం) (99 *)', 'ఒక మ్యాచ్లో 9 వ అత్యధిక పరుగులు పరాజయం వైపు (99 *) ',' 18 వ ఒకే మైదానంలో అత్యధిక పర"&amp;"ుగులు (335) ',' ఒక కెప్టెన్తో ఇన్నింగ్స్ 28 వ అత్యధిక పరుగులు (86) ',' 10 వ అత్యంత అర్ధ కెరీర్లో (14) ',' వరుస ఇన్నింగ్స్లో 3 వ యాభైల్లో (3) ',' 16 వ ఇన్నింగ్స్ ముందు మొదటి డక్ (25) ',' ఒక డక్ లేకుండా 42 వ వరుస ఇన్నింగ్స్ (32) ',' 10 వ అత్యంత బాతులు కెరీ"&amp;"ర్ లో (7) ',' 1 వ వరుస బాతులు (3) ',' 20 వ కెరీర్ లో వచ్చిన ఎక్కువ సిక్స్ (71) ',' చాలా 5 వ ఫోర్లు కెరీర్లో (240) ',' ఒక ఇన్నింగ్స్లో పరుగుల 19 అత్యధిక శాతం (60.73) ',' 28th 1000 పరుగులు వేగంగా ( 41) ',' 2000 పరుగులు వేగంగా 10 వ (89) ',' 27 వ కెరీర్ లో అత"&amp;"్యధిక వికెట్లు (55) ',' 7 వ అత్యుత్తమ బౌలింగ్ ఇన్నింగ్స్ లో విశ్లేషించడం (2/3) ',' ఒకే మైదానంలో 22 వ అత్యధిక వికెట్లు ( 14) ',' ఒక కెప్టెన్తో ఒక ఇన్నింగ్స్ లో 20 వ బెస్ట్ ఫిగర్స్ (3) ',' 17 వ ఉత్తమ కెరీర్ ఆర్థిక రేటు (6.55) ',' 14 వ ఉత్తమ సమ్మె ఇన్నింగ్స"&amp;"్ లో రేటు (3.5) ', 'కెరీర్ (1159) లో బౌల్డ్ 16 వ బంతుల్లో', '22 వ అత్యధిక పరుగులు కెరీర్లో సాధించిన (1267)', '17 వ బౌలర్ / బ్యాట్స్ కలయికలు (3)', '45 వ బౌలర్ / ఫీల్డర్ కలయికలు (6)', '27 వ అత్యధిక వికెట్లు తీసుకోకూడదు బౌల్డ్ (13) ',' 2 వ అత్యంత క్యాచ్ మరియ"&amp;"ు బౌల్డ్ తీసుకోబడిన వికెట్ల (6) ',' 39 వ అత్యధిక వికెట్లు ఒక ఫీల్డర్ చేత క్యాచ్ తీసుకున్న (27) ',' 14 వ అత్యధిక వికెట్లు తీసుకున్న ఎల్బిడబ్ల్యు (7) ',' 11 వ అత్యధిక వికెట్లు తీసుకున్న స్టంప్డ్ (7) ',' 34 వ కెరీర్ లో అత్యధిక క్యాచ్లు (28) ',' మొదటి వికెట్క"&amp;"ు 36 వ అత్యధిక భాగస్వామ్యం (124) ',' మూడో వికెట్కు 35 వ అత్యధిక భాగస్వామ్యం (102) ',' 14 వ అత్యధిక నాలుగోది భాగస్వామ్యంతో వికెట్ (106) ',' 3 వ అత్యధిక కెరీర్ లో పోటీలు (106) ',' ఒక జట్టుకు 15 వ వరుస మ్యాచ్లు (43) ',' 4 వ అత్యంత ప్లేయర్ ఆఫ్ ది మ్యాచ్ అవార్"&amp;"డులు (10) ',' 3 వ చాలా ఆటగాడు -of-సిరీస్ అవార్డులు (4) ',' 3 వ లాంగెస్ట్ కెరీర్లు (14y 240d) ',' 16 వ అత్యధిక మ్యాచ్లు కెప్టెన్గా (29) ',' 5 వ వరుస మ్యాచ్లు ఒక జట్టు కెప్టెన్గా (29) ',' 3 వ ఒక సిరీస్లో అన్ని టాస్ గెలిచిన (3) ']")</f>
        <v>[ 'కెరీర్లో 4 వ అత్యధిక పరుగులు (2388)', '33 వ ఒక క్యాలెండర్ సంవత్సరంలో అత్యధిక పరుగులు (415)', '7 వ ఇన్నింగ్స్ లో అత్యధిక పరుగులు (బ్యాటింగ్ స్థానంలో ప్రకారం) (99 *)', 'ఒక మ్యాచ్లో 9 వ అత్యధిక పరుగులు పరాజయం వైపు (99 *) ',' 18 వ ఒకే మైదానంలో అత్యధిక పరుగులు (335) ',' ఒక కెప్టెన్తో ఇన్నింగ్స్ 28 వ అత్యధిక పరుగులు (86) ',' 10 వ అత్యంత అర్ధ కెరీర్లో (14) ',' వరుస ఇన్నింగ్స్లో 3 వ యాభైల్లో (3) ',' 16 వ ఇన్నింగ్స్ ముందు మొదటి డక్ (25) ',' ఒక డక్ లేకుండా 42 వ వరుస ఇన్నింగ్స్ (32) ',' 10 వ అత్యంత బాతులు కెరీర్ లో (7) ',' 1 వ వరుస బాతులు (3) ',' 20 వ కెరీర్ లో వచ్చిన ఎక్కువ సిక్స్ (71) ',' చాలా 5 వ ఫోర్లు కెరీర్లో (240) ',' ఒక ఇన్నింగ్స్లో పరుగుల 19 అత్యధిక శాతం (60.73) ',' 28th 1000 పరుగులు వేగంగా ( 41) ',' 2000 పరుగులు వేగంగా 10 వ (89) ',' 27 వ కెరీర్ లో అత్యధిక వికెట్లు (55) ',' 7 వ అత్యుత్తమ బౌలింగ్ ఇన్నింగ్స్ లో విశ్లేషించడం (2/3) ',' ఒకే మైదానంలో 22 వ అత్యధిక వికెట్లు ( 14) ',' ఒక కెప్టెన్తో ఒక ఇన్నింగ్స్ లో 20 వ బెస్ట్ ఫిగర్స్ (3) ',' 17 వ ఉత్తమ కెరీర్ ఆర్థిక రేటు (6.55) ',' 14 వ ఉత్తమ సమ్మె ఇన్నింగ్స్ లో రేటు (3.5) ', 'కెరీర్ (1159) లో బౌల్డ్ 16 వ బంతుల్లో', '22 వ అత్యధిక పరుగులు కెరీర్లో సాధించిన (1267)', '17 వ బౌలర్ / బ్యాట్స్ కలయికలు (3)', '45 వ బౌలర్ / ఫీల్డర్ కలయికలు (6)', '27 వ అత్యధిక వికెట్లు తీసుకోకూడదు బౌల్డ్ (13) ',' 2 వ అత్యంత క్యాచ్ మరియు బౌల్డ్ తీసుకోబడిన వికెట్ల (6) ',' 39 వ అత్యధిక వికెట్లు ఒక ఫీల్డర్ చేత క్యాచ్ తీసుకున్న (27) ',' 14 వ అత్యధిక వికెట్లు తీసుకున్న ఎల్బిడబ్ల్యు (7) ',' 11 వ అత్యధిక వికెట్లు తీసుకున్న స్టంప్డ్ (7) ',' 34 వ కెరీర్ లో అత్యధిక క్యాచ్లు (28) ',' మొదటి వికెట్కు 36 వ అత్యధిక భాగస్వామ్యం (124) ',' మూడో వికెట్కు 35 వ అత్యధిక భాగస్వామ్యం (102) ',' 14 వ అత్యధిక నాలుగోది భాగస్వామ్యంతో వికెట్ (106) ',' 3 వ అత్యధిక కెరీర్ లో పోటీలు (106) ',' ఒక జట్టుకు 15 వ వరుస మ్యాచ్లు (43) ',' 4 వ అత్యంత ప్లేయర్ ఆఫ్ ది మ్యాచ్ అవార్డులు (10) ',' 3 వ చాలా ఆటగాడు -of-సిరీస్ అవార్డులు (4) ',' 3 వ లాంగెస్ట్ కెరీర్లు (14y 240d) ',' 16 వ అత్యధిక మ్యాచ్లు కెప్టెన్గా (29) ',' 5 వ వరుస మ్యాచ్లు ఒక జట్టు కెప్టెన్గా (29) ',' 3 వ ఒక సిరీస్లో అన్ని టాస్ గెలిచిన (3) ']</v>
      </c>
      <c r="I6633" s="3"/>
    </row>
    <row r="6634" customHeight="1" spans="1:9">
      <c r="A6634" s="2"/>
      <c r="B6634" s="2" t="str">
        <f>IFERROR(__xludf.DUMMYFUNCTION("IF(A6634&lt;&gt;"""", GOOGLETRANSLATE(A6634, ""en"", ""te""),"""")"),"")</f>
        <v/>
      </c>
      <c r="C6634" s="2"/>
      <c r="D6634" s="2" t="str">
        <f>IFERROR(__xludf.DUMMYFUNCTION("IF(C6634&lt;&gt;"""", GOOGLETRANSLATE(C6634, ""en"", ""te""),"""")"),"")</f>
        <v/>
      </c>
      <c r="E6634" s="2"/>
      <c r="F6634" s="2" t="str">
        <f>IFERROR(__xludf.DUMMYFUNCTION("IF(E6634&lt;&gt;"""", GOOGLETRANSLATE(E6634, ""en"", ""te""),"""")"),"")</f>
        <v/>
      </c>
      <c r="G6634" s="2"/>
      <c r="H6634" s="2" t="str">
        <f>IFERROR(__xludf.DUMMYFUNCTION("IF(G6634&lt;&gt;"""", GOOGLETRANSLATE(G6634, ""en"", ""te""),"""")"),"")</f>
        <v/>
      </c>
      <c r="I6634" s="3"/>
    </row>
    <row r="6635" customHeight="1" spans="1:9">
      <c r="A6635" s="2"/>
      <c r="B6635" s="2" t="str">
        <f>IFERROR(__xludf.DUMMYFUNCTION("IF(A6635&lt;&gt;"""", GOOGLETRANSLATE(A6635, ""en"", ""te""),"""")"),"")</f>
        <v/>
      </c>
      <c r="C6635" s="2"/>
      <c r="D6635" s="2" t="str">
        <f>IFERROR(__xludf.DUMMYFUNCTION("IF(C6635&lt;&gt;"""", GOOGLETRANSLATE(C6635, ""en"", ""te""),"""")"),"")</f>
        <v/>
      </c>
      <c r="E6635" s="2"/>
      <c r="F6635" s="2" t="str">
        <f>IFERROR(__xludf.DUMMYFUNCTION("IF(E6635&lt;&gt;"""", GOOGLETRANSLATE(E6635, ""en"", ""te""),"""")"),"")</f>
        <v/>
      </c>
      <c r="G6635" s="2"/>
      <c r="H6635" s="2" t="str">
        <f>IFERROR(__xludf.DUMMYFUNCTION("IF(G6635&lt;&gt;"""", GOOGLETRANSLATE(G6635, ""en"", ""te""),"""")"),"")</f>
        <v/>
      </c>
      <c r="I6635" s="3"/>
    </row>
    <row r="6636" customHeight="1" spans="1:9">
      <c r="A6636" s="2"/>
      <c r="B6636" s="2" t="str">
        <f>IFERROR(__xludf.DUMMYFUNCTION("IF(A6636&lt;&gt;"""", GOOGLETRANSLATE(A6636, ""en"", ""te""),"""")"),"")</f>
        <v/>
      </c>
      <c r="C6636" s="2"/>
      <c r="D6636" s="2" t="str">
        <f>IFERROR(__xludf.DUMMYFUNCTION("IF(C6636&lt;&gt;"""", GOOGLETRANSLATE(C6636, ""en"", ""te""),"""")"),"")</f>
        <v/>
      </c>
      <c r="E6636" s="2"/>
      <c r="F6636" s="2" t="str">
        <f>IFERROR(__xludf.DUMMYFUNCTION("IF(E6636&lt;&gt;"""", GOOGLETRANSLATE(E6636, ""en"", ""te""),"""")"),"")</f>
        <v/>
      </c>
      <c r="G6636" s="2"/>
      <c r="H6636" s="2" t="str">
        <f>IFERROR(__xludf.DUMMYFUNCTION("IF(G6636&lt;&gt;"""", GOOGLETRANSLATE(G6636, ""en"", ""te""),"""")"),"")</f>
        <v/>
      </c>
      <c r="I6636" s="3"/>
    </row>
    <row r="6637" customHeight="1" spans="1:9">
      <c r="A6637" s="2"/>
      <c r="B6637" s="2" t="str">
        <f>IFERROR(__xludf.DUMMYFUNCTION("IF(A6637&lt;&gt;"""", GOOGLETRANSLATE(A6637, ""en"", ""te""),"""")"),"")</f>
        <v/>
      </c>
      <c r="C6637" s="2"/>
      <c r="D6637" s="2" t="str">
        <f>IFERROR(__xludf.DUMMYFUNCTION("IF(C6637&lt;&gt;"""", GOOGLETRANSLATE(C6637, ""en"", ""te""),"""")"),"")</f>
        <v/>
      </c>
      <c r="E6637" s="2"/>
      <c r="F6637" s="2" t="str">
        <f>IFERROR(__xludf.DUMMYFUNCTION("IF(E6637&lt;&gt;"""", GOOGLETRANSLATE(E6637, ""en"", ""te""),"""")"),"")</f>
        <v/>
      </c>
      <c r="G6637" s="2"/>
      <c r="H6637" s="2" t="str">
        <f>IFERROR(__xludf.DUMMYFUNCTION("IF(G6637&lt;&gt;"""", GOOGLETRANSLATE(G6637, ""en"", ""te""),"""")"),"")</f>
        <v/>
      </c>
      <c r="I6637" s="3"/>
    </row>
    <row r="6638" customHeight="1" spans="1:9">
      <c r="A6638" s="2"/>
      <c r="B6638" s="2" t="str">
        <f>IFERROR(__xludf.DUMMYFUNCTION("IF(A6638&lt;&gt;"""", GOOGLETRANSLATE(A6638, ""en"", ""te""),"""")"),"")</f>
        <v/>
      </c>
      <c r="C6638" s="2"/>
      <c r="D6638" s="2" t="str">
        <f>IFERROR(__xludf.DUMMYFUNCTION("IF(C6638&lt;&gt;"""", GOOGLETRANSLATE(C6638, ""en"", ""te""),"""")"),"")</f>
        <v/>
      </c>
      <c r="E6638" s="2"/>
      <c r="F6638" s="2" t="str">
        <f>IFERROR(__xludf.DUMMYFUNCTION("IF(E6638&lt;&gt;"""", GOOGLETRANSLATE(E6638, ""en"", ""te""),"""")"),"")</f>
        <v/>
      </c>
      <c r="G6638" s="2"/>
      <c r="H6638" s="2" t="str">
        <f>IFERROR(__xludf.DUMMYFUNCTION("IF(G6638&lt;&gt;"""", GOOGLETRANSLATE(G6638, ""en"", ""te""),"""")"),"")</f>
        <v/>
      </c>
      <c r="I6638" s="3"/>
    </row>
    <row r="6639" customHeight="1" spans="1:9">
      <c r="A6639" s="2"/>
      <c r="B6639" s="2" t="str">
        <f>IFERROR(__xludf.DUMMYFUNCTION("IF(A6639&lt;&gt;"""", GOOGLETRANSLATE(A6639, ""en"", ""te""),"""")"),"")</f>
        <v/>
      </c>
      <c r="C6639" s="2"/>
      <c r="D6639" s="2" t="str">
        <f>IFERROR(__xludf.DUMMYFUNCTION("IF(C6639&lt;&gt;"""", GOOGLETRANSLATE(C6639, ""en"", ""te""),"""")"),"")</f>
        <v/>
      </c>
      <c r="E6639" s="2"/>
      <c r="F6639" s="2" t="str">
        <f>IFERROR(__xludf.DUMMYFUNCTION("IF(E6639&lt;&gt;"""", GOOGLETRANSLATE(E6639, ""en"", ""te""),"""")"),"")</f>
        <v/>
      </c>
      <c r="G6639" s="2"/>
      <c r="H6639" s="2" t="str">
        <f>IFERROR(__xludf.DUMMYFUNCTION("IF(G6639&lt;&gt;"""", GOOGLETRANSLATE(G6639, ""en"", ""te""),"""")"),"")</f>
        <v/>
      </c>
      <c r="I6639" s="3"/>
    </row>
    <row r="6640" customHeight="1" spans="1:9">
      <c r="A6640" s="2"/>
      <c r="B6640" s="2" t="str">
        <f>IFERROR(__xludf.DUMMYFUNCTION("IF(A6640&lt;&gt;"""", GOOGLETRANSLATE(A6640, ""en"", ""te""),"""")"),"")</f>
        <v/>
      </c>
      <c r="C6640" s="2"/>
      <c r="D6640" s="2" t="str">
        <f>IFERROR(__xludf.DUMMYFUNCTION("IF(C6640&lt;&gt;"""", GOOGLETRANSLATE(C6640, ""en"", ""te""),"""")"),"")</f>
        <v/>
      </c>
      <c r="E6640" s="2"/>
      <c r="F6640" s="2" t="str">
        <f>IFERROR(__xludf.DUMMYFUNCTION("IF(E6640&lt;&gt;"""", GOOGLETRANSLATE(E6640, ""en"", ""te""),"""")"),"")</f>
        <v/>
      </c>
      <c r="G6640" s="2"/>
      <c r="H6640" s="2" t="str">
        <f>IFERROR(__xludf.DUMMYFUNCTION("IF(G6640&lt;&gt;"""", GOOGLETRANSLATE(G6640, ""en"", ""te""),"""")"),"")</f>
        <v/>
      </c>
      <c r="I6640" s="3"/>
    </row>
    <row r="6641" customHeight="1" spans="1:9">
      <c r="A6641" s="2"/>
      <c r="B6641" s="2" t="str">
        <f>IFERROR(__xludf.DUMMYFUNCTION("IF(A6641&lt;&gt;"""", GOOGLETRANSLATE(A6641, ""en"", ""te""),"""")"),"")</f>
        <v/>
      </c>
      <c r="C6641" s="2"/>
      <c r="D6641" s="2" t="str">
        <f>IFERROR(__xludf.DUMMYFUNCTION("IF(C6641&lt;&gt;"""", GOOGLETRANSLATE(C6641, ""en"", ""te""),"""")"),"")</f>
        <v/>
      </c>
      <c r="E6641" s="2"/>
      <c r="F6641" s="2" t="str">
        <f>IFERROR(__xludf.DUMMYFUNCTION("IF(E6641&lt;&gt;"""", GOOGLETRANSLATE(E6641, ""en"", ""te""),"""")"),"")</f>
        <v/>
      </c>
      <c r="G6641" s="2"/>
      <c r="H6641" s="2" t="str">
        <f>IFERROR(__xludf.DUMMYFUNCTION("IF(G6641&lt;&gt;"""", GOOGLETRANSLATE(G6641, ""en"", ""te""),"""")"),"")</f>
        <v/>
      </c>
      <c r="I6641" s="3"/>
    </row>
    <row r="6642" customHeight="1" spans="1:9">
      <c r="A6642" s="2"/>
      <c r="B6642" s="2" t="str">
        <f>IFERROR(__xludf.DUMMYFUNCTION("IF(A6642&lt;&gt;"""", GOOGLETRANSLATE(A6642, ""en"", ""te""),"""")"),"")</f>
        <v/>
      </c>
      <c r="C6642" s="2"/>
      <c r="D6642" s="2" t="str">
        <f>IFERROR(__xludf.DUMMYFUNCTION("IF(C6642&lt;&gt;"""", GOOGLETRANSLATE(C6642, ""en"", ""te""),"""")"),"")</f>
        <v/>
      </c>
      <c r="E6642" s="2"/>
      <c r="F6642" s="2" t="str">
        <f>IFERROR(__xludf.DUMMYFUNCTION("IF(E6642&lt;&gt;"""", GOOGLETRANSLATE(E6642, ""en"", ""te""),"""")"),"")</f>
        <v/>
      </c>
      <c r="G6642" s="2"/>
      <c r="H6642" s="2" t="str">
        <f>IFERROR(__xludf.DUMMYFUNCTION("IF(G6642&lt;&gt;"""", GOOGLETRANSLATE(G6642, ""en"", ""te""),"""")"),"")</f>
        <v/>
      </c>
      <c r="I6642" s="3"/>
    </row>
    <row r="6643" customHeight="1" spans="1:9">
      <c r="A6643" s="2"/>
      <c r="B6643" s="2" t="str">
        <f>IFERROR(__xludf.DUMMYFUNCTION("IF(A6643&lt;&gt;"""", GOOGLETRANSLATE(A6643, ""en"", ""te""),"""")"),"")</f>
        <v/>
      </c>
      <c r="C6643" s="2"/>
      <c r="D6643" s="2" t="str">
        <f>IFERROR(__xludf.DUMMYFUNCTION("IF(C6643&lt;&gt;"""", GOOGLETRANSLATE(C6643, ""en"", ""te""),"""")"),"")</f>
        <v/>
      </c>
      <c r="E6643" s="2"/>
      <c r="F6643" s="2" t="str">
        <f>IFERROR(__xludf.DUMMYFUNCTION("IF(E6643&lt;&gt;"""", GOOGLETRANSLATE(E6643, ""en"", ""te""),"""")"),"")</f>
        <v/>
      </c>
      <c r="G6643" s="2"/>
      <c r="H6643" s="2" t="str">
        <f>IFERROR(__xludf.DUMMYFUNCTION("IF(G6643&lt;&gt;"""", GOOGLETRANSLATE(G6643, ""en"", ""te""),"""")"),"")</f>
        <v/>
      </c>
      <c r="I6643" s="3"/>
    </row>
    <row r="6644" customHeight="1" spans="1:9">
      <c r="A6644" s="2"/>
      <c r="B6644" s="2" t="str">
        <f>IFERROR(__xludf.DUMMYFUNCTION("IF(A6644&lt;&gt;"""", GOOGLETRANSLATE(A6644, ""en"", ""te""),"""")"),"")</f>
        <v/>
      </c>
      <c r="C6644" s="2"/>
      <c r="D6644" s="2" t="str">
        <f>IFERROR(__xludf.DUMMYFUNCTION("IF(C6644&lt;&gt;"""", GOOGLETRANSLATE(C6644, ""en"", ""te""),"""")"),"")</f>
        <v/>
      </c>
      <c r="E6644" s="2"/>
      <c r="F6644" s="2" t="str">
        <f>IFERROR(__xludf.DUMMYFUNCTION("IF(E6644&lt;&gt;"""", GOOGLETRANSLATE(E6644, ""en"", ""te""),"""")"),"")</f>
        <v/>
      </c>
      <c r="G6644" s="2"/>
      <c r="H6644" s="2" t="str">
        <f>IFERROR(__xludf.DUMMYFUNCTION("IF(G6644&lt;&gt;"""", GOOGLETRANSLATE(G6644, ""en"", ""te""),"""")"),"")</f>
        <v/>
      </c>
      <c r="I6644" s="3"/>
    </row>
    <row r="6645" customHeight="1" spans="1:9">
      <c r="A6645" s="2" t="s">
        <v>3989</v>
      </c>
      <c r="B6645" s="2" t="str">
        <f>IFERROR(__xludf.DUMMYFUNCTION("IF(A6645&lt;&gt;"""", GOOGLETRANSLATE(A6645, ""en"", ""te""),"""")"),"[ 'తొలి మ్యాచ్లో 5 వ ఉత్తమ బొమ్మలు (11)', 'పది వికెట్ల లో ఒక మ్యాచ్ పడుతుంది 10 వ పిన్న ఆటగాడు (20y 118d)']")</f>
        <v>[ 'తొలి మ్యాచ్లో 5 వ ఉత్తమ బొమ్మలు (11)', 'పది వికెట్ల లో ఒక మ్యాచ్ పడుతుంది 10 వ పిన్న ఆటగాడు (20y 118d)']</v>
      </c>
      <c r="C6645" s="2" t="s">
        <v>3990</v>
      </c>
      <c r="D6645" s="2" t="str">
        <f>IFERROR(__xludf.DUMMYFUNCTION("IF(C6645&lt;&gt;"""", GOOGLETRANSLATE(C6645, ""en"", ""te""),"""")"),"[ 'తొలి ఇన్నింగ్స్లో 9 వ బెస్ట్ ఫిగర్స్ (7)', '5 వ అరంగేట్రంలోనే మ్యాచ్లో ఉత్తమ బొమ్మలు (11)', 'తీసుకోవాలని 44 వ పిన్న ఆటగాడు ఐదు వికెట్ల లో-ఒక-ఇన్నింగ్స్ (20y 118d)', '10 వ పిన్న ఆటగాడు పది వికెట్లు లో ఒక మ్యాచ్ తీసుకోవాలని (20y 118d)']")</f>
        <v>[ 'తొలి ఇన్నింగ్స్లో 9 వ బెస్ట్ ఫిగర్స్ (7)', '5 వ అరంగేట్రంలోనే మ్యాచ్లో ఉత్తమ బొమ్మలు (11)', 'తీసుకోవాలని 44 వ పిన్న ఆటగాడు ఐదు వికెట్ల లో-ఒక-ఇన్నింగ్స్ (20y 118d)', '10 వ పిన్న ఆటగాడు పది వికెట్లు లో ఒక మ్యాచ్ తీసుకోవాలని (20y 118d)']</v>
      </c>
      <c r="E6645" s="2" t="s">
        <v>3991</v>
      </c>
      <c r="F6645" s="2" t="str">
        <f>IFERROR(__xludf.DUMMYFUNCTION("IF(E6645&lt;&gt;"""", GOOGLETRANSLATE(E6645, ""en"", ""te""),"""")"),"[ '42 వ వరుస మ్యాచ్లు ఆడి మధ్య జట్టు (128) కోసం తప్పిన']")</f>
        <v>[ '42 వ వరుస మ్యాచ్లు ఆడి మధ్య జట్టు (128) కోసం తప్పిన']</v>
      </c>
      <c r="G6645" s="2"/>
      <c r="H6645" s="2" t="str">
        <f>IFERROR(__xludf.DUMMYFUNCTION("IF(G6645&lt;&gt;"""", GOOGLETRANSLATE(G6645, ""en"", ""te""),"""")"),"")</f>
        <v/>
      </c>
      <c r="I6645" s="3"/>
    </row>
    <row r="6646" customHeight="1" spans="1:9">
      <c r="A6646" s="2"/>
      <c r="B6646" s="2" t="str">
        <f>IFERROR(__xludf.DUMMYFUNCTION("IF(A6646&lt;&gt;"""", GOOGLETRANSLATE(A6646, ""en"", ""te""),"""")"),"")</f>
        <v/>
      </c>
      <c r="C6646" s="2"/>
      <c r="D6646" s="2" t="str">
        <f>IFERROR(__xludf.DUMMYFUNCTION("IF(C6646&lt;&gt;"""", GOOGLETRANSLATE(C6646, ""en"", ""te""),"""")"),"")</f>
        <v/>
      </c>
      <c r="E6646" s="2"/>
      <c r="F6646" s="2" t="str">
        <f>IFERROR(__xludf.DUMMYFUNCTION("IF(E6646&lt;&gt;"""", GOOGLETRANSLATE(E6646, ""en"", ""te""),"""")"),"")</f>
        <v/>
      </c>
      <c r="G6646" s="2"/>
      <c r="H6646" s="2" t="str">
        <f>IFERROR(__xludf.DUMMYFUNCTION("IF(G6646&lt;&gt;"""", GOOGLETRANSLATE(G6646, ""en"", ""te""),"""")"),"")</f>
        <v/>
      </c>
      <c r="I6646" s="3"/>
    </row>
    <row r="6647" customHeight="1" spans="1:9">
      <c r="A6647" s="2"/>
      <c r="B6647" s="2" t="str">
        <f>IFERROR(__xludf.DUMMYFUNCTION("IF(A6647&lt;&gt;"""", GOOGLETRANSLATE(A6647, ""en"", ""te""),"""")"),"")</f>
        <v/>
      </c>
      <c r="C6647" s="2"/>
      <c r="D6647" s="2" t="str">
        <f>IFERROR(__xludf.DUMMYFUNCTION("IF(C6647&lt;&gt;"""", GOOGLETRANSLATE(C6647, ""en"", ""te""),"""")"),"")</f>
        <v/>
      </c>
      <c r="E6647" s="2"/>
      <c r="F6647" s="2" t="str">
        <f>IFERROR(__xludf.DUMMYFUNCTION("IF(E6647&lt;&gt;"""", GOOGLETRANSLATE(E6647, ""en"", ""te""),"""")"),"")</f>
        <v/>
      </c>
      <c r="G6647" s="2"/>
      <c r="H6647" s="2" t="str">
        <f>IFERROR(__xludf.DUMMYFUNCTION("IF(G6647&lt;&gt;"""", GOOGLETRANSLATE(G6647, ""en"", ""te""),"""")"),"")</f>
        <v/>
      </c>
      <c r="I6647" s="3"/>
    </row>
    <row r="6648" customHeight="1" spans="1:9">
      <c r="A6648" s="2"/>
      <c r="B6648" s="2" t="str">
        <f>IFERROR(__xludf.DUMMYFUNCTION("IF(A6648&lt;&gt;"""", GOOGLETRANSLATE(A6648, ""en"", ""te""),"""")"),"")</f>
        <v/>
      </c>
      <c r="C6648" s="2"/>
      <c r="D6648" s="2" t="str">
        <f>IFERROR(__xludf.DUMMYFUNCTION("IF(C6648&lt;&gt;"""", GOOGLETRANSLATE(C6648, ""en"", ""te""),"""")"),"")</f>
        <v/>
      </c>
      <c r="E6648" s="2"/>
      <c r="F6648" s="2" t="str">
        <f>IFERROR(__xludf.DUMMYFUNCTION("IF(E6648&lt;&gt;"""", GOOGLETRANSLATE(E6648, ""en"", ""te""),"""")"),"")</f>
        <v/>
      </c>
      <c r="G6648" s="2"/>
      <c r="H6648" s="2" t="str">
        <f>IFERROR(__xludf.DUMMYFUNCTION("IF(G6648&lt;&gt;"""", GOOGLETRANSLATE(G6648, ""en"", ""te""),"""")"),"")</f>
        <v/>
      </c>
      <c r="I6648" s="3"/>
    </row>
    <row r="6649" customHeight="1" spans="1:9">
      <c r="A6649" s="2"/>
      <c r="B6649" s="2" t="str">
        <f>IFERROR(__xludf.DUMMYFUNCTION("IF(A6649&lt;&gt;"""", GOOGLETRANSLATE(A6649, ""en"", ""te""),"""")"),"")</f>
        <v/>
      </c>
      <c r="C6649" s="2"/>
      <c r="D6649" s="2" t="str">
        <f>IFERROR(__xludf.DUMMYFUNCTION("IF(C6649&lt;&gt;"""", GOOGLETRANSLATE(C6649, ""en"", ""te""),"""")"),"")</f>
        <v/>
      </c>
      <c r="E6649" s="2"/>
      <c r="F6649" s="2" t="str">
        <f>IFERROR(__xludf.DUMMYFUNCTION("IF(E6649&lt;&gt;"""", GOOGLETRANSLATE(E6649, ""en"", ""te""),"""")"),"")</f>
        <v/>
      </c>
      <c r="G6649" s="2"/>
      <c r="H6649" s="2" t="str">
        <f>IFERROR(__xludf.DUMMYFUNCTION("IF(G6649&lt;&gt;"""", GOOGLETRANSLATE(G6649, ""en"", ""te""),"""")"),"")</f>
        <v/>
      </c>
      <c r="I6649" s="3"/>
    </row>
    <row r="6650" customHeight="1" spans="1:9">
      <c r="A6650" s="2"/>
      <c r="B6650" s="2" t="str">
        <f>IFERROR(__xludf.DUMMYFUNCTION("IF(A6650&lt;&gt;"""", GOOGLETRANSLATE(A6650, ""en"", ""te""),"""")"),"")</f>
        <v/>
      </c>
      <c r="C6650" s="2"/>
      <c r="D6650" s="2" t="str">
        <f>IFERROR(__xludf.DUMMYFUNCTION("IF(C6650&lt;&gt;"""", GOOGLETRANSLATE(C6650, ""en"", ""te""),"""")"),"")</f>
        <v/>
      </c>
      <c r="E6650" s="2"/>
      <c r="F6650" s="2" t="str">
        <f>IFERROR(__xludf.DUMMYFUNCTION("IF(E6650&lt;&gt;"""", GOOGLETRANSLATE(E6650, ""en"", ""te""),"""")"),"")</f>
        <v/>
      </c>
      <c r="G6650" s="2"/>
      <c r="H6650" s="2" t="str">
        <f>IFERROR(__xludf.DUMMYFUNCTION("IF(G6650&lt;&gt;"""", GOOGLETRANSLATE(G6650, ""en"", ""te""),"""")"),"")</f>
        <v/>
      </c>
      <c r="I6650" s="3"/>
    </row>
    <row r="6651" customHeight="1" spans="1:9">
      <c r="A6651" s="2"/>
      <c r="B6651" s="2" t="str">
        <f>IFERROR(__xludf.DUMMYFUNCTION("IF(A6651&lt;&gt;"""", GOOGLETRANSLATE(A6651, ""en"", ""te""),"""")"),"")</f>
        <v/>
      </c>
      <c r="C6651" s="2"/>
      <c r="D6651" s="2" t="str">
        <f>IFERROR(__xludf.DUMMYFUNCTION("IF(C6651&lt;&gt;"""", GOOGLETRANSLATE(C6651, ""en"", ""te""),"""")"),"")</f>
        <v/>
      </c>
      <c r="E6651" s="2"/>
      <c r="F6651" s="2" t="str">
        <f>IFERROR(__xludf.DUMMYFUNCTION("IF(E6651&lt;&gt;"""", GOOGLETRANSLATE(E6651, ""en"", ""te""),"""")"),"")</f>
        <v/>
      </c>
      <c r="G6651" s="2"/>
      <c r="H6651" s="2" t="str">
        <f>IFERROR(__xludf.DUMMYFUNCTION("IF(G6651&lt;&gt;"""", GOOGLETRANSLATE(G6651, ""en"", ""te""),"""")"),"")</f>
        <v/>
      </c>
      <c r="I6651" s="3"/>
    </row>
    <row r="6652" customHeight="1" spans="1:9">
      <c r="A6652" s="2"/>
      <c r="B6652" s="2" t="str">
        <f>IFERROR(__xludf.DUMMYFUNCTION("IF(A6652&lt;&gt;"""", GOOGLETRANSLATE(A6652, ""en"", ""te""),"""")"),"")</f>
        <v/>
      </c>
      <c r="C6652" s="2"/>
      <c r="D6652" s="2" t="str">
        <f>IFERROR(__xludf.DUMMYFUNCTION("IF(C6652&lt;&gt;"""", GOOGLETRANSLATE(C6652, ""en"", ""te""),"""")"),"")</f>
        <v/>
      </c>
      <c r="E6652" s="2"/>
      <c r="F6652" s="2" t="str">
        <f>IFERROR(__xludf.DUMMYFUNCTION("IF(E6652&lt;&gt;"""", GOOGLETRANSLATE(E6652, ""en"", ""te""),"""")"),"")</f>
        <v/>
      </c>
      <c r="G6652" s="2"/>
      <c r="H6652" s="2" t="str">
        <f>IFERROR(__xludf.DUMMYFUNCTION("IF(G6652&lt;&gt;"""", GOOGLETRANSLATE(G6652, ""en"", ""te""),"""")"),"")</f>
        <v/>
      </c>
      <c r="I6652" s="3"/>
    </row>
    <row r="6653" customHeight="1" spans="1:9">
      <c r="A6653" s="2"/>
      <c r="B6653" s="2" t="str">
        <f>IFERROR(__xludf.DUMMYFUNCTION("IF(A6653&lt;&gt;"""", GOOGLETRANSLATE(A6653, ""en"", ""te""),"""")"),"")</f>
        <v/>
      </c>
      <c r="C6653" s="2"/>
      <c r="D6653" s="2" t="str">
        <f>IFERROR(__xludf.DUMMYFUNCTION("IF(C6653&lt;&gt;"""", GOOGLETRANSLATE(C6653, ""en"", ""te""),"""")"),"")</f>
        <v/>
      </c>
      <c r="E6653" s="2"/>
      <c r="F6653" s="2" t="str">
        <f>IFERROR(__xludf.DUMMYFUNCTION("IF(E6653&lt;&gt;"""", GOOGLETRANSLATE(E6653, ""en"", ""te""),"""")"),"")</f>
        <v/>
      </c>
      <c r="G6653" s="2"/>
      <c r="H6653" s="2" t="str">
        <f>IFERROR(__xludf.DUMMYFUNCTION("IF(G6653&lt;&gt;"""", GOOGLETRANSLATE(G6653, ""en"", ""te""),"""")"),"")</f>
        <v/>
      </c>
      <c r="I6653" s="3"/>
    </row>
    <row r="6654" customHeight="1" spans="1:9">
      <c r="A6654" s="2"/>
      <c r="B6654" s="2" t="str">
        <f>IFERROR(__xludf.DUMMYFUNCTION("IF(A6654&lt;&gt;"""", GOOGLETRANSLATE(A6654, ""en"", ""te""),"""")"),"")</f>
        <v/>
      </c>
      <c r="C6654" s="2"/>
      <c r="D6654" s="2" t="str">
        <f>IFERROR(__xludf.DUMMYFUNCTION("IF(C6654&lt;&gt;"""", GOOGLETRANSLATE(C6654, ""en"", ""te""),"""")"),"")</f>
        <v/>
      </c>
      <c r="E6654" s="2" t="s">
        <v>3992</v>
      </c>
      <c r="F6654" s="2" t="str">
        <f>IFERROR(__xludf.DUMMYFUNCTION("IF(E6654&lt;&gt;"""", GOOGLETRANSLATE(E6654, ""en"", ""te""),"""")"),"[ '34 వ పిన్న క్రీడాకారులు (17y 155d)']")</f>
        <v>[ '34 వ పిన్న క్రీడాకారులు (17y 155d)']</v>
      </c>
      <c r="G6654" s="2"/>
      <c r="H6654" s="2" t="str">
        <f>IFERROR(__xludf.DUMMYFUNCTION("IF(G6654&lt;&gt;"""", GOOGLETRANSLATE(G6654, ""en"", ""te""),"""")"),"")</f>
        <v/>
      </c>
      <c r="I6654" s="3"/>
    </row>
    <row r="6655" customHeight="1" spans="1:9">
      <c r="A6655" s="2"/>
      <c r="B6655" s="2" t="str">
        <f>IFERROR(__xludf.DUMMYFUNCTION("IF(A6655&lt;&gt;"""", GOOGLETRANSLATE(A6655, ""en"", ""te""),"""")"),"")</f>
        <v/>
      </c>
      <c r="C6655" s="2"/>
      <c r="D6655" s="2" t="str">
        <f>IFERROR(__xludf.DUMMYFUNCTION("IF(C6655&lt;&gt;"""", GOOGLETRANSLATE(C6655, ""en"", ""te""),"""")"),"")</f>
        <v/>
      </c>
      <c r="E6655" s="2"/>
      <c r="F6655" s="2" t="str">
        <f>IFERROR(__xludf.DUMMYFUNCTION("IF(E6655&lt;&gt;"""", GOOGLETRANSLATE(E6655, ""en"", ""te""),"""")"),"")</f>
        <v/>
      </c>
      <c r="G6655" s="2"/>
      <c r="H6655" s="2" t="str">
        <f>IFERROR(__xludf.DUMMYFUNCTION("IF(G6655&lt;&gt;"""", GOOGLETRANSLATE(G6655, ""en"", ""te""),"""")"),"")</f>
        <v/>
      </c>
      <c r="I6655" s="3"/>
    </row>
    <row r="6656" customHeight="1" spans="1:9">
      <c r="A6656" s="2"/>
      <c r="B6656" s="2" t="str">
        <f>IFERROR(__xludf.DUMMYFUNCTION("IF(A6656&lt;&gt;"""", GOOGLETRANSLATE(A6656, ""en"", ""te""),"""")"),"")</f>
        <v/>
      </c>
      <c r="C6656" s="2"/>
      <c r="D6656" s="2" t="str">
        <f>IFERROR(__xludf.DUMMYFUNCTION("IF(C6656&lt;&gt;"""", GOOGLETRANSLATE(C6656, ""en"", ""te""),"""")"),"")</f>
        <v/>
      </c>
      <c r="E6656" s="2"/>
      <c r="F6656" s="2" t="str">
        <f>IFERROR(__xludf.DUMMYFUNCTION("IF(E6656&lt;&gt;"""", GOOGLETRANSLATE(E6656, ""en"", ""te""),"""")"),"")</f>
        <v/>
      </c>
      <c r="G6656" s="2"/>
      <c r="H6656" s="2" t="str">
        <f>IFERROR(__xludf.DUMMYFUNCTION("IF(G6656&lt;&gt;"""", GOOGLETRANSLATE(G6656, ""en"", ""te""),"""")"),"")</f>
        <v/>
      </c>
      <c r="I6656" s="3"/>
    </row>
    <row r="6657" customHeight="1" spans="1:9">
      <c r="A6657" s="2"/>
      <c r="B6657" s="2" t="str">
        <f>IFERROR(__xludf.DUMMYFUNCTION("IF(A6657&lt;&gt;"""", GOOGLETRANSLATE(A6657, ""en"", ""te""),"""")"),"")</f>
        <v/>
      </c>
      <c r="C6657" s="2"/>
      <c r="D6657" s="2" t="str">
        <f>IFERROR(__xludf.DUMMYFUNCTION("IF(C6657&lt;&gt;"""", GOOGLETRANSLATE(C6657, ""en"", ""te""),"""")"),"")</f>
        <v/>
      </c>
      <c r="E6657" s="2"/>
      <c r="F6657" s="2" t="str">
        <f>IFERROR(__xludf.DUMMYFUNCTION("IF(E6657&lt;&gt;"""", GOOGLETRANSLATE(E6657, ""en"", ""te""),"""")"),"")</f>
        <v/>
      </c>
      <c r="G6657" s="2"/>
      <c r="H6657" s="2" t="str">
        <f>IFERROR(__xludf.DUMMYFUNCTION("IF(G6657&lt;&gt;"""", GOOGLETRANSLATE(G6657, ""en"", ""te""),"""")"),"")</f>
        <v/>
      </c>
      <c r="I6657" s="3"/>
    </row>
    <row r="6658" customHeight="1" spans="1:9">
      <c r="A6658" s="2"/>
      <c r="B6658" s="2" t="str">
        <f>IFERROR(__xludf.DUMMYFUNCTION("IF(A6658&lt;&gt;"""", GOOGLETRANSLATE(A6658, ""en"", ""te""),"""")"),"")</f>
        <v/>
      </c>
      <c r="C6658" s="2"/>
      <c r="D6658" s="2" t="str">
        <f>IFERROR(__xludf.DUMMYFUNCTION("IF(C6658&lt;&gt;"""", GOOGLETRANSLATE(C6658, ""en"", ""te""),"""")"),"")</f>
        <v/>
      </c>
      <c r="E6658" s="2"/>
      <c r="F6658" s="2" t="str">
        <f>IFERROR(__xludf.DUMMYFUNCTION("IF(E6658&lt;&gt;"""", GOOGLETRANSLATE(E6658, ""en"", ""te""),"""")"),"")</f>
        <v/>
      </c>
      <c r="G6658" s="2"/>
      <c r="H6658" s="2" t="str">
        <f>IFERROR(__xludf.DUMMYFUNCTION("IF(G6658&lt;&gt;"""", GOOGLETRANSLATE(G6658, ""en"", ""te""),"""")"),"")</f>
        <v/>
      </c>
      <c r="I6658" s="3"/>
    </row>
    <row r="6659" customHeight="1" spans="1:9">
      <c r="A6659" s="2"/>
      <c r="B6659" s="2" t="str">
        <f>IFERROR(__xludf.DUMMYFUNCTION("IF(A6659&lt;&gt;"""", GOOGLETRANSLATE(A6659, ""en"", ""te""),"""")"),"")</f>
        <v/>
      </c>
      <c r="C6659" s="2"/>
      <c r="D6659" s="2" t="str">
        <f>IFERROR(__xludf.DUMMYFUNCTION("IF(C6659&lt;&gt;"""", GOOGLETRANSLATE(C6659, ""en"", ""te""),"""")"),"")</f>
        <v/>
      </c>
      <c r="E6659" s="2"/>
      <c r="F6659" s="2" t="str">
        <f>IFERROR(__xludf.DUMMYFUNCTION("IF(E6659&lt;&gt;"""", GOOGLETRANSLATE(E6659, ""en"", ""te""),"""")"),"")</f>
        <v/>
      </c>
      <c r="G6659" s="2"/>
      <c r="H6659" s="2" t="str">
        <f>IFERROR(__xludf.DUMMYFUNCTION("IF(G6659&lt;&gt;"""", GOOGLETRANSLATE(G6659, ""en"", ""te""),"""")"),"")</f>
        <v/>
      </c>
      <c r="I6659" s="3"/>
    </row>
    <row r="6660" customHeight="1" spans="1:9">
      <c r="A6660" s="2"/>
      <c r="B6660" s="2" t="str">
        <f>IFERROR(__xludf.DUMMYFUNCTION("IF(A6660&lt;&gt;"""", GOOGLETRANSLATE(A6660, ""en"", ""te""),"""")"),"")</f>
        <v/>
      </c>
      <c r="C6660" s="2"/>
      <c r="D6660" s="2" t="str">
        <f>IFERROR(__xludf.DUMMYFUNCTION("IF(C6660&lt;&gt;"""", GOOGLETRANSLATE(C6660, ""en"", ""te""),"""")"),"")</f>
        <v/>
      </c>
      <c r="E6660" s="2"/>
      <c r="F6660" s="2" t="str">
        <f>IFERROR(__xludf.DUMMYFUNCTION("IF(E6660&lt;&gt;"""", GOOGLETRANSLATE(E6660, ""en"", ""te""),"""")"),"")</f>
        <v/>
      </c>
      <c r="G6660" s="2"/>
      <c r="H6660" s="2" t="str">
        <f>IFERROR(__xludf.DUMMYFUNCTION("IF(G6660&lt;&gt;"""", GOOGLETRANSLATE(G6660, ""en"", ""te""),"""")"),"")</f>
        <v/>
      </c>
      <c r="I6660" s="3"/>
    </row>
    <row r="6661" customHeight="1" spans="1:9">
      <c r="A6661" s="2"/>
      <c r="B6661" s="2" t="str">
        <f>IFERROR(__xludf.DUMMYFUNCTION("IF(A6661&lt;&gt;"""", GOOGLETRANSLATE(A6661, ""en"", ""te""),"""")"),"")</f>
        <v/>
      </c>
      <c r="C6661" s="2"/>
      <c r="D6661" s="2" t="str">
        <f>IFERROR(__xludf.DUMMYFUNCTION("IF(C6661&lt;&gt;"""", GOOGLETRANSLATE(C6661, ""en"", ""te""),"""")"),"")</f>
        <v/>
      </c>
      <c r="E6661" s="2"/>
      <c r="F6661" s="2" t="str">
        <f>IFERROR(__xludf.DUMMYFUNCTION("IF(E6661&lt;&gt;"""", GOOGLETRANSLATE(E6661, ""en"", ""te""),"""")"),"")</f>
        <v/>
      </c>
      <c r="G6661" s="2"/>
      <c r="H6661" s="2" t="str">
        <f>IFERROR(__xludf.DUMMYFUNCTION("IF(G6661&lt;&gt;"""", GOOGLETRANSLATE(G6661, ""en"", ""te""),"""")"),"")</f>
        <v/>
      </c>
      <c r="I6661" s="3"/>
    </row>
    <row r="6662" customHeight="1" spans="1:9">
      <c r="A6662" s="2"/>
      <c r="B6662" s="2" t="str">
        <f>IFERROR(__xludf.DUMMYFUNCTION("IF(A6662&lt;&gt;"""", GOOGLETRANSLATE(A6662, ""en"", ""te""),"""")"),"")</f>
        <v/>
      </c>
      <c r="C6662" s="2"/>
      <c r="D6662" s="2" t="str">
        <f>IFERROR(__xludf.DUMMYFUNCTION("IF(C6662&lt;&gt;"""", GOOGLETRANSLATE(C6662, ""en"", ""te""),"""")"),"")</f>
        <v/>
      </c>
      <c r="E6662" s="2"/>
      <c r="F6662" s="2" t="str">
        <f>IFERROR(__xludf.DUMMYFUNCTION("IF(E6662&lt;&gt;"""", GOOGLETRANSLATE(E6662, ""en"", ""te""),"""")"),"")</f>
        <v/>
      </c>
      <c r="G6662" s="2"/>
      <c r="H6662" s="2" t="str">
        <f>IFERROR(__xludf.DUMMYFUNCTION("IF(G6662&lt;&gt;"""", GOOGLETRANSLATE(G6662, ""en"", ""te""),"""")"),"")</f>
        <v/>
      </c>
      <c r="I6662" s="3"/>
    </row>
    <row r="6663" customHeight="1" spans="1:9">
      <c r="A6663" s="2"/>
      <c r="B6663" s="2" t="str">
        <f>IFERROR(__xludf.DUMMYFUNCTION("IF(A6663&lt;&gt;"""", GOOGLETRANSLATE(A6663, ""en"", ""te""),"""")"),"")</f>
        <v/>
      </c>
      <c r="C6663" s="2"/>
      <c r="D6663" s="2" t="str">
        <f>IFERROR(__xludf.DUMMYFUNCTION("IF(C6663&lt;&gt;"""", GOOGLETRANSLATE(C6663, ""en"", ""te""),"""")"),"")</f>
        <v/>
      </c>
      <c r="E6663" s="2"/>
      <c r="F6663" s="2" t="str">
        <f>IFERROR(__xludf.DUMMYFUNCTION("IF(E6663&lt;&gt;"""", GOOGLETRANSLATE(E6663, ""en"", ""te""),"""")"),"")</f>
        <v/>
      </c>
      <c r="G6663" s="2"/>
      <c r="H6663" s="2" t="str">
        <f>IFERROR(__xludf.DUMMYFUNCTION("IF(G6663&lt;&gt;"""", GOOGLETRANSLATE(G6663, ""en"", ""te""),"""")"),"")</f>
        <v/>
      </c>
      <c r="I6663" s="3"/>
    </row>
    <row r="6664" customHeight="1" spans="1:9">
      <c r="A6664" s="2"/>
      <c r="B6664" s="2" t="str">
        <f>IFERROR(__xludf.DUMMYFUNCTION("IF(A6664&lt;&gt;"""", GOOGLETRANSLATE(A6664, ""en"", ""te""),"""")"),"")</f>
        <v/>
      </c>
      <c r="C6664" s="2"/>
      <c r="D6664" s="2" t="str">
        <f>IFERROR(__xludf.DUMMYFUNCTION("IF(C6664&lt;&gt;"""", GOOGLETRANSLATE(C6664, ""en"", ""te""),"""")"),"")</f>
        <v/>
      </c>
      <c r="E6664" s="2"/>
      <c r="F6664" s="2" t="str">
        <f>IFERROR(__xludf.DUMMYFUNCTION("IF(E6664&lt;&gt;"""", GOOGLETRANSLATE(E6664, ""en"", ""te""),"""")"),"")</f>
        <v/>
      </c>
      <c r="G6664" s="2"/>
      <c r="H6664" s="2" t="str">
        <f>IFERROR(__xludf.DUMMYFUNCTION("IF(G6664&lt;&gt;"""", GOOGLETRANSLATE(G6664, ""en"", ""te""),"""")"),"")</f>
        <v/>
      </c>
      <c r="I6664" s="3"/>
    </row>
    <row r="6665" customHeight="1" spans="1:9">
      <c r="A6665" s="2"/>
      <c r="B6665" s="2" t="str">
        <f>IFERROR(__xludf.DUMMYFUNCTION("IF(A6665&lt;&gt;"""", GOOGLETRANSLATE(A6665, ""en"", ""te""),"""")"),"")</f>
        <v/>
      </c>
      <c r="C6665" s="2"/>
      <c r="D6665" s="2" t="str">
        <f>IFERROR(__xludf.DUMMYFUNCTION("IF(C6665&lt;&gt;"""", GOOGLETRANSLATE(C6665, ""en"", ""te""),"""")"),"")</f>
        <v/>
      </c>
      <c r="E6665" s="2" t="s">
        <v>3993</v>
      </c>
      <c r="F6665" s="2" t="str">
        <f>IFERROR(__xludf.DUMMYFUNCTION("IF(E6665&lt;&gt;"""", GOOGLETRANSLATE(E6665, ""en"", ""te""),"""")"),"[ '44 వ చెత్త కెరీర్ బౌలింగ్ సరాసరి (అర్హత లేకుండా) (70.00)']")</f>
        <v>[ '44 వ చెత్త కెరీర్ బౌలింగ్ సరాసరి (అర్హత లేకుండా) (70.00)']</v>
      </c>
      <c r="G6665" s="2" t="s">
        <v>3994</v>
      </c>
      <c r="H6665" s="2" t="str">
        <f>IFERROR(__xludf.DUMMYFUNCTION("IF(G6665&lt;&gt;"""", GOOGLETRANSLATE(G6665, ""en"", ""te""),"""")"),"[ 'పదవ వికెట్కు 32 వ అత్యధిక భాగస్వామ్యం (11)']")</f>
        <v>[ 'పదవ వికెట్కు 32 వ అత్యధిక భాగస్వామ్యం (11)']</v>
      </c>
      <c r="I6665" s="3"/>
    </row>
    <row r="6666" customHeight="1" spans="1:9">
      <c r="A6666" s="2"/>
      <c r="B6666" s="2" t="str">
        <f>IFERROR(__xludf.DUMMYFUNCTION("IF(A6666&lt;&gt;"""", GOOGLETRANSLATE(A6666, ""en"", ""te""),"""")"),"")</f>
        <v/>
      </c>
      <c r="C6666" s="2"/>
      <c r="D6666" s="2" t="str">
        <f>IFERROR(__xludf.DUMMYFUNCTION("IF(C6666&lt;&gt;"""", GOOGLETRANSLATE(C6666, ""en"", ""te""),"""")"),"")</f>
        <v/>
      </c>
      <c r="E6666" s="2"/>
      <c r="F6666" s="2" t="str">
        <f>IFERROR(__xludf.DUMMYFUNCTION("IF(E6666&lt;&gt;"""", GOOGLETRANSLATE(E6666, ""en"", ""te""),"""")"),"")</f>
        <v/>
      </c>
      <c r="G6666" s="2"/>
      <c r="H6666" s="2" t="str">
        <f>IFERROR(__xludf.DUMMYFUNCTION("IF(G6666&lt;&gt;"""", GOOGLETRANSLATE(G6666, ""en"", ""te""),"""")"),"")</f>
        <v/>
      </c>
      <c r="I6666" s="3"/>
    </row>
    <row r="6667" customHeight="1" spans="1:9">
      <c r="A6667" s="2"/>
      <c r="B6667" s="2" t="str">
        <f>IFERROR(__xludf.DUMMYFUNCTION("IF(A6667&lt;&gt;"""", GOOGLETRANSLATE(A6667, ""en"", ""te""),"""")"),"")</f>
        <v/>
      </c>
      <c r="C6667" s="2"/>
      <c r="D6667" s="2" t="str">
        <f>IFERROR(__xludf.DUMMYFUNCTION("IF(C6667&lt;&gt;"""", GOOGLETRANSLATE(C6667, ""en"", ""te""),"""")"),"")</f>
        <v/>
      </c>
      <c r="E6667" s="2"/>
      <c r="F6667" s="2" t="str">
        <f>IFERROR(__xludf.DUMMYFUNCTION("IF(E6667&lt;&gt;"""", GOOGLETRANSLATE(E6667, ""en"", ""te""),"""")"),"")</f>
        <v/>
      </c>
      <c r="G6667" s="2"/>
      <c r="H6667" s="2" t="str">
        <f>IFERROR(__xludf.DUMMYFUNCTION("IF(G6667&lt;&gt;"""", GOOGLETRANSLATE(G6667, ""en"", ""te""),"""")"),"")</f>
        <v/>
      </c>
      <c r="I6667" s="3"/>
    </row>
    <row r="6668" customHeight="1" spans="1:9">
      <c r="A6668" s="2"/>
      <c r="B6668" s="2" t="str">
        <f>IFERROR(__xludf.DUMMYFUNCTION("IF(A6668&lt;&gt;"""", GOOGLETRANSLATE(A6668, ""en"", ""te""),"""")"),"")</f>
        <v/>
      </c>
      <c r="C6668" s="2"/>
      <c r="D6668" s="2" t="str">
        <f>IFERROR(__xludf.DUMMYFUNCTION("IF(C6668&lt;&gt;"""", GOOGLETRANSLATE(C6668, ""en"", ""te""),"""")"),"")</f>
        <v/>
      </c>
      <c r="E6668" s="2"/>
      <c r="F6668" s="2" t="str">
        <f>IFERROR(__xludf.DUMMYFUNCTION("IF(E6668&lt;&gt;"""", GOOGLETRANSLATE(E6668, ""en"", ""te""),"""")"),"")</f>
        <v/>
      </c>
      <c r="G6668" s="2"/>
      <c r="H6668" s="2" t="str">
        <f>IFERROR(__xludf.DUMMYFUNCTION("IF(G6668&lt;&gt;"""", GOOGLETRANSLATE(G6668, ""en"", ""te""),"""")"),"")</f>
        <v/>
      </c>
      <c r="I6668" s="3"/>
    </row>
    <row r="6669" customHeight="1" spans="1:9">
      <c r="A6669" s="2"/>
      <c r="B6669" s="2" t="str">
        <f>IFERROR(__xludf.DUMMYFUNCTION("IF(A6669&lt;&gt;"""", GOOGLETRANSLATE(A6669, ""en"", ""te""),"""")"),"")</f>
        <v/>
      </c>
      <c r="C6669" s="2"/>
      <c r="D6669" s="2" t="str">
        <f>IFERROR(__xludf.DUMMYFUNCTION("IF(C6669&lt;&gt;"""", GOOGLETRANSLATE(C6669, ""en"", ""te""),"""")"),"")</f>
        <v/>
      </c>
      <c r="E6669" s="2"/>
      <c r="F6669" s="2" t="str">
        <f>IFERROR(__xludf.DUMMYFUNCTION("IF(E6669&lt;&gt;"""", GOOGLETRANSLATE(E6669, ""en"", ""te""),"""")"),"")</f>
        <v/>
      </c>
      <c r="G6669" s="2"/>
      <c r="H6669" s="2" t="str">
        <f>IFERROR(__xludf.DUMMYFUNCTION("IF(G6669&lt;&gt;"""", GOOGLETRANSLATE(G6669, ""en"", ""te""),"""")"),"")</f>
        <v/>
      </c>
      <c r="I6669" s="3"/>
    </row>
    <row r="6670" customHeight="1" spans="1:9">
      <c r="A6670" s="2"/>
      <c r="B6670" s="2" t="str">
        <f>IFERROR(__xludf.DUMMYFUNCTION("IF(A6670&lt;&gt;"""", GOOGLETRANSLATE(A6670, ""en"", ""te""),"""")"),"")</f>
        <v/>
      </c>
      <c r="C6670" s="2"/>
      <c r="D6670" s="2" t="str">
        <f>IFERROR(__xludf.DUMMYFUNCTION("IF(C6670&lt;&gt;"""", GOOGLETRANSLATE(C6670, ""en"", ""te""),"""")"),"")</f>
        <v/>
      </c>
      <c r="E6670" s="2"/>
      <c r="F6670" s="2" t="str">
        <f>IFERROR(__xludf.DUMMYFUNCTION("IF(E6670&lt;&gt;"""", GOOGLETRANSLATE(E6670, ""en"", ""te""),"""")"),"")</f>
        <v/>
      </c>
      <c r="G6670" s="2"/>
      <c r="H6670" s="2" t="str">
        <f>IFERROR(__xludf.DUMMYFUNCTION("IF(G6670&lt;&gt;"""", GOOGLETRANSLATE(G6670, ""en"", ""te""),"""")"),"")</f>
        <v/>
      </c>
      <c r="I6670" s="3"/>
    </row>
    <row r="6671" customHeight="1" spans="1:9">
      <c r="A6671" s="2"/>
      <c r="B6671" s="2" t="str">
        <f>IFERROR(__xludf.DUMMYFUNCTION("IF(A6671&lt;&gt;"""", GOOGLETRANSLATE(A6671, ""en"", ""te""),"""")"),"")</f>
        <v/>
      </c>
      <c r="C6671" s="2"/>
      <c r="D6671" s="2" t="str">
        <f>IFERROR(__xludf.DUMMYFUNCTION("IF(C6671&lt;&gt;"""", GOOGLETRANSLATE(C6671, ""en"", ""te""),"""")"),"")</f>
        <v/>
      </c>
      <c r="E6671" s="2"/>
      <c r="F6671" s="2" t="str">
        <f>IFERROR(__xludf.DUMMYFUNCTION("IF(E6671&lt;&gt;"""", GOOGLETRANSLATE(E6671, ""en"", ""te""),"""")"),"")</f>
        <v/>
      </c>
      <c r="G6671" s="2"/>
      <c r="H6671" s="2" t="str">
        <f>IFERROR(__xludf.DUMMYFUNCTION("IF(G6671&lt;&gt;"""", GOOGLETRANSLATE(G6671, ""en"", ""te""),"""")"),"")</f>
        <v/>
      </c>
      <c r="I6671" s="3"/>
    </row>
    <row r="6672" customHeight="1" spans="1:9">
      <c r="A6672" s="2"/>
      <c r="B6672" s="2" t="str">
        <f>IFERROR(__xludf.DUMMYFUNCTION("IF(A6672&lt;&gt;"""", GOOGLETRANSLATE(A6672, ""en"", ""te""),"""")"),"")</f>
        <v/>
      </c>
      <c r="C6672" s="2"/>
      <c r="D6672" s="2" t="str">
        <f>IFERROR(__xludf.DUMMYFUNCTION("IF(C6672&lt;&gt;"""", GOOGLETRANSLATE(C6672, ""en"", ""te""),"""")"),"")</f>
        <v/>
      </c>
      <c r="E6672" s="2"/>
      <c r="F6672" s="2" t="str">
        <f>IFERROR(__xludf.DUMMYFUNCTION("IF(E6672&lt;&gt;"""", GOOGLETRANSLATE(E6672, ""en"", ""te""),"""")"),"")</f>
        <v/>
      </c>
      <c r="G6672" s="2"/>
      <c r="H6672" s="2" t="str">
        <f>IFERROR(__xludf.DUMMYFUNCTION("IF(G6672&lt;&gt;"""", GOOGLETRANSLATE(G6672, ""en"", ""te""),"""")"),"")</f>
        <v/>
      </c>
      <c r="I6672" s="3"/>
    </row>
    <row r="6673" customHeight="1" spans="1:9">
      <c r="A6673" s="2"/>
      <c r="B6673" s="2" t="str">
        <f>IFERROR(__xludf.DUMMYFUNCTION("IF(A6673&lt;&gt;"""", GOOGLETRANSLATE(A6673, ""en"", ""te""),"""")"),"")</f>
        <v/>
      </c>
      <c r="C6673" s="2"/>
      <c r="D6673" s="2" t="str">
        <f>IFERROR(__xludf.DUMMYFUNCTION("IF(C6673&lt;&gt;"""", GOOGLETRANSLATE(C6673, ""en"", ""te""),"""")"),"")</f>
        <v/>
      </c>
      <c r="E6673" s="2" t="s">
        <v>3995</v>
      </c>
      <c r="F6673" s="2" t="str">
        <f>IFERROR(__xludf.DUMMYFUNCTION("IF(E6673&lt;&gt;"""", GOOGLETRANSLATE(E6673, ""en"", ""te""),"""")"),"[ '41 వ ఇన్నింగ్స్ లో బెస్ట్ ఫిగర్స్ (6/27)', '36 వ ఒక క్యాలెండర్ సంవత్సరంలో అత్యధిక వికెట్లు (45)', '46 వ ఉత్తమ కెరీర్ సమ్మె రేటు (31.5)', ఒక ఇన్నింగ్స్ లో '21 వ చెత్త ఆర్థిక రేటు (11.50) ',' 42 వ అత్యంత ఇన్నింగ్స్ లో ',' 32 వ వేగంగా 50 వికెట్లు సాధించిన"&amp;" పరుగులు (92) (29) ',' 29th 100 వికెట్లు (65) వేగంగా ']")</f>
        <v>[ '41 వ ఇన్నింగ్స్ లో బెస్ట్ ఫిగర్స్ (6/27)', '36 వ ఒక క్యాలెండర్ సంవత్సరంలో అత్యధిక వికెట్లు (45)', '46 వ ఉత్తమ కెరీర్ సమ్మె రేటు (31.5)', ఒక ఇన్నింగ్స్ లో '21 వ చెత్త ఆర్థిక రేటు (11.50) ',' 42 వ అత్యంత ఇన్నింగ్స్ లో ',' 32 వ వేగంగా 50 వికెట్లు సాధించిన పరుగులు (92) (29) ',' 29th 100 వికెట్లు (65) వేగంగా ']</v>
      </c>
      <c r="G6673" s="2"/>
      <c r="H6673" s="2" t="str">
        <f>IFERROR(__xludf.DUMMYFUNCTION("IF(G6673&lt;&gt;"""", GOOGLETRANSLATE(G6673, ""en"", ""te""),"""")"),"")</f>
        <v/>
      </c>
      <c r="I6673" s="3"/>
    </row>
    <row r="6674" customHeight="1" spans="1:9">
      <c r="A6674" s="2"/>
      <c r="B6674" s="2" t="str">
        <f>IFERROR(__xludf.DUMMYFUNCTION("IF(A6674&lt;&gt;"""", GOOGLETRANSLATE(A6674, ""en"", ""te""),"""")"),"")</f>
        <v/>
      </c>
      <c r="C6674" s="2"/>
      <c r="D6674" s="2" t="str">
        <f>IFERROR(__xludf.DUMMYFUNCTION("IF(C6674&lt;&gt;"""", GOOGLETRANSLATE(C6674, ""en"", ""te""),"""")"),"")</f>
        <v/>
      </c>
      <c r="E6674" s="2"/>
      <c r="F6674" s="2" t="str">
        <f>IFERROR(__xludf.DUMMYFUNCTION("IF(E6674&lt;&gt;"""", GOOGLETRANSLATE(E6674, ""en"", ""te""),"""")"),"")</f>
        <v/>
      </c>
      <c r="G6674" s="2"/>
      <c r="H6674" s="2" t="str">
        <f>IFERROR(__xludf.DUMMYFUNCTION("IF(G6674&lt;&gt;"""", GOOGLETRANSLATE(G6674, ""en"", ""te""),"""")"),"")</f>
        <v/>
      </c>
      <c r="I6674" s="3"/>
    </row>
    <row r="6675" customHeight="1" spans="1:9">
      <c r="A6675" s="2"/>
      <c r="B6675" s="2" t="str">
        <f>IFERROR(__xludf.DUMMYFUNCTION("IF(A6675&lt;&gt;"""", GOOGLETRANSLATE(A6675, ""en"", ""te""),"""")"),"")</f>
        <v/>
      </c>
      <c r="C6675" s="2"/>
      <c r="D6675" s="2" t="str">
        <f>IFERROR(__xludf.DUMMYFUNCTION("IF(C6675&lt;&gt;"""", GOOGLETRANSLATE(C6675, ""en"", ""te""),"""")"),"")</f>
        <v/>
      </c>
      <c r="E6675" s="2"/>
      <c r="F6675" s="2" t="str">
        <f>IFERROR(__xludf.DUMMYFUNCTION("IF(E6675&lt;&gt;"""", GOOGLETRANSLATE(E6675, ""en"", ""te""),"""")"),"")</f>
        <v/>
      </c>
      <c r="G6675" s="2"/>
      <c r="H6675" s="2" t="str">
        <f>IFERROR(__xludf.DUMMYFUNCTION("IF(G6675&lt;&gt;"""", GOOGLETRANSLATE(G6675, ""en"", ""te""),"""")"),"")</f>
        <v/>
      </c>
      <c r="I6675" s="3"/>
    </row>
    <row r="6676" customHeight="1" spans="1:9">
      <c r="A6676" s="2"/>
      <c r="B6676" s="2" t="str">
        <f>IFERROR(__xludf.DUMMYFUNCTION("IF(A6676&lt;&gt;"""", GOOGLETRANSLATE(A6676, ""en"", ""te""),"""")"),"")</f>
        <v/>
      </c>
      <c r="C6676" s="2"/>
      <c r="D6676" s="2" t="str">
        <f>IFERROR(__xludf.DUMMYFUNCTION("IF(C6676&lt;&gt;"""", GOOGLETRANSLATE(C6676, ""en"", ""te""),"""")"),"")</f>
        <v/>
      </c>
      <c r="E6676" s="2"/>
      <c r="F6676" s="2" t="str">
        <f>IFERROR(__xludf.DUMMYFUNCTION("IF(E6676&lt;&gt;"""", GOOGLETRANSLATE(E6676, ""en"", ""te""),"""")"),"")</f>
        <v/>
      </c>
      <c r="G6676" s="2"/>
      <c r="H6676" s="2" t="str">
        <f>IFERROR(__xludf.DUMMYFUNCTION("IF(G6676&lt;&gt;"""", GOOGLETRANSLATE(G6676, ""en"", ""te""),"""")"),"")</f>
        <v/>
      </c>
      <c r="I6676" s="3"/>
    </row>
    <row r="6677" customHeight="1" spans="1:9">
      <c r="A6677" s="2"/>
      <c r="B6677" s="2" t="str">
        <f>IFERROR(__xludf.DUMMYFUNCTION("IF(A6677&lt;&gt;"""", GOOGLETRANSLATE(A6677, ""en"", ""te""),"""")"),"")</f>
        <v/>
      </c>
      <c r="C6677" s="2"/>
      <c r="D6677" s="2" t="str">
        <f>IFERROR(__xludf.DUMMYFUNCTION("IF(C6677&lt;&gt;"""", GOOGLETRANSLATE(C6677, ""en"", ""te""),"""")"),"")</f>
        <v/>
      </c>
      <c r="E6677" s="2"/>
      <c r="F6677" s="2" t="str">
        <f>IFERROR(__xludf.DUMMYFUNCTION("IF(E6677&lt;&gt;"""", GOOGLETRANSLATE(E6677, ""en"", ""te""),"""")"),"")</f>
        <v/>
      </c>
      <c r="G6677" s="2"/>
      <c r="H6677" s="2" t="str">
        <f>IFERROR(__xludf.DUMMYFUNCTION("IF(G6677&lt;&gt;"""", GOOGLETRANSLATE(G6677, ""en"", ""te""),"""")"),"")</f>
        <v/>
      </c>
      <c r="I6677" s="3"/>
    </row>
    <row r="6678" customHeight="1" spans="1:9">
      <c r="A6678" s="2"/>
      <c r="B6678" s="2" t="str">
        <f>IFERROR(__xludf.DUMMYFUNCTION("IF(A6678&lt;&gt;"""", GOOGLETRANSLATE(A6678, ""en"", ""te""),"""")"),"")</f>
        <v/>
      </c>
      <c r="C6678" s="2"/>
      <c r="D6678" s="2" t="str">
        <f>IFERROR(__xludf.DUMMYFUNCTION("IF(C6678&lt;&gt;"""", GOOGLETRANSLATE(C6678, ""en"", ""te""),"""")"),"")</f>
        <v/>
      </c>
      <c r="E6678" s="2"/>
      <c r="F6678" s="2" t="str">
        <f>IFERROR(__xludf.DUMMYFUNCTION("IF(E6678&lt;&gt;"""", GOOGLETRANSLATE(E6678, ""en"", ""te""),"""")"),"")</f>
        <v/>
      </c>
      <c r="G6678" s="2"/>
      <c r="H6678" s="2" t="str">
        <f>IFERROR(__xludf.DUMMYFUNCTION("IF(G6678&lt;&gt;"""", GOOGLETRANSLATE(G6678, ""en"", ""te""),"""")"),"")</f>
        <v/>
      </c>
      <c r="I6678" s="3"/>
    </row>
    <row r="6679" customHeight="1" spans="1:9">
      <c r="A6679" s="2"/>
      <c r="B6679" s="2" t="str">
        <f>IFERROR(__xludf.DUMMYFUNCTION("IF(A6679&lt;&gt;"""", GOOGLETRANSLATE(A6679, ""en"", ""te""),"""")"),"")</f>
        <v/>
      </c>
      <c r="C6679" s="2"/>
      <c r="D6679" s="2" t="str">
        <f>IFERROR(__xludf.DUMMYFUNCTION("IF(C6679&lt;&gt;"""", GOOGLETRANSLATE(C6679, ""en"", ""te""),"""")"),"")</f>
        <v/>
      </c>
      <c r="E6679" s="2"/>
      <c r="F6679" s="2" t="str">
        <f>IFERROR(__xludf.DUMMYFUNCTION("IF(E6679&lt;&gt;"""", GOOGLETRANSLATE(E6679, ""en"", ""te""),"""")"),"")</f>
        <v/>
      </c>
      <c r="G6679" s="2"/>
      <c r="H6679" s="2" t="str">
        <f>IFERROR(__xludf.DUMMYFUNCTION("IF(G6679&lt;&gt;"""", GOOGLETRANSLATE(G6679, ""en"", ""te""),"""")"),"")</f>
        <v/>
      </c>
      <c r="I6679" s="3"/>
    </row>
    <row r="6680" customHeight="1" spans="1:9">
      <c r="A6680" s="2"/>
      <c r="B6680" s="2" t="str">
        <f>IFERROR(__xludf.DUMMYFUNCTION("IF(A6680&lt;&gt;"""", GOOGLETRANSLATE(A6680, ""en"", ""te""),"""")"),"")</f>
        <v/>
      </c>
      <c r="C6680" s="2"/>
      <c r="D6680" s="2" t="str">
        <f>IFERROR(__xludf.DUMMYFUNCTION("IF(C6680&lt;&gt;"""", GOOGLETRANSLATE(C6680, ""en"", ""te""),"""")"),"")</f>
        <v/>
      </c>
      <c r="E6680" s="2"/>
      <c r="F6680" s="2" t="str">
        <f>IFERROR(__xludf.DUMMYFUNCTION("IF(E6680&lt;&gt;"""", GOOGLETRANSLATE(E6680, ""en"", ""te""),"""")"),"")</f>
        <v/>
      </c>
      <c r="G6680" s="2"/>
      <c r="H6680" s="2" t="str">
        <f>IFERROR(__xludf.DUMMYFUNCTION("IF(G6680&lt;&gt;"""", GOOGLETRANSLATE(G6680, ""en"", ""te""),"""")"),"")</f>
        <v/>
      </c>
      <c r="I6680" s="3"/>
    </row>
    <row r="6681" customHeight="1" spans="1:9">
      <c r="A6681" s="2"/>
      <c r="B6681" s="2" t="str">
        <f>IFERROR(__xludf.DUMMYFUNCTION("IF(A6681&lt;&gt;"""", GOOGLETRANSLATE(A6681, ""en"", ""te""),"""")"),"")</f>
        <v/>
      </c>
      <c r="C6681" s="2"/>
      <c r="D6681" s="2" t="str">
        <f>IFERROR(__xludf.DUMMYFUNCTION("IF(C6681&lt;&gt;"""", GOOGLETRANSLATE(C6681, ""en"", ""te""),"""")"),"")</f>
        <v/>
      </c>
      <c r="E6681" s="2" t="s">
        <v>3996</v>
      </c>
      <c r="F6681" s="2" t="str">
        <f>IFERROR(__xludf.DUMMYFUNCTION("IF(E6681&lt;&gt;"""", GOOGLETRANSLATE(E6681, ""en"", ""te""),"""")"),"[ 'మూడో వికెట్ (219) కోసం 16 అత్యధిక భాగస్వామ్యం']")</f>
        <v>[ 'మూడో వికెట్ (219) కోసం 16 అత్యధిక భాగస్వామ్యం']</v>
      </c>
      <c r="G6681" s="2"/>
      <c r="H6681" s="2" t="str">
        <f>IFERROR(__xludf.DUMMYFUNCTION("IF(G6681&lt;&gt;"""", GOOGLETRANSLATE(G6681, ""en"", ""te""),"""")"),"")</f>
        <v/>
      </c>
      <c r="I6681" s="3"/>
    </row>
    <row r="6682" customHeight="1" spans="1:9">
      <c r="A6682" s="2"/>
      <c r="B6682" s="2" t="str">
        <f>IFERROR(__xludf.DUMMYFUNCTION("IF(A6682&lt;&gt;"""", GOOGLETRANSLATE(A6682, ""en"", ""te""),"""")"),"")</f>
        <v/>
      </c>
      <c r="C6682" s="2" t="s">
        <v>3997</v>
      </c>
      <c r="D6682" s="2" t="str">
        <f>IFERROR(__xludf.DUMMYFUNCTION("IF(C6682&lt;&gt;"""", GOOGLETRANSLATE(C6682, ""en"", ""te""),"""")"),"[ '30 వ ఒక మ్యాచ్ రిఫరీ (5) వంటి అత్యధిక మ్యాచ్లు']")</f>
        <v>[ '30 వ ఒక మ్యాచ్ రిఫరీ (5) వంటి అత్యధిక మ్యాచ్లు']</v>
      </c>
      <c r="E6682" s="2" t="s">
        <v>1988</v>
      </c>
      <c r="F6682" s="2" t="str">
        <f>IFERROR(__xludf.DUMMYFUNCTION("IF(E6682&lt;&gt;"""", GOOGLETRANSLATE(E6682, ""en"", ""te""),"""")"),"[ '35 వ ఒక మ్యాచ్ రిఫరీ గా అత్యధిక మ్యాచ్లు (13)']")</f>
        <v>[ '35 వ ఒక మ్యాచ్ రిఫరీ గా అత్యధిక మ్యాచ్లు (13)']</v>
      </c>
      <c r="G6682" s="2"/>
      <c r="H6682" s="2" t="str">
        <f>IFERROR(__xludf.DUMMYFUNCTION("IF(G6682&lt;&gt;"""", GOOGLETRANSLATE(G6682, ""en"", ""te""),"""")"),"")</f>
        <v/>
      </c>
      <c r="I6682" s="3"/>
    </row>
    <row r="6683" customHeight="1" spans="1:9">
      <c r="A6683" s="2"/>
      <c r="B6683" s="2" t="str">
        <f>IFERROR(__xludf.DUMMYFUNCTION("IF(A6683&lt;&gt;"""", GOOGLETRANSLATE(A6683, ""en"", ""te""),"""")"),"")</f>
        <v/>
      </c>
      <c r="C6683" s="2"/>
      <c r="D6683" s="2" t="str">
        <f>IFERROR(__xludf.DUMMYFUNCTION("IF(C6683&lt;&gt;"""", GOOGLETRANSLATE(C6683, ""en"", ""te""),"""")"),"")</f>
        <v/>
      </c>
      <c r="E6683" s="2"/>
      <c r="F6683" s="2" t="str">
        <f>IFERROR(__xludf.DUMMYFUNCTION("IF(E6683&lt;&gt;"""", GOOGLETRANSLATE(E6683, ""en"", ""te""),"""")"),"")</f>
        <v/>
      </c>
      <c r="G6683" s="2"/>
      <c r="H6683" s="2" t="str">
        <f>IFERROR(__xludf.DUMMYFUNCTION("IF(G6683&lt;&gt;"""", GOOGLETRANSLATE(G6683, ""en"", ""te""),"""")"),"")</f>
        <v/>
      </c>
      <c r="I6683" s="3"/>
    </row>
    <row r="6684" customHeight="1" spans="1:9">
      <c r="A6684" s="2"/>
      <c r="B6684" s="2" t="str">
        <f>IFERROR(__xludf.DUMMYFUNCTION("IF(A6684&lt;&gt;"""", GOOGLETRANSLATE(A6684, ""en"", ""te""),"""")"),"")</f>
        <v/>
      </c>
      <c r="C6684" s="2"/>
      <c r="D6684" s="2" t="str">
        <f>IFERROR(__xludf.DUMMYFUNCTION("IF(C6684&lt;&gt;"""", GOOGLETRANSLATE(C6684, ""en"", ""te""),"""")"),"")</f>
        <v/>
      </c>
      <c r="E6684" s="2"/>
      <c r="F6684" s="2" t="str">
        <f>IFERROR(__xludf.DUMMYFUNCTION("IF(E6684&lt;&gt;"""", GOOGLETRANSLATE(E6684, ""en"", ""te""),"""")"),"")</f>
        <v/>
      </c>
      <c r="G6684" s="2"/>
      <c r="H6684" s="2" t="str">
        <f>IFERROR(__xludf.DUMMYFUNCTION("IF(G6684&lt;&gt;"""", GOOGLETRANSLATE(G6684, ""en"", ""te""),"""")"),"")</f>
        <v/>
      </c>
      <c r="I6684" s="3"/>
    </row>
    <row r="6685" customHeight="1" spans="1:9">
      <c r="A6685" s="2"/>
      <c r="B6685" s="2" t="str">
        <f>IFERROR(__xludf.DUMMYFUNCTION("IF(A6685&lt;&gt;"""", GOOGLETRANSLATE(A6685, ""en"", ""te""),"""")"),"")</f>
        <v/>
      </c>
      <c r="C6685" s="2"/>
      <c r="D6685" s="2" t="str">
        <f>IFERROR(__xludf.DUMMYFUNCTION("IF(C6685&lt;&gt;"""", GOOGLETRANSLATE(C6685, ""en"", ""te""),"""")"),"")</f>
        <v/>
      </c>
      <c r="E6685" s="2"/>
      <c r="F6685" s="2" t="str">
        <f>IFERROR(__xludf.DUMMYFUNCTION("IF(E6685&lt;&gt;"""", GOOGLETRANSLATE(E6685, ""en"", ""te""),"""")"),"")</f>
        <v/>
      </c>
      <c r="G6685" s="2"/>
      <c r="H6685" s="2" t="str">
        <f>IFERROR(__xludf.DUMMYFUNCTION("IF(G6685&lt;&gt;"""", GOOGLETRANSLATE(G6685, ""en"", ""te""),"""")"),"")</f>
        <v/>
      </c>
      <c r="I6685" s="3"/>
    </row>
    <row r="6686" customHeight="1" spans="1:9">
      <c r="A6686" s="2"/>
      <c r="B6686" s="2" t="str">
        <f>IFERROR(__xludf.DUMMYFUNCTION("IF(A6686&lt;&gt;"""", GOOGLETRANSLATE(A6686, ""en"", ""te""),"""")"),"")</f>
        <v/>
      </c>
      <c r="C6686" s="2"/>
      <c r="D6686" s="2" t="str">
        <f>IFERROR(__xludf.DUMMYFUNCTION("IF(C6686&lt;&gt;"""", GOOGLETRANSLATE(C6686, ""en"", ""te""),"""")"),"")</f>
        <v/>
      </c>
      <c r="E6686" s="2"/>
      <c r="F6686" s="2" t="str">
        <f>IFERROR(__xludf.DUMMYFUNCTION("IF(E6686&lt;&gt;"""", GOOGLETRANSLATE(E6686, ""en"", ""te""),"""")"),"")</f>
        <v/>
      </c>
      <c r="G6686" s="2"/>
      <c r="H6686" s="2" t="str">
        <f>IFERROR(__xludf.DUMMYFUNCTION("IF(G6686&lt;&gt;"""", GOOGLETRANSLATE(G6686, ""en"", ""te""),"""")"),"")</f>
        <v/>
      </c>
      <c r="I6686" s="3"/>
    </row>
    <row r="6687" customHeight="1" spans="1:9">
      <c r="A6687" s="2" t="s">
        <v>3998</v>
      </c>
      <c r="B6687" s="2" t="str">
        <f>IFERROR(__xludf.DUMMYFUNCTION("IF(A6687&lt;&gt;"""", GOOGLETRANSLATE(A6687, ""en"", ""te""),"""")"),"[ '9 వ పిన్న క్రీడాకారులు (16y 279d)', '2 వ పిన్న ఆటగాడు ఐదు వికెట్ల లో-ఒక-ఇన్నింగ్స్ తీసుకోవాలని (16y 307d)']")</f>
        <v>[ '9 వ పిన్న క్రీడాకారులు (16y 279d)', '2 వ పిన్న ఆటగాడు ఐదు వికెట్ల లో-ఒక-ఇన్నింగ్స్ తీసుకోవాలని (16y 307d)']</v>
      </c>
      <c r="C6687" s="2" t="s">
        <v>3999</v>
      </c>
      <c r="D6687" s="2" t="str">
        <f>IFERROR(__xludf.DUMMYFUNCTION("IF(C6687&lt;&gt;"""", GOOGLETRANSLATE(C6687, ""en"", ""te""),"""")"),"[ '9 వ పిన్న క్రీడాకారులు (16y 279d)' '2 వ పిన్న ఆటగాడు ఐదు వికెట్ల లో-ఒక-ఇన్నింగ్స్ (16y 307d) తీసుకోవాలని',]")</f>
        <v>[ '9 వ పిన్న క్రీడాకారులు (16y 279d)' '2 వ పిన్న ఆటగాడు ఐదు వికెట్ల లో-ఒక-ఇన్నింగ్స్ (16y 307d) తీసుకోవాలని',]</v>
      </c>
      <c r="E6687" s="2"/>
      <c r="F6687" s="2" t="str">
        <f>IFERROR(__xludf.DUMMYFUNCTION("IF(E6687&lt;&gt;"""", GOOGLETRANSLATE(E6687, ""en"", ""te""),"""")"),"")</f>
        <v/>
      </c>
      <c r="G6687" s="2"/>
      <c r="H6687" s="2" t="str">
        <f>IFERROR(__xludf.DUMMYFUNCTION("IF(G6687&lt;&gt;"""", GOOGLETRANSLATE(G6687, ""en"", ""te""),"""")"),"")</f>
        <v/>
      </c>
      <c r="I6687" s="3"/>
    </row>
    <row r="6688" customHeight="1" spans="1:9">
      <c r="A6688" s="2"/>
      <c r="B6688" s="2" t="str">
        <f>IFERROR(__xludf.DUMMYFUNCTION("IF(A6688&lt;&gt;"""", GOOGLETRANSLATE(A6688, ""en"", ""te""),"""")"),"")</f>
        <v/>
      </c>
      <c r="C6688" s="2"/>
      <c r="D6688" s="2" t="str">
        <f>IFERROR(__xludf.DUMMYFUNCTION("IF(C6688&lt;&gt;"""", GOOGLETRANSLATE(C6688, ""en"", ""te""),"""")"),"")</f>
        <v/>
      </c>
      <c r="E6688" s="2"/>
      <c r="F6688" s="2" t="str">
        <f>IFERROR(__xludf.DUMMYFUNCTION("IF(E6688&lt;&gt;"""", GOOGLETRANSLATE(E6688, ""en"", ""te""),"""")"),"")</f>
        <v/>
      </c>
      <c r="G6688" s="2"/>
      <c r="H6688" s="2" t="str">
        <f>IFERROR(__xludf.DUMMYFUNCTION("IF(G6688&lt;&gt;"""", GOOGLETRANSLATE(G6688, ""en"", ""te""),"""")"),"")</f>
        <v/>
      </c>
      <c r="I6688" s="3"/>
    </row>
    <row r="6689" customHeight="1" spans="1:9">
      <c r="A6689" s="2"/>
      <c r="B6689" s="2" t="str">
        <f>IFERROR(__xludf.DUMMYFUNCTION("IF(A6689&lt;&gt;"""", GOOGLETRANSLATE(A6689, ""en"", ""te""),"""")"),"")</f>
        <v/>
      </c>
      <c r="C6689" s="2"/>
      <c r="D6689" s="2" t="str">
        <f>IFERROR(__xludf.DUMMYFUNCTION("IF(C6689&lt;&gt;"""", GOOGLETRANSLATE(C6689, ""en"", ""te""),"""")"),"")</f>
        <v/>
      </c>
      <c r="E6689" s="2"/>
      <c r="F6689" s="2" t="str">
        <f>IFERROR(__xludf.DUMMYFUNCTION("IF(E6689&lt;&gt;"""", GOOGLETRANSLATE(E6689, ""en"", ""te""),"""")"),"")</f>
        <v/>
      </c>
      <c r="G6689" s="2"/>
      <c r="H6689" s="2" t="str">
        <f>IFERROR(__xludf.DUMMYFUNCTION("IF(G6689&lt;&gt;"""", GOOGLETRANSLATE(G6689, ""en"", ""te""),"""")"),"")</f>
        <v/>
      </c>
      <c r="I6689" s="3"/>
    </row>
    <row r="6690" customHeight="1" spans="1:9">
      <c r="A6690" s="2" t="s">
        <v>4000</v>
      </c>
      <c r="B6690" s="2" t="str">
        <f>IFERROR(__xludf.DUMMYFUNCTION("IF(A6690&lt;&gt;"""", GOOGLETRANSLATE(A6690, ""en"", ""te""),"""")"),"[ '(124 *) ఒక ఇన్నింగ్స్లో ద్వారా బ్యాట్ వాహక', 'ఒకే మ్యాచ్ లో బ్యాటింగ్ ప్రారంభించుటకు మరియు బౌలింగ్']")</f>
        <v>[ '(124 *) ఒక ఇన్నింగ్స్లో ద్వారా బ్యాట్ వాహక', 'ఒకే మ్యాచ్ లో బ్యాటింగ్ ప్రారంభించుటకు మరియు బౌలింగ్']</v>
      </c>
      <c r="C6690" s="2"/>
      <c r="D6690" s="2" t="str">
        <f>IFERROR(__xludf.DUMMYFUNCTION("IF(C6690&lt;&gt;"""", GOOGLETRANSLATE(C6690, ""en"", ""te""),"""")"),"")</f>
        <v/>
      </c>
      <c r="E6690" s="2"/>
      <c r="F6690" s="2" t="str">
        <f>IFERROR(__xludf.DUMMYFUNCTION("IF(E6690&lt;&gt;"""", GOOGLETRANSLATE(E6690, ""en"", ""te""),"""")"),"")</f>
        <v/>
      </c>
      <c r="G6690" s="2"/>
      <c r="H6690" s="2" t="str">
        <f>IFERROR(__xludf.DUMMYFUNCTION("IF(G6690&lt;&gt;"""", GOOGLETRANSLATE(G6690, ""en"", ""te""),"""")"),"")</f>
        <v/>
      </c>
      <c r="I6690" s="3"/>
    </row>
    <row r="6691" customHeight="1" spans="1:9">
      <c r="A6691" s="2"/>
      <c r="B6691" s="2" t="str">
        <f>IFERROR(__xludf.DUMMYFUNCTION("IF(A6691&lt;&gt;"""", GOOGLETRANSLATE(A6691, ""en"", ""te""),"""")"),"")</f>
        <v/>
      </c>
      <c r="C6691" s="2"/>
      <c r="D6691" s="2" t="str">
        <f>IFERROR(__xludf.DUMMYFUNCTION("IF(C6691&lt;&gt;"""", GOOGLETRANSLATE(C6691, ""en"", ""te""),"""")"),"")</f>
        <v/>
      </c>
      <c r="E6691" s="2"/>
      <c r="F6691" s="2" t="str">
        <f>IFERROR(__xludf.DUMMYFUNCTION("IF(E6691&lt;&gt;"""", GOOGLETRANSLATE(E6691, ""en"", ""te""),"""")"),"")</f>
        <v/>
      </c>
      <c r="G6691" s="2"/>
      <c r="H6691" s="2" t="str">
        <f>IFERROR(__xludf.DUMMYFUNCTION("IF(G6691&lt;&gt;"""", GOOGLETRANSLATE(G6691, ""en"", ""te""),"""")"),"")</f>
        <v/>
      </c>
      <c r="I6691" s="3"/>
    </row>
    <row r="6692" customHeight="1" spans="1:9">
      <c r="A6692" s="2"/>
      <c r="B6692" s="2" t="str">
        <f>IFERROR(__xludf.DUMMYFUNCTION("IF(A6692&lt;&gt;"""", GOOGLETRANSLATE(A6692, ""en"", ""te""),"""")"),"")</f>
        <v/>
      </c>
      <c r="C6692" s="2"/>
      <c r="D6692" s="2" t="str">
        <f>IFERROR(__xludf.DUMMYFUNCTION("IF(C6692&lt;&gt;"""", GOOGLETRANSLATE(C6692, ""en"", ""te""),"""")"),"")</f>
        <v/>
      </c>
      <c r="E6692" s="2"/>
      <c r="F6692" s="2" t="str">
        <f>IFERROR(__xludf.DUMMYFUNCTION("IF(E6692&lt;&gt;"""", GOOGLETRANSLATE(E6692, ""en"", ""te""),"""")"),"")</f>
        <v/>
      </c>
      <c r="G6692" s="2"/>
      <c r="H6692" s="2" t="str">
        <f>IFERROR(__xludf.DUMMYFUNCTION("IF(G6692&lt;&gt;"""", GOOGLETRANSLATE(G6692, ""en"", ""te""),"""")"),"")</f>
        <v/>
      </c>
      <c r="I6692" s="3"/>
    </row>
    <row r="6693" customHeight="1" spans="1:9">
      <c r="A6693" s="2" t="s">
        <v>4001</v>
      </c>
      <c r="B6693" s="2" t="str">
        <f>IFERROR(__xludf.DUMMYFUNCTION("IF(A6693&lt;&gt;"""", GOOGLETRANSLATE(A6693, ""en"", ""te""),"""")"),"[ 'ఇన్నింగ్స్ లో 1 వ అత్యధిక క్యాచ్లు (4)', '1 వ వరుస బాతులు (3)']")</f>
        <v>[ 'ఇన్నింగ్స్ లో 1 వ అత్యధిక క్యాచ్లు (4)', '1 వ వరుస బాతులు (3)']</v>
      </c>
      <c r="C6693" s="2"/>
      <c r="D6693" s="2" t="str">
        <f>IFERROR(__xludf.DUMMYFUNCTION("IF(C6693&lt;&gt;"""", GOOGLETRANSLATE(C6693, ""en"", ""te""),"""")"),"")</f>
        <v/>
      </c>
      <c r="E6693" s="2" t="s">
        <v>4002</v>
      </c>
      <c r="F6693" s="2" t="str">
        <f>IFERROR(__xludf.DUMMYFUNCTION("IF(E6693&lt;&gt;"""", GOOGLETRANSLATE(E6693, ""en"", ""te""),"""")"),"[ '37 వ ఒక సిరీస్లో అత్యధిక పరుగులు (521)', 'వంద (1318) లేకుండా ఒక వృత్తిలో 14 అత్యధిక పరుగులు' '43 వ కెరీర్ లో అతి తక్కువ బాతులు (19.33)', ఒక ఇన్నింగ్స్లో పరుగుల '27 అత్యధిక శాతం ( 53.65) ',' వరుస ఇన్నింగ్స్ (4) ',' 3 వ అత్యధిక క్యాచ్లు లో 1 వ అత్యధిక క్"&amp;"యాచ్లు (14) ']")</f>
        <v>[ '37 వ ఒక సిరీస్లో అత్యధిక పరుగులు (521)', 'వంద (1318) లేకుండా ఒక వృత్తిలో 14 అత్యధిక పరుగులు' '43 వ కెరీర్ లో అతి తక్కువ బాతులు (19.33)', ఒక ఇన్నింగ్స్లో పరుగుల '27 అత్యధిక శాతం ( 53.65) ',' వరుస ఇన్నింగ్స్ (4) ',' 3 వ అత్యధిక క్యాచ్లు లో 1 వ అత్యధిక క్యాచ్లు (14) ']</v>
      </c>
      <c r="G6693" s="2" t="s">
        <v>4003</v>
      </c>
      <c r="H6693" s="2" t="str">
        <f>IFERROR(__xludf.DUMMYFUNCTION("IF(G6693&lt;&gt;"""", GOOGLETRANSLATE(G6693, ""en"", ""te""),"""")"),"[ '17 ఒక డక్ లేకుండా అత్యధిక వరుస ఇన్నింగ్స్ (38)', '1 వ వరుస బాతులు (3)', 'ఏడవ వికెట్కు 45 వ అత్యధిక భాగస్వామ్యం (30 *)']")</f>
        <v>[ '17 ఒక డక్ లేకుండా అత్యధిక వరుస ఇన్నింగ్స్ (38)', '1 వ వరుస బాతులు (3)', 'ఏడవ వికెట్కు 45 వ అత్యధిక భాగస్వామ్యం (30 *)']</v>
      </c>
      <c r="I6693" s="3"/>
    </row>
    <row r="6694" customHeight="1" spans="1:9">
      <c r="A6694" s="2"/>
      <c r="B6694" s="2" t="str">
        <f>IFERROR(__xludf.DUMMYFUNCTION("IF(A6694&lt;&gt;"""", GOOGLETRANSLATE(A6694, ""en"", ""te""),"""")"),"")</f>
        <v/>
      </c>
      <c r="C6694" s="2"/>
      <c r="D6694" s="2" t="str">
        <f>IFERROR(__xludf.DUMMYFUNCTION("IF(C6694&lt;&gt;"""", GOOGLETRANSLATE(C6694, ""en"", ""te""),"""")"),"")</f>
        <v/>
      </c>
      <c r="E6694" s="2"/>
      <c r="F6694" s="2" t="str">
        <f>IFERROR(__xludf.DUMMYFUNCTION("IF(E6694&lt;&gt;"""", GOOGLETRANSLATE(E6694, ""en"", ""te""),"""")"),"")</f>
        <v/>
      </c>
      <c r="G6694" s="2"/>
      <c r="H6694" s="2" t="str">
        <f>IFERROR(__xludf.DUMMYFUNCTION("IF(G6694&lt;&gt;"""", GOOGLETRANSLATE(G6694, ""en"", ""te""),"""")"),"")</f>
        <v/>
      </c>
      <c r="I6694" s="3"/>
    </row>
    <row r="6695" customHeight="1" spans="1:9">
      <c r="A6695" s="2"/>
      <c r="B6695" s="2" t="str">
        <f>IFERROR(__xludf.DUMMYFUNCTION("IF(A6695&lt;&gt;"""", GOOGLETRANSLATE(A6695, ""en"", ""te""),"""")"),"")</f>
        <v/>
      </c>
      <c r="C6695" s="2"/>
      <c r="D6695" s="2" t="str">
        <f>IFERROR(__xludf.DUMMYFUNCTION("IF(C6695&lt;&gt;"""", GOOGLETRANSLATE(C6695, ""en"", ""te""),"""")"),"")</f>
        <v/>
      </c>
      <c r="E6695" s="2"/>
      <c r="F6695" s="2" t="str">
        <f>IFERROR(__xludf.DUMMYFUNCTION("IF(E6695&lt;&gt;"""", GOOGLETRANSLATE(E6695, ""en"", ""te""),"""")"),"")</f>
        <v/>
      </c>
      <c r="G6695" s="2"/>
      <c r="H6695" s="2" t="str">
        <f>IFERROR(__xludf.DUMMYFUNCTION("IF(G6695&lt;&gt;"""", GOOGLETRANSLATE(G6695, ""en"", ""te""),"""")"),"")</f>
        <v/>
      </c>
      <c r="I6695" s="3"/>
    </row>
    <row r="6696" customHeight="1" spans="1:9">
      <c r="A6696" s="2"/>
      <c r="B6696" s="2" t="str">
        <f>IFERROR(__xludf.DUMMYFUNCTION("IF(A6696&lt;&gt;"""", GOOGLETRANSLATE(A6696, ""en"", ""te""),"""")"),"")</f>
        <v/>
      </c>
      <c r="C6696" s="2"/>
      <c r="D6696" s="2" t="str">
        <f>IFERROR(__xludf.DUMMYFUNCTION("IF(C6696&lt;&gt;"""", GOOGLETRANSLATE(C6696, ""en"", ""te""),"""")"),"")</f>
        <v/>
      </c>
      <c r="E6696" s="2"/>
      <c r="F6696" s="2" t="str">
        <f>IFERROR(__xludf.DUMMYFUNCTION("IF(E6696&lt;&gt;"""", GOOGLETRANSLATE(E6696, ""en"", ""te""),"""")"),"")</f>
        <v/>
      </c>
      <c r="G6696" s="2"/>
      <c r="H6696" s="2" t="str">
        <f>IFERROR(__xludf.DUMMYFUNCTION("IF(G6696&lt;&gt;"""", GOOGLETRANSLATE(G6696, ""en"", ""te""),"""")"),"")</f>
        <v/>
      </c>
      <c r="I6696" s="3"/>
    </row>
    <row r="6697" customHeight="1" spans="1:9">
      <c r="A6697" s="2"/>
      <c r="B6697" s="2" t="str">
        <f>IFERROR(__xludf.DUMMYFUNCTION("IF(A6697&lt;&gt;"""", GOOGLETRANSLATE(A6697, ""en"", ""te""),"""")"),"")</f>
        <v/>
      </c>
      <c r="C6697" s="2"/>
      <c r="D6697" s="2" t="str">
        <f>IFERROR(__xludf.DUMMYFUNCTION("IF(C6697&lt;&gt;"""", GOOGLETRANSLATE(C6697, ""en"", ""te""),"""")"),"")</f>
        <v/>
      </c>
      <c r="E6697" s="2"/>
      <c r="F6697" s="2" t="str">
        <f>IFERROR(__xludf.DUMMYFUNCTION("IF(E6697&lt;&gt;"""", GOOGLETRANSLATE(E6697, ""en"", ""te""),"""")"),"")</f>
        <v/>
      </c>
      <c r="G6697" s="2"/>
      <c r="H6697" s="2" t="str">
        <f>IFERROR(__xludf.DUMMYFUNCTION("IF(G6697&lt;&gt;"""", GOOGLETRANSLATE(G6697, ""en"", ""te""),"""")"),"")</f>
        <v/>
      </c>
      <c r="I6697" s="3"/>
    </row>
    <row r="6698" customHeight="1" spans="1:9">
      <c r="A6698" s="2"/>
      <c r="B6698" s="2" t="str">
        <f>IFERROR(__xludf.DUMMYFUNCTION("IF(A6698&lt;&gt;"""", GOOGLETRANSLATE(A6698, ""en"", ""te""),"""")"),"")</f>
        <v/>
      </c>
      <c r="C6698" s="2"/>
      <c r="D6698" s="2" t="str">
        <f>IFERROR(__xludf.DUMMYFUNCTION("IF(C6698&lt;&gt;"""", GOOGLETRANSLATE(C6698, ""en"", ""te""),"""")"),"")</f>
        <v/>
      </c>
      <c r="E6698" s="2"/>
      <c r="F6698" s="2" t="str">
        <f>IFERROR(__xludf.DUMMYFUNCTION("IF(E6698&lt;&gt;"""", GOOGLETRANSLATE(E6698, ""en"", ""te""),"""")"),"")</f>
        <v/>
      </c>
      <c r="G6698" s="2"/>
      <c r="H6698" s="2" t="str">
        <f>IFERROR(__xludf.DUMMYFUNCTION("IF(G6698&lt;&gt;"""", GOOGLETRANSLATE(G6698, ""en"", ""te""),"""")"),"")</f>
        <v/>
      </c>
      <c r="I6698" s="3"/>
    </row>
    <row r="6699" customHeight="1" spans="1:9">
      <c r="A6699" s="2"/>
      <c r="B6699" s="2" t="str">
        <f>IFERROR(__xludf.DUMMYFUNCTION("IF(A6699&lt;&gt;"""", GOOGLETRANSLATE(A6699, ""en"", ""te""),"""")"),"")</f>
        <v/>
      </c>
      <c r="C6699" s="2"/>
      <c r="D6699" s="2" t="str">
        <f>IFERROR(__xludf.DUMMYFUNCTION("IF(C6699&lt;&gt;"""", GOOGLETRANSLATE(C6699, ""en"", ""te""),"""")"),"")</f>
        <v/>
      </c>
      <c r="E6699" s="2"/>
      <c r="F6699" s="2" t="str">
        <f>IFERROR(__xludf.DUMMYFUNCTION("IF(E6699&lt;&gt;"""", GOOGLETRANSLATE(E6699, ""en"", ""te""),"""")"),"")</f>
        <v/>
      </c>
      <c r="G6699" s="2"/>
      <c r="H6699" s="2" t="str">
        <f>IFERROR(__xludf.DUMMYFUNCTION("IF(G6699&lt;&gt;"""", GOOGLETRANSLATE(G6699, ""en"", ""te""),"""")"),"")</f>
        <v/>
      </c>
      <c r="I6699" s="3"/>
    </row>
    <row r="6700" customHeight="1" spans="1:9">
      <c r="A6700" s="2"/>
      <c r="B6700" s="2" t="str">
        <f>IFERROR(__xludf.DUMMYFUNCTION("IF(A6700&lt;&gt;"""", GOOGLETRANSLATE(A6700, ""en"", ""te""),"""")"),"")</f>
        <v/>
      </c>
      <c r="C6700" s="2"/>
      <c r="D6700" s="2" t="str">
        <f>IFERROR(__xludf.DUMMYFUNCTION("IF(C6700&lt;&gt;"""", GOOGLETRANSLATE(C6700, ""en"", ""te""),"""")"),"")</f>
        <v/>
      </c>
      <c r="E6700" s="2"/>
      <c r="F6700" s="2" t="str">
        <f>IFERROR(__xludf.DUMMYFUNCTION("IF(E6700&lt;&gt;"""", GOOGLETRANSLATE(E6700, ""en"", ""te""),"""")"),"")</f>
        <v/>
      </c>
      <c r="G6700" s="2"/>
      <c r="H6700" s="2" t="str">
        <f>IFERROR(__xludf.DUMMYFUNCTION("IF(G6700&lt;&gt;"""", GOOGLETRANSLATE(G6700, ""en"", ""te""),"""")"),"")</f>
        <v/>
      </c>
      <c r="I6700" s="3"/>
    </row>
    <row r="6701" customHeight="1" spans="1:9">
      <c r="A6701" s="2"/>
      <c r="B6701" s="2" t="str">
        <f>IFERROR(__xludf.DUMMYFUNCTION("IF(A6701&lt;&gt;"""", GOOGLETRANSLATE(A6701, ""en"", ""te""),"""")"),"")</f>
        <v/>
      </c>
      <c r="C6701" s="2"/>
      <c r="D6701" s="2" t="str">
        <f>IFERROR(__xludf.DUMMYFUNCTION("IF(C6701&lt;&gt;"""", GOOGLETRANSLATE(C6701, ""en"", ""te""),"""")"),"")</f>
        <v/>
      </c>
      <c r="E6701" s="2"/>
      <c r="F6701" s="2" t="str">
        <f>IFERROR(__xludf.DUMMYFUNCTION("IF(E6701&lt;&gt;"""", GOOGLETRANSLATE(E6701, ""en"", ""te""),"""")"),"")</f>
        <v/>
      </c>
      <c r="G6701" s="2"/>
      <c r="H6701" s="2" t="str">
        <f>IFERROR(__xludf.DUMMYFUNCTION("IF(G6701&lt;&gt;"""", GOOGLETRANSLATE(G6701, ""en"", ""te""),"""")"),"")</f>
        <v/>
      </c>
      <c r="I6701" s="3"/>
    </row>
    <row r="6702" customHeight="1" spans="1:9">
      <c r="A6702" s="2"/>
      <c r="B6702" s="2" t="str">
        <f>IFERROR(__xludf.DUMMYFUNCTION("IF(A6702&lt;&gt;"""", GOOGLETRANSLATE(A6702, ""en"", ""te""),"""")"),"")</f>
        <v/>
      </c>
      <c r="C6702" s="2" t="s">
        <v>4004</v>
      </c>
      <c r="D6702" s="2" t="str">
        <f>IFERROR(__xludf.DUMMYFUNCTION("IF(C6702&lt;&gt;"""", GOOGLETRANSLATE(C6702, ""en"", ""te""),"""")"),"[ '15 ఇన్నింగ్స్లో ఉత్తమ సంఖ్యలు ఉన్నప్పుడు పరాజయం వైపు (4)', 'ఇన్నింగ్స్ లో 16 వ చెత్త ఆర్థిక రేటు (4.40)', '14 వ ప్రవేశం (4) ఒక ఇన్నింగ్స్ లోని బెస్ట్ ఫిగర్స్']")</f>
        <v>[ '15 ఇన్నింగ్స్లో ఉత్తమ సంఖ్యలు ఉన్నప్పుడు పరాజయం వైపు (4)', 'ఇన్నింగ్స్ లో 16 వ చెత్త ఆర్థిక రేటు (4.40)', '14 వ ప్రవేశం (4) ఒక ఇన్నింగ్స్ లోని బెస్ట్ ఫిగర్స్']</v>
      </c>
      <c r="E6702" s="2" t="s">
        <v>2652</v>
      </c>
      <c r="F6702" s="2" t="str">
        <f>IFERROR(__xludf.DUMMYFUNCTION("IF(E6702&lt;&gt;"""", GOOGLETRANSLATE(E6702, ""en"", ""te""),"""")"),"[ '20 వ చెత్త ఇన్నింగ్స్ లో ఆర్థిక రేటు (9.00)']")</f>
        <v>[ '20 వ చెత్త ఇన్నింగ్స్ లో ఆర్థిక రేటు (9.00)']</v>
      </c>
      <c r="G6702" s="2"/>
      <c r="H6702" s="2" t="str">
        <f>IFERROR(__xludf.DUMMYFUNCTION("IF(G6702&lt;&gt;"""", GOOGLETRANSLATE(G6702, ""en"", ""te""),"""")"),"")</f>
        <v/>
      </c>
      <c r="I6702" s="3"/>
    </row>
    <row r="6703" customHeight="1" spans="1:9">
      <c r="A6703" s="2"/>
      <c r="B6703" s="2" t="str">
        <f>IFERROR(__xludf.DUMMYFUNCTION("IF(A6703&lt;&gt;"""", GOOGLETRANSLATE(A6703, ""en"", ""te""),"""")"),"")</f>
        <v/>
      </c>
      <c r="C6703" s="2"/>
      <c r="D6703" s="2" t="str">
        <f>IFERROR(__xludf.DUMMYFUNCTION("IF(C6703&lt;&gt;"""", GOOGLETRANSLATE(C6703, ""en"", ""te""),"""")"),"")</f>
        <v/>
      </c>
      <c r="E6703" s="2"/>
      <c r="F6703" s="2" t="str">
        <f>IFERROR(__xludf.DUMMYFUNCTION("IF(E6703&lt;&gt;"""", GOOGLETRANSLATE(E6703, ""en"", ""te""),"""")"),"")</f>
        <v/>
      </c>
      <c r="G6703" s="2"/>
      <c r="H6703" s="2" t="str">
        <f>IFERROR(__xludf.DUMMYFUNCTION("IF(G6703&lt;&gt;"""", GOOGLETRANSLATE(G6703, ""en"", ""te""),"""")"),"")</f>
        <v/>
      </c>
      <c r="I6703" s="3"/>
    </row>
    <row r="6704" customHeight="1" spans="1:9">
      <c r="A6704" s="2" t="s">
        <v>4005</v>
      </c>
      <c r="B6704" s="2" t="str">
        <f>IFERROR(__xludf.DUMMYFUNCTION("IF(A6704&lt;&gt;"""", GOOGLETRANSLATE(A6704, ""en"", ""te""),"""")"),"[ '10 వ కెరీర్ లో చాలా బాతులు (11)', 'ఇన్నింగ్స్ లో 3 వ చెత్త ఆర్థిక రేటు (11.14)', '10 వ అత్యధిక వికెట్లు తీసుకున్న క్యాచ్ మరియు బౌల్డ్ (8)', '250 పరుగులు మరియు ఒక సిరీస్లో 10 వికెట్లు', ' తొమ్మిదవ వికెట్ (60 *) 4 వ అత్యధిక భాగస్వామ్యం ',' 3 వ అత్యంత ఇన్"&amp;"నింగ్స్ లో (బ్యాటింగ్ స్థానం) డకౌట్ లేకుండా నడుస్తుంది (24 *) ',' 10 వ వరుస ఇన్నింగ్స్ (49) ',' 3 వ న అత్యధిక వికెట్లు ఒకే భూమి (13) ',' 1 వ వరుస నాలుగు వికెట్లు-ఇన్-ఒక-ఇన్నింగ్స్ (2) ',' కెరీర్ (2017) లో బౌల్డ్ చాలా 5 వ బంతుల్లో ',' 5 వ అత్యధిక కెరీర్ లో"&amp;" సాధించిన పరుగులు (1817) ',' 1 వ అత్యంత తీసుకోబడిన వికెట్ల స్టంప్డ్ (18) ']")</f>
        <v>[ '10 వ కెరీర్ లో చాలా బాతులు (11)', 'ఇన్నింగ్స్ లో 3 వ చెత్త ఆర్థిక రేటు (11.14)', '10 వ అత్యధిక వికెట్లు తీసుకున్న క్యాచ్ మరియు బౌల్డ్ (8)', '250 పరుగులు మరియు ఒక సిరీస్లో 10 వికెట్లు', ' తొమ్మిదవ వికెట్ (60 *) 4 వ అత్యధిక భాగస్వామ్యం ',' 3 వ అత్యంత ఇన్నింగ్స్ లో (బ్యాటింగ్ స్థానం) డకౌట్ లేకుండా నడుస్తుంది (24 *) ',' 10 వ వరుస ఇన్నింగ్స్ (49) ',' 3 వ న అత్యధిక వికెట్లు ఒకే భూమి (13) ',' 1 వ వరుస నాలుగు వికెట్లు-ఇన్-ఒక-ఇన్నింగ్స్ (2) ',' కెరీర్ (2017) లో బౌల్డ్ చాలా 5 వ బంతుల్లో ',' 5 వ అత్యధిక కెరీర్ లో సాధించిన పరుగులు (1817) ',' 1 వ అత్యంత తీసుకోబడిన వికెట్ల స్టంప్డ్ (18) ']</v>
      </c>
      <c r="C6704" s="2"/>
      <c r="D6704" s="2" t="str">
        <f>IFERROR(__xludf.DUMMYFUNCTION("IF(C6704&lt;&gt;"""", GOOGLETRANSLATE(C6704, ""en"", ""te""),"""")"),"")</f>
        <v/>
      </c>
      <c r="E6704" s="2" t="s">
        <v>4006</v>
      </c>
      <c r="F6704" s="2" t="str">
        <f>IFERROR(__xludf.DUMMYFUNCTION("IF(E6704&lt;&gt;"""", GOOGLETRANSLATE(E6704, ""en"", ""te""),"""")"),"[ 'వంద (1051) లేకుండా ఒక వృత్తిలో 29 వ అత్యధిక పరుగులు', '15 వ అత్యంత ఇన్నింగ్స్ (బ్యాటింగ్ స్థానం) (87) పరుగులు' 'కెరీర్లో 10 వ అత్యంత బాతులు (11)', '46 వ అత్యధిక కెరీర్ వికెట్లు (71) ',' 49 వ చెత్త కెరీర్లో ఆర్థిక రేటు (4.05) ',' ఇన్నింగ్స్ లో 3 వ చెత్త"&amp;" ఆర్థిక రేటు (11.14) ',' 36 వ కెరీర్ (3117) లో బౌల్డ్ చాలా బంతుల్లో ',' 32 వ కెరీర్ లో సాధించిన అత్యధిక పరుగులు (2109 ) ',' 17 వ అత్యధిక పరుగులు ఇన్నింగ్స్ లో సాధించిన (78) ',' 33 వ బౌలర్ / ఫీల్డర్ కలయికలు (11) ',' 49 వ అత్యధిక వికెట్లు తీసుకున్న ఆకర్షించ"&amp;"ింది (39) ',' 10 వ అత్యధిక వికెట్లు ఆకర్షించింది తీసుకున్న మరియు బౌల్డ్ (8) ' '36 వ అత్యధిక వికెట్లు ఒక ఫీల్డర్ చేత క్యాచ్ తీసుకున్న (36)', '16 వ అత్యధిక వికెట్లు తీసుకున్న స్టంప్ (11)', 'ఆరవ వికెట్కు 4 వ అత్యధిక భాగస్వామ్యం (111), తొమ్మిదవ వికెట్కు' 4 వ "&amp;"అత్యధిక భాగస్వామ్యం (60 * ) ']")</f>
        <v>[ 'వంద (1051) లేకుండా ఒక వృత్తిలో 29 వ అత్యధిక పరుగులు', '15 వ అత్యంత ఇన్నింగ్స్ (బ్యాటింగ్ స్థానం) (87) పరుగులు' 'కెరీర్లో 10 వ అత్యంత బాతులు (11)', '46 వ అత్యధిక కెరీర్ వికెట్లు (71) ',' 49 వ చెత్త కెరీర్లో ఆర్థిక రేటు (4.05) ',' ఇన్నింగ్స్ లో 3 వ చెత్త ఆర్థిక రేటు (11.14) ',' 36 వ కెరీర్ (3117) లో బౌల్డ్ చాలా బంతుల్లో ',' 32 వ కెరీర్ లో సాధించిన అత్యధిక పరుగులు (2109 ) ',' 17 వ అత్యధిక పరుగులు ఇన్నింగ్స్ లో సాధించిన (78) ',' 33 వ బౌలర్ / ఫీల్డర్ కలయికలు (11) ',' 49 వ అత్యధిక వికెట్లు తీసుకున్న ఆకర్షించింది (39) ',' 10 వ అత్యధిక వికెట్లు ఆకర్షించింది తీసుకున్న మరియు బౌల్డ్ (8) ' '36 వ అత్యధిక వికెట్లు ఒక ఫీల్డర్ చేత క్యాచ్ తీసుకున్న (36)', '16 వ అత్యధిక వికెట్లు తీసుకున్న స్టంప్ (11)', 'ఆరవ వికెట్కు 4 వ అత్యధిక భాగస్వామ్యం (111), తొమ్మిదవ వికెట్కు' 4 వ అత్యధిక భాగస్వామ్యం (60 * ) ']</v>
      </c>
      <c r="G6704" s="2" t="s">
        <v>4007</v>
      </c>
      <c r="H6704" s="2" t="str">
        <f>IFERROR(__xludf.DUMMYFUNCTION("IF(G6704&lt;&gt;"""", GOOGLETRANSLATE(G6704, ""en"", ""te""),"""")"),"[ '29 కెరీర్లో అత్యధిక పరుగులు (1152)', '12 వ పరాజయం వైపు ఒక మ్యాచ్లో అత్యధిక పరుగులు (75)', '26 వ అధిక అర్ధ' 3 వ అత్యంత ఇన్నింగ్స్ లో (24 *) పరుగులు (బ్యాటింగ్ స్థానంలో ద్వారా) ' కెరీర్లో (4) ',' ఒక డక్ లేకుండా 10 వ వరుస ఇన్నింగ్స్ (49) ',' కెరీర్లో 43 "&amp;"వ అతి తక్కువ బాతులు (15.5) ',' 16 వ కెరీర్ బాతులు (6) ',' 5 వ కెరీర్ లో అత్యధిక వికెట్లు (99 ) ',' ఒక క్యాలెండర్ సంవత్సరంలో ఒక ఇన్నింగ్స్ లో 39 వ బెస్ట్ ఫిగర్స్ (5/21) ',' 15 వ అత్యధిక వికెట్లు (22) ',' 10 వ అత్యుత్తమ బౌలింగ్ ఇన్నింగ్స్ విశ్లేషణలలో (4/5) "&amp;"',' 3 న అత్యధిక వికెట్లు ఒకే క్రీడా (13) ',' 31 సగటు (18.35) ',' 20 వ ఉత్తమ కెరీర్ ఎకానమీ రేట్ బౌలింగ్ ఉత్తమ కెరీర్ (5.40) ',' 39 వ ఉత్తమ కెరీర్ సమ్మె రేటు (20.3) ',' ఇన్నింగ్స్ లో 13 వ ఉత్తమ సమ్మె రేటు ( 3.0) ',' 13 వ అత్యంత నాలుగు వికెట్లు-ఇన్-ఒక-ఇన్నిం"&amp;"గ్స్ కెరీర్లో (2) ',' 1 వ వరుస నాలుగు వికెట్లు-ఇన్-ఒక-ఇన్నింగ్స్ (2) ',' కెరీర్ లో బౌల్డ్ చాలా 5 వ బంతుల్లో ( 2017) ',' కెరీర్ లో సాధించిన 5 వ అత్యధిక పరుగులు (1817) ',' 6 వ బౌలర్ / బ్యాట్స్ కలయికలు (5) ',' 5 వ బౌలర్ / ఫీల్డర్ కలయికలు (12) ',' 15 వ అత్యధి"&amp;"క వికెట్లు తీసుకున్న బో wled (19) ',' 6 వ అత్యధిక వికెట్లు తీసుకున్న క్యాచ్ (56) ',' 2 వ అత్యంత తీసుకున్న క్యాచ్ మరియు బౌల్డ్ (7) ',' 6 వ అత్యధిక వికెట్లు ఒక ఫీల్డర్ చేత క్యాచ్ తీసుకున్న (50) ',' 19 వ అత్యధిక వికెట్లు తీసుకున్న ఆకర్షించింది వికెట్ల అత్యధి"&amp;"క వికెట్లు (6) ',' 36 వ అత్యధిక వికెట్లు తీసుకున్న ఎల్బిడబ్ల్యు (6) ',' 1 వ అత్యధిక వికెట్లు స్టంప్ కెరీర్లో (18) ',' 15 వ అత్యధిక క్యాచ్లు (32) ',' నాలుగవ వికెట్కు 22 అత్యధిక భాగస్వామ్యం (taken 77) ',' ఐదవ వికెట్కు 16 అత్యధిక భాగస్వామ్యం (67) ',' తొమ్మిద"&amp;"వ వికెట్కు 45 వ అత్యధిక భాగస్వామ్యం (15) ',' 15 వ అత్యధిక మ్యాచ్లు కెరీర్లో (105) ',' 16 వ వరుస జట్టు మ్యాచ్లు ( 49) ',' 15 వ కెరీర్ పనికత్తెలయొద్ద (8) ',' 12 వ ఇన్నింగ్స్ లో వచ్చిన ఎక్కువ పనికత్తెలయొద్ద (2) ']")</f>
        <v>[ '29 కెరీర్లో అత్యధిక పరుగులు (1152)', '12 వ పరాజయం వైపు ఒక మ్యాచ్లో అత్యధిక పరుగులు (75)', '26 వ అధిక అర్ధ' 3 వ అత్యంత ఇన్నింగ్స్ లో (24 *) పరుగులు (బ్యాటింగ్ స్థానంలో ద్వారా) ' కెరీర్లో (4) ',' ఒక డక్ లేకుండా 10 వ వరుస ఇన్నింగ్స్ (49) ',' కెరీర్లో 43 వ అతి తక్కువ బాతులు (15.5) ',' 16 వ కెరీర్ బాతులు (6) ',' 5 వ కెరీర్ లో అత్యధిక వికెట్లు (99 ) ',' ఒక క్యాలెండర్ సంవత్సరంలో ఒక ఇన్నింగ్స్ లో 39 వ బెస్ట్ ఫిగర్స్ (5/21) ',' 15 వ అత్యధిక వికెట్లు (22) ',' 10 వ అత్యుత్తమ బౌలింగ్ ఇన్నింగ్స్ విశ్లేషణలలో (4/5) ',' 3 న అత్యధిక వికెట్లు ఒకే క్రీడా (13) ',' 31 సగటు (18.35) ',' 20 వ ఉత్తమ కెరీర్ ఎకానమీ రేట్ బౌలింగ్ ఉత్తమ కెరీర్ (5.40) ',' 39 వ ఉత్తమ కెరీర్ సమ్మె రేటు (20.3) ',' ఇన్నింగ్స్ లో 13 వ ఉత్తమ సమ్మె రేటు ( 3.0) ',' 13 వ అత్యంత నాలుగు వికెట్లు-ఇన్-ఒక-ఇన్నింగ్స్ కెరీర్లో (2) ',' 1 వ వరుస నాలుగు వికెట్లు-ఇన్-ఒక-ఇన్నింగ్స్ (2) ',' కెరీర్ లో బౌల్డ్ చాలా 5 వ బంతుల్లో ( 2017) ',' కెరీర్ లో సాధించిన 5 వ అత్యధిక పరుగులు (1817) ',' 6 వ బౌలర్ / బ్యాట్స్ కలయికలు (5) ',' 5 వ బౌలర్ / ఫీల్డర్ కలయికలు (12) ',' 15 వ అత్యధిక వికెట్లు తీసుకున్న బో wled (19) ',' 6 వ అత్యధిక వికెట్లు తీసుకున్న క్యాచ్ (56) ',' 2 వ అత్యంత తీసుకున్న క్యాచ్ మరియు బౌల్డ్ (7) ',' 6 వ అత్యధిక వికెట్లు ఒక ఫీల్డర్ చేత క్యాచ్ తీసుకున్న (50) ',' 19 వ అత్యధిక వికెట్లు తీసుకున్న ఆకర్షించింది వికెట్ల అత్యధిక వికెట్లు (6) ',' 36 వ అత్యధిక వికెట్లు తీసుకున్న ఎల్బిడబ్ల్యు (6) ',' 1 వ అత్యధిక వికెట్లు స్టంప్ కెరీర్లో (18) ',' 15 వ అత్యధిక క్యాచ్లు (32) ',' నాలుగవ వికెట్కు 22 అత్యధిక భాగస్వామ్యం (taken 77) ',' ఐదవ వికెట్కు 16 అత్యధిక భాగస్వామ్యం (67) ',' తొమ్మిదవ వికెట్కు 45 వ అత్యధిక భాగస్వామ్యం (15) ',' 15 వ అత్యధిక మ్యాచ్లు కెరీర్లో (105) ',' 16 వ వరుస జట్టు మ్యాచ్లు ( 49) ',' 15 వ కెరీర్ పనికత్తెలయొద్ద (8) ',' 12 వ ఇన్నింగ్స్ లో వచ్చిన ఎక్కువ పనికత్తెలయొద్ద (2) ']</v>
      </c>
      <c r="I6704" s="3"/>
    </row>
    <row r="6705" customHeight="1" spans="1:9">
      <c r="A6705" s="2"/>
      <c r="B6705" s="2" t="str">
        <f>IFERROR(__xludf.DUMMYFUNCTION("IF(A6705&lt;&gt;"""", GOOGLETRANSLATE(A6705, ""en"", ""te""),"""")"),"")</f>
        <v/>
      </c>
      <c r="C6705" s="2"/>
      <c r="D6705" s="2" t="str">
        <f>IFERROR(__xludf.DUMMYFUNCTION("IF(C6705&lt;&gt;"""", GOOGLETRANSLATE(C6705, ""en"", ""te""),"""")"),"")</f>
        <v/>
      </c>
      <c r="E6705" s="2"/>
      <c r="F6705" s="2" t="str">
        <f>IFERROR(__xludf.DUMMYFUNCTION("IF(E6705&lt;&gt;"""", GOOGLETRANSLATE(E6705, ""en"", ""te""),"""")"),"")</f>
        <v/>
      </c>
      <c r="G6705" s="2"/>
      <c r="H6705" s="2" t="str">
        <f>IFERROR(__xludf.DUMMYFUNCTION("IF(G6705&lt;&gt;"""", GOOGLETRANSLATE(G6705, ""en"", ""te""),"""")"),"")</f>
        <v/>
      </c>
      <c r="I6705" s="3"/>
    </row>
    <row r="6706" customHeight="1" spans="1:9">
      <c r="A6706" s="2"/>
      <c r="B6706" s="2" t="str">
        <f>IFERROR(__xludf.DUMMYFUNCTION("IF(A6706&lt;&gt;"""", GOOGLETRANSLATE(A6706, ""en"", ""te""),"""")"),"")</f>
        <v/>
      </c>
      <c r="C6706" s="2"/>
      <c r="D6706" s="2" t="str">
        <f>IFERROR(__xludf.DUMMYFUNCTION("IF(C6706&lt;&gt;"""", GOOGLETRANSLATE(C6706, ""en"", ""te""),"""")"),"")</f>
        <v/>
      </c>
      <c r="E6706" s="2"/>
      <c r="F6706" s="2" t="str">
        <f>IFERROR(__xludf.DUMMYFUNCTION("IF(E6706&lt;&gt;"""", GOOGLETRANSLATE(E6706, ""en"", ""te""),"""")"),"")</f>
        <v/>
      </c>
      <c r="G6706" s="2"/>
      <c r="H6706" s="2" t="str">
        <f>IFERROR(__xludf.DUMMYFUNCTION("IF(G6706&lt;&gt;"""", GOOGLETRANSLATE(G6706, ""en"", ""te""),"""")"),"")</f>
        <v/>
      </c>
      <c r="I6706" s="3"/>
    </row>
    <row r="6707" customHeight="1" spans="1:9">
      <c r="A6707" s="2"/>
      <c r="B6707" s="2" t="str">
        <f>IFERROR(__xludf.DUMMYFUNCTION("IF(A6707&lt;&gt;"""", GOOGLETRANSLATE(A6707, ""en"", ""te""),"""")"),"")</f>
        <v/>
      </c>
      <c r="C6707" s="2"/>
      <c r="D6707" s="2" t="str">
        <f>IFERROR(__xludf.DUMMYFUNCTION("IF(C6707&lt;&gt;"""", GOOGLETRANSLATE(C6707, ""en"", ""te""),"""")"),"")</f>
        <v/>
      </c>
      <c r="E6707" s="2"/>
      <c r="F6707" s="2" t="str">
        <f>IFERROR(__xludf.DUMMYFUNCTION("IF(E6707&lt;&gt;"""", GOOGLETRANSLATE(E6707, ""en"", ""te""),"""")"),"")</f>
        <v/>
      </c>
      <c r="G6707" s="2"/>
      <c r="H6707" s="2" t="str">
        <f>IFERROR(__xludf.DUMMYFUNCTION("IF(G6707&lt;&gt;"""", GOOGLETRANSLATE(G6707, ""en"", ""te""),"""")"),"")</f>
        <v/>
      </c>
      <c r="I6707" s="3"/>
    </row>
    <row r="6708" customHeight="1" spans="1:9">
      <c r="A6708" s="2"/>
      <c r="B6708" s="2" t="str">
        <f>IFERROR(__xludf.DUMMYFUNCTION("IF(A6708&lt;&gt;"""", GOOGLETRANSLATE(A6708, ""en"", ""te""),"""")"),"")</f>
        <v/>
      </c>
      <c r="C6708" s="2"/>
      <c r="D6708" s="2" t="str">
        <f>IFERROR(__xludf.DUMMYFUNCTION("IF(C6708&lt;&gt;"""", GOOGLETRANSLATE(C6708, ""en"", ""te""),"""")"),"")</f>
        <v/>
      </c>
      <c r="E6708" s="2"/>
      <c r="F6708" s="2" t="str">
        <f>IFERROR(__xludf.DUMMYFUNCTION("IF(E6708&lt;&gt;"""", GOOGLETRANSLATE(E6708, ""en"", ""te""),"""")"),"")</f>
        <v/>
      </c>
      <c r="G6708" s="2"/>
      <c r="H6708" s="2" t="str">
        <f>IFERROR(__xludf.DUMMYFUNCTION("IF(G6708&lt;&gt;"""", GOOGLETRANSLATE(G6708, ""en"", ""te""),"""")"),"")</f>
        <v/>
      </c>
      <c r="I6708" s="3"/>
    </row>
    <row r="6709" customHeight="1" spans="1:9">
      <c r="A6709" s="2" t="s">
        <v>4008</v>
      </c>
      <c r="B6709" s="2" t="str">
        <f>IFERROR(__xludf.DUMMYFUNCTION("IF(A6709&lt;&gt;"""", GOOGLETRANSLATE(A6709, ""en"", ""te""),"""")"),"[ '8 వ పిన్న క్రీడాకారులు (16y 248d)', 'ఇన్నింగ్స్ లో 6 వ అత్యుత్తమ బౌలింగ్ విశ్లేషణలు (3/4)', 'ఐదు వికెట్ల లో-ఒక-ఇన్నింగ్స్ తీసుకోవాలని 1st పిన్న వయస్కుడిగా నిలిచాడు (16y 303d)']")</f>
        <v>[ '8 వ పిన్న క్రీడాకారులు (16y 248d)', 'ఇన్నింగ్స్ లో 6 వ అత్యుత్తమ బౌలింగ్ విశ్లేషణలు (3/4)', 'ఐదు వికెట్ల లో-ఒక-ఇన్నింగ్స్ తీసుకోవాలని 1st పిన్న వయస్కుడిగా నిలిచాడు (16y 303d)']</v>
      </c>
      <c r="C6709" s="2" t="s">
        <v>4009</v>
      </c>
      <c r="D6709" s="2" t="str">
        <f>IFERROR(__xludf.DUMMYFUNCTION("IF(C6709&lt;&gt;"""", GOOGLETRANSLATE(C6709, ""en"", ""te""),"""")"),"[ '6 వ అత్యుత్తమ బౌలింగ్ ఇన్నింగ్స్ లో విశ్లేషించడం (3/4)', '25 వ అత్యధిక వికెట్లు తీసుకున్న స్టంప్ (10)', '8 వ' అయిదు వికెట్లు-ఇన్-ఒక-ఇన్నింగ్స్ (16y 303d) తీసుకోవాలని 1st పిన్న ఆటగాడు ' చిన్న క్రీడాకారులు (16y 248d) ']")</f>
        <v>[ '6 వ అత్యుత్తమ బౌలింగ్ ఇన్నింగ్స్ లో విశ్లేషించడం (3/4)', '25 వ అత్యధిక వికెట్లు తీసుకున్న స్టంప్ (10)', '8 వ' అయిదు వికెట్లు-ఇన్-ఒక-ఇన్నింగ్స్ (16y 303d) తీసుకోవాలని 1st పిన్న ఆటగాడు ' చిన్న క్రీడాకారులు (16y 248d) ']</v>
      </c>
      <c r="E6709" s="2" t="s">
        <v>4010</v>
      </c>
      <c r="F6709" s="2" t="str">
        <f>IFERROR(__xludf.DUMMYFUNCTION("IF(E6709&lt;&gt;"""", GOOGLETRANSLATE(E6709, ""en"", ""te""),"""")"),"['21 వ పురాతన దేశం ఆటగాళ్ళు (80y 18d) ']")</f>
        <v>['21 వ పురాతన దేశం ఆటగాళ్ళు (80y 18d) ']</v>
      </c>
      <c r="G6709" s="2"/>
      <c r="H6709" s="2" t="str">
        <f>IFERROR(__xludf.DUMMYFUNCTION("IF(G6709&lt;&gt;"""", GOOGLETRANSLATE(G6709, ""en"", ""te""),"""")"),"")</f>
        <v/>
      </c>
      <c r="I6709" s="3"/>
    </row>
    <row r="6710" customHeight="1" spans="1:9">
      <c r="A6710" s="2"/>
      <c r="B6710" s="2" t="str">
        <f>IFERROR(__xludf.DUMMYFUNCTION("IF(A6710&lt;&gt;"""", GOOGLETRANSLATE(A6710, ""en"", ""te""),"""")"),"")</f>
        <v/>
      </c>
      <c r="C6710" s="2"/>
      <c r="D6710" s="2" t="str">
        <f>IFERROR(__xludf.DUMMYFUNCTION("IF(C6710&lt;&gt;"""", GOOGLETRANSLATE(C6710, ""en"", ""te""),"""")"),"")</f>
        <v/>
      </c>
      <c r="E6710" s="2"/>
      <c r="F6710" s="2" t="str">
        <f>IFERROR(__xludf.DUMMYFUNCTION("IF(E6710&lt;&gt;"""", GOOGLETRANSLATE(E6710, ""en"", ""te""),"""")"),"")</f>
        <v/>
      </c>
      <c r="G6710" s="2"/>
      <c r="H6710" s="2" t="str">
        <f>IFERROR(__xludf.DUMMYFUNCTION("IF(G6710&lt;&gt;"""", GOOGLETRANSLATE(G6710, ""en"", ""te""),"""")"),"")</f>
        <v/>
      </c>
      <c r="I6710" s="3"/>
    </row>
    <row r="6711" customHeight="1" spans="1:9">
      <c r="A6711" s="2" t="s">
        <v>1828</v>
      </c>
      <c r="B6711" s="2" t="str">
        <f>IFERROR(__xludf.DUMMYFUNCTION("IF(A6711&lt;&gt;"""", GOOGLETRANSLATE(A6711, ""en"", ""te""),"""")"),"[ 'ఇన్నింగ్స్ లో 4 వ అత్యధిక క్యాచ్లు (3)']")</f>
        <v>[ 'ఇన్నింగ్స్ లో 4 వ అత్యధిక క్యాచ్లు (3)']</v>
      </c>
      <c r="C6711" s="2"/>
      <c r="D6711" s="2" t="str">
        <f>IFERROR(__xludf.DUMMYFUNCTION("IF(C6711&lt;&gt;"""", GOOGLETRANSLATE(C6711, ""en"", ""te""),"""")"),"")</f>
        <v/>
      </c>
      <c r="E6711" s="2" t="s">
        <v>4011</v>
      </c>
      <c r="F6711" s="2" t="str">
        <f>IFERROR(__xludf.DUMMYFUNCTION("IF(E6711&lt;&gt;"""", GOOGLETRANSLATE(E6711, ""en"", ""te""),"""")"),"[ '49 వ కెరీర్ అర్ధ (10)', 'ఒక డక్ లేకుండా 27 వరుస ఇన్నింగ్స్ (37)', '49 వ అత్యధిక క్యాచ్లు కెరీర్లో (27)', '4 వ ఇన్నింగ్స్ లో అత్యధిక క్యాచ్లు (3)', '26 ఒక సిరీస్లో అత్యధిక క్యాచ్లు (7) ',' నాలుగవ వికెట్కు 30 వ అత్యధిక భాగస్వామ్యం (109) ',' ఆరవ వికెట్కు "&amp;"36 వ అత్యధిక భాగస్వామ్యం (70) ']")</f>
        <v>[ '49 వ కెరీర్ అర్ధ (10)', 'ఒక డక్ లేకుండా 27 వరుస ఇన్నింగ్స్ (37)', '49 వ అత్యధిక క్యాచ్లు కెరీర్లో (27)', '4 వ ఇన్నింగ్స్ లో అత్యధిక క్యాచ్లు (3)', '26 ఒక సిరీస్లో అత్యధిక క్యాచ్లు (7) ',' నాలుగవ వికెట్కు 30 వ అత్యధిక భాగస్వామ్యం (109) ',' ఆరవ వికెట్కు 36 వ అత్యధిక భాగస్వామ్యం (70) ']</v>
      </c>
      <c r="G6711" s="2" t="s">
        <v>4012</v>
      </c>
      <c r="H6711" s="2" t="str">
        <f>IFERROR(__xludf.DUMMYFUNCTION("IF(G6711&lt;&gt;"""", GOOGLETRANSLATE(G6711, ""en"", ""te""),"""")"),"[ '38 వ కెరీర్ లో అత్యధిక పరుగులు (972)', '34 వ ఇన్నింగ్స్ లో అత్యధిక పరుగులు (బ్యాటింగ్ స్థానంలో ప్రకారం) (55)', '34 వ కెరీర్ అర్ధ (3)', 'ఒక డక్ లేకుండా 17 వరుస ఇన్నింగ్స్ (38 ) ',' కెరీర్ లో కెరీర్లో 40 వ అతి తక్కువ బాతులు (16.25) ',' 36 వ అత్యధిక క్యాచ"&amp;"్లు (22) ',' ఇన్నింగ్స్ లో 3 వ అత్యధిక క్యాచ్లు (3) ',' మూడో వికెట్కు 37 వ అత్యధిక భాగస్వామ్యం (82) ', 'ఐదో వికెట్కు 38 వ అత్యధిక భాగస్వామ్యం (55)', 'ఆరవ వికెట్కు 42 వ అత్యధిక భాగస్వామ్యం (40)']")</f>
        <v>[ '38 వ కెరీర్ లో అత్యధిక పరుగులు (972)', '34 వ ఇన్నింగ్స్ లో అత్యధిక పరుగులు (బ్యాటింగ్ స్థానంలో ప్రకారం) (55)', '34 వ కెరీర్ అర్ధ (3)', 'ఒక డక్ లేకుండా 17 వరుస ఇన్నింగ్స్ (38 ) ',' కెరీర్ లో కెరీర్లో 40 వ అతి తక్కువ బాతులు (16.25) ',' 36 వ అత్యధిక క్యాచ్లు (22) ',' ఇన్నింగ్స్ లో 3 వ అత్యధిక క్యాచ్లు (3) ',' మూడో వికెట్కు 37 వ అత్యధిక భాగస్వామ్యం (82) ', 'ఐదో వికెట్కు 38 వ అత్యధిక భాగస్వామ్యం (55)', 'ఆరవ వికెట్కు 42 వ అత్యధిక భాగస్వామ్యం (40)']</v>
      </c>
      <c r="I6711" s="3"/>
    </row>
    <row r="6712" customHeight="1" spans="1:9">
      <c r="A6712" s="2" t="s">
        <v>748</v>
      </c>
      <c r="B6712" s="2" t="str">
        <f>IFERROR(__xludf.DUMMYFUNCTION("IF(A6712&lt;&gt;"""", GOOGLETRANSLATE(A6712, ""en"", ""te""),"""")"),"[ 'ఒక ఇన్నింగ్స్ లో ఒక ప్రత్యామ్నాయంగా (3) 2 వ అత్యధిక క్యాచ్లు']")</f>
        <v>[ 'ఒక ఇన్నింగ్స్ లో ఒక ప్రత్యామ్నాయంగా (3) 2 వ అత్యధిక క్యాచ్లు']</v>
      </c>
      <c r="C6712" s="2"/>
      <c r="D6712" s="2" t="str">
        <f>IFERROR(__xludf.DUMMYFUNCTION("IF(C6712&lt;&gt;"""", GOOGLETRANSLATE(C6712, ""en"", ""te""),"""")"),"")</f>
        <v/>
      </c>
      <c r="E6712" s="2" t="s">
        <v>4013</v>
      </c>
      <c r="F6712" s="2" t="str">
        <f>IFERROR(__xludf.DUMMYFUNCTION("IF(E6712&lt;&gt;"""", GOOGLETRANSLATE(E6712, ""en"", ""te""),"""")"),"[ '16 వ 1000 పరుగులు (25) వేగంగా' 'ఒక ఇన్నింగ్స్ లో ఒక ప్రత్యామ్నాయంగా (3) 2 వ అత్యధిక క్యాచ్లు',]")</f>
        <v>[ '16 వ 1000 పరుగులు (25) వేగంగా' 'ఒక ఇన్నింగ్స్ లో ఒక ప్రత్యామ్నాయంగా (3) 2 వ అత్యధిక క్యాచ్లు',]</v>
      </c>
      <c r="G6712" s="2"/>
      <c r="H6712" s="2" t="str">
        <f>IFERROR(__xludf.DUMMYFUNCTION("IF(G6712&lt;&gt;"""", GOOGLETRANSLATE(G6712, ""en"", ""te""),"""")"),"")</f>
        <v/>
      </c>
      <c r="I6712" s="3"/>
    </row>
    <row r="6713" customHeight="1" spans="1:9">
      <c r="A6713" s="2"/>
      <c r="B6713" s="2" t="str">
        <f>IFERROR(__xludf.DUMMYFUNCTION("IF(A6713&lt;&gt;"""", GOOGLETRANSLATE(A6713, ""en"", ""te""),"""")"),"")</f>
        <v/>
      </c>
      <c r="C6713" s="2"/>
      <c r="D6713" s="2" t="str">
        <f>IFERROR(__xludf.DUMMYFUNCTION("IF(C6713&lt;&gt;"""", GOOGLETRANSLATE(C6713, ""en"", ""te""),"""")"),"")</f>
        <v/>
      </c>
      <c r="E6713" s="2"/>
      <c r="F6713" s="2" t="str">
        <f>IFERROR(__xludf.DUMMYFUNCTION("IF(E6713&lt;&gt;"""", GOOGLETRANSLATE(E6713, ""en"", ""te""),"""")"),"")</f>
        <v/>
      </c>
      <c r="G6713" s="2"/>
      <c r="H6713" s="2" t="str">
        <f>IFERROR(__xludf.DUMMYFUNCTION("IF(G6713&lt;&gt;"""", GOOGLETRANSLATE(G6713, ""en"", ""te""),"""")"),"")</f>
        <v/>
      </c>
      <c r="I6713" s="3"/>
    </row>
    <row r="6714" customHeight="1" spans="1:9">
      <c r="A6714" s="2"/>
      <c r="B6714" s="2" t="str">
        <f>IFERROR(__xludf.DUMMYFUNCTION("IF(A6714&lt;&gt;"""", GOOGLETRANSLATE(A6714, ""en"", ""te""),"""")"),"")</f>
        <v/>
      </c>
      <c r="C6714" s="2"/>
      <c r="D6714" s="2" t="str">
        <f>IFERROR(__xludf.DUMMYFUNCTION("IF(C6714&lt;&gt;"""", GOOGLETRANSLATE(C6714, ""en"", ""te""),"""")"),"")</f>
        <v/>
      </c>
      <c r="E6714" s="2"/>
      <c r="F6714" s="2" t="str">
        <f>IFERROR(__xludf.DUMMYFUNCTION("IF(E6714&lt;&gt;"""", GOOGLETRANSLATE(E6714, ""en"", ""te""),"""")"),"")</f>
        <v/>
      </c>
      <c r="G6714" s="2"/>
      <c r="H6714" s="2" t="str">
        <f>IFERROR(__xludf.DUMMYFUNCTION("IF(G6714&lt;&gt;"""", GOOGLETRANSLATE(G6714, ""en"", ""te""),"""")"),"")</f>
        <v/>
      </c>
      <c r="I6714" s="3"/>
    </row>
    <row r="6715" customHeight="1" spans="1:9">
      <c r="A6715" s="2"/>
      <c r="B6715" s="2" t="str">
        <f>IFERROR(__xludf.DUMMYFUNCTION("IF(A6715&lt;&gt;"""", GOOGLETRANSLATE(A6715, ""en"", ""te""),"""")"),"")</f>
        <v/>
      </c>
      <c r="C6715" s="2"/>
      <c r="D6715" s="2" t="str">
        <f>IFERROR(__xludf.DUMMYFUNCTION("IF(C6715&lt;&gt;"""", GOOGLETRANSLATE(C6715, ""en"", ""te""),"""")"),"")</f>
        <v/>
      </c>
      <c r="E6715" s="2"/>
      <c r="F6715" s="2" t="str">
        <f>IFERROR(__xludf.DUMMYFUNCTION("IF(E6715&lt;&gt;"""", GOOGLETRANSLATE(E6715, ""en"", ""te""),"""")"),"")</f>
        <v/>
      </c>
      <c r="G6715" s="2"/>
      <c r="H6715" s="2" t="str">
        <f>IFERROR(__xludf.DUMMYFUNCTION("IF(G6715&lt;&gt;"""", GOOGLETRANSLATE(G6715, ""en"", ""te""),"""")"),"")</f>
        <v/>
      </c>
      <c r="I6715" s="3"/>
    </row>
    <row r="6716" customHeight="1" spans="1:9">
      <c r="A6716" s="2"/>
      <c r="B6716" s="2" t="str">
        <f>IFERROR(__xludf.DUMMYFUNCTION("IF(A6716&lt;&gt;"""", GOOGLETRANSLATE(A6716, ""en"", ""te""),"""")"),"")</f>
        <v/>
      </c>
      <c r="C6716" s="2"/>
      <c r="D6716" s="2" t="str">
        <f>IFERROR(__xludf.DUMMYFUNCTION("IF(C6716&lt;&gt;"""", GOOGLETRANSLATE(C6716, ""en"", ""te""),"""")"),"")</f>
        <v/>
      </c>
      <c r="E6716" s="2"/>
      <c r="F6716" s="2" t="str">
        <f>IFERROR(__xludf.DUMMYFUNCTION("IF(E6716&lt;&gt;"""", GOOGLETRANSLATE(E6716, ""en"", ""te""),"""")"),"")</f>
        <v/>
      </c>
      <c r="G6716" s="2"/>
      <c r="H6716" s="2" t="str">
        <f>IFERROR(__xludf.DUMMYFUNCTION("IF(G6716&lt;&gt;"""", GOOGLETRANSLATE(G6716, ""en"", ""te""),"""")"),"")</f>
        <v/>
      </c>
      <c r="I6716" s="3"/>
    </row>
    <row r="6717" customHeight="1" spans="1:9">
      <c r="A6717" s="2"/>
      <c r="B6717" s="2" t="str">
        <f>IFERROR(__xludf.DUMMYFUNCTION("IF(A6717&lt;&gt;"""", GOOGLETRANSLATE(A6717, ""en"", ""te""),"""")"),"")</f>
        <v/>
      </c>
      <c r="C6717" s="2"/>
      <c r="D6717" s="2" t="str">
        <f>IFERROR(__xludf.DUMMYFUNCTION("IF(C6717&lt;&gt;"""", GOOGLETRANSLATE(C6717, ""en"", ""te""),"""")"),"")</f>
        <v/>
      </c>
      <c r="E6717" s="2"/>
      <c r="F6717" s="2" t="str">
        <f>IFERROR(__xludf.DUMMYFUNCTION("IF(E6717&lt;&gt;"""", GOOGLETRANSLATE(E6717, ""en"", ""te""),"""")"),"")</f>
        <v/>
      </c>
      <c r="G6717" s="2"/>
      <c r="H6717" s="2" t="str">
        <f>IFERROR(__xludf.DUMMYFUNCTION("IF(G6717&lt;&gt;"""", GOOGLETRANSLATE(G6717, ""en"", ""te""),"""")"),"")</f>
        <v/>
      </c>
      <c r="I6717" s="3"/>
    </row>
    <row r="6718" customHeight="1" spans="1:9">
      <c r="A6718" s="2"/>
      <c r="B6718" s="2" t="str">
        <f>IFERROR(__xludf.DUMMYFUNCTION("IF(A6718&lt;&gt;"""", GOOGLETRANSLATE(A6718, ""en"", ""te""),"""")"),"")</f>
        <v/>
      </c>
      <c r="C6718" s="2"/>
      <c r="D6718" s="2" t="str">
        <f>IFERROR(__xludf.DUMMYFUNCTION("IF(C6718&lt;&gt;"""", GOOGLETRANSLATE(C6718, ""en"", ""te""),"""")"),"")</f>
        <v/>
      </c>
      <c r="E6718" s="2"/>
      <c r="F6718" s="2" t="str">
        <f>IFERROR(__xludf.DUMMYFUNCTION("IF(E6718&lt;&gt;"""", GOOGLETRANSLATE(E6718, ""en"", ""te""),"""")"),"")</f>
        <v/>
      </c>
      <c r="G6718" s="2"/>
      <c r="H6718" s="2" t="str">
        <f>IFERROR(__xludf.DUMMYFUNCTION("IF(G6718&lt;&gt;"""", GOOGLETRANSLATE(G6718, ""en"", ""te""),"""")"),"")</f>
        <v/>
      </c>
      <c r="I6718" s="3"/>
    </row>
    <row r="6719" customHeight="1" spans="1:9">
      <c r="A6719" s="2" t="s">
        <v>4014</v>
      </c>
      <c r="B6719" s="2" t="str">
        <f>IFERROR(__xludf.DUMMYFUNCTION("IF(A6719&lt;&gt;"""", GOOGLETRANSLATE(A6719, ""en"", ""te""),"""")"),"[ 'ఒక సిరీస్లో 4 చాలా బాతులు (4)']")</f>
        <v>[ 'ఒక సిరీస్లో 4 చాలా బాతులు (4)']</v>
      </c>
      <c r="C6719" s="2"/>
      <c r="D6719" s="2" t="str">
        <f>IFERROR(__xludf.DUMMYFUNCTION("IF(C6719&lt;&gt;"""", GOOGLETRANSLATE(C6719, ""en"", ""te""),"""")"),"")</f>
        <v/>
      </c>
      <c r="E6719" s="2" t="s">
        <v>4015</v>
      </c>
      <c r="F6719" s="2" t="str">
        <f>IFERROR(__xludf.DUMMYFUNCTION("IF(E6719&lt;&gt;"""", GOOGLETRANSLATE(E6719, ""en"", ""te""),"""")"),"[ 'ఒక సిరీస్లో 4 చాలా బాతులు (4)', '30th ఒక సిరీస్లో అత్యధిక వికెట్లు (20)', '38 వ చెత్త కెరీర్లో ఎకానమీ రేట్' 11 వ ఒక ఇన్నింగ్స్ ఉన్నప్పుడు పరాజయం వైపు (4) లో బెస్ట్ ఫిగర్స్ '(4.15 ) ',' 15 వ అరంగేట్రంలోనే ఇన్నింగ్స్ లోని బెస్ట్ ఫిగర్స్ (3) ',' 13 వ అత్"&amp;"యధిక పరుగులు ఇన్నింగ్స్ (82) ',' 26th అత్యధిక క్యాచ్లు లో వరుస (7 సాధించింది) ']")</f>
        <v>[ 'ఒక సిరీస్లో 4 చాలా బాతులు (4)', '30th ఒక సిరీస్లో అత్యధిక వికెట్లు (20)', '38 వ చెత్త కెరీర్లో ఎకానమీ రేట్' 11 వ ఒక ఇన్నింగ్స్ ఉన్నప్పుడు పరాజయం వైపు (4) లో బెస్ట్ ఫిగర్స్ '(4.15 ) ',' 15 వ అరంగేట్రంలోనే ఇన్నింగ్స్ లోని బెస్ట్ ఫిగర్స్ (3) ',' 13 వ అత్యధిక పరుగులు ఇన్నింగ్స్ (82) ',' 26th అత్యధిక క్యాచ్లు లో వరుస (7 సాధించింది) ']</v>
      </c>
      <c r="G6719" s="2" t="s">
        <v>4016</v>
      </c>
      <c r="H6719" s="2" t="str">
        <f>IFERROR(__xludf.DUMMYFUNCTION("IF(G6719&lt;&gt;"""", GOOGLETRANSLATE(G6719, ""en"", ""te""),"""")"),"[ '42 వ ఉత్తమ కెరీర్ ఆర్థిక రేటు (5.72)']")</f>
        <v>[ '42 వ ఉత్తమ కెరీర్ ఆర్థిక రేటు (5.72)']</v>
      </c>
      <c r="I6719" s="3"/>
    </row>
    <row r="6720" customHeight="1" spans="1:9">
      <c r="A6720" s="2"/>
      <c r="B6720" s="2" t="str">
        <f>IFERROR(__xludf.DUMMYFUNCTION("IF(A6720&lt;&gt;"""", GOOGLETRANSLATE(A6720, ""en"", ""te""),"""")"),"")</f>
        <v/>
      </c>
      <c r="C6720" s="2"/>
      <c r="D6720" s="2" t="str">
        <f>IFERROR(__xludf.DUMMYFUNCTION("IF(C6720&lt;&gt;"""", GOOGLETRANSLATE(C6720, ""en"", ""te""),"""")"),"")</f>
        <v/>
      </c>
      <c r="E6720" s="2"/>
      <c r="F6720" s="2" t="str">
        <f>IFERROR(__xludf.DUMMYFUNCTION("IF(E6720&lt;&gt;"""", GOOGLETRANSLATE(E6720, ""en"", ""te""),"""")"),"")</f>
        <v/>
      </c>
      <c r="G6720" s="2"/>
      <c r="H6720" s="2" t="str">
        <f>IFERROR(__xludf.DUMMYFUNCTION("IF(G6720&lt;&gt;"""", GOOGLETRANSLATE(G6720, ""en"", ""te""),"""")"),"")</f>
        <v/>
      </c>
      <c r="I6720" s="3"/>
    </row>
    <row r="6721" customHeight="1" spans="1:9">
      <c r="A6721" s="2"/>
      <c r="B6721" s="2" t="str">
        <f>IFERROR(__xludf.DUMMYFUNCTION("IF(A6721&lt;&gt;"""", GOOGLETRANSLATE(A6721, ""en"", ""te""),"""")"),"")</f>
        <v/>
      </c>
      <c r="C6721" s="2"/>
      <c r="D6721" s="2" t="str">
        <f>IFERROR(__xludf.DUMMYFUNCTION("IF(C6721&lt;&gt;"""", GOOGLETRANSLATE(C6721, ""en"", ""te""),"""")"),"")</f>
        <v/>
      </c>
      <c r="E6721" s="2"/>
      <c r="F6721" s="2" t="str">
        <f>IFERROR(__xludf.DUMMYFUNCTION("IF(E6721&lt;&gt;"""", GOOGLETRANSLATE(E6721, ""en"", ""te""),"""")"),"")</f>
        <v/>
      </c>
      <c r="G6721" s="2"/>
      <c r="H6721" s="2" t="str">
        <f>IFERROR(__xludf.DUMMYFUNCTION("IF(G6721&lt;&gt;"""", GOOGLETRANSLATE(G6721, ""en"", ""te""),"""")"),"")</f>
        <v/>
      </c>
      <c r="I6721" s="3"/>
    </row>
    <row r="6722" customHeight="1" spans="1:9">
      <c r="A6722" s="2"/>
      <c r="B6722" s="2" t="str">
        <f>IFERROR(__xludf.DUMMYFUNCTION("IF(A6722&lt;&gt;"""", GOOGLETRANSLATE(A6722, ""en"", ""te""),"""")"),"")</f>
        <v/>
      </c>
      <c r="C6722" s="2"/>
      <c r="D6722" s="2" t="str">
        <f>IFERROR(__xludf.DUMMYFUNCTION("IF(C6722&lt;&gt;"""", GOOGLETRANSLATE(C6722, ""en"", ""te""),"""")"),"")</f>
        <v/>
      </c>
      <c r="E6722" s="2"/>
      <c r="F6722" s="2" t="str">
        <f>IFERROR(__xludf.DUMMYFUNCTION("IF(E6722&lt;&gt;"""", GOOGLETRANSLATE(E6722, ""en"", ""te""),"""")"),"")</f>
        <v/>
      </c>
      <c r="G6722" s="2"/>
      <c r="H6722" s="2" t="str">
        <f>IFERROR(__xludf.DUMMYFUNCTION("IF(G6722&lt;&gt;"""", GOOGLETRANSLATE(G6722, ""en"", ""te""),"""")"),"")</f>
        <v/>
      </c>
      <c r="I6722" s="3"/>
    </row>
    <row r="6723" customHeight="1" spans="1:9">
      <c r="A6723" s="2"/>
      <c r="B6723" s="2" t="str">
        <f>IFERROR(__xludf.DUMMYFUNCTION("IF(A6723&lt;&gt;"""", GOOGLETRANSLATE(A6723, ""en"", ""te""),"""")"),"")</f>
        <v/>
      </c>
      <c r="C6723" s="2"/>
      <c r="D6723" s="2" t="str">
        <f>IFERROR(__xludf.DUMMYFUNCTION("IF(C6723&lt;&gt;"""", GOOGLETRANSLATE(C6723, ""en"", ""te""),"""")"),"")</f>
        <v/>
      </c>
      <c r="E6723" s="2"/>
      <c r="F6723" s="2" t="str">
        <f>IFERROR(__xludf.DUMMYFUNCTION("IF(E6723&lt;&gt;"""", GOOGLETRANSLATE(E6723, ""en"", ""te""),"""")"),"")</f>
        <v/>
      </c>
      <c r="G6723" s="2"/>
      <c r="H6723" s="2" t="str">
        <f>IFERROR(__xludf.DUMMYFUNCTION("IF(G6723&lt;&gt;"""", GOOGLETRANSLATE(G6723, ""en"", ""te""),"""")"),"")</f>
        <v/>
      </c>
      <c r="I6723" s="3"/>
    </row>
    <row r="6724" customHeight="1" spans="1:9">
      <c r="A6724" s="2"/>
      <c r="B6724" s="2" t="str">
        <f>IFERROR(__xludf.DUMMYFUNCTION("IF(A6724&lt;&gt;"""", GOOGLETRANSLATE(A6724, ""en"", ""te""),"""")"),"")</f>
        <v/>
      </c>
      <c r="C6724" s="2"/>
      <c r="D6724" s="2" t="str">
        <f>IFERROR(__xludf.DUMMYFUNCTION("IF(C6724&lt;&gt;"""", GOOGLETRANSLATE(C6724, ""en"", ""te""),"""")"),"")</f>
        <v/>
      </c>
      <c r="E6724" s="2"/>
      <c r="F6724" s="2" t="str">
        <f>IFERROR(__xludf.DUMMYFUNCTION("IF(E6724&lt;&gt;"""", GOOGLETRANSLATE(E6724, ""en"", ""te""),"""")"),"")</f>
        <v/>
      </c>
      <c r="G6724" s="2"/>
      <c r="H6724" s="2" t="str">
        <f>IFERROR(__xludf.DUMMYFUNCTION("IF(G6724&lt;&gt;"""", GOOGLETRANSLATE(G6724, ""en"", ""te""),"""")"),"")</f>
        <v/>
      </c>
      <c r="I6724" s="3"/>
    </row>
    <row r="6725" customHeight="1" spans="1:9">
      <c r="A6725" s="2"/>
      <c r="B6725" s="2" t="str">
        <f>IFERROR(__xludf.DUMMYFUNCTION("IF(A6725&lt;&gt;"""", GOOGLETRANSLATE(A6725, ""en"", ""te""),"""")"),"")</f>
        <v/>
      </c>
      <c r="C6725" s="2"/>
      <c r="D6725" s="2" t="str">
        <f>IFERROR(__xludf.DUMMYFUNCTION("IF(C6725&lt;&gt;"""", GOOGLETRANSLATE(C6725, ""en"", ""te""),"""")"),"")</f>
        <v/>
      </c>
      <c r="E6725" s="2"/>
      <c r="F6725" s="2" t="str">
        <f>IFERROR(__xludf.DUMMYFUNCTION("IF(E6725&lt;&gt;"""", GOOGLETRANSLATE(E6725, ""en"", ""te""),"""")"),"")</f>
        <v/>
      </c>
      <c r="G6725" s="2"/>
      <c r="H6725" s="2" t="str">
        <f>IFERROR(__xludf.DUMMYFUNCTION("IF(G6725&lt;&gt;"""", GOOGLETRANSLATE(G6725, ""en"", ""te""),"""")"),"")</f>
        <v/>
      </c>
      <c r="I6725" s="3"/>
    </row>
    <row r="6726" customHeight="1" spans="1:9">
      <c r="A6726" s="2"/>
      <c r="B6726" s="2" t="str">
        <f>IFERROR(__xludf.DUMMYFUNCTION("IF(A6726&lt;&gt;"""", GOOGLETRANSLATE(A6726, ""en"", ""te""),"""")"),"")</f>
        <v/>
      </c>
      <c r="C6726" s="2"/>
      <c r="D6726" s="2" t="str">
        <f>IFERROR(__xludf.DUMMYFUNCTION("IF(C6726&lt;&gt;"""", GOOGLETRANSLATE(C6726, ""en"", ""te""),"""")"),"")</f>
        <v/>
      </c>
      <c r="E6726" s="2"/>
      <c r="F6726" s="2" t="str">
        <f>IFERROR(__xludf.DUMMYFUNCTION("IF(E6726&lt;&gt;"""", GOOGLETRANSLATE(E6726, ""en"", ""te""),"""")"),"")</f>
        <v/>
      </c>
      <c r="G6726" s="2"/>
      <c r="H6726" s="2" t="str">
        <f>IFERROR(__xludf.DUMMYFUNCTION("IF(G6726&lt;&gt;"""", GOOGLETRANSLATE(G6726, ""en"", ""te""),"""")"),"")</f>
        <v/>
      </c>
      <c r="I6726" s="3"/>
    </row>
    <row r="6727" customHeight="1" spans="1:9">
      <c r="A6727" s="2"/>
      <c r="B6727" s="2" t="str">
        <f>IFERROR(__xludf.DUMMYFUNCTION("IF(A6727&lt;&gt;"""", GOOGLETRANSLATE(A6727, ""en"", ""te""),"""")"),"")</f>
        <v/>
      </c>
      <c r="C6727" s="2"/>
      <c r="D6727" s="2" t="str">
        <f>IFERROR(__xludf.DUMMYFUNCTION("IF(C6727&lt;&gt;"""", GOOGLETRANSLATE(C6727, ""en"", ""te""),"""")"),"")</f>
        <v/>
      </c>
      <c r="E6727" s="2"/>
      <c r="F6727" s="2" t="str">
        <f>IFERROR(__xludf.DUMMYFUNCTION("IF(E6727&lt;&gt;"""", GOOGLETRANSLATE(E6727, ""en"", ""te""),"""")"),"")</f>
        <v/>
      </c>
      <c r="G6727" s="2"/>
      <c r="H6727" s="2" t="str">
        <f>IFERROR(__xludf.DUMMYFUNCTION("IF(G6727&lt;&gt;"""", GOOGLETRANSLATE(G6727, ""en"", ""te""),"""")"),"")</f>
        <v/>
      </c>
      <c r="I6727" s="3"/>
    </row>
    <row r="6728" customHeight="1" spans="1:9">
      <c r="A6728" s="2"/>
      <c r="B6728" s="2" t="str">
        <f>IFERROR(__xludf.DUMMYFUNCTION("IF(A6728&lt;&gt;"""", GOOGLETRANSLATE(A6728, ""en"", ""te""),"""")"),"")</f>
        <v/>
      </c>
      <c r="C6728" s="2"/>
      <c r="D6728" s="2" t="str">
        <f>IFERROR(__xludf.DUMMYFUNCTION("IF(C6728&lt;&gt;"""", GOOGLETRANSLATE(C6728, ""en"", ""te""),"""")"),"")</f>
        <v/>
      </c>
      <c r="E6728" s="2"/>
      <c r="F6728" s="2" t="str">
        <f>IFERROR(__xludf.DUMMYFUNCTION("IF(E6728&lt;&gt;"""", GOOGLETRANSLATE(E6728, ""en"", ""te""),"""")"),"")</f>
        <v/>
      </c>
      <c r="G6728" s="2"/>
      <c r="H6728" s="2" t="str">
        <f>IFERROR(__xludf.DUMMYFUNCTION("IF(G6728&lt;&gt;"""", GOOGLETRANSLATE(G6728, ""en"", ""te""),"""")"),"")</f>
        <v/>
      </c>
      <c r="I6728" s="3"/>
    </row>
    <row r="6729" customHeight="1" spans="1:9">
      <c r="A6729" s="2"/>
      <c r="B6729" s="2" t="str">
        <f>IFERROR(__xludf.DUMMYFUNCTION("IF(A6729&lt;&gt;"""", GOOGLETRANSLATE(A6729, ""en"", ""te""),"""")"),"")</f>
        <v/>
      </c>
      <c r="C6729" s="2"/>
      <c r="D6729" s="2" t="str">
        <f>IFERROR(__xludf.DUMMYFUNCTION("IF(C6729&lt;&gt;"""", GOOGLETRANSLATE(C6729, ""en"", ""te""),"""")"),"")</f>
        <v/>
      </c>
      <c r="E6729" s="2"/>
      <c r="F6729" s="2" t="str">
        <f>IFERROR(__xludf.DUMMYFUNCTION("IF(E6729&lt;&gt;"""", GOOGLETRANSLATE(E6729, ""en"", ""te""),"""")"),"")</f>
        <v/>
      </c>
      <c r="G6729" s="2"/>
      <c r="H6729" s="2" t="str">
        <f>IFERROR(__xludf.DUMMYFUNCTION("IF(G6729&lt;&gt;"""", GOOGLETRANSLATE(G6729, ""en"", ""te""),"""")"),"")</f>
        <v/>
      </c>
      <c r="I6729" s="3"/>
    </row>
    <row r="6730" customHeight="1" spans="1:9">
      <c r="A6730" s="2"/>
      <c r="B6730" s="2" t="str">
        <f>IFERROR(__xludf.DUMMYFUNCTION("IF(A6730&lt;&gt;"""", GOOGLETRANSLATE(A6730, ""en"", ""te""),"""")"),"")</f>
        <v/>
      </c>
      <c r="C6730" s="2"/>
      <c r="D6730" s="2" t="str">
        <f>IFERROR(__xludf.DUMMYFUNCTION("IF(C6730&lt;&gt;"""", GOOGLETRANSLATE(C6730, ""en"", ""te""),"""")"),"")</f>
        <v/>
      </c>
      <c r="E6730" s="2"/>
      <c r="F6730" s="2" t="str">
        <f>IFERROR(__xludf.DUMMYFUNCTION("IF(E6730&lt;&gt;"""", GOOGLETRANSLATE(E6730, ""en"", ""te""),"""")"),"")</f>
        <v/>
      </c>
      <c r="G6730" s="2"/>
      <c r="H6730" s="2" t="str">
        <f>IFERROR(__xludf.DUMMYFUNCTION("IF(G6730&lt;&gt;"""", GOOGLETRANSLATE(G6730, ""en"", ""te""),"""")"),"")</f>
        <v/>
      </c>
      <c r="I6730" s="3"/>
    </row>
    <row r="6731" customHeight="1" spans="1:9">
      <c r="A6731" s="2"/>
      <c r="B6731" s="2" t="str">
        <f>IFERROR(__xludf.DUMMYFUNCTION("IF(A6731&lt;&gt;"""", GOOGLETRANSLATE(A6731, ""en"", ""te""),"""")"),"")</f>
        <v/>
      </c>
      <c r="C6731" s="2"/>
      <c r="D6731" s="2" t="str">
        <f>IFERROR(__xludf.DUMMYFUNCTION("IF(C6731&lt;&gt;"""", GOOGLETRANSLATE(C6731, ""en"", ""te""),"""")"),"")</f>
        <v/>
      </c>
      <c r="E6731" s="2"/>
      <c r="F6731" s="2" t="str">
        <f>IFERROR(__xludf.DUMMYFUNCTION("IF(E6731&lt;&gt;"""", GOOGLETRANSLATE(E6731, ""en"", ""te""),"""")"),"")</f>
        <v/>
      </c>
      <c r="G6731" s="2"/>
      <c r="H6731" s="2" t="str">
        <f>IFERROR(__xludf.DUMMYFUNCTION("IF(G6731&lt;&gt;"""", GOOGLETRANSLATE(G6731, ""en"", ""te""),"""")"),"")</f>
        <v/>
      </c>
      <c r="I6731" s="3"/>
    </row>
    <row r="6732" customHeight="1" spans="1:9">
      <c r="A6732" s="2"/>
      <c r="B6732" s="2" t="str">
        <f>IFERROR(__xludf.DUMMYFUNCTION("IF(A6732&lt;&gt;"""", GOOGLETRANSLATE(A6732, ""en"", ""te""),"""")"),"")</f>
        <v/>
      </c>
      <c r="C6732" s="2"/>
      <c r="D6732" s="2" t="str">
        <f>IFERROR(__xludf.DUMMYFUNCTION("IF(C6732&lt;&gt;"""", GOOGLETRANSLATE(C6732, ""en"", ""te""),"""")"),"")</f>
        <v/>
      </c>
      <c r="E6732" s="2"/>
      <c r="F6732" s="2" t="str">
        <f>IFERROR(__xludf.DUMMYFUNCTION("IF(E6732&lt;&gt;"""", GOOGLETRANSLATE(E6732, ""en"", ""te""),"""")"),"")</f>
        <v/>
      </c>
      <c r="G6732" s="2"/>
      <c r="H6732" s="2" t="str">
        <f>IFERROR(__xludf.DUMMYFUNCTION("IF(G6732&lt;&gt;"""", GOOGLETRANSLATE(G6732, ""en"", ""te""),"""")"),"")</f>
        <v/>
      </c>
      <c r="I6732" s="3"/>
    </row>
    <row r="6733" customHeight="1" spans="1:9">
      <c r="A6733" s="2" t="s">
        <v>4017</v>
      </c>
      <c r="B6733" s="2" t="str">
        <f>IFERROR(__xludf.DUMMYFUNCTION("IF(A6733&lt;&gt;"""", GOOGLETRANSLATE(A6733, ""en"", ""te""),"""")"),"[ '2 వ అత్యుత్తమ బౌలింగ్ ఇన్నింగ్స్ విశ్లేషణలలో (4/5)', 'ఇన్నింగ్స్ లో 9 వ ఉత్తమ ఆర్థిక రేటు (0.41)']")</f>
        <v>[ '2 వ అత్యుత్తమ బౌలింగ్ ఇన్నింగ్స్ విశ్లేషణలలో (4/5)', 'ఇన్నింగ్స్ లో 9 వ ఉత్తమ ఆర్థిక రేటు (0.41)']</v>
      </c>
      <c r="C6733" s="2" t="s">
        <v>4018</v>
      </c>
      <c r="D6733" s="2" t="str">
        <f>IFERROR(__xludf.DUMMYFUNCTION("IF(C6733&lt;&gt;"""", GOOGLETRANSLATE(C6733, ""en"", ""te""),"""")"),"[ '2 వ అత్యుత్తమ బౌలింగ్ ఇన్నింగ్స్ విశ్లేషణలలో (4/5)', '24th ఒక ఇన్నింగ్స్ లోని బెస్ట్ ఫిగర్స్ ఉన్నప్పుడు పరాజయం వైపు (7)', 'ఇన్నింగ్స్ లో 9 వ ఉత్తమ ఆర్థిక రేటు (0.41)']")</f>
        <v>[ '2 వ అత్యుత్తమ బౌలింగ్ ఇన్నింగ్స్ విశ్లేషణలలో (4/5)', '24th ఒక ఇన్నింగ్స్ లోని బెస్ట్ ఫిగర్స్ ఉన్నప్పుడు పరాజయం వైపు (7)', 'ఇన్నింగ్స్ లో 9 వ ఉత్తమ ఆర్థిక రేటు (0.41)']</v>
      </c>
      <c r="E6733" s="2"/>
      <c r="F6733" s="2" t="str">
        <f>IFERROR(__xludf.DUMMYFUNCTION("IF(E6733&lt;&gt;"""", GOOGLETRANSLATE(E6733, ""en"", ""te""),"""")"),"")</f>
        <v/>
      </c>
      <c r="G6733" s="2"/>
      <c r="H6733" s="2" t="str">
        <f>IFERROR(__xludf.DUMMYFUNCTION("IF(G6733&lt;&gt;"""", GOOGLETRANSLATE(G6733, ""en"", ""te""),"""")"),"")</f>
        <v/>
      </c>
      <c r="I6733" s="3"/>
    </row>
    <row r="6734" customHeight="1" spans="1:9">
      <c r="A6734" s="2"/>
      <c r="B6734" s="2" t="str">
        <f>IFERROR(__xludf.DUMMYFUNCTION("IF(A6734&lt;&gt;"""", GOOGLETRANSLATE(A6734, ""en"", ""te""),"""")"),"")</f>
        <v/>
      </c>
      <c r="C6734" s="2"/>
      <c r="D6734" s="2" t="str">
        <f>IFERROR(__xludf.DUMMYFUNCTION("IF(C6734&lt;&gt;"""", GOOGLETRANSLATE(C6734, ""en"", ""te""),"""")"),"")</f>
        <v/>
      </c>
      <c r="E6734" s="2"/>
      <c r="F6734" s="2" t="str">
        <f>IFERROR(__xludf.DUMMYFUNCTION("IF(E6734&lt;&gt;"""", GOOGLETRANSLATE(E6734, ""en"", ""te""),"""")"),"")</f>
        <v/>
      </c>
      <c r="G6734" s="2"/>
      <c r="H6734" s="2" t="str">
        <f>IFERROR(__xludf.DUMMYFUNCTION("IF(G6734&lt;&gt;"""", GOOGLETRANSLATE(G6734, ""en"", ""te""),"""")"),"")</f>
        <v/>
      </c>
      <c r="I6734" s="3"/>
    </row>
    <row r="6735" customHeight="1" spans="1:9">
      <c r="A6735" s="2" t="s">
        <v>4019</v>
      </c>
      <c r="B6735" s="2" t="str">
        <f>IFERROR(__xludf.DUMMYFUNCTION("IF(A6735&lt;&gt;"""", GOOGLETRANSLATE(A6735, ""en"", ""te""),"""")"),"[ 'కెరీర్లో చాలా 5 వ బాతులు (13)', '3 వ ఒక ఇన్నింగ్స్ లోని బెస్ట్ ఫిగర్స్ ఉన్నప్పుడు పరాజయం వైపు (5)', 'బ్యాటింగ్ తెరవడం మరియు అదే మ్యాచ్ లో బౌలింగ్', '5 వ కెరీర్ బాతులు (9) ',' 4 వ చెత్త కెరీర్లో సమ్మె రేటు (32.0) ']")</f>
        <v>[ 'కెరీర్లో చాలా 5 వ బాతులు (13)', '3 వ ఒక ఇన్నింగ్స్ లోని బెస్ట్ ఫిగర్స్ ఉన్నప్పుడు పరాజయం వైపు (5)', 'బ్యాటింగ్ తెరవడం మరియు అదే మ్యాచ్ లో బౌలింగ్', '5 వ కెరీర్ బాతులు (9) ',' 4 వ చెత్త కెరీర్లో సమ్మె రేటు (32.0) ']</v>
      </c>
      <c r="C6735" s="2"/>
      <c r="D6735" s="2" t="str">
        <f>IFERROR(__xludf.DUMMYFUNCTION("IF(C6735&lt;&gt;"""", GOOGLETRANSLATE(C6735, ""en"", ""te""),"""")"),"")</f>
        <v/>
      </c>
      <c r="E6735" s="2" t="s">
        <v>4020</v>
      </c>
      <c r="F6735" s="2" t="str">
        <f>IFERROR(__xludf.DUMMYFUNCTION("IF(E6735&lt;&gt;"""", GOOGLETRANSLATE(E6735, ""en"", ""te""),"""")"),"[ 'కెరీర్లో చాలా 5 వ బాతులు (13)', '33 వ బౌలర్ / ఫీల్డర్ కలయికలు (11)', '19 వ అత్యధిక వికెట్లు ఒక వికెట్ కీపర్ చే కాట్ తీసిన 3 వ ఒక ఇన్నింగ్స్ లోని బెస్ట్ ఫిగర్స్ పరాజయం వైపు (5) ఉన్నప్పుడు' ( 12) ']")</f>
        <v>[ 'కెరీర్లో చాలా 5 వ బాతులు (13)', '33 వ బౌలర్ / ఫీల్డర్ కలయికలు (11)', '19 వ అత్యధిక వికెట్లు ఒక వికెట్ కీపర్ చే కాట్ తీసిన 3 వ ఒక ఇన్నింగ్స్ లోని బెస్ట్ ఫిగర్స్ పరాజయం వైపు (5) ఉన్నప్పుడు' ( 12) ']</v>
      </c>
      <c r="G6735" s="2" t="s">
        <v>4021</v>
      </c>
      <c r="H6735" s="2" t="str">
        <f>IFERROR(__xludf.DUMMYFUNCTION("IF(G6735&lt;&gt;"""", GOOGLETRANSLATE(G6735, ""en"", ""te""),"""")"),"[ 'కెరీర్లో చాలా 5 వ బాతులు (9)', '32 వ ఉత్తమ కెరీర్ ఆర్థిక రేటు (5.54)', 'సగటు (29.59) బౌలింగ్ 9 చెత్త జీవితం' '4 వ చెత్త కెరీర్లో సమ్మె రేటు (32.0)']")</f>
        <v>[ 'కెరీర్లో చాలా 5 వ బాతులు (9)', '32 వ ఉత్తమ కెరీర్ ఆర్థిక రేటు (5.54)', 'సగటు (29.59) బౌలింగ్ 9 చెత్త జీవితం' '4 వ చెత్త కెరీర్లో సమ్మె రేటు (32.0)']</v>
      </c>
      <c r="I6735" s="3"/>
    </row>
    <row r="6736" customHeight="1" spans="1:9">
      <c r="A6736" s="2" t="s">
        <v>4022</v>
      </c>
      <c r="B6736" s="2" t="str">
        <f>IFERROR(__xludf.DUMMYFUNCTION("IF(A6736&lt;&gt;"""", GOOGLETRANSLATE(A6736, ""en"", ""te""),"""")"),"[ 'మూడో వికెట్ (397) 5 వ అత్యధిక భాగస్వామ్యం']")</f>
        <v>[ 'మూడో వికెట్ (397) 5 వ అత్యధిక భాగస్వామ్యం']</v>
      </c>
      <c r="C6736" s="2" t="s">
        <v>4023</v>
      </c>
      <c r="D6736" s="2" t="str">
        <f>IFERROR(__xludf.DUMMYFUNCTION("IF(C6736&lt;&gt;"""", GOOGLETRANSLATE(C6736, ""en"", ""te""),"""")"),"[ '31 లాంగెస్ట్ వ్యక్తిగత ఇన్నింగ్స్ (నిమిషాలు) (685)', '18 వ అత్యధిక భాగస్వామ్యాలు ఏ వికెట్కు (397)', 'మూడో వికెట్ (397) 5 వ అత్యధిక భాగస్వామ్యం']")</f>
        <v>[ '31 లాంగెస్ట్ వ్యక్తిగత ఇన్నింగ్స్ (నిమిషాలు) (685)', '18 వ అత్యధిక భాగస్వామ్యాలు ఏ వికెట్కు (397)', 'మూడో వికెట్ (397) 5 వ అత్యధిక భాగస్వామ్యం']</v>
      </c>
      <c r="E6736" s="2"/>
      <c r="F6736" s="2" t="str">
        <f>IFERROR(__xludf.DUMMYFUNCTION("IF(E6736&lt;&gt;"""", GOOGLETRANSLATE(E6736, ""en"", ""te""),"""")"),"")</f>
        <v/>
      </c>
      <c r="G6736" s="2"/>
      <c r="H6736" s="2" t="str">
        <f>IFERROR(__xludf.DUMMYFUNCTION("IF(G6736&lt;&gt;"""", GOOGLETRANSLATE(G6736, ""en"", ""te""),"""")"),"")</f>
        <v/>
      </c>
      <c r="I6736" s="3"/>
    </row>
    <row r="6737" customHeight="1" spans="1:9">
      <c r="A6737" s="2"/>
      <c r="B6737" s="2" t="str">
        <f>IFERROR(__xludf.DUMMYFUNCTION("IF(A6737&lt;&gt;"""", GOOGLETRANSLATE(A6737, ""en"", ""te""),"""")"),"")</f>
        <v/>
      </c>
      <c r="C6737" s="2"/>
      <c r="D6737" s="2" t="str">
        <f>IFERROR(__xludf.DUMMYFUNCTION("IF(C6737&lt;&gt;"""", GOOGLETRANSLATE(C6737, ""en"", ""te""),"""")"),"")</f>
        <v/>
      </c>
      <c r="E6737" s="2"/>
      <c r="F6737" s="2" t="str">
        <f>IFERROR(__xludf.DUMMYFUNCTION("IF(E6737&lt;&gt;"""", GOOGLETRANSLATE(E6737, ""en"", ""te""),"""")"),"")</f>
        <v/>
      </c>
      <c r="G6737" s="2"/>
      <c r="H6737" s="2" t="str">
        <f>IFERROR(__xludf.DUMMYFUNCTION("IF(G6737&lt;&gt;"""", GOOGLETRANSLATE(G6737, ""en"", ""te""),"""")"),"")</f>
        <v/>
      </c>
      <c r="I6737" s="3"/>
    </row>
    <row r="6738" customHeight="1" spans="1:9">
      <c r="A6738" s="2"/>
      <c r="B6738" s="2" t="str">
        <f>IFERROR(__xludf.DUMMYFUNCTION("IF(A6738&lt;&gt;"""", GOOGLETRANSLATE(A6738, ""en"", ""te""),"""")"),"")</f>
        <v/>
      </c>
      <c r="C6738" s="2"/>
      <c r="D6738" s="2" t="str">
        <f>IFERROR(__xludf.DUMMYFUNCTION("IF(C6738&lt;&gt;"""", GOOGLETRANSLATE(C6738, ""en"", ""te""),"""")"),"")</f>
        <v/>
      </c>
      <c r="E6738" s="2"/>
      <c r="F6738" s="2" t="str">
        <f>IFERROR(__xludf.DUMMYFUNCTION("IF(E6738&lt;&gt;"""", GOOGLETRANSLATE(E6738, ""en"", ""te""),"""")"),"")</f>
        <v/>
      </c>
      <c r="G6738" s="2"/>
      <c r="H6738" s="2" t="str">
        <f>IFERROR(__xludf.DUMMYFUNCTION("IF(G6738&lt;&gt;"""", GOOGLETRANSLATE(G6738, ""en"", ""te""),"""")"),"")</f>
        <v/>
      </c>
      <c r="I6738" s="3"/>
    </row>
    <row r="6739" customHeight="1" spans="1:9">
      <c r="A6739" s="2"/>
      <c r="B6739" s="2" t="str">
        <f>IFERROR(__xludf.DUMMYFUNCTION("IF(A6739&lt;&gt;"""", GOOGLETRANSLATE(A6739, ""en"", ""te""),"""")"),"")</f>
        <v/>
      </c>
      <c r="C6739" s="2"/>
      <c r="D6739" s="2" t="str">
        <f>IFERROR(__xludf.DUMMYFUNCTION("IF(C6739&lt;&gt;"""", GOOGLETRANSLATE(C6739, ""en"", ""te""),"""")"),"")</f>
        <v/>
      </c>
      <c r="E6739" s="2"/>
      <c r="F6739" s="2" t="str">
        <f>IFERROR(__xludf.DUMMYFUNCTION("IF(E6739&lt;&gt;"""", GOOGLETRANSLATE(E6739, ""en"", ""te""),"""")"),"")</f>
        <v/>
      </c>
      <c r="G6739" s="2"/>
      <c r="H6739" s="2" t="str">
        <f>IFERROR(__xludf.DUMMYFUNCTION("IF(G6739&lt;&gt;"""", GOOGLETRANSLATE(G6739, ""en"", ""te""),"""")"),"")</f>
        <v/>
      </c>
      <c r="I6739" s="3"/>
    </row>
    <row r="6740" customHeight="1" spans="1:9">
      <c r="A6740" s="2"/>
      <c r="B6740" s="2" t="str">
        <f>IFERROR(__xludf.DUMMYFUNCTION("IF(A6740&lt;&gt;"""", GOOGLETRANSLATE(A6740, ""en"", ""te""),"""")"),"")</f>
        <v/>
      </c>
      <c r="C6740" s="2"/>
      <c r="D6740" s="2" t="str">
        <f>IFERROR(__xludf.DUMMYFUNCTION("IF(C6740&lt;&gt;"""", GOOGLETRANSLATE(C6740, ""en"", ""te""),"""")"),"")</f>
        <v/>
      </c>
      <c r="E6740" s="2"/>
      <c r="F6740" s="2" t="str">
        <f>IFERROR(__xludf.DUMMYFUNCTION("IF(E6740&lt;&gt;"""", GOOGLETRANSLATE(E6740, ""en"", ""te""),"""")"),"")</f>
        <v/>
      </c>
      <c r="G6740" s="2"/>
      <c r="H6740" s="2" t="str">
        <f>IFERROR(__xludf.DUMMYFUNCTION("IF(G6740&lt;&gt;"""", GOOGLETRANSLATE(G6740, ""en"", ""te""),"""")"),"")</f>
        <v/>
      </c>
      <c r="I6740" s="3"/>
    </row>
    <row r="6741" customHeight="1" spans="1:9">
      <c r="A6741" s="2"/>
      <c r="B6741" s="2" t="str">
        <f>IFERROR(__xludf.DUMMYFUNCTION("IF(A6741&lt;&gt;"""", GOOGLETRANSLATE(A6741, ""en"", ""te""),"""")"),"")</f>
        <v/>
      </c>
      <c r="C6741" s="2"/>
      <c r="D6741" s="2" t="str">
        <f>IFERROR(__xludf.DUMMYFUNCTION("IF(C6741&lt;&gt;"""", GOOGLETRANSLATE(C6741, ""en"", ""te""),"""")"),"")</f>
        <v/>
      </c>
      <c r="E6741" s="2"/>
      <c r="F6741" s="2" t="str">
        <f>IFERROR(__xludf.DUMMYFUNCTION("IF(E6741&lt;&gt;"""", GOOGLETRANSLATE(E6741, ""en"", ""te""),"""")"),"")</f>
        <v/>
      </c>
      <c r="G6741" s="2"/>
      <c r="H6741" s="2" t="str">
        <f>IFERROR(__xludf.DUMMYFUNCTION("IF(G6741&lt;&gt;"""", GOOGLETRANSLATE(G6741, ""en"", ""te""),"""")"),"")</f>
        <v/>
      </c>
      <c r="I6741" s="3"/>
    </row>
    <row r="6742" customHeight="1" spans="1:9">
      <c r="A6742" s="2"/>
      <c r="B6742" s="2" t="str">
        <f>IFERROR(__xludf.DUMMYFUNCTION("IF(A6742&lt;&gt;"""", GOOGLETRANSLATE(A6742, ""en"", ""te""),"""")"),"")</f>
        <v/>
      </c>
      <c r="C6742" s="2"/>
      <c r="D6742" s="2" t="str">
        <f>IFERROR(__xludf.DUMMYFUNCTION("IF(C6742&lt;&gt;"""", GOOGLETRANSLATE(C6742, ""en"", ""te""),"""")"),"")</f>
        <v/>
      </c>
      <c r="E6742" s="2"/>
      <c r="F6742" s="2" t="str">
        <f>IFERROR(__xludf.DUMMYFUNCTION("IF(E6742&lt;&gt;"""", GOOGLETRANSLATE(E6742, ""en"", ""te""),"""")"),"")</f>
        <v/>
      </c>
      <c r="G6742" s="2"/>
      <c r="H6742" s="2" t="str">
        <f>IFERROR(__xludf.DUMMYFUNCTION("IF(G6742&lt;&gt;"""", GOOGLETRANSLATE(G6742, ""en"", ""te""),"""")"),"")</f>
        <v/>
      </c>
      <c r="I6742" s="3"/>
    </row>
    <row r="6743" customHeight="1" spans="1:9">
      <c r="A6743" s="2"/>
      <c r="B6743" s="2" t="str">
        <f>IFERROR(__xludf.DUMMYFUNCTION("IF(A6743&lt;&gt;"""", GOOGLETRANSLATE(A6743, ""en"", ""te""),"""")"),"")</f>
        <v/>
      </c>
      <c r="C6743" s="2"/>
      <c r="D6743" s="2" t="str">
        <f>IFERROR(__xludf.DUMMYFUNCTION("IF(C6743&lt;&gt;"""", GOOGLETRANSLATE(C6743, ""en"", ""te""),"""")"),"")</f>
        <v/>
      </c>
      <c r="E6743" s="2"/>
      <c r="F6743" s="2" t="str">
        <f>IFERROR(__xludf.DUMMYFUNCTION("IF(E6743&lt;&gt;"""", GOOGLETRANSLATE(E6743, ""en"", ""te""),"""")"),"")</f>
        <v/>
      </c>
      <c r="G6743" s="2"/>
      <c r="H6743" s="2" t="str">
        <f>IFERROR(__xludf.DUMMYFUNCTION("IF(G6743&lt;&gt;"""", GOOGLETRANSLATE(G6743, ""en"", ""te""),"""")"),"")</f>
        <v/>
      </c>
      <c r="I6743" s="3"/>
    </row>
    <row r="6744" customHeight="1" spans="1:9">
      <c r="A6744" s="2"/>
      <c r="B6744" s="2" t="str">
        <f>IFERROR(__xludf.DUMMYFUNCTION("IF(A6744&lt;&gt;"""", GOOGLETRANSLATE(A6744, ""en"", ""te""),"""")"),"")</f>
        <v/>
      </c>
      <c r="C6744" s="2"/>
      <c r="D6744" s="2" t="str">
        <f>IFERROR(__xludf.DUMMYFUNCTION("IF(C6744&lt;&gt;"""", GOOGLETRANSLATE(C6744, ""en"", ""te""),"""")"),"")</f>
        <v/>
      </c>
      <c r="E6744" s="2"/>
      <c r="F6744" s="2" t="str">
        <f>IFERROR(__xludf.DUMMYFUNCTION("IF(E6744&lt;&gt;"""", GOOGLETRANSLATE(E6744, ""en"", ""te""),"""")"),"")</f>
        <v/>
      </c>
      <c r="G6744" s="2"/>
      <c r="H6744" s="2" t="str">
        <f>IFERROR(__xludf.DUMMYFUNCTION("IF(G6744&lt;&gt;"""", GOOGLETRANSLATE(G6744, ""en"", ""te""),"""")"),"")</f>
        <v/>
      </c>
      <c r="I6744" s="3"/>
    </row>
    <row r="6745" customHeight="1" spans="1:9">
      <c r="A6745" s="2"/>
      <c r="B6745" s="2" t="str">
        <f>IFERROR(__xludf.DUMMYFUNCTION("IF(A6745&lt;&gt;"""", GOOGLETRANSLATE(A6745, ""en"", ""te""),"""")"),"")</f>
        <v/>
      </c>
      <c r="C6745" s="2"/>
      <c r="D6745" s="2" t="str">
        <f>IFERROR(__xludf.DUMMYFUNCTION("IF(C6745&lt;&gt;"""", GOOGLETRANSLATE(C6745, ""en"", ""te""),"""")"),"")</f>
        <v/>
      </c>
      <c r="E6745" s="2"/>
      <c r="F6745" s="2" t="str">
        <f>IFERROR(__xludf.DUMMYFUNCTION("IF(E6745&lt;&gt;"""", GOOGLETRANSLATE(E6745, ""en"", ""te""),"""")"),"")</f>
        <v/>
      </c>
      <c r="G6745" s="2"/>
      <c r="H6745" s="2" t="str">
        <f>IFERROR(__xludf.DUMMYFUNCTION("IF(G6745&lt;&gt;"""", GOOGLETRANSLATE(G6745, ""en"", ""te""),"""")"),"")</f>
        <v/>
      </c>
      <c r="I6745" s="3"/>
    </row>
    <row r="6746" customHeight="1" spans="1:9">
      <c r="A6746" s="2"/>
      <c r="B6746" s="2" t="str">
        <f>IFERROR(__xludf.DUMMYFUNCTION("IF(A6746&lt;&gt;"""", GOOGLETRANSLATE(A6746, ""en"", ""te""),"""")"),"")</f>
        <v/>
      </c>
      <c r="C6746" s="2" t="s">
        <v>4024</v>
      </c>
      <c r="D6746" s="2" t="str">
        <f>IFERROR(__xludf.DUMMYFUNCTION("IF(C6746&lt;&gt;"""", GOOGLETRANSLATE(C6746, ""en"", ""te""),"""")"),"[ '36 వ ఉత్తమ కెరీర్ బౌలింగ్ సరాసరి (అర్హత లేకుండా) (11.50)']")</f>
        <v>[ '36 వ ఉత్తమ కెరీర్ బౌలింగ్ సరాసరి (అర్హత లేకుండా) (11.50)']</v>
      </c>
      <c r="E6746" s="2"/>
      <c r="F6746" s="2" t="str">
        <f>IFERROR(__xludf.DUMMYFUNCTION("IF(E6746&lt;&gt;"""", GOOGLETRANSLATE(E6746, ""en"", ""te""),"""")"),"")</f>
        <v/>
      </c>
      <c r="G6746" s="2"/>
      <c r="H6746" s="2" t="str">
        <f>IFERROR(__xludf.DUMMYFUNCTION("IF(G6746&lt;&gt;"""", GOOGLETRANSLATE(G6746, ""en"", ""te""),"""")"),"")</f>
        <v/>
      </c>
      <c r="I6746" s="3"/>
    </row>
    <row r="6747" customHeight="1" spans="1:9">
      <c r="A6747" s="2"/>
      <c r="B6747" s="2" t="str">
        <f>IFERROR(__xludf.DUMMYFUNCTION("IF(A6747&lt;&gt;"""", GOOGLETRANSLATE(A6747, ""en"", ""te""),"""")"),"")</f>
        <v/>
      </c>
      <c r="C6747" s="2"/>
      <c r="D6747" s="2" t="str">
        <f>IFERROR(__xludf.DUMMYFUNCTION("IF(C6747&lt;&gt;"""", GOOGLETRANSLATE(C6747, ""en"", ""te""),"""")"),"")</f>
        <v/>
      </c>
      <c r="E6747" s="2"/>
      <c r="F6747" s="2" t="str">
        <f>IFERROR(__xludf.DUMMYFUNCTION("IF(E6747&lt;&gt;"""", GOOGLETRANSLATE(E6747, ""en"", ""te""),"""")"),"")</f>
        <v/>
      </c>
      <c r="G6747" s="2"/>
      <c r="H6747" s="2" t="str">
        <f>IFERROR(__xludf.DUMMYFUNCTION("IF(G6747&lt;&gt;"""", GOOGLETRANSLATE(G6747, ""en"", ""te""),"""")"),"")</f>
        <v/>
      </c>
      <c r="I6747" s="3"/>
    </row>
    <row r="6748" customHeight="1" spans="1:9">
      <c r="A6748" s="2"/>
      <c r="B6748" s="2" t="str">
        <f>IFERROR(__xludf.DUMMYFUNCTION("IF(A6748&lt;&gt;"""", GOOGLETRANSLATE(A6748, ""en"", ""te""),"""")"),"")</f>
        <v/>
      </c>
      <c r="C6748" s="2"/>
      <c r="D6748" s="2" t="str">
        <f>IFERROR(__xludf.DUMMYFUNCTION("IF(C6748&lt;&gt;"""", GOOGLETRANSLATE(C6748, ""en"", ""te""),"""")"),"")</f>
        <v/>
      </c>
      <c r="E6748" s="2"/>
      <c r="F6748" s="2" t="str">
        <f>IFERROR(__xludf.DUMMYFUNCTION("IF(E6748&lt;&gt;"""", GOOGLETRANSLATE(E6748, ""en"", ""te""),"""")"),"")</f>
        <v/>
      </c>
      <c r="G6748" s="2"/>
      <c r="H6748" s="2" t="str">
        <f>IFERROR(__xludf.DUMMYFUNCTION("IF(G6748&lt;&gt;"""", GOOGLETRANSLATE(G6748, ""en"", ""te""),"""")"),"")</f>
        <v/>
      </c>
      <c r="I6748" s="3"/>
    </row>
    <row r="6749" customHeight="1" spans="1:9">
      <c r="A6749" s="2"/>
      <c r="B6749" s="2" t="str">
        <f>IFERROR(__xludf.DUMMYFUNCTION("IF(A6749&lt;&gt;"""", GOOGLETRANSLATE(A6749, ""en"", ""te""),"""")"),"")</f>
        <v/>
      </c>
      <c r="C6749" s="2"/>
      <c r="D6749" s="2" t="str">
        <f>IFERROR(__xludf.DUMMYFUNCTION("IF(C6749&lt;&gt;"""", GOOGLETRANSLATE(C6749, ""en"", ""te""),"""")"),"")</f>
        <v/>
      </c>
      <c r="E6749" s="2"/>
      <c r="F6749" s="2" t="str">
        <f>IFERROR(__xludf.DUMMYFUNCTION("IF(E6749&lt;&gt;"""", GOOGLETRANSLATE(E6749, ""en"", ""te""),"""")"),"")</f>
        <v/>
      </c>
      <c r="G6749" s="2"/>
      <c r="H6749" s="2" t="str">
        <f>IFERROR(__xludf.DUMMYFUNCTION("IF(G6749&lt;&gt;"""", GOOGLETRANSLATE(G6749, ""en"", ""te""),"""")"),"")</f>
        <v/>
      </c>
      <c r="I6749" s="3"/>
    </row>
    <row r="6750" customHeight="1" spans="1:9">
      <c r="A6750" s="2"/>
      <c r="B6750" s="2" t="str">
        <f>IFERROR(__xludf.DUMMYFUNCTION("IF(A6750&lt;&gt;"""", GOOGLETRANSLATE(A6750, ""en"", ""te""),"""")"),"")</f>
        <v/>
      </c>
      <c r="C6750" s="2"/>
      <c r="D6750" s="2" t="str">
        <f>IFERROR(__xludf.DUMMYFUNCTION("IF(C6750&lt;&gt;"""", GOOGLETRANSLATE(C6750, ""en"", ""te""),"""")"),"")</f>
        <v/>
      </c>
      <c r="E6750" s="2"/>
      <c r="F6750" s="2" t="str">
        <f>IFERROR(__xludf.DUMMYFUNCTION("IF(E6750&lt;&gt;"""", GOOGLETRANSLATE(E6750, ""en"", ""te""),"""")"),"")</f>
        <v/>
      </c>
      <c r="G6750" s="2"/>
      <c r="H6750" s="2" t="str">
        <f>IFERROR(__xludf.DUMMYFUNCTION("IF(G6750&lt;&gt;"""", GOOGLETRANSLATE(G6750, ""en"", ""te""),"""")"),"")</f>
        <v/>
      </c>
      <c r="I6750" s="3"/>
    </row>
    <row r="6751" customHeight="1" spans="1:9">
      <c r="A6751" s="2" t="s">
        <v>4025</v>
      </c>
      <c r="B6751" s="2" t="str">
        <f>IFERROR(__xludf.DUMMYFUNCTION("IF(A6751&lt;&gt;"""", GOOGLETRANSLATE(A6751, ""en"", ""te""),"""")"),"[ '9 వ అత్యంత ఇన్నింగ్స్ లో సాధించిన బైస్ (10)']")</f>
        <v>[ '9 వ అత్యంత ఇన్నింగ్స్ లో సాధించిన బైస్ (10)']</v>
      </c>
      <c r="C6751" s="2"/>
      <c r="D6751" s="2" t="str">
        <f>IFERROR(__xludf.DUMMYFUNCTION("IF(C6751&lt;&gt;"""", GOOGLETRANSLATE(C6751, ""en"", ""te""),"""")"),"")</f>
        <v/>
      </c>
      <c r="E6751" s="2" t="s">
        <v>4026</v>
      </c>
      <c r="F6751" s="2" t="str">
        <f>IFERROR(__xludf.DUMMYFUNCTION("IF(E6751&lt;&gt;"""", GOOGLETRANSLATE(E6751, ""en"", ""te""),"""")"),"[ '21 వ ఇన్నింగ్స్ లో అత్యధిక క్యాచ్లు (3)', '9 వ అత్యంత ఇన్నింగ్స్ లో సాధించిన బైస్ (10)']")</f>
        <v>[ '21 వ ఇన్నింగ్స్ లో అత్యధిక క్యాచ్లు (3)', '9 వ అత్యంత ఇన్నింగ్స్ లో సాధించిన బైస్ (10)']</v>
      </c>
      <c r="G6751" s="2" t="s">
        <v>4027</v>
      </c>
      <c r="H6751" s="2" t="str">
        <f>IFERROR(__xludf.DUMMYFUNCTION("IF(G6751&lt;&gt;"""", GOOGLETRANSLATE(G6751, ""en"", ""te""),"""")"),"[ 'కెరీర్ లో 25 వ అత్యంత స్టంపింగ్లు (8)']")</f>
        <v>[ 'కెరీర్ లో 25 వ అత్యంత స్టంపింగ్లు (8)']</v>
      </c>
      <c r="I6751" s="3"/>
    </row>
    <row r="6752" customHeight="1" spans="1:9">
      <c r="A6752" s="2"/>
      <c r="B6752" s="2" t="str">
        <f>IFERROR(__xludf.DUMMYFUNCTION("IF(A6752&lt;&gt;"""", GOOGLETRANSLATE(A6752, ""en"", ""te""),"""")"),"")</f>
        <v/>
      </c>
      <c r="C6752" s="2"/>
      <c r="D6752" s="2" t="str">
        <f>IFERROR(__xludf.DUMMYFUNCTION("IF(C6752&lt;&gt;"""", GOOGLETRANSLATE(C6752, ""en"", ""te""),"""")"),"")</f>
        <v/>
      </c>
      <c r="E6752" s="2"/>
      <c r="F6752" s="2" t="str">
        <f>IFERROR(__xludf.DUMMYFUNCTION("IF(E6752&lt;&gt;"""", GOOGLETRANSLATE(E6752, ""en"", ""te""),"""")"),"")</f>
        <v/>
      </c>
      <c r="G6752" s="2"/>
      <c r="H6752" s="2" t="str">
        <f>IFERROR(__xludf.DUMMYFUNCTION("IF(G6752&lt;&gt;"""", GOOGLETRANSLATE(G6752, ""en"", ""te""),"""")"),"")</f>
        <v/>
      </c>
      <c r="I6752" s="3"/>
    </row>
    <row r="6753" customHeight="1" spans="1:9">
      <c r="A6753" s="2"/>
      <c r="B6753" s="2" t="str">
        <f>IFERROR(__xludf.DUMMYFUNCTION("IF(A6753&lt;&gt;"""", GOOGLETRANSLATE(A6753, ""en"", ""te""),"""")"),"")</f>
        <v/>
      </c>
      <c r="C6753" s="2"/>
      <c r="D6753" s="2" t="str">
        <f>IFERROR(__xludf.DUMMYFUNCTION("IF(C6753&lt;&gt;"""", GOOGLETRANSLATE(C6753, ""en"", ""te""),"""")"),"")</f>
        <v/>
      </c>
      <c r="E6753" s="2"/>
      <c r="F6753" s="2" t="str">
        <f>IFERROR(__xludf.DUMMYFUNCTION("IF(E6753&lt;&gt;"""", GOOGLETRANSLATE(E6753, ""en"", ""te""),"""")"),"")</f>
        <v/>
      </c>
      <c r="G6753" s="2"/>
      <c r="H6753" s="2" t="str">
        <f>IFERROR(__xludf.DUMMYFUNCTION("IF(G6753&lt;&gt;"""", GOOGLETRANSLATE(G6753, ""en"", ""te""),"""")"),"")</f>
        <v/>
      </c>
      <c r="I6753" s="3"/>
    </row>
    <row r="6754" customHeight="1" spans="1:9">
      <c r="A6754" s="2" t="s">
        <v>352</v>
      </c>
      <c r="B6754" s="2" t="str">
        <f>IFERROR(__xludf.DUMMYFUNCTION("IF(A6754&lt;&gt;"""", GOOGLETRANSLATE(A6754, ""en"", ""te""),"""")"),"[ 'బ్యాటింగ్ ప్రారంభించుటకు మరియు అదే మ్యాచ్ లో బౌలింగ్']")</f>
        <v>[ 'బ్యాటింగ్ ప్రారంభించుటకు మరియు అదే మ్యాచ్ లో బౌలింగ్']</v>
      </c>
      <c r="C6754" s="2"/>
      <c r="D6754" s="2" t="str">
        <f>IFERROR(__xludf.DUMMYFUNCTION("IF(C6754&lt;&gt;"""", GOOGLETRANSLATE(C6754, ""en"", ""te""),"""")"),"")</f>
        <v/>
      </c>
      <c r="E6754" s="2" t="s">
        <v>4028</v>
      </c>
      <c r="F6754" s="2" t="str">
        <f>IFERROR(__xludf.DUMMYFUNCTION("IF(E6754&lt;&gt;"""", GOOGLETRANSLATE(E6754, ""en"", ""te""),"""")"),"[ '23 పిన్న క్రీడాకారులు (15y 308d)']")</f>
        <v>[ '23 పిన్న క్రీడాకారులు (15y 308d)']</v>
      </c>
      <c r="G6754" s="2"/>
      <c r="H6754" s="2" t="str">
        <f>IFERROR(__xludf.DUMMYFUNCTION("IF(G6754&lt;&gt;"""", GOOGLETRANSLATE(G6754, ""en"", ""te""),"""")"),"")</f>
        <v/>
      </c>
      <c r="I6754" s="3"/>
    </row>
    <row r="6755" customHeight="1" spans="1:9">
      <c r="A6755" s="2"/>
      <c r="B6755" s="2" t="str">
        <f>IFERROR(__xludf.DUMMYFUNCTION("IF(A6755&lt;&gt;"""", GOOGLETRANSLATE(A6755, ""en"", ""te""),"""")"),"")</f>
        <v/>
      </c>
      <c r="C6755" s="2"/>
      <c r="D6755" s="2" t="str">
        <f>IFERROR(__xludf.DUMMYFUNCTION("IF(C6755&lt;&gt;"""", GOOGLETRANSLATE(C6755, ""en"", ""te""),"""")"),"")</f>
        <v/>
      </c>
      <c r="E6755" s="2" t="s">
        <v>832</v>
      </c>
      <c r="F6755" s="2" t="str">
        <f>IFERROR(__xludf.DUMMYFUNCTION("IF(E6755&lt;&gt;"""", GOOGLETRANSLATE(E6755, ""en"", ""te""),"""")"),"[ 'తొలి ఇన్నింగ్స్ 15 వ బెస్ట్ ఫిగర్స్ (3)']")</f>
        <v>[ 'తొలి ఇన్నింగ్స్ 15 వ బెస్ట్ ఫిగర్స్ (3)']</v>
      </c>
      <c r="G6755" s="2" t="s">
        <v>4029</v>
      </c>
      <c r="H6755" s="2" t="str">
        <f>IFERROR(__xludf.DUMMYFUNCTION("IF(G6755&lt;&gt;"""", GOOGLETRANSLATE(G6755, ""en"", ""te""),"""")"),"[ '13 వ చెత్త కెరీర్ బౌలింగ్ సరాసరి (అర్హత లేకుండా) (95.00)']")</f>
        <v>[ '13 వ చెత్త కెరీర్ బౌలింగ్ సరాసరి (అర్హత లేకుండా) (95.00)']</v>
      </c>
      <c r="I6755" s="3"/>
    </row>
    <row r="6756" customHeight="1" spans="1:9">
      <c r="A6756" s="2"/>
      <c r="B6756" s="2" t="str">
        <f>IFERROR(__xludf.DUMMYFUNCTION("IF(A6756&lt;&gt;"""", GOOGLETRANSLATE(A6756, ""en"", ""te""),"""")"),"")</f>
        <v/>
      </c>
      <c r="C6756" s="2"/>
      <c r="D6756" s="2" t="str">
        <f>IFERROR(__xludf.DUMMYFUNCTION("IF(C6756&lt;&gt;"""", GOOGLETRANSLATE(C6756, ""en"", ""te""),"""")"),"")</f>
        <v/>
      </c>
      <c r="E6756" s="2"/>
      <c r="F6756" s="2" t="str">
        <f>IFERROR(__xludf.DUMMYFUNCTION("IF(E6756&lt;&gt;"""", GOOGLETRANSLATE(E6756, ""en"", ""te""),"""")"),"")</f>
        <v/>
      </c>
      <c r="G6756" s="2" t="s">
        <v>2509</v>
      </c>
      <c r="H6756" s="2" t="str">
        <f>IFERROR(__xludf.DUMMYFUNCTION("IF(G6756&lt;&gt;"""", GOOGLETRANSLATE(G6756, ""en"", ""te""),"""")"),"[ '38 వ అంపాయర్ (19) గా అత్యధిక మ్యాచ్లు']")</f>
        <v>[ '38 వ అంపాయర్ (19) గా అత్యధిక మ్యాచ్లు']</v>
      </c>
      <c r="I6756" s="3"/>
    </row>
    <row r="6757" customHeight="1" spans="1:9">
      <c r="A6757" s="2"/>
      <c r="B6757" s="2" t="str">
        <f>IFERROR(__xludf.DUMMYFUNCTION("IF(A6757&lt;&gt;"""", GOOGLETRANSLATE(A6757, ""en"", ""te""),"""")"),"")</f>
        <v/>
      </c>
      <c r="C6757" s="2"/>
      <c r="D6757" s="2" t="str">
        <f>IFERROR(__xludf.DUMMYFUNCTION("IF(C6757&lt;&gt;"""", GOOGLETRANSLATE(C6757, ""en"", ""te""),"""")"),"")</f>
        <v/>
      </c>
      <c r="E6757" s="2"/>
      <c r="F6757" s="2" t="str">
        <f>IFERROR(__xludf.DUMMYFUNCTION("IF(E6757&lt;&gt;"""", GOOGLETRANSLATE(E6757, ""en"", ""te""),"""")"),"")</f>
        <v/>
      </c>
      <c r="G6757" s="2"/>
      <c r="H6757" s="2" t="str">
        <f>IFERROR(__xludf.DUMMYFUNCTION("IF(G6757&lt;&gt;"""", GOOGLETRANSLATE(G6757, ""en"", ""te""),"""")"),"")</f>
        <v/>
      </c>
      <c r="I6757" s="3"/>
    </row>
    <row r="6758" customHeight="1" spans="1:9">
      <c r="A6758" s="2"/>
      <c r="B6758" s="2" t="str">
        <f>IFERROR(__xludf.DUMMYFUNCTION("IF(A6758&lt;&gt;"""", GOOGLETRANSLATE(A6758, ""en"", ""te""),"""")"),"")</f>
        <v/>
      </c>
      <c r="C6758" s="2"/>
      <c r="D6758" s="2" t="str">
        <f>IFERROR(__xludf.DUMMYFUNCTION("IF(C6758&lt;&gt;"""", GOOGLETRANSLATE(C6758, ""en"", ""te""),"""")"),"")</f>
        <v/>
      </c>
      <c r="E6758" s="2"/>
      <c r="F6758" s="2" t="str">
        <f>IFERROR(__xludf.DUMMYFUNCTION("IF(E6758&lt;&gt;"""", GOOGLETRANSLATE(E6758, ""en"", ""te""),"""")"),"")</f>
        <v/>
      </c>
      <c r="G6758" s="2"/>
      <c r="H6758" s="2" t="str">
        <f>IFERROR(__xludf.DUMMYFUNCTION("IF(G6758&lt;&gt;"""", GOOGLETRANSLATE(G6758, ""en"", ""te""),"""")"),"")</f>
        <v/>
      </c>
      <c r="I6758" s="3"/>
    </row>
    <row r="6759" customHeight="1" spans="1:9">
      <c r="A6759" s="2"/>
      <c r="B6759" s="2" t="str">
        <f>IFERROR(__xludf.DUMMYFUNCTION("IF(A6759&lt;&gt;"""", GOOGLETRANSLATE(A6759, ""en"", ""te""),"""")"),"")</f>
        <v/>
      </c>
      <c r="C6759" s="2"/>
      <c r="D6759" s="2" t="str">
        <f>IFERROR(__xludf.DUMMYFUNCTION("IF(C6759&lt;&gt;"""", GOOGLETRANSLATE(C6759, ""en"", ""te""),"""")"),"")</f>
        <v/>
      </c>
      <c r="E6759" s="2"/>
      <c r="F6759" s="2" t="str">
        <f>IFERROR(__xludf.DUMMYFUNCTION("IF(E6759&lt;&gt;"""", GOOGLETRANSLATE(E6759, ""en"", ""te""),"""")"),"")</f>
        <v/>
      </c>
      <c r="G6759" s="2"/>
      <c r="H6759" s="2" t="str">
        <f>IFERROR(__xludf.DUMMYFUNCTION("IF(G6759&lt;&gt;"""", GOOGLETRANSLATE(G6759, ""en"", ""te""),"""")"),"")</f>
        <v/>
      </c>
      <c r="I6759" s="3"/>
    </row>
    <row r="6760" customHeight="1" spans="1:9">
      <c r="A6760" s="2"/>
      <c r="B6760" s="2" t="str">
        <f>IFERROR(__xludf.DUMMYFUNCTION("IF(A6760&lt;&gt;"""", GOOGLETRANSLATE(A6760, ""en"", ""te""),"""")"),"")</f>
        <v/>
      </c>
      <c r="C6760" s="2"/>
      <c r="D6760" s="2" t="str">
        <f>IFERROR(__xludf.DUMMYFUNCTION("IF(C6760&lt;&gt;"""", GOOGLETRANSLATE(C6760, ""en"", ""te""),"""")"),"")</f>
        <v/>
      </c>
      <c r="E6760" s="2"/>
      <c r="F6760" s="2" t="str">
        <f>IFERROR(__xludf.DUMMYFUNCTION("IF(E6760&lt;&gt;"""", GOOGLETRANSLATE(E6760, ""en"", ""te""),"""")"),"")</f>
        <v/>
      </c>
      <c r="G6760" s="2"/>
      <c r="H6760" s="2" t="str">
        <f>IFERROR(__xludf.DUMMYFUNCTION("IF(G6760&lt;&gt;"""", GOOGLETRANSLATE(G6760, ""en"", ""te""),"""")"),"")</f>
        <v/>
      </c>
      <c r="I6760" s="3"/>
    </row>
    <row r="6761" customHeight="1" spans="1:9">
      <c r="A6761" s="2"/>
      <c r="B6761" s="2" t="str">
        <f>IFERROR(__xludf.DUMMYFUNCTION("IF(A6761&lt;&gt;"""", GOOGLETRANSLATE(A6761, ""en"", ""te""),"""")"),"")</f>
        <v/>
      </c>
      <c r="C6761" s="2"/>
      <c r="D6761" s="2" t="str">
        <f>IFERROR(__xludf.DUMMYFUNCTION("IF(C6761&lt;&gt;"""", GOOGLETRANSLATE(C6761, ""en"", ""te""),"""")"),"")</f>
        <v/>
      </c>
      <c r="E6761" s="2"/>
      <c r="F6761" s="2" t="str">
        <f>IFERROR(__xludf.DUMMYFUNCTION("IF(E6761&lt;&gt;"""", GOOGLETRANSLATE(E6761, ""en"", ""te""),"""")"),"")</f>
        <v/>
      </c>
      <c r="G6761" s="2"/>
      <c r="H6761" s="2" t="str">
        <f>IFERROR(__xludf.DUMMYFUNCTION("IF(G6761&lt;&gt;"""", GOOGLETRANSLATE(G6761, ""en"", ""te""),"""")"),"")</f>
        <v/>
      </c>
      <c r="I6761" s="3"/>
    </row>
    <row r="6762" customHeight="1" spans="1:9">
      <c r="A6762" s="2"/>
      <c r="B6762" s="2" t="str">
        <f>IFERROR(__xludf.DUMMYFUNCTION("IF(A6762&lt;&gt;"""", GOOGLETRANSLATE(A6762, ""en"", ""te""),"""")"),"")</f>
        <v/>
      </c>
      <c r="C6762" s="2"/>
      <c r="D6762" s="2" t="str">
        <f>IFERROR(__xludf.DUMMYFUNCTION("IF(C6762&lt;&gt;"""", GOOGLETRANSLATE(C6762, ""en"", ""te""),"""")"),"")</f>
        <v/>
      </c>
      <c r="E6762" s="2"/>
      <c r="F6762" s="2" t="str">
        <f>IFERROR(__xludf.DUMMYFUNCTION("IF(E6762&lt;&gt;"""", GOOGLETRANSLATE(E6762, ""en"", ""te""),"""")"),"")</f>
        <v/>
      </c>
      <c r="G6762" s="2"/>
      <c r="H6762" s="2" t="str">
        <f>IFERROR(__xludf.DUMMYFUNCTION("IF(G6762&lt;&gt;"""", GOOGLETRANSLATE(G6762, ""en"", ""te""),"""")"),"")</f>
        <v/>
      </c>
      <c r="I6762" s="3"/>
    </row>
    <row r="6763" customHeight="1" spans="1:9">
      <c r="A6763" s="2"/>
      <c r="B6763" s="2" t="str">
        <f>IFERROR(__xludf.DUMMYFUNCTION("IF(A6763&lt;&gt;"""", GOOGLETRANSLATE(A6763, ""en"", ""te""),"""")"),"")</f>
        <v/>
      </c>
      <c r="C6763" s="2"/>
      <c r="D6763" s="2" t="str">
        <f>IFERROR(__xludf.DUMMYFUNCTION("IF(C6763&lt;&gt;"""", GOOGLETRANSLATE(C6763, ""en"", ""te""),"""")"),"")</f>
        <v/>
      </c>
      <c r="E6763" s="2"/>
      <c r="F6763" s="2" t="str">
        <f>IFERROR(__xludf.DUMMYFUNCTION("IF(E6763&lt;&gt;"""", GOOGLETRANSLATE(E6763, ""en"", ""te""),"""")"),"")</f>
        <v/>
      </c>
      <c r="G6763" s="2"/>
      <c r="H6763" s="2" t="str">
        <f>IFERROR(__xludf.DUMMYFUNCTION("IF(G6763&lt;&gt;"""", GOOGLETRANSLATE(G6763, ""en"", ""te""),"""")"),"")</f>
        <v/>
      </c>
      <c r="I6763" s="3"/>
    </row>
    <row r="6764" customHeight="1" spans="1:9">
      <c r="A6764" s="2"/>
      <c r="B6764" s="2" t="str">
        <f>IFERROR(__xludf.DUMMYFUNCTION("IF(A6764&lt;&gt;"""", GOOGLETRANSLATE(A6764, ""en"", ""te""),"""")"),"")</f>
        <v/>
      </c>
      <c r="C6764" s="2"/>
      <c r="D6764" s="2" t="str">
        <f>IFERROR(__xludf.DUMMYFUNCTION("IF(C6764&lt;&gt;"""", GOOGLETRANSLATE(C6764, ""en"", ""te""),"""")"),"")</f>
        <v/>
      </c>
      <c r="E6764" s="2"/>
      <c r="F6764" s="2" t="str">
        <f>IFERROR(__xludf.DUMMYFUNCTION("IF(E6764&lt;&gt;"""", GOOGLETRANSLATE(E6764, ""en"", ""te""),"""")"),"")</f>
        <v/>
      </c>
      <c r="G6764" s="2"/>
      <c r="H6764" s="2" t="str">
        <f>IFERROR(__xludf.DUMMYFUNCTION("IF(G6764&lt;&gt;"""", GOOGLETRANSLATE(G6764, ""en"", ""te""),"""")"),"")</f>
        <v/>
      </c>
      <c r="I6764" s="3"/>
    </row>
    <row r="6765" customHeight="1" spans="1:9">
      <c r="A6765" s="2" t="s">
        <v>4030</v>
      </c>
      <c r="B6765" s="2" t="str">
        <f>IFERROR(__xludf.DUMMYFUNCTION("IF(A6765&lt;&gt;"""", GOOGLETRANSLATE(A6765, ""en"", ""te""),"""")"),"[ '99 పరుగుల 1st (మరియు 199, 299 etc) (99)', '2 వ అసాధారణ వికెట్లు (అడ్డుకోవడం)']")</f>
        <v>[ '99 పరుగుల 1st (మరియు 199, 299 etc) (99)', '2 వ అసాధారణ వికెట్లు (అడ్డుకోవడం)']</v>
      </c>
      <c r="C6765" s="2"/>
      <c r="D6765" s="2" t="str">
        <f>IFERROR(__xludf.DUMMYFUNCTION("IF(C6765&lt;&gt;"""", GOOGLETRANSLATE(C6765, ""en"", ""te""),"""")"),"")</f>
        <v/>
      </c>
      <c r="E6765" s="2" t="s">
        <v>4031</v>
      </c>
      <c r="F6765" s="2" t="str">
        <f>IFERROR(__xludf.DUMMYFUNCTION("IF(E6765&lt;&gt;"""", GOOGLETRANSLATE(E6765, ""en"", ""te""),"""")"),"[ '33 వ ఒకే మైదానంలో అత్యధిక పరుగులు (1203)', '40 వ తొలి మ్యాచ్లో అత్యధిక పరుగులు (75)', '1 వ 99 పరుగుల (199, 299 etc) (99)', '45 వ కెరీర్ బాతులు ( 15) ',' 2 వ అసాధారణ వికెట్లు (అడ్డుకోవడం) ',' మొదటి వికెట్కు 39 వ అత్యధిక భాగస్వామ్యం (202) ',' ఏడవ వికెట్"&amp;" (108 కోసం 27 అత్యధిక భాగస్వామ్యం) ']")</f>
        <v>[ '33 వ ఒకే మైదానంలో అత్యధిక పరుగులు (1203)', '40 వ తొలి మ్యాచ్లో అత్యధిక పరుగులు (75)', '1 వ 99 పరుగుల (199, 299 etc) (99)', '45 వ కెరీర్ బాతులు ( 15) ',' 2 వ అసాధారణ వికెట్లు (అడ్డుకోవడం) ',' మొదటి వికెట్కు 39 వ అత్యధిక భాగస్వామ్యం (202) ',' ఏడవ వికెట్ (108 కోసం 27 అత్యధిక భాగస్వామ్యం) ']</v>
      </c>
      <c r="G6765" s="2"/>
      <c r="H6765" s="2" t="str">
        <f>IFERROR(__xludf.DUMMYFUNCTION("IF(G6765&lt;&gt;"""", GOOGLETRANSLATE(G6765, ""en"", ""te""),"""")"),"")</f>
        <v/>
      </c>
      <c r="I6765" s="3"/>
    </row>
    <row r="6766" customHeight="1" spans="1:9">
      <c r="A6766" s="2" t="s">
        <v>4032</v>
      </c>
      <c r="B6766" s="2" t="str">
        <f>IFERROR(__xludf.DUMMYFUNCTION("IF(A6766&lt;&gt;"""", GOOGLETRANSLATE(A6766, ""en"", ""te""),"""")"),"[ '(6) ఒక ఇన్నింగ్స్ లో 5 వ అత్యధిక వికెట్లు' 'ఇన్నింగ్స్ లో 5 వ అత్యధిక క్యాచ్లు (6)', 'ఒక కెప్టెన్తో పెయిర్', '9 వ కెరీర్ లో అత్యధిక వికెట్లు (220)', '10 వ కెరీర్ లో అత్యధిక క్యాచ్లు ( కెరీర్లో 182) ',' 9 వ అత్యంత స్టంపింగ్లు (38) ']")</f>
        <v>[ '(6) ఒక ఇన్నింగ్స్ లో 5 వ అత్యధిక వికెట్లు' 'ఇన్నింగ్స్ లో 5 వ అత్యధిక క్యాచ్లు (6)', 'ఒక కెప్టెన్తో పెయిర్', '9 వ కెరీర్ లో అత్యధిక వికెట్లు (220)', '10 వ కెరీర్ లో అత్యధిక క్యాచ్లు ( కెరీర్లో 182) ',' 9 వ అత్యంత స్టంపింగ్లు (38) ']</v>
      </c>
      <c r="C6766" s="2" t="s">
        <v>4033</v>
      </c>
      <c r="D6766" s="2" t="str">
        <f>IFERROR(__xludf.DUMMYFUNCTION("IF(C6766&lt;&gt;"""", GOOGLETRANSLATE(C6766, ""en"", ""te""),"""")"),"[ '43 వ అత్యంత అత్యధిక వికెట్లు ఇన్నింగ్స్ లో పరుగులు (150)', '37 వ కెరీర్ లో అత్యధిక వికెట్లు (130)', 'వికెట్ (6) ఉంచింది చేసిన 16 వ కెప్టెన్ల' 'ఇన్నింగ్స్ లో 5 వ అత్యధిక వికెట్లు (6)' '8 వ మ్యాచ్ లో అత్యధిక వికెట్లు (9)', '36 వ కెరీర్ లో అత్యధిక క్యాచ్ల"&amp;"ు (119)', '5 వ ఇన్నింగ్స్ లో అత్యధిక క్యాచ్లు (6)', '8 వ ఒక మ్యాచ్లో అత్యధిక క్యాచ్లు (9)', '43 వ జీవితంలో అత్యధిక స్టంపింగ్లు (11) ']")</f>
        <v>[ '43 వ అత్యంత అత్యధిక వికెట్లు ఇన్నింగ్స్ లో పరుగులు (150)', '37 వ కెరీర్ లో అత్యధిక వికెట్లు (130)', 'వికెట్ (6) ఉంచింది చేసిన 16 వ కెప్టెన్ల' 'ఇన్నింగ్స్ లో 5 వ అత్యధిక వికెట్లు (6)' '8 వ మ్యాచ్ లో అత్యధిక వికెట్లు (9)', '36 వ కెరీర్ లో అత్యధిక క్యాచ్లు (119)', '5 వ ఇన్నింగ్స్ లో అత్యధిక క్యాచ్లు (6)', '8 వ ఒక మ్యాచ్లో అత్యధిక క్యాచ్లు (9)', '43 వ జీవితంలో అత్యధిక స్టంపింగ్లు (11) ']</v>
      </c>
      <c r="E6766" s="2" t="s">
        <v>4034</v>
      </c>
      <c r="F6766" s="2" t="str">
        <f>IFERROR(__xludf.DUMMYFUNCTION("IF(E6766&lt;&gt;"""", GOOGLETRANSLATE(E6766, ""en"", ""te""),"""")"),"[ '33 వ అత్యంత లేకుండా కెరీర్లో పరుగులు వంద (1709)', 'వికెట్ (25) ఉంచింది చేసిన 12 వ కెప్టెన్ల', 'కెరీర్లో 9 వ అత్యధిక వికెట్లు (220)', '16 వ ఇన్నింగ్స్ లో అత్యధిక వికెట్లు (5)' '10 వ కెరీర్ లో అత్యధిక క్యాచ్లు (182)', '11 వ ఇన్నింగ్స్ లో అత్యధిక క్యాచ్లు"&amp;" (5)', '9 వ కెరీర్ (38) అత్యంత స్టంపింగ్లు']")</f>
        <v>[ '33 వ అత్యంత లేకుండా కెరీర్లో పరుగులు వంద (1709)', 'వికెట్ (25) ఉంచింది చేసిన 12 వ కెప్టెన్ల', 'కెరీర్లో 9 వ అత్యధిక వికెట్లు (220)', '16 వ ఇన్నింగ్స్ లో అత్యధిక వికెట్లు (5)' '10 వ కెరీర్ లో అత్యధిక క్యాచ్లు (182)', '11 వ ఇన్నింగ్స్ లో అత్యధిక క్యాచ్లు (5)', '9 వ కెరీర్ (38) అత్యంత స్టంపింగ్లు']</v>
      </c>
      <c r="G6766" s="2"/>
      <c r="H6766" s="2" t="str">
        <f>IFERROR(__xludf.DUMMYFUNCTION("IF(G6766&lt;&gt;"""", GOOGLETRANSLATE(G6766, ""en"", ""te""),"""")"),"")</f>
        <v/>
      </c>
      <c r="I6766" s="3"/>
    </row>
    <row r="6767" customHeight="1" spans="1:9">
      <c r="A6767" s="2"/>
      <c r="B6767" s="2" t="str">
        <f>IFERROR(__xludf.DUMMYFUNCTION("IF(A6767&lt;&gt;"""", GOOGLETRANSLATE(A6767, ""en"", ""te""),"""")"),"")</f>
        <v/>
      </c>
      <c r="C6767" s="2"/>
      <c r="D6767" s="2" t="str">
        <f>IFERROR(__xludf.DUMMYFUNCTION("IF(C6767&lt;&gt;"""", GOOGLETRANSLATE(C6767, ""en"", ""te""),"""")"),"")</f>
        <v/>
      </c>
      <c r="E6767" s="2"/>
      <c r="F6767" s="2" t="str">
        <f>IFERROR(__xludf.DUMMYFUNCTION("IF(E6767&lt;&gt;"""", GOOGLETRANSLATE(E6767, ""en"", ""te""),"""")"),"")</f>
        <v/>
      </c>
      <c r="G6767" s="2"/>
      <c r="H6767" s="2" t="str">
        <f>IFERROR(__xludf.DUMMYFUNCTION("IF(G6767&lt;&gt;"""", GOOGLETRANSLATE(G6767, ""en"", ""te""),"""")"),"")</f>
        <v/>
      </c>
      <c r="I6767" s="3"/>
    </row>
    <row r="6768" customHeight="1" spans="1:9">
      <c r="A6768" s="2"/>
      <c r="B6768" s="2" t="str">
        <f>IFERROR(__xludf.DUMMYFUNCTION("IF(A6768&lt;&gt;"""", GOOGLETRANSLATE(A6768, ""en"", ""te""),"""")"),"")</f>
        <v/>
      </c>
      <c r="C6768" s="2"/>
      <c r="D6768" s="2" t="str">
        <f>IFERROR(__xludf.DUMMYFUNCTION("IF(C6768&lt;&gt;"""", GOOGLETRANSLATE(C6768, ""en"", ""te""),"""")"),"")</f>
        <v/>
      </c>
      <c r="E6768" s="2"/>
      <c r="F6768" s="2" t="str">
        <f>IFERROR(__xludf.DUMMYFUNCTION("IF(E6768&lt;&gt;"""", GOOGLETRANSLATE(E6768, ""en"", ""te""),"""")"),"")</f>
        <v/>
      </c>
      <c r="G6768" s="2"/>
      <c r="H6768" s="2" t="str">
        <f>IFERROR(__xludf.DUMMYFUNCTION("IF(G6768&lt;&gt;"""", GOOGLETRANSLATE(G6768, ""en"", ""te""),"""")"),"")</f>
        <v/>
      </c>
      <c r="I6768" s="3"/>
    </row>
    <row r="6769" customHeight="1" spans="1:9">
      <c r="A6769" s="2"/>
      <c r="B6769" s="2" t="str">
        <f>IFERROR(__xludf.DUMMYFUNCTION("IF(A6769&lt;&gt;"""", GOOGLETRANSLATE(A6769, ""en"", ""te""),"""")"),"")</f>
        <v/>
      </c>
      <c r="C6769" s="2"/>
      <c r="D6769" s="2" t="str">
        <f>IFERROR(__xludf.DUMMYFUNCTION("IF(C6769&lt;&gt;"""", GOOGLETRANSLATE(C6769, ""en"", ""te""),"""")"),"")</f>
        <v/>
      </c>
      <c r="E6769" s="2" t="s">
        <v>4035</v>
      </c>
      <c r="F6769" s="2" t="str">
        <f>IFERROR(__xludf.DUMMYFUNCTION("IF(E6769&lt;&gt;"""", GOOGLETRANSLATE(E6769, ""en"", ""te""),"""")"),"[ '42 వ ఉత్తమ కెరీర్ ఆర్థిక రేటు (3.91)', '11 వ చెత్త కెరీర్లో సమ్మె రేటు (70.7)']")</f>
        <v>[ '42 వ ఉత్తమ కెరీర్ ఆర్థిక రేటు (3.91)', '11 వ చెత్త కెరీర్లో సమ్మె రేటు (70.7)']</v>
      </c>
      <c r="G6769" s="2"/>
      <c r="H6769" s="2" t="str">
        <f>IFERROR(__xludf.DUMMYFUNCTION("IF(G6769&lt;&gt;"""", GOOGLETRANSLATE(G6769, ""en"", ""te""),"""")"),"")</f>
        <v/>
      </c>
      <c r="I6769" s="3"/>
    </row>
    <row r="6770" customHeight="1" spans="1:9">
      <c r="A6770" s="2"/>
      <c r="B6770" s="2" t="str">
        <f>IFERROR(__xludf.DUMMYFUNCTION("IF(A6770&lt;&gt;"""", GOOGLETRANSLATE(A6770, ""en"", ""te""),"""")"),"")</f>
        <v/>
      </c>
      <c r="C6770" s="2"/>
      <c r="D6770" s="2" t="str">
        <f>IFERROR(__xludf.DUMMYFUNCTION("IF(C6770&lt;&gt;"""", GOOGLETRANSLATE(C6770, ""en"", ""te""),"""")"),"")</f>
        <v/>
      </c>
      <c r="E6770" s="2"/>
      <c r="F6770" s="2" t="str">
        <f>IFERROR(__xludf.DUMMYFUNCTION("IF(E6770&lt;&gt;"""", GOOGLETRANSLATE(E6770, ""en"", ""te""),"""")"),"")</f>
        <v/>
      </c>
      <c r="G6770" s="2"/>
      <c r="H6770" s="2" t="str">
        <f>IFERROR(__xludf.DUMMYFUNCTION("IF(G6770&lt;&gt;"""", GOOGLETRANSLATE(G6770, ""en"", ""te""),"""")"),"")</f>
        <v/>
      </c>
      <c r="I6770" s="3"/>
    </row>
    <row r="6771" customHeight="1" spans="1:9">
      <c r="A6771" s="2"/>
      <c r="B6771" s="2" t="str">
        <f>IFERROR(__xludf.DUMMYFUNCTION("IF(A6771&lt;&gt;"""", GOOGLETRANSLATE(A6771, ""en"", ""te""),"""")"),"")</f>
        <v/>
      </c>
      <c r="C6771" s="2"/>
      <c r="D6771" s="2" t="str">
        <f>IFERROR(__xludf.DUMMYFUNCTION("IF(C6771&lt;&gt;"""", GOOGLETRANSLATE(C6771, ""en"", ""te""),"""")"),"")</f>
        <v/>
      </c>
      <c r="E6771" s="2"/>
      <c r="F6771" s="2" t="str">
        <f>IFERROR(__xludf.DUMMYFUNCTION("IF(E6771&lt;&gt;"""", GOOGLETRANSLATE(E6771, ""en"", ""te""),"""")"),"")</f>
        <v/>
      </c>
      <c r="G6771" s="2"/>
      <c r="H6771" s="2" t="str">
        <f>IFERROR(__xludf.DUMMYFUNCTION("IF(G6771&lt;&gt;"""", GOOGLETRANSLATE(G6771, ""en"", ""te""),"""")"),"")</f>
        <v/>
      </c>
      <c r="I6771" s="3"/>
    </row>
    <row r="6772" customHeight="1" spans="1:9">
      <c r="A6772" s="2"/>
      <c r="B6772" s="2" t="str">
        <f>IFERROR(__xludf.DUMMYFUNCTION("IF(A6772&lt;&gt;"""", GOOGLETRANSLATE(A6772, ""en"", ""te""),"""")"),"")</f>
        <v/>
      </c>
      <c r="C6772" s="2"/>
      <c r="D6772" s="2" t="str">
        <f>IFERROR(__xludf.DUMMYFUNCTION("IF(C6772&lt;&gt;"""", GOOGLETRANSLATE(C6772, ""en"", ""te""),"""")"),"")</f>
        <v/>
      </c>
      <c r="E6772" s="2"/>
      <c r="F6772" s="2" t="str">
        <f>IFERROR(__xludf.DUMMYFUNCTION("IF(E6772&lt;&gt;"""", GOOGLETRANSLATE(E6772, ""en"", ""te""),"""")"),"")</f>
        <v/>
      </c>
      <c r="G6772" s="2"/>
      <c r="H6772" s="2" t="str">
        <f>IFERROR(__xludf.DUMMYFUNCTION("IF(G6772&lt;&gt;"""", GOOGLETRANSLATE(G6772, ""en"", ""te""),"""")"),"")</f>
        <v/>
      </c>
      <c r="I6772" s="3"/>
    </row>
    <row r="6773" customHeight="1" spans="1:9">
      <c r="A6773" s="2"/>
      <c r="B6773" s="2" t="str">
        <f>IFERROR(__xludf.DUMMYFUNCTION("IF(A6773&lt;&gt;"""", GOOGLETRANSLATE(A6773, ""en"", ""te""),"""")"),"")</f>
        <v/>
      </c>
      <c r="C6773" s="2"/>
      <c r="D6773" s="2" t="str">
        <f>IFERROR(__xludf.DUMMYFUNCTION("IF(C6773&lt;&gt;"""", GOOGLETRANSLATE(C6773, ""en"", ""te""),"""")"),"")</f>
        <v/>
      </c>
      <c r="E6773" s="2"/>
      <c r="F6773" s="2" t="str">
        <f>IFERROR(__xludf.DUMMYFUNCTION("IF(E6773&lt;&gt;"""", GOOGLETRANSLATE(E6773, ""en"", ""te""),"""")"),"")</f>
        <v/>
      </c>
      <c r="G6773" s="2"/>
      <c r="H6773" s="2" t="str">
        <f>IFERROR(__xludf.DUMMYFUNCTION("IF(G6773&lt;&gt;"""", GOOGLETRANSLATE(G6773, ""en"", ""te""),"""")"),"")</f>
        <v/>
      </c>
      <c r="I6773" s="3"/>
    </row>
    <row r="6774" customHeight="1" spans="1:9">
      <c r="A6774" s="2"/>
      <c r="B6774" s="2" t="str">
        <f>IFERROR(__xludf.DUMMYFUNCTION("IF(A6774&lt;&gt;"""", GOOGLETRANSLATE(A6774, ""en"", ""te""),"""")"),"")</f>
        <v/>
      </c>
      <c r="C6774" s="2"/>
      <c r="D6774" s="2" t="str">
        <f>IFERROR(__xludf.DUMMYFUNCTION("IF(C6774&lt;&gt;"""", GOOGLETRANSLATE(C6774, ""en"", ""te""),"""")"),"")</f>
        <v/>
      </c>
      <c r="E6774" s="2"/>
      <c r="F6774" s="2" t="str">
        <f>IFERROR(__xludf.DUMMYFUNCTION("IF(E6774&lt;&gt;"""", GOOGLETRANSLATE(E6774, ""en"", ""te""),"""")"),"")</f>
        <v/>
      </c>
      <c r="G6774" s="2"/>
      <c r="H6774" s="2" t="str">
        <f>IFERROR(__xludf.DUMMYFUNCTION("IF(G6774&lt;&gt;"""", GOOGLETRANSLATE(G6774, ""en"", ""te""),"""")"),"")</f>
        <v/>
      </c>
      <c r="I6774" s="3"/>
    </row>
    <row r="6775" customHeight="1" spans="1:9">
      <c r="A6775" s="2"/>
      <c r="B6775" s="2" t="str">
        <f>IFERROR(__xludf.DUMMYFUNCTION("IF(A6775&lt;&gt;"""", GOOGLETRANSLATE(A6775, ""en"", ""te""),"""")"),"")</f>
        <v/>
      </c>
      <c r="C6775" s="2"/>
      <c r="D6775" s="2" t="str">
        <f>IFERROR(__xludf.DUMMYFUNCTION("IF(C6775&lt;&gt;"""", GOOGLETRANSLATE(C6775, ""en"", ""te""),"""")"),"")</f>
        <v/>
      </c>
      <c r="E6775" s="2"/>
      <c r="F6775" s="2" t="str">
        <f>IFERROR(__xludf.DUMMYFUNCTION("IF(E6775&lt;&gt;"""", GOOGLETRANSLATE(E6775, ""en"", ""te""),"""")"),"")</f>
        <v/>
      </c>
      <c r="G6775" s="2"/>
      <c r="H6775" s="2" t="str">
        <f>IFERROR(__xludf.DUMMYFUNCTION("IF(G6775&lt;&gt;"""", GOOGLETRANSLATE(G6775, ""en"", ""te""),"""")"),"")</f>
        <v/>
      </c>
      <c r="I6775" s="3"/>
    </row>
    <row r="6776" customHeight="1" spans="1:9">
      <c r="A6776" s="2"/>
      <c r="B6776" s="2" t="str">
        <f>IFERROR(__xludf.DUMMYFUNCTION("IF(A6776&lt;&gt;"""", GOOGLETRANSLATE(A6776, ""en"", ""te""),"""")"),"")</f>
        <v/>
      </c>
      <c r="C6776" s="2"/>
      <c r="D6776" s="2" t="str">
        <f>IFERROR(__xludf.DUMMYFUNCTION("IF(C6776&lt;&gt;"""", GOOGLETRANSLATE(C6776, ""en"", ""te""),"""")"),"")</f>
        <v/>
      </c>
      <c r="E6776" s="2"/>
      <c r="F6776" s="2" t="str">
        <f>IFERROR(__xludf.DUMMYFUNCTION("IF(E6776&lt;&gt;"""", GOOGLETRANSLATE(E6776, ""en"", ""te""),"""")"),"")</f>
        <v/>
      </c>
      <c r="G6776" s="2"/>
      <c r="H6776" s="2" t="str">
        <f>IFERROR(__xludf.DUMMYFUNCTION("IF(G6776&lt;&gt;"""", GOOGLETRANSLATE(G6776, ""en"", ""te""),"""")"),"")</f>
        <v/>
      </c>
      <c r="I6776" s="3"/>
    </row>
    <row r="6777" customHeight="1" spans="1:9">
      <c r="A6777" s="2"/>
      <c r="B6777" s="2" t="str">
        <f>IFERROR(__xludf.DUMMYFUNCTION("IF(A6777&lt;&gt;"""", GOOGLETRANSLATE(A6777, ""en"", ""te""),"""")"),"")</f>
        <v/>
      </c>
      <c r="C6777" s="2"/>
      <c r="D6777" s="2" t="str">
        <f>IFERROR(__xludf.DUMMYFUNCTION("IF(C6777&lt;&gt;"""", GOOGLETRANSLATE(C6777, ""en"", ""te""),"""")"),"")</f>
        <v/>
      </c>
      <c r="E6777" s="2"/>
      <c r="F6777" s="2" t="str">
        <f>IFERROR(__xludf.DUMMYFUNCTION("IF(E6777&lt;&gt;"""", GOOGLETRANSLATE(E6777, ""en"", ""te""),"""")"),"")</f>
        <v/>
      </c>
      <c r="G6777" s="2"/>
      <c r="H6777" s="2" t="str">
        <f>IFERROR(__xludf.DUMMYFUNCTION("IF(G6777&lt;&gt;"""", GOOGLETRANSLATE(G6777, ""en"", ""te""),"""")"),"")</f>
        <v/>
      </c>
      <c r="I6777" s="3"/>
    </row>
    <row r="6778" customHeight="1" spans="1:9">
      <c r="A6778" s="2"/>
      <c r="B6778" s="2" t="str">
        <f>IFERROR(__xludf.DUMMYFUNCTION("IF(A6778&lt;&gt;"""", GOOGLETRANSLATE(A6778, ""en"", ""te""),"""")"),"")</f>
        <v/>
      </c>
      <c r="C6778" s="2"/>
      <c r="D6778" s="2" t="str">
        <f>IFERROR(__xludf.DUMMYFUNCTION("IF(C6778&lt;&gt;"""", GOOGLETRANSLATE(C6778, ""en"", ""te""),"""")"),"")</f>
        <v/>
      </c>
      <c r="E6778" s="2"/>
      <c r="F6778" s="2" t="str">
        <f>IFERROR(__xludf.DUMMYFUNCTION("IF(E6778&lt;&gt;"""", GOOGLETRANSLATE(E6778, ""en"", ""te""),"""")"),"")</f>
        <v/>
      </c>
      <c r="G6778" s="2"/>
      <c r="H6778" s="2" t="str">
        <f>IFERROR(__xludf.DUMMYFUNCTION("IF(G6778&lt;&gt;"""", GOOGLETRANSLATE(G6778, ""en"", ""te""),"""")"),"")</f>
        <v/>
      </c>
      <c r="I6778" s="3"/>
    </row>
    <row r="6779" customHeight="1" spans="1:9">
      <c r="A6779" s="2"/>
      <c r="B6779" s="2" t="str">
        <f>IFERROR(__xludf.DUMMYFUNCTION("IF(A6779&lt;&gt;"""", GOOGLETRANSLATE(A6779, ""en"", ""te""),"""")"),"")</f>
        <v/>
      </c>
      <c r="C6779" s="2"/>
      <c r="D6779" s="2" t="str">
        <f>IFERROR(__xludf.DUMMYFUNCTION("IF(C6779&lt;&gt;"""", GOOGLETRANSLATE(C6779, ""en"", ""te""),"""")"),"")</f>
        <v/>
      </c>
      <c r="E6779" s="2"/>
      <c r="F6779" s="2" t="str">
        <f>IFERROR(__xludf.DUMMYFUNCTION("IF(E6779&lt;&gt;"""", GOOGLETRANSLATE(E6779, ""en"", ""te""),"""")"),"")</f>
        <v/>
      </c>
      <c r="G6779" s="2"/>
      <c r="H6779" s="2" t="str">
        <f>IFERROR(__xludf.DUMMYFUNCTION("IF(G6779&lt;&gt;"""", GOOGLETRANSLATE(G6779, ""en"", ""te""),"""")"),"")</f>
        <v/>
      </c>
      <c r="I6779" s="3"/>
    </row>
    <row r="6780" customHeight="1" spans="1:9">
      <c r="A6780" s="2"/>
      <c r="B6780" s="2" t="str">
        <f>IFERROR(__xludf.DUMMYFUNCTION("IF(A6780&lt;&gt;"""", GOOGLETRANSLATE(A6780, ""en"", ""te""),"""")"),"")</f>
        <v/>
      </c>
      <c r="C6780" s="2"/>
      <c r="D6780" s="2" t="str">
        <f>IFERROR(__xludf.DUMMYFUNCTION("IF(C6780&lt;&gt;"""", GOOGLETRANSLATE(C6780, ""en"", ""te""),"""")"),"")</f>
        <v/>
      </c>
      <c r="E6780" s="2"/>
      <c r="F6780" s="2" t="str">
        <f>IFERROR(__xludf.DUMMYFUNCTION("IF(E6780&lt;&gt;"""", GOOGLETRANSLATE(E6780, ""en"", ""te""),"""")"),"")</f>
        <v/>
      </c>
      <c r="G6780" s="2"/>
      <c r="H6780" s="2" t="str">
        <f>IFERROR(__xludf.DUMMYFUNCTION("IF(G6780&lt;&gt;"""", GOOGLETRANSLATE(G6780, ""en"", ""te""),"""")"),"")</f>
        <v/>
      </c>
      <c r="I6780" s="3"/>
    </row>
    <row r="6781" customHeight="1" spans="1:9">
      <c r="A6781" s="2"/>
      <c r="B6781" s="2" t="str">
        <f>IFERROR(__xludf.DUMMYFUNCTION("IF(A6781&lt;&gt;"""", GOOGLETRANSLATE(A6781, ""en"", ""te""),"""")"),"")</f>
        <v/>
      </c>
      <c r="C6781" s="2"/>
      <c r="D6781" s="2" t="str">
        <f>IFERROR(__xludf.DUMMYFUNCTION("IF(C6781&lt;&gt;"""", GOOGLETRANSLATE(C6781, ""en"", ""te""),"""")"),"")</f>
        <v/>
      </c>
      <c r="E6781" s="2"/>
      <c r="F6781" s="2" t="str">
        <f>IFERROR(__xludf.DUMMYFUNCTION("IF(E6781&lt;&gt;"""", GOOGLETRANSLATE(E6781, ""en"", ""te""),"""")"),"")</f>
        <v/>
      </c>
      <c r="G6781" s="2"/>
      <c r="H6781" s="2" t="str">
        <f>IFERROR(__xludf.DUMMYFUNCTION("IF(G6781&lt;&gt;"""", GOOGLETRANSLATE(G6781, ""en"", ""te""),"""")"),"")</f>
        <v/>
      </c>
      <c r="I6781" s="3"/>
    </row>
    <row r="6782" customHeight="1" spans="1:9">
      <c r="A6782" s="2"/>
      <c r="B6782" s="2" t="str">
        <f>IFERROR(__xludf.DUMMYFUNCTION("IF(A6782&lt;&gt;"""", GOOGLETRANSLATE(A6782, ""en"", ""te""),"""")"),"")</f>
        <v/>
      </c>
      <c r="C6782" s="2"/>
      <c r="D6782" s="2" t="str">
        <f>IFERROR(__xludf.DUMMYFUNCTION("IF(C6782&lt;&gt;"""", GOOGLETRANSLATE(C6782, ""en"", ""te""),"""")"),"")</f>
        <v/>
      </c>
      <c r="E6782" s="2"/>
      <c r="F6782" s="2" t="str">
        <f>IFERROR(__xludf.DUMMYFUNCTION("IF(E6782&lt;&gt;"""", GOOGLETRANSLATE(E6782, ""en"", ""te""),"""")"),"")</f>
        <v/>
      </c>
      <c r="G6782" s="2"/>
      <c r="H6782" s="2" t="str">
        <f>IFERROR(__xludf.DUMMYFUNCTION("IF(G6782&lt;&gt;"""", GOOGLETRANSLATE(G6782, ""en"", ""te""),"""")"),"")</f>
        <v/>
      </c>
      <c r="I6782" s="3"/>
    </row>
    <row r="6783" customHeight="1" spans="1:9">
      <c r="A6783" s="2"/>
      <c r="B6783" s="2" t="str">
        <f>IFERROR(__xludf.DUMMYFUNCTION("IF(A6783&lt;&gt;"""", GOOGLETRANSLATE(A6783, ""en"", ""te""),"""")"),"")</f>
        <v/>
      </c>
      <c r="C6783" s="2"/>
      <c r="D6783" s="2" t="str">
        <f>IFERROR(__xludf.DUMMYFUNCTION("IF(C6783&lt;&gt;"""", GOOGLETRANSLATE(C6783, ""en"", ""te""),"""")"),"")</f>
        <v/>
      </c>
      <c r="E6783" s="2"/>
      <c r="F6783" s="2" t="str">
        <f>IFERROR(__xludf.DUMMYFUNCTION("IF(E6783&lt;&gt;"""", GOOGLETRANSLATE(E6783, ""en"", ""te""),"""")"),"")</f>
        <v/>
      </c>
      <c r="G6783" s="2"/>
      <c r="H6783" s="2" t="str">
        <f>IFERROR(__xludf.DUMMYFUNCTION("IF(G6783&lt;&gt;"""", GOOGLETRANSLATE(G6783, ""en"", ""te""),"""")"),"")</f>
        <v/>
      </c>
      <c r="I6783" s="3"/>
    </row>
    <row r="6784" customHeight="1" spans="1:9">
      <c r="A6784" s="2"/>
      <c r="B6784" s="2" t="str">
        <f>IFERROR(__xludf.DUMMYFUNCTION("IF(A6784&lt;&gt;"""", GOOGLETRANSLATE(A6784, ""en"", ""te""),"""")"),"")</f>
        <v/>
      </c>
      <c r="C6784" s="2"/>
      <c r="D6784" s="2" t="str">
        <f>IFERROR(__xludf.DUMMYFUNCTION("IF(C6784&lt;&gt;"""", GOOGLETRANSLATE(C6784, ""en"", ""te""),"""")"),"")</f>
        <v/>
      </c>
      <c r="E6784" s="2"/>
      <c r="F6784" s="2" t="str">
        <f>IFERROR(__xludf.DUMMYFUNCTION("IF(E6784&lt;&gt;"""", GOOGLETRANSLATE(E6784, ""en"", ""te""),"""")"),"")</f>
        <v/>
      </c>
      <c r="G6784" s="2"/>
      <c r="H6784" s="2" t="str">
        <f>IFERROR(__xludf.DUMMYFUNCTION("IF(G6784&lt;&gt;"""", GOOGLETRANSLATE(G6784, ""en"", ""te""),"""")"),"")</f>
        <v/>
      </c>
      <c r="I6784" s="3"/>
    </row>
    <row r="6785" customHeight="1" spans="1:9">
      <c r="A6785" s="2"/>
      <c r="B6785" s="2" t="str">
        <f>IFERROR(__xludf.DUMMYFUNCTION("IF(A6785&lt;&gt;"""", GOOGLETRANSLATE(A6785, ""en"", ""te""),"""")"),"")</f>
        <v/>
      </c>
      <c r="C6785" s="2"/>
      <c r="D6785" s="2" t="str">
        <f>IFERROR(__xludf.DUMMYFUNCTION("IF(C6785&lt;&gt;"""", GOOGLETRANSLATE(C6785, ""en"", ""te""),"""")"),"")</f>
        <v/>
      </c>
      <c r="E6785" s="2"/>
      <c r="F6785" s="2" t="str">
        <f>IFERROR(__xludf.DUMMYFUNCTION("IF(E6785&lt;&gt;"""", GOOGLETRANSLATE(E6785, ""en"", ""te""),"""")"),"")</f>
        <v/>
      </c>
      <c r="G6785" s="2"/>
      <c r="H6785" s="2" t="str">
        <f>IFERROR(__xludf.DUMMYFUNCTION("IF(G6785&lt;&gt;"""", GOOGLETRANSLATE(G6785, ""en"", ""te""),"""")"),"")</f>
        <v/>
      </c>
      <c r="I6785" s="3"/>
    </row>
    <row r="6786" customHeight="1" spans="1:9">
      <c r="A6786" s="2"/>
      <c r="B6786" s="2" t="str">
        <f>IFERROR(__xludf.DUMMYFUNCTION("IF(A6786&lt;&gt;"""", GOOGLETRANSLATE(A6786, ""en"", ""te""),"""")"),"")</f>
        <v/>
      </c>
      <c r="C6786" s="2" t="s">
        <v>4036</v>
      </c>
      <c r="D6786" s="2" t="str">
        <f>IFERROR(__xludf.DUMMYFUNCTION("IF(C6786&lt;&gt;"""", GOOGLETRANSLATE(C6786, ""en"", ""te""),"""")"),"[ '37 వ పిన్న ఆటగాడు వంద (20y 163d) స్కోర్', 'మొదటి డక్ ముందు 42 వ అత్యంత ఇన్నింగ్స్ (32)', '13 వ కెరీర్ లో అతి తక్కువ బాతులు (39)', '20 వ ఒక ఇన్నింగ్స్లో పరుగుల అత్యధిక శాతం (59.64 ) ',' 1000 పరుగులు వేగంగా 26 (20) ']")</f>
        <v>[ '37 వ పిన్న ఆటగాడు వంద (20y 163d) స్కోర్', 'మొదటి డక్ ముందు 42 వ అత్యంత ఇన్నింగ్స్ (32)', '13 వ కెరీర్ లో అతి తక్కువ బాతులు (39)', '20 వ ఒక ఇన్నింగ్స్లో పరుగుల అత్యధిక శాతం (59.64 ) ',' 1000 పరుగులు వేగంగా 26 (20) ']</v>
      </c>
      <c r="E6786" s="2"/>
      <c r="F6786" s="2" t="str">
        <f>IFERROR(__xludf.DUMMYFUNCTION("IF(E6786&lt;&gt;"""", GOOGLETRANSLATE(E6786, ""en"", ""te""),"""")"),"")</f>
        <v/>
      </c>
      <c r="G6786" s="2"/>
      <c r="H6786" s="2" t="str">
        <f>IFERROR(__xludf.DUMMYFUNCTION("IF(G6786&lt;&gt;"""", GOOGLETRANSLATE(G6786, ""en"", ""te""),"""")"),"")</f>
        <v/>
      </c>
      <c r="I6786" s="3"/>
    </row>
    <row r="6787" customHeight="1" spans="1:9">
      <c r="A6787" s="2"/>
      <c r="B6787" s="2" t="str">
        <f>IFERROR(__xludf.DUMMYFUNCTION("IF(A6787&lt;&gt;"""", GOOGLETRANSLATE(A6787, ""en"", ""te""),"""")"),"")</f>
        <v/>
      </c>
      <c r="C6787" s="2"/>
      <c r="D6787" s="2" t="str">
        <f>IFERROR(__xludf.DUMMYFUNCTION("IF(C6787&lt;&gt;"""", GOOGLETRANSLATE(C6787, ""en"", ""te""),"""")"),"")</f>
        <v/>
      </c>
      <c r="E6787" s="2"/>
      <c r="F6787" s="2" t="str">
        <f>IFERROR(__xludf.DUMMYFUNCTION("IF(E6787&lt;&gt;"""", GOOGLETRANSLATE(E6787, ""en"", ""te""),"""")"),"")</f>
        <v/>
      </c>
      <c r="G6787" s="2"/>
      <c r="H6787" s="2" t="str">
        <f>IFERROR(__xludf.DUMMYFUNCTION("IF(G6787&lt;&gt;"""", GOOGLETRANSLATE(G6787, ""en"", ""te""),"""")"),"")</f>
        <v/>
      </c>
      <c r="I6787" s="3"/>
    </row>
    <row r="6788" customHeight="1" spans="1:9">
      <c r="A6788" s="2"/>
      <c r="B6788" s="2" t="str">
        <f>IFERROR(__xludf.DUMMYFUNCTION("IF(A6788&lt;&gt;"""", GOOGLETRANSLATE(A6788, ""en"", ""te""),"""")"),"")</f>
        <v/>
      </c>
      <c r="C6788" s="2" t="s">
        <v>4037</v>
      </c>
      <c r="D6788" s="2" t="str">
        <f>IFERROR(__xludf.DUMMYFUNCTION("IF(C6788&lt;&gt;"""", GOOGLETRANSLATE(C6788, ""en"", ""te""),"""")"),"[ '26 పిన్న ఆటగాడు పది వికెట్లు లో ఒక మ్యాచ్ తీసుకోవాలని (22y 101d)']")</f>
        <v>[ '26 పిన్న ఆటగాడు పది వికెట్లు లో ఒక మ్యాచ్ తీసుకోవాలని (22y 101d)']</v>
      </c>
      <c r="E6788" s="2"/>
      <c r="F6788" s="2" t="str">
        <f>IFERROR(__xludf.DUMMYFUNCTION("IF(E6788&lt;&gt;"""", GOOGLETRANSLATE(E6788, ""en"", ""te""),"""")"),"")</f>
        <v/>
      </c>
      <c r="G6788" s="2"/>
      <c r="H6788" s="2" t="str">
        <f>IFERROR(__xludf.DUMMYFUNCTION("IF(G6788&lt;&gt;"""", GOOGLETRANSLATE(G6788, ""en"", ""te""),"""")"),"")</f>
        <v/>
      </c>
      <c r="I6788" s="3"/>
    </row>
    <row r="6789" customHeight="1" spans="1:9">
      <c r="A6789" s="2"/>
      <c r="B6789" s="2" t="str">
        <f>IFERROR(__xludf.DUMMYFUNCTION("IF(A6789&lt;&gt;"""", GOOGLETRANSLATE(A6789, ""en"", ""te""),"""")"),"")</f>
        <v/>
      </c>
      <c r="C6789" s="2"/>
      <c r="D6789" s="2" t="str">
        <f>IFERROR(__xludf.DUMMYFUNCTION("IF(C6789&lt;&gt;"""", GOOGLETRANSLATE(C6789, ""en"", ""te""),"""")"),"")</f>
        <v/>
      </c>
      <c r="E6789" s="2"/>
      <c r="F6789" s="2" t="str">
        <f>IFERROR(__xludf.DUMMYFUNCTION("IF(E6789&lt;&gt;"""", GOOGLETRANSLATE(E6789, ""en"", ""te""),"""")"),"")</f>
        <v/>
      </c>
      <c r="G6789" s="2"/>
      <c r="H6789" s="2" t="str">
        <f>IFERROR(__xludf.DUMMYFUNCTION("IF(G6789&lt;&gt;"""", GOOGLETRANSLATE(G6789, ""en"", ""te""),"""")"),"")</f>
        <v/>
      </c>
      <c r="I6789" s="3"/>
    </row>
    <row r="6790" customHeight="1" spans="1:9">
      <c r="A6790" s="2"/>
      <c r="B6790" s="2" t="str">
        <f>IFERROR(__xludf.DUMMYFUNCTION("IF(A6790&lt;&gt;"""", GOOGLETRANSLATE(A6790, ""en"", ""te""),"""")"),"")</f>
        <v/>
      </c>
      <c r="C6790" s="2"/>
      <c r="D6790" s="2" t="str">
        <f>IFERROR(__xludf.DUMMYFUNCTION("IF(C6790&lt;&gt;"""", GOOGLETRANSLATE(C6790, ""en"", ""te""),"""")"),"")</f>
        <v/>
      </c>
      <c r="E6790" s="2"/>
      <c r="F6790" s="2" t="str">
        <f>IFERROR(__xludf.DUMMYFUNCTION("IF(E6790&lt;&gt;"""", GOOGLETRANSLATE(E6790, ""en"", ""te""),"""")"),"")</f>
        <v/>
      </c>
      <c r="G6790" s="2"/>
      <c r="H6790" s="2" t="str">
        <f>IFERROR(__xludf.DUMMYFUNCTION("IF(G6790&lt;&gt;"""", GOOGLETRANSLATE(G6790, ""en"", ""te""),"""")"),"")</f>
        <v/>
      </c>
      <c r="I6790" s="3"/>
    </row>
    <row r="6791" customHeight="1" spans="1:9">
      <c r="A6791" s="2"/>
      <c r="B6791" s="2" t="str">
        <f>IFERROR(__xludf.DUMMYFUNCTION("IF(A6791&lt;&gt;"""", GOOGLETRANSLATE(A6791, ""en"", ""te""),"""")"),"")</f>
        <v/>
      </c>
      <c r="C6791" s="2"/>
      <c r="D6791" s="2" t="str">
        <f>IFERROR(__xludf.DUMMYFUNCTION("IF(C6791&lt;&gt;"""", GOOGLETRANSLATE(C6791, ""en"", ""te""),"""")"),"")</f>
        <v/>
      </c>
      <c r="E6791" s="2"/>
      <c r="F6791" s="2" t="str">
        <f>IFERROR(__xludf.DUMMYFUNCTION("IF(E6791&lt;&gt;"""", GOOGLETRANSLATE(E6791, ""en"", ""te""),"""")"),"")</f>
        <v/>
      </c>
      <c r="G6791" s="2"/>
      <c r="H6791" s="2" t="str">
        <f>IFERROR(__xludf.DUMMYFUNCTION("IF(G6791&lt;&gt;"""", GOOGLETRANSLATE(G6791, ""en"", ""te""),"""")"),"")</f>
        <v/>
      </c>
      <c r="I6791" s="3"/>
    </row>
    <row r="6792" customHeight="1" spans="1:9">
      <c r="A6792" s="2"/>
      <c r="B6792" s="2" t="str">
        <f>IFERROR(__xludf.DUMMYFUNCTION("IF(A6792&lt;&gt;"""", GOOGLETRANSLATE(A6792, ""en"", ""te""),"""")"),"")</f>
        <v/>
      </c>
      <c r="C6792" s="2"/>
      <c r="D6792" s="2" t="str">
        <f>IFERROR(__xludf.DUMMYFUNCTION("IF(C6792&lt;&gt;"""", GOOGLETRANSLATE(C6792, ""en"", ""te""),"""")"),"")</f>
        <v/>
      </c>
      <c r="E6792" s="2"/>
      <c r="F6792" s="2" t="str">
        <f>IFERROR(__xludf.DUMMYFUNCTION("IF(E6792&lt;&gt;"""", GOOGLETRANSLATE(E6792, ""en"", ""te""),"""")"),"")</f>
        <v/>
      </c>
      <c r="G6792" s="2"/>
      <c r="H6792" s="2" t="str">
        <f>IFERROR(__xludf.DUMMYFUNCTION("IF(G6792&lt;&gt;"""", GOOGLETRANSLATE(G6792, ""en"", ""te""),"""")"),"")</f>
        <v/>
      </c>
      <c r="I6792" s="3"/>
    </row>
    <row r="6793" customHeight="1" spans="1:9">
      <c r="A6793" s="2"/>
      <c r="B6793" s="2" t="str">
        <f>IFERROR(__xludf.DUMMYFUNCTION("IF(A6793&lt;&gt;"""", GOOGLETRANSLATE(A6793, ""en"", ""te""),"""")"),"")</f>
        <v/>
      </c>
      <c r="C6793" s="2"/>
      <c r="D6793" s="2" t="str">
        <f>IFERROR(__xludf.DUMMYFUNCTION("IF(C6793&lt;&gt;"""", GOOGLETRANSLATE(C6793, ""en"", ""te""),"""")"),"")</f>
        <v/>
      </c>
      <c r="E6793" s="2"/>
      <c r="F6793" s="2" t="str">
        <f>IFERROR(__xludf.DUMMYFUNCTION("IF(E6793&lt;&gt;"""", GOOGLETRANSLATE(E6793, ""en"", ""te""),"""")"),"")</f>
        <v/>
      </c>
      <c r="G6793" s="2"/>
      <c r="H6793" s="2" t="str">
        <f>IFERROR(__xludf.DUMMYFUNCTION("IF(G6793&lt;&gt;"""", GOOGLETRANSLATE(G6793, ""en"", ""te""),"""")"),"")</f>
        <v/>
      </c>
      <c r="I6793" s="3"/>
    </row>
    <row r="6794" customHeight="1" spans="1:9">
      <c r="A6794" s="2"/>
      <c r="B6794" s="2" t="str">
        <f>IFERROR(__xludf.DUMMYFUNCTION("IF(A6794&lt;&gt;"""", GOOGLETRANSLATE(A6794, ""en"", ""te""),"""")"),"")</f>
        <v/>
      </c>
      <c r="C6794" s="2"/>
      <c r="D6794" s="2" t="str">
        <f>IFERROR(__xludf.DUMMYFUNCTION("IF(C6794&lt;&gt;"""", GOOGLETRANSLATE(C6794, ""en"", ""te""),"""")"),"")</f>
        <v/>
      </c>
      <c r="E6794" s="2"/>
      <c r="F6794" s="2" t="str">
        <f>IFERROR(__xludf.DUMMYFUNCTION("IF(E6794&lt;&gt;"""", GOOGLETRANSLATE(E6794, ""en"", ""te""),"""")"),"")</f>
        <v/>
      </c>
      <c r="G6794" s="2"/>
      <c r="H6794" s="2" t="str">
        <f>IFERROR(__xludf.DUMMYFUNCTION("IF(G6794&lt;&gt;"""", GOOGLETRANSLATE(G6794, ""en"", ""te""),"""")"),"")</f>
        <v/>
      </c>
      <c r="I6794" s="3"/>
    </row>
    <row r="6795" customHeight="1" spans="1:9">
      <c r="A6795" s="2"/>
      <c r="B6795" s="2" t="str">
        <f>IFERROR(__xludf.DUMMYFUNCTION("IF(A6795&lt;&gt;"""", GOOGLETRANSLATE(A6795, ""en"", ""te""),"""")"),"")</f>
        <v/>
      </c>
      <c r="C6795" s="2"/>
      <c r="D6795" s="2" t="str">
        <f>IFERROR(__xludf.DUMMYFUNCTION("IF(C6795&lt;&gt;"""", GOOGLETRANSLATE(C6795, ""en"", ""te""),"""")"),"")</f>
        <v/>
      </c>
      <c r="E6795" s="2"/>
      <c r="F6795" s="2" t="str">
        <f>IFERROR(__xludf.DUMMYFUNCTION("IF(E6795&lt;&gt;"""", GOOGLETRANSLATE(E6795, ""en"", ""te""),"""")"),"")</f>
        <v/>
      </c>
      <c r="G6795" s="2"/>
      <c r="H6795" s="2" t="str">
        <f>IFERROR(__xludf.DUMMYFUNCTION("IF(G6795&lt;&gt;"""", GOOGLETRANSLATE(G6795, ""en"", ""te""),"""")"),"")</f>
        <v/>
      </c>
      <c r="I6795" s="3"/>
    </row>
    <row r="6796" customHeight="1" spans="1:9">
      <c r="A6796" s="2"/>
      <c r="B6796" s="2" t="str">
        <f>IFERROR(__xludf.DUMMYFUNCTION("IF(A6796&lt;&gt;"""", GOOGLETRANSLATE(A6796, ""en"", ""te""),"""")"),"")</f>
        <v/>
      </c>
      <c r="C6796" s="2"/>
      <c r="D6796" s="2" t="str">
        <f>IFERROR(__xludf.DUMMYFUNCTION("IF(C6796&lt;&gt;"""", GOOGLETRANSLATE(C6796, ""en"", ""te""),"""")"),"")</f>
        <v/>
      </c>
      <c r="E6796" s="2" t="s">
        <v>4038</v>
      </c>
      <c r="F6796" s="2" t="str">
        <f>IFERROR(__xludf.DUMMYFUNCTION("IF(E6796&lt;&gt;"""", GOOGLETRANSLATE(E6796, ""en"", ""te""),"""")"),"[ '22 వ వరుస మ్యాచ్లు ఆడి మధ్య జట్టు (154) కోసం తప్పిన']")</f>
        <v>[ '22 వ వరుస మ్యాచ్లు ఆడి మధ్య జట్టు (154) కోసం తప్పిన']</v>
      </c>
      <c r="G6796" s="2"/>
      <c r="H6796" s="2" t="str">
        <f>IFERROR(__xludf.DUMMYFUNCTION("IF(G6796&lt;&gt;"""", GOOGLETRANSLATE(G6796, ""en"", ""te""),"""")"),"")</f>
        <v/>
      </c>
      <c r="I6796" s="3"/>
    </row>
    <row r="6797" customHeight="1" spans="1:9">
      <c r="A6797" s="2" t="s">
        <v>4039</v>
      </c>
      <c r="B6797" s="2" t="str">
        <f>IFERROR(__xludf.DUMMYFUNCTION("IF(A6797&lt;&gt;"""", GOOGLETRANSLATE(A6797, ""en"", ""te""),"""")"),"[ 'ఒక కెప్టెన్తో ఒక మ్యాచ్లో 1st బెస్ట్ ఫిగర్స్ (13)', 'ఇన్నింగ్స్ లో 10 వ ఉత్తమ సమ్మె రేటు (13.7)', '2 వ వరుస ఐదు వికెట్ల లో-ఒక-ఇన్నింగ్స్ (2)', '6 వ అత్యంత ఒక ఇన్నింగ్స్ లో బౌల్ చేయబడిన బంతులలో (330) ',' 1st చాలా మ్యాచ్ (226) లో ',' 2 వ అత్యధిక వికెట్లు"&amp;" ఒకే మైదానంలో సాధించిన పరుగులు (23) ',' ఇన్నింగ్స్ లో 4 వ చెత్త ఆర్థిక రేటు (11.10) ',' 1 వ వరుస నాలుగు వికెట్లు-ఇన్-ఒక-ఇన్నింగ్స్ (3) ',' 2 వ అత్యంత ఇన్నింగ్స్ లో సాధించిన పరుగులు (111) ',' 6 వ అత్యధిక వికెట్లు తీసుకున్న స్టంప్ (16) ']")</f>
        <v>[ 'ఒక కెప్టెన్తో ఒక మ్యాచ్లో 1st బెస్ట్ ఫిగర్స్ (13)', 'ఇన్నింగ్స్ లో 10 వ ఉత్తమ సమ్మె రేటు (13.7)', '2 వ వరుస ఐదు వికెట్ల లో-ఒక-ఇన్నింగ్స్ (2)', '6 వ అత్యంత ఒక ఇన్నింగ్స్ లో బౌల్ చేయబడిన బంతులలో (330) ',' 1st చాలా మ్యాచ్ (226) లో ',' 2 వ అత్యధిక వికెట్లు ఒకే మైదానంలో సాధించిన పరుగులు (23) ',' ఇన్నింగ్స్ లో 4 వ చెత్త ఆర్థిక రేటు (11.10) ',' 1 వ వరుస నాలుగు వికెట్లు-ఇన్-ఒక-ఇన్నింగ్స్ (3) ',' 2 వ అత్యంత ఇన్నింగ్స్ లో సాధించిన పరుగులు (111) ',' 6 వ అత్యధిక వికెట్లు తీసుకున్న స్టంప్ (16) ']</v>
      </c>
      <c r="C6797" s="2" t="s">
        <v>4040</v>
      </c>
      <c r="D6797" s="2" t="str">
        <f>IFERROR(__xludf.DUMMYFUNCTION("IF(C6797&lt;&gt;"""", GOOGLETRANSLATE(C6797, ""en"", ""te""),"""")"),"[ '10 వ ఉత్తమ ఇన్నింగ్స్ లో సంఖ్యలు (7/59)', 'ఒక మ్యాచ్లో 1st బెస్ట్ ఫిగర్స్ (13)', '7th ఒకే మైదానంలో అత్యధిక వికెట్లు (13)', '1st బెస్ట్ కెప్టెన్ ద్వారా ఒక ఇన్నింగ్స్ లో సంఖ్యలు (7) ',' ఒక కెప్టెన్తో ఒక మ్యాచ్లో 1st బెస్ట్ ఫిగర్స్ (13) ',' 9 వ ఉత్తమ ఒక "&amp;"మ్యాచ్లో సంఖ్యలు ఉన్నప్పుడు పరాజయం వైపు (6) ',' ఇన్నింగ్స్ లో 10 వ ఉత్తమ సమ్మె రేటు (13.7) ', 'తొలి మ్యాచ్లో 15 వ బెస్ట్ ఫిగర్స్ (6)', '11 వ అత్యంత ఐదు-వికెట్ల లో-ఒక-ఇన్నింగ్స్ కెరీర్లో (2)', '2 వ అత్యంత పది వికెట్లు లో ఒక మ్యాచ్ ఒక వృత్తిలో ( 1) ',' 2 వ"&amp;" వరుస ఐదు వికెట్ల లో-ఒక-ఇన్నింగ్స్ (2) ',' ఐదు వికెట్ల లో-ఒక-ఇన్నింగ్స్ పది తీసుకోవాలని తీసుకోవాలని 7 వ అత్యంత వృద్ధ ఆటగాడు (34y 363d) ',' 3 వ అత్యంత వృద్ధ ఆటగాడు -wickets లో ఒక మ్యాచ్ (34y 363d) ',' తొలి ఐదు వికెట్ల లో-ఒక-ఇన్నింగ్స్ (34y 363d) ',' 6 వ అత"&amp;"్యంత బంతుల్లో ఇన్నింగ్స్ లో బౌల్డ్ పడుతుంది 4 వ ఓల్డెస్ట్ ఆటగాడు (330) ', '1 వ ఇన్నింగ్స్ లో సాధించిన అత్యధిక పరుగులు (167)', '15 వ అత్యంత బంతుల్లో ఒక మ్యాచ్ (426) లో బౌల్డ్' '1 వ అత్యధిక పరుగులు ఒక మ్యాచ్లో సాధించిన (226)', '15 వ ఓల్డెస్ట్ కాప్టెన్ (35y "&amp;"0 రో)']")</f>
        <v>[ '10 వ ఉత్తమ ఇన్నింగ్స్ లో సంఖ్యలు (7/59)', 'ఒక మ్యాచ్లో 1st బెస్ట్ ఫిగర్స్ (13)', '7th ఒకే మైదానంలో అత్యధిక వికెట్లు (13)', '1st బెస్ట్ కెప్టెన్ ద్వారా ఒక ఇన్నింగ్స్ లో సంఖ్యలు (7) ',' ఒక కెప్టెన్తో ఒక మ్యాచ్లో 1st బెస్ట్ ఫిగర్స్ (13) ',' 9 వ ఉత్తమ ఒక మ్యాచ్లో సంఖ్యలు ఉన్నప్పుడు పరాజయం వైపు (6) ',' ఇన్నింగ్స్ లో 10 వ ఉత్తమ సమ్మె రేటు (13.7) ', 'తొలి మ్యాచ్లో 15 వ బెస్ట్ ఫిగర్స్ (6)', '11 వ అత్యంత ఐదు-వికెట్ల లో-ఒక-ఇన్నింగ్స్ కెరీర్లో (2)', '2 వ అత్యంత పది వికెట్లు లో ఒక మ్యాచ్ ఒక వృత్తిలో ( 1) ',' 2 వ వరుస ఐదు వికెట్ల లో-ఒక-ఇన్నింగ్స్ (2) ',' ఐదు వికెట్ల లో-ఒక-ఇన్నింగ్స్ పది తీసుకోవాలని తీసుకోవాలని 7 వ అత్యంత వృద్ధ ఆటగాడు (34y 363d) ',' 3 వ అత్యంత వృద్ధ ఆటగాడు -wickets లో ఒక మ్యాచ్ (34y 363d) ',' తొలి ఐదు వికెట్ల లో-ఒక-ఇన్నింగ్స్ (34y 363d) ',' 6 వ అత్యంత బంతుల్లో ఇన్నింగ్స్ లో బౌల్డ్ పడుతుంది 4 వ ఓల్డెస్ట్ ఆటగాడు (330) ', '1 వ ఇన్నింగ్స్ లో సాధించిన అత్యధిక పరుగులు (167)', '15 వ అత్యంత బంతుల్లో ఒక మ్యాచ్ (426) లో బౌల్డ్' '1 వ అత్యధిక పరుగులు ఒక మ్యాచ్లో సాధించిన (226)', '15 వ ఓల్డెస్ట్ కాప్టెన్ (35y 0 రో)']</v>
      </c>
      <c r="E6797" s="2" t="s">
        <v>4041</v>
      </c>
      <c r="F6797" s="2" t="str">
        <f>IFERROR(__xludf.DUMMYFUNCTION("IF(E6797&lt;&gt;"""", GOOGLETRANSLATE(E6797, ""en"", ""te""),"""")"),"[ '25 ఒక సిరీస్లో అత్యధిక వికెట్లు (22)', '40 వ ఒక క్యాలెండర్ సంవత్సరంలో అత్యధిక వికెట్లు (22)', 'ఒకే మైదానంలో 2 వ అత్యధిక వికెట్లు (23)', 'ఒక కెప్టెన్తో ఒక ఇన్నింగ్స్ లో 3 వ బెస్ట్ ఫిగర్స్ ( 5) ',' 11 వ ఒక ఇన్నింగ్స్ లోని బెస్ట్ ఫిగర్స్ ఉన్నప్పుడు పరాజయ"&amp;"ం వైపు (4) ',' 19 వ ఉత్తమ కెరీర్ సమ్మె రేటు (32.9) ',' 23 వ చెత్త కెరీర్లో ఆర్థిక రేటు (4.36) ',' 4 వ చెత్త ఆర్థిక వ్యవస్థ లో రేటు ఇన్నింగ్స్ (11.10) ',' 7 వ అత్యంత ఐదు-వికెట్ల లో-ఒక-ఇన్నింగ్స్ కెరీర్లో (2) ',' 15 వ అత్యంత నాలుగు వికెట్లు-ఇన్-ఒక-ఇన్నింగ్"&amp;"స్ కెరీర్లో (5) ',' 1 వ వరుస నాలుగు వికెట్లు-ఇన్-ఒక-ఇన్నింగ్స్ (3) ',' తొలి ఐదు వికెట్లు ఇన్ ఒక తీసుకోవాలని ఐదు వికెట్ల తేడాతో-ఒక ఇన్నింగ్స్లో తీసుకోవాలని 6 వ అత్యంత వృద్ధ ఆటగాడు (32y 27d) ',' 3 వ అత్యంత వృద్ధ ఆటగాడు -innings (32y 24d) ',' 2 వ అత్యంత ఇన్న"&amp;"ింగ్స్ (111) ',' 31 బౌలర్ / బ్యాట్స్ కలయికలు (5) ',' 20 వ బౌలర్ / ఫీల్డర్ కలయికలు (13) ',' 39 వ అత్యధిక వికెట్లు బౌల్డ్ తీసుకున్న సాధించిన పరుగులు ( 18) ',' 6 వ అత్యధిక వికెట్లు స్టంప్ తీసుకోకూడదు (16) ',' ఎనిమిదవ వికెట్కు 24 అత్యధిక భాగస్వామ్యం (49) ',' "&amp;"ఒక జట్టుకు 40 వ వరుస మ్యాచ్లు (40) ',' 20 వ అత్యంత మ్యాచ్ (39) ',' 16 వ వరుస ఒక జట్టు కెప్టెన్గా మ్యాచ్లు కెప్టెన్గా ఎస్ (29) ', '21 వ ఓల్డెస్ట్ కాప్టెన్ (35y 15d)']")</f>
        <v>[ '25 ఒక సిరీస్లో అత్యధిక వికెట్లు (22)', '40 వ ఒక క్యాలెండర్ సంవత్సరంలో అత్యధిక వికెట్లు (22)', 'ఒకే మైదానంలో 2 వ అత్యధిక వికెట్లు (23)', 'ఒక కెప్టెన్తో ఒక ఇన్నింగ్స్ లో 3 వ బెస్ట్ ఫిగర్స్ ( 5) ',' 11 వ ఒక ఇన్నింగ్స్ లోని బెస్ట్ ఫిగర్స్ ఉన్నప్పుడు పరాజయం వైపు (4) ',' 19 వ ఉత్తమ కెరీర్ సమ్మె రేటు (32.9) ',' 23 వ చెత్త కెరీర్లో ఆర్థిక రేటు (4.36) ',' 4 వ చెత్త ఆర్థిక వ్యవస్థ లో రేటు ఇన్నింగ్స్ (11.10) ',' 7 వ అత్యంత ఐదు-వికెట్ల లో-ఒక-ఇన్నింగ్స్ కెరీర్లో (2) ',' 15 వ అత్యంత నాలుగు వికెట్లు-ఇన్-ఒక-ఇన్నింగ్స్ కెరీర్లో (5) ',' 1 వ వరుస నాలుగు వికెట్లు-ఇన్-ఒక-ఇన్నింగ్స్ (3) ',' తొలి ఐదు వికెట్లు ఇన్ ఒక తీసుకోవాలని ఐదు వికెట్ల తేడాతో-ఒక ఇన్నింగ్స్లో తీసుకోవాలని 6 వ అత్యంత వృద్ధ ఆటగాడు (32y 27d) ',' 3 వ అత్యంత వృద్ధ ఆటగాడు -innings (32y 24d) ',' 2 వ అత్యంత ఇన్నింగ్స్ (111) ',' 31 బౌలర్ / బ్యాట్స్ కలయికలు (5) ',' 20 వ బౌలర్ / ఫీల్డర్ కలయికలు (13) ',' 39 వ అత్యధిక వికెట్లు బౌల్డ్ తీసుకున్న సాధించిన పరుగులు ( 18) ',' 6 వ అత్యధిక వికెట్లు స్టంప్ తీసుకోకూడదు (16) ',' ఎనిమిదవ వికెట్కు 24 అత్యధిక భాగస్వామ్యం (49) ',' ఒక జట్టుకు 40 వ వరుస మ్యాచ్లు (40) ',' 20 వ అత్యంత మ్యాచ్ (39) ',' 16 వ వరుస ఒక జట్టు కెప్టెన్గా మ్యాచ్లు కెప్టెన్గా ఎస్ (29) ', '21 వ ఓల్డెస్ట్ కాప్టెన్ (35y 15d)']</v>
      </c>
      <c r="G6797" s="2"/>
      <c r="H6797" s="2" t="str">
        <f>IFERROR(__xludf.DUMMYFUNCTION("IF(G6797&lt;&gt;"""", GOOGLETRANSLATE(G6797, ""en"", ""te""),"""")"),"")</f>
        <v/>
      </c>
      <c r="I6797" s="3"/>
    </row>
    <row r="6798" customHeight="1" spans="1:9">
      <c r="A6798" s="2" t="s">
        <v>749</v>
      </c>
      <c r="B6798" s="2" t="str">
        <f>IFERROR(__xludf.DUMMYFUNCTION("IF(A6798&lt;&gt;"""", GOOGLETRANSLATE(A6798, ""en"", ""te""),"""")"),"[ '6 వ అత్యధిక వరుస బాతులు (3)']")</f>
        <v>[ '6 వ అత్యధిక వరుస బాతులు (3)']</v>
      </c>
      <c r="C6798" s="2"/>
      <c r="D6798" s="2" t="str">
        <f>IFERROR(__xludf.DUMMYFUNCTION("IF(C6798&lt;&gt;"""", GOOGLETRANSLATE(C6798, ""en"", ""te""),"""")"),"")</f>
        <v/>
      </c>
      <c r="E6798" s="2" t="s">
        <v>749</v>
      </c>
      <c r="F6798" s="2" t="str">
        <f>IFERROR(__xludf.DUMMYFUNCTION("IF(E6798&lt;&gt;"""", GOOGLETRANSLATE(E6798, ""en"", ""te""),"""")"),"[ '6 వ అత్యధిక వరుస బాతులు (3)']")</f>
        <v>[ '6 వ అత్యధిక వరుస బాతులు (3)']</v>
      </c>
      <c r="G6798" s="2"/>
      <c r="H6798" s="2" t="str">
        <f>IFERROR(__xludf.DUMMYFUNCTION("IF(G6798&lt;&gt;"""", GOOGLETRANSLATE(G6798, ""en"", ""te""),"""")"),"")</f>
        <v/>
      </c>
      <c r="I6798" s="3"/>
    </row>
    <row r="6799" customHeight="1" spans="1:9">
      <c r="A6799" s="2"/>
      <c r="B6799" s="2" t="str">
        <f>IFERROR(__xludf.DUMMYFUNCTION("IF(A6799&lt;&gt;"""", GOOGLETRANSLATE(A6799, ""en"", ""te""),"""")"),"")</f>
        <v/>
      </c>
      <c r="C6799" s="2"/>
      <c r="D6799" s="2" t="str">
        <f>IFERROR(__xludf.DUMMYFUNCTION("IF(C6799&lt;&gt;"""", GOOGLETRANSLATE(C6799, ""en"", ""te""),"""")"),"")</f>
        <v/>
      </c>
      <c r="E6799" s="2"/>
      <c r="F6799" s="2" t="str">
        <f>IFERROR(__xludf.DUMMYFUNCTION("IF(E6799&lt;&gt;"""", GOOGLETRANSLATE(E6799, ""en"", ""te""),"""")"),"")</f>
        <v/>
      </c>
      <c r="G6799" s="2"/>
      <c r="H6799" s="2" t="str">
        <f>IFERROR(__xludf.DUMMYFUNCTION("IF(G6799&lt;&gt;"""", GOOGLETRANSLATE(G6799, ""en"", ""te""),"""")"),"")</f>
        <v/>
      </c>
      <c r="I6799" s="3"/>
    </row>
    <row r="6800" customHeight="1" spans="1:9">
      <c r="A6800" s="2"/>
      <c r="B6800" s="2" t="str">
        <f>IFERROR(__xludf.DUMMYFUNCTION("IF(A6800&lt;&gt;"""", GOOGLETRANSLATE(A6800, ""en"", ""te""),"""")"),"")</f>
        <v/>
      </c>
      <c r="C6800" s="2"/>
      <c r="D6800" s="2" t="str">
        <f>IFERROR(__xludf.DUMMYFUNCTION("IF(C6800&lt;&gt;"""", GOOGLETRANSLATE(C6800, ""en"", ""te""),"""")"),"")</f>
        <v/>
      </c>
      <c r="E6800" s="2"/>
      <c r="F6800" s="2" t="str">
        <f>IFERROR(__xludf.DUMMYFUNCTION("IF(E6800&lt;&gt;"""", GOOGLETRANSLATE(E6800, ""en"", ""te""),"""")"),"")</f>
        <v/>
      </c>
      <c r="G6800" s="2"/>
      <c r="H6800" s="2" t="str">
        <f>IFERROR(__xludf.DUMMYFUNCTION("IF(G6800&lt;&gt;"""", GOOGLETRANSLATE(G6800, ""en"", ""te""),"""")"),"")</f>
        <v/>
      </c>
      <c r="I6800" s="3"/>
    </row>
    <row r="6801" customHeight="1" spans="1:9">
      <c r="A6801" s="2"/>
      <c r="B6801" s="2" t="str">
        <f>IFERROR(__xludf.DUMMYFUNCTION("IF(A6801&lt;&gt;"""", GOOGLETRANSLATE(A6801, ""en"", ""te""),"""")"),"")</f>
        <v/>
      </c>
      <c r="C6801" s="2"/>
      <c r="D6801" s="2" t="str">
        <f>IFERROR(__xludf.DUMMYFUNCTION("IF(C6801&lt;&gt;"""", GOOGLETRANSLATE(C6801, ""en"", ""te""),"""")"),"")</f>
        <v/>
      </c>
      <c r="E6801" s="2"/>
      <c r="F6801" s="2" t="str">
        <f>IFERROR(__xludf.DUMMYFUNCTION("IF(E6801&lt;&gt;"""", GOOGLETRANSLATE(E6801, ""en"", ""te""),"""")"),"")</f>
        <v/>
      </c>
      <c r="G6801" s="2"/>
      <c r="H6801" s="2" t="str">
        <f>IFERROR(__xludf.DUMMYFUNCTION("IF(G6801&lt;&gt;"""", GOOGLETRANSLATE(G6801, ""en"", ""te""),"""")"),"")</f>
        <v/>
      </c>
      <c r="I6801" s="3"/>
    </row>
    <row r="6802" customHeight="1" spans="1:9">
      <c r="A6802" s="2"/>
      <c r="B6802" s="2" t="str">
        <f>IFERROR(__xludf.DUMMYFUNCTION("IF(A6802&lt;&gt;"""", GOOGLETRANSLATE(A6802, ""en"", ""te""),"""")"),"")</f>
        <v/>
      </c>
      <c r="C6802" s="2"/>
      <c r="D6802" s="2" t="str">
        <f>IFERROR(__xludf.DUMMYFUNCTION("IF(C6802&lt;&gt;"""", GOOGLETRANSLATE(C6802, ""en"", ""te""),"""")"),"")</f>
        <v/>
      </c>
      <c r="E6802" s="2"/>
      <c r="F6802" s="2" t="str">
        <f>IFERROR(__xludf.DUMMYFUNCTION("IF(E6802&lt;&gt;"""", GOOGLETRANSLATE(E6802, ""en"", ""te""),"""")"),"")</f>
        <v/>
      </c>
      <c r="G6802" s="2"/>
      <c r="H6802" s="2" t="str">
        <f>IFERROR(__xludf.DUMMYFUNCTION("IF(G6802&lt;&gt;"""", GOOGLETRANSLATE(G6802, ""en"", ""te""),"""")"),"")</f>
        <v/>
      </c>
      <c r="I6802" s="3"/>
    </row>
    <row r="6803" customHeight="1" spans="1:9">
      <c r="A6803" s="2"/>
      <c r="B6803" s="2" t="str">
        <f>IFERROR(__xludf.DUMMYFUNCTION("IF(A6803&lt;&gt;"""", GOOGLETRANSLATE(A6803, ""en"", ""te""),"""")"),"")</f>
        <v/>
      </c>
      <c r="C6803" s="2"/>
      <c r="D6803" s="2" t="str">
        <f>IFERROR(__xludf.DUMMYFUNCTION("IF(C6803&lt;&gt;"""", GOOGLETRANSLATE(C6803, ""en"", ""te""),"""")"),"")</f>
        <v/>
      </c>
      <c r="E6803" s="2"/>
      <c r="F6803" s="2" t="str">
        <f>IFERROR(__xludf.DUMMYFUNCTION("IF(E6803&lt;&gt;"""", GOOGLETRANSLATE(E6803, ""en"", ""te""),"""")"),"")</f>
        <v/>
      </c>
      <c r="G6803" s="2"/>
      <c r="H6803" s="2" t="str">
        <f>IFERROR(__xludf.DUMMYFUNCTION("IF(G6803&lt;&gt;"""", GOOGLETRANSLATE(G6803, ""en"", ""te""),"""")"),"")</f>
        <v/>
      </c>
      <c r="I6803" s="3"/>
    </row>
    <row r="6804" customHeight="1" spans="1:9">
      <c r="A6804" s="2"/>
      <c r="B6804" s="2" t="str">
        <f>IFERROR(__xludf.DUMMYFUNCTION("IF(A6804&lt;&gt;"""", GOOGLETRANSLATE(A6804, ""en"", ""te""),"""")"),"")</f>
        <v/>
      </c>
      <c r="C6804" s="2"/>
      <c r="D6804" s="2" t="str">
        <f>IFERROR(__xludf.DUMMYFUNCTION("IF(C6804&lt;&gt;"""", GOOGLETRANSLATE(C6804, ""en"", ""te""),"""")"),"")</f>
        <v/>
      </c>
      <c r="E6804" s="2"/>
      <c r="F6804" s="2" t="str">
        <f>IFERROR(__xludf.DUMMYFUNCTION("IF(E6804&lt;&gt;"""", GOOGLETRANSLATE(E6804, ""en"", ""te""),"""")"),"")</f>
        <v/>
      </c>
      <c r="G6804" s="2"/>
      <c r="H6804" s="2" t="str">
        <f>IFERROR(__xludf.DUMMYFUNCTION("IF(G6804&lt;&gt;"""", GOOGLETRANSLATE(G6804, ""en"", ""te""),"""")"),"")</f>
        <v/>
      </c>
      <c r="I6804" s="3"/>
    </row>
    <row r="6805" customHeight="1" spans="1:9">
      <c r="A6805" s="2"/>
      <c r="B6805" s="2" t="str">
        <f>IFERROR(__xludf.DUMMYFUNCTION("IF(A6805&lt;&gt;"""", GOOGLETRANSLATE(A6805, ""en"", ""te""),"""")"),"")</f>
        <v/>
      </c>
      <c r="C6805" s="2"/>
      <c r="D6805" s="2" t="str">
        <f>IFERROR(__xludf.DUMMYFUNCTION("IF(C6805&lt;&gt;"""", GOOGLETRANSLATE(C6805, ""en"", ""te""),"""")"),"")</f>
        <v/>
      </c>
      <c r="E6805" s="2"/>
      <c r="F6805" s="2" t="str">
        <f>IFERROR(__xludf.DUMMYFUNCTION("IF(E6805&lt;&gt;"""", GOOGLETRANSLATE(E6805, ""en"", ""te""),"""")"),"")</f>
        <v/>
      </c>
      <c r="G6805" s="2"/>
      <c r="H6805" s="2" t="str">
        <f>IFERROR(__xludf.DUMMYFUNCTION("IF(G6805&lt;&gt;"""", GOOGLETRANSLATE(G6805, ""en"", ""te""),"""")"),"")</f>
        <v/>
      </c>
      <c r="I6805" s="3"/>
    </row>
    <row r="6806" customHeight="1" spans="1:9">
      <c r="A6806" s="2" t="s">
        <v>4042</v>
      </c>
      <c r="B6806" s="2" t="str">
        <f>IFERROR(__xludf.DUMMYFUNCTION("IF(A6806&lt;&gt;"""", GOOGLETRANSLATE(A6806, ""en"", ""te""),"""")"),"[ 'ఇన్నింగ్స్ లో 2 వ అత్యధిక పరుగులు (బ్యాటింగ్ స్థానంలో ప్రకారం) (41)', 'ఒకే నేలపై 3 వ అత్యధిక వికెట్లు (22)', '1 వ ఇన్నింగ్స్ లో వచ్చిన ఎక్కువ పనికత్తెలయొద్ద (2)', '3 వ అత్యంత పట్టుకుంటే తీసుకోబడిన వికెట్ల వికెట్కీపర్గా (11) ',' తొమ్మిదవ వికెట్కు 2 వ అ"&amp;"త్యధిక భాగస్వామ్యం (63) ']")</f>
        <v>[ 'ఇన్నింగ్స్ లో 2 వ అత్యధిక పరుగులు (బ్యాటింగ్ స్థానంలో ప్రకారం) (41)', 'ఒకే నేలపై 3 వ అత్యధిక వికెట్లు (22)', '1 వ ఇన్నింగ్స్ లో వచ్చిన ఎక్కువ పనికత్తెలయొద్ద (2)', '3 వ అత్యంత పట్టుకుంటే తీసుకోబడిన వికెట్ల వికెట్కీపర్గా (11) ',' తొమ్మిదవ వికెట్కు 2 వ అత్యధిక భాగస్వామ్యం (63) ']</v>
      </c>
      <c r="C6806" s="2"/>
      <c r="D6806" s="2" t="str">
        <f>IFERROR(__xludf.DUMMYFUNCTION("IF(C6806&lt;&gt;"""", GOOGLETRANSLATE(C6806, ""en"", ""te""),"""")"),"")</f>
        <v/>
      </c>
      <c r="E6806" s="2" t="s">
        <v>502</v>
      </c>
      <c r="F6806" s="2" t="str">
        <f>IFERROR(__xludf.DUMMYFUNCTION("IF(E6806&lt;&gt;"""", GOOGLETRANSLATE(E6806, ""en"", ""te""),"""")"),"[ '14 వ ఒక ఇన్నింగ్స్ లోని బెస్ట్ ఫిగర్స్ ఉన్నప్పుడు పరాజయం వైపు (5)']")</f>
        <v>[ '14 వ ఒక ఇన్నింగ్స్ లోని బెస్ట్ ఫిగర్స్ ఉన్నప్పుడు పరాజయం వైపు (5)']</v>
      </c>
      <c r="G6806" s="2" t="s">
        <v>4043</v>
      </c>
      <c r="H6806" s="2" t="str">
        <f>IFERROR(__xludf.DUMMYFUNCTION("IF(G6806&lt;&gt;"""", GOOGLETRANSLATE(G6806, ""en"", ""te""),"""")"),"[ 'ఇన్నింగ్స్ లో 2 వ అత్యధిక పరుగులు (బ్యాటింగ్ స్థానంలో ప్రకారం) (41)', '30 వ కెరీర్ లో అత్యధిక వికెట్లు (54)', 'ఒకే నేలపై 3 వ అత్యధిక వికెట్లు (22)', '11 వ కెరీర్ లో బౌల్డ్ చాలా బంతుల్లో ( 1214) ',' 17 వ అత్యధిక పరుగులు కెరీర్లో సాధించిన (1454) ',' 17 "&amp;"వ బౌలర్ / బ్యాట్స్ కలయికలు (3) ',' 12 వ బౌలర్ / ఫీల్డర్ కలయికలు (8) ',' 20 వ అత్యధిక వికెట్లు తీసుకున్న బౌల్డ్ (14) ',' 23 వ క్యాచ్ తీసుకున్న వికెట్ల (37) ',' 43 వ అత్యధిక వికెట్లు ఒక ఫీల్డర్ చేత క్యాచ్ తీసుకున్న (26) ',' 3 వ భాగం ఒక వికెట్ కీపర్ చే కాట్ "&amp;"తీసుకోబడిన వికెట్ల (11) ',' తొమ్మిదవ వికెట్ (63) కోసం 2 వ అత్యధిక భాగస్వామ్యం ' '19 కెరీర్ పనికత్తెలయొద్ద (3)', '1 వ ఇన్నింగ్స్ లో వచ్చిన ఎక్కువ పనికత్తెలయొద్ద (2)']")</f>
        <v>[ 'ఇన్నింగ్స్ లో 2 వ అత్యధిక పరుగులు (బ్యాటింగ్ స్థానంలో ప్రకారం) (41)', '30 వ కెరీర్ లో అత్యధిక వికెట్లు (54)', 'ఒకే నేలపై 3 వ అత్యధిక వికెట్లు (22)', '11 వ కెరీర్ లో బౌల్డ్ చాలా బంతుల్లో ( 1214) ',' 17 వ అత్యధిక పరుగులు కెరీర్లో సాధించిన (1454) ',' 17 వ బౌలర్ / బ్యాట్స్ కలయికలు (3) ',' 12 వ బౌలర్ / ఫీల్డర్ కలయికలు (8) ',' 20 వ అత్యధిక వికెట్లు తీసుకున్న బౌల్డ్ (14) ',' 23 వ క్యాచ్ తీసుకున్న వికెట్ల (37) ',' 43 వ అత్యధిక వికెట్లు ఒక ఫీల్డర్ చేత క్యాచ్ తీసుకున్న (26) ',' 3 వ భాగం ఒక వికెట్ కీపర్ చే కాట్ తీసుకోబడిన వికెట్ల (11) ',' తొమ్మిదవ వికెట్ (63) కోసం 2 వ అత్యధిక భాగస్వామ్యం ' '19 కెరీర్ పనికత్తెలయొద్ద (3)', '1 వ ఇన్నింగ్స్ లో వచ్చిన ఎక్కువ పనికత్తెలయొద్ద (2)']</v>
      </c>
      <c r="I6806" s="3"/>
    </row>
    <row r="6807" customHeight="1" spans="1:9">
      <c r="A6807" s="2"/>
      <c r="B6807" s="2" t="str">
        <f>IFERROR(__xludf.DUMMYFUNCTION("IF(A6807&lt;&gt;"""", GOOGLETRANSLATE(A6807, ""en"", ""te""),"""")"),"")</f>
        <v/>
      </c>
      <c r="C6807" s="2"/>
      <c r="D6807" s="2" t="str">
        <f>IFERROR(__xludf.DUMMYFUNCTION("IF(C6807&lt;&gt;"""", GOOGLETRANSLATE(C6807, ""en"", ""te""),"""")"),"")</f>
        <v/>
      </c>
      <c r="E6807" s="2"/>
      <c r="F6807" s="2" t="str">
        <f>IFERROR(__xludf.DUMMYFUNCTION("IF(E6807&lt;&gt;"""", GOOGLETRANSLATE(E6807, ""en"", ""te""),"""")"),"")</f>
        <v/>
      </c>
      <c r="G6807" s="2"/>
      <c r="H6807" s="2" t="str">
        <f>IFERROR(__xludf.DUMMYFUNCTION("IF(G6807&lt;&gt;"""", GOOGLETRANSLATE(G6807, ""en"", ""te""),"""")"),"")</f>
        <v/>
      </c>
      <c r="I6807" s="3"/>
    </row>
    <row r="6808" customHeight="1" spans="1:9">
      <c r="A6808" s="2"/>
      <c r="B6808" s="2" t="str">
        <f>IFERROR(__xludf.DUMMYFUNCTION("IF(A6808&lt;&gt;"""", GOOGLETRANSLATE(A6808, ""en"", ""te""),"""")"),"")</f>
        <v/>
      </c>
      <c r="C6808" s="2"/>
      <c r="D6808" s="2" t="str">
        <f>IFERROR(__xludf.DUMMYFUNCTION("IF(C6808&lt;&gt;"""", GOOGLETRANSLATE(C6808, ""en"", ""te""),"""")"),"")</f>
        <v/>
      </c>
      <c r="E6808" s="2"/>
      <c r="F6808" s="2" t="str">
        <f>IFERROR(__xludf.DUMMYFUNCTION("IF(E6808&lt;&gt;"""", GOOGLETRANSLATE(E6808, ""en"", ""te""),"""")"),"")</f>
        <v/>
      </c>
      <c r="G6808" s="2"/>
      <c r="H6808" s="2" t="str">
        <f>IFERROR(__xludf.DUMMYFUNCTION("IF(G6808&lt;&gt;"""", GOOGLETRANSLATE(G6808, ""en"", ""te""),"""")"),"")</f>
        <v/>
      </c>
      <c r="I6808" s="3"/>
    </row>
    <row r="6809" customHeight="1" spans="1:9">
      <c r="A6809" s="2"/>
      <c r="B6809" s="2" t="str">
        <f>IFERROR(__xludf.DUMMYFUNCTION("IF(A6809&lt;&gt;"""", GOOGLETRANSLATE(A6809, ""en"", ""te""),"""")"),"")</f>
        <v/>
      </c>
      <c r="C6809" s="2" t="s">
        <v>4044</v>
      </c>
      <c r="D6809" s="2" t="str">
        <f>IFERROR(__xludf.DUMMYFUNCTION("IF(C6809&lt;&gt;"""", GOOGLETRANSLATE(C6809, ""en"", ""te""),"""")"),"[ 'కెరీర్లో 17 వ లేవు బాతులు (25)']")</f>
        <v>[ 'కెరీర్లో 17 వ లేవు బాతులు (25)']</v>
      </c>
      <c r="E6809" s="2"/>
      <c r="F6809" s="2" t="str">
        <f>IFERROR(__xludf.DUMMYFUNCTION("IF(E6809&lt;&gt;"""", GOOGLETRANSLATE(E6809, ""en"", ""te""),"""")"),"")</f>
        <v/>
      </c>
      <c r="G6809" s="2"/>
      <c r="H6809" s="2" t="str">
        <f>IFERROR(__xludf.DUMMYFUNCTION("IF(G6809&lt;&gt;"""", GOOGLETRANSLATE(G6809, ""en"", ""te""),"""")"),"")</f>
        <v/>
      </c>
      <c r="I6809" s="3"/>
    </row>
    <row r="6810" customHeight="1" spans="1:9">
      <c r="A6810" s="2"/>
      <c r="B6810" s="2" t="str">
        <f>IFERROR(__xludf.DUMMYFUNCTION("IF(A6810&lt;&gt;"""", GOOGLETRANSLATE(A6810, ""en"", ""te""),"""")"),"")</f>
        <v/>
      </c>
      <c r="C6810" s="2"/>
      <c r="D6810" s="2" t="str">
        <f>IFERROR(__xludf.DUMMYFUNCTION("IF(C6810&lt;&gt;"""", GOOGLETRANSLATE(C6810, ""en"", ""te""),"""")"),"")</f>
        <v/>
      </c>
      <c r="E6810" s="2"/>
      <c r="F6810" s="2" t="str">
        <f>IFERROR(__xludf.DUMMYFUNCTION("IF(E6810&lt;&gt;"""", GOOGLETRANSLATE(E6810, ""en"", ""te""),"""")"),"")</f>
        <v/>
      </c>
      <c r="G6810" s="2"/>
      <c r="H6810" s="2" t="str">
        <f>IFERROR(__xludf.DUMMYFUNCTION("IF(G6810&lt;&gt;"""", GOOGLETRANSLATE(G6810, ""en"", ""te""),"""")"),"")</f>
        <v/>
      </c>
      <c r="I6810" s="3"/>
    </row>
    <row r="6811" customHeight="1" spans="1:9">
      <c r="A6811" s="2" t="s">
        <v>4045</v>
      </c>
      <c r="B6811" s="2" t="str">
        <f>IFERROR(__xludf.DUMMYFUNCTION("IF(A6811&lt;&gt;"""", GOOGLETRANSLATE(A6811, ""en"", ""te""),"""")"),"[ '2 వ అత్యధిక వికెట్లు తీసిన హిట్ వికెట్ (1)', '4 వ చెత్త కెరీర్లో ఆర్థిక రేటు (4.87)', 'బ్యాటింగ్ తెరవడం మరియు అదే మ్యాచ్ లో బౌలింగ్' '9 వ అత్యంత ఇన్నింగ్స్ లో సాధించిన పరుగులు (87)',]")</f>
        <v>[ '2 వ అత్యధిక వికెట్లు తీసిన హిట్ వికెట్ (1)', '4 వ చెత్త కెరీర్లో ఆర్థిక రేటు (4.87)', 'బ్యాటింగ్ తెరవడం మరియు అదే మ్యాచ్ లో బౌలింగ్' '9 వ అత్యంత ఇన్నింగ్స్ లో సాధించిన పరుగులు (87)',]</v>
      </c>
      <c r="C6811" s="2" t="s">
        <v>4046</v>
      </c>
      <c r="D6811" s="2" t="str">
        <f>IFERROR(__xludf.DUMMYFUNCTION("IF(C6811&lt;&gt;"""", GOOGLETRANSLATE(C6811, ""en"", ""te""),"""")"),"[ '35 వ చెత్త ఇన్నింగ్స్ లో ఆర్థిక రేటు (4.00)', '2 వ అత్యధిక వికెట్లు తీసిన హిట్ వికెట్ (1)']")</f>
        <v>[ '35 వ చెత్త ఇన్నింగ్స్ లో ఆర్థిక రేటు (4.00)', '2 వ అత్యధిక వికెట్లు తీసిన హిట్ వికెట్ (1)']</v>
      </c>
      <c r="E6811" s="2" t="s">
        <v>4047</v>
      </c>
      <c r="F6811" s="2" t="str">
        <f>IFERROR(__xludf.DUMMYFUNCTION("IF(E6811&lt;&gt;"""", GOOGLETRANSLATE(E6811, ""en"", ""te""),"""")"),"[ '7th చెత్త కెరీర్ సగటు (45.30) బౌలింగ్', '4 వ చెత్త కెరీర్లో ఆర్థిక రేటు (4.87)', '30 వ చెత్త కెరీర్లో సమ్మె రేటు (55.7)', 'ఇన్నింగ్స్ లో 38 వ చెత్త ఆర్థిక రేటు (8.70)', '9 వ అత్యంత ఒక ఇన్నింగ్స్ లో సాధించిన పరుగులు (87) ']")</f>
        <v>[ '7th చెత్త కెరీర్ సగటు (45.30) బౌలింగ్', '4 వ చెత్త కెరీర్లో ఆర్థిక రేటు (4.87)', '30 వ చెత్త కెరీర్లో సమ్మె రేటు (55.7)', 'ఇన్నింగ్స్ లో 38 వ చెత్త ఆర్థిక రేటు (8.70)', '9 వ అత్యంత ఒక ఇన్నింగ్స్ లో సాధించిన పరుగులు (87) ']</v>
      </c>
      <c r="G6811" s="2"/>
      <c r="H6811" s="2" t="str">
        <f>IFERROR(__xludf.DUMMYFUNCTION("IF(G6811&lt;&gt;"""", GOOGLETRANSLATE(G6811, ""en"", ""te""),"""")"),"")</f>
        <v/>
      </c>
      <c r="I6811" s="3"/>
    </row>
    <row r="6812" customHeight="1" spans="1:9">
      <c r="A6812" s="2"/>
      <c r="B6812" s="2" t="str">
        <f>IFERROR(__xludf.DUMMYFUNCTION("IF(A6812&lt;&gt;"""", GOOGLETRANSLATE(A6812, ""en"", ""te""),"""")"),"")</f>
        <v/>
      </c>
      <c r="C6812" s="2"/>
      <c r="D6812" s="2" t="str">
        <f>IFERROR(__xludf.DUMMYFUNCTION("IF(C6812&lt;&gt;"""", GOOGLETRANSLATE(C6812, ""en"", ""te""),"""")"),"")</f>
        <v/>
      </c>
      <c r="E6812" s="2"/>
      <c r="F6812" s="2" t="str">
        <f>IFERROR(__xludf.DUMMYFUNCTION("IF(E6812&lt;&gt;"""", GOOGLETRANSLATE(E6812, ""en"", ""te""),"""")"),"")</f>
        <v/>
      </c>
      <c r="G6812" s="2"/>
      <c r="H6812" s="2" t="str">
        <f>IFERROR(__xludf.DUMMYFUNCTION("IF(G6812&lt;&gt;"""", GOOGLETRANSLATE(G6812, ""en"", ""te""),"""")"),"")</f>
        <v/>
      </c>
      <c r="I6812" s="3"/>
    </row>
    <row r="6813" customHeight="1" spans="1:9">
      <c r="A6813" s="2" t="s">
        <v>4048</v>
      </c>
      <c r="B6813" s="2" t="str">
        <f>IFERROR(__xludf.DUMMYFUNCTION("IF(A6813&lt;&gt;"""", GOOGLETRANSLATE(A6813, ""en"", ""te""),"""")"),"[ 'హండ్రెడ్ మరియు ఒక మ్యాచ్లో తొంభై', 'హండ్రెడ్ మరియు ఒక మ్యాచ్లో ఒక డక్' 'ఒక ఇన్నింగ్స్లో ద్వారా బ్యాట్ నిదర్శన (188 *)', '6 వ అత్యధిక పరుగులు ఒకే క్రీడా (2179) లో', '2 వ వందలాదిమంది లో వరుస ఇన్నింగ్స్లో (3) ',' 9 వ అత్యంత ఫోర్లు ఒక ఇన్నింగ్స్ లో (22) '"&amp;",' ఒక ఇన్నింగ్స్లో ద్వారా బ్యాట్ నిదర్శన (103 *) ',' 8000 పరుగులు (218) ',' కోసం 8 వ అత్యధిక భాగస్వామ్యం 10 వ వేగంగా మూడో వికెట్ (230) ',' వరుస ఇన్నింగ్స్లో 6 వ వందల (3) ']")</f>
        <v>[ 'హండ్రెడ్ మరియు ఒక మ్యాచ్లో తొంభై', 'హండ్రెడ్ మరియు ఒక మ్యాచ్లో ఒక డక్' 'ఒక ఇన్నింగ్స్లో ద్వారా బ్యాట్ నిదర్శన (188 *)', '6 వ అత్యధిక పరుగులు ఒకే క్రీడా (2179) లో', '2 వ వందలాదిమంది లో వరుస ఇన్నింగ్స్లో (3) ',' 9 వ అత్యంత ఫోర్లు ఒక ఇన్నింగ్స్ లో (22) ',' ఒక ఇన్నింగ్స్లో ద్వారా బ్యాట్ నిదర్శన (103 *) ',' 8000 పరుగులు (218) ',' కోసం 8 వ అత్యధిక భాగస్వామ్యం 10 వ వేగంగా మూడో వికెట్ (230) ',' వరుస ఇన్నింగ్స్లో 6 వ వందల (3) ']</v>
      </c>
      <c r="C6813" s="2" t="s">
        <v>4049</v>
      </c>
      <c r="D6813" s="2" t="str">
        <f>IFERROR(__xludf.DUMMYFUNCTION("IF(C6813&lt;&gt;"""", GOOGLETRANSLATE(C6813, ""en"", ""te""),"""")"),"[ '28 హండ్రెడ్ గత మ్యాచ్లో (101)', 'వరుస ఇన్నింగ్స్లో 32 వ యాభైల్లో (5)', 'ఒక ఇన్నింగ్స్లో పరుగుల 22 అత్యధిక శాతం (59.49)', '41 వ 3000 పరుగులు వేగంగా (68)', ' 36 వ 4000 పరుగులు వేగంగా (91) ',' రెండవ వికెట్కు 39 వ అత్యధిక భాగస్వామ్యం (262) ',' తొమ్మిదవ వి"&amp;"కెట్ (120) కోసం 27 అత్యధిక భాగస్వామ్యం ']")</f>
        <v>[ '28 హండ్రెడ్ గత మ్యాచ్లో (101)', 'వరుస ఇన్నింగ్స్లో 32 వ యాభైల్లో (5)', 'ఒక ఇన్నింగ్స్లో పరుగుల 22 అత్యధిక శాతం (59.49)', '41 వ 3000 పరుగులు వేగంగా (68)', ' 36 వ 4000 పరుగులు వేగంగా (91) ',' రెండవ వికెట్కు 39 వ అత్యధిక భాగస్వామ్యం (262) ',' తొమ్మిదవ వికెట్ (120) కోసం 27 అత్యధిక భాగస్వామ్యం ']</v>
      </c>
      <c r="E6813" s="2" t="s">
        <v>4050</v>
      </c>
      <c r="F6813" s="2" t="str">
        <f>IFERROR(__xludf.DUMMYFUNCTION("IF(E6813&lt;&gt;"""", GOOGLETRANSLATE(E6813, ""en"", ""te""),"""")"),"[ఒక క్యాలెండర్ సంవత్సరంలో '21 వ అత్యధిక కెరీర్ లో పరుగులు (8824) ',' 10 వ ఇన్నింగ్స్ లో అత్యధిక పరుగులు (194) ',' 8 వ ఇన్నింగ్స్ లో అత్యధిక పరుగులు (ప్రగతిశీల రికార్డు హోల్డర్) (194) ',' 6 వ అత్యధిక పరుగులు ( 1595) ',' పరాజయం వైపు ఒక మ్యాచ్లో ఇన్నింగ్స్ "&amp;"లో 9 వ అత్యధిక పరుగులు (బ్యాటింగ్ స్థానంలో ప్రకారం) (194) ',' 36 వ అత్యధిక పరుగులు (140) ',' 6 వ ఒకే క్రీడా (2179) లో అత్యధిక పరుగులు ', '14 వ ఒక వృత్తిలో అత్యధిక వందలు (20)', 'వరుస 3 వ అత్యధిక వందలు (3)', '(4) ఒక క్యాలెండర్ సంవత్సరంలో 29 అత్యధిక వందలు' '"&amp;"ఒక జట్టుతో 7 వ అత్యధిక వందలు (7)', ' వరుస ఇన్నింగ్స్లో 2 వ వందల (3) ',' 43 వ పిన్న ఆటగాడు వంద (21y 164) సాధించిన ',' 34 వ అత్యంత తొంభైల కెరీర్లో (4) ',' 30 వ అత్యంత అర్ధ కెరీర్లో (63) ',' 44 వ లో యాభైల్లో వరుస ఇన్నింగ్స్లో (4) ',' 45 వ కెరీర్ బాతులు (15"&amp;") ',' 40 వ కెరీర్ లో వచ్చిన ఎక్కువ సిక్స్ (97) ',' 15 వ కెరీర్ ఫోర్లు (938) ',' 9 వ ఇన్నింగ్స్ లో వచ్చిన ఎక్కువ ఫోర్లు (22) ',' ఇన్నింగ్స్ లో ఫోర్లు, సిక్సర్లు నుండి 17 వ అత్యధిక పరుగులు (118) ',' ఒక ఇన్నింగ్స్లో పరుగులు అత్యధికంగా 16 శాతం (59.32) ',' ఫాస"&amp;"్టెస్ట్ 4000 33 వ పరుగులు (113) ',' 26th 5000 పరుగులు (138) ',' ఫాస్టెస్ట్ 13 వ 6000 పరుగులు వేగంగా (162) ',' 14 వ 7000 పరుగులు (194) ',' 10 వ వేగవంతమైన 8000 పరుగులు (218) 'వేగంగా, 'ఏ వికెట్కు 50 వ అత్యధిక భాగస్వామ్యాల (230)', 'మొదటి వికెట్కు 36 వ అత్యధి"&amp;"క భాగస్వామ్యం (204)', 'మూడో వికెట్కు 8 వ అత్యధిక భాగస్వామ్యం (230)', '45 వ అత్యధిక కెరీర్ లో మ్యాచ్లు (247)', ' 12 వ అత్యంత ప్లేయర్ ఆఫ్ ది మ్యాచ్ అవార్డులు (28) ',' 36 వ వరుస అన్ని టాస్ గెలిచిన (3) ']")</f>
        <v>[ఒక క్యాలెండర్ సంవత్సరంలో '21 వ అత్యధిక కెరీర్ లో పరుగులు (8824) ',' 10 వ ఇన్నింగ్స్ లో అత్యధిక పరుగులు (194) ',' 8 వ ఇన్నింగ్స్ లో అత్యధిక పరుగులు (ప్రగతిశీల రికార్డు హోల్డర్) (194) ',' 6 వ అత్యధిక పరుగులు ( 1595) ',' పరాజయం వైపు ఒక మ్యాచ్లో ఇన్నింగ్స్ లో 9 వ అత్యధిక పరుగులు (బ్యాటింగ్ స్థానంలో ప్రకారం) (194) ',' 36 వ అత్యధిక పరుగులు (140) ',' 6 వ ఒకే క్రీడా (2179) లో అత్యధిక పరుగులు ', '14 వ ఒక వృత్తిలో అత్యధిక వందలు (20)', 'వరుస 3 వ అత్యధిక వందలు (3)', '(4) ఒక క్యాలెండర్ సంవత్సరంలో 29 అత్యధిక వందలు' 'ఒక జట్టుతో 7 వ అత్యధిక వందలు (7)', ' వరుస ఇన్నింగ్స్లో 2 వ వందల (3) ',' 43 వ పిన్న ఆటగాడు వంద (21y 164) సాధించిన ',' 34 వ అత్యంత తొంభైల కెరీర్లో (4) ',' 30 వ అత్యంత అర్ధ కెరీర్లో (63) ',' 44 వ లో యాభైల్లో వరుస ఇన్నింగ్స్లో (4) ',' 45 వ కెరీర్ బాతులు (15) ',' 40 వ కెరీర్ లో వచ్చిన ఎక్కువ సిక్స్ (97) ',' 15 వ కెరీర్ ఫోర్లు (938) ',' 9 వ ఇన్నింగ్స్ లో వచ్చిన ఎక్కువ ఫోర్లు (22) ',' ఇన్నింగ్స్ లో ఫోర్లు, సిక్సర్లు నుండి 17 వ అత్యధిక పరుగులు (118) ',' ఒక ఇన్నింగ్స్లో పరుగులు అత్యధికంగా 16 శాతం (59.32) ',' ఫాస్టెస్ట్ 4000 33 వ పరుగులు (113) ',' 26th 5000 పరుగులు (138) ',' ఫాస్టెస్ట్ 13 వ 6000 పరుగులు వేగంగా (162) ',' 14 వ 7000 పరుగులు (194) ',' 10 వ వేగవంతమైన 8000 పరుగులు (218) 'వేగంగా, 'ఏ వికెట్కు 50 వ అత్యధిక భాగస్వామ్యాల (230)', 'మొదటి వికెట్కు 36 వ అత్యధిక భాగస్వామ్యం (204)', 'మూడో వికెట్కు 8 వ అత్యధిక భాగస్వామ్యం (230)', '45 వ అత్యధిక కెరీర్ లో మ్యాచ్లు (247)', ' 12 వ అత్యంత ప్లేయర్ ఆఫ్ ది మ్యాచ్ అవార్డులు (28) ',' 36 వ వరుస అన్ని టాస్ గెలిచిన (3) ']</v>
      </c>
      <c r="G6813" s="2"/>
      <c r="H6813" s="2" t="str">
        <f>IFERROR(__xludf.DUMMYFUNCTION("IF(G6813&lt;&gt;"""", GOOGLETRANSLATE(G6813, ""en"", ""te""),"""")"),"")</f>
        <v/>
      </c>
      <c r="I6813" s="3"/>
    </row>
    <row r="6814" customHeight="1" spans="1:9">
      <c r="A6814" s="2"/>
      <c r="B6814" s="2" t="str">
        <f>IFERROR(__xludf.DUMMYFUNCTION("IF(A6814&lt;&gt;"""", GOOGLETRANSLATE(A6814, ""en"", ""te""),"""")"),"")</f>
        <v/>
      </c>
      <c r="C6814" s="2"/>
      <c r="D6814" s="2" t="str">
        <f>IFERROR(__xludf.DUMMYFUNCTION("IF(C6814&lt;&gt;"""", GOOGLETRANSLATE(C6814, ""en"", ""te""),"""")"),"")</f>
        <v/>
      </c>
      <c r="E6814" s="2" t="s">
        <v>4051</v>
      </c>
      <c r="F6814" s="2" t="str">
        <f>IFERROR(__xludf.DUMMYFUNCTION("IF(E6814&lt;&gt;"""", GOOGLETRANSLATE(E6814, ""en"", ""te""),"""")"),"[ 'ప్రదర్శనల మధ్య 29 లాంగెస్ట్ వ్యవధిలో (6y 6d)', '23 వ వరుస మ్యాచ్లు ప్రదర్శనల మధ్య బృందం (40) కోసం తప్పిన']")</f>
        <v>[ 'ప్రదర్శనల మధ్య 29 లాంగెస్ట్ వ్యవధిలో (6y 6d)', '23 వ వరుస మ్యాచ్లు ప్రదర్శనల మధ్య బృందం (40) కోసం తప్పిన']</v>
      </c>
      <c r="G6814" s="2"/>
      <c r="H6814" s="2" t="str">
        <f>IFERROR(__xludf.DUMMYFUNCTION("IF(G6814&lt;&gt;"""", GOOGLETRANSLATE(G6814, ""en"", ""te""),"""")"),"")</f>
        <v/>
      </c>
      <c r="I6814" s="3"/>
    </row>
    <row r="6815" customHeight="1" spans="1:9">
      <c r="A6815" s="2"/>
      <c r="B6815" s="2" t="str">
        <f>IFERROR(__xludf.DUMMYFUNCTION("IF(A6815&lt;&gt;"""", GOOGLETRANSLATE(A6815, ""en"", ""te""),"""")"),"")</f>
        <v/>
      </c>
      <c r="C6815" s="2"/>
      <c r="D6815" s="2" t="str">
        <f>IFERROR(__xludf.DUMMYFUNCTION("IF(C6815&lt;&gt;"""", GOOGLETRANSLATE(C6815, ""en"", ""te""),"""")"),"")</f>
        <v/>
      </c>
      <c r="E6815" s="2"/>
      <c r="F6815" s="2" t="str">
        <f>IFERROR(__xludf.DUMMYFUNCTION("IF(E6815&lt;&gt;"""", GOOGLETRANSLATE(E6815, ""en"", ""te""),"""")"),"")</f>
        <v/>
      </c>
      <c r="G6815" s="2"/>
      <c r="H6815" s="2" t="str">
        <f>IFERROR(__xludf.DUMMYFUNCTION("IF(G6815&lt;&gt;"""", GOOGLETRANSLATE(G6815, ""en"", ""te""),"""")"),"")</f>
        <v/>
      </c>
      <c r="I6815" s="3"/>
    </row>
    <row r="6816" customHeight="1" spans="1:9">
      <c r="A6816" s="2"/>
      <c r="B6816" s="2" t="str">
        <f>IFERROR(__xludf.DUMMYFUNCTION("IF(A6816&lt;&gt;"""", GOOGLETRANSLATE(A6816, ""en"", ""te""),"""")"),"")</f>
        <v/>
      </c>
      <c r="C6816" s="2"/>
      <c r="D6816" s="2" t="str">
        <f>IFERROR(__xludf.DUMMYFUNCTION("IF(C6816&lt;&gt;"""", GOOGLETRANSLATE(C6816, ""en"", ""te""),"""")"),"")</f>
        <v/>
      </c>
      <c r="E6816" s="2"/>
      <c r="F6816" s="2" t="str">
        <f>IFERROR(__xludf.DUMMYFUNCTION("IF(E6816&lt;&gt;"""", GOOGLETRANSLATE(E6816, ""en"", ""te""),"""")"),"")</f>
        <v/>
      </c>
      <c r="G6816" s="2"/>
      <c r="H6816" s="2" t="str">
        <f>IFERROR(__xludf.DUMMYFUNCTION("IF(G6816&lt;&gt;"""", GOOGLETRANSLATE(G6816, ""en"", ""te""),"""")"),"")</f>
        <v/>
      </c>
      <c r="I6816" s="3"/>
    </row>
    <row r="6817" customHeight="1" spans="1:9">
      <c r="A6817" s="2"/>
      <c r="B6817" s="2" t="str">
        <f>IFERROR(__xludf.DUMMYFUNCTION("IF(A6817&lt;&gt;"""", GOOGLETRANSLATE(A6817, ""en"", ""te""),"""")"),"")</f>
        <v/>
      </c>
      <c r="C6817" s="2"/>
      <c r="D6817" s="2" t="str">
        <f>IFERROR(__xludf.DUMMYFUNCTION("IF(C6817&lt;&gt;"""", GOOGLETRANSLATE(C6817, ""en"", ""te""),"""")"),"")</f>
        <v/>
      </c>
      <c r="E6817" s="2"/>
      <c r="F6817" s="2" t="str">
        <f>IFERROR(__xludf.DUMMYFUNCTION("IF(E6817&lt;&gt;"""", GOOGLETRANSLATE(E6817, ""en"", ""te""),"""")"),"")</f>
        <v/>
      </c>
      <c r="G6817" s="2"/>
      <c r="H6817" s="2" t="str">
        <f>IFERROR(__xludf.DUMMYFUNCTION("IF(G6817&lt;&gt;"""", GOOGLETRANSLATE(G6817, ""en"", ""te""),"""")"),"")</f>
        <v/>
      </c>
      <c r="I6817" s="3"/>
    </row>
    <row r="6818" customHeight="1" spans="1:9">
      <c r="A6818" s="2"/>
      <c r="B6818" s="2" t="str">
        <f>IFERROR(__xludf.DUMMYFUNCTION("IF(A6818&lt;&gt;"""", GOOGLETRANSLATE(A6818, ""en"", ""te""),"""")"),"")</f>
        <v/>
      </c>
      <c r="C6818" s="2"/>
      <c r="D6818" s="2" t="str">
        <f>IFERROR(__xludf.DUMMYFUNCTION("IF(C6818&lt;&gt;"""", GOOGLETRANSLATE(C6818, ""en"", ""te""),"""")"),"")</f>
        <v/>
      </c>
      <c r="E6818" s="2"/>
      <c r="F6818" s="2" t="str">
        <f>IFERROR(__xludf.DUMMYFUNCTION("IF(E6818&lt;&gt;"""", GOOGLETRANSLATE(E6818, ""en"", ""te""),"""")"),"")</f>
        <v/>
      </c>
      <c r="G6818" s="2"/>
      <c r="H6818" s="2" t="str">
        <f>IFERROR(__xludf.DUMMYFUNCTION("IF(G6818&lt;&gt;"""", GOOGLETRANSLATE(G6818, ""en"", ""te""),"""")"),"")</f>
        <v/>
      </c>
      <c r="I6818" s="3"/>
    </row>
    <row r="6819" customHeight="1" spans="1:9">
      <c r="A6819" s="2"/>
      <c r="B6819" s="2" t="str">
        <f>IFERROR(__xludf.DUMMYFUNCTION("IF(A6819&lt;&gt;"""", GOOGLETRANSLATE(A6819, ""en"", ""te""),"""")"),"")</f>
        <v/>
      </c>
      <c r="C6819" s="2"/>
      <c r="D6819" s="2" t="str">
        <f>IFERROR(__xludf.DUMMYFUNCTION("IF(C6819&lt;&gt;"""", GOOGLETRANSLATE(C6819, ""en"", ""te""),"""")"),"")</f>
        <v/>
      </c>
      <c r="E6819" s="2" t="s">
        <v>4052</v>
      </c>
      <c r="F6819" s="2" t="str">
        <f>IFERROR(__xludf.DUMMYFUNCTION("IF(E6819&lt;&gt;"""", GOOGLETRANSLATE(E6819, ""en"", ""te""),"""")"),"[ '15 వ ఇన్నింగ్స్ లో అత్యధిక పరుగులు (బ్యాటింగ్ స్థానంలో ప్రకారం) (15 *)']")</f>
        <v>[ '15 వ ఇన్నింగ్స్ లో అత్యధిక పరుగులు (బ్యాటింగ్ స్థానంలో ప్రకారం) (15 *)']</v>
      </c>
      <c r="G6819" s="2"/>
      <c r="H6819" s="2" t="str">
        <f>IFERROR(__xludf.DUMMYFUNCTION("IF(G6819&lt;&gt;"""", GOOGLETRANSLATE(G6819, ""en"", ""te""),"""")"),"")</f>
        <v/>
      </c>
      <c r="I6819" s="3"/>
    </row>
    <row r="6820" customHeight="1" spans="1:9">
      <c r="A6820" s="2" t="s">
        <v>4053</v>
      </c>
      <c r="B6820" s="2" t="str">
        <f>IFERROR(__xludf.DUMMYFUNCTION("IF(A6820&lt;&gt;"""", GOOGLETRANSLATE(A6820, ""en"", ""te""),"""")"),"[ '7th వరుస మ్యాచ్లు ప్రదర్శనల మధ్య (66) జట్టు తప్పిన']")</f>
        <v>[ '7th వరుస మ్యాచ్లు ప్రదర్శనల మధ్య (66) జట్టు తప్పిన']</v>
      </c>
      <c r="C6820" s="2"/>
      <c r="D6820" s="2" t="str">
        <f>IFERROR(__xludf.DUMMYFUNCTION("IF(C6820&lt;&gt;"""", GOOGLETRANSLATE(C6820, ""en"", ""te""),"""")"),"")</f>
        <v/>
      </c>
      <c r="E6820" s="2" t="s">
        <v>4054</v>
      </c>
      <c r="F6820" s="2" t="str">
        <f>IFERROR(__xludf.DUMMYFUNCTION("IF(E6820&lt;&gt;"""", GOOGLETRANSLATE(E6820, ""en"", ""te""),"""")"),"[ '14 వ ఒక ఇన్నింగ్స్ లోని బెస్ట్ ఫిగర్స్ పరాజయం వైపు (5) ఉన్నప్పుడు', 'తొలి తీసుకోవాలని 36 వ అత్యంత వృద్ధ ఆటగాడు ఐదు వికెట్ల లో-ఒక-ఇన్నింగ్స్ (30y 346d)']")</f>
        <v>[ '14 వ ఒక ఇన్నింగ్స్ లోని బెస్ట్ ఫిగర్స్ పరాజయం వైపు (5) ఉన్నప్పుడు', 'తొలి తీసుకోవాలని 36 వ అత్యంత వృద్ధ ఆటగాడు ఐదు వికెట్ల లో-ఒక-ఇన్నింగ్స్ (30y 346d)']</v>
      </c>
      <c r="G6820" s="2" t="s">
        <v>4055</v>
      </c>
      <c r="H6820" s="2" t="str">
        <f>IFERROR(__xludf.DUMMYFUNCTION("IF(G6820&lt;&gt;"""", GOOGLETRANSLATE(G6820, ""en"", ""te""),"""")"),"[ '7th వరుస మ్యాచ్లు ఆడి మధ్య జట్టుకు దూరమయ్యాడు (66)', 'ప్రదర్శనలు (5 సం 359d) మధ్య 21 వ లాంగెస్ట్ వ్యవధిలో']")</f>
        <v>[ '7th వరుస మ్యాచ్లు ఆడి మధ్య జట్టుకు దూరమయ్యాడు (66)', 'ప్రదర్శనలు (5 సం 359d) మధ్య 21 వ లాంగెస్ట్ వ్యవధిలో']</v>
      </c>
      <c r="I6820" s="3"/>
    </row>
    <row r="6821" customHeight="1" spans="1:9">
      <c r="A6821" s="2"/>
      <c r="B6821" s="2" t="str">
        <f>IFERROR(__xludf.DUMMYFUNCTION("IF(A6821&lt;&gt;"""", GOOGLETRANSLATE(A6821, ""en"", ""te""),"""")"),"")</f>
        <v/>
      </c>
      <c r="C6821" s="2"/>
      <c r="D6821" s="2" t="str">
        <f>IFERROR(__xludf.DUMMYFUNCTION("IF(C6821&lt;&gt;"""", GOOGLETRANSLATE(C6821, ""en"", ""te""),"""")"),"")</f>
        <v/>
      </c>
      <c r="E6821" s="2"/>
      <c r="F6821" s="2" t="str">
        <f>IFERROR(__xludf.DUMMYFUNCTION("IF(E6821&lt;&gt;"""", GOOGLETRANSLATE(E6821, ""en"", ""te""),"""")"),"")</f>
        <v/>
      </c>
      <c r="G6821" s="2"/>
      <c r="H6821" s="2" t="str">
        <f>IFERROR(__xludf.DUMMYFUNCTION("IF(G6821&lt;&gt;"""", GOOGLETRANSLATE(G6821, ""en"", ""te""),"""")"),"")</f>
        <v/>
      </c>
      <c r="I6821" s="3"/>
    </row>
    <row r="6822" customHeight="1" spans="1:9">
      <c r="A6822" s="2"/>
      <c r="B6822" s="2" t="str">
        <f>IFERROR(__xludf.DUMMYFUNCTION("IF(A6822&lt;&gt;"""", GOOGLETRANSLATE(A6822, ""en"", ""te""),"""")"),"")</f>
        <v/>
      </c>
      <c r="C6822" s="2"/>
      <c r="D6822" s="2" t="str">
        <f>IFERROR(__xludf.DUMMYFUNCTION("IF(C6822&lt;&gt;"""", GOOGLETRANSLATE(C6822, ""en"", ""te""),"""")"),"")</f>
        <v/>
      </c>
      <c r="E6822" s="2"/>
      <c r="F6822" s="2" t="str">
        <f>IFERROR(__xludf.DUMMYFUNCTION("IF(E6822&lt;&gt;"""", GOOGLETRANSLATE(E6822, ""en"", ""te""),"""")"),"")</f>
        <v/>
      </c>
      <c r="G6822" s="2"/>
      <c r="H6822" s="2" t="str">
        <f>IFERROR(__xludf.DUMMYFUNCTION("IF(G6822&lt;&gt;"""", GOOGLETRANSLATE(G6822, ""en"", ""te""),"""")"),"")</f>
        <v/>
      </c>
      <c r="I6822" s="3"/>
    </row>
    <row r="6823" customHeight="1" spans="1:9">
      <c r="A6823" s="2"/>
      <c r="B6823" s="2" t="str">
        <f>IFERROR(__xludf.DUMMYFUNCTION("IF(A6823&lt;&gt;"""", GOOGLETRANSLATE(A6823, ""en"", ""te""),"""")"),"")</f>
        <v/>
      </c>
      <c r="C6823" s="2"/>
      <c r="D6823" s="2" t="str">
        <f>IFERROR(__xludf.DUMMYFUNCTION("IF(C6823&lt;&gt;"""", GOOGLETRANSLATE(C6823, ""en"", ""te""),"""")"),"")</f>
        <v/>
      </c>
      <c r="E6823" s="2"/>
      <c r="F6823" s="2" t="str">
        <f>IFERROR(__xludf.DUMMYFUNCTION("IF(E6823&lt;&gt;"""", GOOGLETRANSLATE(E6823, ""en"", ""te""),"""")"),"")</f>
        <v/>
      </c>
      <c r="G6823" s="2"/>
      <c r="H6823" s="2" t="str">
        <f>IFERROR(__xludf.DUMMYFUNCTION("IF(G6823&lt;&gt;"""", GOOGLETRANSLATE(G6823, ""en"", ""te""),"""")"),"")</f>
        <v/>
      </c>
      <c r="I6823" s="3"/>
    </row>
    <row r="6824" customHeight="1" spans="1:9">
      <c r="A6824" s="2"/>
      <c r="B6824" s="2" t="str">
        <f>IFERROR(__xludf.DUMMYFUNCTION("IF(A6824&lt;&gt;"""", GOOGLETRANSLATE(A6824, ""en"", ""te""),"""")"),"")</f>
        <v/>
      </c>
      <c r="C6824" s="2"/>
      <c r="D6824" s="2" t="str">
        <f>IFERROR(__xludf.DUMMYFUNCTION("IF(C6824&lt;&gt;"""", GOOGLETRANSLATE(C6824, ""en"", ""te""),"""")"),"")</f>
        <v/>
      </c>
      <c r="E6824" s="2"/>
      <c r="F6824" s="2" t="str">
        <f>IFERROR(__xludf.DUMMYFUNCTION("IF(E6824&lt;&gt;"""", GOOGLETRANSLATE(E6824, ""en"", ""te""),"""")"),"")</f>
        <v/>
      </c>
      <c r="G6824" s="2"/>
      <c r="H6824" s="2" t="str">
        <f>IFERROR(__xludf.DUMMYFUNCTION("IF(G6824&lt;&gt;"""", GOOGLETRANSLATE(G6824, ""en"", ""te""),"""")"),"")</f>
        <v/>
      </c>
      <c r="I6824" s="3"/>
    </row>
    <row r="6825" customHeight="1" spans="1:9">
      <c r="A6825" s="2"/>
      <c r="B6825" s="2" t="str">
        <f>IFERROR(__xludf.DUMMYFUNCTION("IF(A6825&lt;&gt;"""", GOOGLETRANSLATE(A6825, ""en"", ""te""),"""")"),"")</f>
        <v/>
      </c>
      <c r="C6825" s="2"/>
      <c r="D6825" s="2" t="str">
        <f>IFERROR(__xludf.DUMMYFUNCTION("IF(C6825&lt;&gt;"""", GOOGLETRANSLATE(C6825, ""en"", ""te""),"""")"),"")</f>
        <v/>
      </c>
      <c r="E6825" s="2"/>
      <c r="F6825" s="2" t="str">
        <f>IFERROR(__xludf.DUMMYFUNCTION("IF(E6825&lt;&gt;"""", GOOGLETRANSLATE(E6825, ""en"", ""te""),"""")"),"")</f>
        <v/>
      </c>
      <c r="G6825" s="2"/>
      <c r="H6825" s="2" t="str">
        <f>IFERROR(__xludf.DUMMYFUNCTION("IF(G6825&lt;&gt;"""", GOOGLETRANSLATE(G6825, ""en"", ""te""),"""")"),"")</f>
        <v/>
      </c>
      <c r="I6825" s="3"/>
    </row>
    <row r="6826" customHeight="1" spans="1:9">
      <c r="A6826" s="2" t="s">
        <v>4056</v>
      </c>
      <c r="B6826" s="2" t="str">
        <f>IFERROR(__xludf.DUMMYFUNCTION("IF(A6826&lt;&gt;"""", GOOGLETRANSLATE(A6826, ""en"", ""te""),"""")"),"[ '10 వ భాగం (7) వరుస స్టంపింగ్లు' 'ఇన్నింగ్స్ లో 6 వ అత్యధిక వికెట్లు (4)', '5 వ ఇన్నింగ్స్ లో అత్యధిక క్యాచ్లు (3)', '7 వ కెరీర్ (27) అత్యంత స్టంపింగ్లు']")</f>
        <v>[ '10 వ భాగం (7) వరుస స్టంపింగ్లు' 'ఇన్నింగ్స్ లో 6 వ అత్యధిక వికెట్లు (4)', '5 వ ఇన్నింగ్స్ లో అత్యధిక క్యాచ్లు (3)', '7 వ కెరీర్ (27) అత్యంత స్టంపింగ్లు']</v>
      </c>
      <c r="C6826" s="2"/>
      <c r="D6826" s="2" t="str">
        <f>IFERROR(__xludf.DUMMYFUNCTION("IF(C6826&lt;&gt;"""", GOOGLETRANSLATE(C6826, ""en"", ""te""),"""")"),"")</f>
        <v/>
      </c>
      <c r="E6826" s="2" t="s">
        <v>4057</v>
      </c>
      <c r="F6826" s="2" t="str">
        <f>IFERROR(__xludf.DUMMYFUNCTION("IF(E6826&lt;&gt;"""", GOOGLETRANSLATE(E6826, ""en"", ""te""),"""")"),"[ '17 ఒక సిరీస్లో అత్యధిక వికెట్లు (14)', '21 వ అత్యధిక క్యాచ్లు కెరీర్లో (25) ',' 36 వ ఒక సిరీస్లో అత్యధిక క్యాచ్లు (7) ',' 29 వ అత్యధిక '23 వ కెరీర్ లో (34) అత్యధిక వికెట్లు' కెరీర్లో స్టంపింగ్లు (9) ',' 10th ఒక సిరీస్లో అత్యధిక స్టంపింగ్లు (7) ']")</f>
        <v>[ '17 ఒక సిరీస్లో అత్యధిక వికెట్లు (14)', '21 వ అత్యధిక క్యాచ్లు కెరీర్లో (25) ',' 36 వ ఒక సిరీస్లో అత్యధిక క్యాచ్లు (7) ',' 29 వ అత్యధిక '23 వ కెరీర్ లో (34) అత్యధిక వికెట్లు' కెరీర్లో స్టంపింగ్లు (9) ',' 10th ఒక సిరీస్లో అత్యధిక స్టంపింగ్లు (7) ']</v>
      </c>
      <c r="G6826" s="2" t="s">
        <v>4058</v>
      </c>
      <c r="H6826" s="2" t="str">
        <f>IFERROR(__xludf.DUMMYFUNCTION("IF(G6826&lt;&gt;"""", GOOGLETRANSLATE(G6826, ""en"", ""te""),"""")"),"[ '19 ఇన్నింగ్స్ లో అత్యధిక పరుగులు (బ్యాటింగ్ స్థానంలో ప్రకారం) (16 *)', 'కెరీర్లో 9 వ అత్యధిక వికెట్లు (44)', '6 వ అత్యధిక వికెట్లు ఇన్నింగ్స్ లో (4)', '10 వ కెరీర్ లో అత్యధిక క్యాచ్లు (17 ) ',' ఇన్నింగ్స్ లో ఒక ఇన్నింగ్స్ కెరీర్లో (3) ',' 7 వ అత్యంత స్"&amp;"టంపింగ్లు (27) ',' 9 వ అత్యంత స్టంపింగ్లు 5 వ అత్యధిక క్యాచ్లు (3) ']")</f>
        <v>[ '19 ఇన్నింగ్స్ లో అత్యధిక పరుగులు (బ్యాటింగ్ స్థానంలో ప్రకారం) (16 *)', 'కెరీర్లో 9 వ అత్యధిక వికెట్లు (44)', '6 వ అత్యధిక వికెట్లు ఇన్నింగ్స్ లో (4)', '10 వ కెరీర్ లో అత్యధిక క్యాచ్లు (17 ) ',' ఇన్నింగ్స్ లో ఒక ఇన్నింగ్స్ కెరీర్లో (3) ',' 7 వ అత్యంత స్టంపింగ్లు (27) ',' 9 వ అత్యంత స్టంపింగ్లు 5 వ అత్యధిక క్యాచ్లు (3) ']</v>
      </c>
      <c r="I6826" s="3"/>
    </row>
    <row r="6827" customHeight="1" spans="1:9">
      <c r="A6827" s="2"/>
      <c r="B6827" s="2" t="str">
        <f>IFERROR(__xludf.DUMMYFUNCTION("IF(A6827&lt;&gt;"""", GOOGLETRANSLATE(A6827, ""en"", ""te""),"""")"),"")</f>
        <v/>
      </c>
      <c r="C6827" s="2"/>
      <c r="D6827" s="2" t="str">
        <f>IFERROR(__xludf.DUMMYFUNCTION("IF(C6827&lt;&gt;"""", GOOGLETRANSLATE(C6827, ""en"", ""te""),"""")"),"")</f>
        <v/>
      </c>
      <c r="E6827" s="2"/>
      <c r="F6827" s="2" t="str">
        <f>IFERROR(__xludf.DUMMYFUNCTION("IF(E6827&lt;&gt;"""", GOOGLETRANSLATE(E6827, ""en"", ""te""),"""")"),"")</f>
        <v/>
      </c>
      <c r="G6827" s="2"/>
      <c r="H6827" s="2" t="str">
        <f>IFERROR(__xludf.DUMMYFUNCTION("IF(G6827&lt;&gt;"""", GOOGLETRANSLATE(G6827, ""en"", ""te""),"""")"),"")</f>
        <v/>
      </c>
      <c r="I6827" s="3"/>
    </row>
    <row r="6828" customHeight="1" spans="1:9">
      <c r="A6828" s="2"/>
      <c r="B6828" s="2" t="str">
        <f>IFERROR(__xludf.DUMMYFUNCTION("IF(A6828&lt;&gt;"""", GOOGLETRANSLATE(A6828, ""en"", ""te""),"""")"),"")</f>
        <v/>
      </c>
      <c r="C6828" s="2"/>
      <c r="D6828" s="2" t="str">
        <f>IFERROR(__xludf.DUMMYFUNCTION("IF(C6828&lt;&gt;"""", GOOGLETRANSLATE(C6828, ""en"", ""te""),"""")"),"")</f>
        <v/>
      </c>
      <c r="E6828" s="2"/>
      <c r="F6828" s="2" t="str">
        <f>IFERROR(__xludf.DUMMYFUNCTION("IF(E6828&lt;&gt;"""", GOOGLETRANSLATE(E6828, ""en"", ""te""),"""")"),"")</f>
        <v/>
      </c>
      <c r="G6828" s="2"/>
      <c r="H6828" s="2" t="str">
        <f>IFERROR(__xludf.DUMMYFUNCTION("IF(G6828&lt;&gt;"""", GOOGLETRANSLATE(G6828, ""en"", ""te""),"""")"),"")</f>
        <v/>
      </c>
      <c r="I6828" s="3"/>
    </row>
    <row r="6829" customHeight="1" spans="1:9">
      <c r="A6829" s="2"/>
      <c r="B6829" s="2" t="str">
        <f>IFERROR(__xludf.DUMMYFUNCTION("IF(A6829&lt;&gt;"""", GOOGLETRANSLATE(A6829, ""en"", ""te""),"""")"),"")</f>
        <v/>
      </c>
      <c r="C6829" s="2"/>
      <c r="D6829" s="2" t="str">
        <f>IFERROR(__xludf.DUMMYFUNCTION("IF(C6829&lt;&gt;"""", GOOGLETRANSLATE(C6829, ""en"", ""te""),"""")"),"")</f>
        <v/>
      </c>
      <c r="E6829" s="2"/>
      <c r="F6829" s="2" t="str">
        <f>IFERROR(__xludf.DUMMYFUNCTION("IF(E6829&lt;&gt;"""", GOOGLETRANSLATE(E6829, ""en"", ""te""),"""")"),"")</f>
        <v/>
      </c>
      <c r="G6829" s="2"/>
      <c r="H6829" s="2" t="str">
        <f>IFERROR(__xludf.DUMMYFUNCTION("IF(G6829&lt;&gt;"""", GOOGLETRANSLATE(G6829, ""en"", ""te""),"""")"),"")</f>
        <v/>
      </c>
      <c r="I6829" s="3"/>
    </row>
    <row r="6830" customHeight="1" spans="1:9">
      <c r="A6830" s="2"/>
      <c r="B6830" s="2" t="str">
        <f>IFERROR(__xludf.DUMMYFUNCTION("IF(A6830&lt;&gt;"""", GOOGLETRANSLATE(A6830, ""en"", ""te""),"""")"),"")</f>
        <v/>
      </c>
      <c r="C6830" s="2"/>
      <c r="D6830" s="2" t="str">
        <f>IFERROR(__xludf.DUMMYFUNCTION("IF(C6830&lt;&gt;"""", GOOGLETRANSLATE(C6830, ""en"", ""te""),"""")"),"")</f>
        <v/>
      </c>
      <c r="E6830" s="2"/>
      <c r="F6830" s="2" t="str">
        <f>IFERROR(__xludf.DUMMYFUNCTION("IF(E6830&lt;&gt;"""", GOOGLETRANSLATE(E6830, ""en"", ""te""),"""")"),"")</f>
        <v/>
      </c>
      <c r="G6830" s="2"/>
      <c r="H6830" s="2" t="str">
        <f>IFERROR(__xludf.DUMMYFUNCTION("IF(G6830&lt;&gt;"""", GOOGLETRANSLATE(G6830, ""en"", ""te""),"""")"),"")</f>
        <v/>
      </c>
      <c r="I6830" s="3"/>
    </row>
    <row r="6831" customHeight="1" spans="1:9">
      <c r="A6831" s="2"/>
      <c r="B6831" s="2" t="str">
        <f>IFERROR(__xludf.DUMMYFUNCTION("IF(A6831&lt;&gt;"""", GOOGLETRANSLATE(A6831, ""en"", ""te""),"""")"),"")</f>
        <v/>
      </c>
      <c r="C6831" s="2" t="s">
        <v>4059</v>
      </c>
      <c r="D6831" s="2" t="str">
        <f>IFERROR(__xludf.DUMMYFUNCTION("IF(C6831&lt;&gt;"""", GOOGLETRANSLATE(C6831, ""en"", ""te""),"""")"),"[ '34 వ చెత్త కెరీర్లో సమ్మె రేటు (115.6)']")</f>
        <v>[ '34 వ చెత్త కెరీర్లో సమ్మె రేటు (115.6)']</v>
      </c>
      <c r="E6831" s="2"/>
      <c r="F6831" s="2" t="str">
        <f>IFERROR(__xludf.DUMMYFUNCTION("IF(E6831&lt;&gt;"""", GOOGLETRANSLATE(E6831, ""en"", ""te""),"""")"),"")</f>
        <v/>
      </c>
      <c r="G6831" s="2"/>
      <c r="H6831" s="2" t="str">
        <f>IFERROR(__xludf.DUMMYFUNCTION("IF(G6831&lt;&gt;"""", GOOGLETRANSLATE(G6831, ""en"", ""te""),"""")"),"")</f>
        <v/>
      </c>
      <c r="I6831" s="3"/>
    </row>
    <row r="6832" customHeight="1" spans="1:9">
      <c r="A6832" s="2"/>
      <c r="B6832" s="2" t="str">
        <f>IFERROR(__xludf.DUMMYFUNCTION("IF(A6832&lt;&gt;"""", GOOGLETRANSLATE(A6832, ""en"", ""te""),"""")"),"")</f>
        <v/>
      </c>
      <c r="C6832" s="2"/>
      <c r="D6832" s="2" t="str">
        <f>IFERROR(__xludf.DUMMYFUNCTION("IF(C6832&lt;&gt;"""", GOOGLETRANSLATE(C6832, ""en"", ""te""),"""")"),"")</f>
        <v/>
      </c>
      <c r="E6832" s="2"/>
      <c r="F6832" s="2" t="str">
        <f>IFERROR(__xludf.DUMMYFUNCTION("IF(E6832&lt;&gt;"""", GOOGLETRANSLATE(E6832, ""en"", ""te""),"""")"),"")</f>
        <v/>
      </c>
      <c r="G6832" s="2"/>
      <c r="H6832" s="2" t="str">
        <f>IFERROR(__xludf.DUMMYFUNCTION("IF(G6832&lt;&gt;"""", GOOGLETRANSLATE(G6832, ""en"", ""te""),"""")"),"")</f>
        <v/>
      </c>
      <c r="I6832" s="3"/>
    </row>
    <row r="6833" customHeight="1" spans="1:9">
      <c r="A6833" s="2" t="s">
        <v>4060</v>
      </c>
      <c r="B6833" s="2" t="str">
        <f>IFERROR(__xludf.DUMMYFUNCTION("IF(A6833&lt;&gt;"""", GOOGLETRANSLATE(A6833, ""en"", ""te""),"""")"),"[ 'హండ్రెడ్ తొలి (100 *)', '6 వ పిన్న ఆటగాడు వంద స్కోర్ (18y 323d)', 'ఒక మ్యాచ్ లో రెండు అజేయంగా అర్ధ', '5000 పరుగులు మరియు 50 ఫీల్డింగ్ వికెట్లు', 'ఇన్నింగ్స్ లో 2 వ అత్యధిక క్యాచ్లు (4) ',' 1000 పరుగులు, 50 వికెట్లు, 50 క్యాచ్లు ',' 5000 పరుగులు మరియు 5"&amp;"0 ఫీల్డింగ్ వికెట్లు ']")</f>
        <v>[ 'హండ్రెడ్ తొలి (100 *)', '6 వ పిన్న ఆటగాడు వంద స్కోర్ (18y 323d)', 'ఒక మ్యాచ్ లో రెండు అజేయంగా అర్ధ', '5000 పరుగులు మరియు 50 ఫీల్డింగ్ వికెట్లు', 'ఇన్నింగ్స్ లో 2 వ అత్యధిక క్యాచ్లు (4) ',' 1000 పరుగులు, 50 వికెట్లు, 50 క్యాచ్లు ',' 5000 పరుగులు మరియు 50 ఫీల్డింగ్ వికెట్లు ']</v>
      </c>
      <c r="C6833" s="2" t="s">
        <v>4061</v>
      </c>
      <c r="D6833" s="2" t="str">
        <f>IFERROR(__xludf.DUMMYFUNCTION("IF(C6833&lt;&gt;"""", GOOGLETRANSLATE(C6833, ""en"", ""te""),"""")"),"[ '29 వ అత్యధిక కెప్టెన్ ద్వారా ఒక సిరీస్లో పరుగులు (557)', 'ఒక కెప్టెన్తో ఇన్నింగ్స్ లో 30 వ అత్యధిక పరుగులు (237)', '40 వ 99 పరుగుల' వంద (18y 323d) స్కోర్ 6 వ పిన్న ఆటగాడు ' (199, 299 etc) (99) ',' ఐదవ వికెట్కు 27 అత్యధిక భాగస్వామ్యం (258) ',' ఆరవ వికెట"&amp;"్ (207) కోసం 41 వ అత్యధిక భాగస్వామ్యం ']")</f>
        <v>[ '29 వ అత్యధిక కెప్టెన్ ద్వారా ఒక సిరీస్లో పరుగులు (557)', 'ఒక కెప్టెన్తో ఇన్నింగ్స్ లో 30 వ అత్యధిక పరుగులు (237)', '40 వ 99 పరుగుల' వంద (18y 323d) స్కోర్ 6 వ పిన్న ఆటగాడు ' (199, 299 etc) (99) ',' ఐదవ వికెట్కు 27 అత్యధిక భాగస్వామ్యం (258) ',' ఆరవ వికెట్ (207) కోసం 41 వ అత్యధిక భాగస్వామ్యం ']</v>
      </c>
      <c r="E6833" s="2" t="s">
        <v>4062</v>
      </c>
      <c r="F6833" s="2" t="str">
        <f>IFERROR(__xludf.DUMMYFUNCTION("IF(E6833&lt;&gt;"""", GOOGLETRANSLATE(E6833, ""en"", ""te""),"""")"),"[ 'ఒకే మైదానంలో 14 వ అత్యధిక పరుగులు (1714)' '41 వ అత్యధిక కెరీర్ లో పరుగులు (7170)', '47 వ అత్యంత అర్ధ కెరీర్లో (52)', 'వరుస ఇన్నింగ్స్లో 44 వ యాభైల్లో (4)', '18 వ అత్యంత కెరీర్లో బాతులు (19) ',' ఫాస్టెస్ట్ 40 వ 7000 పరుగులు (246) ',' 25 వ అత్యధిక వికె"&amp;"ట్లు ఇన్నింగ్స్ లో తీసిన క్యాచ్ మరియు బౌల్డ్ (11) ',' 26th అత్యధిక వికెట్లు తీసుకున్న స్టంప్ (13) ',' 2 వ అత్యధిక క్యాచ్లు (4) నాలుగో వికెట్కు ',' 34 వ అత్యధిక భాగస్వామ్యం (172) ',' ఎనిమిదవ వికెట్ (81 *) కోసం 32 వ అత్యధిక భాగస్వామ్యం ',' 28th కెరీర్లో అత్"&amp;"యధిక మ్యాచ్లు (283) ',' 22 వ లాంగెస్ట్ కెరీర్లు (17y 147d ) ',' బృందం (33 కెప్టెన్గా 45 వ వరుస మ్యాచ్లు) ']")</f>
        <v>[ 'ఒకే మైదానంలో 14 వ అత్యధిక పరుగులు (1714)' '41 వ అత్యధిక కెరీర్ లో పరుగులు (7170)', '47 వ అత్యంత అర్ధ కెరీర్లో (52)', 'వరుస ఇన్నింగ్స్లో 44 వ యాభైల్లో (4)', '18 వ అత్యంత కెరీర్లో బాతులు (19) ',' ఫాస్టెస్ట్ 40 వ 7000 పరుగులు (246) ',' 25 వ అత్యధిక వికెట్లు ఇన్నింగ్స్ లో తీసిన క్యాచ్ మరియు బౌల్డ్ (11) ',' 26th అత్యధిక వికెట్లు తీసుకున్న స్టంప్ (13) ',' 2 వ అత్యధిక క్యాచ్లు (4) నాలుగో వికెట్కు ',' 34 వ అత్యధిక భాగస్వామ్యం (172) ',' ఎనిమిదవ వికెట్ (81 *) కోసం 32 వ అత్యధిక భాగస్వామ్యం ',' 28th కెరీర్లో అత్యధిక మ్యాచ్లు (283) ',' 22 వ లాంగెస్ట్ కెరీర్లు (17y 147d ) ',' బృందం (33 కెప్టెన్గా 45 వ వరుస మ్యాచ్లు) ']</v>
      </c>
      <c r="G6833" s="2" t="s">
        <v>357</v>
      </c>
      <c r="H6833" s="2" t="str">
        <f>IFERROR(__xludf.DUMMYFUNCTION("IF(G6833&lt;&gt;"""", GOOGLETRANSLATE(G6833, ""en"", ""te""),"""")"),"[ '44 వ అత్యంత బృందం (33) కెప్టెన్ గా వరుస మ్యాచ్లు']")</f>
        <v>[ '44 వ అత్యంత బృందం (33) కెప్టెన్ గా వరుస మ్యాచ్లు']</v>
      </c>
      <c r="I6833" s="3"/>
    </row>
    <row r="6834" customHeight="1" spans="1:9">
      <c r="A6834" s="2" t="s">
        <v>4063</v>
      </c>
      <c r="B6834" s="2" t="str">
        <f>IFERROR(__xludf.DUMMYFUNCTION("IF(A6834&lt;&gt;"""", GOOGLETRANSLATE(A6834, ""en"", ""te""),"""")"),"[ 'ఒక మ్యాచ్లో 4 వ అత్యధిక వికెట్లు (10)', '4 వ మ్యాచ్ లో అత్యధిక క్యాచ్లు (10)', 'వికెట్ (13) ఉంచింది చేసిన 6 వ కెప్టెన్ల', 'ఇన్నింగ్స్ లో 4 వ అత్యంత స్టంపింగ్లు (3)', ' ఒక కెప్టెన్తో పెయిర్ ',' 2000 పరుగులు మరియు 100 వికెట్ కీపింగ్ తొలగింపులకు ',' 1st ఎ"&amp;"క్కువ సార్లు అవుట్ ఇన్నింగ్స్ లో (6) ',' 1 వ ఇన్నింగ్స్ లో అత్యధిక క్యాచ్లు (6) ',' 2 వ కెప్టెన్ల ఉంచింది చేసిన వికెట్ (50) ' 'కెరీర్ లో 3 వ అతి తక్కువ బాతులు (91)', '2000 పరుగులు మరియు 100 వికెట్ కీపింగ్ తొలగింపులకు', 'కెరీర్ లో 7 వ అత్యధిక వికెట్లు (46)"&amp;"' లో, 'వికెట్ (37) ఉంచింది చేసిన 2 వ కెప్టెన్ల', '4 వ అత్యధిక క్యాచ్లు వృత్తి కెరీర్లో (36) ',' 9 వ అత్యంత స్టంపింగ్లు (10) ',' అత్యధిక వికెట్లు ఇన్నింగ్స్ లో 8 వ అత్యధిక పరుగులు (89 *) ',' 9 వ కెరీర్ (55) అత్యంత స్టంపింగ్లు ']")</f>
        <v>[ 'ఒక మ్యాచ్లో 4 వ అత్యధిక వికెట్లు (10)', '4 వ మ్యాచ్ లో అత్యధిక క్యాచ్లు (10)', 'వికెట్ (13) ఉంచింది చేసిన 6 వ కెప్టెన్ల', 'ఇన్నింగ్స్ లో 4 వ అత్యంత స్టంపింగ్లు (3)', ' ఒక కెప్టెన్తో పెయిర్ ',' 2000 పరుగులు మరియు 100 వికెట్ కీపింగ్ తొలగింపులకు ',' 1st ఎక్కువ సార్లు అవుట్ ఇన్నింగ్స్ లో (6) ',' 1 వ ఇన్నింగ్స్ లో అత్యధిక క్యాచ్లు (6) ',' 2 వ కెప్టెన్ల ఉంచింది చేసిన వికెట్ (50) ' 'కెరీర్ లో 3 వ అతి తక్కువ బాతులు (91)', '2000 పరుగులు మరియు 100 వికెట్ కీపింగ్ తొలగింపులకు', 'కెరీర్ లో 7 వ అత్యధిక వికెట్లు (46)' లో, 'వికెట్ (37) ఉంచింది చేసిన 2 వ కెప్టెన్ల', '4 వ అత్యధిక క్యాచ్లు వృత్తి కెరీర్లో (36) ',' 9 వ అత్యంత స్టంపింగ్లు (10) ',' అత్యధిక వికెట్లు ఇన్నింగ్స్ లో 8 వ అత్యధిక పరుగులు (89 *) ',' 9 వ కెరీర్ (55) అత్యంత స్టంపింగ్లు ']</v>
      </c>
      <c r="C6834" s="2" t="s">
        <v>4064</v>
      </c>
      <c r="D6834" s="2" t="str">
        <f>IFERROR(__xludf.DUMMYFUNCTION("IF(C6834&lt;&gt;"""", GOOGLETRANSLATE(C6834, ""en"", ""te""),"""")"),"[ 'వరుస ఇన్నింగ్స్లో 32 వ యాభైల్లో (5)', 'వికెట్ను కాపాడుకున్నాడు చేసిన 6 వ కెప్టెన్ల (13)', '26th ఎక్కువ సార్లు అవుట్ కెరీర్లో (167)', '4 వ అత్యంత' 15 వ అత్యంత ఇన్నింగ్స్ తొలి డక్ (42) ముందు ' ఒక మ్యాచ్లో వికెట్లు (10) ',' 29th చాలా మ్యాచ్లో కెరీర్లో క్"&amp;"యాచ్లు (146) ',' 4 వ అత్యధిక క్యాచ్లు (10) ',' 17 వ కెరీర్ స్టంపింగ్లు (21) ',' 4 వ అత్యంత ఇన్నింగ్స్ లో స్టంపింగ్లు (3) ',' 12 వ మ్యాచ్ లో అత్యంత స్టంపింగ్లు (3) ',' 18 వ వరుస (5) ',' 22 వ అత్యధిక ఇన్నింగ్స్ బై (589 / 8D) గూడా ఇవ్వకుండా మొత్తంగా చాలా స్"&amp;"టంపింగ్లు ']")</f>
        <v>[ 'వరుస ఇన్నింగ్స్లో 32 వ యాభైల్లో (5)', 'వికెట్ను కాపాడుకున్నాడు చేసిన 6 వ కెప్టెన్ల (13)', '26th ఎక్కువ సార్లు అవుట్ కెరీర్లో (167)', '4 వ అత్యంత' 15 వ అత్యంత ఇన్నింగ్స్ తొలి డక్ (42) ముందు ' ఒక మ్యాచ్లో వికెట్లు (10) ',' 29th చాలా మ్యాచ్లో కెరీర్లో క్యాచ్లు (146) ',' 4 వ అత్యధిక క్యాచ్లు (10) ',' 17 వ కెరీర్ స్టంపింగ్లు (21) ',' 4 వ అత్యంత ఇన్నింగ్స్ లో స్టంపింగ్లు (3) ',' 12 వ మ్యాచ్ లో అత్యంత స్టంపింగ్లు (3) ',' 18 వ వరుస (5) ',' 22 వ అత్యధిక ఇన్నింగ్స్ బై (589 / 8D) గూడా ఇవ్వకుండా మొత్తంగా చాలా స్టంపింగ్లు ']</v>
      </c>
      <c r="E6834" s="2" t="s">
        <v>4065</v>
      </c>
      <c r="F6834" s="2" t="str">
        <f>IFERROR(__xludf.DUMMYFUNCTION("IF(E6834&lt;&gt;"""", GOOGLETRANSLATE(E6834, ""en"", ""te""),"""")"),"[ '47 వ అత్యంత వికెట్కీపర్ శ్రేణిలో పరుగులు (300)', 'ఒక డక్ లేకుండా 21 వరుస ఇన్నింగ్స్ (78 *)', 'కెరీర్ లో 3 వ అతి తక్కువ బాతులు (91)', ఏడవ వికెట్కు '39 వ అత్యధిక భాగస్వామ్యం ( 103) ',' ఎనిమిదవ వికెట్కు 49 వ అత్యధిక భాగస్వామ్యం (75 *) తొమ్మిదవ వికెట్కు ',"&amp;"' 13 వ అత్యధిక భాగస్వామ్యం (90) ',' ఒక జట్టు కెప్టెన్గా 41 వ వరుస మ్యాచ్లు (34) ',' 2 వ కెప్టెన్ల ఎవరు ఉంచింది వికెట్ కలిగి (50) ',' 23 వ కెరీర్ లో అత్యధిక వికెట్లు (143) ',' 1 వ అత్యంత వరుస ఇన్నింగ్స్ (6) ',' 46 వ అత్యధిక వికెట్లు లో వికెట్లు (14) ',' 22"&amp;" వ కెరీర్ లో అత్యధిక క్యాచ్లు ( 119) ',' 1st చాలా సిరీస్లో వరుస ఇన్నింగ్స్ లో క్యాచ్లు (6) ',' 38 వ అత్యధిక క్యాచ్లు (13) ',' 20 వ కెరీర్ స్టంపింగ్లు (24) ', '21 వ అత్యంత స్టంపింగ్లు (4)' ]")</f>
        <v>[ '47 వ అత్యంత వికెట్కీపర్ శ్రేణిలో పరుగులు (300)', 'ఒక డక్ లేకుండా 21 వరుస ఇన్నింగ్స్ (78 *)', 'కెరీర్ లో 3 వ అతి తక్కువ బాతులు (91)', ఏడవ వికెట్కు '39 వ అత్యధిక భాగస్వామ్యం ( 103) ',' ఎనిమిదవ వికెట్కు 49 వ అత్యధిక భాగస్వామ్యం (75 *) తొమ్మిదవ వికెట్కు ',' 13 వ అత్యధిక భాగస్వామ్యం (90) ',' ఒక జట్టు కెప్టెన్గా 41 వ వరుస మ్యాచ్లు (34) ',' 2 వ కెప్టెన్ల ఎవరు ఉంచింది వికెట్ కలిగి (50) ',' 23 వ కెరీర్ లో అత్యధిక వికెట్లు (143) ',' 1 వ అత్యంత వరుస ఇన్నింగ్స్ (6) ',' 46 వ అత్యధిక వికెట్లు లో వికెట్లు (14) ',' 22 వ కెరీర్ లో అత్యధిక క్యాచ్లు ( 119) ',' 1st చాలా సిరీస్లో వరుస ఇన్నింగ్స్ లో క్యాచ్లు (6) ',' 38 వ అత్యధిక క్యాచ్లు (13) ',' 20 వ కెరీర్ స్టంపింగ్లు (24) ', '21 వ అత్యంత స్టంపింగ్లు (4)' ]</v>
      </c>
      <c r="G6834" s="2" t="s">
        <v>4066</v>
      </c>
      <c r="H6834" s="2" t="str">
        <f>IFERROR(__xludf.DUMMYFUNCTION("IF(G6834&lt;&gt;"""", GOOGLETRANSLATE(G6834, ""en"", ""te""),"""")"),"[ '14 వ ఇన్నింగ్స్ లో అత్యధిక పరుగులు (బ్యాటింగ్ స్థానంలో ప్రకారం) (89 *)' 'ఒక కెప్టెన్తో 20 వ అత్యధిక పరుగులు ఇన్నింగ్స్ లో (89 *)', 'అత్యధిక వికెట్లు 8 వ అత్యధిక పరుగులు ఇన్నింగ్స్ లో (89 *)' , '25 వ అత్యంత ఇన్నింగ్స్ తొలి డక్ ముందు (21)', '30 వ అతి తక్"&amp;"కువ బాతులు కెరీర్ లో (20.5)', '21 వ లాంగెస్ట్ వ్యక్తిగత ఇన్నింగ్స్ (బంతులతో) (64) ',' నాలుగవ వికెట్ (96) కోసం 29 అత్యధిక భాగస్వామ్యం ' 'ఐదో వికెట్కు 39 వ అత్యధిక భాగస్వామ్యం (70)', 'ఒక జట్టుకు 14 వ వరుస మ్యాచ్లు (44)', '11 వ కెప్టెన్గా అత్యధిక మ్యాచ్లు ('"&amp;" 38 వ వరుస మ్యాచ్లు ప్రదర్శనల మధ్య బృందం (39) కోసం తప్పిన ' వికెట్ (37) ',' ఒక జట్టు కెప్టెన్గా 40 వ వరుస మ్యాచ్లు (34) ',' ఒక జట్టు కెప్టెన్గా 4 వ వరుస మ్యాచ్లు (33) ',' 7 వ అత్యధిక వికెట్లు ఉంచింది చేసిన 37) ',' 2 వ కెప్టెన్ల కెరీర్లో (46) ',' 4 వ కెరీర"&amp;"్లో అత్యధిక క్యాచ్లు (36) ',' 13 వ అత్యంత ఇన్నింగ్స్ లో క్యాచ్లు (3) ',' 9 వ కెరీర్ స్టంపింగ్లు (10) ',' 32 వ ఇన్నింగ్స్ లో సాధించిన అత్యంత బైలు ( 5) ']")</f>
        <v>[ '14 వ ఇన్నింగ్స్ లో అత్యధిక పరుగులు (బ్యాటింగ్ స్థానంలో ప్రకారం) (89 *)' 'ఒక కెప్టెన్తో 20 వ అత్యధిక పరుగులు ఇన్నింగ్స్ లో (89 *)', 'అత్యధిక వికెట్లు 8 వ అత్యధిక పరుగులు ఇన్నింగ్స్ లో (89 *)' , '25 వ అత్యంత ఇన్నింగ్స్ తొలి డక్ ముందు (21)', '30 వ అతి తక్కువ బాతులు కెరీర్ లో (20.5)', '21 వ లాంగెస్ట్ వ్యక్తిగత ఇన్నింగ్స్ (బంతులతో) (64) ',' నాలుగవ వికెట్ (96) కోసం 29 అత్యధిక భాగస్వామ్యం ' 'ఐదో వికెట్కు 39 వ అత్యధిక భాగస్వామ్యం (70)', 'ఒక జట్టుకు 14 వ వరుస మ్యాచ్లు (44)', '11 వ కెప్టెన్గా అత్యధిక మ్యాచ్లు (' 38 వ వరుస మ్యాచ్లు ప్రదర్శనల మధ్య బృందం (39) కోసం తప్పిన ' వికెట్ (37) ',' ఒక జట్టు కెప్టెన్గా 40 వ వరుస మ్యాచ్లు (34) ',' ఒక జట్టు కెప్టెన్గా 4 వ వరుస మ్యాచ్లు (33) ',' 7 వ అత్యధిక వికెట్లు ఉంచింది చేసిన 37) ',' 2 వ కెప్టెన్ల కెరీర్లో (46) ',' 4 వ కెరీర్లో అత్యధిక క్యాచ్లు (36) ',' 13 వ అత్యంత ఇన్నింగ్స్ లో క్యాచ్లు (3) ',' 9 వ కెరీర్ స్టంపింగ్లు (10) ',' 32 వ ఇన్నింగ్స్ లో సాధించిన అత్యంత బైలు ( 5) ']</v>
      </c>
      <c r="I6834" s="3"/>
    </row>
    <row r="6835" customHeight="1" spans="1:9">
      <c r="A6835" s="2"/>
      <c r="B6835" s="2" t="str">
        <f>IFERROR(__xludf.DUMMYFUNCTION("IF(A6835&lt;&gt;"""", GOOGLETRANSLATE(A6835, ""en"", ""te""),"""")"),"")</f>
        <v/>
      </c>
      <c r="C6835" s="2"/>
      <c r="D6835" s="2" t="str">
        <f>IFERROR(__xludf.DUMMYFUNCTION("IF(C6835&lt;&gt;"""", GOOGLETRANSLATE(C6835, ""en"", ""te""),"""")"),"")</f>
        <v/>
      </c>
      <c r="E6835" s="2"/>
      <c r="F6835" s="2" t="str">
        <f>IFERROR(__xludf.DUMMYFUNCTION("IF(E6835&lt;&gt;"""", GOOGLETRANSLATE(E6835, ""en"", ""te""),"""")"),"")</f>
        <v/>
      </c>
      <c r="G6835" s="2"/>
      <c r="H6835" s="2" t="str">
        <f>IFERROR(__xludf.DUMMYFUNCTION("IF(G6835&lt;&gt;"""", GOOGLETRANSLATE(G6835, ""en"", ""te""),"""")"),"")</f>
        <v/>
      </c>
      <c r="I6835" s="3"/>
    </row>
    <row r="6836" customHeight="1" spans="1:9">
      <c r="A6836" s="2"/>
      <c r="B6836" s="2" t="str">
        <f>IFERROR(__xludf.DUMMYFUNCTION("IF(A6836&lt;&gt;"""", GOOGLETRANSLATE(A6836, ""en"", ""te""),"""")"),"")</f>
        <v/>
      </c>
      <c r="C6836" s="2"/>
      <c r="D6836" s="2" t="str">
        <f>IFERROR(__xludf.DUMMYFUNCTION("IF(C6836&lt;&gt;"""", GOOGLETRANSLATE(C6836, ""en"", ""te""),"""")"),"")</f>
        <v/>
      </c>
      <c r="E6836" s="2" t="s">
        <v>4067</v>
      </c>
      <c r="F6836" s="2" t="str">
        <f>IFERROR(__xludf.DUMMYFUNCTION("IF(E6836&lt;&gt;"""", GOOGLETRANSLATE(E6836, ""en"", ""te""),"""")"),"[ '48 వ బెస్ట్ కెరీర్ బౌలింగ్ సరాసరి (అర్హత లేకుండా) (14.50)']")</f>
        <v>[ '48 వ బెస్ట్ కెరీర్ బౌలింగ్ సరాసరి (అర్హత లేకుండా) (14.50)']</v>
      </c>
      <c r="G6836" s="2"/>
      <c r="H6836" s="2" t="str">
        <f>IFERROR(__xludf.DUMMYFUNCTION("IF(G6836&lt;&gt;"""", GOOGLETRANSLATE(G6836, ""en"", ""te""),"""")"),"")</f>
        <v/>
      </c>
      <c r="I6836" s="3"/>
    </row>
    <row r="6837" customHeight="1" spans="1:9">
      <c r="A6837" s="2"/>
      <c r="B6837" s="2" t="str">
        <f>IFERROR(__xludf.DUMMYFUNCTION("IF(A6837&lt;&gt;"""", GOOGLETRANSLATE(A6837, ""en"", ""te""),"""")"),"")</f>
        <v/>
      </c>
      <c r="C6837" s="2"/>
      <c r="D6837" s="2" t="str">
        <f>IFERROR(__xludf.DUMMYFUNCTION("IF(C6837&lt;&gt;"""", GOOGLETRANSLATE(C6837, ""en"", ""te""),"""")"),"")</f>
        <v/>
      </c>
      <c r="E6837" s="2"/>
      <c r="F6837" s="2" t="str">
        <f>IFERROR(__xludf.DUMMYFUNCTION("IF(E6837&lt;&gt;"""", GOOGLETRANSLATE(E6837, ""en"", ""te""),"""")"),"")</f>
        <v/>
      </c>
      <c r="G6837" s="2"/>
      <c r="H6837" s="2" t="str">
        <f>IFERROR(__xludf.DUMMYFUNCTION("IF(G6837&lt;&gt;"""", GOOGLETRANSLATE(G6837, ""en"", ""te""),"""")"),"")</f>
        <v/>
      </c>
      <c r="I6837" s="3"/>
    </row>
    <row r="6838" customHeight="1" spans="1:9">
      <c r="A6838" s="2" t="s">
        <v>4068</v>
      </c>
      <c r="B6838" s="2" t="str">
        <f>IFERROR(__xludf.DUMMYFUNCTION("IF(A6838&lt;&gt;"""", GOOGLETRANSLATE(A6838, ""en"", ""te""),"""")"),"[ 'ఇన్నింగ్స్ లో 5 వ అత్యధిక పరుగులు (బ్యాటింగ్ స్థానంలో ప్రకారం) (90)', 'బ్యాటింగ్ తెరవడం మరియు అదే మ్యాచ్ లో బౌలింగ్']")</f>
        <v>[ 'ఇన్నింగ్స్ లో 5 వ అత్యధిక పరుగులు (బ్యాటింగ్ స్థానంలో ప్రకారం) (90)', 'బ్యాటింగ్ తెరవడం మరియు అదే మ్యాచ్ లో బౌలింగ్']</v>
      </c>
      <c r="C6838" s="2" t="s">
        <v>4069</v>
      </c>
      <c r="D6838" s="2" t="str">
        <f>IFERROR(__xludf.DUMMYFUNCTION("IF(C6838&lt;&gt;"""", GOOGLETRANSLATE(C6838, ""en"", ""te""),"""")"),"[ '43 వ అత్యధిక పరుగులు జీవితంలో వంద (1045) లేకుండా', '12 వ బెస్ట్ ఫిగర్స్ ఇన్నింగ్స్ లో (9/86)' 'చాలా 5 వ ఇన్నింగ్స్ లో నడుస్తుంది (బ్యాటింగ్ స్థానం) (90)',]")</f>
        <v>[ '43 వ అత్యధిక పరుగులు జీవితంలో వంద (1045) లేకుండా', '12 వ బెస్ట్ ఫిగర్స్ ఇన్నింగ్స్ లో (9/86)' 'చాలా 5 వ ఇన్నింగ్స్ లో నడుస్తుంది (బ్యాటింగ్ స్థానం) (90)',]</v>
      </c>
      <c r="E6838" s="2" t="s">
        <v>4070</v>
      </c>
      <c r="F6838" s="2" t="str">
        <f>IFERROR(__xludf.DUMMYFUNCTION("IF(E6838&lt;&gt;"""", GOOGLETRANSLATE(E6838, ""en"", ""te""),"""")"),"[ '30 వ ఉత్తమ కెరీర్ బౌలింగ్ సరాసరి (23.22)', '20 వ ఉత్తమ కెరీర్ ఆర్థిక రేటు (3.63)', '15 వ అరంగేట్రంలోనే ఇన్నింగ్స్ లోని బెస్ట్ ఫిగర్స్ (4)', 'కెప్టెన్సీ ప్రవేశం (35y 116d) పై 24 ఓల్డెస్ట్ కెప్టెన్లు']")</f>
        <v>[ '30 వ ఉత్తమ కెరీర్ బౌలింగ్ సరాసరి (23.22)', '20 వ ఉత్తమ కెరీర్ ఆర్థిక రేటు (3.63)', '15 వ అరంగేట్రంలోనే ఇన్నింగ్స్ లోని బెస్ట్ ఫిగర్స్ (4)', 'కెప్టెన్సీ ప్రవేశం (35y 116d) పై 24 ఓల్డెస్ట్ కెప్టెన్లు']</v>
      </c>
      <c r="G6838" s="2"/>
      <c r="H6838" s="2" t="str">
        <f>IFERROR(__xludf.DUMMYFUNCTION("IF(G6838&lt;&gt;"""", GOOGLETRANSLATE(G6838, ""en"", ""te""),"""")"),"")</f>
        <v/>
      </c>
      <c r="I6838" s="3"/>
    </row>
    <row r="6839" customHeight="1" spans="1:9">
      <c r="A6839" s="2"/>
      <c r="B6839" s="2" t="str">
        <f>IFERROR(__xludf.DUMMYFUNCTION("IF(A6839&lt;&gt;"""", GOOGLETRANSLATE(A6839, ""en"", ""te""),"""")"),"")</f>
        <v/>
      </c>
      <c r="C6839" s="2"/>
      <c r="D6839" s="2" t="str">
        <f>IFERROR(__xludf.DUMMYFUNCTION("IF(C6839&lt;&gt;"""", GOOGLETRANSLATE(C6839, ""en"", ""te""),"""")"),"")</f>
        <v/>
      </c>
      <c r="E6839" s="2"/>
      <c r="F6839" s="2" t="str">
        <f>IFERROR(__xludf.DUMMYFUNCTION("IF(E6839&lt;&gt;"""", GOOGLETRANSLATE(E6839, ""en"", ""te""),"""")"),"")</f>
        <v/>
      </c>
      <c r="G6839" s="2"/>
      <c r="H6839" s="2" t="str">
        <f>IFERROR(__xludf.DUMMYFUNCTION("IF(G6839&lt;&gt;"""", GOOGLETRANSLATE(G6839, ""en"", ""te""),"""")"),"")</f>
        <v/>
      </c>
      <c r="I6839" s="3"/>
    </row>
    <row r="6840" customHeight="1" spans="1:9">
      <c r="A6840" s="2" t="s">
        <v>4071</v>
      </c>
      <c r="B6840" s="2" t="str">
        <f>IFERROR(__xludf.DUMMYFUNCTION("IF(A6840&lt;&gt;"""", GOOGLETRANSLATE(A6840, ""en"", ""te""),"""")"),"[ '1st పిన్న క్రీడాకారులు (12y 178d)', 'మొదటి డక్ ముందు, 7 వ అత్యంత ఇన్నింగ్స్ (31)', '1 వ అత్యుత్తమ బౌలింగ్ ఇన్నింగ్స్ లో విశ్లేషించడం (7/4)', 'తీసుకోవాలని 1st పిన్న ఆటగాడు ఐదు వికెట్ల తేడాతో in- ఒక-ఇన్నింగ్స్ (15y 168d) ',' బ్యాటింగ్ తెరవడం మరియు అదే మ్"&amp;"యాచ్ లో బౌలింగ్ ']")</f>
        <v>[ '1st పిన్న క్రీడాకారులు (12y 178d)', 'మొదటి డక్ ముందు, 7 వ అత్యంత ఇన్నింగ్స్ (31)', '1 వ అత్యుత్తమ బౌలింగ్ ఇన్నింగ్స్ లో విశ్లేషించడం (7/4)', 'తీసుకోవాలని 1st పిన్న ఆటగాడు ఐదు వికెట్ల తేడాతో in- ఒక-ఇన్నింగ్స్ (15y 168d) ',' బ్యాటింగ్ తెరవడం మరియు అదే మ్యాచ్ లో బౌలింగ్ ']</v>
      </c>
      <c r="C6840" s="2" t="s">
        <v>4072</v>
      </c>
      <c r="D6840" s="2" t="str">
        <f>IFERROR(__xludf.DUMMYFUNCTION("IF(C6840&lt;&gt;"""", GOOGLETRANSLATE(C6840, ""en"", ""te""),"""")"),"[ '1st పిన్న క్రీడాకారులు (12y 178d)']")</f>
        <v>[ '1st పిన్న క్రీడాకారులు (12y 178d)']</v>
      </c>
      <c r="E6840" s="2" t="s">
        <v>4073</v>
      </c>
      <c r="F6840" s="2" t="str">
        <f>IFERROR(__xludf.DUMMYFUNCTION("IF(E6840&lt;&gt;"""", GOOGLETRANSLATE(E6840, ""en"", ""te""),"""")"),"[ '49 వ అత్యంత వంద (863) లేకుండా ఒక వృత్తిలో పరుగులు', '7 వ అత్యంత ఇన్నింగ్స్ తొలి డక్ ముందు (31)', 'ఒక డక్ లేకుండా 48 వ వరుస ఇన్నింగ్స్ (31)', 'కెరీర్లో 17 వ అతి తక్కువ బాతులు (29.5) ',' 1 వ ఇన్నింగ్స్ లో బెస్ట్ ఫిగర్స్ (7/4) ',' 1 వ అత్యుత్తమ బౌలింగ్ ఇన"&amp;"్నింగ్స్ లో (7/4) ',' ఇన్నింగ్స్ లో 45 వ ఉత్తమ ఆర్థిక రేటు (0.50) ',' 16 వ ఉత్తమ సమ్మెలో రేటు విశ్లేషిస్తుంది ఇన్నింగ్స్ (6.8) ',' 37 వ చెత్త కెరీర్లో సమ్మె రేటు (53.4) ',' ఇన్నింగ్స్ లో 33 వ చెత్త ఆర్థిక రేటు (8.88) ',' 1st పిన్న ఆటగాడు ఐదు వికెట్ల లో-ఒక"&amp;"-ఇన్నింగ్స్ తీసుకోవాలని (15y 168d) ',' 50 వ కెరీర్ లో బౌల్డ్ చాలా బంతుల్లో (2724) ',' 16 వ అత్యధిక పరుగులు ఇన్నింగ్స్ లో సాధించిన (80) ',' 44 వ బౌలర్ / ఫీల్డర్ కలయికలు (10) ',' ఒక జట్టుకు 13 వ వరుస మ్యాచ్లు (60) ' '1st పిన్న క్రీడాకారులు (12y 171d)']")</f>
        <v>[ '49 వ అత్యంత వంద (863) లేకుండా ఒక వృత్తిలో పరుగులు', '7 వ అత్యంత ఇన్నింగ్స్ తొలి డక్ ముందు (31)', 'ఒక డక్ లేకుండా 48 వ వరుస ఇన్నింగ్స్ (31)', 'కెరీర్లో 17 వ అతి తక్కువ బాతులు (29.5) ',' 1 వ ఇన్నింగ్స్ లో బెస్ట్ ఫిగర్స్ (7/4) ',' 1 వ అత్యుత్తమ బౌలింగ్ ఇన్నింగ్స్ లో (7/4) ',' ఇన్నింగ్స్ లో 45 వ ఉత్తమ ఆర్థిక రేటు (0.50) ',' 16 వ ఉత్తమ సమ్మెలో రేటు విశ్లేషిస్తుంది ఇన్నింగ్స్ (6.8) ',' 37 వ చెత్త కెరీర్లో సమ్మె రేటు (53.4) ',' ఇన్నింగ్స్ లో 33 వ చెత్త ఆర్థిక రేటు (8.88) ',' 1st పిన్న ఆటగాడు ఐదు వికెట్ల లో-ఒక-ఇన్నింగ్స్ తీసుకోవాలని (15y 168d) ',' 50 వ కెరీర్ లో బౌల్డ్ చాలా బంతుల్లో (2724) ',' 16 వ అత్యధిక పరుగులు ఇన్నింగ్స్ లో సాధించిన (80) ',' 44 వ బౌలర్ / ఫీల్డర్ కలయికలు (10) ',' ఒక జట్టుకు 13 వ వరుస మ్యాచ్లు (60) ' '1st పిన్న క్రీడాకారులు (12y 171d)']</v>
      </c>
      <c r="G6840" s="2"/>
      <c r="H6840" s="2" t="str">
        <f>IFERROR(__xludf.DUMMYFUNCTION("IF(G6840&lt;&gt;"""", GOOGLETRANSLATE(G6840, ""en"", ""te""),"""")"),"")</f>
        <v/>
      </c>
      <c r="I6840" s="3"/>
    </row>
    <row r="6841" customHeight="1" spans="1:9">
      <c r="A6841" s="2"/>
      <c r="B6841" s="2" t="str">
        <f>IFERROR(__xludf.DUMMYFUNCTION("IF(A6841&lt;&gt;"""", GOOGLETRANSLATE(A6841, ""en"", ""te""),"""")"),"")</f>
        <v/>
      </c>
      <c r="C6841" s="2"/>
      <c r="D6841" s="2" t="str">
        <f>IFERROR(__xludf.DUMMYFUNCTION("IF(C6841&lt;&gt;"""", GOOGLETRANSLATE(C6841, ""en"", ""te""),"""")"),"")</f>
        <v/>
      </c>
      <c r="E6841" s="2"/>
      <c r="F6841" s="2" t="str">
        <f>IFERROR(__xludf.DUMMYFUNCTION("IF(E6841&lt;&gt;"""", GOOGLETRANSLATE(E6841, ""en"", ""te""),"""")"),"")</f>
        <v/>
      </c>
      <c r="G6841" s="2"/>
      <c r="H6841" s="2" t="str">
        <f>IFERROR(__xludf.DUMMYFUNCTION("IF(G6841&lt;&gt;"""", GOOGLETRANSLATE(G6841, ""en"", ""te""),"""")"),"")</f>
        <v/>
      </c>
      <c r="I6841" s="3"/>
    </row>
    <row r="6842" customHeight="1" spans="1:9">
      <c r="A6842" s="2"/>
      <c r="B6842" s="2" t="str">
        <f>IFERROR(__xludf.DUMMYFUNCTION("IF(A6842&lt;&gt;"""", GOOGLETRANSLATE(A6842, ""en"", ""te""),"""")"),"")</f>
        <v/>
      </c>
      <c r="C6842" s="2"/>
      <c r="D6842" s="2" t="str">
        <f>IFERROR(__xludf.DUMMYFUNCTION("IF(C6842&lt;&gt;"""", GOOGLETRANSLATE(C6842, ""en"", ""te""),"""")"),"")</f>
        <v/>
      </c>
      <c r="E6842" s="2"/>
      <c r="F6842" s="2" t="str">
        <f>IFERROR(__xludf.DUMMYFUNCTION("IF(E6842&lt;&gt;"""", GOOGLETRANSLATE(E6842, ""en"", ""te""),"""")"),"")</f>
        <v/>
      </c>
      <c r="G6842" s="2"/>
      <c r="H6842" s="2" t="str">
        <f>IFERROR(__xludf.DUMMYFUNCTION("IF(G6842&lt;&gt;"""", GOOGLETRANSLATE(G6842, ""en"", ""te""),"""")"),"")</f>
        <v/>
      </c>
      <c r="I6842" s="3"/>
    </row>
    <row r="6843" customHeight="1" spans="1:9">
      <c r="A6843" s="2"/>
      <c r="B6843" s="2" t="str">
        <f>IFERROR(__xludf.DUMMYFUNCTION("IF(A6843&lt;&gt;"""", GOOGLETRANSLATE(A6843, ""en"", ""te""),"""")"),"")</f>
        <v/>
      </c>
      <c r="C6843" s="2"/>
      <c r="D6843" s="2" t="str">
        <f>IFERROR(__xludf.DUMMYFUNCTION("IF(C6843&lt;&gt;"""", GOOGLETRANSLATE(C6843, ""en"", ""te""),"""")"),"")</f>
        <v/>
      </c>
      <c r="E6843" s="2" t="s">
        <v>4074</v>
      </c>
      <c r="F6843" s="2" t="str">
        <f>IFERROR(__xludf.DUMMYFUNCTION("IF(E6843&lt;&gt;"""", GOOGLETRANSLATE(E6843, ""en"", ""te""),"""")"),"[ '28 లాంగెస్ట్ నివసించారు క్రీడాకారులు (65y 227d)']")</f>
        <v>[ '28 లాంగెస్ట్ నివసించారు క్రీడాకారులు (65y 227d)']</v>
      </c>
      <c r="G6843" s="2"/>
      <c r="H6843" s="2" t="str">
        <f>IFERROR(__xludf.DUMMYFUNCTION("IF(G6843&lt;&gt;"""", GOOGLETRANSLATE(G6843, ""en"", ""te""),"""")"),"")</f>
        <v/>
      </c>
      <c r="I6843" s="3"/>
    </row>
    <row r="6844" customHeight="1" spans="1:9">
      <c r="A6844" s="2"/>
      <c r="B6844" s="2" t="str">
        <f>IFERROR(__xludf.DUMMYFUNCTION("IF(A6844&lt;&gt;"""", GOOGLETRANSLATE(A6844, ""en"", ""te""),"""")"),"")</f>
        <v/>
      </c>
      <c r="C6844" s="2"/>
      <c r="D6844" s="2" t="str">
        <f>IFERROR(__xludf.DUMMYFUNCTION("IF(C6844&lt;&gt;"""", GOOGLETRANSLATE(C6844, ""en"", ""te""),"""")"),"")</f>
        <v/>
      </c>
      <c r="E6844" s="2"/>
      <c r="F6844" s="2" t="str">
        <f>IFERROR(__xludf.DUMMYFUNCTION("IF(E6844&lt;&gt;"""", GOOGLETRANSLATE(E6844, ""en"", ""te""),"""")"),"")</f>
        <v/>
      </c>
      <c r="G6844" s="2"/>
      <c r="H6844" s="2" t="str">
        <f>IFERROR(__xludf.DUMMYFUNCTION("IF(G6844&lt;&gt;"""", GOOGLETRANSLATE(G6844, ""en"", ""te""),"""")"),"")</f>
        <v/>
      </c>
      <c r="I6844" s="3"/>
    </row>
    <row r="6845" customHeight="1" spans="1:9">
      <c r="A6845" s="2"/>
      <c r="B6845" s="2" t="str">
        <f>IFERROR(__xludf.DUMMYFUNCTION("IF(A6845&lt;&gt;"""", GOOGLETRANSLATE(A6845, ""en"", ""te""),"""")"),"")</f>
        <v/>
      </c>
      <c r="C6845" s="2"/>
      <c r="D6845" s="2" t="str">
        <f>IFERROR(__xludf.DUMMYFUNCTION("IF(C6845&lt;&gt;"""", GOOGLETRANSLATE(C6845, ""en"", ""te""),"""")"),"")</f>
        <v/>
      </c>
      <c r="E6845" s="2"/>
      <c r="F6845" s="2" t="str">
        <f>IFERROR(__xludf.DUMMYFUNCTION("IF(E6845&lt;&gt;"""", GOOGLETRANSLATE(E6845, ""en"", ""te""),"""")"),"")</f>
        <v/>
      </c>
      <c r="G6845" s="2"/>
      <c r="H6845" s="2" t="str">
        <f>IFERROR(__xludf.DUMMYFUNCTION("IF(G6845&lt;&gt;"""", GOOGLETRANSLATE(G6845, ""en"", ""te""),"""")"),"")</f>
        <v/>
      </c>
      <c r="I6845" s="3"/>
    </row>
    <row r="6846" customHeight="1" spans="1:9">
      <c r="A6846" s="2"/>
      <c r="B6846" s="2" t="str">
        <f>IFERROR(__xludf.DUMMYFUNCTION("IF(A6846&lt;&gt;"""", GOOGLETRANSLATE(A6846, ""en"", ""te""),"""")"),"")</f>
        <v/>
      </c>
      <c r="C6846" s="2"/>
      <c r="D6846" s="2" t="str">
        <f>IFERROR(__xludf.DUMMYFUNCTION("IF(C6846&lt;&gt;"""", GOOGLETRANSLATE(C6846, ""en"", ""te""),"""")"),"")</f>
        <v/>
      </c>
      <c r="E6846" s="2"/>
      <c r="F6846" s="2" t="str">
        <f>IFERROR(__xludf.DUMMYFUNCTION("IF(E6846&lt;&gt;"""", GOOGLETRANSLATE(E6846, ""en"", ""te""),"""")"),"")</f>
        <v/>
      </c>
      <c r="G6846" s="2"/>
      <c r="H6846" s="2" t="str">
        <f>IFERROR(__xludf.DUMMYFUNCTION("IF(G6846&lt;&gt;"""", GOOGLETRANSLATE(G6846, ""en"", ""te""),"""")"),"")</f>
        <v/>
      </c>
      <c r="I6846" s="3"/>
    </row>
    <row r="6847" customHeight="1" spans="1:9">
      <c r="A6847" s="2"/>
      <c r="B6847" s="2" t="str">
        <f>IFERROR(__xludf.DUMMYFUNCTION("IF(A6847&lt;&gt;"""", GOOGLETRANSLATE(A6847, ""en"", ""te""),"""")"),"")</f>
        <v/>
      </c>
      <c r="C6847" s="2"/>
      <c r="D6847" s="2" t="str">
        <f>IFERROR(__xludf.DUMMYFUNCTION("IF(C6847&lt;&gt;"""", GOOGLETRANSLATE(C6847, ""en"", ""te""),"""")"),"")</f>
        <v/>
      </c>
      <c r="E6847" s="2"/>
      <c r="F6847" s="2" t="str">
        <f>IFERROR(__xludf.DUMMYFUNCTION("IF(E6847&lt;&gt;"""", GOOGLETRANSLATE(E6847, ""en"", ""te""),"""")"),"")</f>
        <v/>
      </c>
      <c r="G6847" s="2"/>
      <c r="H6847" s="2" t="str">
        <f>IFERROR(__xludf.DUMMYFUNCTION("IF(G6847&lt;&gt;"""", GOOGLETRANSLATE(G6847, ""en"", ""te""),"""")"),"")</f>
        <v/>
      </c>
      <c r="I6847" s="3"/>
    </row>
    <row r="6848" customHeight="1" spans="1:9">
      <c r="A6848" s="2" t="s">
        <v>323</v>
      </c>
      <c r="B6848" s="2" t="str">
        <f>IFERROR(__xludf.DUMMYFUNCTION("IF(A6848&lt;&gt;"""", GOOGLETRANSLATE(A6848, ""en"", ""te""),"""")"),"[ '4 వ అత్యధిక వరుస బాతులు (4)']")</f>
        <v>[ '4 వ అత్యధిక వరుస బాతులు (4)']</v>
      </c>
      <c r="C6848" s="2" t="s">
        <v>4075</v>
      </c>
      <c r="D6848" s="2" t="str">
        <f>IFERROR(__xludf.DUMMYFUNCTION("IF(C6848&lt;&gt;"""", GOOGLETRANSLATE(C6848, ""en"", ""te""),"""")"),"[ '4 వ అత్యధిక వరుస బాతులు (4)', '37 వ ఉత్తమ కెరీర్ సమ్మె రేటు (50.5)', '50 వికెట్లు 20 వ వేగంగా (10)' '33 వ ఉత్తమ తొలి మ్యాచ్లో గణాంకాలు (8)',]")</f>
        <v>[ '4 వ అత్యధిక వరుస బాతులు (4)', '37 వ ఉత్తమ కెరీర్ సమ్మె రేటు (50.5)', '50 వికెట్లు 20 వ వేగంగా (10)' '33 వ ఉత్తమ తొలి మ్యాచ్లో గణాంకాలు (8)',]</v>
      </c>
      <c r="E6848" s="2"/>
      <c r="F6848" s="2" t="str">
        <f>IFERROR(__xludf.DUMMYFUNCTION("IF(E6848&lt;&gt;"""", GOOGLETRANSLATE(E6848, ""en"", ""te""),"""")"),"")</f>
        <v/>
      </c>
      <c r="G6848" s="2"/>
      <c r="H6848" s="2" t="str">
        <f>IFERROR(__xludf.DUMMYFUNCTION("IF(G6848&lt;&gt;"""", GOOGLETRANSLATE(G6848, ""en"", ""te""),"""")"),"")</f>
        <v/>
      </c>
      <c r="I6848" s="3"/>
    </row>
    <row r="6849" customHeight="1" spans="1:9">
      <c r="A6849" s="2"/>
      <c r="B6849" s="2" t="str">
        <f>IFERROR(__xludf.DUMMYFUNCTION("IF(A6849&lt;&gt;"""", GOOGLETRANSLATE(A6849, ""en"", ""te""),"""")"),"")</f>
        <v/>
      </c>
      <c r="C6849" s="2"/>
      <c r="D6849" s="2" t="str">
        <f>IFERROR(__xludf.DUMMYFUNCTION("IF(C6849&lt;&gt;"""", GOOGLETRANSLATE(C6849, ""en"", ""te""),"""")"),"")</f>
        <v/>
      </c>
      <c r="E6849" s="2"/>
      <c r="F6849" s="2" t="str">
        <f>IFERROR(__xludf.DUMMYFUNCTION("IF(E6849&lt;&gt;"""", GOOGLETRANSLATE(E6849, ""en"", ""te""),"""")"),"")</f>
        <v/>
      </c>
      <c r="G6849" s="2"/>
      <c r="H6849" s="2" t="str">
        <f>IFERROR(__xludf.DUMMYFUNCTION("IF(G6849&lt;&gt;"""", GOOGLETRANSLATE(G6849, ""en"", ""te""),"""")"),"")</f>
        <v/>
      </c>
      <c r="I6849" s="3"/>
    </row>
    <row r="6850" customHeight="1" spans="1:9">
      <c r="A6850" s="2"/>
      <c r="B6850" s="2" t="str">
        <f>IFERROR(__xludf.DUMMYFUNCTION("IF(A6850&lt;&gt;"""", GOOGLETRANSLATE(A6850, ""en"", ""te""),"""")"),"")</f>
        <v/>
      </c>
      <c r="C6850" s="2"/>
      <c r="D6850" s="2" t="str">
        <f>IFERROR(__xludf.DUMMYFUNCTION("IF(C6850&lt;&gt;"""", GOOGLETRANSLATE(C6850, ""en"", ""te""),"""")"),"")</f>
        <v/>
      </c>
      <c r="E6850" s="2"/>
      <c r="F6850" s="2" t="str">
        <f>IFERROR(__xludf.DUMMYFUNCTION("IF(E6850&lt;&gt;"""", GOOGLETRANSLATE(E6850, ""en"", ""te""),"""")"),"")</f>
        <v/>
      </c>
      <c r="G6850" s="2"/>
      <c r="H6850" s="2" t="str">
        <f>IFERROR(__xludf.DUMMYFUNCTION("IF(G6850&lt;&gt;"""", GOOGLETRANSLATE(G6850, ""en"", ""te""),"""")"),"")</f>
        <v/>
      </c>
      <c r="I6850" s="3"/>
    </row>
    <row r="6851" customHeight="1" spans="1:9">
      <c r="A6851" s="2"/>
      <c r="B6851" s="2" t="str">
        <f>IFERROR(__xludf.DUMMYFUNCTION("IF(A6851&lt;&gt;"""", GOOGLETRANSLATE(A6851, ""en"", ""te""),"""")"),"")</f>
        <v/>
      </c>
      <c r="C6851" s="2"/>
      <c r="D6851" s="2" t="str">
        <f>IFERROR(__xludf.DUMMYFUNCTION("IF(C6851&lt;&gt;"""", GOOGLETRANSLATE(C6851, ""en"", ""te""),"""")"),"")</f>
        <v/>
      </c>
      <c r="E6851" s="2"/>
      <c r="F6851" s="2" t="str">
        <f>IFERROR(__xludf.DUMMYFUNCTION("IF(E6851&lt;&gt;"""", GOOGLETRANSLATE(E6851, ""en"", ""te""),"""")"),"")</f>
        <v/>
      </c>
      <c r="G6851" s="2"/>
      <c r="H6851" s="2" t="str">
        <f>IFERROR(__xludf.DUMMYFUNCTION("IF(G6851&lt;&gt;"""", GOOGLETRANSLATE(G6851, ""en"", ""te""),"""")"),"")</f>
        <v/>
      </c>
      <c r="I6851" s="3"/>
    </row>
    <row r="6852" customHeight="1" spans="1:9">
      <c r="A6852" s="2" t="s">
        <v>4076</v>
      </c>
      <c r="B6852" s="2" t="str">
        <f>IFERROR(__xludf.DUMMYFUNCTION("IF(A6852&lt;&gt;"""", GOOGLETRANSLATE(A6852, ""en"", ""te""),"""")"),"[ '5 వ అత్యుత్తమ బౌలింగ్ ఇన్నింగ్స్ లో విశ్లేషించడం (6/11)' 'ఇన్నింగ్స్ (బ్యాటింగ్ స్థానం) 2 వ అత్యధిక పరుగులు (43)', 'ఇన్నింగ్స్ లో 8 వ అత్యుత్తమ బౌలింగ్ విశ్లేషణలు (6/16)', '9 వ వేగవంతమైన 200 వికెట్లు (130) ']")</f>
        <v>[ '5 వ అత్యుత్తమ బౌలింగ్ ఇన్నింగ్స్ లో విశ్లేషించడం (6/11)' 'ఇన్నింగ్స్ (బ్యాటింగ్ స్థానం) 2 వ అత్యధిక పరుగులు (43)', 'ఇన్నింగ్స్ లో 8 వ అత్యుత్తమ బౌలింగ్ విశ్లేషణలు (6/16)', '9 వ వేగవంతమైన 200 వికెట్లు (130) ']</v>
      </c>
      <c r="C6852" s="2" t="s">
        <v>4077</v>
      </c>
      <c r="D6852" s="2" t="str">
        <f>IFERROR(__xludf.DUMMYFUNCTION("IF(C6852&lt;&gt;"""", GOOGLETRANSLATE(C6852, ""en"", ""te""),"""")"),"[ '23 వ ఎత్తైన ఇన్నింగ్స్ లో సమ్మె రేటు (200.00)', 'ఇన్నింగ్స్ లో 5 వ అత్యుత్తమ బౌలింగ్ విశ్లేషణలు (6/11)', '17 వ ఉత్తమ కెరీర్ సమ్మె రేటు (45.7)', ఒక ఇన్నింగ్స్ లో '33 వ ఉత్తమ సమ్మె రేటు (8.3 ) ',' 32 వ అత్యధిక వికెట్లు బౌల్డ్ తీసుకున్న (64) ']")</f>
        <v>[ '23 వ ఎత్తైన ఇన్నింగ్స్ లో సమ్మె రేటు (200.00)', 'ఇన్నింగ్స్ లో 5 వ అత్యుత్తమ బౌలింగ్ విశ్లేషణలు (6/11)', '17 వ ఉత్తమ కెరీర్ సమ్మె రేటు (45.7)', ఒక ఇన్నింగ్స్ లో '33 వ ఉత్తమ సమ్మె రేటు (8.3 ) ',' 32 వ అత్యధిక వికెట్లు బౌల్డ్ తీసుకున్న (64) ']</v>
      </c>
      <c r="E6852" s="2" t="s">
        <v>4078</v>
      </c>
      <c r="F6852" s="2" t="str">
        <f>IFERROR(__xludf.DUMMYFUNCTION("IF(E6852&lt;&gt;"""", GOOGLETRANSLATE(E6852, ""en"", ""te""),"""")"),"[ '2nd అత్యంత ఇన్నింగ్స్ లో నడుస్తుంది (బ్యాటింగ్ స్థానం) (43)', 'ఇన్నింగ్స్ లో 43 అత్యధిక స్ట్రైక్ రేట్ (268.75)', '27 వ కెరీర్ లో వికెట్లు (247)', '20 వ ఇన్నింగ్స్ లో బెస్ట్ ఫిగర్స్ ( 6/16) ',' 8 వ అత్యుత్తమ బౌలింగ్ విశ్లేషణలు ఇన్నింగ్స్ లో (6/16) ',' "&amp;"30th ఒకే మైదానంలో అత్యధిక వికెట్లు (39) ',' 42 వ ఉత్తమ కెరీర్ సమ్మె రేటు (31.4) ',' 39 వ చెత్త ఆర్థిక రేటు ఒక ఇన్నింగ్స్ లో (11.00) ',' 15 వ అత్యంత ఐదు-వికెట్ల లో-ఒక-ఇన్నింగ్స్ కెరీర్లో (4) ',' 25 వ అత్యంత నాలుగు వికెట్లు-ఇన్-ఒక-ఇన్నింగ్స్ కెరీర్లో (10) "&amp;"',' 44 వ కెరీర్లో బౌల్డ్ అత్యంత బంతుల్లో (7764) ',' 41 వ అత్యధిక పరుగులు కెరీర్ (6169) లో సాధించిన ',' 11 వ అత్యధిక వికెట్లు బౌల్డ్ తీసుకోకూడదు (86) ',' 37 వ అత్యధిక వికెట్లు తీసుకున్న ఆకర్షించింది (136) ',' 36 వ అత్యధిక వికెట్లు ఆకర్షించింది తీసుకున్న ఒక"&amp;" ఫీల్డర్ చేత (97) ',' 38 వ అత్యధిక వికెట్లు తీసుకున్న ఎల్బిడబ్ల్యు (25) ',' 50 వికెట్లు 32 వ వేగవంతమైన (29) ',' 15 వ 100 వికెట్లు వేగంగా (60) ',' 9 వ 150 వికెట్లు వేగంగా (91) ',' 200 వికెట్లు (130) వేగంగా 9 ']")</f>
        <v>[ '2nd అత్యంత ఇన్నింగ్స్ లో నడుస్తుంది (బ్యాటింగ్ స్థానం) (43)', 'ఇన్నింగ్స్ లో 43 అత్యధిక స్ట్రైక్ రేట్ (268.75)', '27 వ కెరీర్ లో వికెట్లు (247)', '20 వ ఇన్నింగ్స్ లో బెస్ట్ ఫిగర్స్ ( 6/16) ',' 8 వ అత్యుత్తమ బౌలింగ్ విశ్లేషణలు ఇన్నింగ్స్ లో (6/16) ',' 30th ఒకే మైదానంలో అత్యధిక వికెట్లు (39) ',' 42 వ ఉత్తమ కెరీర్ సమ్మె రేటు (31.4) ',' 39 వ చెత్త ఆర్థిక రేటు ఒక ఇన్నింగ్స్ లో (11.00) ',' 15 వ అత్యంత ఐదు-వికెట్ల లో-ఒక-ఇన్నింగ్స్ కెరీర్లో (4) ',' 25 వ అత్యంత నాలుగు వికెట్లు-ఇన్-ఒక-ఇన్నింగ్స్ కెరీర్లో (10) ',' 44 వ కెరీర్లో బౌల్డ్ అత్యంత బంతుల్లో (7764) ',' 41 వ అత్యధిక పరుగులు కెరీర్ (6169) లో సాధించిన ',' 11 వ అత్యధిక వికెట్లు బౌల్డ్ తీసుకోకూడదు (86) ',' 37 వ అత్యధిక వికెట్లు తీసుకున్న ఆకర్షించింది (136) ',' 36 వ అత్యధిక వికెట్లు ఆకర్షించింది తీసుకున్న ఒక ఫీల్డర్ చేత (97) ',' 38 వ అత్యధిక వికెట్లు తీసుకున్న ఎల్బిడబ్ల్యు (25) ',' 50 వికెట్లు 32 వ వేగవంతమైన (29) ',' 15 వ 100 వికెట్లు వేగంగా (60) ',' 9 వ 150 వికెట్లు వేగంగా (91) ',' 200 వికెట్లు (130) వేగంగా 9 ']</v>
      </c>
      <c r="G6852" s="2" t="s">
        <v>4079</v>
      </c>
      <c r="H6852" s="2" t="str">
        <f>IFERROR(__xludf.DUMMYFUNCTION("IF(G6852&lt;&gt;"""", GOOGLETRANSLATE(G6852, ""en"", ""te""),"""")"),"[ '19 కెరీర్ పనికత్తెలయొద్ద (3)']")</f>
        <v>[ '19 కెరీర్ పనికత్తెలయొద్ద (3)']</v>
      </c>
      <c r="I6852" s="3"/>
    </row>
    <row r="6853" customHeight="1" spans="1:9">
      <c r="A6853" s="2" t="s">
        <v>4080</v>
      </c>
      <c r="B6853" s="2" t="str">
        <f>IFERROR(__xludf.DUMMYFUNCTION("IF(A6853&lt;&gt;"""", GOOGLETRANSLATE(A6853, ""en"", ""te""),"""")"),"[ '10 వ కెరీర్ లో చాలా బాతులు (11)', '10 వ అత్యధిక వికెట్లు తీసుకున్న స్టంప్ (13)', 'ఇన్నింగ్స్ లో 5 వ చెత్త ఆర్థిక రేటు (18.50)', '2 వ బౌలర్ / ఫీల్డర్ కలయికలు (14)']")</f>
        <v>[ '10 వ కెరీర్ లో చాలా బాతులు (11)', '10 వ అత్యధిక వికెట్లు తీసుకున్న స్టంప్ (13)', 'ఇన్నింగ్స్ లో 5 వ చెత్త ఆర్థిక రేటు (18.50)', '2 వ బౌలర్ / ఫీల్డర్ కలయికలు (14)']</v>
      </c>
      <c r="C6853" s="2"/>
      <c r="D6853" s="2" t="str">
        <f>IFERROR(__xludf.DUMMYFUNCTION("IF(C6853&lt;&gt;"""", GOOGLETRANSLATE(C6853, ""en"", ""te""),"""")"),"")</f>
        <v/>
      </c>
      <c r="E6853" s="2" t="s">
        <v>4081</v>
      </c>
      <c r="F6853" s="2" t="str">
        <f>IFERROR(__xludf.DUMMYFUNCTION("IF(E6853&lt;&gt;"""", GOOGLETRANSLATE(E6853, ""en"", ""te""),"""")"),"[ '10 వ కెరీర్ లో చాలా బాతులు (11)', '34 వ అత్యధిక వికెట్లు కెరీర్లో (78)', '45 వ ఒకే మైదానంలో అత్యధిక వికెట్లు (11)', '47 వ ఉత్తమ కెరీర్ సమ్మె రేటు (36.3)', '38 వ అత్యంత నాలుగు వికెట్లు-ఇన్-ఒక-ఇన్నింగ్స్ కెరీర్లో ఐదు వికెట్ల లో-ఒక-ఇన్నింగ్స్ (23y 257d) "&amp;"',' 46 వ కెరీర్ లో బౌల్డ్ చాలా బంతుల్లో (2838) 'తీసుకోవాలని (3)', '34 వ పిన్న ఆటగాడు, 'కెరీర్ (1777) లో 42 వ అత్యంత ఇవ్వబడిన పరుగులలో', '13 వ బౌలర్ / ఫీల్డర్ కలయికలు (16)', '36 వ అత్యధిక వికెట్లు తీసుకున్న ఆకర్షించింది (44)', '36 వ అత్యంత' 30 వ ఇన్నింగ్స్"&amp;" లో సాధించిన (74) అత్యధిక పరుగులు ' ఒక ఫీల్డర్ చేత క్యాచ్ తీసుకోబడిన వికెట్ల (36) ',' 10 వ అత్యధిక వికెట్లు తీసుకున్న స్టంప్ (13) ']")</f>
        <v>[ '10 వ కెరీర్ లో చాలా బాతులు (11)', '34 వ అత్యధిక వికెట్లు కెరీర్లో (78)', '45 వ ఒకే మైదానంలో అత్యధిక వికెట్లు (11)', '47 వ ఉత్తమ కెరీర్ సమ్మె రేటు (36.3)', '38 వ అత్యంత నాలుగు వికెట్లు-ఇన్-ఒక-ఇన్నింగ్స్ కెరీర్లో ఐదు వికెట్ల లో-ఒక-ఇన్నింగ్స్ (23y 257d) ',' 46 వ కెరీర్ లో బౌల్డ్ చాలా బంతుల్లో (2838) 'తీసుకోవాలని (3)', '34 వ పిన్న ఆటగాడు, 'కెరీర్ (1777) లో 42 వ అత్యంత ఇవ్వబడిన పరుగులలో', '13 వ బౌలర్ / ఫీల్డర్ కలయికలు (16)', '36 వ అత్యధిక వికెట్లు తీసుకున్న ఆకర్షించింది (44)', '36 వ అత్యంత' 30 వ ఇన్నింగ్స్ లో సాధించిన (74) అత్యధిక పరుగులు ' ఒక ఫీల్డర్ చేత క్యాచ్ తీసుకోబడిన వికెట్ల (36) ',' 10 వ అత్యధిక వికెట్లు తీసుకున్న స్టంప్ (13) ']</v>
      </c>
      <c r="G6853" s="2" t="s">
        <v>4082</v>
      </c>
      <c r="H6853" s="2" t="str">
        <f>IFERROR(__xludf.DUMMYFUNCTION("IF(G6853&lt;&gt;"""", GOOGLETRANSLATE(G6853, ""en"", ""te""),"""")"),"[ '27 కెరీర్లో అత్యధిక వికెట్లు (57)', 'ఇన్నింగ్స్ లో 30 వ అత్యుత్తమ బౌలింగ్ విశ్లేషణలు (4/9)', '26th సగటు (17.82) బౌలింగ్ ఉత్తమ కెరీర్లో' '21 వ ఉత్తమ కెరీర్ సమ్మె రేటు (18.3) ',' ఒక ఇన్నింగ్స్ లో 5 వ చెత్త ఆర్థిక రేటు (18.50) ',' 36 వ కెరీర్ లో బౌల్డ్ చా"&amp;"లా బంతుల్లో (1048) ',' 36 వ కెరీర్ లో సాధించిన అత్యధిక పరుగులు (1016) ',' 2 వ బౌలర్ / ఫీల్డర్ కలయికలు (14) ',' 26 వ అధిక వికెట్లు ఆకర్షించింది తీసుకోకూడదు (33) ',' 22 వ అత్యధిక వికెట్లు ఒక ఫీల్డర్ చేత క్యాచ్ తీసుకున్న (31) ',' 36 వ అత్యధిక వికెట్లు తీసుకు"&amp;"న్న ఎల్బిడబ్ల్యు (6) ',' 4 వ అత్యధిక వికెట్లు తీసుకున్న స్టంప్ (14) ']")</f>
        <v>[ '27 కెరీర్లో అత్యధిక వికెట్లు (57)', 'ఇన్నింగ్స్ లో 30 వ అత్యుత్తమ బౌలింగ్ విశ్లేషణలు (4/9)', '26th సగటు (17.82) బౌలింగ్ ఉత్తమ కెరీర్లో' '21 వ ఉత్తమ కెరీర్ సమ్మె రేటు (18.3) ',' ఒక ఇన్నింగ్స్ లో 5 వ చెత్త ఆర్థిక రేటు (18.50) ',' 36 వ కెరీర్ లో బౌల్డ్ చాలా బంతుల్లో (1048) ',' 36 వ కెరీర్ లో సాధించిన అత్యధిక పరుగులు (1016) ',' 2 వ బౌలర్ / ఫీల్డర్ కలయికలు (14) ',' 26 వ అధిక వికెట్లు ఆకర్షించింది తీసుకోకూడదు (33) ',' 22 వ అత్యధిక వికెట్లు ఒక ఫీల్డర్ చేత క్యాచ్ తీసుకున్న (31) ',' 36 వ అత్యధిక వికెట్లు తీసుకున్న ఎల్బిడబ్ల్యు (6) ',' 4 వ అత్యధిక వికెట్లు తీసుకున్న స్టంప్ (14) ']</v>
      </c>
      <c r="I6853" s="3"/>
    </row>
    <row r="6854" customHeight="1" spans="1:9">
      <c r="A6854" s="2"/>
      <c r="B6854" s="2" t="str">
        <f>IFERROR(__xludf.DUMMYFUNCTION("IF(A6854&lt;&gt;"""", GOOGLETRANSLATE(A6854, ""en"", ""te""),"""")"),"")</f>
        <v/>
      </c>
      <c r="C6854" s="2"/>
      <c r="D6854" s="2" t="str">
        <f>IFERROR(__xludf.DUMMYFUNCTION("IF(C6854&lt;&gt;"""", GOOGLETRANSLATE(C6854, ""en"", ""te""),"""")"),"")</f>
        <v/>
      </c>
      <c r="E6854" s="2"/>
      <c r="F6854" s="2" t="str">
        <f>IFERROR(__xludf.DUMMYFUNCTION("IF(E6854&lt;&gt;"""", GOOGLETRANSLATE(E6854, ""en"", ""te""),"""")"),"")</f>
        <v/>
      </c>
      <c r="G6854" s="2"/>
      <c r="H6854" s="2" t="str">
        <f>IFERROR(__xludf.DUMMYFUNCTION("IF(G6854&lt;&gt;"""", GOOGLETRANSLATE(G6854, ""en"", ""te""),"""")"),"")</f>
        <v/>
      </c>
      <c r="I6854" s="3"/>
    </row>
    <row r="6855" customHeight="1" spans="1:9">
      <c r="A6855" s="2" t="s">
        <v>4083</v>
      </c>
      <c r="B6855" s="2" t="str">
        <f>IFERROR(__xludf.DUMMYFUNCTION("IF(A6855&lt;&gt;"""", GOOGLETRANSLATE(A6855, ""en"", ""te""),"""")"),"[ 'నూట ఒక మ్యాచ్లో ఒక డక్', '5 వ లాంగెస్ట్ కెరీర్లు (19y 245d)', '6 వ అత్యధిక వరుస బాతులు (3)', 'నూట ఒక ఇన్నింగ్స్ లో నాలుగు వికెట్లు', '1000 పరుగులు, 50 వికెట్లు, 50 క్యాచ్లు ',' 5000 పరుగులు మరియు 50 ఫీల్డింగ్ వికెట్లు ',' 1 వ అత్యధిక మ్యాచ్లు కెరీర్లో "&amp;"(116) ',' 6 వ అత్యధిక పరుగులు కెరీర్లో (2335) ',' 1 వ అతి తక్కువ బాతులు కెరీర్ లో (106) ',' 3 వ అత్యంత క్యాచ్లు కెరీర్ (50) ',' ఐదవ వికెట్కు 1st అత్యధిక భాగస్వామ్యం (119 *) ']")</f>
        <v>[ 'నూట ఒక మ్యాచ్లో ఒక డక్', '5 వ లాంగెస్ట్ కెరీర్లు (19y 245d)', '6 వ అత్యధిక వరుస బాతులు (3)', 'నూట ఒక ఇన్నింగ్స్ లో నాలుగు వికెట్లు', '1000 పరుగులు, 50 వికెట్లు, 50 క్యాచ్లు ',' 5000 పరుగులు మరియు 50 ఫీల్డింగ్ వికెట్లు ',' 1 వ అత్యధిక మ్యాచ్లు కెరీర్లో (116) ',' 6 వ అత్యధిక పరుగులు కెరీర్లో (2335) ',' 1 వ అతి తక్కువ బాతులు కెరీర్ లో (106) ',' 3 వ అత్యంత క్యాచ్లు కెరీర్ (50) ',' ఐదవ వికెట్కు 1st అత్యధిక భాగస్వామ్యం (119 *) ']</v>
      </c>
      <c r="C6855" s="2" t="s">
        <v>4084</v>
      </c>
      <c r="D6855" s="2" t="str">
        <f>IFERROR(__xludf.DUMMYFUNCTION("IF(C6855&lt;&gt;"""", GOOGLETRANSLATE(C6855, ""en"", ""te""),"""")"),"[ 'ఐదవ వికెట్కు 32 వ అత్యధిక భాగస్వామ్యం (248)', '42 వ పిన్న కాప్టెన్ (25y 242d)']")</f>
        <v>[ 'ఐదవ వికెట్కు 32 వ అత్యధిక భాగస్వామ్యం (248)', '42 వ పిన్న కాప్టెన్ (25y 242d)']</v>
      </c>
      <c r="E6855" s="2" t="s">
        <v>4085</v>
      </c>
      <c r="F6855" s="2" t="str">
        <f>IFERROR(__xludf.DUMMYFUNCTION("IF(E6855&lt;&gt;"""", GOOGLETRANSLATE(E6855, ""en"", ""te""),"""")"),"[ '36 వ కెరీర్ లో అత్యధిక పరుగులు (7534)', 'ఒకే మైదానంలో 45 వ అత్యధిక పరుగులు (1030)', '39 వ ఒక జట్టు (4) వ్యతిరేకంగా అత్యధిక వందలు' '13 వ పిన్న ఆటగాడు వంద (20y 14D) స్కోర్' '46 వ అత్యంత వృద్ధ ఆటగాడు వంద (35y 69d) స్కోర్', '34 వ కెరీర్ తొంభైల (4)', 'కెర"&amp;"ీర్ లో 42 వ అత్యంత అర్ధ (53)', 'ఒక డక్ లేకుండా 41 వ వరుస ఇన్నింగ్స్ (65)', '45 వ కెరీర్ బాతులు (15)', '6 వ ఒక సిరీస్లో అత్యధిక బాతులు (3)', '6 వ అత్యధిక వరుస బాతులు (3)', '33 వ కెరీర్ లో వచ్చిన ఎక్కువ సిక్స్ (113)', '44 వ అత్యధిక కెరీర్ లో ఫోర్లు (603) ',"&amp;"' 6000 పరుగులు (205) ',' 37 వ వేగంగా 48 వ వేగవంతమైన 7000 పరుగులు (238) ',' 43 వ కెరీర్ లో బౌల్డ్ చాలా బంతుల్లో (7958) ',' 40 వ కెరీర్ (6192) లో సాధించిన అత్యధిక పరుగులు ' '35 వ అత్యధిక వికెట్లు తీసుకున్న క్యాచ్ మరియు బౌల్డ్ (10)', '21 వ అత్యధిక వికెట్లు "&amp;"తీసుకున్న స్టంప్ (16) ',' కెరీర్లో 33 వ అత్యధిక క్యాచ్లు (98) ',' మూడో వికెట్కు 12 వ అత్యధిక భాగస్వామ్యం (223) ',' నాలుగో వికెట్కు (206) ',' ఏడవ వికెట్కు 20 వ అత్యధిక భాగస్వామ్యం (111) ',' 32 వ అత్యధిక భాగస్వామ్యం 13 అత్యధిక భాగస్వామ్యం తొమ్మిదవ వికెట్కు "&amp;"(73) ',' పదవ వికెట్కు 26 అత్యధిక భాగస్వామ్యం (55) ',' 26th అత్యధిక మ్యాచ్లు కెరీర్లో (287) ',' ఒక జట్టు కోసం 24 వరుస మ్యాచ్లు (91) ',' 36 వ చాలా ఆటగాడు -of-ది-మ్యాచ్ అవార్డులు (19) ',' 17 వ అత్యంత ప్లేయర్ ఆఫ్ ది సిరీస్ అవార్డులు (5) ',' 42 వ పిన్న క్రీడాక"&amp;"ారులు (17y 255d) ',' 5 వ లాంగెస్ట్ కెరీర్లు (19y 245d) ',' 48 వ పిన్న కాప్టెన్ (25y 106d) ',' 38 వ ఓల్డెస్ట్ కాప్టెన్ (37y 54d) ']")</f>
        <v>[ '36 వ కెరీర్ లో అత్యధిక పరుగులు (7534)', 'ఒకే మైదానంలో 45 వ అత్యధిక పరుగులు (1030)', '39 వ ఒక జట్టు (4) వ్యతిరేకంగా అత్యధిక వందలు' '13 వ పిన్న ఆటగాడు వంద (20y 14D) స్కోర్' '46 వ అత్యంత వృద్ధ ఆటగాడు వంద (35y 69d) స్కోర్', '34 వ కెరీర్ తొంభైల (4)', 'కెరీర్ లో 42 వ అత్యంత అర్ధ (53)', 'ఒక డక్ లేకుండా 41 వ వరుస ఇన్నింగ్స్ (65)', '45 వ కెరీర్ బాతులు (15)', '6 వ ఒక సిరీస్లో అత్యధిక బాతులు (3)', '6 వ అత్యధిక వరుస బాతులు (3)', '33 వ కెరీర్ లో వచ్చిన ఎక్కువ సిక్స్ (113)', '44 వ అత్యధిక కెరీర్ లో ఫోర్లు (603) ',' 6000 పరుగులు (205) ',' 37 వ వేగంగా 48 వ వేగవంతమైన 7000 పరుగులు (238) ',' 43 వ కెరీర్ లో బౌల్డ్ చాలా బంతుల్లో (7958) ',' 40 వ కెరీర్ (6192) లో సాధించిన అత్యధిక పరుగులు ' '35 వ అత్యధిక వికెట్లు తీసుకున్న క్యాచ్ మరియు బౌల్డ్ (10)', '21 వ అత్యధిక వికెట్లు తీసుకున్న స్టంప్ (16) ',' కెరీర్లో 33 వ అత్యధిక క్యాచ్లు (98) ',' మూడో వికెట్కు 12 వ అత్యధిక భాగస్వామ్యం (223) ',' నాలుగో వికెట్కు (206) ',' ఏడవ వికెట్కు 20 వ అత్యధిక భాగస్వామ్యం (111) ',' 32 వ అత్యధిక భాగస్వామ్యం 13 అత్యధిక భాగస్వామ్యం తొమ్మిదవ వికెట్కు (73) ',' పదవ వికెట్కు 26 అత్యధిక భాగస్వామ్యం (55) ',' 26th అత్యధిక మ్యాచ్లు కెరీర్లో (287) ',' ఒక జట్టు కోసం 24 వరుస మ్యాచ్లు (91) ',' 36 వ చాలా ఆటగాడు -of-ది-మ్యాచ్ అవార్డులు (19) ',' 17 వ అత్యంత ప్లేయర్ ఆఫ్ ది సిరీస్ అవార్డులు (5) ',' 42 వ పిన్న క్రీడాకారులు (17y 255d) ',' 5 వ లాంగెస్ట్ కెరీర్లు (19y 245d) ',' 48 వ పిన్న కాప్టెన్ (25y 106d) ',' 38 వ ఓల్డెస్ట్ కాప్టెన్ (37y 54d) ']</v>
      </c>
      <c r="G6855" s="2" t="s">
        <v>4086</v>
      </c>
      <c r="H6855" s="2" t="str">
        <f>IFERROR(__xludf.DUMMYFUNCTION("IF(G6855&lt;&gt;"""", GOOGLETRANSLATE(G6855, ""en"", ""te""),"""")"),"[ 'కెరీర్లో 6 వ అత్యధిక పరుగులు (2335)', '37 వ ఇన్నింగ్స్ లో అత్యధిక పరుగులు (బ్యాటింగ్ స్థానంలో ద్వారా) (75)', 'ఒకే మైదానంలో 46 వ అత్యధిక పరుగులు (270)', '39 వ అత్యధిక కెరీర్ బ్యాటింగ్ సగటు (31.13 ) ',' 32 వ అత్యంత అర్ధ కెరీర్లో (8) ',' చాలా 5 వ ఇన్నింగ"&amp;"్స్ తొలి డక్ ముందు (40) ',' ఒక డక్ లేకుండా 4 వ అత్యధిక వరుస ఇన్నింగ్స్ (65 *) ',' 1 వ అతి తక్కువ బాతులు కెరీర్ లో (106) ' 'కెరీర్లో 30 వ ఎక్కువ సిక్స్ (61)', '12 వ అత్యంత ఫోర్లు కెరీర్లో (192)', '47 వ ఉత్తమ కెరీర్ ఆర్థిక రేటు (7.08)', '45 వ బౌలర్ / ఫీల్డర"&amp;"్ కలయికలు (6)', '13 వ అత్యధిక వికెట్లు తీసుకున్న స్టంప్డ్ (6) ',' కెరీర్ లో 3 వ అత్యధిక క్యాచ్లు (50) ',' 15 వ ఇన్నింగ్స్ లో అత్యధిక క్యాచ్లు (3) ',' వికెట్ తేడాతో 5 వ అత్యధిక భాగస్వామ్యాల (5 వ) ఐదో వికెట్కు ',' 1 వ అత్యధిక భాగస్వామ్యం (119 *) ',' ఆరవ విక"&amp;"ెట్కు 42 వ అత్యధిక భాగస్వామ్యం (63) ',' ఎనిమిదవ వికెట్ (50 *) కోసం 14 అత్యధిక భాగస్వామ్యం ',' 1st కెరీర్లో అత్యధిక మ్యాచ్లు (116) ',' 40 వ వరుస జట్టు మ్యాచ్లు (30) ',' 28 వ అతి ప్లేయర్ ఆఫ్ ది మ్యాచ్ అవార్డులు (5) ',' 4 వ అత్యంత ప్లేయర్ ఆఫ్ ది సిరీస్ అవార్"&amp;"డులు (3) ',' 6 వ లాంగెస్ట్ కెరీర్లు (14y 4D) ',' 34 వ అత్యధిక మ్యాచ్లు కెప్టెన్గా (20) ',' 39 వ పిన్న కాప్టెన్ (25y 213d) ',' 40 వ ఓల్డెస్ట్ కాప్టెన్ (37y 5D) ']")</f>
        <v>[ 'కెరీర్లో 6 వ అత్యధిక పరుగులు (2335)', '37 వ ఇన్నింగ్స్ లో అత్యధిక పరుగులు (బ్యాటింగ్ స్థానంలో ద్వారా) (75)', 'ఒకే మైదానంలో 46 వ అత్యధిక పరుగులు (270)', '39 వ అత్యధిక కెరీర్ బ్యాటింగ్ సగటు (31.13 ) ',' 32 వ అత్యంత అర్ధ కెరీర్లో (8) ',' చాలా 5 వ ఇన్నింగ్స్ తొలి డక్ ముందు (40) ',' ఒక డక్ లేకుండా 4 వ అత్యధిక వరుస ఇన్నింగ్స్ (65 *) ',' 1 వ అతి తక్కువ బాతులు కెరీర్ లో (106) ' 'కెరీర్లో 30 వ ఎక్కువ సిక్స్ (61)', '12 వ అత్యంత ఫోర్లు కెరీర్లో (192)', '47 వ ఉత్తమ కెరీర్ ఆర్థిక రేటు (7.08)', '45 వ బౌలర్ / ఫీల్డర్ కలయికలు (6)', '13 వ అత్యధిక వికెట్లు తీసుకున్న స్టంప్డ్ (6) ',' కెరీర్ లో 3 వ అత్యధిక క్యాచ్లు (50) ',' 15 వ ఇన్నింగ్స్ లో అత్యధిక క్యాచ్లు (3) ',' వికెట్ తేడాతో 5 వ అత్యధిక భాగస్వామ్యాల (5 వ) ఐదో వికెట్కు ',' 1 వ అత్యధిక భాగస్వామ్యం (119 *) ',' ఆరవ వికెట్కు 42 వ అత్యధిక భాగస్వామ్యం (63) ',' ఎనిమిదవ వికెట్ (50 *) కోసం 14 అత్యధిక భాగస్వామ్యం ',' 1st కెరీర్లో అత్యధిక మ్యాచ్లు (116) ',' 40 వ వరుస జట్టు మ్యాచ్లు (30) ',' 28 వ అతి ప్లేయర్ ఆఫ్ ది మ్యాచ్ అవార్డులు (5) ',' 4 వ అత్యంత ప్లేయర్ ఆఫ్ ది సిరీస్ అవార్డులు (3) ',' 6 వ లాంగెస్ట్ కెరీర్లు (14y 4D) ',' 34 వ అత్యధిక మ్యాచ్లు కెప్టెన్గా (20) ',' 39 వ పిన్న కాప్టెన్ (25y 213d) ',' 40 వ ఓల్డెస్ట్ కాప్టెన్ (37y 5D) ']</v>
      </c>
      <c r="I6855" s="3"/>
    </row>
    <row r="6856" customHeight="1" spans="1:9">
      <c r="A6856" s="2"/>
      <c r="B6856" s="2" t="str">
        <f>IFERROR(__xludf.DUMMYFUNCTION("IF(A6856&lt;&gt;"""", GOOGLETRANSLATE(A6856, ""en"", ""te""),"""")"),"")</f>
        <v/>
      </c>
      <c r="C6856" s="2"/>
      <c r="D6856" s="2" t="str">
        <f>IFERROR(__xludf.DUMMYFUNCTION("IF(C6856&lt;&gt;"""", GOOGLETRANSLATE(C6856, ""en"", ""te""),"""")"),"")</f>
        <v/>
      </c>
      <c r="E6856" s="2"/>
      <c r="F6856" s="2" t="str">
        <f>IFERROR(__xludf.DUMMYFUNCTION("IF(E6856&lt;&gt;"""", GOOGLETRANSLATE(E6856, ""en"", ""te""),"""")"),"")</f>
        <v/>
      </c>
      <c r="G6856" s="2"/>
      <c r="H6856" s="2" t="str">
        <f>IFERROR(__xludf.DUMMYFUNCTION("IF(G6856&lt;&gt;"""", GOOGLETRANSLATE(G6856, ""en"", ""te""),"""")"),"")</f>
        <v/>
      </c>
      <c r="I6856" s="3"/>
    </row>
    <row r="6857" customHeight="1" spans="1:9">
      <c r="A6857" s="2"/>
      <c r="B6857" s="2" t="str">
        <f>IFERROR(__xludf.DUMMYFUNCTION("IF(A6857&lt;&gt;"""", GOOGLETRANSLATE(A6857, ""en"", ""te""),"""")"),"")</f>
        <v/>
      </c>
      <c r="C6857" s="2"/>
      <c r="D6857" s="2" t="str">
        <f>IFERROR(__xludf.DUMMYFUNCTION("IF(C6857&lt;&gt;"""", GOOGLETRANSLATE(C6857, ""en"", ""te""),"""")"),"")</f>
        <v/>
      </c>
      <c r="E6857" s="2"/>
      <c r="F6857" s="2" t="str">
        <f>IFERROR(__xludf.DUMMYFUNCTION("IF(E6857&lt;&gt;"""", GOOGLETRANSLATE(E6857, ""en"", ""te""),"""")"),"")</f>
        <v/>
      </c>
      <c r="G6857" s="2"/>
      <c r="H6857" s="2" t="str">
        <f>IFERROR(__xludf.DUMMYFUNCTION("IF(G6857&lt;&gt;"""", GOOGLETRANSLATE(G6857, ""en"", ""te""),"""")"),"")</f>
        <v/>
      </c>
      <c r="I6857" s="3"/>
    </row>
    <row r="6858" customHeight="1" spans="1:9">
      <c r="A6858" s="2"/>
      <c r="B6858" s="2" t="str">
        <f>IFERROR(__xludf.DUMMYFUNCTION("IF(A6858&lt;&gt;"""", GOOGLETRANSLATE(A6858, ""en"", ""te""),"""")"),"")</f>
        <v/>
      </c>
      <c r="C6858" s="2"/>
      <c r="D6858" s="2" t="str">
        <f>IFERROR(__xludf.DUMMYFUNCTION("IF(C6858&lt;&gt;"""", GOOGLETRANSLATE(C6858, ""en"", ""te""),"""")"),"")</f>
        <v/>
      </c>
      <c r="E6858" s="2"/>
      <c r="F6858" s="2" t="str">
        <f>IFERROR(__xludf.DUMMYFUNCTION("IF(E6858&lt;&gt;"""", GOOGLETRANSLATE(E6858, ""en"", ""te""),"""")"),"")</f>
        <v/>
      </c>
      <c r="G6858" s="2"/>
      <c r="H6858" s="2" t="str">
        <f>IFERROR(__xludf.DUMMYFUNCTION("IF(G6858&lt;&gt;"""", GOOGLETRANSLATE(G6858, ""en"", ""te""),"""")"),"")</f>
        <v/>
      </c>
      <c r="I6858" s="3"/>
    </row>
    <row r="6859" customHeight="1" spans="1:9">
      <c r="A6859" s="2" t="s">
        <v>4087</v>
      </c>
      <c r="B6859" s="2" t="str">
        <f>IFERROR(__xludf.DUMMYFUNCTION("IF(A6859&lt;&gt;"""", GOOGLETRANSLATE(A6859, ""en"", ""te""),"""")"),"[ '4 వ ఉత్తమ కెరీర్ సమ్మె రేటు (25.1)', '1 వ వరుస నాలుగు వికెట్లు-ఇన్-ఒక-ఇన్నింగ్స్ (3)', '7 వ 50 వికెట్లు (25) వేగంగా']")</f>
        <v>[ '4 వ ఉత్తమ కెరీర్ సమ్మె రేటు (25.1)', '1 వ వరుస నాలుగు వికెట్లు-ఇన్-ఒక-ఇన్నింగ్స్ (3)', '7 వ 50 వికెట్లు (25) వేగంగా']</v>
      </c>
      <c r="C6859" s="2" t="s">
        <v>4088</v>
      </c>
      <c r="D6859" s="2" t="str">
        <f>IFERROR(__xludf.DUMMYFUNCTION("IF(C6859&lt;&gt;"""", GOOGLETRANSLATE(C6859, ""en"", ""te""),"""")"),"[ '25 పిన్న ఆటగాడు ఐదు వికెట్ల లో-ఒక-ఇన్నింగ్స్ తీసుకోవాలని (19y 257d)']")</f>
        <v>[ '25 పిన్న ఆటగాడు ఐదు వికెట్ల లో-ఒక-ఇన్నింగ్స్ తీసుకోవాలని (19y 257d)']</v>
      </c>
      <c r="E6859" s="2" t="s">
        <v>4089</v>
      </c>
      <c r="F6859" s="2" t="str">
        <f>IFERROR(__xludf.DUMMYFUNCTION("IF(E6859&lt;&gt;"""", GOOGLETRANSLATE(E6859, ""en"", ""te""),"""")"),"[ '4 వ ఉత్తమ కెరీర్ సమ్మె రేటు (25.1)' '24 వ ఉత్తమ కెరీర్ సగటు (22.90) బౌలింగ్', 'ఒక కెరీర్ లో 43 వ అత్యంత ఐదు-వికెట్ల లో-ఒక-ఇన్నింగ్స్ (2)', '2 వ వరుస ఐదు వికెట్లు -ఇన్-ఒక-ఇన్నింగ్స్ (2) ',' 1 వ వరుస నాలుగు వికెట్లు-ఇన్-ఒక-ఇన్నింగ్స్ (3) ',' తీసుకోవాలని "&amp;"8 వ పిన్న ఆటగాడు ఐదు వికెట్ల లో-ఒక-ఇన్నింగ్స్ (19y 90D) ', '7 వ వేగవంతమైన 50 వికెట్లు (25)', 'పదవ వికెట్కు 45 వ అత్యధిక భాగస్వామ్యం (47)']")</f>
        <v>[ '4 వ ఉత్తమ కెరీర్ సమ్మె రేటు (25.1)' '24 వ ఉత్తమ కెరీర్ సగటు (22.90) బౌలింగ్', 'ఒక కెరీర్ లో 43 వ అత్యంత ఐదు-వికెట్ల లో-ఒక-ఇన్నింగ్స్ (2)', '2 వ వరుస ఐదు వికెట్లు -ఇన్-ఒక-ఇన్నింగ్స్ (2) ',' 1 వ వరుస నాలుగు వికెట్లు-ఇన్-ఒక-ఇన్నింగ్స్ (3) ',' తీసుకోవాలని 8 వ పిన్న ఆటగాడు ఐదు వికెట్ల లో-ఒక-ఇన్నింగ్స్ (19y 90D) ', '7 వ వేగవంతమైన 50 వికెట్లు (25)', 'పదవ వికెట్కు 45 వ అత్యధిక భాగస్వామ్యం (47)']</v>
      </c>
      <c r="G6859" s="2" t="s">
        <v>4090</v>
      </c>
      <c r="H6859" s="2" t="str">
        <f>IFERROR(__xludf.DUMMYFUNCTION("IF(G6859&lt;&gt;"""", GOOGLETRANSLATE(G6859, ""en"", ""te""),"""")"),"[ '38 వ చెత్త కెరీర్లో ఆర్థిక రేటు (7.93)']")</f>
        <v>[ '38 వ చెత్త కెరీర్లో ఆర్థిక రేటు (7.93)']</v>
      </c>
      <c r="I6859" s="3"/>
    </row>
    <row r="6860" customHeight="1" spans="1:9">
      <c r="A6860" s="2" t="s">
        <v>4091</v>
      </c>
      <c r="B6860" s="2" t="str">
        <f>IFERROR(__xludf.DUMMYFUNCTION("IF(A6860&lt;&gt;"""", GOOGLETRANSLATE(A6860, ""en"", ""te""),"""")"),"[ '5 వ వేగవంతమైన 150 వికెట్లు (29)', 'ఒక క్యాలెండర్ సంవత్సరంలో 3 వ అత్యధిక వికెట్లు (62)', '10 వ అత్యంత వృద్ధ ఆటగాడు తొలి తీసుకుని ఐదు-వికెట్ల లో-ఒక-ఇన్నింగ్స్ (34y 122d)', '5 వ ఒక జట్టు వరుస మ్యాచ్లు (54) ',' ఒకే క్రీడా 5 వ అత్యధిక వికెట్లు (19) ',' 10 "&amp;"వ ఉత్తమ కెరీర్ ఆర్థిక రేటు (6.36) ',' 4 వ అత్యంత నాలుగు వికెట్లు-ఇన్-ఒక-ఇన్నింగ్స్ కెరీర్లో (4) ',' కెరీర్ (1430) లో బౌల్డ్ 6 వ అత్యంత బంతుల్లో ',' 1 వ అత్యధిక వికెట్లు స్టంప్ తీసుకోకూడదు (19) ',' 9 వ 50 వికెట్లు వేగంగా (37) ',' 6 వ ఒక క్యాలెండర్ సంవత్సరం"&amp;"లో అత్యధిక వికెట్లు (111) ',' 4 వ అత్యధిక వికెట్లు స్టంప్ తీసుకున్న (52) ']")</f>
        <v>[ '5 వ వేగవంతమైన 150 వికెట్లు (29)', 'ఒక క్యాలెండర్ సంవత్సరంలో 3 వ అత్యధిక వికెట్లు (62)', '10 వ అత్యంత వృద్ధ ఆటగాడు తొలి తీసుకుని ఐదు-వికెట్ల లో-ఒక-ఇన్నింగ్స్ (34y 122d)', '5 వ ఒక జట్టు వరుస మ్యాచ్లు (54) ',' ఒకే క్రీడా 5 వ అత్యధిక వికెట్లు (19) ',' 10 వ ఉత్తమ కెరీర్ ఆర్థిక రేటు (6.36) ',' 4 వ అత్యంత నాలుగు వికెట్లు-ఇన్-ఒక-ఇన్నింగ్స్ కెరీర్లో (4) ',' కెరీర్ (1430) లో బౌల్డ్ 6 వ అత్యంత బంతుల్లో ',' 1 వ అత్యధిక వికెట్లు స్టంప్ తీసుకోకూడదు (19) ',' 9 వ 50 వికెట్లు వేగంగా (37) ',' 6 వ ఒక క్యాలెండర్ సంవత్సరంలో అత్యధిక వికెట్లు (111) ',' 4 వ అత్యధిక వికెట్లు స్టంప్ తీసుకున్న (52) ']</v>
      </c>
      <c r="C6860" s="2" t="s">
        <v>4092</v>
      </c>
      <c r="D6860" s="2" t="str">
        <f>IFERROR(__xludf.DUMMYFUNCTION("IF(C6860&lt;&gt;"""", GOOGLETRANSLATE(C6860, ""en"", ""te""),"""")"),"[ '15 మ్యాచ్లో బెస్ట్ ఫిగర్స్ పరాజయం వైపు (11) ఉన్నప్పుడు', '19 వ అత్యంత పది వికెట్లు లో ఒక మ్యాచ్ ఒక వృత్తిలో (4)', '17 వ అత్యంత వృద్ధ ఆటగాడు పది వికెట్ల తేడాతో in- తీసుకోవాలని ఒక మ్యాచ్ (35y 324d) ',' 26th అత్యధిక వికెట్లు తీసుకున్న ఎల్బిడబ్ల్యు (59) '"&amp;",' 16 వ అత్యధిక వికెట్లు స్టంప్ తీసుకోకూడదు (13) ',' 41 వ 50 వికెట్లు (11) ',' 7th 100 వికెట్లు వేగంగా వేగంగా (19 ) ',' 5 వ 150 వికెట్లు (వేగంగా 29) ',' 44 వ అత్యంత ప్లేయర్ ఆఫ్ ది సిరీస్ అవార్డులు (3) ']")</f>
        <v>[ '15 మ్యాచ్లో బెస్ట్ ఫిగర్స్ పరాజయం వైపు (11) ఉన్నప్పుడు', '19 వ అత్యంత పది వికెట్లు లో ఒక మ్యాచ్ ఒక వృత్తిలో (4)', '17 వ అత్యంత వృద్ధ ఆటగాడు పది వికెట్ల తేడాతో in- తీసుకోవాలని ఒక మ్యాచ్ (35y 324d) ',' 26th అత్యధిక వికెట్లు తీసుకున్న ఎల్బిడబ్ల్యు (59) ',' 16 వ అత్యధిక వికెట్లు స్టంప్ తీసుకోకూడదు (13) ',' 41 వ 50 వికెట్లు (11) ',' 7th 100 వికెట్లు వేగంగా వేగంగా (19 ) ',' 5 వ 150 వికెట్లు (వేగంగా 29) ',' 44 వ అత్యంత ప్లేయర్ ఆఫ్ ది సిరీస్ అవార్డులు (3) ']</v>
      </c>
      <c r="E6860" s="2" t="s">
        <v>4093</v>
      </c>
      <c r="F6860" s="2" t="str">
        <f>IFERROR(__xludf.DUMMYFUNCTION("IF(E6860&lt;&gt;"""", GOOGLETRANSLATE(E6860, ""en"", ""te""),"""")"),"[ '11 వ ఇన్నింగ్స్ లో అత్యధిక పరుగులు (బ్యాటింగ్ స్థానంలో ప్రకారం) (33)', '49 వ కెరీర్ లో అత్యధిక వికెట్లు (184)', '3 వ భాగం ఒక క్యాలెండర్ సంవత్సరంలో వికెట్లు (62)', '14 వ ఒక ఇన్నింగ్స్ ఉన్నప్పుడు ఉత్తమ బొమ్మలు పరాజయం వైపు (5) ',' 23 వ ఉత్తమ కెరీర్ సగటు "&amp;"(22.72) ',' ఇన్నింగ్స్ లో 29 ఉత్తమ ఆర్థిక రేటు (0.85) ',' 43 వ అత్యంత ఐదు-వికెట్ల లో-ఒక-ఇన్నింగ్స్ కెరీర్లో (2 బౌలింగ్ ) ',' 43 వ అత్యంత నాలుగు వికెట్లు-ఇన్-ఒక-ఇన్నింగ్స్ కెరీర్లో (8) ',' ఐదు వికెట్ల లో-ఒక-ఇన్నింగ్స్ తీసుకోవాలని తీసుకోవాలని 14 వ అత్యంత వృ"&amp;"ద్ధ ఆటగాడు (35y 84d) ',' 10 వ అత్యంత వృద్ధ ఆటగాడు ఒక ఐదు వికెట్ల లో-ఒక-ఇన్నింగ్స్ తొలి (34y 122d) ',' 25 వ అత్యధిక వికెట్లు ఆకర్షించింది తీసుకున్న మరియు బౌల్డ్ (11) ',' 26th అత్యధిక వికెట్లు తీసుకున్న ఎల్బిడబ్ల్యు (36) ',' 14 వ అత్యధిక వికెట్లు స్టంప్ తీస"&amp;"ుకున్న (20) ',' 150 వికెట్లు (93) కు 100 వికెట్లు వేగంగా 45 వ (69) ',' 11 వ వేగవంతమైన ']")</f>
        <v>[ '11 వ ఇన్నింగ్స్ లో అత్యధిక పరుగులు (బ్యాటింగ్ స్థానంలో ప్రకారం) (33)', '49 వ కెరీర్ లో అత్యధిక వికెట్లు (184)', '3 వ భాగం ఒక క్యాలెండర్ సంవత్సరంలో వికెట్లు (62)', '14 వ ఒక ఇన్నింగ్స్ ఉన్నప్పుడు ఉత్తమ బొమ్మలు పరాజయం వైపు (5) ',' 23 వ ఉత్తమ కెరీర్ సగటు (22.72) ',' ఇన్నింగ్స్ లో 29 ఉత్తమ ఆర్థిక రేటు (0.85) ',' 43 వ అత్యంత ఐదు-వికెట్ల లో-ఒక-ఇన్నింగ్స్ కెరీర్లో (2 బౌలింగ్ ) ',' 43 వ అత్యంత నాలుగు వికెట్లు-ఇన్-ఒక-ఇన్నింగ్స్ కెరీర్లో (8) ',' ఐదు వికెట్ల లో-ఒక-ఇన్నింగ్స్ తీసుకోవాలని తీసుకోవాలని 14 వ అత్యంత వృద్ధ ఆటగాడు (35y 84d) ',' 10 వ అత్యంత వృద్ధ ఆటగాడు ఒక ఐదు వికెట్ల లో-ఒక-ఇన్నింగ్స్ తొలి (34y 122d) ',' 25 వ అత్యధిక వికెట్లు ఆకర్షించింది తీసుకున్న మరియు బౌల్డ్ (11) ',' 26th అత్యధిక వికెట్లు తీసుకున్న ఎల్బిడబ్ల్యు (36) ',' 14 వ అత్యధిక వికెట్లు స్టంప్ తీసుకున్న (20) ',' 150 వికెట్లు (93) కు 100 వికెట్లు వేగంగా 45 వ (69) ',' 11 వ వేగవంతమైన ']</v>
      </c>
      <c r="G6860" s="2" t="s">
        <v>4094</v>
      </c>
      <c r="H6860" s="2" t="str">
        <f>IFERROR(__xludf.DUMMYFUNCTION("IF(G6860&lt;&gt;"""", GOOGLETRANSLATE(G6860, ""en"", ""te""),"""")"),"[ '12 వ ఇన్నింగ్స్ లో అత్యధిక పరుగులు (బ్యాటింగ్ స్థానంలో ప్రకారం) (21 *)', 'కెరీర్ లో 6 వ అత్యధిక వికెట్లు (85)', '11 వ ఒక క్యాలెండర్ సంవత్సరంలో అత్యధిక వికెట్లు (25)', '5 వ అత్యధిక వికెట్లు ఒక సింగిల్గా భూమి (19) ',' ఒక ఇన్నింగ్స్ లో 8 వ బెస్ట్ ఫిగర్స్ "&amp;"ఉన్నప్పుడు పరాజయం వైపు (4) ',' 12 వ ఉత్తమ కెరీర్ సగటు (17.83) ',' 10 వ ఉత్తమ కెరీర్ ఎకానమీ రేట్ బౌలింగ్ (6.36) ',' 32 వ ఉత్తమ కెరీర్ సమ్మె రేటు (16.8) ',' 4 వ అత్యంత నాలుగు వికెట్లు-ఇన్-ఒక-ఇన్నింగ్స్ కెరీర్లో (4) ',' 6 వ అత్యంత బంతుల్లో కెరీర్లో బౌల్డ్ ("&amp;"1430) ',' 14 వ కెరీర్ లో సాధించిన అత్యధిక పరుగులు (1516) ', '17 వ బౌలర్ / బ్యాట్స్ కలయికలు (3)', '2 వ బౌలర్ / ఫీల్డర్ కలయికలు (15)', '17 వ అత్యధిక వికెట్లు తీసుకున్న బౌల్డ్ (16)', '14 వ అత్యధిక వికెట్లు తీసుకున్న ఆకర్షించింది (41)', '10 వ అత్యధిక వికెట్లు"&amp;" ఆకర్షించింది తీసుకున్న ఒక ఫీల్డర్ చేత (39) ',' 8 వ అత్యధిక వికెట్లు తీసుకున్న ఎల్బిడబ్ల్యు (9) ',' 1 వ అత్యధిక వికెట్లు స్టంప్ (19) ',' ఫాస్టెస్ట్ 9 50 వికెట్లు (37) ',' పదవ వికెట్కు 23 అత్యధిక భాగస్వామ్యం (తీసుకోవాలి 20 *) ',' 46 వ కెరీర్ లో అత్యధిక మ్య"&amp;"ాచ్లు (64) ',' ఒక జట్టు 5 వ వరుస మ్యాచ్లు (54) ']")</f>
        <v>[ '12 వ ఇన్నింగ్స్ లో అత్యధిక పరుగులు (బ్యాటింగ్ స్థానంలో ప్రకారం) (21 *)', 'కెరీర్ లో 6 వ అత్యధిక వికెట్లు (85)', '11 వ ఒక క్యాలెండర్ సంవత్సరంలో అత్యధిక వికెట్లు (25)', '5 వ అత్యధిక వికెట్లు ఒక సింగిల్గా భూమి (19) ',' ఒక ఇన్నింగ్స్ లో 8 వ బెస్ట్ ఫిగర్స్ ఉన్నప్పుడు పరాజయం వైపు (4) ',' 12 వ ఉత్తమ కెరీర్ సగటు (17.83) ',' 10 వ ఉత్తమ కెరీర్ ఎకానమీ రేట్ బౌలింగ్ (6.36) ',' 32 వ ఉత్తమ కెరీర్ సమ్మె రేటు (16.8) ',' 4 వ అత్యంత నాలుగు వికెట్లు-ఇన్-ఒక-ఇన్నింగ్స్ కెరీర్లో (4) ',' 6 వ అత్యంత బంతుల్లో కెరీర్లో బౌల్డ్ (1430) ',' 14 వ కెరీర్ లో సాధించిన అత్యధిక పరుగులు (1516) ', '17 వ బౌలర్ / బ్యాట్స్ కలయికలు (3)', '2 వ బౌలర్ / ఫీల్డర్ కలయికలు (15)', '17 వ అత్యధిక వికెట్లు తీసుకున్న బౌల్డ్ (16)', '14 వ అత్యధిక వికెట్లు తీసుకున్న ఆకర్షించింది (41)', '10 వ అత్యధిక వికెట్లు ఆకర్షించింది తీసుకున్న ఒక ఫీల్డర్ చేత (39) ',' 8 వ అత్యధిక వికెట్లు తీసుకున్న ఎల్బిడబ్ల్యు (9) ',' 1 వ అత్యధిక వికెట్లు స్టంప్ (19) ',' ఫాస్టెస్ట్ 9 50 వికెట్లు (37) ',' పదవ వికెట్కు 23 అత్యధిక భాగస్వామ్యం (తీసుకోవాలి 20 *) ',' 46 వ కెరీర్ లో అత్యధిక మ్యాచ్లు (64) ',' ఒక జట్టు 5 వ వరుస మ్యాచ్లు (54) ']</v>
      </c>
      <c r="I6860" s="3"/>
    </row>
    <row r="6861" customHeight="1" spans="1:9">
      <c r="A6861" s="2"/>
      <c r="B6861" s="2" t="str">
        <f>IFERROR(__xludf.DUMMYFUNCTION("IF(A6861&lt;&gt;"""", GOOGLETRANSLATE(A6861, ""en"", ""te""),"""")"),"")</f>
        <v/>
      </c>
      <c r="C6861" s="2"/>
      <c r="D6861" s="2" t="str">
        <f>IFERROR(__xludf.DUMMYFUNCTION("IF(C6861&lt;&gt;"""", GOOGLETRANSLATE(C6861, ""en"", ""te""),"""")"),"")</f>
        <v/>
      </c>
      <c r="E6861" s="2"/>
      <c r="F6861" s="2" t="str">
        <f>IFERROR(__xludf.DUMMYFUNCTION("IF(E6861&lt;&gt;"""", GOOGLETRANSLATE(E6861, ""en"", ""te""),"""")"),"")</f>
        <v/>
      </c>
      <c r="G6861" s="2"/>
      <c r="H6861" s="2" t="str">
        <f>IFERROR(__xludf.DUMMYFUNCTION("IF(G6861&lt;&gt;"""", GOOGLETRANSLATE(G6861, ""en"", ""te""),"""")"),"")</f>
        <v/>
      </c>
      <c r="I6861" s="3"/>
    </row>
    <row r="6862" customHeight="1" spans="1:9">
      <c r="A6862" s="2"/>
      <c r="B6862" s="2" t="str">
        <f>IFERROR(__xludf.DUMMYFUNCTION("IF(A6862&lt;&gt;"""", GOOGLETRANSLATE(A6862, ""en"", ""te""),"""")"),"")</f>
        <v/>
      </c>
      <c r="C6862" s="2"/>
      <c r="D6862" s="2" t="str">
        <f>IFERROR(__xludf.DUMMYFUNCTION("IF(C6862&lt;&gt;"""", GOOGLETRANSLATE(C6862, ""en"", ""te""),"""")"),"")</f>
        <v/>
      </c>
      <c r="E6862" s="2"/>
      <c r="F6862" s="2" t="str">
        <f>IFERROR(__xludf.DUMMYFUNCTION("IF(E6862&lt;&gt;"""", GOOGLETRANSLATE(E6862, ""en"", ""te""),"""")"),"")</f>
        <v/>
      </c>
      <c r="G6862" s="2"/>
      <c r="H6862" s="2" t="str">
        <f>IFERROR(__xludf.DUMMYFUNCTION("IF(G6862&lt;&gt;"""", GOOGLETRANSLATE(G6862, ""en"", ""te""),"""")"),"")</f>
        <v/>
      </c>
      <c r="I6862" s="3"/>
    </row>
    <row r="6863" customHeight="1" spans="1:9">
      <c r="A6863" s="2"/>
      <c r="B6863" s="2" t="str">
        <f>IFERROR(__xludf.DUMMYFUNCTION("IF(A6863&lt;&gt;"""", GOOGLETRANSLATE(A6863, ""en"", ""te""),"""")"),"")</f>
        <v/>
      </c>
      <c r="C6863" s="2"/>
      <c r="D6863" s="2" t="str">
        <f>IFERROR(__xludf.DUMMYFUNCTION("IF(C6863&lt;&gt;"""", GOOGLETRANSLATE(C6863, ""en"", ""te""),"""")"),"")</f>
        <v/>
      </c>
      <c r="E6863" s="2"/>
      <c r="F6863" s="2" t="str">
        <f>IFERROR(__xludf.DUMMYFUNCTION("IF(E6863&lt;&gt;"""", GOOGLETRANSLATE(E6863, ""en"", ""te""),"""")"),"")</f>
        <v/>
      </c>
      <c r="G6863" s="2"/>
      <c r="H6863" s="2" t="str">
        <f>IFERROR(__xludf.DUMMYFUNCTION("IF(G6863&lt;&gt;"""", GOOGLETRANSLATE(G6863, ""en"", ""te""),"""")"),"")</f>
        <v/>
      </c>
      <c r="I6863" s="3"/>
    </row>
    <row r="6864" customHeight="1" spans="1:9">
      <c r="A6864" s="2"/>
      <c r="B6864" s="2" t="str">
        <f>IFERROR(__xludf.DUMMYFUNCTION("IF(A6864&lt;&gt;"""", GOOGLETRANSLATE(A6864, ""en"", ""te""),"""")"),"")</f>
        <v/>
      </c>
      <c r="C6864" s="2"/>
      <c r="D6864" s="2" t="str">
        <f>IFERROR(__xludf.DUMMYFUNCTION("IF(C6864&lt;&gt;"""", GOOGLETRANSLATE(C6864, ""en"", ""te""),"""")"),"")</f>
        <v/>
      </c>
      <c r="E6864" s="2"/>
      <c r="F6864" s="2" t="str">
        <f>IFERROR(__xludf.DUMMYFUNCTION("IF(E6864&lt;&gt;"""", GOOGLETRANSLATE(E6864, ""en"", ""te""),"""")"),"")</f>
        <v/>
      </c>
      <c r="G6864" s="2"/>
      <c r="H6864" s="2" t="str">
        <f>IFERROR(__xludf.DUMMYFUNCTION("IF(G6864&lt;&gt;"""", GOOGLETRANSLATE(G6864, ""en"", ""te""),"""")"),"")</f>
        <v/>
      </c>
      <c r="I6864" s="3"/>
    </row>
    <row r="6865" customHeight="1" spans="1:9">
      <c r="A6865" s="2"/>
      <c r="B6865" s="2" t="str">
        <f>IFERROR(__xludf.DUMMYFUNCTION("IF(A6865&lt;&gt;"""", GOOGLETRANSLATE(A6865, ""en"", ""te""),"""")"),"")</f>
        <v/>
      </c>
      <c r="C6865" s="2"/>
      <c r="D6865" s="2" t="str">
        <f>IFERROR(__xludf.DUMMYFUNCTION("IF(C6865&lt;&gt;"""", GOOGLETRANSLATE(C6865, ""en"", ""te""),"""")"),"")</f>
        <v/>
      </c>
      <c r="E6865" s="2"/>
      <c r="F6865" s="2" t="str">
        <f>IFERROR(__xludf.DUMMYFUNCTION("IF(E6865&lt;&gt;"""", GOOGLETRANSLATE(E6865, ""en"", ""te""),"""")"),"")</f>
        <v/>
      </c>
      <c r="G6865" s="2"/>
      <c r="H6865" s="2" t="str">
        <f>IFERROR(__xludf.DUMMYFUNCTION("IF(G6865&lt;&gt;"""", GOOGLETRANSLATE(G6865, ""en"", ""te""),"""")"),"")</f>
        <v/>
      </c>
      <c r="I6865" s="3"/>
    </row>
    <row r="6866" customHeight="1" spans="1:9">
      <c r="A6866" s="2"/>
      <c r="B6866" s="2" t="str">
        <f>IFERROR(__xludf.DUMMYFUNCTION("IF(A6866&lt;&gt;"""", GOOGLETRANSLATE(A6866, ""en"", ""te""),"""")"),"")</f>
        <v/>
      </c>
      <c r="C6866" s="2"/>
      <c r="D6866" s="2" t="str">
        <f>IFERROR(__xludf.DUMMYFUNCTION("IF(C6866&lt;&gt;"""", GOOGLETRANSLATE(C6866, ""en"", ""te""),"""")"),"")</f>
        <v/>
      </c>
      <c r="E6866" s="2"/>
      <c r="F6866" s="2" t="str">
        <f>IFERROR(__xludf.DUMMYFUNCTION("IF(E6866&lt;&gt;"""", GOOGLETRANSLATE(E6866, ""en"", ""te""),"""")"),"")</f>
        <v/>
      </c>
      <c r="G6866" s="2"/>
      <c r="H6866" s="2" t="str">
        <f>IFERROR(__xludf.DUMMYFUNCTION("IF(G6866&lt;&gt;"""", GOOGLETRANSLATE(G6866, ""en"", ""te""),"""")"),"")</f>
        <v/>
      </c>
      <c r="I6866" s="3"/>
    </row>
    <row r="6867" customHeight="1" spans="1:9">
      <c r="A6867" s="2" t="s">
        <v>9</v>
      </c>
      <c r="B6867" s="2" t="str">
        <f>IFERROR(__xludf.DUMMYFUNCTION("IF(A6867&lt;&gt;"""", GOOGLETRANSLATE(A6867, ""en"", ""te""),"""")"),"[ 'హండ్రెడ్ మరియు ఒక మ్యాచ్లో ఒక డక్']")</f>
        <v>[ 'హండ్రెడ్ మరియు ఒక మ్యాచ్లో ఒక డక్']</v>
      </c>
      <c r="C6867" s="2" t="s">
        <v>4095</v>
      </c>
      <c r="D6867" s="2" t="str">
        <f>IFERROR(__xludf.DUMMYFUNCTION("IF(C6867&lt;&gt;"""", GOOGLETRANSLATE(C6867, ""en"", ""te""),"""")"),"[ 'మొదటి డక్ ముందు 19 మోస్ట్ ఇన్నింగ్స్ (40)', 'ఫాస్టెస్ట్ 1000 పరుగులు 50 వ (22)']")</f>
        <v>[ 'మొదటి డక్ ముందు 19 మోస్ట్ ఇన్నింగ్స్ (40)', 'ఫాస్టెస్ట్ 1000 పరుగులు 50 వ (22)']</v>
      </c>
      <c r="E6867" s="2" t="s">
        <v>3063</v>
      </c>
      <c r="F6867" s="2" t="str">
        <f>IFERROR(__xludf.DUMMYFUNCTION("IF(E6867&lt;&gt;"""", GOOGLETRANSLATE(E6867, ""en"", ""te""),"""")"),"[ '41 వ ఉత్తమ కెరీర్ బౌలింగ్ సరాసరి (అర్హత లేకుండా) (13.00)']")</f>
        <v>[ '41 వ ఉత్తమ కెరీర్ బౌలింగ్ సరాసరి (అర్హత లేకుండా) (13.00)']</v>
      </c>
      <c r="G6867" s="2"/>
      <c r="H6867" s="2" t="str">
        <f>IFERROR(__xludf.DUMMYFUNCTION("IF(G6867&lt;&gt;"""", GOOGLETRANSLATE(G6867, ""en"", ""te""),"""")"),"")</f>
        <v/>
      </c>
      <c r="I6867" s="3"/>
    </row>
    <row r="6868" customHeight="1" spans="1:9">
      <c r="A6868" s="2"/>
      <c r="B6868" s="2" t="str">
        <f>IFERROR(__xludf.DUMMYFUNCTION("IF(A6868&lt;&gt;"""", GOOGLETRANSLATE(A6868, ""en"", ""te""),"""")"),"")</f>
        <v/>
      </c>
      <c r="C6868" s="2"/>
      <c r="D6868" s="2" t="str">
        <f>IFERROR(__xludf.DUMMYFUNCTION("IF(C6868&lt;&gt;"""", GOOGLETRANSLATE(C6868, ""en"", ""te""),"""")"),"")</f>
        <v/>
      </c>
      <c r="E6868" s="2"/>
      <c r="F6868" s="2" t="str">
        <f>IFERROR(__xludf.DUMMYFUNCTION("IF(E6868&lt;&gt;"""", GOOGLETRANSLATE(E6868, ""en"", ""te""),"""")"),"")</f>
        <v/>
      </c>
      <c r="G6868" s="2"/>
      <c r="H6868" s="2" t="str">
        <f>IFERROR(__xludf.DUMMYFUNCTION("IF(G6868&lt;&gt;"""", GOOGLETRANSLATE(G6868, ""en"", ""te""),"""")"),"")</f>
        <v/>
      </c>
      <c r="I6868" s="3"/>
    </row>
    <row r="6869" customHeight="1" spans="1:9">
      <c r="A6869" s="2"/>
      <c r="B6869" s="2" t="str">
        <f>IFERROR(__xludf.DUMMYFUNCTION("IF(A6869&lt;&gt;"""", GOOGLETRANSLATE(A6869, ""en"", ""te""),"""")"),"")</f>
        <v/>
      </c>
      <c r="C6869" s="2"/>
      <c r="D6869" s="2" t="str">
        <f>IFERROR(__xludf.DUMMYFUNCTION("IF(C6869&lt;&gt;"""", GOOGLETRANSLATE(C6869, ""en"", ""te""),"""")"),"")</f>
        <v/>
      </c>
      <c r="E6869" s="2"/>
      <c r="F6869" s="2" t="str">
        <f>IFERROR(__xludf.DUMMYFUNCTION("IF(E6869&lt;&gt;"""", GOOGLETRANSLATE(E6869, ""en"", ""te""),"""")"),"")</f>
        <v/>
      </c>
      <c r="G6869" s="2"/>
      <c r="H6869" s="2" t="str">
        <f>IFERROR(__xludf.DUMMYFUNCTION("IF(G6869&lt;&gt;"""", GOOGLETRANSLATE(G6869, ""en"", ""te""),"""")"),"")</f>
        <v/>
      </c>
      <c r="I6869" s="3"/>
    </row>
    <row r="6870" customHeight="1" spans="1:9">
      <c r="A6870" s="2"/>
      <c r="B6870" s="2" t="str">
        <f>IFERROR(__xludf.DUMMYFUNCTION("IF(A6870&lt;&gt;"""", GOOGLETRANSLATE(A6870, ""en"", ""te""),"""")"),"")</f>
        <v/>
      </c>
      <c r="C6870" s="2"/>
      <c r="D6870" s="2" t="str">
        <f>IFERROR(__xludf.DUMMYFUNCTION("IF(C6870&lt;&gt;"""", GOOGLETRANSLATE(C6870, ""en"", ""te""),"""")"),"")</f>
        <v/>
      </c>
      <c r="E6870" s="2" t="s">
        <v>4096</v>
      </c>
      <c r="F6870" s="2" t="str">
        <f>IFERROR(__xludf.DUMMYFUNCTION("IF(E6870&lt;&gt;"""", GOOGLETRANSLATE(E6870, ""en"", ""te""),"""")"),"[ '22 వ పిన్న కాప్టెన్ (22y 276d)', 'వికెట్ను కాపాడుకున్నాడు చేసిన 17 వ కెప్టెన్ల (1)', '17 వ ఇన్నింగ్స్ లో అత్యధిక వికెట్లు (4)']")</f>
        <v>[ '22 వ పిన్న కాప్టెన్ (22y 276d)', 'వికెట్ను కాపాడుకున్నాడు చేసిన 17 వ కెప్టెన్ల (1)', '17 వ ఇన్నింగ్స్ లో అత్యధిక వికెట్లు (4)']</v>
      </c>
      <c r="G6870" s="2"/>
      <c r="H6870" s="2" t="str">
        <f>IFERROR(__xludf.DUMMYFUNCTION("IF(G6870&lt;&gt;"""", GOOGLETRANSLATE(G6870, ""en"", ""te""),"""")"),"")</f>
        <v/>
      </c>
      <c r="I6870" s="3"/>
    </row>
    <row r="6871" customHeight="1" spans="1:9">
      <c r="A6871" s="2"/>
      <c r="B6871" s="2" t="str">
        <f>IFERROR(__xludf.DUMMYFUNCTION("IF(A6871&lt;&gt;"""", GOOGLETRANSLATE(A6871, ""en"", ""te""),"""")"),"")</f>
        <v/>
      </c>
      <c r="C6871" s="2"/>
      <c r="D6871" s="2" t="str">
        <f>IFERROR(__xludf.DUMMYFUNCTION("IF(C6871&lt;&gt;"""", GOOGLETRANSLATE(C6871, ""en"", ""te""),"""")"),"")</f>
        <v/>
      </c>
      <c r="E6871" s="2"/>
      <c r="F6871" s="2" t="str">
        <f>IFERROR(__xludf.DUMMYFUNCTION("IF(E6871&lt;&gt;"""", GOOGLETRANSLATE(E6871, ""en"", ""te""),"""")"),"")</f>
        <v/>
      </c>
      <c r="G6871" s="2"/>
      <c r="H6871" s="2" t="str">
        <f>IFERROR(__xludf.DUMMYFUNCTION("IF(G6871&lt;&gt;"""", GOOGLETRANSLATE(G6871, ""en"", ""te""),"""")"),"")</f>
        <v/>
      </c>
      <c r="I6871" s="3"/>
    </row>
    <row r="6872" customHeight="1" spans="1:9">
      <c r="A6872" s="2" t="s">
        <v>4097</v>
      </c>
      <c r="B6872" s="2" t="str">
        <f>IFERROR(__xludf.DUMMYFUNCTION("IF(A6872&lt;&gt;"""", GOOGLETRANSLATE(A6872, ""en"", ""te""),"""")"),"[ '4 వ అత్యధిక వరుస పది వికెట్లు లో ఒక మ్యాచ్ (2)', '8 వ అత్యధిక పరుగులు ఇన్నింగ్స్ లో సాధించిన (237)', '1st ఒక క్యాలెండర్ సంవత్సరంలో అత్యధిక వికెట్లు (69)', '2 వ వరుస ఐదు -wickets-ఇన్-ఒక-ఇన్నింగ్స్ (2) ',' 4 వ అత్యధిక వికెట్లు 250 వికెట్లు (138) ',' 5 వ "&amp;"అత్యధిక వరుస ఐదు వికెట్ల లో-ఒక-ఇన్నింగ్స్ (4 స్టంప్ (41) ',' ఫాస్టెస్ట్ 1st తీసుకున్న ) ',' 7 వ అత్యధిక వికెట్లు ఆకర్షించింది తీసుకున్న మరియు బౌల్డ్ (26) ']")</f>
        <v>[ '4 వ అత్యధిక వరుస పది వికెట్లు లో ఒక మ్యాచ్ (2)', '8 వ అత్యధిక పరుగులు ఇన్నింగ్స్ లో సాధించిన (237)', '1st ఒక క్యాలెండర్ సంవత్సరంలో అత్యధిక వికెట్లు (69)', '2 వ వరుస ఐదు -wickets-ఇన్-ఒక-ఇన్నింగ్స్ (2) ',' 4 వ అత్యధిక వికెట్లు 250 వికెట్లు (138) ',' 5 వ అత్యధిక వరుస ఐదు వికెట్ల లో-ఒక-ఇన్నింగ్స్ (4 స్టంప్ (41) ',' ఫాస్టెస్ట్ 1st తీసుకున్న ) ',' 7 వ అత్యధిక వికెట్లు ఆకర్షించింది తీసుకున్న మరియు బౌల్డ్ (26) ']</v>
      </c>
      <c r="C6872" s="2" t="s">
        <v>4098</v>
      </c>
      <c r="D6872" s="2" t="str">
        <f>IFERROR(__xludf.DUMMYFUNCTION("IF(C6872&lt;&gt;"""", GOOGLETRANSLATE(C6872, ""en"", ""te""),"""")"),"[ '46 వ అత్యంత ఐదు-వికెట్ల లో-ఒక-ఇన్నింగ్స్ కెరీర్లో (13)', '29 వ అత్యధిక-ఇన్-పది-వికెట్లు ఒక మ్యాచ్ 40 వ మ్యాచ్లో ఉన్నప్పుడు పరాజయం వైపు (10) ఉత్తమ ప్రముఖులలో ఒక వృత్తిలో (3) ',' 5 వ అత్యధిక వరుస ఐదు వికెట్ల లో-ఒక-ఇన్నింగ్స్ (4) ',' 4 వ అత్యధిక వరుస పది"&amp;" వికెట్లు లో ఒక మ్యాచ్ (2) ',' 43 వ పిన్న ఆటగాడు తీసుకోవాలని ఐదు వికెట్లు-ఇన్-ఒక-ఇన్నింగ్స్ (20y 111d) ',' పది వికెట్ల లో ఒక మ్యాచ్ పడుతుంది 25 పిన్న ఆటగాడు (22y 30D) ',' 30 వ ఇన్నింగ్స్ లో బౌల్డ్ చాలా బంతుల్లో (444) ',' 26 అత్యంత బంతుల్లో ఒక మ్యాచ్లో బౌల"&amp;"్డ్ ఒక ఇన్నింగ్స్ లో సాధించిన (644) ',' 8 వ అత్యధిక పరుగులు (237) ',' 12 వ మ్యాచ్ లో సాధించిన అత్యధిక పరుగులు (286) ',' 42 వ అత్యధిక వికెట్లు ఒక ఫీల్డర్ చేత క్యాచ్ తీసుకున్న (111) ',' 100 వికెట్లు వేగంగా 37 వ (23) ',' 27th 150 వికెట్లు వేగంగా (35) ',' 200"&amp;" వికెట్లు వేగంగా 21 (46) ']")</f>
        <v>[ '46 వ అత్యంత ఐదు-వికెట్ల లో-ఒక-ఇన్నింగ్స్ కెరీర్లో (13)', '29 వ అత్యధిక-ఇన్-పది-వికెట్లు ఒక మ్యాచ్ 40 వ మ్యాచ్లో ఉన్నప్పుడు పరాజయం వైపు (10) ఉత్తమ ప్రముఖులలో ఒక వృత్తిలో (3) ',' 5 వ అత్యధిక వరుస ఐదు వికెట్ల లో-ఒక-ఇన్నింగ్స్ (4) ',' 4 వ అత్యధిక వరుస పది వికెట్లు లో ఒక మ్యాచ్ (2) ',' 43 వ పిన్న ఆటగాడు తీసుకోవాలని ఐదు వికెట్లు-ఇన్-ఒక-ఇన్నింగ్స్ (20y 111d) ',' పది వికెట్ల లో ఒక మ్యాచ్ పడుతుంది 25 పిన్న ఆటగాడు (22y 30D) ',' 30 వ ఇన్నింగ్స్ లో బౌల్డ్ చాలా బంతుల్లో (444) ',' 26 అత్యంత బంతుల్లో ఒక మ్యాచ్లో బౌల్డ్ ఒక ఇన్నింగ్స్ లో సాధించిన (644) ',' 8 వ అత్యధిక పరుగులు (237) ',' 12 వ మ్యాచ్ లో సాధించిన అత్యధిక పరుగులు (286) ',' 42 వ అత్యధిక వికెట్లు ఒక ఫీల్డర్ చేత క్యాచ్ తీసుకున్న (111) ',' 100 వికెట్లు వేగంగా 37 వ (23) ',' 27th 150 వికెట్లు వేగంగా (35) ',' 200 వికెట్లు వేగంగా 21 (46) ']</v>
      </c>
      <c r="E6872" s="2" t="s">
        <v>4099</v>
      </c>
      <c r="F6872" s="2" t="str">
        <f>IFERROR(__xludf.DUMMYFUNCTION("IF(E6872&lt;&gt;"""", GOOGLETRANSLATE(E6872, ""en"", ""te""),"""")"),"[ '15 వ కెరీర్ లో అత్యధిక వికెట్లు (288)', '1st ఒక క్యాలెండర్ సంవత్సరంలో అత్యధిక వికెట్లు (69)', '9 వ ఒకే మైదానంలో అత్యధిక వికెట్లు (61)', '14 వ ఒక ఇన్నింగ్స్ లోని బెస్ట్ ఫిగర్స్ కోల్పోకుండా వైపు ఉన్నప్పుడు (5) ',' 14 వ ఉత్తమ కెరీర్ బౌలింగ్ సరాసరి (21.7"&amp;"8) ',' 26 ఉత్తమ కెరీర్ సమ్మె రేటు (30.4) ',' 8 వ అత్యంత ఐదు-వికెట్ల లో-ఒక-ఇన్నింగ్స్ కెరీర్లో (6) ',' 7 వ అత్యంత నాలుగు వికెట్లు-ఇన్-ఒక-ఇన్నింగ్స్ కెరీర్లో (17) ',' 2 వ వరుస ఐదు వికెట్ల లో-ఒక-ఇన్నింగ్స్ (2) ',' 13 వ వరుస నాలుగు వికెట్లు-ఇన్-ఒక-ఇన్నింగ్స్ "&amp;"(2 ) ',' ఐదు వికెట్ల తేడాతో-ఒక ఇన్నింగ్స్లో తీసుకోవాలని 13 వ పిన్న వయస్కుడిగా నిలిచాడు (19y 341d) ',' 30 వ అత్యంత బంతుల్లో కెరీర్ (8770) లో బౌల్డ్ ',' 37 వ కెరీర్ లో సాధించిన అత్యధిక పరుగులు (6275) ',' 7th బౌలర్ / ఫీల్డర్ కలయికలు (47) ',' 28th అత్యధిక విక"&amp;"ెట్లు తీసుకున్న బౌల్డ్ (55) ',' 22 వ అత్యధిక వికెట్లు తీసుకున్న ఆకర్షించింది (169) ',' 4 వ అత్యధిక వికెట్లు ఆకర్షించింది తీసుకున్న మరియు బౌల్డ్ (20) ',' 9 వ అత్యధిక వికెట్లు ఆకర్షించింది తీసుకున్న ఒక ఫీల్డర్ చేత (149) ',' 4 వ అత్యధిక వికెట్లు స్టంప్ (41) "&amp;"',' ఫాస్టెస్ట్ 24 50 వికెట్లు తీసుకున్న (28) ',' 3 వ 100 వికెట్లు (53) ',' 150 2nd వేగవంతమైన w వేగంగా ickets (78) ',' ఫాస్టెస్ట్ 200 వికెట్లు (104) కు 1st ',' 250 వికెట్లు వేగంగా 1st (138) ',' పదవ వికెట్కు 28 అత్యధిక భాగస్వామ్యం (54) ']")</f>
        <v>[ '15 వ కెరీర్ లో అత్యధిక వికెట్లు (288)', '1st ఒక క్యాలెండర్ సంవత్సరంలో అత్యధిక వికెట్లు (69)', '9 వ ఒకే మైదానంలో అత్యధిక వికెట్లు (61)', '14 వ ఒక ఇన్నింగ్స్ లోని బెస్ట్ ఫిగర్స్ కోల్పోకుండా వైపు ఉన్నప్పుడు (5) ',' 14 వ ఉత్తమ కెరీర్ బౌలింగ్ సరాసరి (21.78) ',' 26 ఉత్తమ కెరీర్ సమ్మె రేటు (30.4) ',' 8 వ అత్యంత ఐదు-వికెట్ల లో-ఒక-ఇన్నింగ్స్ కెరీర్లో (6) ',' 7 వ అత్యంత నాలుగు వికెట్లు-ఇన్-ఒక-ఇన్నింగ్స్ కెరీర్లో (17) ',' 2 వ వరుస ఐదు వికెట్ల లో-ఒక-ఇన్నింగ్స్ (2) ',' 13 వ వరుస నాలుగు వికెట్లు-ఇన్-ఒక-ఇన్నింగ్స్ (2 ) ',' ఐదు వికెట్ల తేడాతో-ఒక ఇన్నింగ్స్లో తీసుకోవాలని 13 వ పిన్న వయస్కుడిగా నిలిచాడు (19y 341d) ',' 30 వ అత్యంత బంతుల్లో కెరీర్ (8770) లో బౌల్డ్ ',' 37 వ కెరీర్ లో సాధించిన అత్యధిక పరుగులు (6275) ',' 7th బౌలర్ / ఫీల్డర్ కలయికలు (47) ',' 28th అత్యధిక వికెట్లు తీసుకున్న బౌల్డ్ (55) ',' 22 వ అత్యధిక వికెట్లు తీసుకున్న ఆకర్షించింది (169) ',' 4 వ అత్యధిక వికెట్లు ఆకర్షించింది తీసుకున్న మరియు బౌల్డ్ (20) ',' 9 వ అత్యధిక వికెట్లు ఆకర్షించింది తీసుకున్న ఒక ఫీల్డర్ చేత (149) ',' 4 వ అత్యధిక వికెట్లు స్టంప్ (41) ',' ఫాస్టెస్ట్ 24 50 వికెట్లు తీసుకున్న (28) ',' 3 వ 100 వికెట్లు (53) ',' 150 2nd వేగవంతమైన w వేగంగా ickets (78) ',' ఫాస్టెస్ట్ 200 వికెట్లు (104) కు 1st ',' 250 వికెట్లు వేగంగా 1st (138) ',' పదవ వికెట్కు 28 అత్యధిక భాగస్వామ్యం (54) ']</v>
      </c>
      <c r="G6872" s="2"/>
      <c r="H6872" s="2" t="str">
        <f>IFERROR(__xludf.DUMMYFUNCTION("IF(G6872&lt;&gt;"""", GOOGLETRANSLATE(G6872, ""en"", ""te""),"""")"),"")</f>
        <v/>
      </c>
      <c r="I6872" s="3"/>
    </row>
    <row r="6873" customHeight="1" spans="1:9">
      <c r="A6873" s="2"/>
      <c r="B6873" s="2" t="str">
        <f>IFERROR(__xludf.DUMMYFUNCTION("IF(A6873&lt;&gt;"""", GOOGLETRANSLATE(A6873, ""en"", ""te""),"""")"),"")</f>
        <v/>
      </c>
      <c r="C6873" s="2"/>
      <c r="D6873" s="2" t="str">
        <f>IFERROR(__xludf.DUMMYFUNCTION("IF(C6873&lt;&gt;"""", GOOGLETRANSLATE(C6873, ""en"", ""te""),"""")"),"")</f>
        <v/>
      </c>
      <c r="E6873" s="2"/>
      <c r="F6873" s="2" t="str">
        <f>IFERROR(__xludf.DUMMYFUNCTION("IF(E6873&lt;&gt;"""", GOOGLETRANSLATE(E6873, ""en"", ""te""),"""")"),"")</f>
        <v/>
      </c>
      <c r="G6873" s="2"/>
      <c r="H6873" s="2" t="str">
        <f>IFERROR(__xludf.DUMMYFUNCTION("IF(G6873&lt;&gt;"""", GOOGLETRANSLATE(G6873, ""en"", ""te""),"""")"),"")</f>
        <v/>
      </c>
      <c r="I6873" s="3"/>
    </row>
    <row r="6874" customHeight="1" spans="1:9">
      <c r="A6874" s="2"/>
      <c r="B6874" s="2" t="str">
        <f>IFERROR(__xludf.DUMMYFUNCTION("IF(A6874&lt;&gt;"""", GOOGLETRANSLATE(A6874, ""en"", ""te""),"""")"),"")</f>
        <v/>
      </c>
      <c r="C6874" s="2"/>
      <c r="D6874" s="2" t="str">
        <f>IFERROR(__xludf.DUMMYFUNCTION("IF(C6874&lt;&gt;"""", GOOGLETRANSLATE(C6874, ""en"", ""te""),"""")"),"")</f>
        <v/>
      </c>
      <c r="E6874" s="2"/>
      <c r="F6874" s="2" t="str">
        <f>IFERROR(__xludf.DUMMYFUNCTION("IF(E6874&lt;&gt;"""", GOOGLETRANSLATE(E6874, ""en"", ""te""),"""")"),"")</f>
        <v/>
      </c>
      <c r="G6874" s="2"/>
      <c r="H6874" s="2" t="str">
        <f>IFERROR(__xludf.DUMMYFUNCTION("IF(G6874&lt;&gt;"""", GOOGLETRANSLATE(G6874, ""en"", ""te""),"""")"),"")</f>
        <v/>
      </c>
      <c r="I6874" s="3"/>
    </row>
    <row r="6875" customHeight="1" spans="1:9">
      <c r="A6875" s="2"/>
      <c r="B6875" s="2" t="str">
        <f>IFERROR(__xludf.DUMMYFUNCTION("IF(A6875&lt;&gt;"""", GOOGLETRANSLATE(A6875, ""en"", ""te""),"""")"),"")</f>
        <v/>
      </c>
      <c r="C6875" s="2"/>
      <c r="D6875" s="2" t="str">
        <f>IFERROR(__xludf.DUMMYFUNCTION("IF(C6875&lt;&gt;"""", GOOGLETRANSLATE(C6875, ""en"", ""te""),"""")"),"")</f>
        <v/>
      </c>
      <c r="E6875" s="2"/>
      <c r="F6875" s="2" t="str">
        <f>IFERROR(__xludf.DUMMYFUNCTION("IF(E6875&lt;&gt;"""", GOOGLETRANSLATE(E6875, ""en"", ""te""),"""")"),"")</f>
        <v/>
      </c>
      <c r="G6875" s="2"/>
      <c r="H6875" s="2" t="str">
        <f>IFERROR(__xludf.DUMMYFUNCTION("IF(G6875&lt;&gt;"""", GOOGLETRANSLATE(G6875, ""en"", ""te""),"""")"),"")</f>
        <v/>
      </c>
      <c r="I6875" s="3"/>
    </row>
    <row r="6876" customHeight="1" spans="1:9">
      <c r="A6876" s="2"/>
      <c r="B6876" s="2" t="str">
        <f>IFERROR(__xludf.DUMMYFUNCTION("IF(A6876&lt;&gt;"""", GOOGLETRANSLATE(A6876, ""en"", ""te""),"""")"),"")</f>
        <v/>
      </c>
      <c r="C6876" s="2"/>
      <c r="D6876" s="2" t="str">
        <f>IFERROR(__xludf.DUMMYFUNCTION("IF(C6876&lt;&gt;"""", GOOGLETRANSLATE(C6876, ""en"", ""te""),"""")"),"")</f>
        <v/>
      </c>
      <c r="E6876" s="2"/>
      <c r="F6876" s="2" t="str">
        <f>IFERROR(__xludf.DUMMYFUNCTION("IF(E6876&lt;&gt;"""", GOOGLETRANSLATE(E6876, ""en"", ""te""),"""")"),"")</f>
        <v/>
      </c>
      <c r="G6876" s="2"/>
      <c r="H6876" s="2" t="str">
        <f>IFERROR(__xludf.DUMMYFUNCTION("IF(G6876&lt;&gt;"""", GOOGLETRANSLATE(G6876, ""en"", ""te""),"""")"),"")</f>
        <v/>
      </c>
      <c r="I6876" s="3"/>
    </row>
    <row r="6877" customHeight="1" spans="1:9">
      <c r="A6877" s="2" t="s">
        <v>4100</v>
      </c>
      <c r="B6877" s="2" t="str">
        <f>IFERROR(__xludf.DUMMYFUNCTION("IF(A6877&lt;&gt;"""", GOOGLETRANSLATE(A6877, ""en"", ""te""),"""")"),"[ '8 వ అత్యంత బృందం వరుసగా మ్యాచ్లు (62)', 'ఒక జట్టు కెప్టెన్గా 6 వ వరుస మ్యాచ్లు (44)' లో, '1st' వంద (1630) లేకుండా ఒక వృత్తిలో 8 వ అత్యధిక పరుగులు 'అత్యధిక వికెట్లు ఒక సిరీస్ (35) ',' 3 వ వరుస నాలుగు వికెట్లు-ఇన్-ఒక-ఇన్నింగ్స్ (2) ',' కెరీర్ (5942) లో బ"&amp;"ౌల్డ్ చాలా 5 వ బంతుల్లో ',' 4 వ అత్యధిక కెరీర్ లో సాధించిన పరుగులు (3665) ',' 2nd ఎక్కువ వికెట్లు తీసుకున్న ఎల్బిడబ్ల్యు (46) ',' 4 వ ఇన్నింగ్స్ (3) ',' 250 ఒక జట్టు పరుగులు మరియు ఒక సిరీస్లో 10 వికెట్లు ',' 2 వ వరుస మ్యాచ్లు (73) ',' 4 వ అత్యధిక మ్యాచ్లు"&amp;" వంటి అత్యధిక క్యాచ్లు కెప్టెన్ (65) ',' 6 వ కెరీర్ బాతులు (8) ',' 5 వ ఒక ఇన్నింగ్స్ లోని బెస్ట్ ఫిగర్స్ ఉన్నప్పుడు పరాజయం వైపు (4) ',' 2 వ అత్యంత నాలుగు వికెట్లు-ఇన్-ఒక-ఇన్నింగ్స్ కెరీర్లో ( 4) ',' 1 వ కెరీర్ (2270) లో బౌల్డ్ చాలా బంతుల్లో ',' 2 వ అత్యధ"&amp;"ిక కెరీర్ లో సాధించిన పరుగులు (2085) ',' 4 వ అత్యధిక వికెట్లు తీసుకున్న స్టంప్ (14) ',' తొమ్మిదవ వికెట్కు 5 వ అత్యధిక భాగస్వామ్యం (30) ']")</f>
        <v>[ '8 వ అత్యంత బృందం వరుసగా మ్యాచ్లు (62)', 'ఒక జట్టు కెప్టెన్గా 6 వ వరుస మ్యాచ్లు (44)' లో, '1st' వంద (1630) లేకుండా ఒక వృత్తిలో 8 వ అత్యధిక పరుగులు 'అత్యధిక వికెట్లు ఒక సిరీస్ (35) ',' 3 వ వరుస నాలుగు వికెట్లు-ఇన్-ఒక-ఇన్నింగ్స్ (2) ',' కెరీర్ (5942) లో బౌల్డ్ చాలా 5 వ బంతుల్లో ',' 4 వ అత్యధిక కెరీర్ లో సాధించిన పరుగులు (3665) ',' 2nd ఎక్కువ వికెట్లు తీసుకున్న ఎల్బిడబ్ల్యు (46) ',' 4 వ ఇన్నింగ్స్ (3) ',' 250 ఒక జట్టు పరుగులు మరియు ఒక సిరీస్లో 10 వికెట్లు ',' 2 వ వరుస మ్యాచ్లు (73) ',' 4 వ అత్యధిక మ్యాచ్లు వంటి అత్యధిక క్యాచ్లు కెప్టెన్ (65) ',' 6 వ కెరీర్ బాతులు (8) ',' 5 వ ఒక ఇన్నింగ్స్ లోని బెస్ట్ ఫిగర్స్ ఉన్నప్పుడు పరాజయం వైపు (4) ',' 2 వ అత్యంత నాలుగు వికెట్లు-ఇన్-ఒక-ఇన్నింగ్స్ కెరీర్లో ( 4) ',' 1 వ కెరీర్ (2270) లో బౌల్డ్ చాలా బంతుల్లో ',' 2 వ అత్యధిక కెరీర్ లో సాధించిన పరుగులు (2085) ',' 4 వ అత్యధిక వికెట్లు తీసుకున్న స్టంప్ (14) ',' తొమ్మిదవ వికెట్కు 5 వ అత్యధిక భాగస్వామ్యం (30) ']</v>
      </c>
      <c r="C6877" s="2"/>
      <c r="D6877" s="2" t="str">
        <f>IFERROR(__xludf.DUMMYFUNCTION("IF(C6877&lt;&gt;"""", GOOGLETRANSLATE(C6877, ""en"", ""te""),"""")"),"")</f>
        <v/>
      </c>
      <c r="E6877" s="2" t="s">
        <v>4101</v>
      </c>
      <c r="F6877" s="2" t="str">
        <f>IFERROR(__xludf.DUMMYFUNCTION("IF(E6877&lt;&gt;"""", GOOGLETRANSLATE(E6877, ""en"", ""te""),"""")"),"[ '27 వ కెప్టెన్ ద్వారా ఒక సిరీస్లో పరుగులు (333)', '8 వ అత్యంత వంద (1630) లేకుండా ఒక వృత్తిలో పరుగులు' 'ఒక డక్ లేకుండా 35 వ వరుస ఇన్నింగ్స్ (34)', '40 వ అత్యధిక కెరీర్ లో బాతులు కెరీర్లో (8) ',' 5 వ అత్యధిక వికెట్లు (151) ',' 1st ఒక సిరీస్లో అత్యధిక వికె"&amp;"ట్లు (35) ',' 46 వ ఒక క్యాలెండర్ సంవత్సరంలో అత్యధిక వికెట్లు (21) ',' 10th ఒకే మైదానంలో అత్యధిక వికెట్లు ( ఒక కెప్టెన్తో ఒక ఇన్నింగ్స్ లో 16) ',' 3 వ ఉత్తమ బొమ్మలు (5) ',' 11 వ ఒక ఇన్నింగ్స్ లోని బెస్ట్ ఫిగర్స్ ఉన్నప్పుడు పరాజయం వైపు (4) ',' ఇన్నింగ్స్ "&amp;"లో 43 ఉత్తమ సమ్మె రేటు (9.0) ',' ఒక ఇన్నింగ్స్ లో 39 వ చెత్త ఆర్థిక రేటు (8.66) ',' 4 వ అత్యంత నాలుగు వికెట్లు-ఇన్-ఒక-ఇన్నింగ్స్ కెరీర్లో (8) ',' 3 వ వరుస నాలుగు వికెట్లు-ఇన్-ఒక-ఇన్నింగ్స్ (2) ', 'కెరీర్ (5942) లో బౌల్డ్ చాలా 5 వ బంతుల్లో', '4 వ అత్యధిక క"&amp;"ెరీర్ (3665) లో ఇవ్వబడిన పరుగులలో' '17 వ ఇన్నింగ్స్ లో సాధించిన అత్యధిక పరుగులు (78)', '12 వ బౌలర్ / బ్యాట్స్ కలయికలు (6)', '7th ఎక్కువ వికెట్లు బౌల్డ్ తీసుకోకూడదు (39) ',' 16 వ అత్యధిక వికెట్లు తీసుకున్న ఆకర్షించింది (61) ',' 31 అత్యధిక వికెట్లు ఆకర్షించ"&amp;"ింది తీసుకున్న మరియు బౌల్డ్ (5) ',' 12 వ అత్యధిక వికెట్లు పట్టుకుంటే తీసుకున్న ఒక ఫీల్డర్ (50) ',' 27 వ అత్యధిక వికెట్లు ఒక వికెట్ కీపర్ చే కాట్ తీసుకున్న (11) ',' 2 వ అత్యంత తీసుకోబడిన వికెట్ల ఎల్బిడబ్ల్యు (46) ',' 13 వ కెరీర్ లో అత్యధిక క్యాచ్లు (42) ',"&amp;"' 4 వ ఇన్నింగ్స్ లో అత్యధిక క్యాచ్లు (3) ',' 26 ఒక సిరీస్లో అత్యధిక క్యాచ్లు (7) ',' ఆరవ వికెట్కు 24 అత్యధిక భాగస్వామ్యం (75 *) ఏడవ వికెట్కు ',' 19 వ అత్యధిక భాగస్వామ్యం (66) ',' 20 వ అత్యధిక కెరీర్ లో మ్యాచ్లు (120) ',' ఒక జట్టు 8 వ వరుస మ్యాచ్లు (62) ',"&amp;"' 41 వ లాంగెస్ట్ కెరీర్లు (13y 311d) ',' 6 వ అత్యధిక మ్యాచ్లు కెప్టెన్గా (72) ',' ఒక జట్టు కెప్టెన్గా 6 వ వరుస మ్యాచ్లు ( 44) ',' 29th పిన్న కాప్టెన్ (23y 141d) ']")</f>
        <v>[ '27 వ కెప్టెన్ ద్వారా ఒక సిరీస్లో పరుగులు (333)', '8 వ అత్యంత వంద (1630) లేకుండా ఒక వృత్తిలో పరుగులు' 'ఒక డక్ లేకుండా 35 వ వరుస ఇన్నింగ్స్ (34)', '40 వ అత్యధిక కెరీర్ లో బాతులు కెరీర్లో (8) ',' 5 వ అత్యధిక వికెట్లు (151) ',' 1st ఒక సిరీస్లో అత్యధిక వికెట్లు (35) ',' 46 వ ఒక క్యాలెండర్ సంవత్సరంలో అత్యధిక వికెట్లు (21) ',' 10th ఒకే మైదానంలో అత్యధిక వికెట్లు ( ఒక కెప్టెన్తో ఒక ఇన్నింగ్స్ లో 16) ',' 3 వ ఉత్తమ బొమ్మలు (5) ',' 11 వ ఒక ఇన్నింగ్స్ లోని బెస్ట్ ఫిగర్స్ ఉన్నప్పుడు పరాజయం వైపు (4) ',' ఇన్నింగ్స్ లో 43 ఉత్తమ సమ్మె రేటు (9.0) ',' ఒక ఇన్నింగ్స్ లో 39 వ చెత్త ఆర్థిక రేటు (8.66) ',' 4 వ అత్యంత నాలుగు వికెట్లు-ఇన్-ఒక-ఇన్నింగ్స్ కెరీర్లో (8) ',' 3 వ వరుస నాలుగు వికెట్లు-ఇన్-ఒక-ఇన్నింగ్స్ (2) ', 'కెరీర్ (5942) లో బౌల్డ్ చాలా 5 వ బంతుల్లో', '4 వ అత్యధిక కెరీర్ (3665) లో ఇవ్వబడిన పరుగులలో' '17 వ ఇన్నింగ్స్ లో సాధించిన అత్యధిక పరుగులు (78)', '12 వ బౌలర్ / బ్యాట్స్ కలయికలు (6)', '7th ఎక్కువ వికెట్లు బౌల్డ్ తీసుకోకూడదు (39) ',' 16 వ అత్యధిక వికెట్లు తీసుకున్న ఆకర్షించింది (61) ',' 31 అత్యధిక వికెట్లు ఆకర్షించింది తీసుకున్న మరియు బౌల్డ్ (5) ',' 12 వ అత్యధిక వికెట్లు పట్టుకుంటే తీసుకున్న ఒక ఫీల్డర్ (50) ',' 27 వ అత్యధిక వికెట్లు ఒక వికెట్ కీపర్ చే కాట్ తీసుకున్న (11) ',' 2 వ అత్యంత తీసుకోబడిన వికెట్ల ఎల్బిడబ్ల్యు (46) ',' 13 వ కెరీర్ లో అత్యధిక క్యాచ్లు (42) ',' 4 వ ఇన్నింగ్స్ లో అత్యధిక క్యాచ్లు (3) ',' 26 ఒక సిరీస్లో అత్యధిక క్యాచ్లు (7) ',' ఆరవ వికెట్కు 24 అత్యధిక భాగస్వామ్యం (75 *) ఏడవ వికెట్కు ',' 19 వ అత్యధిక భాగస్వామ్యం (66) ',' 20 వ అత్యధిక కెరీర్ లో మ్యాచ్లు (120) ',' ఒక జట్టు 8 వ వరుస మ్యాచ్లు (62) ',' 41 వ లాంగెస్ట్ కెరీర్లు (13y 311d) ',' 6 వ అత్యధిక మ్యాచ్లు కెప్టెన్గా (72) ',' ఒక జట్టు కెప్టెన్గా 6 వ వరుస మ్యాచ్లు ( 44) ',' 29th పిన్న కాప్టెన్ (23y 141d) ']</v>
      </c>
      <c r="G6877" s="2" t="s">
        <v>4102</v>
      </c>
      <c r="H6877" s="2" t="str">
        <f>IFERROR(__xludf.DUMMYFUNCTION("IF(G6877&lt;&gt;"""", GOOGLETRANSLATE(G6877, ""en"", ""te""),"""")"),"[ '49 వ కెరీర్ లో అత్యధిక పరుగులు (802)', '17 వ ఇన్నింగ్స్ లో అత్యధిక పరుగులు (బ్యాటింగ్ స్థానంలో ప్రకారం) (17)', '6 వ అత్యంత బాతులు కెరీర్లో (8)', '11 వ అత్యధిక వికెట్లు కెరీర్లో (89)' '27 అత్యుత్తమ బౌలింగ్ ఇన్నింగ్స్ లో విశ్లేషించడం (1/2)', 'ఒక కెప్టెన్"&amp;"తో ఒక ఇన్నింగ్స్ లో 6 వ ఉత్తమ బొమ్మలు (4)', '5 వ ఒక ఇన్నింగ్స్ లోని బెస్ట్ ఫిగర్స్ ఉన్నప్పుడు పరాజయం వైపు (4)', '30 వ ఉత్తమ కెరీర్ ఆర్థిక రేటు (5.51) ',' ఇన్నింగ్స్ లో 41 వ ఉత్తమ ఆర్థిక రేటు (0.66) ',' 20 వ చెత్త కెరీర్లో సమ్మె రేటు (25.5) ',' 2 వ అత్యంత"&amp;" నాలుగు వికెట్లు-ఇన్-ఒక-ఇన్నింగ్స్ కెరీర్లో (4 ) ',' 1 వ కెరీర్ (2270) లో బౌల్డ్ చాలా బంతుల్లో ',' 2 వ అత్యధిక కెరీర్ లో సాధించిన పరుగులు (2085) ',' 34 వ ఇన్నింగ్స్ లో సాధించిన అత్యధిక పరుగులు (46) ',' 18 వ బౌలర్ / బ్యాట్స్ కలయికలు (4) ' '16 వ బౌలర్ / ఫీల"&amp;"్డర్ కలయికలు (10)', '11 వ అత్యధిక వికెట్లు బౌల్డ్ తీసుకున్న (21)', '14 వ అత్యధిక వికెట్లు తీసుకున్న ఆకర్షించింది (43)', '8 వ అత్యధిక వికెట్లు ఆకర్షించింది తీసుకున్న మరియు బౌల్డ్ (5)', '16 వ వికెట్లు ఒక ఫీల్డర్ చేత క్యాచ్ తీసుకున్న (36) ',' 12 వ అత్యధిక వి"&amp;"కెట్లు ఒక వికెట్ కీపర్ చే కాట్ తీసుకున్న (7) ',' 8 వ అత్యధిక వికెట్లు తీసుకున్న ఎల్బిడబ్ల్యు (11) ',' 4 వ మో స్టంప్ స్టంప్ వికెట్లు తీసుకున్నారు (14) ',' 23 వ అత్యధిక క్యాచ్లు కెరీర్లో (26) ',' ఆరవ వికెట్కు 17 అత్యధిక భాగస్వామ్యం (53) ',' ఎనిమిదవ వికెట్కు"&amp;" 6 వ అత్యధిక భాగస్వామ్యం (35) ',' 5 వ అత్యధిక భాగస్వామ్యం తొమ్మిదవ వికెట్కు (30) ',' 14 వ కెరీర్ లో అత్యధిక మ్యాచ్లు (106) ',' ఒక జట్టు 2 వ వరుస మ్యాచ్లు (73) ',' 4 వ అత్యధిక మ్యాచ్లు కెప్టెన్గా (65) ',' 50th పిన్న కాప్టెన్ (23y 140d) ',' 11 వ కెరీర్ పనిక"&amp;"త్తెలయొద్ద (9) ']")</f>
        <v>[ '49 వ కెరీర్ లో అత్యధిక పరుగులు (802)', '17 వ ఇన్నింగ్స్ లో అత్యధిక పరుగులు (బ్యాటింగ్ స్థానంలో ప్రకారం) (17)', '6 వ అత్యంత బాతులు కెరీర్లో (8)', '11 వ అత్యధిక వికెట్లు కెరీర్లో (89)' '27 అత్యుత్తమ బౌలింగ్ ఇన్నింగ్స్ లో విశ్లేషించడం (1/2)', 'ఒక కెప్టెన్తో ఒక ఇన్నింగ్స్ లో 6 వ ఉత్తమ బొమ్మలు (4)', '5 వ ఒక ఇన్నింగ్స్ లోని బెస్ట్ ఫిగర్స్ ఉన్నప్పుడు పరాజయం వైపు (4)', '30 వ ఉత్తమ కెరీర్ ఆర్థిక రేటు (5.51) ',' ఇన్నింగ్స్ లో 41 వ ఉత్తమ ఆర్థిక రేటు (0.66) ',' 20 వ చెత్త కెరీర్లో సమ్మె రేటు (25.5) ',' 2 వ అత్యంత నాలుగు వికెట్లు-ఇన్-ఒక-ఇన్నింగ్స్ కెరీర్లో (4 ) ',' 1 వ కెరీర్ (2270) లో బౌల్డ్ చాలా బంతుల్లో ',' 2 వ అత్యధిక కెరీర్ లో సాధించిన పరుగులు (2085) ',' 34 వ ఇన్నింగ్స్ లో సాధించిన అత్యధిక పరుగులు (46) ',' 18 వ బౌలర్ / బ్యాట్స్ కలయికలు (4) ' '16 వ బౌలర్ / ఫీల్డర్ కలయికలు (10)', '11 వ అత్యధిక వికెట్లు బౌల్డ్ తీసుకున్న (21)', '14 వ అత్యధిక వికెట్లు తీసుకున్న ఆకర్షించింది (43)', '8 వ అత్యధిక వికెట్లు ఆకర్షించింది తీసుకున్న మరియు బౌల్డ్ (5)', '16 వ వికెట్లు ఒక ఫీల్డర్ చేత క్యాచ్ తీసుకున్న (36) ',' 12 వ అత్యధిక వికెట్లు ఒక వికెట్ కీపర్ చే కాట్ తీసుకున్న (7) ',' 8 వ అత్యధిక వికెట్లు తీసుకున్న ఎల్బిడబ్ల్యు (11) ',' 4 వ మో స్టంప్ స్టంప్ వికెట్లు తీసుకున్నారు (14) ',' 23 వ అత్యధిక క్యాచ్లు కెరీర్లో (26) ',' ఆరవ వికెట్కు 17 అత్యధిక భాగస్వామ్యం (53) ',' ఎనిమిదవ వికెట్కు 6 వ అత్యధిక భాగస్వామ్యం (35) ',' 5 వ అత్యధిక భాగస్వామ్యం తొమ్మిదవ వికెట్కు (30) ',' 14 వ కెరీర్ లో అత్యధిక మ్యాచ్లు (106) ',' ఒక జట్టు 2 వ వరుస మ్యాచ్లు (73) ',' 4 వ అత్యధిక మ్యాచ్లు కెప్టెన్గా (65) ',' 50th పిన్న కాప్టెన్ (23y 140d) ',' 11 వ కెరీర్ పనికత్తెలయొద్ద (9) ']</v>
      </c>
      <c r="I6877" s="3"/>
    </row>
    <row r="6878" customHeight="1" spans="1:9">
      <c r="A6878" s="2" t="s">
        <v>4103</v>
      </c>
      <c r="B6878" s="2" t="str">
        <f>IFERROR(__xludf.DUMMYFUNCTION("IF(A6878&lt;&gt;"""", GOOGLETRANSLATE(A6878, ""en"", ""te""),"""")"),"[ '10 వ పిన్న కాప్టెన్ (22y 75d)', 'ఒక క్యాలెండర్ సంవత్సరంలో 2 వ అత్యధిక వికెట్లు (28)', '1 వ బౌలర్ / బ్యాట్స్ కలయికలు (4)']")</f>
        <v>[ '10 వ పిన్న కాప్టెన్ (22y 75d)', 'ఒక క్యాలెండర్ సంవత్సరంలో 2 వ అత్యధిక వికెట్లు (28)', '1 వ బౌలర్ / బ్యాట్స్ కలయికలు (4)']</v>
      </c>
      <c r="C6878" s="2"/>
      <c r="D6878" s="2" t="str">
        <f>IFERROR(__xludf.DUMMYFUNCTION("IF(C6878&lt;&gt;"""", GOOGLETRANSLATE(C6878, ""en"", ""te""),"""")"),"")</f>
        <v/>
      </c>
      <c r="E6878" s="2"/>
      <c r="F6878" s="2" t="str">
        <f>IFERROR(__xludf.DUMMYFUNCTION("IF(E6878&lt;&gt;"""", GOOGLETRANSLATE(E6878, ""en"", ""te""),"""")"),"")</f>
        <v/>
      </c>
      <c r="G6878" s="2" t="s">
        <v>4104</v>
      </c>
      <c r="H6878" s="2" t="str">
        <f>IFERROR(__xludf.DUMMYFUNCTION("IF(G6878&lt;&gt;"""", GOOGLETRANSLATE(G6878, ""en"", ""te""),"""")"),"[ '32 వ అత్యధిక కెరీర్ వికెట్లు (53)', 'ఒక క్యాలెండర్ సంవత్సరంలో 2 వ అత్యధిక వికెట్లు (28)', '17 వ అత్యుత్తమ బౌలింగ్ ఇన్నింగ్స్ లో విశ్లేషించడం (3/7)', '34 వ కెరీర్ లో బౌల్డ్ చాలా బంతుల్లో (987) ',' 30 వ కెరీర్ లో సాధించిన (1199) ',' 1 వ బౌలర్ అత్యధిక పరు"&amp;"గులు / బ్యాట్స్ కలయికలు (4) ',' 12 వ బౌలర్ / ఫీల్డర్ కలయికలు (8) ',' 48 వ అత్యధిక వికెట్లు తీసుకున్న బౌల్డ్ (10) ',' 42 వ అత్యంత వికెట్లు ఆకర్షించింది తీసుకోకూడదు (32) ',' 33 వ అత్యధిక వికెట్లు ఒక ఫీల్డర్ చేత క్యాచ్ తీసుకున్న (28) ',' 24 వ అత్యధిక వికెట్ల"&amp;"ు తీసుకున్న ఎల్బిడబ్ల్యు (6) ',' 17 వ అత్యధిక వికెట్లు స్టంప్ (5) ',' 14 వ వేగంగా 50 వికెట్లు తీసుకున్న (41) ',' 15 వ ఇన్నింగ్స్ (3) ',' తొమ్మిదవ వికెట్కు 19 అత్యధిక భాగస్వామ్యం (36) ',' పదవ వికెట్ను (22 *) కోసం 17 అత్యధిక భాగస్వామ్యం ',' 34 వ వరుస మ్యాచ్"&amp;"లు లో అత్యధిక క్యాచ్లు ఒక జట్టు (32) ',' 19 వ అత్యంత ప్లేయర్ ఆఫ్ ది మ్యాచ్ అవార్డులు (6) ',' 10 వ పిన్న కాప్టెన్ (22y 75d) ',' 29th వరుస అన్ని టాస్ గెలిచిన (3) ']")</f>
        <v>[ '32 వ అత్యధిక కెరీర్ వికెట్లు (53)', 'ఒక క్యాలెండర్ సంవత్సరంలో 2 వ అత్యధిక వికెట్లు (28)', '17 వ అత్యుత్తమ బౌలింగ్ ఇన్నింగ్స్ లో విశ్లేషించడం (3/7)', '34 వ కెరీర్ లో బౌల్డ్ చాలా బంతుల్లో (987) ',' 30 వ కెరీర్ లో సాధించిన (1199) ',' 1 వ బౌలర్ అత్యధిక పరుగులు / బ్యాట్స్ కలయికలు (4) ',' 12 వ బౌలర్ / ఫీల్డర్ కలయికలు (8) ',' 48 వ అత్యధిక వికెట్లు తీసుకున్న బౌల్డ్ (10) ',' 42 వ అత్యంత వికెట్లు ఆకర్షించింది తీసుకోకూడదు (32) ',' 33 వ అత్యధిక వికెట్లు ఒక ఫీల్డర్ చేత క్యాచ్ తీసుకున్న (28) ',' 24 వ అత్యధిక వికెట్లు తీసుకున్న ఎల్బిడబ్ల్యు (6) ',' 17 వ అత్యధిక వికెట్లు స్టంప్ (5) ',' 14 వ వేగంగా 50 వికెట్లు తీసుకున్న (41) ',' 15 వ ఇన్నింగ్స్ (3) ',' తొమ్మిదవ వికెట్కు 19 అత్యధిక భాగస్వామ్యం (36) ',' పదవ వికెట్ను (22 *) కోసం 17 అత్యధిక భాగస్వామ్యం ',' 34 వ వరుస మ్యాచ్లు లో అత్యధిక క్యాచ్లు ఒక జట్టు (32) ',' 19 వ అత్యంత ప్లేయర్ ఆఫ్ ది మ్యాచ్ అవార్డులు (6) ',' 10 వ పిన్న కాప్టెన్ (22y 75d) ',' 29th వరుస అన్ని టాస్ గెలిచిన (3) ']</v>
      </c>
      <c r="I6878" s="3"/>
    </row>
    <row r="6879" customHeight="1" spans="1:9">
      <c r="A6879" s="2"/>
      <c r="B6879" s="2" t="str">
        <f>IFERROR(__xludf.DUMMYFUNCTION("IF(A6879&lt;&gt;"""", GOOGLETRANSLATE(A6879, ""en"", ""te""),"""")"),"")</f>
        <v/>
      </c>
      <c r="C6879" s="2"/>
      <c r="D6879" s="2" t="str">
        <f>IFERROR(__xludf.DUMMYFUNCTION("IF(C6879&lt;&gt;"""", GOOGLETRANSLATE(C6879, ""en"", ""te""),"""")"),"")</f>
        <v/>
      </c>
      <c r="E6879" s="2"/>
      <c r="F6879" s="2" t="str">
        <f>IFERROR(__xludf.DUMMYFUNCTION("IF(E6879&lt;&gt;"""", GOOGLETRANSLATE(E6879, ""en"", ""te""),"""")"),"")</f>
        <v/>
      </c>
      <c r="G6879" s="2"/>
      <c r="H6879" s="2" t="str">
        <f>IFERROR(__xludf.DUMMYFUNCTION("IF(G6879&lt;&gt;"""", GOOGLETRANSLATE(G6879, ""en"", ""te""),"""")"),"")</f>
        <v/>
      </c>
      <c r="I6879" s="3"/>
    </row>
    <row r="6880" customHeight="1" spans="1:9">
      <c r="A6880" s="2"/>
      <c r="B6880" s="2" t="str">
        <f>IFERROR(__xludf.DUMMYFUNCTION("IF(A6880&lt;&gt;"""", GOOGLETRANSLATE(A6880, ""en"", ""te""),"""")"),"")</f>
        <v/>
      </c>
      <c r="C6880" s="2"/>
      <c r="D6880" s="2" t="str">
        <f>IFERROR(__xludf.DUMMYFUNCTION("IF(C6880&lt;&gt;"""", GOOGLETRANSLATE(C6880, ""en"", ""te""),"""")"),"")</f>
        <v/>
      </c>
      <c r="E6880" s="2"/>
      <c r="F6880" s="2" t="str">
        <f>IFERROR(__xludf.DUMMYFUNCTION("IF(E6880&lt;&gt;"""", GOOGLETRANSLATE(E6880, ""en"", ""te""),"""")"),"")</f>
        <v/>
      </c>
      <c r="G6880" s="2"/>
      <c r="H6880" s="2" t="str">
        <f>IFERROR(__xludf.DUMMYFUNCTION("IF(G6880&lt;&gt;"""", GOOGLETRANSLATE(G6880, ""en"", ""te""),"""")"),"")</f>
        <v/>
      </c>
      <c r="I6880" s="3"/>
    </row>
    <row r="6881" customHeight="1" spans="1:9">
      <c r="A6881" s="2"/>
      <c r="B6881" s="2" t="str">
        <f>IFERROR(__xludf.DUMMYFUNCTION("IF(A6881&lt;&gt;"""", GOOGLETRANSLATE(A6881, ""en"", ""te""),"""")"),"")</f>
        <v/>
      </c>
      <c r="C6881" s="2"/>
      <c r="D6881" s="2" t="str">
        <f>IFERROR(__xludf.DUMMYFUNCTION("IF(C6881&lt;&gt;"""", GOOGLETRANSLATE(C6881, ""en"", ""te""),"""")"),"")</f>
        <v/>
      </c>
      <c r="E6881" s="2"/>
      <c r="F6881" s="2" t="str">
        <f>IFERROR(__xludf.DUMMYFUNCTION("IF(E6881&lt;&gt;"""", GOOGLETRANSLATE(E6881, ""en"", ""te""),"""")"),"")</f>
        <v/>
      </c>
      <c r="G6881" s="2"/>
      <c r="H6881" s="2" t="str">
        <f>IFERROR(__xludf.DUMMYFUNCTION("IF(G6881&lt;&gt;"""", GOOGLETRANSLATE(G6881, ""en"", ""te""),"""")"),"")</f>
        <v/>
      </c>
      <c r="I6881" s="3"/>
    </row>
    <row r="6882" customHeight="1" spans="1:9">
      <c r="A6882" s="2"/>
      <c r="B6882" s="2" t="str">
        <f>IFERROR(__xludf.DUMMYFUNCTION("IF(A6882&lt;&gt;"""", GOOGLETRANSLATE(A6882, ""en"", ""te""),"""")"),"")</f>
        <v/>
      </c>
      <c r="C6882" s="2"/>
      <c r="D6882" s="2" t="str">
        <f>IFERROR(__xludf.DUMMYFUNCTION("IF(C6882&lt;&gt;"""", GOOGLETRANSLATE(C6882, ""en"", ""te""),"""")"),"")</f>
        <v/>
      </c>
      <c r="E6882" s="2"/>
      <c r="F6882" s="2" t="str">
        <f>IFERROR(__xludf.DUMMYFUNCTION("IF(E6882&lt;&gt;"""", GOOGLETRANSLATE(E6882, ""en"", ""te""),"""")"),"")</f>
        <v/>
      </c>
      <c r="G6882" s="2"/>
      <c r="H6882" s="2" t="str">
        <f>IFERROR(__xludf.DUMMYFUNCTION("IF(G6882&lt;&gt;"""", GOOGLETRANSLATE(G6882, ""en"", ""te""),"""")"),"")</f>
        <v/>
      </c>
      <c r="I6882" s="3"/>
    </row>
    <row r="6883" customHeight="1" spans="1:9">
      <c r="A6883" s="2"/>
      <c r="B6883" s="2" t="str">
        <f>IFERROR(__xludf.DUMMYFUNCTION("IF(A6883&lt;&gt;"""", GOOGLETRANSLATE(A6883, ""en"", ""te""),"""")"),"")</f>
        <v/>
      </c>
      <c r="C6883" s="2"/>
      <c r="D6883" s="2" t="str">
        <f>IFERROR(__xludf.DUMMYFUNCTION("IF(C6883&lt;&gt;"""", GOOGLETRANSLATE(C6883, ""en"", ""te""),"""")"),"")</f>
        <v/>
      </c>
      <c r="E6883" s="2"/>
      <c r="F6883" s="2" t="str">
        <f>IFERROR(__xludf.DUMMYFUNCTION("IF(E6883&lt;&gt;"""", GOOGLETRANSLATE(E6883, ""en"", ""te""),"""")"),"")</f>
        <v/>
      </c>
      <c r="G6883" s="2"/>
      <c r="H6883" s="2" t="str">
        <f>IFERROR(__xludf.DUMMYFUNCTION("IF(G6883&lt;&gt;"""", GOOGLETRANSLATE(G6883, ""en"", ""te""),"""")"),"")</f>
        <v/>
      </c>
      <c r="I6883" s="3"/>
    </row>
    <row r="6884" customHeight="1" spans="1:9">
      <c r="A6884" s="2"/>
      <c r="B6884" s="2" t="str">
        <f>IFERROR(__xludf.DUMMYFUNCTION("IF(A6884&lt;&gt;"""", GOOGLETRANSLATE(A6884, ""en"", ""te""),"""")"),"")</f>
        <v/>
      </c>
      <c r="C6884" s="2"/>
      <c r="D6884" s="2" t="str">
        <f>IFERROR(__xludf.DUMMYFUNCTION("IF(C6884&lt;&gt;"""", GOOGLETRANSLATE(C6884, ""en"", ""te""),"""")"),"")</f>
        <v/>
      </c>
      <c r="E6884" s="2"/>
      <c r="F6884" s="2" t="str">
        <f>IFERROR(__xludf.DUMMYFUNCTION("IF(E6884&lt;&gt;"""", GOOGLETRANSLATE(E6884, ""en"", ""te""),"""")"),"")</f>
        <v/>
      </c>
      <c r="G6884" s="2"/>
      <c r="H6884" s="2" t="str">
        <f>IFERROR(__xludf.DUMMYFUNCTION("IF(G6884&lt;&gt;"""", GOOGLETRANSLATE(G6884, ""en"", ""te""),"""")"),"")</f>
        <v/>
      </c>
      <c r="I6884" s="3"/>
    </row>
    <row r="6885" customHeight="1" spans="1:9">
      <c r="A6885" s="2"/>
      <c r="B6885" s="2" t="str">
        <f>IFERROR(__xludf.DUMMYFUNCTION("IF(A6885&lt;&gt;"""", GOOGLETRANSLATE(A6885, ""en"", ""te""),"""")"),"")</f>
        <v/>
      </c>
      <c r="C6885" s="2"/>
      <c r="D6885" s="2" t="str">
        <f>IFERROR(__xludf.DUMMYFUNCTION("IF(C6885&lt;&gt;"""", GOOGLETRANSLATE(C6885, ""en"", ""te""),"""")"),"")</f>
        <v/>
      </c>
      <c r="E6885" s="2"/>
      <c r="F6885" s="2" t="str">
        <f>IFERROR(__xludf.DUMMYFUNCTION("IF(E6885&lt;&gt;"""", GOOGLETRANSLATE(E6885, ""en"", ""te""),"""")"),"")</f>
        <v/>
      </c>
      <c r="G6885" s="2"/>
      <c r="H6885" s="2" t="str">
        <f>IFERROR(__xludf.DUMMYFUNCTION("IF(G6885&lt;&gt;"""", GOOGLETRANSLATE(G6885, ""en"", ""te""),"""")"),"")</f>
        <v/>
      </c>
      <c r="I6885" s="3"/>
    </row>
    <row r="6886" customHeight="1" spans="1:9">
      <c r="A6886" s="2" t="s">
        <v>4105</v>
      </c>
      <c r="B6886" s="2" t="str">
        <f>IFERROR(__xludf.DUMMYFUNCTION("IF(A6886&lt;&gt;"""", GOOGLETRANSLATE(A6886, ""en"", ""te""),"""")"),"[ '9 వ అత్యధిక కెరీర్ సమ్మె రేటు (113.40)']")</f>
        <v>[ '9 వ అత్యధిక కెరీర్ సమ్మె రేటు (113.40)']</v>
      </c>
      <c r="C6886" s="2"/>
      <c r="D6886" s="2" t="str">
        <f>IFERROR(__xludf.DUMMYFUNCTION("IF(C6886&lt;&gt;"""", GOOGLETRANSLATE(C6886, ""en"", ""te""),"""")"),"")</f>
        <v/>
      </c>
      <c r="E6886" s="2" t="s">
        <v>4106</v>
      </c>
      <c r="F6886" s="2" t="str">
        <f>IFERROR(__xludf.DUMMYFUNCTION("IF(E6886&lt;&gt;"""", GOOGLETRANSLATE(E6886, ""en"", ""te""),"""")"),"[ '9 వ అత్యధిక కెరీర్ సమ్మె రేటు (113.40)', '15 వ అత్యధిక తొలి వంద (152)', '31 ఇన్నింగ్స్ లో వచ్చిన ఎక్కువ సిక్స్ (9)', 'ఇన్నింగ్స్ లో ఫోర్లు, సిక్సర్లు నుండి 17 వ అత్యధిక పరుగులు (118)']")</f>
        <v>[ '9 వ అత్యధిక కెరీర్ సమ్మె రేటు (113.40)', '15 వ అత్యధిక తొలి వంద (152)', '31 ఇన్నింగ్స్ లో వచ్చిన ఎక్కువ సిక్స్ (9)', 'ఇన్నింగ్స్ లో ఫోర్లు, సిక్సర్లు నుండి 17 వ అత్యధిక పరుగులు (118)']</v>
      </c>
      <c r="G6886" s="2" t="s">
        <v>4107</v>
      </c>
      <c r="H6886" s="2" t="str">
        <f>IFERROR(__xludf.DUMMYFUNCTION("IF(G6886&lt;&gt;"""", GOOGLETRANSLATE(G6886, ""en"", ""te""),"""")"),"[ '36 వ కెరీర్ లో బాతులు (17)', '12 వ వరుస మ్యాచ్లు ప్రదర్శనల మధ్య బృందం (54) కోసం తప్పిన']")</f>
        <v>[ '36 వ కెరీర్ లో బాతులు (17)', '12 వ వరుస మ్యాచ్లు ప్రదర్శనల మధ్య బృందం (54) కోసం తప్పిన']</v>
      </c>
      <c r="I6886" s="3"/>
    </row>
    <row r="6887" customHeight="1" spans="1:9">
      <c r="A6887" s="2"/>
      <c r="B6887" s="2" t="str">
        <f>IFERROR(__xludf.DUMMYFUNCTION("IF(A6887&lt;&gt;"""", GOOGLETRANSLATE(A6887, ""en"", ""te""),"""")"),"")</f>
        <v/>
      </c>
      <c r="C6887" s="2"/>
      <c r="D6887" s="2" t="str">
        <f>IFERROR(__xludf.DUMMYFUNCTION("IF(C6887&lt;&gt;"""", GOOGLETRANSLATE(C6887, ""en"", ""te""),"""")"),"")</f>
        <v/>
      </c>
      <c r="E6887" s="2"/>
      <c r="F6887" s="2" t="str">
        <f>IFERROR(__xludf.DUMMYFUNCTION("IF(E6887&lt;&gt;"""", GOOGLETRANSLATE(E6887, ""en"", ""te""),"""")"),"")</f>
        <v/>
      </c>
      <c r="G6887" s="2"/>
      <c r="H6887" s="2" t="str">
        <f>IFERROR(__xludf.DUMMYFUNCTION("IF(G6887&lt;&gt;"""", GOOGLETRANSLATE(G6887, ""en"", ""te""),"""")"),"")</f>
        <v/>
      </c>
      <c r="I6887" s="3"/>
    </row>
    <row r="6888" customHeight="1" spans="1:9">
      <c r="A6888" s="2"/>
      <c r="B6888" s="2" t="str">
        <f>IFERROR(__xludf.DUMMYFUNCTION("IF(A6888&lt;&gt;"""", GOOGLETRANSLATE(A6888, ""en"", ""te""),"""")"),"")</f>
        <v/>
      </c>
      <c r="C6888" s="2"/>
      <c r="D6888" s="2" t="str">
        <f>IFERROR(__xludf.DUMMYFUNCTION("IF(C6888&lt;&gt;"""", GOOGLETRANSLATE(C6888, ""en"", ""te""),"""")"),"")</f>
        <v/>
      </c>
      <c r="E6888" s="2" t="s">
        <v>4108</v>
      </c>
      <c r="F6888" s="2" t="str">
        <f>IFERROR(__xludf.DUMMYFUNCTION("IF(E6888&lt;&gt;"""", GOOGLETRANSLATE(E6888, ""en"", ""te""),"""")"),"[ '36 వ వరుస మ్యాచ్లు ప్రదర్శనల మధ్య (33) జట్టు తప్పిన']")</f>
        <v>[ '36 వ వరుస మ్యాచ్లు ప్రదర్శనల మధ్య (33) జట్టు తప్పిన']</v>
      </c>
      <c r="G6888" s="2" t="s">
        <v>4109</v>
      </c>
      <c r="H6888" s="2" t="str">
        <f>IFERROR(__xludf.DUMMYFUNCTION("IF(G6888&lt;&gt;"""", GOOGLETRANSLATE(G6888, ""en"", ""te""),"""")"),"[ '30 వ ఇన్నింగ్స్ లో అత్యధిక పరుగులు (బ్యాటింగ్ స్థానంలో ప్రకారం) (15)', '36 వ అత్యధిక వికెట్లు తీసుకున్న ఎల్బిడబ్ల్యు (6)']")</f>
        <v>[ '30 వ ఇన్నింగ్స్ లో అత్యధిక పరుగులు (బ్యాటింగ్ స్థానంలో ప్రకారం) (15)', '36 వ అత్యధిక వికెట్లు తీసుకున్న ఎల్బిడబ్ల్యు (6)']</v>
      </c>
      <c r="I6888" s="3"/>
    </row>
    <row r="6889" customHeight="1" spans="1:9">
      <c r="A6889" s="2"/>
      <c r="B6889" s="2" t="str">
        <f>IFERROR(__xludf.DUMMYFUNCTION("IF(A6889&lt;&gt;"""", GOOGLETRANSLATE(A6889, ""en"", ""te""),"""")"),"")</f>
        <v/>
      </c>
      <c r="C6889" s="2"/>
      <c r="D6889" s="2" t="str">
        <f>IFERROR(__xludf.DUMMYFUNCTION("IF(C6889&lt;&gt;"""", GOOGLETRANSLATE(C6889, ""en"", ""te""),"""")"),"")</f>
        <v/>
      </c>
      <c r="E6889" s="2"/>
      <c r="F6889" s="2" t="str">
        <f>IFERROR(__xludf.DUMMYFUNCTION("IF(E6889&lt;&gt;"""", GOOGLETRANSLATE(E6889, ""en"", ""te""),"""")"),"")</f>
        <v/>
      </c>
      <c r="G6889" s="2"/>
      <c r="H6889" s="2" t="str">
        <f>IFERROR(__xludf.DUMMYFUNCTION("IF(G6889&lt;&gt;"""", GOOGLETRANSLATE(G6889, ""en"", ""te""),"""")"),"")</f>
        <v/>
      </c>
      <c r="I6889" s="3"/>
    </row>
    <row r="6890" customHeight="1" spans="1:9">
      <c r="A6890" s="2"/>
      <c r="B6890" s="2" t="str">
        <f>IFERROR(__xludf.DUMMYFUNCTION("IF(A6890&lt;&gt;"""", GOOGLETRANSLATE(A6890, ""en"", ""te""),"""")"),"")</f>
        <v/>
      </c>
      <c r="C6890" s="2"/>
      <c r="D6890" s="2" t="str">
        <f>IFERROR(__xludf.DUMMYFUNCTION("IF(C6890&lt;&gt;"""", GOOGLETRANSLATE(C6890, ""en"", ""te""),"""")"),"")</f>
        <v/>
      </c>
      <c r="E6890" s="2"/>
      <c r="F6890" s="2" t="str">
        <f>IFERROR(__xludf.DUMMYFUNCTION("IF(E6890&lt;&gt;"""", GOOGLETRANSLATE(E6890, ""en"", ""te""),"""")"),"")</f>
        <v/>
      </c>
      <c r="G6890" s="2"/>
      <c r="H6890" s="2" t="str">
        <f>IFERROR(__xludf.DUMMYFUNCTION("IF(G6890&lt;&gt;"""", GOOGLETRANSLATE(G6890, ""en"", ""te""),"""")"),"")</f>
        <v/>
      </c>
      <c r="I6890" s="3"/>
    </row>
    <row r="6891" customHeight="1" spans="1:9">
      <c r="A6891" s="2"/>
      <c r="B6891" s="2" t="str">
        <f>IFERROR(__xludf.DUMMYFUNCTION("IF(A6891&lt;&gt;"""", GOOGLETRANSLATE(A6891, ""en"", ""te""),"""")"),"")</f>
        <v/>
      </c>
      <c r="C6891" s="2" t="s">
        <v>3129</v>
      </c>
      <c r="D6891" s="2" t="str">
        <f>IFERROR(__xludf.DUMMYFUNCTION("IF(C6891&lt;&gt;"""", GOOGLETRANSLATE(C6891, ""en"", ""te""),"""")"),"[ '23 వ ఉత్తమ కెరీర్ బౌలింగ్ సరాసరి (అర్హత లేకుండా) (9.00)']")</f>
        <v>[ '23 వ ఉత్తమ కెరీర్ బౌలింగ్ సరాసరి (అర్హత లేకుండా) (9.00)']</v>
      </c>
      <c r="E6891" s="2"/>
      <c r="F6891" s="2" t="str">
        <f>IFERROR(__xludf.DUMMYFUNCTION("IF(E6891&lt;&gt;"""", GOOGLETRANSLATE(E6891, ""en"", ""te""),"""")"),"")</f>
        <v/>
      </c>
      <c r="G6891" s="2"/>
      <c r="H6891" s="2" t="str">
        <f>IFERROR(__xludf.DUMMYFUNCTION("IF(G6891&lt;&gt;"""", GOOGLETRANSLATE(G6891, ""en"", ""te""),"""")"),"")</f>
        <v/>
      </c>
      <c r="I6891" s="3"/>
    </row>
    <row r="6892" customHeight="1" spans="1:9">
      <c r="A6892" s="2"/>
      <c r="B6892" s="2" t="str">
        <f>IFERROR(__xludf.DUMMYFUNCTION("IF(A6892&lt;&gt;"""", GOOGLETRANSLATE(A6892, ""en"", ""te""),"""")"),"")</f>
        <v/>
      </c>
      <c r="C6892" s="2"/>
      <c r="D6892" s="2" t="str">
        <f>IFERROR(__xludf.DUMMYFUNCTION("IF(C6892&lt;&gt;"""", GOOGLETRANSLATE(C6892, ""en"", ""te""),"""")"),"")</f>
        <v/>
      </c>
      <c r="E6892" s="2"/>
      <c r="F6892" s="2" t="str">
        <f>IFERROR(__xludf.DUMMYFUNCTION("IF(E6892&lt;&gt;"""", GOOGLETRANSLATE(E6892, ""en"", ""te""),"""")"),"")</f>
        <v/>
      </c>
      <c r="G6892" s="2"/>
      <c r="H6892" s="2" t="str">
        <f>IFERROR(__xludf.DUMMYFUNCTION("IF(G6892&lt;&gt;"""", GOOGLETRANSLATE(G6892, ""en"", ""te""),"""")"),"")</f>
        <v/>
      </c>
      <c r="I6892" s="3"/>
    </row>
    <row r="6893" customHeight="1" spans="1:9">
      <c r="A6893" s="2"/>
      <c r="B6893" s="2" t="str">
        <f>IFERROR(__xludf.DUMMYFUNCTION("IF(A6893&lt;&gt;"""", GOOGLETRANSLATE(A6893, ""en"", ""te""),"""")"),"")</f>
        <v/>
      </c>
      <c r="C6893" s="2"/>
      <c r="D6893" s="2" t="str">
        <f>IFERROR(__xludf.DUMMYFUNCTION("IF(C6893&lt;&gt;"""", GOOGLETRANSLATE(C6893, ""en"", ""te""),"""")"),"")</f>
        <v/>
      </c>
      <c r="E6893" s="2"/>
      <c r="F6893" s="2" t="str">
        <f>IFERROR(__xludf.DUMMYFUNCTION("IF(E6893&lt;&gt;"""", GOOGLETRANSLATE(E6893, ""en"", ""te""),"""")"),"")</f>
        <v/>
      </c>
      <c r="G6893" s="2"/>
      <c r="H6893" s="2" t="str">
        <f>IFERROR(__xludf.DUMMYFUNCTION("IF(G6893&lt;&gt;"""", GOOGLETRANSLATE(G6893, ""en"", ""te""),"""")"),"")</f>
        <v/>
      </c>
      <c r="I6893" s="3"/>
    </row>
    <row r="6894" customHeight="1" spans="1:9">
      <c r="A6894" s="2"/>
      <c r="B6894" s="2" t="str">
        <f>IFERROR(__xludf.DUMMYFUNCTION("IF(A6894&lt;&gt;"""", GOOGLETRANSLATE(A6894, ""en"", ""te""),"""")"),"")</f>
        <v/>
      </c>
      <c r="C6894" s="2" t="s">
        <v>4110</v>
      </c>
      <c r="D6894" s="2" t="str">
        <f>IFERROR(__xludf.DUMMYFUNCTION("IF(C6894&lt;&gt;"""", GOOGLETRANSLATE(C6894, ""en"", ""te""),"""")"),"[ '43 వ పిన్న క్రీడాకారులు (18y 41d)']")</f>
        <v>[ '43 వ పిన్న క్రీడాకారులు (18y 41d)']</v>
      </c>
      <c r="E6894" s="2"/>
      <c r="F6894" s="2" t="str">
        <f>IFERROR(__xludf.DUMMYFUNCTION("IF(E6894&lt;&gt;"""", GOOGLETRANSLATE(E6894, ""en"", ""te""),"""")"),"")</f>
        <v/>
      </c>
      <c r="G6894" s="2"/>
      <c r="H6894" s="2" t="str">
        <f>IFERROR(__xludf.DUMMYFUNCTION("IF(G6894&lt;&gt;"""", GOOGLETRANSLATE(G6894, ""en"", ""te""),"""")"),"")</f>
        <v/>
      </c>
      <c r="I6894" s="3"/>
    </row>
    <row r="6895" customHeight="1" spans="1:9">
      <c r="A6895" s="2"/>
      <c r="B6895" s="2" t="str">
        <f>IFERROR(__xludf.DUMMYFUNCTION("IF(A6895&lt;&gt;"""", GOOGLETRANSLATE(A6895, ""en"", ""te""),"""")"),"")</f>
        <v/>
      </c>
      <c r="C6895" s="2"/>
      <c r="D6895" s="2" t="str">
        <f>IFERROR(__xludf.DUMMYFUNCTION("IF(C6895&lt;&gt;"""", GOOGLETRANSLATE(C6895, ""en"", ""te""),"""")"),"")</f>
        <v/>
      </c>
      <c r="E6895" s="2" t="s">
        <v>4111</v>
      </c>
      <c r="F6895" s="2" t="str">
        <f>IFERROR(__xludf.DUMMYFUNCTION("IF(E6895&lt;&gt;"""", GOOGLETRANSLATE(E6895, ""en"", ""te""),"""")"),"[ '47 వ పురాతన దేశం ఆటగాళ్ళు (77y 43D)']")</f>
        <v>[ '47 వ పురాతన దేశం ఆటగాళ్ళు (77y 43D)']</v>
      </c>
      <c r="G6895" s="2"/>
      <c r="H6895" s="2" t="str">
        <f>IFERROR(__xludf.DUMMYFUNCTION("IF(G6895&lt;&gt;"""", GOOGLETRANSLATE(G6895, ""en"", ""te""),"""")"),"")</f>
        <v/>
      </c>
      <c r="I6895" s="3"/>
    </row>
    <row r="6896" customHeight="1" spans="1:9">
      <c r="A6896" s="2"/>
      <c r="B6896" s="2" t="str">
        <f>IFERROR(__xludf.DUMMYFUNCTION("IF(A6896&lt;&gt;"""", GOOGLETRANSLATE(A6896, ""en"", ""te""),"""")"),"")</f>
        <v/>
      </c>
      <c r="C6896" s="2"/>
      <c r="D6896" s="2" t="str">
        <f>IFERROR(__xludf.DUMMYFUNCTION("IF(C6896&lt;&gt;"""", GOOGLETRANSLATE(C6896, ""en"", ""te""),"""")"),"")</f>
        <v/>
      </c>
      <c r="E6896" s="2"/>
      <c r="F6896" s="2" t="str">
        <f>IFERROR(__xludf.DUMMYFUNCTION("IF(E6896&lt;&gt;"""", GOOGLETRANSLATE(E6896, ""en"", ""te""),"""")"),"")</f>
        <v/>
      </c>
      <c r="G6896" s="2"/>
      <c r="H6896" s="2" t="str">
        <f>IFERROR(__xludf.DUMMYFUNCTION("IF(G6896&lt;&gt;"""", GOOGLETRANSLATE(G6896, ""en"", ""te""),"""")"),"")</f>
        <v/>
      </c>
      <c r="I6896" s="3"/>
    </row>
    <row r="6897" customHeight="1" spans="1:9">
      <c r="A6897" s="2"/>
      <c r="B6897" s="2" t="str">
        <f>IFERROR(__xludf.DUMMYFUNCTION("IF(A6897&lt;&gt;"""", GOOGLETRANSLATE(A6897, ""en"", ""te""),"""")"),"")</f>
        <v/>
      </c>
      <c r="C6897" s="2"/>
      <c r="D6897" s="2" t="str">
        <f>IFERROR(__xludf.DUMMYFUNCTION("IF(C6897&lt;&gt;"""", GOOGLETRANSLATE(C6897, ""en"", ""te""),"""")"),"")</f>
        <v/>
      </c>
      <c r="E6897" s="2"/>
      <c r="F6897" s="2" t="str">
        <f>IFERROR(__xludf.DUMMYFUNCTION("IF(E6897&lt;&gt;"""", GOOGLETRANSLATE(E6897, ""en"", ""te""),"""")"),"")</f>
        <v/>
      </c>
      <c r="G6897" s="2"/>
      <c r="H6897" s="2" t="str">
        <f>IFERROR(__xludf.DUMMYFUNCTION("IF(G6897&lt;&gt;"""", GOOGLETRANSLATE(G6897, ""en"", ""te""),"""")"),"")</f>
        <v/>
      </c>
      <c r="I6897" s="3"/>
    </row>
    <row r="6898" customHeight="1" spans="1:9">
      <c r="A6898" s="2"/>
      <c r="B6898" s="2" t="str">
        <f>IFERROR(__xludf.DUMMYFUNCTION("IF(A6898&lt;&gt;"""", GOOGLETRANSLATE(A6898, ""en"", ""te""),"""")"),"")</f>
        <v/>
      </c>
      <c r="C6898" s="2"/>
      <c r="D6898" s="2" t="str">
        <f>IFERROR(__xludf.DUMMYFUNCTION("IF(C6898&lt;&gt;"""", GOOGLETRANSLATE(C6898, ""en"", ""te""),"""")"),"")</f>
        <v/>
      </c>
      <c r="E6898" s="2"/>
      <c r="F6898" s="2" t="str">
        <f>IFERROR(__xludf.DUMMYFUNCTION("IF(E6898&lt;&gt;"""", GOOGLETRANSLATE(E6898, ""en"", ""te""),"""")"),"")</f>
        <v/>
      </c>
      <c r="G6898" s="2"/>
      <c r="H6898" s="2" t="str">
        <f>IFERROR(__xludf.DUMMYFUNCTION("IF(G6898&lt;&gt;"""", GOOGLETRANSLATE(G6898, ""en"", ""te""),"""")"),"")</f>
        <v/>
      </c>
      <c r="I6898" s="3"/>
    </row>
    <row r="6899" customHeight="1" spans="1:9">
      <c r="A6899" s="2"/>
      <c r="B6899" s="2" t="str">
        <f>IFERROR(__xludf.DUMMYFUNCTION("IF(A6899&lt;&gt;"""", GOOGLETRANSLATE(A6899, ""en"", ""te""),"""")"),"")</f>
        <v/>
      </c>
      <c r="C6899" s="2"/>
      <c r="D6899" s="2" t="str">
        <f>IFERROR(__xludf.DUMMYFUNCTION("IF(C6899&lt;&gt;"""", GOOGLETRANSLATE(C6899, ""en"", ""te""),"""")"),"")</f>
        <v/>
      </c>
      <c r="E6899" s="2"/>
      <c r="F6899" s="2" t="str">
        <f>IFERROR(__xludf.DUMMYFUNCTION("IF(E6899&lt;&gt;"""", GOOGLETRANSLATE(E6899, ""en"", ""te""),"""")"),"")</f>
        <v/>
      </c>
      <c r="G6899" s="2"/>
      <c r="H6899" s="2" t="str">
        <f>IFERROR(__xludf.DUMMYFUNCTION("IF(G6899&lt;&gt;"""", GOOGLETRANSLATE(G6899, ""en"", ""te""),"""")"),"")</f>
        <v/>
      </c>
      <c r="I6899" s="3"/>
    </row>
    <row r="6900" customHeight="1" spans="1:9">
      <c r="A6900" s="2"/>
      <c r="B6900" s="2" t="str">
        <f>IFERROR(__xludf.DUMMYFUNCTION("IF(A6900&lt;&gt;"""", GOOGLETRANSLATE(A6900, ""en"", ""te""),"""")"),"")</f>
        <v/>
      </c>
      <c r="C6900" s="2"/>
      <c r="D6900" s="2" t="str">
        <f>IFERROR(__xludf.DUMMYFUNCTION("IF(C6900&lt;&gt;"""", GOOGLETRANSLATE(C6900, ""en"", ""te""),"""")"),"")</f>
        <v/>
      </c>
      <c r="E6900" s="2"/>
      <c r="F6900" s="2" t="str">
        <f>IFERROR(__xludf.DUMMYFUNCTION("IF(E6900&lt;&gt;"""", GOOGLETRANSLATE(E6900, ""en"", ""te""),"""")"),"")</f>
        <v/>
      </c>
      <c r="G6900" s="2"/>
      <c r="H6900" s="2" t="str">
        <f>IFERROR(__xludf.DUMMYFUNCTION("IF(G6900&lt;&gt;"""", GOOGLETRANSLATE(G6900, ""en"", ""te""),"""")"),"")</f>
        <v/>
      </c>
      <c r="I6900" s="3"/>
    </row>
    <row r="6901" customHeight="1" spans="1:9">
      <c r="A6901" s="2"/>
      <c r="B6901" s="2" t="str">
        <f>IFERROR(__xludf.DUMMYFUNCTION("IF(A6901&lt;&gt;"""", GOOGLETRANSLATE(A6901, ""en"", ""te""),"""")"),"")</f>
        <v/>
      </c>
      <c r="C6901" s="2"/>
      <c r="D6901" s="2" t="str">
        <f>IFERROR(__xludf.DUMMYFUNCTION("IF(C6901&lt;&gt;"""", GOOGLETRANSLATE(C6901, ""en"", ""te""),"""")"),"")</f>
        <v/>
      </c>
      <c r="E6901" s="2"/>
      <c r="F6901" s="2" t="str">
        <f>IFERROR(__xludf.DUMMYFUNCTION("IF(E6901&lt;&gt;"""", GOOGLETRANSLATE(E6901, ""en"", ""te""),"""")"),"")</f>
        <v/>
      </c>
      <c r="G6901" s="2"/>
      <c r="H6901" s="2" t="str">
        <f>IFERROR(__xludf.DUMMYFUNCTION("IF(G6901&lt;&gt;"""", GOOGLETRANSLATE(G6901, ""en"", ""te""),"""")"),"")</f>
        <v/>
      </c>
      <c r="I6901" s="3"/>
    </row>
    <row r="6902" customHeight="1" spans="1:9">
      <c r="A6902" s="2"/>
      <c r="B6902" s="2" t="str">
        <f>IFERROR(__xludf.DUMMYFUNCTION("IF(A6902&lt;&gt;"""", GOOGLETRANSLATE(A6902, ""en"", ""te""),"""")"),"")</f>
        <v/>
      </c>
      <c r="C6902" s="2"/>
      <c r="D6902" s="2" t="str">
        <f>IFERROR(__xludf.DUMMYFUNCTION("IF(C6902&lt;&gt;"""", GOOGLETRANSLATE(C6902, ""en"", ""te""),"""")"),"")</f>
        <v/>
      </c>
      <c r="E6902" s="2"/>
      <c r="F6902" s="2" t="str">
        <f>IFERROR(__xludf.DUMMYFUNCTION("IF(E6902&lt;&gt;"""", GOOGLETRANSLATE(E6902, ""en"", ""te""),"""")"),"")</f>
        <v/>
      </c>
      <c r="G6902" s="2"/>
      <c r="H6902" s="2" t="str">
        <f>IFERROR(__xludf.DUMMYFUNCTION("IF(G6902&lt;&gt;"""", GOOGLETRANSLATE(G6902, ""en"", ""te""),"""")"),"")</f>
        <v/>
      </c>
      <c r="I6902" s="3"/>
    </row>
    <row r="6903" customHeight="1" spans="1:9">
      <c r="A6903" s="2"/>
      <c r="B6903" s="2" t="str">
        <f>IFERROR(__xludf.DUMMYFUNCTION("IF(A6903&lt;&gt;"""", GOOGLETRANSLATE(A6903, ""en"", ""te""),"""")"),"")</f>
        <v/>
      </c>
      <c r="C6903" s="2"/>
      <c r="D6903" s="2" t="str">
        <f>IFERROR(__xludf.DUMMYFUNCTION("IF(C6903&lt;&gt;"""", GOOGLETRANSLATE(C6903, ""en"", ""te""),"""")"),"")</f>
        <v/>
      </c>
      <c r="E6903" s="2"/>
      <c r="F6903" s="2" t="str">
        <f>IFERROR(__xludf.DUMMYFUNCTION("IF(E6903&lt;&gt;"""", GOOGLETRANSLATE(E6903, ""en"", ""te""),"""")"),"")</f>
        <v/>
      </c>
      <c r="G6903" s="2"/>
      <c r="H6903" s="2" t="str">
        <f>IFERROR(__xludf.DUMMYFUNCTION("IF(G6903&lt;&gt;"""", GOOGLETRANSLATE(G6903, ""en"", ""te""),"""")"),"")</f>
        <v/>
      </c>
      <c r="I6903" s="3"/>
    </row>
    <row r="6904" customHeight="1" spans="1:9">
      <c r="A6904" s="2"/>
      <c r="B6904" s="2" t="str">
        <f>IFERROR(__xludf.DUMMYFUNCTION("IF(A6904&lt;&gt;"""", GOOGLETRANSLATE(A6904, ""en"", ""te""),"""")"),"")</f>
        <v/>
      </c>
      <c r="C6904" s="2"/>
      <c r="D6904" s="2" t="str">
        <f>IFERROR(__xludf.DUMMYFUNCTION("IF(C6904&lt;&gt;"""", GOOGLETRANSLATE(C6904, ""en"", ""te""),"""")"),"")</f>
        <v/>
      </c>
      <c r="E6904" s="2"/>
      <c r="F6904" s="2" t="str">
        <f>IFERROR(__xludf.DUMMYFUNCTION("IF(E6904&lt;&gt;"""", GOOGLETRANSLATE(E6904, ""en"", ""te""),"""")"),"")</f>
        <v/>
      </c>
      <c r="G6904" s="2"/>
      <c r="H6904" s="2" t="str">
        <f>IFERROR(__xludf.DUMMYFUNCTION("IF(G6904&lt;&gt;"""", GOOGLETRANSLATE(G6904, ""en"", ""te""),"""")"),"")</f>
        <v/>
      </c>
      <c r="I6904" s="3"/>
    </row>
    <row r="6905" customHeight="1" spans="1:9">
      <c r="A6905" s="2"/>
      <c r="B6905" s="2" t="str">
        <f>IFERROR(__xludf.DUMMYFUNCTION("IF(A6905&lt;&gt;"""", GOOGLETRANSLATE(A6905, ""en"", ""te""),"""")"),"")</f>
        <v/>
      </c>
      <c r="C6905" s="2"/>
      <c r="D6905" s="2" t="str">
        <f>IFERROR(__xludf.DUMMYFUNCTION("IF(C6905&lt;&gt;"""", GOOGLETRANSLATE(C6905, ""en"", ""te""),"""")"),"")</f>
        <v/>
      </c>
      <c r="E6905" s="2"/>
      <c r="F6905" s="2" t="str">
        <f>IFERROR(__xludf.DUMMYFUNCTION("IF(E6905&lt;&gt;"""", GOOGLETRANSLATE(E6905, ""en"", ""te""),"""")"),"")</f>
        <v/>
      </c>
      <c r="G6905" s="2"/>
      <c r="H6905" s="2" t="str">
        <f>IFERROR(__xludf.DUMMYFUNCTION("IF(G6905&lt;&gt;"""", GOOGLETRANSLATE(G6905, ""en"", ""te""),"""")"),"")</f>
        <v/>
      </c>
      <c r="I6905" s="3"/>
    </row>
    <row r="6906" customHeight="1" spans="1:9">
      <c r="A6906" s="2"/>
      <c r="B6906" s="2" t="str">
        <f>IFERROR(__xludf.DUMMYFUNCTION("IF(A6906&lt;&gt;"""", GOOGLETRANSLATE(A6906, ""en"", ""te""),"""")"),"")</f>
        <v/>
      </c>
      <c r="C6906" s="2"/>
      <c r="D6906" s="2" t="str">
        <f>IFERROR(__xludf.DUMMYFUNCTION("IF(C6906&lt;&gt;"""", GOOGLETRANSLATE(C6906, ""en"", ""te""),"""")"),"")</f>
        <v/>
      </c>
      <c r="E6906" s="2"/>
      <c r="F6906" s="2" t="str">
        <f>IFERROR(__xludf.DUMMYFUNCTION("IF(E6906&lt;&gt;"""", GOOGLETRANSLATE(E6906, ""en"", ""te""),"""")"),"")</f>
        <v/>
      </c>
      <c r="G6906" s="2"/>
      <c r="H6906" s="2" t="str">
        <f>IFERROR(__xludf.DUMMYFUNCTION("IF(G6906&lt;&gt;"""", GOOGLETRANSLATE(G6906, ""en"", ""te""),"""")"),"")</f>
        <v/>
      </c>
      <c r="I6906" s="3"/>
    </row>
    <row r="6907" customHeight="1" spans="1:9">
      <c r="A6907" s="2"/>
      <c r="B6907" s="2" t="str">
        <f>IFERROR(__xludf.DUMMYFUNCTION("IF(A6907&lt;&gt;"""", GOOGLETRANSLATE(A6907, ""en"", ""te""),"""")"),"")</f>
        <v/>
      </c>
      <c r="C6907" s="2"/>
      <c r="D6907" s="2" t="str">
        <f>IFERROR(__xludf.DUMMYFUNCTION("IF(C6907&lt;&gt;"""", GOOGLETRANSLATE(C6907, ""en"", ""te""),"""")"),"")</f>
        <v/>
      </c>
      <c r="E6907" s="2"/>
      <c r="F6907" s="2" t="str">
        <f>IFERROR(__xludf.DUMMYFUNCTION("IF(E6907&lt;&gt;"""", GOOGLETRANSLATE(E6907, ""en"", ""te""),"""")"),"")</f>
        <v/>
      </c>
      <c r="G6907" s="2"/>
      <c r="H6907" s="2" t="str">
        <f>IFERROR(__xludf.DUMMYFUNCTION("IF(G6907&lt;&gt;"""", GOOGLETRANSLATE(G6907, ""en"", ""te""),"""")"),"")</f>
        <v/>
      </c>
      <c r="I6907" s="3"/>
    </row>
    <row r="6908" customHeight="1" spans="1:9">
      <c r="A6908" s="2" t="s">
        <v>749</v>
      </c>
      <c r="B6908" s="2" t="str">
        <f>IFERROR(__xludf.DUMMYFUNCTION("IF(A6908&lt;&gt;"""", GOOGLETRANSLATE(A6908, ""en"", ""te""),"""")"),"[ '6 వ అత్యధిక వరుస బాతులు (3)']")</f>
        <v>[ '6 వ అత్యధిక వరుస బాతులు (3)']</v>
      </c>
      <c r="C6908" s="2" t="s">
        <v>4112</v>
      </c>
      <c r="D6908" s="2" t="str">
        <f>IFERROR(__xludf.DUMMYFUNCTION("IF(C6908&lt;&gt;"""", GOOGLETRANSLATE(C6908, ""en"", ""te""),"""")"),"[ 'వరుస మ్యాచ్లలో 21 వందల (3)', '18 వ లాంగెస్ట్ వ్యక్తిగత ఇన్నింగ్స్ (నిమిషాలు) (720)', '39 వ లాంగెస్ట్ వ్యక్తిగత ఇన్నింగ్స్ (బంతులతో) (516)']")</f>
        <v>[ 'వరుస మ్యాచ్లలో 21 వందల (3)', '18 వ లాంగెస్ట్ వ్యక్తిగత ఇన్నింగ్స్ (నిమిషాలు) (720)', '39 వ లాంగెస్ట్ వ్యక్తిగత ఇన్నింగ్స్ (బంతులతో) (516)']</v>
      </c>
      <c r="E6908" s="2" t="s">
        <v>1335</v>
      </c>
      <c r="F6908" s="2" t="str">
        <f>IFERROR(__xludf.DUMMYFUNCTION("IF(E6908&lt;&gt;"""", GOOGLETRANSLATE(E6908, ""en"", ""te""),"""")"),"[ 'ఒక సిరీస్లో 6 వ అత్యంత బాతులు (3)', '6 వ అత్యధిక వరుస బాతులు (3)']")</f>
        <v>[ 'ఒక సిరీస్లో 6 వ అత్యంత బాతులు (3)', '6 వ అత్యధిక వరుస బాతులు (3)']</v>
      </c>
      <c r="G6908" s="2"/>
      <c r="H6908" s="2" t="str">
        <f>IFERROR(__xludf.DUMMYFUNCTION("IF(G6908&lt;&gt;"""", GOOGLETRANSLATE(G6908, ""en"", ""te""),"""")"),"")</f>
        <v/>
      </c>
      <c r="I6908" s="3"/>
    </row>
    <row r="6909" customHeight="1" spans="1:9">
      <c r="A6909" s="2"/>
      <c r="B6909" s="2" t="str">
        <f>IFERROR(__xludf.DUMMYFUNCTION("IF(A6909&lt;&gt;"""", GOOGLETRANSLATE(A6909, ""en"", ""te""),"""")"),"")</f>
        <v/>
      </c>
      <c r="C6909" s="2"/>
      <c r="D6909" s="2" t="str">
        <f>IFERROR(__xludf.DUMMYFUNCTION("IF(C6909&lt;&gt;"""", GOOGLETRANSLATE(C6909, ""en"", ""te""),"""")"),"")</f>
        <v/>
      </c>
      <c r="E6909" s="2"/>
      <c r="F6909" s="2" t="str">
        <f>IFERROR(__xludf.DUMMYFUNCTION("IF(E6909&lt;&gt;"""", GOOGLETRANSLATE(E6909, ""en"", ""te""),"""")"),"")</f>
        <v/>
      </c>
      <c r="G6909" s="2"/>
      <c r="H6909" s="2" t="str">
        <f>IFERROR(__xludf.DUMMYFUNCTION("IF(G6909&lt;&gt;"""", GOOGLETRANSLATE(G6909, ""en"", ""te""),"""")"),"")</f>
        <v/>
      </c>
      <c r="I6909" s="3"/>
    </row>
    <row r="6910" customHeight="1" spans="1:9">
      <c r="A6910" s="2"/>
      <c r="B6910" s="2" t="str">
        <f>IFERROR(__xludf.DUMMYFUNCTION("IF(A6910&lt;&gt;"""", GOOGLETRANSLATE(A6910, ""en"", ""te""),"""")"),"")</f>
        <v/>
      </c>
      <c r="C6910" s="2"/>
      <c r="D6910" s="2" t="str">
        <f>IFERROR(__xludf.DUMMYFUNCTION("IF(C6910&lt;&gt;"""", GOOGLETRANSLATE(C6910, ""en"", ""te""),"""")"),"")</f>
        <v/>
      </c>
      <c r="E6910" s="2"/>
      <c r="F6910" s="2" t="str">
        <f>IFERROR(__xludf.DUMMYFUNCTION("IF(E6910&lt;&gt;"""", GOOGLETRANSLATE(E6910, ""en"", ""te""),"""")"),"")</f>
        <v/>
      </c>
      <c r="G6910" s="2"/>
      <c r="H6910" s="2" t="str">
        <f>IFERROR(__xludf.DUMMYFUNCTION("IF(G6910&lt;&gt;"""", GOOGLETRANSLATE(G6910, ""en"", ""te""),"""")"),"")</f>
        <v/>
      </c>
      <c r="I6910" s="3"/>
    </row>
    <row r="6911" customHeight="1" spans="1:9">
      <c r="A6911" s="2"/>
      <c r="B6911" s="2" t="str">
        <f>IFERROR(__xludf.DUMMYFUNCTION("IF(A6911&lt;&gt;"""", GOOGLETRANSLATE(A6911, ""en"", ""te""),"""")"),"")</f>
        <v/>
      </c>
      <c r="C6911" s="2"/>
      <c r="D6911" s="2" t="str">
        <f>IFERROR(__xludf.DUMMYFUNCTION("IF(C6911&lt;&gt;"""", GOOGLETRANSLATE(C6911, ""en"", ""te""),"""")"),"")</f>
        <v/>
      </c>
      <c r="E6911" s="2"/>
      <c r="F6911" s="2" t="str">
        <f>IFERROR(__xludf.DUMMYFUNCTION("IF(E6911&lt;&gt;"""", GOOGLETRANSLATE(E6911, ""en"", ""te""),"""")"),"")</f>
        <v/>
      </c>
      <c r="G6911" s="2"/>
      <c r="H6911" s="2" t="str">
        <f>IFERROR(__xludf.DUMMYFUNCTION("IF(G6911&lt;&gt;"""", GOOGLETRANSLATE(G6911, ""en"", ""te""),"""")"),"")</f>
        <v/>
      </c>
      <c r="I6911" s="3"/>
    </row>
    <row r="6912" customHeight="1" spans="1:9">
      <c r="A6912" s="2" t="s">
        <v>4113</v>
      </c>
      <c r="B6912" s="2" t="str">
        <f>IFERROR(__xludf.DUMMYFUNCTION("IF(A6912&lt;&gt;"""", GOOGLETRANSLATE(A6912, ""en"", ""te""),"""")"),"[ 'వరుస ఇన్నింగ్స్లో 5 వ వందల (3)', 'హండ్రెడ్ మరియు ఒక మ్యాచ్లో ఒక డక్', 'వరుస ఇన్నింగ్స్లో 6 వ వందల (3)']")</f>
        <v>[ 'వరుస ఇన్నింగ్స్లో 5 వ వందల (3)', 'హండ్రెడ్ మరియు ఒక మ్యాచ్లో ఒక డక్', 'వరుస ఇన్నింగ్స్లో 6 వ వందల (3)']</v>
      </c>
      <c r="C6912" s="2" t="s">
        <v>4114</v>
      </c>
      <c r="D6912" s="2" t="str">
        <f>IFERROR(__xludf.DUMMYFUNCTION("IF(C6912&lt;&gt;"""", GOOGLETRANSLATE(C6912, ""en"", ""te""),"""")"),"[ 'వరుస ఇన్నింగ్స్లో 5 వ వందల (3)', 'వరుస మ్యాచ్లలో 21 వందల (3)', 'తొలి వికెట్కు (278) కోసం 23 అత్యధిక భాగస్వామ్యం']")</f>
        <v>[ 'వరుస ఇన్నింగ్స్లో 5 వ వందల (3)', 'వరుస మ్యాచ్లలో 21 వందల (3)', 'తొలి వికెట్కు (278) కోసం 23 అత్యధిక భాగస్వామ్యం']</v>
      </c>
      <c r="E6912" s="2"/>
      <c r="F6912" s="2" t="str">
        <f>IFERROR(__xludf.DUMMYFUNCTION("IF(E6912&lt;&gt;"""", GOOGLETRANSLATE(E6912, ""en"", ""te""),"""")"),"")</f>
        <v/>
      </c>
      <c r="G6912" s="2"/>
      <c r="H6912" s="2" t="str">
        <f>IFERROR(__xludf.DUMMYFUNCTION("IF(G6912&lt;&gt;"""", GOOGLETRANSLATE(G6912, ""en"", ""te""),"""")"),"")</f>
        <v/>
      </c>
      <c r="I6912" s="3"/>
    </row>
    <row r="6913" customHeight="1" spans="1:9">
      <c r="A6913" s="2"/>
      <c r="B6913" s="2" t="str">
        <f>IFERROR(__xludf.DUMMYFUNCTION("IF(A6913&lt;&gt;"""", GOOGLETRANSLATE(A6913, ""en"", ""te""),"""")"),"")</f>
        <v/>
      </c>
      <c r="C6913" s="2" t="s">
        <v>4115</v>
      </c>
      <c r="D6913" s="2" t="str">
        <f>IFERROR(__xludf.DUMMYFUNCTION("IF(C6913&lt;&gt;"""", GOOGLETRANSLATE(C6913, ""en"", ""te""),"""")"),"[ '25 వ వరుస మ్యాచ్లు ప్రదర్శనల మధ్య బృందం (65) కోసం తప్పిన' '12 వ పిన్న ఆటగాడు ఐదు వికెట్ల లో-ఒక-ఇన్నింగ్స్ (18y 318d) తీసుకోవాలని',]")</f>
        <v>[ '25 వ వరుస మ్యాచ్లు ప్రదర్శనల మధ్య బృందం (65) కోసం తప్పిన' '12 వ పిన్న ఆటగాడు ఐదు వికెట్ల లో-ఒక-ఇన్నింగ్స్ (18y 318d) తీసుకోవాలని',]</v>
      </c>
      <c r="E6913" s="2"/>
      <c r="F6913" s="2" t="str">
        <f>IFERROR(__xludf.DUMMYFUNCTION("IF(E6913&lt;&gt;"""", GOOGLETRANSLATE(E6913, ""en"", ""te""),"""")"),"")</f>
        <v/>
      </c>
      <c r="G6913" s="2"/>
      <c r="H6913" s="2" t="str">
        <f>IFERROR(__xludf.DUMMYFUNCTION("IF(G6913&lt;&gt;"""", GOOGLETRANSLATE(G6913, ""en"", ""te""),"""")"),"")</f>
        <v/>
      </c>
      <c r="I6913" s="3"/>
    </row>
    <row r="6914" customHeight="1" spans="1:9">
      <c r="A6914" s="2"/>
      <c r="B6914" s="2" t="str">
        <f>IFERROR(__xludf.DUMMYFUNCTION("IF(A6914&lt;&gt;"""", GOOGLETRANSLATE(A6914, ""en"", ""te""),"""")"),"")</f>
        <v/>
      </c>
      <c r="C6914" s="2"/>
      <c r="D6914" s="2" t="str">
        <f>IFERROR(__xludf.DUMMYFUNCTION("IF(C6914&lt;&gt;"""", GOOGLETRANSLATE(C6914, ""en"", ""te""),"""")"),"")</f>
        <v/>
      </c>
      <c r="E6914" s="2"/>
      <c r="F6914" s="2" t="str">
        <f>IFERROR(__xludf.DUMMYFUNCTION("IF(E6914&lt;&gt;"""", GOOGLETRANSLATE(E6914, ""en"", ""te""),"""")"),"")</f>
        <v/>
      </c>
      <c r="G6914" s="2"/>
      <c r="H6914" s="2" t="str">
        <f>IFERROR(__xludf.DUMMYFUNCTION("IF(G6914&lt;&gt;"""", GOOGLETRANSLATE(G6914, ""en"", ""te""),"""")"),"")</f>
        <v/>
      </c>
      <c r="I6914" s="3"/>
    </row>
    <row r="6915" customHeight="1" spans="1:9">
      <c r="A6915" s="2"/>
      <c r="B6915" s="2" t="str">
        <f>IFERROR(__xludf.DUMMYFUNCTION("IF(A6915&lt;&gt;"""", GOOGLETRANSLATE(A6915, ""en"", ""te""),"""")"),"")</f>
        <v/>
      </c>
      <c r="C6915" s="2"/>
      <c r="D6915" s="2" t="str">
        <f>IFERROR(__xludf.DUMMYFUNCTION("IF(C6915&lt;&gt;"""", GOOGLETRANSLATE(C6915, ""en"", ""te""),"""")"),"")</f>
        <v/>
      </c>
      <c r="E6915" s="2"/>
      <c r="F6915" s="2" t="str">
        <f>IFERROR(__xludf.DUMMYFUNCTION("IF(E6915&lt;&gt;"""", GOOGLETRANSLATE(E6915, ""en"", ""te""),"""")"),"")</f>
        <v/>
      </c>
      <c r="G6915" s="2"/>
      <c r="H6915" s="2" t="str">
        <f>IFERROR(__xludf.DUMMYFUNCTION("IF(G6915&lt;&gt;"""", GOOGLETRANSLATE(G6915, ""en"", ""te""),"""")"),"")</f>
        <v/>
      </c>
      <c r="I6915" s="3"/>
    </row>
    <row r="6916" customHeight="1" spans="1:9">
      <c r="A6916" s="2"/>
      <c r="B6916" s="2" t="str">
        <f>IFERROR(__xludf.DUMMYFUNCTION("IF(A6916&lt;&gt;"""", GOOGLETRANSLATE(A6916, ""en"", ""te""),"""")"),"")</f>
        <v/>
      </c>
      <c r="C6916" s="2"/>
      <c r="D6916" s="2" t="str">
        <f>IFERROR(__xludf.DUMMYFUNCTION("IF(C6916&lt;&gt;"""", GOOGLETRANSLATE(C6916, ""en"", ""te""),"""")"),"")</f>
        <v/>
      </c>
      <c r="E6916" s="2"/>
      <c r="F6916" s="2" t="str">
        <f>IFERROR(__xludf.DUMMYFUNCTION("IF(E6916&lt;&gt;"""", GOOGLETRANSLATE(E6916, ""en"", ""te""),"""")"),"")</f>
        <v/>
      </c>
      <c r="G6916" s="2"/>
      <c r="H6916" s="2" t="str">
        <f>IFERROR(__xludf.DUMMYFUNCTION("IF(G6916&lt;&gt;"""", GOOGLETRANSLATE(G6916, ""en"", ""te""),"""")"),"")</f>
        <v/>
      </c>
      <c r="I6916" s="3"/>
    </row>
    <row r="6917" customHeight="1" spans="1:9">
      <c r="A6917" s="2" t="s">
        <v>749</v>
      </c>
      <c r="B6917" s="2" t="str">
        <f>IFERROR(__xludf.DUMMYFUNCTION("IF(A6917&lt;&gt;"""", GOOGLETRANSLATE(A6917, ""en"", ""te""),"""")"),"[ '6 వ అత్యధిక వరుస బాతులు (3)']")</f>
        <v>[ '6 వ అత్యధిక వరుస బాతులు (3)']</v>
      </c>
      <c r="C6917" s="2" t="s">
        <v>4116</v>
      </c>
      <c r="D6917" s="2" t="str">
        <f>IFERROR(__xludf.DUMMYFUNCTION("IF(C6917&lt;&gt;"""", GOOGLETRANSLATE(C6917, ""en"", ""te""),"""")"),"[ '27 పిన్న ఆటగాడు వంద (20y 87d) స్కోర్', '46 వ పిన్న కాప్టెన్ (25y 287d)']")</f>
        <v>[ '27 పిన్న ఆటగాడు వంద (20y 87d) స్కోర్', '46 వ పిన్న కాప్టెన్ (25y 287d)']</v>
      </c>
      <c r="E6917" s="2" t="s">
        <v>4117</v>
      </c>
      <c r="F6917" s="2" t="str">
        <f>IFERROR(__xludf.DUMMYFUNCTION("IF(E6917&lt;&gt;"""", GOOGLETRANSLATE(E6917, ""en"", ""te""),"""")"),"[ '19 ఒక జట్టు (5) వ్యతిరేకంగా అత్యధిక వందలు' '15 వ పిన్న ఆటగాడు వంద స్కోర్ (20y 37d)', 'వరుస ఇన్నింగ్స్లో 11 వ యాభైల్లో (5)', '45 వ అత్యంత బాతులు కెరీర్ లో (15)', ' 6 వ అత్యధిక వరుస బాతులు (3) ',' 2000 పరుగులు వేగంగా 15 న (52) ',' రెండవ వికెట్ (205) కోస"&amp;"ం 33 వ అత్యధిక భాగస్వామ్యం ']")</f>
        <v>[ '19 ఒక జట్టు (5) వ్యతిరేకంగా అత్యధిక వందలు' '15 వ పిన్న ఆటగాడు వంద స్కోర్ (20y 37d)', 'వరుస ఇన్నింగ్స్లో 11 వ యాభైల్లో (5)', '45 వ అత్యంత బాతులు కెరీర్ లో (15)', ' 6 వ అత్యధిక వరుస బాతులు (3) ',' 2000 పరుగులు వేగంగా 15 న (52) ',' రెండవ వికెట్ (205) కోసం 33 వ అత్యధిక భాగస్వామ్యం ']</v>
      </c>
      <c r="G6917" s="2"/>
      <c r="H6917" s="2" t="str">
        <f>IFERROR(__xludf.DUMMYFUNCTION("IF(G6917&lt;&gt;"""", GOOGLETRANSLATE(G6917, ""en"", ""te""),"""")"),"")</f>
        <v/>
      </c>
      <c r="I6917" s="3"/>
    </row>
    <row r="6918" customHeight="1" spans="1:9">
      <c r="A6918" s="2"/>
      <c r="B6918" s="2" t="str">
        <f>IFERROR(__xludf.DUMMYFUNCTION("IF(A6918&lt;&gt;"""", GOOGLETRANSLATE(A6918, ""en"", ""te""),"""")"),"")</f>
        <v/>
      </c>
      <c r="C6918" s="2"/>
      <c r="D6918" s="2" t="str">
        <f>IFERROR(__xludf.DUMMYFUNCTION("IF(C6918&lt;&gt;"""", GOOGLETRANSLATE(C6918, ""en"", ""te""),"""")"),"")</f>
        <v/>
      </c>
      <c r="E6918" s="2"/>
      <c r="F6918" s="2" t="str">
        <f>IFERROR(__xludf.DUMMYFUNCTION("IF(E6918&lt;&gt;"""", GOOGLETRANSLATE(E6918, ""en"", ""te""),"""")"),"")</f>
        <v/>
      </c>
      <c r="G6918" s="2"/>
      <c r="H6918" s="2" t="str">
        <f>IFERROR(__xludf.DUMMYFUNCTION("IF(G6918&lt;&gt;"""", GOOGLETRANSLATE(G6918, ""en"", ""te""),"""")"),"")</f>
        <v/>
      </c>
      <c r="I6918" s="3"/>
    </row>
    <row r="6919" customHeight="1" spans="1:9">
      <c r="A6919" s="2"/>
      <c r="B6919" s="2" t="str">
        <f>IFERROR(__xludf.DUMMYFUNCTION("IF(A6919&lt;&gt;"""", GOOGLETRANSLATE(A6919, ""en"", ""te""),"""")"),"")</f>
        <v/>
      </c>
      <c r="C6919" s="2"/>
      <c r="D6919" s="2" t="str">
        <f>IFERROR(__xludf.DUMMYFUNCTION("IF(C6919&lt;&gt;"""", GOOGLETRANSLATE(C6919, ""en"", ""te""),"""")"),"")</f>
        <v/>
      </c>
      <c r="E6919" s="2"/>
      <c r="F6919" s="2" t="str">
        <f>IFERROR(__xludf.DUMMYFUNCTION("IF(E6919&lt;&gt;"""", GOOGLETRANSLATE(E6919, ""en"", ""te""),"""")"),"")</f>
        <v/>
      </c>
      <c r="G6919" s="2"/>
      <c r="H6919" s="2" t="str">
        <f>IFERROR(__xludf.DUMMYFUNCTION("IF(G6919&lt;&gt;"""", GOOGLETRANSLATE(G6919, ""en"", ""te""),"""")"),"")</f>
        <v/>
      </c>
      <c r="I6919" s="3"/>
    </row>
    <row r="6920" customHeight="1" spans="1:9">
      <c r="A6920" s="2"/>
      <c r="B6920" s="2" t="str">
        <f>IFERROR(__xludf.DUMMYFUNCTION("IF(A6920&lt;&gt;"""", GOOGLETRANSLATE(A6920, ""en"", ""te""),"""")"),"")</f>
        <v/>
      </c>
      <c r="C6920" s="2"/>
      <c r="D6920" s="2" t="str">
        <f>IFERROR(__xludf.DUMMYFUNCTION("IF(C6920&lt;&gt;"""", GOOGLETRANSLATE(C6920, ""en"", ""te""),"""")"),"")</f>
        <v/>
      </c>
      <c r="E6920" s="2"/>
      <c r="F6920" s="2" t="str">
        <f>IFERROR(__xludf.DUMMYFUNCTION("IF(E6920&lt;&gt;"""", GOOGLETRANSLATE(E6920, ""en"", ""te""),"""")"),"")</f>
        <v/>
      </c>
      <c r="G6920" s="2"/>
      <c r="H6920" s="2" t="str">
        <f>IFERROR(__xludf.DUMMYFUNCTION("IF(G6920&lt;&gt;"""", GOOGLETRANSLATE(G6920, ""en"", ""te""),"""")"),"")</f>
        <v/>
      </c>
      <c r="I6920" s="3"/>
    </row>
    <row r="6921" customHeight="1" spans="1:9">
      <c r="A6921" s="2" t="s">
        <v>4118</v>
      </c>
      <c r="B6921" s="2" t="str">
        <f>IFERROR(__xludf.DUMMYFUNCTION("IF(A6921&lt;&gt;"""", GOOGLETRANSLATE(A6921, ""en"", ""te""),"""")"),"[ '8 వ పిన్న ఆటగాడు వంద స్కోర్ (18y 333d)', 'హండ్రెడ్ మరియు ఒక మ్యాచ్లో ఒక డక్', 'తీసుకోవాలని 7 వ పిన్న ఆటగాడు ఐదు వికెట్ల లో-ఒక-ఇన్నింగ్స్ (18y 235d)', '4 వ చాలా ఆటగాడు -of-ది-మ్యాచ్ అవార్డులు (32) ',' 6 వ ఇన్నింగ్స్ లో అత్యధిక పరుగులు (బ్యాటింగ్ స్థానంల"&amp;"ో ప్రకారం) (124) ',' 6 వ అత్యధిక కెరీర్ సమ్మె రేటు (117.00) ',' 1st పిన్న ఆటగాడు వంద (16y స్కోర్ 217d) ',' కెరీర్ లో 2 వ పెద్ద బాతులు (30) ',' 1st కెరీర్లో ఎక్కువ సిక్స్ (351) ',' 1 వ అత్యుత్తమ బౌలింగ్ ఇన్నింగ్స్ (7/12) ',' 1 వ వరుస నాలుగు వికెట్లు ఇన్ వి"&amp;"శ్లేషణలలో -an-ఇన్నింగ్స్ (3) ',' కెరీర్ లో బౌల్డ్ 3 వ అత్యంత బంతుల్లో (17670) ',' 1st కెరీర్లో సాధించిన అత్యధిక పరుగులు (13632) ',' 2 వ అత్యంత తీసుకోబడిన వికెట్ల ఎల్బిడబ్ల్యు (73) ',' యాభై అయిదు వికెట్లు ఇన్నింగ్స్ ',' 1000 పరుగులు, 50 వికెట్లు, 50 క్యాచ"&amp;"్లు ',' 5000 పరుగులు మరియు 50 ఫీల్డింగ్ వికెట్లు లో ',' 3 వ అత్యంత ప్లేయర్ ఆఫ్ ది మ్యాచ్ అవార్డులు (11) ',' కెప్టెన్ 8 వ అత్యధిక మ్యాచ్లు (44) ',' ఇన్నింగ్స్ 6 వ అత్యధిక స్ట్రైక్ రేట్ (357.14) ',' వరుస ఇన్నింగ్స్లో 3 వ యాభైల్లో (3) ',' కెరీర్ లో 6 వ అత్"&amp;"యంత బాతులు (8) ',' 3 వ అత్యంత కెరీర్లో వికెట్లు (98) ',' 7 వ అత్యంత నాలుగు వికెట్లు-ఇన్-ఒక-ఇన్నింగ్స్ కెరీర్లో (3) ',' 1st కెరీర్లో బౌల్డ్ చాలా బంతుల్లో (2168) ',' 10 వ కెరీర్ (4) అత్యంత పనికత్తెలయొద్ద ' '2 వ అత్యధిక కెరీర్ లో సాధించిన పరుగులు (2396)', '2"&amp;" వ అత్యధిక వికెట్లు బౌల్డ్ తీసుకోకూడదు (39)', '7 వ అత్యంత ప్లేయర్ ఆఫ్ ది మ్యాచ్ అవార్డులు (43)', '9 వ కెరీర్ (44) అత్యంత బాతులు' 'కెరీర్లో 2 వ ఎక్కువ సిక్స్ (476)', '7 వ అత్యధిక వికెట్లు ఆకర్షించింది తీసుకున్న మరియు బౌల్డ్ (26)']")</f>
        <v>[ '8 వ పిన్న ఆటగాడు వంద స్కోర్ (18y 333d)', 'హండ్రెడ్ మరియు ఒక మ్యాచ్లో ఒక డక్', 'తీసుకోవాలని 7 వ పిన్న ఆటగాడు ఐదు వికెట్ల లో-ఒక-ఇన్నింగ్స్ (18y 235d)', '4 వ చాలా ఆటగాడు -of-ది-మ్యాచ్ అవార్డులు (32) ',' 6 వ ఇన్నింగ్స్ లో అత్యధిక పరుగులు (బ్యాటింగ్ స్థానంలో ప్రకారం) (124) ',' 6 వ అత్యధిక కెరీర్ సమ్మె రేటు (117.00) ',' 1st పిన్న ఆటగాడు వంద (16y స్కోర్ 217d) ',' కెరీర్ లో 2 వ పెద్ద బాతులు (30) ',' 1st కెరీర్లో ఎక్కువ సిక్స్ (351) ',' 1 వ అత్యుత్తమ బౌలింగ్ ఇన్నింగ్స్ (7/12) ',' 1 వ వరుస నాలుగు వికెట్లు ఇన్ విశ్లేషణలలో -an-ఇన్నింగ్స్ (3) ',' కెరీర్ లో బౌల్డ్ 3 వ అత్యంత బంతుల్లో (17670) ',' 1st కెరీర్లో సాధించిన అత్యధిక పరుగులు (13632) ',' 2 వ అత్యంత తీసుకోబడిన వికెట్ల ఎల్బిడబ్ల్యు (73) ',' యాభై అయిదు వికెట్లు ఇన్నింగ్స్ ',' 1000 పరుగులు, 50 వికెట్లు, 50 క్యాచ్లు ',' 5000 పరుగులు మరియు 50 ఫీల్డింగ్ వికెట్లు లో ',' 3 వ అత్యంత ప్లేయర్ ఆఫ్ ది మ్యాచ్ అవార్డులు (11) ',' కెప్టెన్ 8 వ అత్యధిక మ్యాచ్లు (44) ',' ఇన్నింగ్స్ 6 వ అత్యధిక స్ట్రైక్ రేట్ (357.14) ',' వరుస ఇన్నింగ్స్లో 3 వ యాభైల్లో (3) ',' కెరీర్ లో 6 వ అత్యంత బాతులు (8) ',' 3 వ అత్యంత కెరీర్లో వికెట్లు (98) ',' 7 వ అత్యంత నాలుగు వికెట్లు-ఇన్-ఒక-ఇన్నింగ్స్ కెరీర్లో (3) ',' 1st కెరీర్లో బౌల్డ్ చాలా బంతుల్లో (2168) ',' 10 వ కెరీర్ (4) అత్యంత పనికత్తెలయొద్ద ' '2 వ అత్యధిక కెరీర్ లో సాధించిన పరుగులు (2396)', '2 వ అత్యధిక వికెట్లు బౌల్డ్ తీసుకోకూడదు (39)', '7 వ అత్యంత ప్లేయర్ ఆఫ్ ది మ్యాచ్ అవార్డులు (43)', '9 వ కెరీర్ (44) అత్యంత బాతులు' 'కెరీర్లో 2 వ ఎక్కువ సిక్స్ (476)', '7 వ అత్యధిక వికెట్లు ఆకర్షించింది తీసుకున్న మరియు బౌల్డ్ (26)']</v>
      </c>
      <c r="C6921" s="2" t="s">
        <v>4119</v>
      </c>
      <c r="D6921" s="2" t="str">
        <f>IFERROR(__xludf.DUMMYFUNCTION("IF(C6921&lt;&gt;"""", GOOGLETRANSLATE(C6921, ""en"", ""te""),"""")"),"[ '20 వ అత్యధిక ఇన్నింగ్స్ లో సమ్మె రేటు (206.66)', 'ఇన్నింగ్స్ లో 19 ఎక్కువ సిక్స్ (7)', '36 వ కెరీర్ లో వచ్చిన ఎక్కువ సిక్స్ (52)', '8 వ పిన్న ఆటగాడు వంద (333d 18y) స్కోర్' 'ఐదు వికెట్ల లో-ఒక-ఇన్నింగ్స్ (18y 235d) తీసుకోవాలని 7 వ పిన్న ఆటగాడు']")</f>
        <v>[ '20 వ అత్యధిక ఇన్నింగ్స్ లో సమ్మె రేటు (206.66)', 'ఇన్నింగ్స్ లో 19 ఎక్కువ సిక్స్ (7)', '36 వ కెరీర్ లో వచ్చిన ఎక్కువ సిక్స్ (52)', '8 వ పిన్న ఆటగాడు వంద (333d 18y) స్కోర్' 'ఐదు వికెట్ల లో-ఒక-ఇన్నింగ్స్ (18y 235d) తీసుకోవాలని 7 వ పిన్న ఆటగాడు']</v>
      </c>
      <c r="E6921" s="2" t="s">
        <v>4120</v>
      </c>
      <c r="F6921" s="2" t="str">
        <f>IFERROR(__xludf.DUMMYFUNCTION("IF(E6921&lt;&gt;"""", GOOGLETRANSLATE(E6921, ""en"", ""te""),"""")"),"[ '31 కెరీర్లో అత్యధిక పరుగులు (8064)', 'ఇన్నింగ్స్ లో 6 వ అత్యధిక పరుగులు (బ్యాటింగ్ స్థానంలో ప్రకారం) (124)', '30th ఒకే మైదానంలో అత్యధిక పరుగులు (1260)', '6 వ అత్యధిక కెరీర్ సమ్మె రేటు (117.00 ) ',' ఇన్నింగ్స్ లో 12 వ అత్యధిక స్ట్రైక్ రేట్ (305.55) ',"&amp;"' 1st పిన్న ఆటగాడు వంద (16y 217d కెరీర్లో ((స్కోర్) ',' 2 వ అత్యంత బాతులు 30) ',' 1st కెరీర్లో ఎక్కువ సిక్స్ 351) ',' 31 అత్యధిక కెరీర్ లో ఒక ఇన్నింగ్స్ లో కెరీర్ లో ఒక ఇన్నింగ్స్ లో ఫోర్లు (730) ',' 13 వ ఎక్కువ సిక్స్ (11) ',' 5 వ అత్యధిక వికెట్లు (395) "&amp;"',' 2 వ బెస్ట్ ఫిగర్స్ (7/12) ', '16 వ ఒక సిరీస్లో అత్యధిక వికెట్లు (21)', '36 వ ఒక క్యాలెండర్ సంవత్సరంలో అత్యధిక వికెట్లు (45)', '1 వ అత్యుత్తమ బౌలింగ్ ఇన్నింగ్స్ లో విశ్లేషించడం (7/12)', '12 వ ఒకే మైదానంలో అత్యధిక వికెట్లు (53 ) ',' ఒక కెప్టెన్తో ఒక ఇన"&amp;"్నింగ్స్ లో 6 వ ఉత్తమ బొమ్మలు (5) ',' 47 వ ఉత్తమ సమ్మె ఇన్నింగ్స్ లో రేటు (7.2) ',' 3 వ అత్యంత ఐదు-వికెట్ల లో-ఒక-ఇన్నింగ్స్ కెరీర్లో (9) ' '10 వ అత్యంత నాలుగు వికెట్లు-ఇన్-ఒక-ఇన్నింగ్స్ కెరీర్లో (13)', '1 వ వరుస నాలుగు వికెట్లు-ఇన్-ఒక-ఇన్నింగ్స్ (3)', 'ఐద"&amp;"ు వికెట్ల తేడాతో తీసుకోవాలని 18 వ పిన్న ఆటగాడు -an-ఐ nnings (20y 240d) ',' ఐదు వికెట్ల లో-ఒక-ఇన్నింగ్స్ తీసుకోవాలని 30 వ అత్యంత వృద్ధ ఆటగాడు (33y 135d) ',' 3 వ అత్యధిక కెరీర్ లో బౌల్ చేయబడిన బంతులలో (17670) ',' 1st కెరీర్లో సాధించిన అత్యధిక పరుగులు (13632"&amp;") ',' 11 వ బౌలర్ / బ్యాట్స్ కలయికలు (9) ',' 4 వ అత్యధిక వికెట్లు తీసుకున్న బౌల్డ్ (104) ',' 10 వ అత్యధిక వికెట్లు తీసుకున్న ఆకర్షించింది (193) ',' 3 వ అత్యంత క్యాచ్ మరియు బౌల్డ్ తీసుకోబడిన వికెట్ల (24) ',' 8 వ ఎక్కువ వికెట్లు ఒక ఫీల్డర్ (150) ',' 28th అత్"&amp;"యధిక వికెట్లు ఒక వికెట్ కీపర్ చే కాట్ తీసుకున్న (43) ',' 2 వ 8 వ అత్యధిక వికెట్లు స్టంప్ తీసుకోకూడదు ',' తీసుకోబడిన వికెట్ల ఎల్బిడబ్ల్యు (73) (25) ',' 11 వ పట్టుకుంటే తీసుకున్న కెరీర్లో అత్యధిక క్యాచ్లు (127) ',' కెరీర్ లో 5 వ అత్యధిక మ్యాచ్లు (398) ',' 4"&amp;" వ అత్యంత ప్లేయర్ ఆఫ్ ది మ్యాచ్ అవార్డులు (32) ',' 24 వ అత్యంత ప్లేయర్ ఆఫ్ ది సిరీస్ అవార్డులు (4) ',' 9 వ పిన్న క్రీడాకారులు (16y 215d) ',' 8 వ లాంగెస్ట్ కెరీర్లు (18y 169d) ',' బృందం (33) కెప్టెన్ గా 45 వ వరుస మ్యాచ్లు ']")</f>
        <v>[ '31 కెరీర్లో అత్యధిక పరుగులు (8064)', 'ఇన్నింగ్స్ లో 6 వ అత్యధిక పరుగులు (బ్యాటింగ్ స్థానంలో ప్రకారం) (124)', '30th ఒకే మైదానంలో అత్యధిక పరుగులు (1260)', '6 వ అత్యధిక కెరీర్ సమ్మె రేటు (117.00 ) ',' ఇన్నింగ్స్ లో 12 వ అత్యధిక స్ట్రైక్ రేట్ (305.55) ',' 1st పిన్న ఆటగాడు వంద (16y 217d కెరీర్లో ((స్కోర్) ',' 2 వ అత్యంత బాతులు 30) ',' 1st కెరీర్లో ఎక్కువ సిక్స్ 351) ',' 31 అత్యధిక కెరీర్ లో ఒక ఇన్నింగ్స్ లో కెరీర్ లో ఒక ఇన్నింగ్స్ లో ఫోర్లు (730) ',' 13 వ ఎక్కువ సిక్స్ (11) ',' 5 వ అత్యధిక వికెట్లు (395) ',' 2 వ బెస్ట్ ఫిగర్స్ (7/12) ', '16 వ ఒక సిరీస్లో అత్యధిక వికెట్లు (21)', '36 వ ఒక క్యాలెండర్ సంవత్సరంలో అత్యధిక వికెట్లు (45)', '1 వ అత్యుత్తమ బౌలింగ్ ఇన్నింగ్స్ లో విశ్లేషించడం (7/12)', '12 వ ఒకే మైదానంలో అత్యధిక వికెట్లు (53 ) ',' ఒక కెప్టెన్తో ఒక ఇన్నింగ్స్ లో 6 వ ఉత్తమ బొమ్మలు (5) ',' 47 వ ఉత్తమ సమ్మె ఇన్నింగ్స్ లో రేటు (7.2) ',' 3 వ అత్యంత ఐదు-వికెట్ల లో-ఒక-ఇన్నింగ్స్ కెరీర్లో (9) ' '10 వ అత్యంత నాలుగు వికెట్లు-ఇన్-ఒక-ఇన్నింగ్స్ కెరీర్లో (13)', '1 వ వరుస నాలుగు వికెట్లు-ఇన్-ఒక-ఇన్నింగ్స్ (3)', 'ఐదు వికెట్ల తేడాతో తీసుకోవాలని 18 వ పిన్న ఆటగాడు -an-ఐ nnings (20y 240d) ',' ఐదు వికెట్ల లో-ఒక-ఇన్నింగ్స్ తీసుకోవాలని 30 వ అత్యంత వృద్ధ ఆటగాడు (33y 135d) ',' 3 వ అత్యధిక కెరీర్ లో బౌల్ చేయబడిన బంతులలో (17670) ',' 1st కెరీర్లో సాధించిన అత్యధిక పరుగులు (13632) ',' 11 వ బౌలర్ / బ్యాట్స్ కలయికలు (9) ',' 4 వ అత్యధిక వికెట్లు తీసుకున్న బౌల్డ్ (104) ',' 10 వ అత్యధిక వికెట్లు తీసుకున్న ఆకర్షించింది (193) ',' 3 వ అత్యంత క్యాచ్ మరియు బౌల్డ్ తీసుకోబడిన వికెట్ల (24) ',' 8 వ ఎక్కువ వికెట్లు ఒక ఫీల్డర్ (150) ',' 28th అత్యధిక వికెట్లు ఒక వికెట్ కీపర్ చే కాట్ తీసుకున్న (43) ',' 2 వ 8 వ అత్యధిక వికెట్లు స్టంప్ తీసుకోకూడదు ',' తీసుకోబడిన వికెట్ల ఎల్బిడబ్ల్యు (73) (25) ',' 11 వ పట్టుకుంటే తీసుకున్న కెరీర్లో అత్యధిక క్యాచ్లు (127) ',' కెరీర్ లో 5 వ అత్యధిక మ్యాచ్లు (398) ',' 4 వ అత్యంత ప్లేయర్ ఆఫ్ ది మ్యాచ్ అవార్డులు (32) ',' 24 వ అత్యంత ప్లేయర్ ఆఫ్ ది సిరీస్ అవార్డులు (4) ',' 9 వ పిన్న క్రీడాకారులు (16y 215d) ',' 8 వ లాంగెస్ట్ కెరీర్లు (18y 169d) ',' బృందం (33) కెప్టెన్ గా 45 వ వరుస మ్యాచ్లు ']</v>
      </c>
      <c r="G6921" s="2" t="s">
        <v>4121</v>
      </c>
      <c r="H6921" s="2" t="str">
        <f>IFERROR(__xludf.DUMMYFUNCTION("IF(G6921&lt;&gt;"""", GOOGLETRANSLATE(G6921, ""en"", ""te""),"""")"),"[ '39 వ కెరీర్ లో అత్యధిక పరుగులు (1416)', '26 ఇన్నింగ్స్ లో అత్యధిక పరుగులు (బ్యాటింగ్ స్థానంలో ప్రకారం) (46)', '14 వ అత్యధిక కెరీర్ సమ్మె రేటు (150.00)', ఒక ఇన్నింగ్స్ లో '6 వ అత్యధిక స్ట్రైక్ రేట్ (357.14 ) ',' వరుస ఇన్నింగ్స్లో 3 వ యాభైల్లో (3) ',' "&amp;"6 వ కెరీర్ బాతులు (8) ',' 18 వ ఎక్కువ సిక్స్ కెరీర్లో (73) ',' 3 వ అత్యధిక కెరీర్ లో వికెట్లు (98) ',' 50 వ అత్యంత ఒక క్యాలెండర్ సంవత్సరంలో వికెట్లు (18) ',' ఒకే మైదానంలో 15 వ అత్యధిక వికెట్లు (16) ',' ఒక కెప్టెన్తో ఒక ఇన్నింగ్స్ లో 4 వ ఉత్తమ బొమ్మలు (4)"&amp;" ',' 18 వ ఉత్తమ కెరీర్ ఆర్థిక రేటు (6.63) ',' ఇన్నింగ్స్ 24 వ ఉత్తమ సమ్మె రేటు (4.2) ',' 7 వ అత్యంత నాలుగు వికెట్లు-ఇన్-ఒక-ఇన్నింగ్స్ కెరీర్లో (3) ',' 1st కెరీర్లో బౌల్డ్ చాలా బంతుల్లో (2168) ',' 2 వ అత్యంత పోగొట్టబడిన పరుగులను కెరీర్ (2396) ',' 2 వ అత్యం"&amp;"త బౌల్డ్ (39) ',' 16 వ అత్యధిక వికెట్లు తీసుకున్న ఆకర్షించింది (40) ',' 14 వ అత్యధిక వికెట్లు ఒక ఫీల్డర్ చేత క్యాచ్ తీసుకున్న (37) ',' 3 వ అత్యంత తీసుకోబడిన వికెట్ల ఎల్బిడబ్ల్యు తీసుకోబడిన వికెట్ల (14 ) ',' 17 వ అత్యధిక వికెట్లు స్టంప్ (5) ',' 18 వ వేగంగా"&amp;" 50 వికెట్లు (42) ',' 29 వ అత్యధిక క్యాచ్లు కెరీర్ లో తీసిన (30) ',' 15 వ ఒక ఇన్సైడ్ లో అత్యధిక క్యాచ్లు NGS (3) ఎనిమిదో వికెట్కు ',' 39 వ అత్యధిక భాగస్వామ్యం (36) ',' 7 వ కెరీర్లో అత్యధిక మ్యాచ్లు (99) ',' ఒక జట్టు 7 వ వరుస మ్యాచ్లు (48) ',' 3 వ చాలా ఆట"&amp;"గాడు వెలుపల -మ్యాచ్ అవార్డులు (11) ',' 4 వ అత్యంత ప్లేయర్ ఆఫ్ ది సిరీస్ అవార్డులు (3) ',' 40 వ లాంగెస్ట్ కెరీర్లు (11y 276d) ',' కెప్టెన్ 8 వ అత్యధిక మ్యాచ్లు (44) ',' 29th ఓల్డెస్ట్ కెప్టెన్లు (38y 91d) ',' 44 వ వరుస మ్యాచ్లు (33) ',' 10 వ వరుస ఒక జట్టు "&amp;"కెప్టెన్గా పోటీలు జట్టు కెప్టెన్గా (24) ',' 10 వ కెరీర్ (4) అత్యంత పనికత్తెలయొద్ద ']")</f>
        <v>[ '39 వ కెరీర్ లో అత్యధిక పరుగులు (1416)', '26 ఇన్నింగ్స్ లో అత్యధిక పరుగులు (బ్యాటింగ్ స్థానంలో ప్రకారం) (46)', '14 వ అత్యధిక కెరీర్ సమ్మె రేటు (150.00)', ఒక ఇన్నింగ్స్ లో '6 వ అత్యధిక స్ట్రైక్ రేట్ (357.14 ) ',' వరుస ఇన్నింగ్స్లో 3 వ యాభైల్లో (3) ',' 6 వ కెరీర్ బాతులు (8) ',' 18 వ ఎక్కువ సిక్స్ కెరీర్లో (73) ',' 3 వ అత్యధిక కెరీర్ లో వికెట్లు (98) ',' 50 వ అత్యంత ఒక క్యాలెండర్ సంవత్సరంలో వికెట్లు (18) ',' ఒకే మైదానంలో 15 వ అత్యధిక వికెట్లు (16) ',' ఒక కెప్టెన్తో ఒక ఇన్నింగ్స్ లో 4 వ ఉత్తమ బొమ్మలు (4) ',' 18 వ ఉత్తమ కెరీర్ ఆర్థిక రేటు (6.63) ',' ఇన్నింగ్స్ 24 వ ఉత్తమ సమ్మె రేటు (4.2) ',' 7 వ అత్యంత నాలుగు వికెట్లు-ఇన్-ఒక-ఇన్నింగ్స్ కెరీర్లో (3) ',' 1st కెరీర్లో బౌల్డ్ చాలా బంతుల్లో (2168) ',' 2 వ అత్యంత పోగొట్టబడిన పరుగులను కెరీర్ (2396) ',' 2 వ అత్యంత బౌల్డ్ (39) ',' 16 వ అత్యధిక వికెట్లు తీసుకున్న ఆకర్షించింది (40) ',' 14 వ అత్యధిక వికెట్లు ఒక ఫీల్డర్ చేత క్యాచ్ తీసుకున్న (37) ',' 3 వ అత్యంత తీసుకోబడిన వికెట్ల ఎల్బిడబ్ల్యు తీసుకోబడిన వికెట్ల (14 ) ',' 17 వ అత్యధిక వికెట్లు స్టంప్ (5) ',' 18 వ వేగంగా 50 వికెట్లు (42) ',' 29 వ అత్యధిక క్యాచ్లు కెరీర్ లో తీసిన (30) ',' 15 వ ఒక ఇన్సైడ్ లో అత్యధిక క్యాచ్లు NGS (3) ఎనిమిదో వికెట్కు ',' 39 వ అత్యధిక భాగస్వామ్యం (36) ',' 7 వ కెరీర్లో అత్యధిక మ్యాచ్లు (99) ',' ఒక జట్టు 7 వ వరుస మ్యాచ్లు (48) ',' 3 వ చాలా ఆటగాడు వెలుపల -మ్యాచ్ అవార్డులు (11) ',' 4 వ అత్యంత ప్లేయర్ ఆఫ్ ది సిరీస్ అవార్డులు (3) ',' 40 వ లాంగెస్ట్ కెరీర్లు (11y 276d) ',' కెప్టెన్ 8 వ అత్యధిక మ్యాచ్లు (44) ',' 29th ఓల్డెస్ట్ కెప్టెన్లు (38y 91d) ',' 44 వ వరుస మ్యాచ్లు (33) ',' 10 వ వరుస ఒక జట్టు కెప్టెన్గా పోటీలు జట్టు కెప్టెన్గా (24) ',' 10 వ కెరీర్ (4) అత్యంత పనికత్తెలయొద్ద ']</v>
      </c>
      <c r="I6921" s="3"/>
    </row>
    <row r="6922" customHeight="1" spans="1:9">
      <c r="A6922" s="2" t="s">
        <v>4122</v>
      </c>
      <c r="B6922" s="2" t="str">
        <f>IFERROR(__xludf.DUMMYFUNCTION("IF(A6922&lt;&gt;"""", GOOGLETRANSLATE(A6922, ""en"", ""te""),"""")"),"[ 'హండ్రెడ్ తొలి (102 *)', '4 వ పిన్న ఆటగాడు వంద స్కోర్ (18y 312d)', 'రెండవ వికెట్ (257) 6 వ అత్యధిక భాగస్వామ్యం']")</f>
        <v>[ 'హండ్రెడ్ తొలి (102 *)', '4 వ పిన్న ఆటగాడు వంద స్కోర్ (18y 312d)', 'రెండవ వికెట్ (257) 6 వ అత్యధిక భాగస్వామ్యం']</v>
      </c>
      <c r="C6922" s="2"/>
      <c r="D6922" s="2" t="str">
        <f>IFERROR(__xludf.DUMMYFUNCTION("IF(C6922&lt;&gt;"""", GOOGLETRANSLATE(C6922, ""en"", ""te""),"""")"),"")</f>
        <v/>
      </c>
      <c r="E6922" s="2" t="s">
        <v>4123</v>
      </c>
      <c r="F6922" s="2" t="str">
        <f>IFERROR(__xludf.DUMMYFUNCTION("IF(E6922&lt;&gt;"""", GOOGLETRANSLATE(E6922, ""en"", ""te""),"""")"),"'(19) ఒక ఇన్నింగ్స్ లో 39 వ అత్యంత ఫోర్లు', '19 వ అత్యధిక భాగస్వామ్యాలు ఏ వికెట్కు [' 13 వ తొలి మ్యాచ్ (102 *) లో అత్యధిక పరుగులు ',' 4 వ పిన్న ఆటగాడు వంద (18y 312d) స్కోర్ '(257) ',' రెండవ వికెట్ (257) 6 వ అత్యధిక భాగస్వామ్యం ']")</f>
        <v>'(19) ఒక ఇన్నింగ్స్ లో 39 వ అత్యంత ఫోర్లు', '19 వ అత్యధిక భాగస్వామ్యాలు ఏ వికెట్కు [' 13 వ తొలి మ్యాచ్ (102 *) లో అత్యధిక పరుగులు ',' 4 వ పిన్న ఆటగాడు వంద (18y 312d) స్కోర్ '(257) ',' రెండవ వికెట్ (257) 6 వ అత్యధిక భాగస్వామ్యం ']</v>
      </c>
      <c r="G6922" s="2"/>
      <c r="H6922" s="2" t="str">
        <f>IFERROR(__xludf.DUMMYFUNCTION("IF(G6922&lt;&gt;"""", GOOGLETRANSLATE(G6922, ""en"", ""te""),"""")"),"")</f>
        <v/>
      </c>
      <c r="I6922" s="3"/>
    </row>
    <row r="6923" customHeight="1" spans="1:9">
      <c r="A6923" s="2"/>
      <c r="B6923" s="2" t="str">
        <f>IFERROR(__xludf.DUMMYFUNCTION("IF(A6923&lt;&gt;"""", GOOGLETRANSLATE(A6923, ""en"", ""te""),"""")"),"")</f>
        <v/>
      </c>
      <c r="C6923" s="2"/>
      <c r="D6923" s="2" t="str">
        <f>IFERROR(__xludf.DUMMYFUNCTION("IF(C6923&lt;&gt;"""", GOOGLETRANSLATE(C6923, ""en"", ""te""),"""")"),"")</f>
        <v/>
      </c>
      <c r="E6923" s="2" t="s">
        <v>4124</v>
      </c>
      <c r="F6923" s="2" t="str">
        <f>IFERROR(__xludf.DUMMYFUNCTION("IF(E6923&lt;&gt;"""", GOOGLETRANSLATE(E6923, ""en"", ""te""),"""")"),"[ '33 వ అత్యంత ఇన్నింగ్స్ తొలి డక్ ముందు (16)', 'నాలుగవ వికెట్కు (102) కోసం 40 వ అత్యధిక భాగస్వామ్యం']")</f>
        <v>[ '33 వ అత్యంత ఇన్నింగ్స్ తొలి డక్ ముందు (16)', 'నాలుగవ వికెట్కు (102) కోసం 40 వ అత్యధిక భాగస్వామ్యం']</v>
      </c>
      <c r="G6923" s="2" t="s">
        <v>4125</v>
      </c>
      <c r="H6923" s="2" t="str">
        <f>IFERROR(__xludf.DUMMYFUNCTION("IF(G6923&lt;&gt;"""", GOOGLETRANSLATE(G6923, ""en"", ""te""),"""")"),"[ 'రెండవ వికెట్కు 29 అత్యధిక భాగస్వామ్యం (99 *)']")</f>
        <v>[ 'రెండవ వికెట్కు 29 అత్యధిక భాగస్వామ్యం (99 *)']</v>
      </c>
      <c r="I6923" s="3"/>
    </row>
    <row r="6924" customHeight="1" spans="1:9">
      <c r="A6924" s="2" t="s">
        <v>4126</v>
      </c>
      <c r="B6924" s="2" t="str">
        <f>IFERROR(__xludf.DUMMYFUNCTION("IF(A6924&lt;&gt;"""", GOOGLETRANSLATE(A6924, ""en"", ""te""),"""")"),"[ 'ఇన్నింగ్స్ లో 1 వ అత్యంత స్టంపింగ్లు (3)', 'చాలా 5 వ ఇన్నింగ్స్ లో సాధించిన బైస్ (16)']")</f>
        <v>[ 'ఇన్నింగ్స్ లో 1 వ అత్యంత స్టంపింగ్లు (3)', 'చాలా 5 వ ఇన్నింగ్స్ లో సాధించిన బైస్ (16)']</v>
      </c>
      <c r="C6924" s="2" t="s">
        <v>4127</v>
      </c>
      <c r="D6924" s="2" t="str">
        <f>IFERROR(__xludf.DUMMYFUNCTION("IF(C6924&lt;&gt;"""", GOOGLETRANSLATE(C6924, ""en"", ""te""),"""")"),"[ '42 వ అత్యంత వంద (1055) లేకుండా ఒక వృత్తిలో పరుగులు' 'కెరీర్లో 45 వ అత్యధిక వికెట్లు (104)', '48 వ అత్యధిక క్యాచ్లు కెరీర్లో (91)', '33 వ అత్యంత స్టంపింగ్లు కెరీర్లో (13)', ' ఒక సిరీస్లో 18 వ అత్యంత స్టంపింగ్లు (5) ']")</f>
        <v>[ '42 వ అత్యంత వంద (1055) లేకుండా ఒక వృత్తిలో పరుగులు' 'కెరీర్లో 45 వ అత్యధిక వికెట్లు (104)', '48 వ అత్యధిక క్యాచ్లు కెరీర్లో (91)', '33 వ అత్యంత స్టంపింగ్లు కెరీర్లో (13)', ' ఒక సిరీస్లో 18 వ అత్యంత స్టంపింగ్లు (5) ']</v>
      </c>
      <c r="E6924" s="2" t="s">
        <v>4128</v>
      </c>
      <c r="F6924" s="2" t="str">
        <f>IFERROR(__xludf.DUMMYFUNCTION("IF(E6924&lt;&gt;"""", GOOGLETRANSLATE(E6924, ""en"", ""te""),"""")"),"[ '30 వ కెరీర్ లో అత్యధిక వికెట్లు (103)', '33 వ కెరీర్ లో అత్యధిక క్యాచ్లు (81)', '21 వ కెరీర్ స్టంపింగ్లు (22) ', '21 వ అత్యంత స్టంపింగ్లు' 1st ఇన్నింగ్స్ (3) అత్యంత స్టంపింగ్లు ' వరుస (4) ',' చాలా 5 వ ఇన్నింగ్స్ లో సాధించిన బైస్ (16) ']")</f>
        <v>[ '30 వ కెరీర్ లో అత్యధిక వికెట్లు (103)', '33 వ కెరీర్ లో అత్యధిక క్యాచ్లు (81)', '21 వ కెరీర్ స్టంపింగ్లు (22) ', '21 వ అత్యంత స్టంపింగ్లు' 1st ఇన్నింగ్స్ (3) అత్యంత స్టంపింగ్లు ' వరుస (4) ',' చాలా 5 వ ఇన్నింగ్స్ లో సాధించిన బైస్ (16) ']</v>
      </c>
      <c r="G6924" s="2"/>
      <c r="H6924" s="2" t="str">
        <f>IFERROR(__xludf.DUMMYFUNCTION("IF(G6924&lt;&gt;"""", GOOGLETRANSLATE(G6924, ""en"", ""te""),"""")"),"")</f>
        <v/>
      </c>
      <c r="I6924" s="3"/>
    </row>
    <row r="6925" customHeight="1" spans="1:9">
      <c r="A6925" s="2"/>
      <c r="B6925" s="2" t="str">
        <f>IFERROR(__xludf.DUMMYFUNCTION("IF(A6925&lt;&gt;"""", GOOGLETRANSLATE(A6925, ""en"", ""te""),"""")"),"")</f>
        <v/>
      </c>
      <c r="C6925" s="2"/>
      <c r="D6925" s="2" t="str">
        <f>IFERROR(__xludf.DUMMYFUNCTION("IF(C6925&lt;&gt;"""", GOOGLETRANSLATE(C6925, ""en"", ""te""),"""")"),"")</f>
        <v/>
      </c>
      <c r="E6925" s="2" t="s">
        <v>4028</v>
      </c>
      <c r="F6925" s="2" t="str">
        <f>IFERROR(__xludf.DUMMYFUNCTION("IF(E6925&lt;&gt;"""", GOOGLETRANSLATE(E6925, ""en"", ""te""),"""")"),"[ '23 పిన్న క్రీడాకారులు (15y 308d)']")</f>
        <v>[ '23 పిన్న క్రీడాకారులు (15y 308d)']</v>
      </c>
      <c r="G6925" s="2"/>
      <c r="H6925" s="2" t="str">
        <f>IFERROR(__xludf.DUMMYFUNCTION("IF(G6925&lt;&gt;"""", GOOGLETRANSLATE(G6925, ""en"", ""te""),"""")"),"")</f>
        <v/>
      </c>
      <c r="I6925" s="3"/>
    </row>
    <row r="6926" customHeight="1" spans="1:9">
      <c r="A6926" s="2"/>
      <c r="B6926" s="2" t="str">
        <f>IFERROR(__xludf.DUMMYFUNCTION("IF(A6926&lt;&gt;"""", GOOGLETRANSLATE(A6926, ""en"", ""te""),"""")"),"")</f>
        <v/>
      </c>
      <c r="C6926" s="2"/>
      <c r="D6926" s="2" t="str">
        <f>IFERROR(__xludf.DUMMYFUNCTION("IF(C6926&lt;&gt;"""", GOOGLETRANSLATE(C6926, ""en"", ""te""),"""")"),"")</f>
        <v/>
      </c>
      <c r="E6926" s="2"/>
      <c r="F6926" s="2" t="str">
        <f>IFERROR(__xludf.DUMMYFUNCTION("IF(E6926&lt;&gt;"""", GOOGLETRANSLATE(E6926, ""en"", ""te""),"""")"),"")</f>
        <v/>
      </c>
      <c r="G6926" s="2"/>
      <c r="H6926" s="2" t="str">
        <f>IFERROR(__xludf.DUMMYFUNCTION("IF(G6926&lt;&gt;"""", GOOGLETRANSLATE(G6926, ""en"", ""te""),"""")"),"")</f>
        <v/>
      </c>
      <c r="I6926" s="3"/>
    </row>
    <row r="6927" customHeight="1" spans="1:9">
      <c r="A6927" s="2"/>
      <c r="B6927" s="2" t="str">
        <f>IFERROR(__xludf.DUMMYFUNCTION("IF(A6927&lt;&gt;"""", GOOGLETRANSLATE(A6927, ""en"", ""te""),"""")"),"")</f>
        <v/>
      </c>
      <c r="C6927" s="2"/>
      <c r="D6927" s="2" t="str">
        <f>IFERROR(__xludf.DUMMYFUNCTION("IF(C6927&lt;&gt;"""", GOOGLETRANSLATE(C6927, ""en"", ""te""),"""")"),"")</f>
        <v/>
      </c>
      <c r="E6927" s="2"/>
      <c r="F6927" s="2" t="str">
        <f>IFERROR(__xludf.DUMMYFUNCTION("IF(E6927&lt;&gt;"""", GOOGLETRANSLATE(E6927, ""en"", ""te""),"""")"),"")</f>
        <v/>
      </c>
      <c r="G6927" s="2"/>
      <c r="H6927" s="2" t="str">
        <f>IFERROR(__xludf.DUMMYFUNCTION("IF(G6927&lt;&gt;"""", GOOGLETRANSLATE(G6927, ""en"", ""te""),"""")"),"")</f>
        <v/>
      </c>
      <c r="I6927" s="3"/>
    </row>
    <row r="6928" customHeight="1" spans="1:9">
      <c r="A6928" s="2"/>
      <c r="B6928" s="2" t="str">
        <f>IFERROR(__xludf.DUMMYFUNCTION("IF(A6928&lt;&gt;"""", GOOGLETRANSLATE(A6928, ""en"", ""te""),"""")"),"")</f>
        <v/>
      </c>
      <c r="C6928" s="2"/>
      <c r="D6928" s="2" t="str">
        <f>IFERROR(__xludf.DUMMYFUNCTION("IF(C6928&lt;&gt;"""", GOOGLETRANSLATE(C6928, ""en"", ""te""),"""")"),"")</f>
        <v/>
      </c>
      <c r="E6928" s="2"/>
      <c r="F6928" s="2" t="str">
        <f>IFERROR(__xludf.DUMMYFUNCTION("IF(E6928&lt;&gt;"""", GOOGLETRANSLATE(E6928, ""en"", ""te""),"""")"),"")</f>
        <v/>
      </c>
      <c r="G6928" s="2"/>
      <c r="H6928" s="2" t="str">
        <f>IFERROR(__xludf.DUMMYFUNCTION("IF(G6928&lt;&gt;"""", GOOGLETRANSLATE(G6928, ""en"", ""te""),"""")"),"")</f>
        <v/>
      </c>
      <c r="I6928" s="3"/>
    </row>
    <row r="6929" customHeight="1" spans="1:9">
      <c r="A6929" s="2"/>
      <c r="B6929" s="2" t="str">
        <f>IFERROR(__xludf.DUMMYFUNCTION("IF(A6929&lt;&gt;"""", GOOGLETRANSLATE(A6929, ""en"", ""te""),"""")"),"")</f>
        <v/>
      </c>
      <c r="C6929" s="2"/>
      <c r="D6929" s="2" t="str">
        <f>IFERROR(__xludf.DUMMYFUNCTION("IF(C6929&lt;&gt;"""", GOOGLETRANSLATE(C6929, ""en"", ""te""),"""")"),"")</f>
        <v/>
      </c>
      <c r="E6929" s="2"/>
      <c r="F6929" s="2" t="str">
        <f>IFERROR(__xludf.DUMMYFUNCTION("IF(E6929&lt;&gt;"""", GOOGLETRANSLATE(E6929, ""en"", ""te""),"""")"),"")</f>
        <v/>
      </c>
      <c r="G6929" s="2"/>
      <c r="H6929" s="2" t="str">
        <f>IFERROR(__xludf.DUMMYFUNCTION("IF(G6929&lt;&gt;"""", GOOGLETRANSLATE(G6929, ""en"", ""te""),"""")"),"")</f>
        <v/>
      </c>
      <c r="I6929" s="3"/>
    </row>
    <row r="6930" customHeight="1" spans="1:9">
      <c r="A6930" s="2"/>
      <c r="B6930" s="2" t="str">
        <f>IFERROR(__xludf.DUMMYFUNCTION("IF(A6930&lt;&gt;"""", GOOGLETRANSLATE(A6930, ""en"", ""te""),"""")"),"")</f>
        <v/>
      </c>
      <c r="C6930" s="2"/>
      <c r="D6930" s="2" t="str">
        <f>IFERROR(__xludf.DUMMYFUNCTION("IF(C6930&lt;&gt;"""", GOOGLETRANSLATE(C6930, ""en"", ""te""),"""")"),"")</f>
        <v/>
      </c>
      <c r="E6930" s="2"/>
      <c r="F6930" s="2" t="str">
        <f>IFERROR(__xludf.DUMMYFUNCTION("IF(E6930&lt;&gt;"""", GOOGLETRANSLATE(E6930, ""en"", ""te""),"""")"),"")</f>
        <v/>
      </c>
      <c r="G6930" s="2"/>
      <c r="H6930" s="2" t="str">
        <f>IFERROR(__xludf.DUMMYFUNCTION("IF(G6930&lt;&gt;"""", GOOGLETRANSLATE(G6930, ""en"", ""te""),"""")"),"")</f>
        <v/>
      </c>
      <c r="I6930" s="3"/>
    </row>
    <row r="6931" customHeight="1" spans="1:9">
      <c r="A6931" s="2"/>
      <c r="B6931" s="2" t="str">
        <f>IFERROR(__xludf.DUMMYFUNCTION("IF(A6931&lt;&gt;"""", GOOGLETRANSLATE(A6931, ""en"", ""te""),"""")"),"")</f>
        <v/>
      </c>
      <c r="C6931" s="2"/>
      <c r="D6931" s="2" t="str">
        <f>IFERROR(__xludf.DUMMYFUNCTION("IF(C6931&lt;&gt;"""", GOOGLETRANSLATE(C6931, ""en"", ""te""),"""")"),"")</f>
        <v/>
      </c>
      <c r="E6931" s="2"/>
      <c r="F6931" s="2" t="str">
        <f>IFERROR(__xludf.DUMMYFUNCTION("IF(E6931&lt;&gt;"""", GOOGLETRANSLATE(E6931, ""en"", ""te""),"""")"),"")</f>
        <v/>
      </c>
      <c r="G6931" s="2"/>
      <c r="H6931" s="2" t="str">
        <f>IFERROR(__xludf.DUMMYFUNCTION("IF(G6931&lt;&gt;"""", GOOGLETRANSLATE(G6931, ""en"", ""te""),"""")"),"")</f>
        <v/>
      </c>
      <c r="I6931" s="3"/>
    </row>
    <row r="6932" customHeight="1" spans="1:9">
      <c r="A6932" s="2" t="s">
        <v>4129</v>
      </c>
      <c r="B6932" s="2" t="str">
        <f>IFERROR(__xludf.DUMMYFUNCTION("IF(A6932&lt;&gt;"""", GOOGLETRANSLATE(A6932, ""en"", ""te""),"""")"),"[ 'చాలా 5 వ వికెట్కీపర్గా (210 *) ద్వారా ఇన్నింగ్స్ లో నడుస్తుంది']")</f>
        <v>[ 'చాలా 5 వ వికెట్కీపర్గా (210 *) ద్వారా ఇన్నింగ్స్ లో నడుస్తుంది']</v>
      </c>
      <c r="C6932" s="2" t="s">
        <v>4130</v>
      </c>
      <c r="D6932" s="2" t="str">
        <f>IFERROR(__xludf.DUMMYFUNCTION("IF(C6932&lt;&gt;"""", GOOGLETRANSLATE(C6932, ""en"", ""te""),"""")"),"[ 'అత్యధిక వికెట్లు ఇన్నింగ్స్ లో 5 వ అత్యధిక పరుగులు (210 *)', '25 వ అత్యధిక తొలి వంద (210 *)', 'తొలి 20 తొంభై (90)']")</f>
        <v>[ 'అత్యధిక వికెట్లు ఇన్నింగ్స్ లో 5 వ అత్యధిక పరుగులు (210 *)', '25 వ అత్యధిక తొలి వంద (210 *)', 'తొలి 20 తొంభై (90)']</v>
      </c>
      <c r="E6932" s="2"/>
      <c r="F6932" s="2" t="str">
        <f>IFERROR(__xludf.DUMMYFUNCTION("IF(E6932&lt;&gt;"""", GOOGLETRANSLATE(E6932, ""en"", ""te""),"""")"),"")</f>
        <v/>
      </c>
      <c r="G6932" s="2"/>
      <c r="H6932" s="2" t="str">
        <f>IFERROR(__xludf.DUMMYFUNCTION("IF(G6932&lt;&gt;"""", GOOGLETRANSLATE(G6932, ""en"", ""te""),"""")"),"")</f>
        <v/>
      </c>
      <c r="I6932" s="3"/>
    </row>
    <row r="6933" customHeight="1" spans="1:9">
      <c r="A6933" s="2" t="s">
        <v>4131</v>
      </c>
      <c r="B6933" s="2" t="str">
        <f>IFERROR(__xludf.DUMMYFUNCTION("IF(A6933&lt;&gt;"""", GOOGLETRANSLATE(A6933, ""en"", ""te""),"""")"),"[ 'ఇన్నింగ్స్ లో 10 వ అత్యధిక పరుగులు (బ్యాటింగ్ స్థానంలో ప్రకారం) (61)' 'బ్యాటింగ్ తెరవడం మరియు అదే మ్యాచ్ లో బౌలింగ్',]")</f>
        <v>[ 'ఇన్నింగ్స్ లో 10 వ అత్యధిక పరుగులు (బ్యాటింగ్ స్థానంలో ప్రకారం) (61)' 'బ్యాటింగ్ తెరవడం మరియు అదే మ్యాచ్ లో బౌలింగ్',]</v>
      </c>
      <c r="C6933" s="2"/>
      <c r="D6933" s="2" t="str">
        <f>IFERROR(__xludf.DUMMYFUNCTION("IF(C6933&lt;&gt;"""", GOOGLETRANSLATE(C6933, ""en"", ""te""),"""")"),"")</f>
        <v/>
      </c>
      <c r="E6933" s="2" t="s">
        <v>4132</v>
      </c>
      <c r="F6933" s="2" t="str">
        <f>IFERROR(__xludf.DUMMYFUNCTION("IF(E6933&lt;&gt;"""", GOOGLETRANSLATE(E6933, ""en"", ""te""),"""")"),"[ '10 వ ఇన్నింగ్స్ లో అత్యధిక పరుగులు (బ్యాటింగ్ స్థానంలో ప్రకారం) (61)']")</f>
        <v>[ '10 వ ఇన్నింగ్స్ లో అత్యధిక పరుగులు (బ్యాటింగ్ స్థానంలో ప్రకారం) (61)']</v>
      </c>
      <c r="G6933" s="2"/>
      <c r="H6933" s="2" t="str">
        <f>IFERROR(__xludf.DUMMYFUNCTION("IF(G6933&lt;&gt;"""", GOOGLETRANSLATE(G6933, ""en"", ""te""),"""")"),"")</f>
        <v/>
      </c>
      <c r="I6933" s="3"/>
    </row>
    <row r="6934" customHeight="1" spans="1:9">
      <c r="A6934" s="2"/>
      <c r="B6934" s="2" t="str">
        <f>IFERROR(__xludf.DUMMYFUNCTION("IF(A6934&lt;&gt;"""", GOOGLETRANSLATE(A6934, ""en"", ""te""),"""")"),"")</f>
        <v/>
      </c>
      <c r="C6934" s="2"/>
      <c r="D6934" s="2" t="str">
        <f>IFERROR(__xludf.DUMMYFUNCTION("IF(C6934&lt;&gt;"""", GOOGLETRANSLATE(C6934, ""en"", ""te""),"""")"),"")</f>
        <v/>
      </c>
      <c r="E6934" s="2"/>
      <c r="F6934" s="2" t="str">
        <f>IFERROR(__xludf.DUMMYFUNCTION("IF(E6934&lt;&gt;"""", GOOGLETRANSLATE(E6934, ""en"", ""te""),"""")"),"")</f>
        <v/>
      </c>
      <c r="G6934" s="2"/>
      <c r="H6934" s="2" t="str">
        <f>IFERROR(__xludf.DUMMYFUNCTION("IF(G6934&lt;&gt;"""", GOOGLETRANSLATE(G6934, ""en"", ""te""),"""")"),"")</f>
        <v/>
      </c>
      <c r="I6934" s="3"/>
    </row>
    <row r="6935" customHeight="1" spans="1:9">
      <c r="A6935" s="2"/>
      <c r="B6935" s="2" t="str">
        <f>IFERROR(__xludf.DUMMYFUNCTION("IF(A6935&lt;&gt;"""", GOOGLETRANSLATE(A6935, ""en"", ""te""),"""")"),"")</f>
        <v/>
      </c>
      <c r="C6935" s="2"/>
      <c r="D6935" s="2" t="str">
        <f>IFERROR(__xludf.DUMMYFUNCTION("IF(C6935&lt;&gt;"""", GOOGLETRANSLATE(C6935, ""en"", ""te""),"""")"),"")</f>
        <v/>
      </c>
      <c r="E6935" s="2"/>
      <c r="F6935" s="2" t="str">
        <f>IFERROR(__xludf.DUMMYFUNCTION("IF(E6935&lt;&gt;"""", GOOGLETRANSLATE(E6935, ""en"", ""te""),"""")"),"")</f>
        <v/>
      </c>
      <c r="G6935" s="2"/>
      <c r="H6935" s="2" t="str">
        <f>IFERROR(__xludf.DUMMYFUNCTION("IF(G6935&lt;&gt;"""", GOOGLETRANSLATE(G6935, ""en"", ""te""),"""")"),"")</f>
        <v/>
      </c>
      <c r="I6935" s="3"/>
    </row>
    <row r="6936" customHeight="1" spans="1:9">
      <c r="A6936" s="2"/>
      <c r="B6936" s="2" t="str">
        <f>IFERROR(__xludf.DUMMYFUNCTION("IF(A6936&lt;&gt;"""", GOOGLETRANSLATE(A6936, ""en"", ""te""),"""")"),"")</f>
        <v/>
      </c>
      <c r="C6936" s="2"/>
      <c r="D6936" s="2" t="str">
        <f>IFERROR(__xludf.DUMMYFUNCTION("IF(C6936&lt;&gt;"""", GOOGLETRANSLATE(C6936, ""en"", ""te""),"""")"),"")</f>
        <v/>
      </c>
      <c r="E6936" s="2"/>
      <c r="F6936" s="2" t="str">
        <f>IFERROR(__xludf.DUMMYFUNCTION("IF(E6936&lt;&gt;"""", GOOGLETRANSLATE(E6936, ""en"", ""te""),"""")"),"")</f>
        <v/>
      </c>
      <c r="G6936" s="2"/>
      <c r="H6936" s="2" t="str">
        <f>IFERROR(__xludf.DUMMYFUNCTION("IF(G6936&lt;&gt;"""", GOOGLETRANSLATE(G6936, ""en"", ""te""),"""")"),"")</f>
        <v/>
      </c>
      <c r="I6936" s="3"/>
    </row>
    <row r="6937" customHeight="1" spans="1:9">
      <c r="A6937" s="2"/>
      <c r="B6937" s="2" t="str">
        <f>IFERROR(__xludf.DUMMYFUNCTION("IF(A6937&lt;&gt;"""", GOOGLETRANSLATE(A6937, ""en"", ""te""),"""")"),"")</f>
        <v/>
      </c>
      <c r="C6937" s="2"/>
      <c r="D6937" s="2" t="str">
        <f>IFERROR(__xludf.DUMMYFUNCTION("IF(C6937&lt;&gt;"""", GOOGLETRANSLATE(C6937, ""en"", ""te""),"""")"),"")</f>
        <v/>
      </c>
      <c r="E6937" s="2"/>
      <c r="F6937" s="2" t="str">
        <f>IFERROR(__xludf.DUMMYFUNCTION("IF(E6937&lt;&gt;"""", GOOGLETRANSLATE(E6937, ""en"", ""te""),"""")"),"")</f>
        <v/>
      </c>
      <c r="G6937" s="2"/>
      <c r="H6937" s="2" t="str">
        <f>IFERROR(__xludf.DUMMYFUNCTION("IF(G6937&lt;&gt;"""", GOOGLETRANSLATE(G6937, ""en"", ""te""),"""")"),"")</f>
        <v/>
      </c>
      <c r="I6937" s="3"/>
    </row>
    <row r="6938" customHeight="1" spans="1:9">
      <c r="A6938" s="2"/>
      <c r="B6938" s="2" t="str">
        <f>IFERROR(__xludf.DUMMYFUNCTION("IF(A6938&lt;&gt;"""", GOOGLETRANSLATE(A6938, ""en"", ""te""),"""")"),"")</f>
        <v/>
      </c>
      <c r="C6938" s="2"/>
      <c r="D6938" s="2" t="str">
        <f>IFERROR(__xludf.DUMMYFUNCTION("IF(C6938&lt;&gt;"""", GOOGLETRANSLATE(C6938, ""en"", ""te""),"""")"),"")</f>
        <v/>
      </c>
      <c r="E6938" s="2"/>
      <c r="F6938" s="2" t="str">
        <f>IFERROR(__xludf.DUMMYFUNCTION("IF(E6938&lt;&gt;"""", GOOGLETRANSLATE(E6938, ""en"", ""te""),"""")"),"")</f>
        <v/>
      </c>
      <c r="G6938" s="2"/>
      <c r="H6938" s="2" t="str">
        <f>IFERROR(__xludf.DUMMYFUNCTION("IF(G6938&lt;&gt;"""", GOOGLETRANSLATE(G6938, ""en"", ""te""),"""")"),"")</f>
        <v/>
      </c>
      <c r="I6938" s="3"/>
    </row>
    <row r="6939" customHeight="1" spans="1:9">
      <c r="A6939" s="2"/>
      <c r="B6939" s="2" t="str">
        <f>IFERROR(__xludf.DUMMYFUNCTION("IF(A6939&lt;&gt;"""", GOOGLETRANSLATE(A6939, ""en"", ""te""),"""")"),"")</f>
        <v/>
      </c>
      <c r="C6939" s="2"/>
      <c r="D6939" s="2" t="str">
        <f>IFERROR(__xludf.DUMMYFUNCTION("IF(C6939&lt;&gt;"""", GOOGLETRANSLATE(C6939, ""en"", ""te""),"""")"),"")</f>
        <v/>
      </c>
      <c r="E6939" s="2"/>
      <c r="F6939" s="2" t="str">
        <f>IFERROR(__xludf.DUMMYFUNCTION("IF(E6939&lt;&gt;"""", GOOGLETRANSLATE(E6939, ""en"", ""te""),"""")"),"")</f>
        <v/>
      </c>
      <c r="G6939" s="2"/>
      <c r="H6939" s="2" t="str">
        <f>IFERROR(__xludf.DUMMYFUNCTION("IF(G6939&lt;&gt;"""", GOOGLETRANSLATE(G6939, ""en"", ""te""),"""")"),"")</f>
        <v/>
      </c>
      <c r="I6939" s="3"/>
    </row>
    <row r="6940" customHeight="1" spans="1:9">
      <c r="A6940" s="2"/>
      <c r="B6940" s="2" t="str">
        <f>IFERROR(__xludf.DUMMYFUNCTION("IF(A6940&lt;&gt;"""", GOOGLETRANSLATE(A6940, ""en"", ""te""),"""")"),"")</f>
        <v/>
      </c>
      <c r="C6940" s="2" t="s">
        <v>761</v>
      </c>
      <c r="D6940" s="2" t="str">
        <f>IFERROR(__xludf.DUMMYFUNCTION("IF(C6940&lt;&gt;"""", GOOGLETRANSLATE(C6940, ""en"", ""te""),"""")"),"[ 'తొలి ఇన్నింగ్స్లో 22 బెస్ట్ ఫిగర్స్ (6)']")</f>
        <v>[ 'తొలి ఇన్నింగ్స్లో 22 బెస్ట్ ఫిగర్స్ (6)']</v>
      </c>
      <c r="E6940" s="2"/>
      <c r="F6940" s="2" t="str">
        <f>IFERROR(__xludf.DUMMYFUNCTION("IF(E6940&lt;&gt;"""", GOOGLETRANSLATE(E6940, ""en"", ""te""),"""")"),"")</f>
        <v/>
      </c>
      <c r="G6940" s="2"/>
      <c r="H6940" s="2" t="str">
        <f>IFERROR(__xludf.DUMMYFUNCTION("IF(G6940&lt;&gt;"""", GOOGLETRANSLATE(G6940, ""en"", ""te""),"""")"),"")</f>
        <v/>
      </c>
      <c r="I6940" s="3"/>
    </row>
    <row r="6941" customHeight="1" spans="1:9">
      <c r="A6941" s="2"/>
      <c r="B6941" s="2" t="str">
        <f>IFERROR(__xludf.DUMMYFUNCTION("IF(A6941&lt;&gt;"""", GOOGLETRANSLATE(A6941, ""en"", ""te""),"""")"),"")</f>
        <v/>
      </c>
      <c r="C6941" s="2"/>
      <c r="D6941" s="2" t="str">
        <f>IFERROR(__xludf.DUMMYFUNCTION("IF(C6941&lt;&gt;"""", GOOGLETRANSLATE(C6941, ""en"", ""te""),"""")"),"")</f>
        <v/>
      </c>
      <c r="E6941" s="2"/>
      <c r="F6941" s="2" t="str">
        <f>IFERROR(__xludf.DUMMYFUNCTION("IF(E6941&lt;&gt;"""", GOOGLETRANSLATE(E6941, ""en"", ""te""),"""")"),"")</f>
        <v/>
      </c>
      <c r="G6941" s="2"/>
      <c r="H6941" s="2" t="str">
        <f>IFERROR(__xludf.DUMMYFUNCTION("IF(G6941&lt;&gt;"""", GOOGLETRANSLATE(G6941, ""en"", ""te""),"""")"),"")</f>
        <v/>
      </c>
      <c r="I6941" s="3"/>
    </row>
    <row r="6942" customHeight="1" spans="1:9">
      <c r="A6942" s="2"/>
      <c r="B6942" s="2" t="str">
        <f>IFERROR(__xludf.DUMMYFUNCTION("IF(A6942&lt;&gt;"""", GOOGLETRANSLATE(A6942, ""en"", ""te""),"""")"),"")</f>
        <v/>
      </c>
      <c r="C6942" s="2" t="s">
        <v>4133</v>
      </c>
      <c r="D6942" s="2" t="str">
        <f>IFERROR(__xludf.DUMMYFUNCTION("IF(C6942&lt;&gt;"""", GOOGLETRANSLATE(C6942, ""en"", ""te""),"""")"),"[ '12 వ చెత్త ఇన్నింగ్స్ లో సమ్మె రేటు (414.0)']")</f>
        <v>[ '12 వ చెత్త ఇన్నింగ్స్ లో సమ్మె రేటు (414.0)']</v>
      </c>
      <c r="E6942" s="2"/>
      <c r="F6942" s="2" t="str">
        <f>IFERROR(__xludf.DUMMYFUNCTION("IF(E6942&lt;&gt;"""", GOOGLETRANSLATE(E6942, ""en"", ""te""),"""")"),"")</f>
        <v/>
      </c>
      <c r="G6942" s="2"/>
      <c r="H6942" s="2" t="str">
        <f>IFERROR(__xludf.DUMMYFUNCTION("IF(G6942&lt;&gt;"""", GOOGLETRANSLATE(G6942, ""en"", ""te""),"""")"),"")</f>
        <v/>
      </c>
      <c r="I6942" s="3"/>
    </row>
    <row r="6943" customHeight="1" spans="1:9">
      <c r="A6943" s="2"/>
      <c r="B6943" s="2" t="str">
        <f>IFERROR(__xludf.DUMMYFUNCTION("IF(A6943&lt;&gt;"""", GOOGLETRANSLATE(A6943, ""en"", ""te""),"""")"),"")</f>
        <v/>
      </c>
      <c r="C6943" s="2"/>
      <c r="D6943" s="2" t="str">
        <f>IFERROR(__xludf.DUMMYFUNCTION("IF(C6943&lt;&gt;"""", GOOGLETRANSLATE(C6943, ""en"", ""te""),"""")"),"")</f>
        <v/>
      </c>
      <c r="E6943" s="2"/>
      <c r="F6943" s="2" t="str">
        <f>IFERROR(__xludf.DUMMYFUNCTION("IF(E6943&lt;&gt;"""", GOOGLETRANSLATE(E6943, ""en"", ""te""),"""")"),"")</f>
        <v/>
      </c>
      <c r="G6943" s="2"/>
      <c r="H6943" s="2" t="str">
        <f>IFERROR(__xludf.DUMMYFUNCTION("IF(G6943&lt;&gt;"""", GOOGLETRANSLATE(G6943, ""en"", ""te""),"""")"),"")</f>
        <v/>
      </c>
      <c r="I6943" s="3"/>
    </row>
    <row r="6944" customHeight="1" spans="1:9">
      <c r="A6944" s="2" t="s">
        <v>4134</v>
      </c>
      <c r="B6944" s="2" t="str">
        <f>IFERROR(__xludf.DUMMYFUNCTION("IF(A6944&lt;&gt;"""", GOOGLETRANSLATE(A6944, ""en"", ""te""),"""")"),"[ 'హండ్రెడ్ తొలి (104)', '8 వ ఒక మ్యాచ్లో అత్యధిక క్యాచ్లు (6)']")</f>
        <v>[ 'హండ్రెడ్ తొలి (104)', '8 వ ఒక మ్యాచ్లో అత్యధిక క్యాచ్లు (6)']</v>
      </c>
      <c r="C6944" s="2" t="s">
        <v>4135</v>
      </c>
      <c r="D6944" s="2" t="str">
        <f>IFERROR(__xludf.DUMMYFUNCTION("IF(C6944&lt;&gt;"""", GOOGLETRANSLATE(C6944, ""en"", ""te""),"""")"),"[ 'ఒక మ్యాచ్లో 8 వ అత్యధిక క్యాచ్లు (6)' '26 పిన్న ఆటగాడు వంద (20y 70d) స్కోర్', '21 వ లాంగెస్ట్ వ్యక్తిగత ఇన్నింగ్స్ (నిమిషాలు) (712) ',]")</f>
        <v>[ 'ఒక మ్యాచ్లో 8 వ అత్యధిక క్యాచ్లు (6)' '26 పిన్న ఆటగాడు వంద (20y 70d) స్కోర్', '21 వ లాంగెస్ట్ వ్యక్తిగత ఇన్నింగ్స్ (నిమిషాలు) (712) ',]</v>
      </c>
      <c r="E6944" s="2" t="s">
        <v>4136</v>
      </c>
      <c r="F6944" s="2" t="str">
        <f>IFERROR(__xludf.DUMMYFUNCTION("IF(E6944&lt;&gt;"""", GOOGLETRANSLATE(E6944, ""en"", ""te""),"""")"),"[ 'కెరీర్లో 20 వ నో బాతులు (22)', '33 వ వరుస మ్యాచ్లు ప్రదర్శనల మధ్య (135) ఒక జట్టు తప్పిన']")</f>
        <v>[ 'కెరీర్లో 20 వ నో బాతులు (22)', '33 వ వరుస మ్యాచ్లు ప్రదర్శనల మధ్య (135) ఒక జట్టు తప్పిన']</v>
      </c>
      <c r="G6944" s="2"/>
      <c r="H6944" s="2" t="str">
        <f>IFERROR(__xludf.DUMMYFUNCTION("IF(G6944&lt;&gt;"""", GOOGLETRANSLATE(G6944, ""en"", ""te""),"""")"),"")</f>
        <v/>
      </c>
      <c r="I6944" s="3"/>
    </row>
    <row r="6945" customHeight="1" spans="1:9">
      <c r="A6945" s="2"/>
      <c r="B6945" s="2" t="str">
        <f>IFERROR(__xludf.DUMMYFUNCTION("IF(A6945&lt;&gt;"""", GOOGLETRANSLATE(A6945, ""en"", ""te""),"""")"),"")</f>
        <v/>
      </c>
      <c r="C6945" s="2"/>
      <c r="D6945" s="2" t="str">
        <f>IFERROR(__xludf.DUMMYFUNCTION("IF(C6945&lt;&gt;"""", GOOGLETRANSLATE(C6945, ""en"", ""te""),"""")"),"")</f>
        <v/>
      </c>
      <c r="E6945" s="2"/>
      <c r="F6945" s="2" t="str">
        <f>IFERROR(__xludf.DUMMYFUNCTION("IF(E6945&lt;&gt;"""", GOOGLETRANSLATE(E6945, ""en"", ""te""),"""")"),"")</f>
        <v/>
      </c>
      <c r="G6945" s="2"/>
      <c r="H6945" s="2" t="str">
        <f>IFERROR(__xludf.DUMMYFUNCTION("IF(G6945&lt;&gt;"""", GOOGLETRANSLATE(G6945, ""en"", ""te""),"""")"),"")</f>
        <v/>
      </c>
      <c r="I6945" s="3"/>
    </row>
    <row r="6946" customHeight="1" spans="1:9">
      <c r="A6946" s="2"/>
      <c r="B6946" s="2" t="str">
        <f>IFERROR(__xludf.DUMMYFUNCTION("IF(A6946&lt;&gt;"""", GOOGLETRANSLATE(A6946, ""en"", ""te""),"""")"),"")</f>
        <v/>
      </c>
      <c r="C6946" s="2" t="s">
        <v>4137</v>
      </c>
      <c r="D6946" s="2" t="str">
        <f>IFERROR(__xludf.DUMMYFUNCTION("IF(C6946&lt;&gt;"""", GOOGLETRANSLATE(C6946, ""en"", ""te""),"""")"),"[ '22 ఒక మ్యాచ్ రిఫరీ గా అత్యధిక మ్యాచ్లు (10)']")</f>
        <v>[ '22 ఒక మ్యాచ్ రిఫరీ గా అత్యధిక మ్యాచ్లు (10)']</v>
      </c>
      <c r="E6946" s="2" t="s">
        <v>385</v>
      </c>
      <c r="F6946" s="2" t="str">
        <f>IFERROR(__xludf.DUMMYFUNCTION("IF(E6946&lt;&gt;"""", GOOGLETRANSLATE(E6946, ""en"", ""te""),"""")"),"[ '27 ఒక మ్యాచ్ రిఫరీ గా అత్యధిక మ్యాచ్లు (26)']")</f>
        <v>[ '27 ఒక మ్యాచ్ రిఫరీ గా అత్యధిక మ్యాచ్లు (26)']</v>
      </c>
      <c r="G6946" s="2"/>
      <c r="H6946" s="2" t="str">
        <f>IFERROR(__xludf.DUMMYFUNCTION("IF(G6946&lt;&gt;"""", GOOGLETRANSLATE(G6946, ""en"", ""te""),"""")"),"")</f>
        <v/>
      </c>
      <c r="I6946" s="3"/>
    </row>
    <row r="6947" customHeight="1" spans="1:9">
      <c r="A6947" s="2"/>
      <c r="B6947" s="2" t="str">
        <f>IFERROR(__xludf.DUMMYFUNCTION("IF(A6947&lt;&gt;"""", GOOGLETRANSLATE(A6947, ""en"", ""te""),"""")"),"")</f>
        <v/>
      </c>
      <c r="C6947" s="2"/>
      <c r="D6947" s="2" t="str">
        <f>IFERROR(__xludf.DUMMYFUNCTION("IF(C6947&lt;&gt;"""", GOOGLETRANSLATE(C6947, ""en"", ""te""),"""")"),"")</f>
        <v/>
      </c>
      <c r="E6947" s="2"/>
      <c r="F6947" s="2" t="str">
        <f>IFERROR(__xludf.DUMMYFUNCTION("IF(E6947&lt;&gt;"""", GOOGLETRANSLATE(E6947, ""en"", ""te""),"""")"),"")</f>
        <v/>
      </c>
      <c r="G6947" s="2"/>
      <c r="H6947" s="2" t="str">
        <f>IFERROR(__xludf.DUMMYFUNCTION("IF(G6947&lt;&gt;"""", GOOGLETRANSLATE(G6947, ""en"", ""te""),"""")"),"")</f>
        <v/>
      </c>
      <c r="I6947" s="3"/>
    </row>
    <row r="6948" customHeight="1" spans="1:9">
      <c r="A6948" s="2"/>
      <c r="B6948" s="2" t="str">
        <f>IFERROR(__xludf.DUMMYFUNCTION("IF(A6948&lt;&gt;"""", GOOGLETRANSLATE(A6948, ""en"", ""te""),"""")"),"")</f>
        <v/>
      </c>
      <c r="C6948" s="2"/>
      <c r="D6948" s="2" t="str">
        <f>IFERROR(__xludf.DUMMYFUNCTION("IF(C6948&lt;&gt;"""", GOOGLETRANSLATE(C6948, ""en"", ""te""),"""")"),"")</f>
        <v/>
      </c>
      <c r="E6948" s="2"/>
      <c r="F6948" s="2" t="str">
        <f>IFERROR(__xludf.DUMMYFUNCTION("IF(E6948&lt;&gt;"""", GOOGLETRANSLATE(E6948, ""en"", ""te""),"""")"),"")</f>
        <v/>
      </c>
      <c r="G6948" s="2"/>
      <c r="H6948" s="2" t="str">
        <f>IFERROR(__xludf.DUMMYFUNCTION("IF(G6948&lt;&gt;"""", GOOGLETRANSLATE(G6948, ""en"", ""te""),"""")"),"")</f>
        <v/>
      </c>
      <c r="I6948" s="3"/>
    </row>
    <row r="6949" customHeight="1" spans="1:9">
      <c r="A6949" s="2"/>
      <c r="B6949" s="2" t="str">
        <f>IFERROR(__xludf.DUMMYFUNCTION("IF(A6949&lt;&gt;"""", GOOGLETRANSLATE(A6949, ""en"", ""te""),"""")"),"")</f>
        <v/>
      </c>
      <c r="C6949" s="2"/>
      <c r="D6949" s="2" t="str">
        <f>IFERROR(__xludf.DUMMYFUNCTION("IF(C6949&lt;&gt;"""", GOOGLETRANSLATE(C6949, ""en"", ""te""),"""")"),"")</f>
        <v/>
      </c>
      <c r="E6949" s="2" t="s">
        <v>4138</v>
      </c>
      <c r="F6949" s="2" t="str">
        <f>IFERROR(__xludf.DUMMYFUNCTION("IF(E6949&lt;&gt;"""", GOOGLETRANSLATE(E6949, ""en"", ""te""),"""")"),"[ 'కెరీర్లో 15 వ లేవు బాతులు (19)']")</f>
        <v>[ 'కెరీర్లో 15 వ లేవు బాతులు (19)']</v>
      </c>
      <c r="G6949" s="2"/>
      <c r="H6949" s="2" t="str">
        <f>IFERROR(__xludf.DUMMYFUNCTION("IF(G6949&lt;&gt;"""", GOOGLETRANSLATE(G6949, ""en"", ""te""),"""")"),"")</f>
        <v/>
      </c>
      <c r="I6949" s="3"/>
    </row>
    <row r="6950" customHeight="1" spans="1:9">
      <c r="A6950" s="2"/>
      <c r="B6950" s="2" t="str">
        <f>IFERROR(__xludf.DUMMYFUNCTION("IF(A6950&lt;&gt;"""", GOOGLETRANSLATE(A6950, ""en"", ""te""),"""")"),"")</f>
        <v/>
      </c>
      <c r="C6950" s="2"/>
      <c r="D6950" s="2" t="str">
        <f>IFERROR(__xludf.DUMMYFUNCTION("IF(C6950&lt;&gt;"""", GOOGLETRANSLATE(C6950, ""en"", ""te""),"""")"),"")</f>
        <v/>
      </c>
      <c r="E6950" s="2"/>
      <c r="F6950" s="2" t="str">
        <f>IFERROR(__xludf.DUMMYFUNCTION("IF(E6950&lt;&gt;"""", GOOGLETRANSLATE(E6950, ""en"", ""te""),"""")"),"")</f>
        <v/>
      </c>
      <c r="G6950" s="2"/>
      <c r="H6950" s="2" t="str">
        <f>IFERROR(__xludf.DUMMYFUNCTION("IF(G6950&lt;&gt;"""", GOOGLETRANSLATE(G6950, ""en"", ""te""),"""")"),"")</f>
        <v/>
      </c>
      <c r="I6950" s="3"/>
    </row>
    <row r="6951" customHeight="1" spans="1:9">
      <c r="A6951" s="2"/>
      <c r="B6951" s="2" t="str">
        <f>IFERROR(__xludf.DUMMYFUNCTION("IF(A6951&lt;&gt;"""", GOOGLETRANSLATE(A6951, ""en"", ""te""),"""")"),"")</f>
        <v/>
      </c>
      <c r="C6951" s="2"/>
      <c r="D6951" s="2" t="str">
        <f>IFERROR(__xludf.DUMMYFUNCTION("IF(C6951&lt;&gt;"""", GOOGLETRANSLATE(C6951, ""en"", ""te""),"""")"),"")</f>
        <v/>
      </c>
      <c r="E6951" s="2"/>
      <c r="F6951" s="2" t="str">
        <f>IFERROR(__xludf.DUMMYFUNCTION("IF(E6951&lt;&gt;"""", GOOGLETRANSLATE(E6951, ""en"", ""te""),"""")"),"")</f>
        <v/>
      </c>
      <c r="G6951" s="2"/>
      <c r="H6951" s="2" t="str">
        <f>IFERROR(__xludf.DUMMYFUNCTION("IF(G6951&lt;&gt;"""", GOOGLETRANSLATE(G6951, ""en"", ""te""),"""")"),"")</f>
        <v/>
      </c>
      <c r="I6951" s="3"/>
    </row>
    <row r="6952" customHeight="1" spans="1:9">
      <c r="A6952" s="2"/>
      <c r="B6952" s="2" t="str">
        <f>IFERROR(__xludf.DUMMYFUNCTION("IF(A6952&lt;&gt;"""", GOOGLETRANSLATE(A6952, ""en"", ""te""),"""")"),"")</f>
        <v/>
      </c>
      <c r="C6952" s="2"/>
      <c r="D6952" s="2" t="str">
        <f>IFERROR(__xludf.DUMMYFUNCTION("IF(C6952&lt;&gt;"""", GOOGLETRANSLATE(C6952, ""en"", ""te""),"""")"),"")</f>
        <v/>
      </c>
      <c r="E6952" s="2"/>
      <c r="F6952" s="2" t="str">
        <f>IFERROR(__xludf.DUMMYFUNCTION("IF(E6952&lt;&gt;"""", GOOGLETRANSLATE(E6952, ""en"", ""te""),"""")"),"")</f>
        <v/>
      </c>
      <c r="G6952" s="2"/>
      <c r="H6952" s="2" t="str">
        <f>IFERROR(__xludf.DUMMYFUNCTION("IF(G6952&lt;&gt;"""", GOOGLETRANSLATE(G6952, ""en"", ""te""),"""")"),"")</f>
        <v/>
      </c>
      <c r="I6952" s="3"/>
    </row>
    <row r="6953" customHeight="1" spans="1:9">
      <c r="A6953" s="2"/>
      <c r="B6953" s="2" t="str">
        <f>IFERROR(__xludf.DUMMYFUNCTION("IF(A6953&lt;&gt;"""", GOOGLETRANSLATE(A6953, ""en"", ""te""),"""")"),"")</f>
        <v/>
      </c>
      <c r="C6953" s="2"/>
      <c r="D6953" s="2" t="str">
        <f>IFERROR(__xludf.DUMMYFUNCTION("IF(C6953&lt;&gt;"""", GOOGLETRANSLATE(C6953, ""en"", ""te""),"""")"),"")</f>
        <v/>
      </c>
      <c r="E6953" s="2"/>
      <c r="F6953" s="2" t="str">
        <f>IFERROR(__xludf.DUMMYFUNCTION("IF(E6953&lt;&gt;"""", GOOGLETRANSLATE(E6953, ""en"", ""te""),"""")"),"")</f>
        <v/>
      </c>
      <c r="G6953" s="2"/>
      <c r="H6953" s="2" t="str">
        <f>IFERROR(__xludf.DUMMYFUNCTION("IF(G6953&lt;&gt;"""", GOOGLETRANSLATE(G6953, ""en"", ""te""),"""")"),"")</f>
        <v/>
      </c>
      <c r="I6953" s="3"/>
    </row>
    <row r="6954" customHeight="1" spans="1:9">
      <c r="A6954" s="2"/>
      <c r="B6954" s="2" t="str">
        <f>IFERROR(__xludf.DUMMYFUNCTION("IF(A6954&lt;&gt;"""", GOOGLETRANSLATE(A6954, ""en"", ""te""),"""")"),"")</f>
        <v/>
      </c>
      <c r="C6954" s="2"/>
      <c r="D6954" s="2" t="str">
        <f>IFERROR(__xludf.DUMMYFUNCTION("IF(C6954&lt;&gt;"""", GOOGLETRANSLATE(C6954, ""en"", ""te""),"""")"),"")</f>
        <v/>
      </c>
      <c r="E6954" s="2"/>
      <c r="F6954" s="2" t="str">
        <f>IFERROR(__xludf.DUMMYFUNCTION("IF(E6954&lt;&gt;"""", GOOGLETRANSLATE(E6954, ""en"", ""te""),"""")"),"")</f>
        <v/>
      </c>
      <c r="G6954" s="2"/>
      <c r="H6954" s="2" t="str">
        <f>IFERROR(__xludf.DUMMYFUNCTION("IF(G6954&lt;&gt;"""", GOOGLETRANSLATE(G6954, ""en"", ""te""),"""")"),"")</f>
        <v/>
      </c>
      <c r="I6954" s="3"/>
    </row>
    <row r="6955" customHeight="1" spans="1:9">
      <c r="A6955" s="2"/>
      <c r="B6955" s="2" t="str">
        <f>IFERROR(__xludf.DUMMYFUNCTION("IF(A6955&lt;&gt;"""", GOOGLETRANSLATE(A6955, ""en"", ""te""),"""")"),"")</f>
        <v/>
      </c>
      <c r="C6955" s="2"/>
      <c r="D6955" s="2" t="str">
        <f>IFERROR(__xludf.DUMMYFUNCTION("IF(C6955&lt;&gt;"""", GOOGLETRANSLATE(C6955, ""en"", ""te""),"""")"),"")</f>
        <v/>
      </c>
      <c r="E6955" s="2"/>
      <c r="F6955" s="2" t="str">
        <f>IFERROR(__xludf.DUMMYFUNCTION("IF(E6955&lt;&gt;"""", GOOGLETRANSLATE(E6955, ""en"", ""te""),"""")"),"")</f>
        <v/>
      </c>
      <c r="G6955" s="2"/>
      <c r="H6955" s="2" t="str">
        <f>IFERROR(__xludf.DUMMYFUNCTION("IF(G6955&lt;&gt;"""", GOOGLETRANSLATE(G6955, ""en"", ""te""),"""")"),"")</f>
        <v/>
      </c>
      <c r="I6955" s="3"/>
    </row>
    <row r="6956" customHeight="1" spans="1:9">
      <c r="A6956" s="2"/>
      <c r="B6956" s="2" t="str">
        <f>IFERROR(__xludf.DUMMYFUNCTION("IF(A6956&lt;&gt;"""", GOOGLETRANSLATE(A6956, ""en"", ""te""),"""")"),"")</f>
        <v/>
      </c>
      <c r="C6956" s="2"/>
      <c r="D6956" s="2" t="str">
        <f>IFERROR(__xludf.DUMMYFUNCTION("IF(C6956&lt;&gt;"""", GOOGLETRANSLATE(C6956, ""en"", ""te""),"""")"),"")</f>
        <v/>
      </c>
      <c r="E6956" s="2"/>
      <c r="F6956" s="2" t="str">
        <f>IFERROR(__xludf.DUMMYFUNCTION("IF(E6956&lt;&gt;"""", GOOGLETRANSLATE(E6956, ""en"", ""te""),"""")"),"")</f>
        <v/>
      </c>
      <c r="G6956" s="2"/>
      <c r="H6956" s="2" t="str">
        <f>IFERROR(__xludf.DUMMYFUNCTION("IF(G6956&lt;&gt;"""", GOOGLETRANSLATE(G6956, ""en"", ""te""),"""")"),"")</f>
        <v/>
      </c>
      <c r="I6956" s="3"/>
    </row>
    <row r="6957" customHeight="1" spans="1:9">
      <c r="A6957" s="2"/>
      <c r="B6957" s="2" t="str">
        <f>IFERROR(__xludf.DUMMYFUNCTION("IF(A6957&lt;&gt;"""", GOOGLETRANSLATE(A6957, ""en"", ""te""),"""")"),"")</f>
        <v/>
      </c>
      <c r="C6957" s="2"/>
      <c r="D6957" s="2" t="str">
        <f>IFERROR(__xludf.DUMMYFUNCTION("IF(C6957&lt;&gt;"""", GOOGLETRANSLATE(C6957, ""en"", ""te""),"""")"),"")</f>
        <v/>
      </c>
      <c r="E6957" s="2"/>
      <c r="F6957" s="2" t="str">
        <f>IFERROR(__xludf.DUMMYFUNCTION("IF(E6957&lt;&gt;"""", GOOGLETRANSLATE(E6957, ""en"", ""te""),"""")"),"")</f>
        <v/>
      </c>
      <c r="G6957" s="2"/>
      <c r="H6957" s="2" t="str">
        <f>IFERROR(__xludf.DUMMYFUNCTION("IF(G6957&lt;&gt;"""", GOOGLETRANSLATE(G6957, ""en"", ""te""),"""")"),"")</f>
        <v/>
      </c>
      <c r="I6957" s="3"/>
    </row>
    <row r="6958" customHeight="1" spans="1:9">
      <c r="A6958" s="2"/>
      <c r="B6958" s="2" t="str">
        <f>IFERROR(__xludf.DUMMYFUNCTION("IF(A6958&lt;&gt;"""", GOOGLETRANSLATE(A6958, ""en"", ""te""),"""")"),"")</f>
        <v/>
      </c>
      <c r="C6958" s="2"/>
      <c r="D6958" s="2" t="str">
        <f>IFERROR(__xludf.DUMMYFUNCTION("IF(C6958&lt;&gt;"""", GOOGLETRANSLATE(C6958, ""en"", ""te""),"""")"),"")</f>
        <v/>
      </c>
      <c r="E6958" s="2"/>
      <c r="F6958" s="2" t="str">
        <f>IFERROR(__xludf.DUMMYFUNCTION("IF(E6958&lt;&gt;"""", GOOGLETRANSLATE(E6958, ""en"", ""te""),"""")"),"")</f>
        <v/>
      </c>
      <c r="G6958" s="2"/>
      <c r="H6958" s="2" t="str">
        <f>IFERROR(__xludf.DUMMYFUNCTION("IF(G6958&lt;&gt;"""", GOOGLETRANSLATE(G6958, ""en"", ""te""),"""")"),"")</f>
        <v/>
      </c>
      <c r="I6958" s="3"/>
    </row>
    <row r="6959" customHeight="1" spans="1:9">
      <c r="A6959" s="2"/>
      <c r="B6959" s="2" t="str">
        <f>IFERROR(__xludf.DUMMYFUNCTION("IF(A6959&lt;&gt;"""", GOOGLETRANSLATE(A6959, ""en"", ""te""),"""")"),"")</f>
        <v/>
      </c>
      <c r="C6959" s="2"/>
      <c r="D6959" s="2" t="str">
        <f>IFERROR(__xludf.DUMMYFUNCTION("IF(C6959&lt;&gt;"""", GOOGLETRANSLATE(C6959, ""en"", ""te""),"""")"),"")</f>
        <v/>
      </c>
      <c r="E6959" s="2"/>
      <c r="F6959" s="2" t="str">
        <f>IFERROR(__xludf.DUMMYFUNCTION("IF(E6959&lt;&gt;"""", GOOGLETRANSLATE(E6959, ""en"", ""te""),"""")"),"")</f>
        <v/>
      </c>
      <c r="G6959" s="2"/>
      <c r="H6959" s="2" t="str">
        <f>IFERROR(__xludf.DUMMYFUNCTION("IF(G6959&lt;&gt;"""", GOOGLETRANSLATE(G6959, ""en"", ""te""),"""")"),"")</f>
        <v/>
      </c>
      <c r="I6959" s="3"/>
    </row>
    <row r="6960" customHeight="1" spans="1:9">
      <c r="A6960" s="2"/>
      <c r="B6960" s="2" t="str">
        <f>IFERROR(__xludf.DUMMYFUNCTION("IF(A6960&lt;&gt;"""", GOOGLETRANSLATE(A6960, ""en"", ""te""),"""")"),"")</f>
        <v/>
      </c>
      <c r="C6960" s="2"/>
      <c r="D6960" s="2" t="str">
        <f>IFERROR(__xludf.DUMMYFUNCTION("IF(C6960&lt;&gt;"""", GOOGLETRANSLATE(C6960, ""en"", ""te""),"""")"),"")</f>
        <v/>
      </c>
      <c r="E6960" s="2"/>
      <c r="F6960" s="2" t="str">
        <f>IFERROR(__xludf.DUMMYFUNCTION("IF(E6960&lt;&gt;"""", GOOGLETRANSLATE(E6960, ""en"", ""te""),"""")"),"")</f>
        <v/>
      </c>
      <c r="G6960" s="2"/>
      <c r="H6960" s="2" t="str">
        <f>IFERROR(__xludf.DUMMYFUNCTION("IF(G6960&lt;&gt;"""", GOOGLETRANSLATE(G6960, ""en"", ""te""),"""")"),"")</f>
        <v/>
      </c>
      <c r="I6960" s="3"/>
    </row>
    <row r="6961" customHeight="1" spans="1:9">
      <c r="A6961" s="2" t="s">
        <v>4139</v>
      </c>
      <c r="B6961" s="2" t="str">
        <f>IFERROR(__xludf.DUMMYFUNCTION("IF(A6961&lt;&gt;"""", GOOGLETRANSLATE(A6961, ""en"", ""te""),"""")"),"[ '5 వ పిన్న కాప్టెన్ (21y 73d)', '3 వ ఒక ఇన్నింగ్స్ లోని బెస్ట్ ఫిగర్స్ పరాజయం వైపు (5) ఉన్నప్పుడు', '5 వ చెత్త కెరీర్లో ఆర్థిక రేటు (4.85)', 'ఐదు వికెట్ల తేడాతో తీసుకోవాలని 5 వ పిన్న ఆటగాడు -an-ఇన్నింగ్స్ (18y 174d) ']")</f>
        <v>[ '5 వ పిన్న కాప్టెన్ (21y 73d)', '3 వ ఒక ఇన్నింగ్స్ లోని బెస్ట్ ఫిగర్స్ పరాజయం వైపు (5) ఉన్నప్పుడు', '5 వ చెత్త కెరీర్లో ఆర్థిక రేటు (4.85)', 'ఐదు వికెట్ల తేడాతో తీసుకోవాలని 5 వ పిన్న ఆటగాడు -an-ఇన్నింగ్స్ (18y 174d) ']</v>
      </c>
      <c r="C6961" s="2"/>
      <c r="D6961" s="2" t="str">
        <f>IFERROR(__xludf.DUMMYFUNCTION("IF(C6961&lt;&gt;"""", GOOGLETRANSLATE(C6961, ""en"", ""te""),"""")"),"")</f>
        <v/>
      </c>
      <c r="E6961" s="2" t="s">
        <v>4140</v>
      </c>
      <c r="F6961" s="2" t="str">
        <f>IFERROR(__xludf.DUMMYFUNCTION("IF(E6961&lt;&gt;"""", GOOGLETRANSLATE(E6961, ""en"", ""te""),"""")"),"[ 'ఒక కెప్టెన్తో ఒక ఇన్నింగ్స్ లో 3 వ ఉత్తమ బొమ్మలు (5)', '3 వ ఒక ఇన్నింగ్స్ లోని బెస్ట్ ఫిగర్స్ ఉన్నప్పుడు పరాజయం వైపు (5)', '6 వ ఉత్తమ కెరీర్ సమ్మె రేటు (30.1)', '33 వ ఉత్తమ సమ్మెలో రేటు ఇన్నింగ్స్ (8.2) ',' 5 వ చెత్త కెరీర్లో ఆర్థిక రేటు (4.85) ',' ఇన"&amp;"్నింగ్స్ లో 13 వ చెత్త ఆర్థిక రేటు (9.33) ',' 7 వ అత్యంత ఐదు-వికెట్ల లో-ఒక-ఇన్నింగ్స్ కెరీర్లో (2) ' '38 వ అత్యంత నాలుగు వికెట్లు-ఇన్-ఒక-ఇన్నింగ్స్ కెరీర్లో (3)', 33 వ బౌలర్ / ఫీల్డర్ కలయికలు ( 'అయిదు వికెట్లు-ఇన్-ఒక-ఇన్నింగ్స్ (18y 174d) పడుతుంది 5 వ పిన"&amp;"్న ఆటగాడు', '11 ) ',' 16 వ అత్యధిక వికెట్లు కెప్టెన్ (26) ',' 23 వ వరుస మ్యాచ్లు ఒక జట్టు కెప్టెన్గా తీసుకున్న స్టంప్ (11) ',' 29th అత్యధిక మ్యాచ్లు (26) ',' 5 వ పిన్న కాప్టెన్ (21y 73d) ']")</f>
        <v>[ 'ఒక కెప్టెన్తో ఒక ఇన్నింగ్స్ లో 3 వ ఉత్తమ బొమ్మలు (5)', '3 వ ఒక ఇన్నింగ్స్ లోని బెస్ట్ ఫిగర్స్ ఉన్నప్పుడు పరాజయం వైపు (5)', '6 వ ఉత్తమ కెరీర్ సమ్మె రేటు (30.1)', '33 వ ఉత్తమ సమ్మెలో రేటు ఇన్నింగ్స్ (8.2) ',' 5 వ చెత్త కెరీర్లో ఆర్థిక రేటు (4.85) ',' ఇన్నింగ్స్ లో 13 వ చెత్త ఆర్థిక రేటు (9.33) ',' 7 వ అత్యంత ఐదు-వికెట్ల లో-ఒక-ఇన్నింగ్స్ కెరీర్లో (2) ' '38 వ అత్యంత నాలుగు వికెట్లు-ఇన్-ఒక-ఇన్నింగ్స్ కెరీర్లో (3)', 33 వ బౌలర్ / ఫీల్డర్ కలయికలు ( 'అయిదు వికెట్లు-ఇన్-ఒక-ఇన్నింగ్స్ (18y 174d) పడుతుంది 5 వ పిన్న ఆటగాడు', '11 ) ',' 16 వ అత్యధిక వికెట్లు కెప్టెన్ (26) ',' 23 వ వరుస మ్యాచ్లు ఒక జట్టు కెప్టెన్గా తీసుకున్న స్టంప్ (11) ',' 29th అత్యధిక మ్యాచ్లు (26) ',' 5 వ పిన్న కాప్టెన్ (21y 73d) ']</v>
      </c>
      <c r="G6961" s="2" t="s">
        <v>4141</v>
      </c>
      <c r="H6961" s="2" t="str">
        <f>IFERROR(__xludf.DUMMYFUNCTION("IF(G6961&lt;&gt;"""", GOOGLETRANSLATE(G6961, ""en"", ""te""),"""")"),"[ 'ఎనిమిదవ వికెట్కు 20 వ అత్యధిక భాగస్వామ్యం (27)']")</f>
        <v>[ 'ఎనిమిదవ వికెట్కు 20 వ అత్యధిక భాగస్వామ్యం (27)']</v>
      </c>
      <c r="I6961" s="3"/>
    </row>
    <row r="6962" customHeight="1" spans="1:9">
      <c r="A6962" s="2"/>
      <c r="B6962" s="2" t="str">
        <f>IFERROR(__xludf.DUMMYFUNCTION("IF(A6962&lt;&gt;"""", GOOGLETRANSLATE(A6962, ""en"", ""te""),"""")"),"")</f>
        <v/>
      </c>
      <c r="C6962" s="2"/>
      <c r="D6962" s="2" t="str">
        <f>IFERROR(__xludf.DUMMYFUNCTION("IF(C6962&lt;&gt;"""", GOOGLETRANSLATE(C6962, ""en"", ""te""),"""")"),"")</f>
        <v/>
      </c>
      <c r="E6962" s="2"/>
      <c r="F6962" s="2" t="str">
        <f>IFERROR(__xludf.DUMMYFUNCTION("IF(E6962&lt;&gt;"""", GOOGLETRANSLATE(E6962, ""en"", ""te""),"""")"),"")</f>
        <v/>
      </c>
      <c r="G6962" s="2"/>
      <c r="H6962" s="2" t="str">
        <f>IFERROR(__xludf.DUMMYFUNCTION("IF(G6962&lt;&gt;"""", GOOGLETRANSLATE(G6962, ""en"", ""te""),"""")"),"")</f>
        <v/>
      </c>
      <c r="I6962" s="3"/>
    </row>
    <row r="6963" customHeight="1" spans="1:9">
      <c r="A6963" s="2"/>
      <c r="B6963" s="2" t="str">
        <f>IFERROR(__xludf.DUMMYFUNCTION("IF(A6963&lt;&gt;"""", GOOGLETRANSLATE(A6963, ""en"", ""te""),"""")"),"")</f>
        <v/>
      </c>
      <c r="C6963" s="2"/>
      <c r="D6963" s="2" t="str">
        <f>IFERROR(__xludf.DUMMYFUNCTION("IF(C6963&lt;&gt;"""", GOOGLETRANSLATE(C6963, ""en"", ""te""),"""")"),"")</f>
        <v/>
      </c>
      <c r="E6963" s="2" t="s">
        <v>4142</v>
      </c>
      <c r="F6963" s="2" t="str">
        <f>IFERROR(__xludf.DUMMYFUNCTION("IF(E6963&lt;&gt;"""", GOOGLETRANSLATE(E6963, ""en"", ""te""),"""")"),"[ '43 వ అత్యంత ఐదు-వికెట్ల లో-ఒక-ఇన్నింగ్స్ కెరీర్లో (2)', '13 వ వరుస నాలుగు వికెట్లు-ఇన్-ఒక-ఇన్నింగ్స్ (2)']")</f>
        <v>[ '43 వ అత్యంత ఐదు-వికెట్ల లో-ఒక-ఇన్నింగ్స్ కెరీర్లో (2)', '13 వ వరుస నాలుగు వికెట్లు-ఇన్-ఒక-ఇన్నింగ్స్ (2)']</v>
      </c>
      <c r="G6963" s="2" t="s">
        <v>4143</v>
      </c>
      <c r="H6963" s="2" t="str">
        <f>IFERROR(__xludf.DUMMYFUNCTION("IF(G6963&lt;&gt;"""", GOOGLETRANSLATE(G6963, ""en"", ""te""),"""")"),"[ '20 వ అత్యుత్తమ ఇన్నింగ్స్ లో బౌలింగ్ విశ్లేషణలు (2/4)', '12 వ ఇన్నింగ్స్ లో సాధించిన అత్యధిక పరుగులు (63)', '48 వ అత్యధిక వికెట్లు ఒక వికెట్ కీపర్ చే కాట్ తీసుకోకూడదు (5)', '47 వ వరుస మ్యాచ్లు కోసం తప్పిన 'ప్రదర్శనల మధ్య బృందం (37)]")</f>
        <v>[ '20 వ అత్యుత్తమ ఇన్నింగ్స్ లో బౌలింగ్ విశ్లేషణలు (2/4)', '12 వ ఇన్నింగ్స్ లో సాధించిన అత్యధిక పరుగులు (63)', '48 వ అత్యధిక వికెట్లు ఒక వికెట్ కీపర్ చే కాట్ తీసుకోకూడదు (5)', '47 వ వరుస మ్యాచ్లు కోసం తప్పిన 'ప్రదర్శనల మధ్య బృందం (37)]</v>
      </c>
      <c r="I6963" s="3"/>
    </row>
    <row r="6964" customHeight="1" spans="1:9">
      <c r="A6964" s="2"/>
      <c r="B6964" s="2" t="str">
        <f>IFERROR(__xludf.DUMMYFUNCTION("IF(A6964&lt;&gt;"""", GOOGLETRANSLATE(A6964, ""en"", ""te""),"""")"),"")</f>
        <v/>
      </c>
      <c r="C6964" s="2"/>
      <c r="D6964" s="2" t="str">
        <f>IFERROR(__xludf.DUMMYFUNCTION("IF(C6964&lt;&gt;"""", GOOGLETRANSLATE(C6964, ""en"", ""te""),"""")"),"")</f>
        <v/>
      </c>
      <c r="E6964" s="2"/>
      <c r="F6964" s="2" t="str">
        <f>IFERROR(__xludf.DUMMYFUNCTION("IF(E6964&lt;&gt;"""", GOOGLETRANSLATE(E6964, ""en"", ""te""),"""")"),"")</f>
        <v/>
      </c>
      <c r="G6964" s="2"/>
      <c r="H6964" s="2" t="str">
        <f>IFERROR(__xludf.DUMMYFUNCTION("IF(G6964&lt;&gt;"""", GOOGLETRANSLATE(G6964, ""en"", ""te""),"""")"),"")</f>
        <v/>
      </c>
      <c r="I6964" s="3"/>
    </row>
    <row r="6965" customHeight="1" spans="1:9">
      <c r="A6965" s="2"/>
      <c r="B6965" s="2" t="str">
        <f>IFERROR(__xludf.DUMMYFUNCTION("IF(A6965&lt;&gt;"""", GOOGLETRANSLATE(A6965, ""en"", ""te""),"""")"),"")</f>
        <v/>
      </c>
      <c r="C6965" s="2"/>
      <c r="D6965" s="2" t="str">
        <f>IFERROR(__xludf.DUMMYFUNCTION("IF(C6965&lt;&gt;"""", GOOGLETRANSLATE(C6965, ""en"", ""te""),"""")"),"")</f>
        <v/>
      </c>
      <c r="E6965" s="2"/>
      <c r="F6965" s="2" t="str">
        <f>IFERROR(__xludf.DUMMYFUNCTION("IF(E6965&lt;&gt;"""", GOOGLETRANSLATE(E6965, ""en"", ""te""),"""")"),"")</f>
        <v/>
      </c>
      <c r="G6965" s="2"/>
      <c r="H6965" s="2" t="str">
        <f>IFERROR(__xludf.DUMMYFUNCTION("IF(G6965&lt;&gt;"""", GOOGLETRANSLATE(G6965, ""en"", ""te""),"""")"),"")</f>
        <v/>
      </c>
      <c r="I6965" s="3"/>
    </row>
    <row r="6966" customHeight="1" spans="1:9">
      <c r="A6966" s="2"/>
      <c r="B6966" s="2" t="str">
        <f>IFERROR(__xludf.DUMMYFUNCTION("IF(A6966&lt;&gt;"""", GOOGLETRANSLATE(A6966, ""en"", ""te""),"""")"),"")</f>
        <v/>
      </c>
      <c r="C6966" s="2"/>
      <c r="D6966" s="2" t="str">
        <f>IFERROR(__xludf.DUMMYFUNCTION("IF(C6966&lt;&gt;"""", GOOGLETRANSLATE(C6966, ""en"", ""te""),"""")"),"")</f>
        <v/>
      </c>
      <c r="E6966" s="2"/>
      <c r="F6966" s="2" t="str">
        <f>IFERROR(__xludf.DUMMYFUNCTION("IF(E6966&lt;&gt;"""", GOOGLETRANSLATE(E6966, ""en"", ""te""),"""")"),"")</f>
        <v/>
      </c>
      <c r="G6966" s="2"/>
      <c r="H6966" s="2" t="str">
        <f>IFERROR(__xludf.DUMMYFUNCTION("IF(G6966&lt;&gt;"""", GOOGLETRANSLATE(G6966, ""en"", ""te""),"""")"),"")</f>
        <v/>
      </c>
      <c r="I6966" s="3"/>
    </row>
    <row r="6967" customHeight="1" spans="1:9">
      <c r="A6967" s="2"/>
      <c r="B6967" s="2" t="str">
        <f>IFERROR(__xludf.DUMMYFUNCTION("IF(A6967&lt;&gt;"""", GOOGLETRANSLATE(A6967, ""en"", ""te""),"""")"),"")</f>
        <v/>
      </c>
      <c r="C6967" s="2"/>
      <c r="D6967" s="2" t="str">
        <f>IFERROR(__xludf.DUMMYFUNCTION("IF(C6967&lt;&gt;"""", GOOGLETRANSLATE(C6967, ""en"", ""te""),"""")"),"")</f>
        <v/>
      </c>
      <c r="E6967" s="2"/>
      <c r="F6967" s="2" t="str">
        <f>IFERROR(__xludf.DUMMYFUNCTION("IF(E6967&lt;&gt;"""", GOOGLETRANSLATE(E6967, ""en"", ""te""),"""")"),"")</f>
        <v/>
      </c>
      <c r="G6967" s="2"/>
      <c r="H6967" s="2" t="str">
        <f>IFERROR(__xludf.DUMMYFUNCTION("IF(G6967&lt;&gt;"""", GOOGLETRANSLATE(G6967, ""en"", ""te""),"""")"),"")</f>
        <v/>
      </c>
      <c r="I6967" s="3"/>
    </row>
    <row r="6968" customHeight="1" spans="1:9">
      <c r="A6968" s="2"/>
      <c r="B6968" s="2" t="str">
        <f>IFERROR(__xludf.DUMMYFUNCTION("IF(A6968&lt;&gt;"""", GOOGLETRANSLATE(A6968, ""en"", ""te""),"""")"),"")</f>
        <v/>
      </c>
      <c r="C6968" s="2"/>
      <c r="D6968" s="2" t="str">
        <f>IFERROR(__xludf.DUMMYFUNCTION("IF(C6968&lt;&gt;"""", GOOGLETRANSLATE(C6968, ""en"", ""te""),"""")"),"")</f>
        <v/>
      </c>
      <c r="E6968" s="2"/>
      <c r="F6968" s="2" t="str">
        <f>IFERROR(__xludf.DUMMYFUNCTION("IF(E6968&lt;&gt;"""", GOOGLETRANSLATE(E6968, ""en"", ""te""),"""")"),"")</f>
        <v/>
      </c>
      <c r="G6968" s="2"/>
      <c r="H6968" s="2" t="str">
        <f>IFERROR(__xludf.DUMMYFUNCTION("IF(G6968&lt;&gt;"""", GOOGLETRANSLATE(G6968, ""en"", ""te""),"""")"),"")</f>
        <v/>
      </c>
      <c r="I6968" s="3"/>
    </row>
    <row r="6969" customHeight="1" spans="1:9">
      <c r="A6969" s="2"/>
      <c r="B6969" s="2" t="str">
        <f>IFERROR(__xludf.DUMMYFUNCTION("IF(A6969&lt;&gt;"""", GOOGLETRANSLATE(A6969, ""en"", ""te""),"""")"),"")</f>
        <v/>
      </c>
      <c r="C6969" s="2"/>
      <c r="D6969" s="2" t="str">
        <f>IFERROR(__xludf.DUMMYFUNCTION("IF(C6969&lt;&gt;"""", GOOGLETRANSLATE(C6969, ""en"", ""te""),"""")"),"")</f>
        <v/>
      </c>
      <c r="E6969" s="2"/>
      <c r="F6969" s="2" t="str">
        <f>IFERROR(__xludf.DUMMYFUNCTION("IF(E6969&lt;&gt;"""", GOOGLETRANSLATE(E6969, ""en"", ""te""),"""")"),"")</f>
        <v/>
      </c>
      <c r="G6969" s="2"/>
      <c r="H6969" s="2" t="str">
        <f>IFERROR(__xludf.DUMMYFUNCTION("IF(G6969&lt;&gt;"""", GOOGLETRANSLATE(G6969, ""en"", ""te""),"""")"),"")</f>
        <v/>
      </c>
      <c r="I6969" s="3"/>
    </row>
    <row r="6970" customHeight="1" spans="1:9">
      <c r="A6970" s="2"/>
      <c r="B6970" s="2" t="str">
        <f>IFERROR(__xludf.DUMMYFUNCTION("IF(A6970&lt;&gt;"""", GOOGLETRANSLATE(A6970, ""en"", ""te""),"""")"),"")</f>
        <v/>
      </c>
      <c r="C6970" s="2"/>
      <c r="D6970" s="2" t="str">
        <f>IFERROR(__xludf.DUMMYFUNCTION("IF(C6970&lt;&gt;"""", GOOGLETRANSLATE(C6970, ""en"", ""te""),"""")"),"")</f>
        <v/>
      </c>
      <c r="E6970" s="2"/>
      <c r="F6970" s="2" t="str">
        <f>IFERROR(__xludf.DUMMYFUNCTION("IF(E6970&lt;&gt;"""", GOOGLETRANSLATE(E6970, ""en"", ""te""),"""")"),"")</f>
        <v/>
      </c>
      <c r="G6970" s="2"/>
      <c r="H6970" s="2" t="str">
        <f>IFERROR(__xludf.DUMMYFUNCTION("IF(G6970&lt;&gt;"""", GOOGLETRANSLATE(G6970, ""en"", ""te""),"""")"),"")</f>
        <v/>
      </c>
      <c r="I6970" s="3"/>
    </row>
    <row r="6971" customHeight="1" spans="1:9">
      <c r="A6971" s="2" t="s">
        <v>4144</v>
      </c>
      <c r="B6971" s="2" t="str">
        <f>IFERROR(__xludf.DUMMYFUNCTION("IF(A6971&lt;&gt;"""", GOOGLETRANSLATE(A6971, ""en"", ""te""),"""")"),"[ 'ఇన్నింగ్స్ లో 8 వ అత్యధిక పరుగులు (బ్యాటింగ్ స్థానంలో ప్రకారం) (32)' '9 వ పిన్న ఆటగాడు ఐదు వికెట్ల లో-ఒక-ఇన్నింగ్స్ (19y 154d) తీసుకోవాలని', '5 వ అత్యుత్తమ బౌలింగ్ ఇన్నింగ్స్ లో విశ్లేషించడం (5 / 6) ',' 4 వ ఉత్తమ సమ్మె ఇన్నింగ్స్ లో రేటు (2.8) ',' 1 వ "&amp;"వరుస నాలుగు వికెట్లు-ఇన్-ఒక-ఇన్నింగ్స్ (2) ',' 4 వ అత్యధిక వికెట్లు తీసుకున్న బౌల్డ్ (31) ',' 8 వ వేగవంతమైన 50 వికెట్లు (36) ']")</f>
        <v>[ 'ఇన్నింగ్స్ లో 8 వ అత్యధిక పరుగులు (బ్యాటింగ్ స్థానంలో ప్రకారం) (32)' '9 వ పిన్న ఆటగాడు ఐదు వికెట్ల లో-ఒక-ఇన్నింగ్స్ (19y 154d) తీసుకోవాలని', '5 వ అత్యుత్తమ బౌలింగ్ ఇన్నింగ్స్ లో విశ్లేషించడం (5 / 6) ',' 4 వ ఉత్తమ సమ్మె ఇన్నింగ్స్ లో రేటు (2.8) ',' 1 వ వరుస నాలుగు వికెట్లు-ఇన్-ఒక-ఇన్నింగ్స్ (2) ',' 4 వ అత్యధిక వికెట్లు తీసుకున్న బౌల్డ్ (31) ',' 8 వ వేగవంతమైన 50 వికెట్లు (36) ']</v>
      </c>
      <c r="C6971" s="2" t="s">
        <v>4145</v>
      </c>
      <c r="D6971" s="2" t="str">
        <f>IFERROR(__xludf.DUMMYFUNCTION("IF(C6971&lt;&gt;"""", GOOGLETRANSLATE(C6971, ""en"", ""te""),"""")"),"[ '42 వ చెత్త కెరీర్లో ఆర్థిక రేటు (3.47)', 'ఐదు వికెట్ల లో-ఒక-ఇన్నింగ్స్ తీసుకోవాలని 31 పిన్న వయస్కుడిగా నిలిచాడు (19y 357d)']")</f>
        <v>[ '42 వ చెత్త కెరీర్లో ఆర్థిక రేటు (3.47)', 'ఐదు వికెట్ల లో-ఒక-ఇన్నింగ్స్ తీసుకోవాలని 31 పిన్న వయస్కుడిగా నిలిచాడు (19y 357d)']</v>
      </c>
      <c r="E6971" s="2" t="s">
        <v>4146</v>
      </c>
      <c r="F6971" s="2" t="str">
        <f>IFERROR(__xludf.DUMMYFUNCTION("IF(E6971&lt;&gt;"""", GOOGLETRANSLATE(E6971, ""en"", ""te""),"""")"),"[ '33 వ చెత్త ఇన్నింగ్స్ లో ఆర్థిక రేటు (11.16)', '43 వ అత్యంత ఐదు-వికెట్ల లో-ఒక-ఇన్నింగ్స్ కెరీర్లో (2)', '13 వ వరుస నాలుగు వికెట్లు-ఇన్-ఒక-ఇన్నింగ్స్ (2) ',' ఐదు వికెట్ల లో-ఒక-ఇన్నింగ్స్ (19y 154d) వేగవంతమైన 100 వికెట్లు 26 వేగవంతమైన 150 పడుతుంది 9 వ "&amp;"పిన్న ఆటగాడు ',' 31 అత్యధిక వికెట్లు తీసుకున్న బౌల్డ్ (54) ',' 34 వ (67) ',' వికెట్లు (104) ']")</f>
        <v>[ '33 వ చెత్త ఇన్నింగ్స్ లో ఆర్థిక రేటు (11.16)', '43 వ అత్యంత ఐదు-వికెట్ల లో-ఒక-ఇన్నింగ్స్ కెరీర్లో (2)', '13 వ వరుస నాలుగు వికెట్లు-ఇన్-ఒక-ఇన్నింగ్స్ (2) ',' ఐదు వికెట్ల లో-ఒక-ఇన్నింగ్స్ (19y 154d) వేగవంతమైన 100 వికెట్లు 26 వేగవంతమైన 150 పడుతుంది 9 వ పిన్న ఆటగాడు ',' 31 అత్యధిక వికెట్లు తీసుకున్న బౌల్డ్ (54) ',' 34 వ (67) ',' వికెట్లు (104) ']</v>
      </c>
      <c r="G6971" s="2" t="s">
        <v>4147</v>
      </c>
      <c r="H6971" s="2" t="str">
        <f>IFERROR(__xludf.DUMMYFUNCTION("IF(G6971&lt;&gt;"""", GOOGLETRANSLATE(G6971, ""en"", ""te""),"""")"),"[ 'ఇన్నింగ్స్ లో 8 వ అత్యధిక పరుగులు (బ్యాటింగ్ స్థానంలో ప్రకారం) (32)', '13 వ కెరీర్ బాతులు (6)', '6 వ కెరీర్ లో అత్యధిక వికెట్లు (85)', '10 వ ఇన్నింగ్స్ లో బెస్ట్ ఫిగర్స్ (5 / 6) ',' 42 వ ఒక క్యాలెండర్ సంవత్సరంలో అత్యధిక వికెట్లు (19) ',' 5 వ అత్యుత్తమ "&amp;"బౌలింగ్ ఇన్నింగ్స్ లో విశ్లేషించడం (5/6) ',' ఒకే మైదానంలో 9 వ అత్యధిక వికెట్లు (18) ',' 8 వ ఉత్తమ బొమ్మలు ఒక ఇన్నింగ్స్ ఉన్నప్పుడు పరాజయం వైపు (4) ',' 9 వ ఉత్తమ కెరీర్ సగటు (16.97) ',' 7 వ ఉత్తమ కెరీర్ సమ్మె రేటు బౌలింగ్ (14.1) ',' ఇన్నింగ్స్ లో 4 వ ఉత్"&amp;"తమ సమ్మె రేటు (2.8) ',' 1st చాలా నాలుగు వికెట్లు-ఇన్-ఒక-ఇన్నింగ్స్ కెరీర్లో (6) ',' 1 వ వరుస నాలుగు వికెట్లు-ఇన్-ఒక-ఇన్నింగ్స్ (2) ',' 12 వ కెరీర్ లో బౌల్డ్ చాలా బంతుల్లో (1203) ',' 18 వ అత్యంత కెరీర్లో సాధించిన పరుగులు (1443) ',' 17 వ బౌలర్ / బ్యాట్స్ కల"&amp;"యికలు (3) ',' 6 వ బౌలర్ / ఫీల్డర్ కలయికలు (9) ',' 4 వ అత్యధిక వికెట్లు తీసుకున్న బౌల్డ్ (31) ',' 13 వ అత్యధిక వికెట్లు ఆకర్షించింది (43 తీసుకున్న ) ',' 17 వ అత్యధిక వికెట్లు చిక్కుకున్న ఫీల్డర్ తీసుకున్న (34) ',' 8 వ అత్యధిక వికెట్లు ఒక వికెట్ కీపర్ చే కా"&amp;"ట్ తీసుకోకూడదు (9) ',' 6 వ అత్యధిక వికెట్లు తీసుకున్న ఎల్బిడబ్ల్యు (11) ',' 8 వ F astest 50 వికెట్లు (36) ',' 28 వ అతి ప్లేయర్ ఆఫ్ ది మ్యాచ్ అవార్డులు (5) ']")</f>
        <v>[ 'ఇన్నింగ్స్ లో 8 వ అత్యధిక పరుగులు (బ్యాటింగ్ స్థానంలో ప్రకారం) (32)', '13 వ కెరీర్ బాతులు (6)', '6 వ కెరీర్ లో అత్యధిక వికెట్లు (85)', '10 వ ఇన్నింగ్స్ లో బెస్ట్ ఫిగర్స్ (5 / 6) ',' 42 వ ఒక క్యాలెండర్ సంవత్సరంలో అత్యధిక వికెట్లు (19) ',' 5 వ అత్యుత్తమ బౌలింగ్ ఇన్నింగ్స్ లో విశ్లేషించడం (5/6) ',' ఒకే మైదానంలో 9 వ అత్యధిక వికెట్లు (18) ',' 8 వ ఉత్తమ బొమ్మలు ఒక ఇన్నింగ్స్ ఉన్నప్పుడు పరాజయం వైపు (4) ',' 9 వ ఉత్తమ కెరీర్ సగటు (16.97) ',' 7 వ ఉత్తమ కెరీర్ సమ్మె రేటు బౌలింగ్ (14.1) ',' ఇన్నింగ్స్ లో 4 వ ఉత్తమ సమ్మె రేటు (2.8) ',' 1st చాలా నాలుగు వికెట్లు-ఇన్-ఒక-ఇన్నింగ్స్ కెరీర్లో (6) ',' 1 వ వరుస నాలుగు వికెట్లు-ఇన్-ఒక-ఇన్నింగ్స్ (2) ',' 12 వ కెరీర్ లో బౌల్డ్ చాలా బంతుల్లో (1203) ',' 18 వ అత్యంత కెరీర్లో సాధించిన పరుగులు (1443) ',' 17 వ బౌలర్ / బ్యాట్స్ కలయికలు (3) ',' 6 వ బౌలర్ / ఫీల్డర్ కలయికలు (9) ',' 4 వ అత్యధిక వికెట్లు తీసుకున్న బౌల్డ్ (31) ',' 13 వ అత్యధిక వికెట్లు ఆకర్షించింది (43 తీసుకున్న ) ',' 17 వ అత్యధిక వికెట్లు చిక్కుకున్న ఫీల్డర్ తీసుకున్న (34) ',' 8 వ అత్యధిక వికెట్లు ఒక వికెట్ కీపర్ చే కాట్ తీసుకోకూడదు (9) ',' 6 వ అత్యధిక వికెట్లు తీసుకున్న ఎల్బిడబ్ల్యు (11) ',' 8 వ F astest 50 వికెట్లు (36) ',' 28 వ అతి ప్లేయర్ ఆఫ్ ది మ్యాచ్ అవార్డులు (5) ']</v>
      </c>
      <c r="I6971" s="3"/>
    </row>
    <row r="6972" customHeight="1" spans="1:9">
      <c r="A6972" s="2"/>
      <c r="B6972" s="2" t="str">
        <f>IFERROR(__xludf.DUMMYFUNCTION("IF(A6972&lt;&gt;"""", GOOGLETRANSLATE(A6972, ""en"", ""te""),"""")"),"")</f>
        <v/>
      </c>
      <c r="C6972" s="2"/>
      <c r="D6972" s="2" t="str">
        <f>IFERROR(__xludf.DUMMYFUNCTION("IF(C6972&lt;&gt;"""", GOOGLETRANSLATE(C6972, ""en"", ""te""),"""")"),"")</f>
        <v/>
      </c>
      <c r="E6972" s="2"/>
      <c r="F6972" s="2" t="str">
        <f>IFERROR(__xludf.DUMMYFUNCTION("IF(E6972&lt;&gt;"""", GOOGLETRANSLATE(E6972, ""en"", ""te""),"""")"),"")</f>
        <v/>
      </c>
      <c r="G6972" s="2"/>
      <c r="H6972" s="2" t="str">
        <f>IFERROR(__xludf.DUMMYFUNCTION("IF(G6972&lt;&gt;"""", GOOGLETRANSLATE(G6972, ""en"", ""te""),"""")"),"")</f>
        <v/>
      </c>
      <c r="I6972" s="3"/>
    </row>
    <row r="6973" customHeight="1" spans="1:9">
      <c r="A6973" s="2"/>
      <c r="B6973" s="2" t="str">
        <f>IFERROR(__xludf.DUMMYFUNCTION("IF(A6973&lt;&gt;"""", GOOGLETRANSLATE(A6973, ""en"", ""te""),"""")"),"")</f>
        <v/>
      </c>
      <c r="C6973" s="2"/>
      <c r="D6973" s="2" t="str">
        <f>IFERROR(__xludf.DUMMYFUNCTION("IF(C6973&lt;&gt;"""", GOOGLETRANSLATE(C6973, ""en"", ""te""),"""")"),"")</f>
        <v/>
      </c>
      <c r="E6973" s="2"/>
      <c r="F6973" s="2" t="str">
        <f>IFERROR(__xludf.DUMMYFUNCTION("IF(E6973&lt;&gt;"""", GOOGLETRANSLATE(E6973, ""en"", ""te""),"""")"),"")</f>
        <v/>
      </c>
      <c r="G6973" s="2"/>
      <c r="H6973" s="2" t="str">
        <f>IFERROR(__xludf.DUMMYFUNCTION("IF(G6973&lt;&gt;"""", GOOGLETRANSLATE(G6973, ""en"", ""te""),"""")"),"")</f>
        <v/>
      </c>
      <c r="I6973" s="3"/>
    </row>
    <row r="6974" customHeight="1" spans="1:9">
      <c r="A6974" s="2"/>
      <c r="B6974" s="2" t="str">
        <f>IFERROR(__xludf.DUMMYFUNCTION("IF(A6974&lt;&gt;"""", GOOGLETRANSLATE(A6974, ""en"", ""te""),"""")"),"")</f>
        <v/>
      </c>
      <c r="C6974" s="2"/>
      <c r="D6974" s="2" t="str">
        <f>IFERROR(__xludf.DUMMYFUNCTION("IF(C6974&lt;&gt;"""", GOOGLETRANSLATE(C6974, ""en"", ""te""),"""")"),"")</f>
        <v/>
      </c>
      <c r="E6974" s="2"/>
      <c r="F6974" s="2" t="str">
        <f>IFERROR(__xludf.DUMMYFUNCTION("IF(E6974&lt;&gt;"""", GOOGLETRANSLATE(E6974, ""en"", ""te""),"""")"),"")</f>
        <v/>
      </c>
      <c r="G6974" s="2"/>
      <c r="H6974" s="2" t="str">
        <f>IFERROR(__xludf.DUMMYFUNCTION("IF(G6974&lt;&gt;"""", GOOGLETRANSLATE(G6974, ""en"", ""te""),"""")"),"")</f>
        <v/>
      </c>
      <c r="I6974" s="3"/>
    </row>
    <row r="6975" customHeight="1" spans="1:9">
      <c r="A6975" s="2"/>
      <c r="B6975" s="2" t="str">
        <f>IFERROR(__xludf.DUMMYFUNCTION("IF(A6975&lt;&gt;"""", GOOGLETRANSLATE(A6975, ""en"", ""te""),"""")"),"")</f>
        <v/>
      </c>
      <c r="C6975" s="2"/>
      <c r="D6975" s="2" t="str">
        <f>IFERROR(__xludf.DUMMYFUNCTION("IF(C6975&lt;&gt;"""", GOOGLETRANSLATE(C6975, ""en"", ""te""),"""")"),"")</f>
        <v/>
      </c>
      <c r="E6975" s="2"/>
      <c r="F6975" s="2" t="str">
        <f>IFERROR(__xludf.DUMMYFUNCTION("IF(E6975&lt;&gt;"""", GOOGLETRANSLATE(E6975, ""en"", ""te""),"""")"),"")</f>
        <v/>
      </c>
      <c r="G6975" s="2"/>
      <c r="H6975" s="2" t="str">
        <f>IFERROR(__xludf.DUMMYFUNCTION("IF(G6975&lt;&gt;"""", GOOGLETRANSLATE(G6975, ""en"", ""te""),"""")"),"")</f>
        <v/>
      </c>
      <c r="I6975" s="3"/>
    </row>
    <row r="6976" customHeight="1" spans="1:9">
      <c r="A6976" s="2"/>
      <c r="B6976" s="2" t="str">
        <f>IFERROR(__xludf.DUMMYFUNCTION("IF(A6976&lt;&gt;"""", GOOGLETRANSLATE(A6976, ""en"", ""te""),"""")"),"")</f>
        <v/>
      </c>
      <c r="C6976" s="2"/>
      <c r="D6976" s="2" t="str">
        <f>IFERROR(__xludf.DUMMYFUNCTION("IF(C6976&lt;&gt;"""", GOOGLETRANSLATE(C6976, ""en"", ""te""),"""")"),"")</f>
        <v/>
      </c>
      <c r="E6976" s="2"/>
      <c r="F6976" s="2" t="str">
        <f>IFERROR(__xludf.DUMMYFUNCTION("IF(E6976&lt;&gt;"""", GOOGLETRANSLATE(E6976, ""en"", ""te""),"""")"),"")</f>
        <v/>
      </c>
      <c r="G6976" s="2"/>
      <c r="H6976" s="2" t="str">
        <f>IFERROR(__xludf.DUMMYFUNCTION("IF(G6976&lt;&gt;"""", GOOGLETRANSLATE(G6976, ""en"", ""te""),"""")"),"")</f>
        <v/>
      </c>
      <c r="I6976" s="3"/>
    </row>
    <row r="6977" customHeight="1" spans="1:9">
      <c r="A6977" s="2"/>
      <c r="B6977" s="2" t="str">
        <f>IFERROR(__xludf.DUMMYFUNCTION("IF(A6977&lt;&gt;"""", GOOGLETRANSLATE(A6977, ""en"", ""te""),"""")"),"")</f>
        <v/>
      </c>
      <c r="C6977" s="2"/>
      <c r="D6977" s="2" t="str">
        <f>IFERROR(__xludf.DUMMYFUNCTION("IF(C6977&lt;&gt;"""", GOOGLETRANSLATE(C6977, ""en"", ""te""),"""")"),"")</f>
        <v/>
      </c>
      <c r="E6977" s="2"/>
      <c r="F6977" s="2" t="str">
        <f>IFERROR(__xludf.DUMMYFUNCTION("IF(E6977&lt;&gt;"""", GOOGLETRANSLATE(E6977, ""en"", ""te""),"""")"),"")</f>
        <v/>
      </c>
      <c r="G6977" s="2"/>
      <c r="H6977" s="2" t="str">
        <f>IFERROR(__xludf.DUMMYFUNCTION("IF(G6977&lt;&gt;"""", GOOGLETRANSLATE(G6977, ""en"", ""te""),"""")"),"")</f>
        <v/>
      </c>
      <c r="I6977" s="3"/>
    </row>
    <row r="6978" customHeight="1" spans="1:9">
      <c r="A6978" s="2"/>
      <c r="B6978" s="2" t="str">
        <f>IFERROR(__xludf.DUMMYFUNCTION("IF(A6978&lt;&gt;"""", GOOGLETRANSLATE(A6978, ""en"", ""te""),"""")"),"")</f>
        <v/>
      </c>
      <c r="C6978" s="2"/>
      <c r="D6978" s="2" t="str">
        <f>IFERROR(__xludf.DUMMYFUNCTION("IF(C6978&lt;&gt;"""", GOOGLETRANSLATE(C6978, ""en"", ""te""),"""")"),"")</f>
        <v/>
      </c>
      <c r="E6978" s="2"/>
      <c r="F6978" s="2" t="str">
        <f>IFERROR(__xludf.DUMMYFUNCTION("IF(E6978&lt;&gt;"""", GOOGLETRANSLATE(E6978, ""en"", ""te""),"""")"),"")</f>
        <v/>
      </c>
      <c r="G6978" s="2"/>
      <c r="H6978" s="2" t="str">
        <f>IFERROR(__xludf.DUMMYFUNCTION("IF(G6978&lt;&gt;"""", GOOGLETRANSLATE(G6978, ""en"", ""te""),"""")"),"")</f>
        <v/>
      </c>
      <c r="I6978" s="3"/>
    </row>
    <row r="6979" customHeight="1" spans="1:9">
      <c r="A6979" s="2"/>
      <c r="B6979" s="2" t="str">
        <f>IFERROR(__xludf.DUMMYFUNCTION("IF(A6979&lt;&gt;"""", GOOGLETRANSLATE(A6979, ""en"", ""te""),"""")"),"")</f>
        <v/>
      </c>
      <c r="C6979" s="2"/>
      <c r="D6979" s="2" t="str">
        <f>IFERROR(__xludf.DUMMYFUNCTION("IF(C6979&lt;&gt;"""", GOOGLETRANSLATE(C6979, ""en"", ""te""),"""")"),"")</f>
        <v/>
      </c>
      <c r="E6979" s="2"/>
      <c r="F6979" s="2" t="str">
        <f>IFERROR(__xludf.DUMMYFUNCTION("IF(E6979&lt;&gt;"""", GOOGLETRANSLATE(E6979, ""en"", ""te""),"""")"),"")</f>
        <v/>
      </c>
      <c r="G6979" s="2"/>
      <c r="H6979" s="2" t="str">
        <f>IFERROR(__xludf.DUMMYFUNCTION("IF(G6979&lt;&gt;"""", GOOGLETRANSLATE(G6979, ""en"", ""te""),"""")"),"")</f>
        <v/>
      </c>
      <c r="I6979" s="3"/>
    </row>
    <row r="6980" customHeight="1" spans="1:9">
      <c r="A6980" s="2" t="s">
        <v>4148</v>
      </c>
      <c r="B6980" s="2" t="str">
        <f>IFERROR(__xludf.DUMMYFUNCTION("IF(A6980&lt;&gt;"""", GOOGLETRANSLATE(A6980, ""en"", ""te""),"""")"),"[ 'తొలి హండ్రెడ్ (129)', 'ఇన్నింగ్స్ లో 2 వ అత్యధిక క్యాచ్లు (4)' 'వరుస ఇన్నింగ్స్లో 3 వ యాభైల్లో (3)' '8 వ పిన్న ఆటగాడు వంద (19y 73d) స్కోర్', '1st చాలా కెరీర్లో బాతులు (10) ',' నాలుగవ వికెట్కు 5 వ అత్యధిక భాగస్వామ్యం (114 *) ']")</f>
        <v>[ 'తొలి హండ్రెడ్ (129)', 'ఇన్నింగ్స్ లో 2 వ అత్యధిక క్యాచ్లు (4)' 'వరుస ఇన్నింగ్స్లో 3 వ యాభైల్లో (3)' '8 వ పిన్న ఆటగాడు వంద (19y 73d) స్కోర్', '1st చాలా కెరీర్లో బాతులు (10) ',' నాలుగవ వికెట్కు 5 వ అత్యధిక భాగస్వామ్యం (114 *) ']</v>
      </c>
      <c r="C6980" s="2" t="s">
        <v>4149</v>
      </c>
      <c r="D6980" s="2" t="str">
        <f>IFERROR(__xludf.DUMMYFUNCTION("IF(C6980&lt;&gt;"""", GOOGLETRANSLATE(C6980, ""en"", ""te""),"""")"),"[ 'తొలి మ్యాచ్లో 9 వ అత్యధిక పరుగులు (204)', 'వంద (19y 182d) స్కోర్ 15 పిన్న ఆటగాడు']")</f>
        <v>[ 'తొలి మ్యాచ్లో 9 వ అత్యధిక పరుగులు (204)', 'వంద (19y 182d) స్కోర్ 15 పిన్న ఆటగాడు']</v>
      </c>
      <c r="E6980" s="2" t="s">
        <v>4150</v>
      </c>
      <c r="F6980" s="2" t="str">
        <f>IFERROR(__xludf.DUMMYFUNCTION("IF(E6980&lt;&gt;"""", GOOGLETRANSLATE(E6980, ""en"", ""te""),"""")"),"'ఇన్నింగ్స్ లో 16 వ అత్యధిక వికెట్లు (5)' 'కెరీర్లో 47 వ అత్యధిక వికెట్లు (58)', 'ఇన్నింగ్స్ (4) 2 వ అత్యధిక క్యాచ్లు' 'వంద (19y 73d) స్కోర్ 8 వ పిన్న ఆటగాడు' [ '49 వ కెరీర్ లో అత్యధిక క్యాచ్లు (45)', '11 వ ఇన్నింగ్స్ లో అత్యధిక క్యాచ్లు (5)', '31 కెరీర్ "&amp;"స్టంపింగ్లు (13)', '21 వ ఒక సిరీస్లో అత్యధిక స్టంపింగ్లు (4) ']")</f>
        <v>'ఇన్నింగ్స్ లో 16 వ అత్యధిక వికెట్లు (5)' 'కెరీర్లో 47 వ అత్యధిక వికెట్లు (58)', 'ఇన్నింగ్స్ (4) 2 వ అత్యధిక క్యాచ్లు' 'వంద (19y 73d) స్కోర్ 8 వ పిన్న ఆటగాడు' [ '49 వ కెరీర్ లో అత్యధిక క్యాచ్లు (45)', '11 వ ఇన్నింగ్స్ లో అత్యధిక క్యాచ్లు (5)', '31 కెరీర్ స్టంపింగ్లు (13)', '21 వ ఒక సిరీస్లో అత్యధిక స్టంపింగ్లు (4) ']</v>
      </c>
      <c r="G6980" s="2" t="s">
        <v>4151</v>
      </c>
      <c r="H6980" s="2" t="str">
        <f>IFERROR(__xludf.DUMMYFUNCTION("IF(G6980&lt;&gt;"""", GOOGLETRANSLATE(G6980, ""en"", ""te""),"""")"),"[ '21 వ కెరీర్ లో అత్యధిక పరుగులు (1690)', '27 ఒక క్యాలెండర్ సంవత్సరంలో అత్యధిక పరుగులు (441)', '12 వ ఇన్నింగ్స్ లో అత్యధిక పరుగులు (బ్యాటింగ్ స్థానంలో ప్రకారం) (94)', '47 వ ఒకే మైదానంలో అత్యధిక పరుగులు (268) ',' 32 వ కెరీర్ అర్ధ (8) ',' వరుస ఇన్నింగ్స్ల"&amp;"ో 3 వ యాభైల్లో (3) ',' 1st చాలా బాతులు కెరీర్ లో (10) ',' 34 వ ఎక్కువ సిక్స్ కెరీర్లో (55) ',' కెరీర్లో 39 వ అత్యంత ఫోర్లు (122) ',' 14 వ కెరీర్ లో అత్యధిక క్యాచ్లు (39) ',' 15 వ అత్యంత ఇన్నింగ్స్ లో క్యాచ్లు (3) ',' నాలుగవ వికెట్కు 5 వ అత్యధిక భాగస్వామ్"&amp;"యం (114 *) ',' 16 వ అత్యధిక ఎనిమిదవ వికెట్ కొరకు చేసిన భాగస్వామ్యం (49) ',' 13 వ కెరీర్ లో అత్యధిక మ్యాచ్లు జట్టు (84) ',' 13 వ వరుస మ్యాచ్లు (45) ',' 12 వ అత్యంత ప్లేయర్ ఆఫ్ ది మ్యాచ్ అవార్డులు (7) ', '36 వ కెరీర్ లో అత్యధిక క్యాచ్లు (11)']")</f>
        <v>[ '21 వ కెరీర్ లో అత్యధిక పరుగులు (1690)', '27 ఒక క్యాలెండర్ సంవత్సరంలో అత్యధిక పరుగులు (441)', '12 వ ఇన్నింగ్స్ లో అత్యధిక పరుగులు (బ్యాటింగ్ స్థానంలో ప్రకారం) (94)', '47 వ ఒకే మైదానంలో అత్యధిక పరుగులు (268) ',' 32 వ కెరీర్ అర్ధ (8) ',' వరుస ఇన్నింగ్స్లో 3 వ యాభైల్లో (3) ',' 1st చాలా బాతులు కెరీర్ లో (10) ',' 34 వ ఎక్కువ సిక్స్ కెరీర్లో (55) ',' కెరీర్లో 39 వ అత్యంత ఫోర్లు (122) ',' 14 వ కెరీర్ లో అత్యధిక క్యాచ్లు (39) ',' 15 వ అత్యంత ఇన్నింగ్స్ లో క్యాచ్లు (3) ',' నాలుగవ వికెట్కు 5 వ అత్యధిక భాగస్వామ్యం (114 *) ',' 16 వ అత్యధిక ఎనిమిదవ వికెట్ కొరకు చేసిన భాగస్వామ్యం (49) ',' 13 వ కెరీర్ లో అత్యధిక మ్యాచ్లు జట్టు (84) ',' 13 వ వరుస మ్యాచ్లు (45) ',' 12 వ అత్యంత ప్లేయర్ ఆఫ్ ది మ్యాచ్ అవార్డులు (7) ', '36 వ కెరీర్ లో అత్యధిక క్యాచ్లు (11)']</v>
      </c>
      <c r="I6980" s="3"/>
    </row>
    <row r="6981" customHeight="1" spans="1:9">
      <c r="A6981" s="2"/>
      <c r="B6981" s="2" t="str">
        <f>IFERROR(__xludf.DUMMYFUNCTION("IF(A6981&lt;&gt;"""", GOOGLETRANSLATE(A6981, ""en"", ""te""),"""")"),"")</f>
        <v/>
      </c>
      <c r="C6981" s="2"/>
      <c r="D6981" s="2" t="str">
        <f>IFERROR(__xludf.DUMMYFUNCTION("IF(C6981&lt;&gt;"""", GOOGLETRANSLATE(C6981, ""en"", ""te""),"""")"),"")</f>
        <v/>
      </c>
      <c r="E6981" s="2"/>
      <c r="F6981" s="2" t="str">
        <f>IFERROR(__xludf.DUMMYFUNCTION("IF(E6981&lt;&gt;"""", GOOGLETRANSLATE(E6981, ""en"", ""te""),"""")"),"")</f>
        <v/>
      </c>
      <c r="G6981" s="2"/>
      <c r="H6981" s="2" t="str">
        <f>IFERROR(__xludf.DUMMYFUNCTION("IF(G6981&lt;&gt;"""", GOOGLETRANSLATE(G6981, ""en"", ""te""),"""")"),"")</f>
        <v/>
      </c>
      <c r="I6981" s="3"/>
    </row>
    <row r="6982" customHeight="1" spans="1:9">
      <c r="A6982" s="2"/>
      <c r="B6982" s="2" t="str">
        <f>IFERROR(__xludf.DUMMYFUNCTION("IF(A6982&lt;&gt;"""", GOOGLETRANSLATE(A6982, ""en"", ""te""),"""")"),"")</f>
        <v/>
      </c>
      <c r="C6982" s="2"/>
      <c r="D6982" s="2" t="str">
        <f>IFERROR(__xludf.DUMMYFUNCTION("IF(C6982&lt;&gt;"""", GOOGLETRANSLATE(C6982, ""en"", ""te""),"""")"),"")</f>
        <v/>
      </c>
      <c r="E6982" s="2"/>
      <c r="F6982" s="2" t="str">
        <f>IFERROR(__xludf.DUMMYFUNCTION("IF(E6982&lt;&gt;"""", GOOGLETRANSLATE(E6982, ""en"", ""te""),"""")"),"")</f>
        <v/>
      </c>
      <c r="G6982" s="2"/>
      <c r="H6982" s="2" t="str">
        <f>IFERROR(__xludf.DUMMYFUNCTION("IF(G6982&lt;&gt;"""", GOOGLETRANSLATE(G6982, ""en"", ""te""),"""")"),"")</f>
        <v/>
      </c>
      <c r="I6982" s="3"/>
    </row>
    <row r="6983" customHeight="1" spans="1:9">
      <c r="A6983" s="2"/>
      <c r="B6983" s="2" t="str">
        <f>IFERROR(__xludf.DUMMYFUNCTION("IF(A6983&lt;&gt;"""", GOOGLETRANSLATE(A6983, ""en"", ""te""),"""")"),"")</f>
        <v/>
      </c>
      <c r="C6983" s="2"/>
      <c r="D6983" s="2" t="str">
        <f>IFERROR(__xludf.DUMMYFUNCTION("IF(C6983&lt;&gt;"""", GOOGLETRANSLATE(C6983, ""en"", ""te""),"""")"),"")</f>
        <v/>
      </c>
      <c r="E6983" s="2"/>
      <c r="F6983" s="2" t="str">
        <f>IFERROR(__xludf.DUMMYFUNCTION("IF(E6983&lt;&gt;"""", GOOGLETRANSLATE(E6983, ""en"", ""te""),"""")"),"")</f>
        <v/>
      </c>
      <c r="G6983" s="2"/>
      <c r="H6983" s="2" t="str">
        <f>IFERROR(__xludf.DUMMYFUNCTION("IF(G6983&lt;&gt;"""", GOOGLETRANSLATE(G6983, ""en"", ""te""),"""")"),"")</f>
        <v/>
      </c>
      <c r="I6983" s="3"/>
    </row>
    <row r="6984" customHeight="1" spans="1:9">
      <c r="A6984" s="2"/>
      <c r="B6984" s="2" t="str">
        <f>IFERROR(__xludf.DUMMYFUNCTION("IF(A6984&lt;&gt;"""", GOOGLETRANSLATE(A6984, ""en"", ""te""),"""")"),"")</f>
        <v/>
      </c>
      <c r="C6984" s="2"/>
      <c r="D6984" s="2" t="str">
        <f>IFERROR(__xludf.DUMMYFUNCTION("IF(C6984&lt;&gt;"""", GOOGLETRANSLATE(C6984, ""en"", ""te""),"""")"),"")</f>
        <v/>
      </c>
      <c r="E6984" s="2"/>
      <c r="F6984" s="2" t="str">
        <f>IFERROR(__xludf.DUMMYFUNCTION("IF(E6984&lt;&gt;"""", GOOGLETRANSLATE(E6984, ""en"", ""te""),"""")"),"")</f>
        <v/>
      </c>
      <c r="G6984" s="2"/>
      <c r="H6984" s="2" t="str">
        <f>IFERROR(__xludf.DUMMYFUNCTION("IF(G6984&lt;&gt;"""", GOOGLETRANSLATE(G6984, ""en"", ""te""),"""")"),"")</f>
        <v/>
      </c>
      <c r="I6984" s="3"/>
    </row>
    <row r="6985" customHeight="1" spans="1:9">
      <c r="A6985" s="2"/>
      <c r="B6985" s="2" t="str">
        <f>IFERROR(__xludf.DUMMYFUNCTION("IF(A6985&lt;&gt;"""", GOOGLETRANSLATE(A6985, ""en"", ""te""),"""")"),"")</f>
        <v/>
      </c>
      <c r="C6985" s="2"/>
      <c r="D6985" s="2" t="str">
        <f>IFERROR(__xludf.DUMMYFUNCTION("IF(C6985&lt;&gt;"""", GOOGLETRANSLATE(C6985, ""en"", ""te""),"""")"),"")</f>
        <v/>
      </c>
      <c r="E6985" s="2"/>
      <c r="F6985" s="2" t="str">
        <f>IFERROR(__xludf.DUMMYFUNCTION("IF(E6985&lt;&gt;"""", GOOGLETRANSLATE(E6985, ""en"", ""te""),"""")"),"")</f>
        <v/>
      </c>
      <c r="G6985" s="2"/>
      <c r="H6985" s="2" t="str">
        <f>IFERROR(__xludf.DUMMYFUNCTION("IF(G6985&lt;&gt;"""", GOOGLETRANSLATE(G6985, ""en"", ""te""),"""")"),"")</f>
        <v/>
      </c>
      <c r="I6985" s="3"/>
    </row>
    <row r="6986" customHeight="1" spans="1:9">
      <c r="A6986" s="2"/>
      <c r="B6986" s="2" t="str">
        <f>IFERROR(__xludf.DUMMYFUNCTION("IF(A6986&lt;&gt;"""", GOOGLETRANSLATE(A6986, ""en"", ""te""),"""")"),"")</f>
        <v/>
      </c>
      <c r="C6986" s="2"/>
      <c r="D6986" s="2" t="str">
        <f>IFERROR(__xludf.DUMMYFUNCTION("IF(C6986&lt;&gt;"""", GOOGLETRANSLATE(C6986, ""en"", ""te""),"""")"),"")</f>
        <v/>
      </c>
      <c r="E6986" s="2"/>
      <c r="F6986" s="2" t="str">
        <f>IFERROR(__xludf.DUMMYFUNCTION("IF(E6986&lt;&gt;"""", GOOGLETRANSLATE(E6986, ""en"", ""te""),"""")"),"")</f>
        <v/>
      </c>
      <c r="G6986" s="2"/>
      <c r="H6986" s="2" t="str">
        <f>IFERROR(__xludf.DUMMYFUNCTION("IF(G6986&lt;&gt;"""", GOOGLETRANSLATE(G6986, ""en"", ""te""),"""")"),"")</f>
        <v/>
      </c>
      <c r="I6986" s="3"/>
    </row>
    <row r="6987" customHeight="1" spans="1:9">
      <c r="A6987" s="2" t="s">
        <v>4152</v>
      </c>
      <c r="B6987" s="2" t="str">
        <f>IFERROR(__xludf.DUMMYFUNCTION("IF(A6987&lt;&gt;"""", GOOGLETRANSLATE(A6987, ""en"", ""te""),"""")"),"[ '3 వ అత్యంత ప్లేయర్ ఆఫ్ ది మ్యాచ్ అవార్డులు (17)', '1 వ ఇన్నింగ్స్ లో అత్యధిక పరుగులు (బ్యాటింగ్ స్థానంలో ప్రకారం) (257 *)', '1 వ ఇన్నింగ్స్ లో వచ్చిన ఎక్కువ సిక్స్ (12)', '2 వ పిన్న ఆటగాడు పది వికెట్లు లో ఒక మ్యాచ్ తీసుకోవాలని (18y 251d) ',' 4 వ అత్యధి"&amp;"క వికెట్లు తీసుకున్న ఎల్బిడబ్ల్యు (119) ',' 9 వ వేగవంతమైన 400 వికెట్లు (96) ',' నూట ఒక ఇన్నింగ్స్ లో ఐదు వికెట్లు ' , 'కెరీర్లో 8 వ అత్యధిక మ్యాచ్లు (356)', '(313) ఎనిమిదో వికెట్కు 2 వ అత్యధిక భాగస్వామ్యం' 'ఒక వృత్తిలో 2 వ అత్యధిక పరుగులు లేకుండా వంద (37"&amp;"17)', '3 వ అత్యంత బాతులు కెరీర్ లో (28)' 'ఒకే క్రీడా న 1 వ అత్యధిక వికెట్లు (122)', 'ఇన్నింగ్స్ లో 5 వ ఉత్తమ ఆర్థిక రేటు (0.54)', '3 వ అత్యంత నాలుగు వికెట్లు-ఇన్-ఒక-ఇన్నింగ్స్ కెరీర్లో (23)', '2 వ అత్యంత కెరీర్లో బౌల్ చేయబడిన బంతులలో (18186) ',' 4 వ కెరీర"&amp;"్ లో సాధించిన అత్యధిక పరుగులు (11812) ',' 1 వ అత్యధిక వికెట్లు తీసిన హిట్ వికెట్ (3) ',' 500 వికెట్లు (354) ',' 1000 పరుగులు మరియు 100 వికెట్లు 2nd వేగంగా '' 1000 పరుగులు, 50 వికెట్లు, 50 క్యాచ్లు ',' కెరీర్లో 8 వ అత్యంత బాతులు (45) ',' కెరీర్ లో (916) ',"&amp;"' 9 వ అత్యంత ఐదు-వికెట్ల లో-ఒక-ఇన్నింగ్స్ 5 వ అత్యధిక వికెట్లు ఒక కారులో మూత (31) ',' 9 వ కెరీర్ లో బౌల్డ్ చాలా బంతుల్లో (40813) ',' 8 వ కెరీర్ లో సాధించిన అత్యధిక పరుగులు (21591) ',' 2 వ అత్యంత తీసుకోబడిన వికెట్ల ఎల్బిడబ్ల్యు (211) ']")</f>
        <v>[ '3 వ అత్యంత ప్లేయర్ ఆఫ్ ది మ్యాచ్ అవార్డులు (17)', '1 వ ఇన్నింగ్స్ లో అత్యధిక పరుగులు (బ్యాటింగ్ స్థానంలో ప్రకారం) (257 *)', '1 వ ఇన్నింగ్స్ లో వచ్చిన ఎక్కువ సిక్స్ (12)', '2 వ పిన్న ఆటగాడు పది వికెట్లు లో ఒక మ్యాచ్ తీసుకోవాలని (18y 251d) ',' 4 వ అత్యధిక వికెట్లు తీసుకున్న ఎల్బిడబ్ల్యు (119) ',' 9 వ వేగవంతమైన 400 వికెట్లు (96) ',' నూట ఒక ఇన్నింగ్స్ లో ఐదు వికెట్లు ' , 'కెరీర్లో 8 వ అత్యధిక మ్యాచ్లు (356)', '(313) ఎనిమిదో వికెట్కు 2 వ అత్యధిక భాగస్వామ్యం' 'ఒక వృత్తిలో 2 వ అత్యధిక పరుగులు లేకుండా వంద (3717)', '3 వ అత్యంత బాతులు కెరీర్ లో (28)' 'ఒకే క్రీడా న 1 వ అత్యధిక వికెట్లు (122)', 'ఇన్నింగ్స్ లో 5 వ ఉత్తమ ఆర్థిక రేటు (0.54)', '3 వ అత్యంత నాలుగు వికెట్లు-ఇన్-ఒక-ఇన్నింగ్స్ కెరీర్లో (23)', '2 వ అత్యంత కెరీర్లో బౌల్ చేయబడిన బంతులలో (18186) ',' 4 వ కెరీర్ లో సాధించిన అత్యధిక పరుగులు (11812) ',' 1 వ అత్యధిక వికెట్లు తీసిన హిట్ వికెట్ (3) ',' 500 వికెట్లు (354) ',' 1000 పరుగులు మరియు 100 వికెట్లు 2nd వేగంగా '' 1000 పరుగులు, 50 వికెట్లు, 50 క్యాచ్లు ',' కెరీర్లో 8 వ అత్యంత బాతులు (45) ',' కెరీర్ లో (916) ',' 9 వ అత్యంత ఐదు-వికెట్ల లో-ఒక-ఇన్నింగ్స్ 5 వ అత్యధిక వికెట్లు ఒక కారులో మూత (31) ',' 9 వ కెరీర్ లో బౌల్డ్ చాలా బంతుల్లో (40813) ',' 8 వ కెరీర్ లో సాధించిన అత్యధిక పరుగులు (21591) ',' 2 వ అత్యంత తీసుకోబడిన వికెట్ల ఎల్బిడబ్ల్యు (211) ']</v>
      </c>
      <c r="C6987" s="2" t="s">
        <v>4153</v>
      </c>
      <c r="D6987" s="2" t="str">
        <f>IFERROR(__xludf.DUMMYFUNCTION("IF(C6987&lt;&gt;"""", GOOGLETRANSLATE(C6987, ""en"", ""te""),"""")"),"[ 'ఇన్నింగ్స్ లో 1 వ అత్యధిక పరుగులు (బ్యాటింగ్ స్థానంలో ప్రకారం) (257 *)', '18 వ ఇన్నింగ్స్ లో అత్యధిక పరుగులు ఒక కెప్టెన్తో (257 *)', '39 వ కెరీర్ బాతులు (17)', '29 వ అత్యధిక సిక్సర్లు కెరీర్లో (57) ',' 1 వ ఇన్నింగ్స్ లో వచ్చిన ఎక్కువ సిక్స్ (12) ',' ఇన"&amp;"్నింగ్స్ లో ఫోర్లు, సిక్సర్లు నుండి 28 అత్యధిక పరుగులు (160) ',' 14 వ కెరీర్ లో అత్యధిక వికెట్లు (414) ',' 16 వ బెస్ట్ ఫిగర్స్ ఒక కెప్టెన్తో ఒక ఇన్నింగ్స్ లో (6) ',' ఒక కెప్టెన్తో ఒక మ్యాచ్లో 14 వ బెస్ట్ ఫిగర్స్ (10) ',' 15 మ్యాచ్లో ఉత్తమ సంఖ్యలు ఉన్నప్పు"&amp;"డు పరాజయం వైపు (11) ',' 11 వ అత్యంత ఐదు-wickets- లో-ఒక-ఇన్నింగ్స్ కెరీర్లో (25) ',' 12 వ అత్యంత పది వికెట్లు లో ఒక మ్యాచ్ ఒక వృత్తిలో (5) ',' 18 వ వరుస ఐదు వికెట్ల లో-ఒక-ఇన్నింగ్స్ (3) ' పది తీసుకోవాలని 'పది వికెట్లు లో ఒక మ్యాచ్ (18y 251d) తీసుకోవాలని 2"&amp;"nd పిన్న ఆటగాడు' 'అయిదు వికెట్లు-ఇన్-ఒక-ఇన్నింగ్స్ (18y 251d) పడుతుంది 8 వ పిన్న ఆటగాడు', '37 వ అత్యంత వృద్ధ ఆటగాడు -wickets లో ఒక మ్యాచ్ (33y 357d) ',' 16 వ బంతుల్లో కెరీర్లో బౌల్డ్ (22627) ',' 20 వ కెరీర్ లో సాధించిన అత్యధిక పరుగులు (9779) ',' 5 వ అత్యధ"&amp;"ిక వికెట్లు తీసుకున్న బౌల్డ్ (102) ',' 32 వ అత్యంత ఆకర్షించింది (1 వికెట్లు తీసుకున్నారు 93) ',' 35 వ అత్యధిక వికెట్లు ఒక ఫీల్డర్ (123) ',' 25 వ అత్యధిక వికెట్లు తీసుకున్న వికెట్ కీపర్ చే కాట్ పట్టుకుంటే తీసుకోకూడదు (70) ',' 4 వ అత్యధిక వికెట్లు తీసుకున్న"&amp;" ఎల్బిడబ్ల్యు (119) ',' 200 వికెట్లు 43 వ వేగవంతమైన ( 51) ',' 22 వ 250 వికెట్లు (వేగంగా 60) ',' 16 వ 300 వికెట్లు (వేగంగా 70) ',' 13 వ 350 వికెట్లు (82) 400 వికెట్లు (96) ',' 2 కు ',' 9 వ వేగవంతమైన వేగంగా ఎనిమిదవ వికెట్కు అత్యధిక భాగస్వామ్యం (313) ',' ప"&amp;"దవ వికెట్కు 38 వ అత్యధిక భాగస్వామ్యం (90) ',' 3 వ అత్యంత ప్లేయర్ ఆఫ్ ది మ్యాచ్ అవార్డులు (17) ',' మోస్ట్ 7 వ క్రీడాకారుని సిరీస్గా అవార్డులు (7) ']")</f>
        <v>[ 'ఇన్నింగ్స్ లో 1 వ అత్యధిక పరుగులు (బ్యాటింగ్ స్థానంలో ప్రకారం) (257 *)', '18 వ ఇన్నింగ్స్ లో అత్యధిక పరుగులు ఒక కెప్టెన్తో (257 *)', '39 వ కెరీర్ బాతులు (17)', '29 వ అత్యధిక సిక్సర్లు కెరీర్లో (57) ',' 1 వ ఇన్నింగ్స్ లో వచ్చిన ఎక్కువ సిక్స్ (12) ',' ఇన్నింగ్స్ లో ఫోర్లు, సిక్సర్లు నుండి 28 అత్యధిక పరుగులు (160) ',' 14 వ కెరీర్ లో అత్యధిక వికెట్లు (414) ',' 16 వ బెస్ట్ ఫిగర్స్ ఒక కెప్టెన్తో ఒక ఇన్నింగ్స్ లో (6) ',' ఒక కెప్టెన్తో ఒక మ్యాచ్లో 14 వ బెస్ట్ ఫిగర్స్ (10) ',' 15 మ్యాచ్లో ఉత్తమ సంఖ్యలు ఉన్నప్పుడు పరాజయం వైపు (11) ',' 11 వ అత్యంత ఐదు-wickets- లో-ఒక-ఇన్నింగ్స్ కెరీర్లో (25) ',' 12 వ అత్యంత పది వికెట్లు లో ఒక మ్యాచ్ ఒక వృత్తిలో (5) ',' 18 వ వరుస ఐదు వికెట్ల లో-ఒక-ఇన్నింగ్స్ (3) ' పది తీసుకోవాలని 'పది వికెట్లు లో ఒక మ్యాచ్ (18y 251d) తీసుకోవాలని 2nd పిన్న ఆటగాడు' 'అయిదు వికెట్లు-ఇన్-ఒక-ఇన్నింగ్స్ (18y 251d) పడుతుంది 8 వ పిన్న ఆటగాడు', '37 వ అత్యంత వృద్ధ ఆటగాడు -wickets లో ఒక మ్యాచ్ (33y 357d) ',' 16 వ బంతుల్లో కెరీర్లో బౌల్డ్ (22627) ',' 20 వ కెరీర్ లో సాధించిన అత్యధిక పరుగులు (9779) ',' 5 వ అత్యధిక వికెట్లు తీసుకున్న బౌల్డ్ (102) ',' 32 వ అత్యంత ఆకర్షించింది (1 వికెట్లు తీసుకున్నారు 93) ',' 35 వ అత్యధిక వికెట్లు ఒక ఫీల్డర్ (123) ',' 25 వ అత్యధిక వికెట్లు తీసుకున్న వికెట్ కీపర్ చే కాట్ పట్టుకుంటే తీసుకోకూడదు (70) ',' 4 వ అత్యధిక వికెట్లు తీసుకున్న ఎల్బిడబ్ల్యు (119) ',' 200 వికెట్లు 43 వ వేగవంతమైన ( 51) ',' 22 వ 250 వికెట్లు (వేగంగా 60) ',' 16 వ 300 వికెట్లు (వేగంగా 70) ',' 13 వ 350 వికెట్లు (82) 400 వికెట్లు (96) ',' 2 కు ',' 9 వ వేగవంతమైన వేగంగా ఎనిమిదవ వికెట్కు అత్యధిక భాగస్వామ్యం (313) ',' పదవ వికెట్కు 38 వ అత్యధిక భాగస్వామ్యం (90) ',' 3 వ అత్యంత ప్లేయర్ ఆఫ్ ది మ్యాచ్ అవార్డులు (17) ',' మోస్ట్ 7 వ క్రీడాకారుని సిరీస్గా అవార్డులు (7) ']</v>
      </c>
      <c r="E6987" s="2" t="s">
        <v>4154</v>
      </c>
      <c r="F6987" s="2" t="str">
        <f>IFERROR(__xludf.DUMMYFUNCTION("IF(E6987&lt;&gt;"""", GOOGLETRANSLATE(E6987, ""en"", ""te""),"""")"),"[కెరీర్లో '3 వ అత్యంత బాతులు కెరీర్ లో (28)', '29 వ అత్యధిక సిక్సర్లు' వంద (3717) లేకుండా ఒక వృత్తిలో 2 వ అత్యధిక పరుగులు '' 11 వ అత్యంత ఇన్నింగ్స్ లో పరుగులు (బ్యాటింగ్ స్థానంలో ప్రకారం) (79) ', కెరీర్లో (121+) ',' 2 వ అత్యధిక వికెట్లు (502) ',' 42 వ ఒక "&amp;"సిరీస్లో అత్యధిక వికెట్లు (18) ',' 36 వ ఒక క్యాలెండర్ సంవత్సరంలో అత్యధిక వికెట్లు (45) ',' 18 వ అత్యుత్తమ బౌలింగ్ ఇన్నింగ్స్ లో విశ్లేషణలు (5/15) ',' ఒక కెప్టెన్తో ఒక ఇన్నింగ్స్ లో (122) ',' 6 వ ఉత్తమ బొమ్మలు ఒకే క్రీడా న 1 వ అత్యధిక వికెట్లు (5) ',' 35 వ"&amp;" ఉత్తమ కెరీర్ బౌలింగ్ సరాసరి (23.52) ',' 39 వ ఉత్తమ కెరీర్ ఆర్థిక రేటు (3.89) ',' ఇన్నింగ్స్ లో 5 వ ఉత్తమ ఆర్థిక రేటు (0.54) ',' 8 వ అత్యంత ఐదు-వికెట్ల లో-ఒక-ఇన్నింగ్స్ కెరీర్లో (6) ',' 3 వ అత్యంత నాలుగు వికెట్లు-ఇన్-ఒక ఒక వృత్తిలో -innings (23) ',' 13 వ "&amp;"వరుస నాలుగు వికెట్లు-ఇన్-ఒక-ఇన్నింగ్స్ (2) ',' ఐదు వికెట్ల లో-ఒక-ఇన్నింగ్స్ (18y 266d) తీసుకోవాలని 4 వ పిన్న ఆటగాడు ',' ఐదు వికెట్లు-ఇన్-ఒక-ఇన్నింగ్స్ కెరీర్లో బౌల్డ్ 2nd అత్యంత బంతుల్లో పడుతుంది 7 వ ఓల్డెస్ట్ ఆటగాడు (36y 258d) ',' (18186) ',' 4 వ కెరీర్ "&amp;"లో సాధించిన అత్యధిక పరుగులు (11812) ',' 2 వ బౌలర్ / బ్యాట్స్ Combi దేశాలు (12) ',' 15 వ బౌలర్ / ఫీల్డర్ కలయికలు (36) ',' 1 వ అత్యధిక వికెట్లు తీసుకున్న బౌల్డ్ (176) ',' 6 వ అత్యధిక వికెట్లు తీసుకున్న ఆకర్షించింది (231) ',' 19 వ అత్యధిక వికెట్లు ఆకర్షించిం"&amp;"ది తీసుకున్న మరియు బౌల్డ్ (12) ',' 15 వ అత్యధిక వికెట్లు ఒక ఫీల్డర్ చేత క్యాచ్ తీసుకున్న (138) ',' 1 వ అత్యధిక వికెట్లు ఒక వికెట్ కీపర్ చే కాట్ తీసుకోకూడదు (93) ',' 1 వ అత్యధిక వికెట్లు తీసుకున్న ఎల్బిడబ్ల్యు (92) ',' 1 వ అత్యధిక వికెట్లు తీసిన హిట్ వికెట"&amp;"్ (3 ) ',' 38 వ 150 వికెట్లు (114) ',' 17 వ వేగంగా వేగంగా 200 వికెట్లు (143) ',' 10th 250 వికెట్లు (173) ',' 6 వ వేగవంతమైన 300 వికెట్లు (208) ',' 5 వ వేగవంతమైన వేగంగా 350 వికెట్లు (244) ',' 400 వికెట్లు వేగంగా 3 వ (285) ',' 450 వికెట్లు (327) 2 వ వేగవంత"&amp;"మైన ',' 2nd 500 వికెట్లు కెరీర్లో (354) ',' 40 వ అత్యధిక క్యాచ్లు వేగంగా (88) ',' ఎనిమిదవ వికెట్కు 28 అత్యధిక భాగస్వామ్యం (83) ',' కెరీర్లో 8 వ అత్యధిక మ్యాచ్లు (356) ',' 23 వ ప్లేయర్ ఆఫ్ ది మ్యాచ్ అవార్డులు (22) ',' 45 వ అత్యంత ప్లేయర్ ఆఫ్ -series అవార్"&amp;"డులు (3) ',' 11 వ లాంగెస్ట్ కెరీర్లు (18y 101d) ',' 16 వ అత్యధిక మ్యాచ్లు కెప్టెన్గా (109) ', '21 వ వరుస అన్ని టాస్ గెలిచిన (3)']")</f>
        <v>[కెరీర్లో '3 వ అత్యంత బాతులు కెరీర్ లో (28)', '29 వ అత్యధిక సిక్సర్లు' వంద (3717) లేకుండా ఒక వృత్తిలో 2 వ అత్యధిక పరుగులు '' 11 వ అత్యంత ఇన్నింగ్స్ లో పరుగులు (బ్యాటింగ్ స్థానంలో ప్రకారం) (79) ', కెరీర్లో (121+) ',' 2 వ అత్యధిక వికెట్లు (502) ',' 42 వ ఒక సిరీస్లో అత్యధిక వికెట్లు (18) ',' 36 వ ఒక క్యాలెండర్ సంవత్సరంలో అత్యధిక వికెట్లు (45) ',' 18 వ అత్యుత్తమ బౌలింగ్ ఇన్నింగ్స్ లో విశ్లేషణలు (5/15) ',' ఒక కెప్టెన్తో ఒక ఇన్నింగ్స్ లో (122) ',' 6 వ ఉత్తమ బొమ్మలు ఒకే క్రీడా న 1 వ అత్యధిక వికెట్లు (5) ',' 35 వ ఉత్తమ కెరీర్ బౌలింగ్ సరాసరి (23.52) ',' 39 వ ఉత్తమ కెరీర్ ఆర్థిక రేటు (3.89) ',' ఇన్నింగ్స్ లో 5 వ ఉత్తమ ఆర్థిక రేటు (0.54) ',' 8 వ అత్యంత ఐదు-వికెట్ల లో-ఒక-ఇన్నింగ్స్ కెరీర్లో (6) ',' 3 వ అత్యంత నాలుగు వికెట్లు-ఇన్-ఒక ఒక వృత్తిలో -innings (23) ',' 13 వ వరుస నాలుగు వికెట్లు-ఇన్-ఒక-ఇన్నింగ్స్ (2) ',' ఐదు వికెట్ల లో-ఒక-ఇన్నింగ్స్ (18y 266d) తీసుకోవాలని 4 వ పిన్న ఆటగాడు ',' ఐదు వికెట్లు-ఇన్-ఒక-ఇన్నింగ్స్ కెరీర్లో బౌల్డ్ 2nd అత్యంత బంతుల్లో పడుతుంది 7 వ ఓల్డెస్ట్ ఆటగాడు (36y 258d) ',' (18186) ',' 4 వ కెరీర్ లో సాధించిన అత్యధిక పరుగులు (11812) ',' 2 వ బౌలర్ / బ్యాట్స్ Combi దేశాలు (12) ',' 15 వ బౌలర్ / ఫీల్డర్ కలయికలు (36) ',' 1 వ అత్యధిక వికెట్లు తీసుకున్న బౌల్డ్ (176) ',' 6 వ అత్యధిక వికెట్లు తీసుకున్న ఆకర్షించింది (231) ',' 19 వ అత్యధిక వికెట్లు ఆకర్షించింది తీసుకున్న మరియు బౌల్డ్ (12) ',' 15 వ అత్యధిక వికెట్లు ఒక ఫీల్డర్ చేత క్యాచ్ తీసుకున్న (138) ',' 1 వ అత్యధిక వికెట్లు ఒక వికెట్ కీపర్ చే కాట్ తీసుకోకూడదు (93) ',' 1 వ అత్యధిక వికెట్లు తీసుకున్న ఎల్బిడబ్ల్యు (92) ',' 1 వ అత్యధిక వికెట్లు తీసిన హిట్ వికెట్ (3 ) ',' 38 వ 150 వికెట్లు (114) ',' 17 వ వేగంగా వేగంగా 200 వికెట్లు (143) ',' 10th 250 వికెట్లు (173) ',' 6 వ వేగవంతమైన 300 వికెట్లు (208) ',' 5 వ వేగవంతమైన వేగంగా 350 వికెట్లు (244) ',' 400 వికెట్లు వేగంగా 3 వ (285) ',' 450 వికెట్లు (327) 2 వ వేగవంతమైన ',' 2nd 500 వికెట్లు కెరీర్లో (354) ',' 40 వ అత్యధిక క్యాచ్లు వేగంగా (88) ',' ఎనిమిదవ వికెట్కు 28 అత్యధిక భాగస్వామ్యం (83) ',' కెరీర్లో 8 వ అత్యధిక మ్యాచ్లు (356) ',' 23 వ ప్లేయర్ ఆఫ్ ది మ్యాచ్ అవార్డులు (22) ',' 45 వ అత్యంత ప్లేయర్ ఆఫ్ -series అవార్డులు (3) ',' 11 వ లాంగెస్ట్ కెరీర్లు (18y 101d) ',' 16 వ అత్యధిక మ్యాచ్లు కెప్టెన్గా (109) ', '21 వ వరుస అన్ని టాస్ గెలిచిన (3)']</v>
      </c>
      <c r="G6987" s="2"/>
      <c r="H6987" s="2" t="str">
        <f>IFERROR(__xludf.DUMMYFUNCTION("IF(G6987&lt;&gt;"""", GOOGLETRANSLATE(G6987, ""en"", ""te""),"""")"),"")</f>
        <v/>
      </c>
      <c r="I6987" s="3"/>
    </row>
    <row r="6988" customHeight="1" spans="1:9">
      <c r="A6988" s="2" t="s">
        <v>4155</v>
      </c>
      <c r="B6988" s="2" t="str">
        <f>IFERROR(__xludf.DUMMYFUNCTION("IF(A6988&lt;&gt;"""", GOOGLETRANSLATE(A6988, ""en"", ""te""),"""")"),"[ '1st అత్యుత్తమ బౌలింగ్ ఇన్నింగ్స్ లో విశ్లేషించడం (1/0)', ​​'పదవ వికెట్ను (133) 6 వ అత్యధిక భాగస్వామ్యం', 'బ్యాటింగ్ తెరవడం మరియు అదే మ్యాచ్ లో బౌలింగ్']")</f>
        <v>[ '1st అత్యుత్తమ బౌలింగ్ ఇన్నింగ్స్ లో విశ్లేషించడం (1/0)', ​​'పదవ వికెట్ను (133) 6 వ అత్యధిక భాగస్వామ్యం', 'బ్యాటింగ్ తెరవడం మరియు అదే మ్యాచ్ లో బౌలింగ్']</v>
      </c>
      <c r="C6988" s="2" t="s">
        <v>4156</v>
      </c>
      <c r="D6988" s="2" t="str">
        <f>IFERROR(__xludf.DUMMYFUNCTION("IF(C6988&lt;&gt;"""", GOOGLETRANSLATE(C6988, ""en"", ""te""),"""")"),"[ '1st అత్యుత్తమ బౌలింగ్ ఇన్నింగ్స్ లో విశ్లేషించడం (1/0)', ​​'పదవ వికెట్కు 6 వ అత్యధిక భాగస్వామ్యం (133)', '19 వ ఒక మ్యాచ్ రిఫరీ గా అత్యధిక మ్యాచ్లు (15)']")</f>
        <v>[ '1st అత్యుత్తమ బౌలింగ్ ఇన్నింగ్స్ లో విశ్లేషించడం (1/0)', ​​'పదవ వికెట్కు 6 వ అత్యధిక భాగస్వామ్యం (133)', '19 వ ఒక మ్యాచ్ రిఫరీ గా అత్యధిక మ్యాచ్లు (15)']</v>
      </c>
      <c r="E6988" s="2" t="s">
        <v>4157</v>
      </c>
      <c r="F6988" s="2" t="str">
        <f>IFERROR(__xludf.DUMMYFUNCTION("IF(E6988&lt;&gt;"""", GOOGLETRANSLATE(E6988, ""en"", ""te""),"""")"),"[ '48 వ బెస్ట్ ఇన్నింగ్స్ లో ఆర్థిక రేటు (1.00)', '25 వ ఒక మ్యాచ్ రిఫరీ గా అత్యధిక మ్యాచ్లు (34)']")</f>
        <v>[ '48 వ బెస్ట్ ఇన్నింగ్స్ లో ఆర్థిక రేటు (1.00)', '25 వ ఒక మ్యాచ్ రిఫరీ గా అత్యధిక మ్యాచ్లు (34)']</v>
      </c>
      <c r="G6988" s="2"/>
      <c r="H6988" s="2" t="str">
        <f>IFERROR(__xludf.DUMMYFUNCTION("IF(G6988&lt;&gt;"""", GOOGLETRANSLATE(G6988, ""en"", ""te""),"""")"),"")</f>
        <v/>
      </c>
      <c r="I6988" s="3"/>
    </row>
    <row r="6989" customHeight="1" spans="1:9">
      <c r="A6989" s="2"/>
      <c r="B6989" s="2" t="str">
        <f>IFERROR(__xludf.DUMMYFUNCTION("IF(A6989&lt;&gt;"""", GOOGLETRANSLATE(A6989, ""en"", ""te""),"""")"),"")</f>
        <v/>
      </c>
      <c r="C6989" s="2"/>
      <c r="D6989" s="2" t="str">
        <f>IFERROR(__xludf.DUMMYFUNCTION("IF(C6989&lt;&gt;"""", GOOGLETRANSLATE(C6989, ""en"", ""te""),"""")"),"")</f>
        <v/>
      </c>
      <c r="E6989" s="2"/>
      <c r="F6989" s="2" t="str">
        <f>IFERROR(__xludf.DUMMYFUNCTION("IF(E6989&lt;&gt;"""", GOOGLETRANSLATE(E6989, ""en"", ""te""),"""")"),"")</f>
        <v/>
      </c>
      <c r="G6989" s="2"/>
      <c r="H6989" s="2" t="str">
        <f>IFERROR(__xludf.DUMMYFUNCTION("IF(G6989&lt;&gt;"""", GOOGLETRANSLATE(G6989, ""en"", ""te""),"""")"),"")</f>
        <v/>
      </c>
      <c r="I6989" s="3"/>
    </row>
    <row r="6990" customHeight="1" spans="1:9">
      <c r="A6990" s="2"/>
      <c r="B6990" s="2" t="str">
        <f>IFERROR(__xludf.DUMMYFUNCTION("IF(A6990&lt;&gt;"""", GOOGLETRANSLATE(A6990, ""en"", ""te""),"""")"),"")</f>
        <v/>
      </c>
      <c r="C6990" s="2" t="s">
        <v>4158</v>
      </c>
      <c r="D6990" s="2" t="str">
        <f>IFERROR(__xludf.DUMMYFUNCTION("IF(C6990&lt;&gt;"""", GOOGLETRANSLATE(C6990, ""en"", ""te""),"""")"),"[ '11 వ పురాతన దేశం ఆటగాళ్ళు (91y 161d)']")</f>
        <v>[ '11 వ పురాతన దేశం ఆటగాళ్ళు (91y 161d)']</v>
      </c>
      <c r="E6990" s="2"/>
      <c r="F6990" s="2" t="str">
        <f>IFERROR(__xludf.DUMMYFUNCTION("IF(E6990&lt;&gt;"""", GOOGLETRANSLATE(E6990, ""en"", ""te""),"""")"),"")</f>
        <v/>
      </c>
      <c r="G6990" s="2"/>
      <c r="H6990" s="2" t="str">
        <f>IFERROR(__xludf.DUMMYFUNCTION("IF(G6990&lt;&gt;"""", GOOGLETRANSLATE(G6990, ""en"", ""te""),"""")"),"")</f>
        <v/>
      </c>
      <c r="I6990" s="3"/>
    </row>
    <row r="6991" customHeight="1" spans="1:9">
      <c r="A6991" s="2"/>
      <c r="B6991" s="2" t="str">
        <f>IFERROR(__xludf.DUMMYFUNCTION("IF(A6991&lt;&gt;"""", GOOGLETRANSLATE(A6991, ""en"", ""te""),"""")"),"")</f>
        <v/>
      </c>
      <c r="C6991" s="2"/>
      <c r="D6991" s="2" t="str">
        <f>IFERROR(__xludf.DUMMYFUNCTION("IF(C6991&lt;&gt;"""", GOOGLETRANSLATE(C6991, ""en"", ""te""),"""")"),"")</f>
        <v/>
      </c>
      <c r="E6991" s="2"/>
      <c r="F6991" s="2" t="str">
        <f>IFERROR(__xludf.DUMMYFUNCTION("IF(E6991&lt;&gt;"""", GOOGLETRANSLATE(E6991, ""en"", ""te""),"""")"),"")</f>
        <v/>
      </c>
      <c r="G6991" s="2"/>
      <c r="H6991" s="2" t="str">
        <f>IFERROR(__xludf.DUMMYFUNCTION("IF(G6991&lt;&gt;"""", GOOGLETRANSLATE(G6991, ""en"", ""te""),"""")"),"")</f>
        <v/>
      </c>
      <c r="I6991" s="3"/>
    </row>
    <row r="6992" customHeight="1" spans="1:9">
      <c r="A6992" s="2"/>
      <c r="B6992" s="2" t="str">
        <f>IFERROR(__xludf.DUMMYFUNCTION("IF(A6992&lt;&gt;"""", GOOGLETRANSLATE(A6992, ""en"", ""te""),"""")"),"")</f>
        <v/>
      </c>
      <c r="C6992" s="2"/>
      <c r="D6992" s="2" t="str">
        <f>IFERROR(__xludf.DUMMYFUNCTION("IF(C6992&lt;&gt;"""", GOOGLETRANSLATE(C6992, ""en"", ""te""),"""")"),"")</f>
        <v/>
      </c>
      <c r="E6992" s="2"/>
      <c r="F6992" s="2" t="str">
        <f>IFERROR(__xludf.DUMMYFUNCTION("IF(E6992&lt;&gt;"""", GOOGLETRANSLATE(E6992, ""en"", ""te""),"""")"),"")</f>
        <v/>
      </c>
      <c r="G6992" s="2"/>
      <c r="H6992" s="2" t="str">
        <f>IFERROR(__xludf.DUMMYFUNCTION("IF(G6992&lt;&gt;"""", GOOGLETRANSLATE(G6992, ""en"", ""te""),"""")"),"")</f>
        <v/>
      </c>
      <c r="I6992" s="3"/>
    </row>
    <row r="6993" customHeight="1" spans="1:9">
      <c r="A6993" s="2" t="s">
        <v>4159</v>
      </c>
      <c r="B6993" s="2" t="str">
        <f>IFERROR(__xludf.DUMMYFUNCTION("IF(A6993&lt;&gt;"""", GOOGLETRANSLATE(A6993, ""en"", ""te""),"""")"),"[ '4 వ పిన్న కాప్టెన్ (22y 15d)', 'ఒక కెప్టెన్తో పెయిర్', 'ఒక కెప్టెన్తో ఒక మ్యాచ్లో 1st బెస్ట్ ఫిగర్స్ (13)', '9 వ ఉత్తమ కెరీర్ సమ్మె రేటు (43.4)', '4 వ పిన్న ఆటగాడు పది వికెట్లు లో ఒక మ్యాచ్ (18y 336d) ',' 5 వ అత్యధిక వికెట్లు బౌల్డ్ తీసుకోకూడదు (102) '"&amp;",' ఒక మ్యాచ్ లో మొత్తం పదకొండు బ్యాట్స్ ',' 2 వ వేగవంతమైన 150 వికెట్లు (27) ',' 1000 పరుగులు తోసిపుచ్చిన మరియు 100 ఒక కెప్టెన్ (7) ',' 1 వ వరుస నాలుగు వికెట్లు-ఇన్-ఒక-ఇన్నింగ్స్ (3) ',' 10 వ వికెట్ల తేడాతో ',' 7 వ పిన్న కాప్టెన్ (21y 354d) ',' 1st ఒక ఇన్"&amp;"నింగ్స్ లోని బెస్ట్ ఫిగర్స్ కెరీర్లో బౌల్డ్ అత్యంత బంతుల్లో (12698) ',' 7 వ అత్యధిక కెరీర్ లో సాధించిన పరుగులు (9919) ',' 1 వ బౌలర్ / బ్యాట్స్ కలయికలు (13) ',' 1st 400 వికెట్లు ఒక లో (252) ',' 3 వ అత్యధిక వికెట్లు వేగంగా ఒకే క్రీడా (126) ',' 6 వ అత్యధిక వ"&amp;"రుస నాలుగు వికెట్లు-ఇన్-ఒక-ఇన్నింగ్స్ (5) ',' 2 వ బౌలర్ / బ్యాట్స్మన్ కలయికలు (20) ']")</f>
        <v>[ '4 వ పిన్న కాప్టెన్ (22y 15d)', 'ఒక కెప్టెన్తో పెయిర్', 'ఒక కెప్టెన్తో ఒక మ్యాచ్లో 1st బెస్ట్ ఫిగర్స్ (13)', '9 వ ఉత్తమ కెరీర్ సమ్మె రేటు (43.4)', '4 వ పిన్న ఆటగాడు పది వికెట్లు లో ఒక మ్యాచ్ (18y 336d) ',' 5 వ అత్యధిక వికెట్లు బౌల్డ్ తీసుకోకూడదు (102) ',' ఒక మ్యాచ్ లో మొత్తం పదకొండు బ్యాట్స్ ',' 2 వ వేగవంతమైన 150 వికెట్లు (27) ',' 1000 పరుగులు తోసిపుచ్చిన మరియు 100 ఒక కెప్టెన్ (7) ',' 1 వ వరుస నాలుగు వికెట్లు-ఇన్-ఒక-ఇన్నింగ్స్ (3) ',' 10 వ వికెట్ల తేడాతో ',' 7 వ పిన్న కాప్టెన్ (21y 354d) ',' 1st ఒక ఇన్నింగ్స్ లోని బెస్ట్ ఫిగర్స్ కెరీర్లో బౌల్డ్ అత్యంత బంతుల్లో (12698) ',' 7 వ అత్యధిక కెరీర్ లో సాధించిన పరుగులు (9919) ',' 1 వ బౌలర్ / బ్యాట్స్ కలయికలు (13) ',' 1st 400 వికెట్లు ఒక లో (252) ',' 3 వ అత్యధిక వికెట్లు వేగంగా ఒకే క్రీడా (126) ',' 6 వ అత్యధిక వరుస నాలుగు వికెట్లు-ఇన్-ఒక-ఇన్నింగ్స్ (5) ',' 2 వ బౌలర్ / బ్యాట్స్మన్ కలయికలు (20) ']</v>
      </c>
      <c r="C6993" s="2" t="s">
        <v>4160</v>
      </c>
      <c r="D6993" s="2" t="str">
        <f>IFERROR(__xludf.DUMMYFUNCTION("IF(C6993&lt;&gt;"""", GOOGLETRANSLATE(C6993, ""en"", ""te""),"""")"),"[ '19 కెరీర్ బాతులు (21)' 'కెరీర్లో 21 వ అత్యధిక వికెట్లు (373)', 'ఒక మ్యాచ్లో 25 బెస్ట్ ఫిగర్స్ (13)' 'వంద (1010) లేకుండా 50 వ ఒక జీవితంలో అత్యధిక పరుగులు', 'ఒక కెప్టెన్తో ఒక ఇన్నింగ్స్ లో 5 వ ఉత్తమ బొమ్మలు (7)', 'ఒక కెప్టెన్తో ఒక మ్యాచ్లో 1st బెస్ట్ ఫిగ"&amp;"ర్స్ (13)', '40 వ మ్యాచ్ లో బెస్ట్ ఫిగర్స్ ఉన్నప్పుడు పరాజయం వైపు (10)', '9 వ ఉత్తమ వృత్తి సమ్మె రేటు (43.4) ',' 17 వ అత్యంత ఐదు-వికెట్ల లో-ఒక-ఇన్నింగ్స్ కెరీర్లో (22) ',' 12 వ అత్యంత పది వికెట్లు లో ఒక మ్యాచ్ ఒక వృత్తిలో (5) ',' 5 వ అత్యధిక వరుస ఐదు విక"&amp;"ెట్ల లో-ఒక-ఇన్నింగ్స్ (4) ',' 4 వ అత్యధిక వరుస పది వికెట్లు లో ఒక మ్యాచ్ (2) ',' ఐదు వికెట్ల లో-ఒక-ఇన్నింగ్స్ (తీసుకోవాలని 14 వ పిన్న ఆటగాడు 18y 336d) ',' 4 వ పిన్న వయస్కుడిగా నిలిచాడు (తీసుకోవాలని పది వికెట్లు లో ఒక మ్యాచ్ (18y 336d) ',' 41 వ కెరీర్ లో బ"&amp;"ౌల్డ్ చాలా బంతుల్లో (16224) ',' 28th అత్యధిక పరుగులు కెరీర్లో సాధించిన 8788) ', 'తీసిన 5 వ అత్యధిక వికెట్లు బౌల్డ్ (102)', '42 వ అత్యధిక వికెట్లు తీసుకున్న ఆకర్షించింది (161)', '31 అత్యధిక వికెట్లు ఒక వికెట్ కీపర్ చే కాట్ తీసుకున్న (65)', '7 వ అత్యధిక విక"&amp;"ెట్లు తీసుకున్న ఎల్బిడబ్ల్యు (110)', '20 వ వేగంగా 50 వికెట్లు (10) ',' 13 వ 100 వికెట్లు (20) ',' 2 వ వేగవంతమైన 150 వికెట్లు (27) ',' 200 వికెట్లు (38) ',' 5 వ 250 వికెట్లు వేగంగా (51) ',' వేగంగా 4 వ వేగంగా 10 వ వేగంగా 300 వికెట్లు (65) ',' ఫాస్టెస్ట్ 35"&amp;"0 వికెట్లు (78) ',' 12 వ అత్యంత ప్లేయర్ ఆఫ్ ది సిరీస్ అవార్డులు (5) ',' 36 వ పిన్న క్రీడాకారులు (17y 364d) ',' 4 వ పిన్న 10 వ కాప్టెన్ (22y 15d) ']")</f>
        <v>[ '19 కెరీర్ బాతులు (21)' 'కెరీర్లో 21 వ అత్యధిక వికెట్లు (373)', 'ఒక మ్యాచ్లో 25 బెస్ట్ ఫిగర్స్ (13)' 'వంద (1010) లేకుండా 50 వ ఒక జీవితంలో అత్యధిక పరుగులు', 'ఒక కెప్టెన్తో ఒక ఇన్నింగ్స్ లో 5 వ ఉత్తమ బొమ్మలు (7)', 'ఒక కెప్టెన్తో ఒక మ్యాచ్లో 1st బెస్ట్ ఫిగర్స్ (13)', '40 వ మ్యాచ్ లో బెస్ట్ ఫిగర్స్ ఉన్నప్పుడు పరాజయం వైపు (10)', '9 వ ఉత్తమ వృత్తి సమ్మె రేటు (43.4) ',' 17 వ అత్యంత ఐదు-వికెట్ల లో-ఒక-ఇన్నింగ్స్ కెరీర్లో (22) ',' 12 వ అత్యంత పది వికెట్లు లో ఒక మ్యాచ్ ఒక వృత్తిలో (5) ',' 5 వ అత్యధిక వరుస ఐదు వికెట్ల లో-ఒక-ఇన్నింగ్స్ (4) ',' 4 వ అత్యధిక వరుస పది వికెట్లు లో ఒక మ్యాచ్ (2) ',' ఐదు వికెట్ల లో-ఒక-ఇన్నింగ్స్ (తీసుకోవాలని 14 వ పిన్న ఆటగాడు 18y 336d) ',' 4 వ పిన్న వయస్కుడిగా నిలిచాడు (తీసుకోవాలని పది వికెట్లు లో ఒక మ్యాచ్ (18y 336d) ',' 41 వ కెరీర్ లో బౌల్డ్ చాలా బంతుల్లో (16224) ',' 28th అత్యధిక పరుగులు కెరీర్లో సాధించిన 8788) ', 'తీసిన 5 వ అత్యధిక వికెట్లు బౌల్డ్ (102)', '42 వ అత్యధిక వికెట్లు తీసుకున్న ఆకర్షించింది (161)', '31 అత్యధిక వికెట్లు ఒక వికెట్ కీపర్ చే కాట్ తీసుకున్న (65)', '7 వ అత్యధిక వికెట్లు తీసుకున్న ఎల్బిడబ్ల్యు (110)', '20 వ వేగంగా 50 వికెట్లు (10) ',' 13 వ 100 వికెట్లు (20) ',' 2 వ వేగవంతమైన 150 వికెట్లు (27) ',' 200 వికెట్లు (38) ',' 5 వ 250 వికెట్లు వేగంగా (51) ',' వేగంగా 4 వ వేగంగా 10 వ వేగంగా 300 వికెట్లు (65) ',' ఫాస్టెస్ట్ 350 వికెట్లు (78) ',' 12 వ అత్యంత ప్లేయర్ ఆఫ్ ది సిరీస్ అవార్డులు (5) ',' 36 వ పిన్న క్రీడాకారులు (17y 364d) ',' 4 వ పిన్న 10 వ కాప్టెన్ (22y 15d) ']</v>
      </c>
      <c r="E6993" s="2" t="s">
        <v>4161</v>
      </c>
      <c r="F6993" s="2" t="str">
        <f>IFERROR(__xludf.DUMMYFUNCTION("IF(E6993&lt;&gt;"""", GOOGLETRANSLATE(E6993, ""en"", ""te""),"""")"),"[ '11 వ ఇన్నింగ్స్ లో అత్యధిక పరుగులు (బ్యాటింగ్ స్థానంలో ప్రకారం) (33)', '45 వ కెరీర్ బాతులు (15)', '3 వ అత్యధిక కెరీర్ లో వికెట్లు (416)', '9 వ ఇన్నింగ్స్ లో బెస్ట్ ఫిగర్స్ (7 / 36) ',' 16 వ ఒక సిరీస్లో అత్యధిక వికెట్లు (21) ',' 8 వ ఒక క్యాలెండర్ సంవత్స"&amp;"రంలో అత్యధిక వికెట్లు (60) ',' 8 వ అత్యుత్తమ బౌలింగ్ ఇన్నింగ్స్ లో విశ్లేషించడం (7/36) ',' 3 వ భాగం ఒక లో వికెట్లు ఒకే క్రీడా (114) ',' 1st ఒక కెప్టెన్తో ఒక ఇన్నింగ్స్ లోని బెస్ట్ ఫిగర్స్ (7) ',' 14 వ ఒక ఇన్నింగ్స్ లోని బెస్ట్ ఫిగర్స్ పరాజయం వైపు (5) ','"&amp;" 41 వ ఉత్తమ కెరీర్ బౌలింగ్ చేస్తున్నప్పుడు సగటు (23.84) ', '27 ఉత్తమ కెరీర్ సమ్మె రేటు (30.5)', '47 వ ఉత్తమ ఇన్నింగ్స్ లో సమ్మె రేటు (7.2)', '1 వ అత్యంత ఐదు-వికెట్ల లో-ఒక-ఇన్నింగ్స్ కెరీర్లో (13)', '1 వ అత్యంత నాలుగు వికెట్లు ఒక వృత్తిలో -ఇన్-ఒక-ఇన్నింగ్స"&amp;"్ (27) ',' 1 వ వరుస ఐదు వికెట్ల లో-ఒక-ఇన్నింగ్స్ (3) ',' 1 వ వరుస నాలుగు వికెట్లు-ఇన్-ఒక-ఇన్నింగ్స్ (3) ', '2 వ పిన్న ఆటగాడు ఐదు వికెట్ల లో-ఒక-ఇన్నింగ్స్ (18y 164) తీసుకోవాలని', '10 వ కెరీర్ లో బౌల్డ్ చాలా బంతుల్లో (12698)', '1 వ బౌలర్ / బ్యాట్స్' 7th కెర"&amp;"ీర్ (9919) లో సాధించిన అత్యధిక పరుగులు ' combina tions (13) ',' 12 వ బౌలర్ / ఫీల్డర్ కలయికలు (40) ',' 2 వ అత్యంత బౌల్డ్ వికెట్లు తీసుకున్నారు (151) ',' 11 వ అత్యధిక వికెట్లు తీసుకున్న ఆకర్షించింది (191) ',' 27 వ అత్యధిక వికెట్లు ఫీల్డర్ చేత (ఆకర్షించింది "&amp;"తీసుకున్న 113 ) ',' 4 వ అత్యధిక వికెట్లు చిక్కుకున్న వికెట్కీపర్గా (78) ',' 2 వ అత్యంత తీసుకోబడిన వికెట్ల ఎల్బిడబ్ల్యు (73) ',' 17 వ సాధించిన వేగవంతమైన 50 వికెట్లు (27) ',' 12 వ వేగంగా 100 వికెట్లు (59) తీసుకున్న ', '9 వ వేగవంతమైన 150 వికెట్లు (91)', '4"&amp;" వ 200 వికెట్లు (118) వేగంగా', '250 వికెట్లు (148) కు 3 వ అత్యంత వేగంగా', '300 వికెట్లు (186) 2 వ వేగవంతమైన', '350 వికెట్లు 2nd వేగంగా (218) ',' ఫాస్టెస్ట్ 400 వికెట్లు (252) ',' 37 వ అత్యధిక మ్యాచ్లు కెరీర్ లో 1 వ (262) ',' 46 వ అత్యంత ప్లేయర్ ఆఫ్ ది మ్"&amp;"యాచ్ అవార్డులు (17) ',' 24th చాలా ఆటగాడు వెలుపల -సిరీస్ అవార్డులు (4) ',' 43 వ అత్యధిక మ్యాచ్లు కెప్టెన్గా (62) ',' 17 వ వరుస మ్యాచ్లు ఒక జట్టు కెప్టెన్గా (47) ',' 7 వ పిన్న కాప్టెన్ (21y 354d) ']")</f>
        <v>[ '11 వ ఇన్నింగ్స్ లో అత్యధిక పరుగులు (బ్యాటింగ్ స్థానంలో ప్రకారం) (33)', '45 వ కెరీర్ బాతులు (15)', '3 వ అత్యధిక కెరీర్ లో వికెట్లు (416)', '9 వ ఇన్నింగ్స్ లో బెస్ట్ ఫిగర్స్ (7 / 36) ',' 16 వ ఒక సిరీస్లో అత్యధిక వికెట్లు (21) ',' 8 వ ఒక క్యాలెండర్ సంవత్సరంలో అత్యధిక వికెట్లు (60) ',' 8 వ అత్యుత్తమ బౌలింగ్ ఇన్నింగ్స్ లో విశ్లేషించడం (7/36) ',' 3 వ భాగం ఒక లో వికెట్లు ఒకే క్రీడా (114) ',' 1st ఒక కెప్టెన్తో ఒక ఇన్నింగ్స్ లోని బెస్ట్ ఫిగర్స్ (7) ',' 14 వ ఒక ఇన్నింగ్స్ లోని బెస్ట్ ఫిగర్స్ పరాజయం వైపు (5) ',' 41 వ ఉత్తమ కెరీర్ బౌలింగ్ చేస్తున్నప్పుడు సగటు (23.84) ', '27 ఉత్తమ కెరీర్ సమ్మె రేటు (30.5)', '47 వ ఉత్తమ ఇన్నింగ్స్ లో సమ్మె రేటు (7.2)', '1 వ అత్యంత ఐదు-వికెట్ల లో-ఒక-ఇన్నింగ్స్ కెరీర్లో (13)', '1 వ అత్యంత నాలుగు వికెట్లు ఒక వృత్తిలో -ఇన్-ఒక-ఇన్నింగ్స్ (27) ',' 1 వ వరుస ఐదు వికెట్ల లో-ఒక-ఇన్నింగ్స్ (3) ',' 1 వ వరుస నాలుగు వికెట్లు-ఇన్-ఒక-ఇన్నింగ్స్ (3) ', '2 వ పిన్న ఆటగాడు ఐదు వికెట్ల లో-ఒక-ఇన్నింగ్స్ (18y 164) తీసుకోవాలని', '10 వ కెరీర్ లో బౌల్డ్ చాలా బంతుల్లో (12698)', '1 వ బౌలర్ / బ్యాట్స్' 7th కెరీర్ (9919) లో సాధించిన అత్యధిక పరుగులు ' combina tions (13) ',' 12 వ బౌలర్ / ఫీల్డర్ కలయికలు (40) ',' 2 వ అత్యంత బౌల్డ్ వికెట్లు తీసుకున్నారు (151) ',' 11 వ అత్యధిక వికెట్లు తీసుకున్న ఆకర్షించింది (191) ',' 27 వ అత్యధిక వికెట్లు ఫీల్డర్ చేత (ఆకర్షించింది తీసుకున్న 113 ) ',' 4 వ అత్యధిక వికెట్లు చిక్కుకున్న వికెట్కీపర్గా (78) ',' 2 వ అత్యంత తీసుకోబడిన వికెట్ల ఎల్బిడబ్ల్యు (73) ',' 17 వ సాధించిన వేగవంతమైన 50 వికెట్లు (27) ',' 12 వ వేగంగా 100 వికెట్లు (59) తీసుకున్న ', '9 వ వేగవంతమైన 150 వికెట్లు (91)', '4 వ 200 వికెట్లు (118) వేగంగా', '250 వికెట్లు (148) కు 3 వ అత్యంత వేగంగా', '300 వికెట్లు (186) 2 వ వేగవంతమైన', '350 వికెట్లు 2nd వేగంగా (218) ',' ఫాస్టెస్ట్ 400 వికెట్లు (252) ',' 37 వ అత్యధిక మ్యాచ్లు కెరీర్ లో 1 వ (262) ',' 46 వ అత్యంత ప్లేయర్ ఆఫ్ ది మ్యాచ్ అవార్డులు (17) ',' 24th చాలా ఆటగాడు వెలుపల -సిరీస్ అవార్డులు (4) ',' 43 వ అత్యధిక మ్యాచ్లు కెప్టెన్గా (62) ',' 17 వ వరుస మ్యాచ్లు ఒక జట్టు కెప్టెన్గా (47) ',' 7 వ పిన్న కాప్టెన్ (21y 354d) ']</v>
      </c>
      <c r="G6993" s="2" t="s">
        <v>4162</v>
      </c>
      <c r="H6993" s="2" t="str">
        <f>IFERROR(__xludf.DUMMYFUNCTION("IF(G6993&lt;&gt;"""", GOOGLETRANSLATE(G6993, ""en"", ""te""),"""")"),"[ '17 వ అత్యంత బృందం (47) కెప్టెన్ గా వరుస మ్యాచ్లు']")</f>
        <v>[ '17 వ అత్యంత బృందం (47) కెప్టెన్ గా వరుస మ్యాచ్లు']</v>
      </c>
      <c r="I6993" s="3"/>
    </row>
    <row r="6994" customHeight="1" spans="1:9">
      <c r="A6994" s="2" t="s">
        <v>4163</v>
      </c>
      <c r="B6994" s="2" t="str">
        <f>IFERROR(__xludf.DUMMYFUNCTION("IF(A6994&lt;&gt;"""", GOOGLETRANSLATE(A6994, ""en"", ""te""),"""")"),"[ 'ఇన్నింగ్స్ లో 1 వ అత్యధిక వికెట్లు (7)', '1 వ ఇన్నింగ్స్ లో అత్యధిక క్యాచ్లు (7)', '3 వ మ్యాచ్లో అత్యంత స్టంపింగ్లు (4)', '8 వ ఇన్నింగ్స్ లో అత్యధిక పరుగులు (బ్యాటింగ్ స్థానంలో ప్రకారం) ( 60 *) ']")</f>
        <v>[ 'ఇన్నింగ్స్ లో 1 వ అత్యధిక వికెట్లు (7)', '1 వ ఇన్నింగ్స్ లో అత్యధిక క్యాచ్లు (7)', '3 వ మ్యాచ్లో అత్యంత స్టంపింగ్లు (4)', '8 వ ఇన్నింగ్స్ లో అత్యధిక పరుగులు (బ్యాటింగ్ స్థానంలో ప్రకారం) ( 60 *) ']</v>
      </c>
      <c r="C6994" s="2" t="s">
        <v>4164</v>
      </c>
      <c r="D6994" s="2" t="str">
        <f>IFERROR(__xludf.DUMMYFUNCTION("IF(C6994&lt;&gt;"""", GOOGLETRANSLATE(C6994, ""en"", ""te""),"""")"),"[ 'వంద (1366) లేకుండా ఒక వృత్తిలో 20 వ అత్యధిక పరుగులు' 'ఇన్నింగ్స్ లో 8 వ అత్యధిక పరుగులు (60 *) (బ్యాటింగ్ స్థానం)', '27 వ కెరీర్ బాతులు (19)', '16 వ కలిగిన కెప్టెన్ల ఉంచింది వికెట్ (6) ',' 12 వ కెరీర్ లో అత్యధిక వికెట్లు (228) ',' 1 వ ఇన్నింగ్స్ లో అత్"&amp;"యధిక వికెట్లు (7) ',' 35 వ మ్యాచ్ లో అత్యధిక వికెట్లు (8) ',' 15 వ కెరీర్ లో అత్యధిక క్యాచ్లు (201 ) ',' ఒక మ్యాచ్లో ఇన్నింగ్స్ (7) ',' 26th అత్యధిక క్యాచ్లు లో 1 వ అత్యధిక క్యాచ్లు కెరీర్లో (8) ',' 8 వ అత్యంత స్టంపింగ్లు (27) ',' 3 వ మ్యాచ్లో అత్యంత స్టం"&amp;"పింగ్లు (4) ']")</f>
        <v>[ 'వంద (1366) లేకుండా ఒక వృత్తిలో 20 వ అత్యధిక పరుగులు' 'ఇన్నింగ్స్ లో 8 వ అత్యధిక పరుగులు (60 *) (బ్యాటింగ్ స్థానం)', '27 వ కెరీర్ బాతులు (19)', '16 వ కలిగిన కెప్టెన్ల ఉంచింది వికెట్ (6) ',' 12 వ కెరీర్ లో అత్యధిక వికెట్లు (228) ',' 1 వ ఇన్నింగ్స్ లో అత్యధిక వికెట్లు (7) ',' 35 వ మ్యాచ్ లో అత్యధిక వికెట్లు (8) ',' 15 వ కెరీర్ లో అత్యధిక క్యాచ్లు (201 ) ',' ఒక మ్యాచ్లో ఇన్నింగ్స్ (7) ',' 26th అత్యధిక క్యాచ్లు లో 1 వ అత్యధిక క్యాచ్లు కెరీర్లో (8) ',' 8 వ అత్యంత స్టంపింగ్లు (27) ',' 3 వ మ్యాచ్లో అత్యంత స్టంపింగ్లు (4) ']</v>
      </c>
      <c r="E6994" s="2" t="s">
        <v>4165</v>
      </c>
      <c r="F6994" s="2" t="str">
        <f>IFERROR(__xludf.DUMMYFUNCTION("IF(E6994&lt;&gt;"""", GOOGLETRANSLATE(E6994, ""en"", ""te""),"""")"),"[ 'కెరీర్లో 13 వ బాతులు నో (26)', 'వికెట్ను కాపాడుకున్నాడు చేసిన 23 కెప్టెన్ల (5)', '45 వ అత్యధిక వికెట్లు కెరీర్లో (62)', '44 వ అత్యధిక క్యాచ్లు కెరీర్లో (52)', '37 వ అత్యంత స్టంపింగ్లు కెరీర్లో (10) ', '21 వ ఒక సిరీస్లో అత్యధిక స్టంపింగ్లు (4)']")</f>
        <v>[ 'కెరీర్లో 13 వ బాతులు నో (26)', 'వికెట్ను కాపాడుకున్నాడు చేసిన 23 కెప్టెన్ల (5)', '45 వ అత్యధిక వికెట్లు కెరీర్లో (62)', '44 వ అత్యధిక క్యాచ్లు కెరీర్లో (52)', '37 వ అత్యంత స్టంపింగ్లు కెరీర్లో (10) ', '21 వ ఒక సిరీస్లో అత్యధిక స్టంపింగ్లు (4)']</v>
      </c>
      <c r="G6994" s="2"/>
      <c r="H6994" s="2" t="str">
        <f>IFERROR(__xludf.DUMMYFUNCTION("IF(G6994&lt;&gt;"""", GOOGLETRANSLATE(G6994, ""en"", ""te""),"""")"),"")</f>
        <v/>
      </c>
      <c r="I6994" s="3"/>
    </row>
    <row r="6995" customHeight="1" spans="1:9">
      <c r="A6995" s="2"/>
      <c r="B6995" s="2" t="str">
        <f>IFERROR(__xludf.DUMMYFUNCTION("IF(A6995&lt;&gt;"""", GOOGLETRANSLATE(A6995, ""en"", ""te""),"""")"),"")</f>
        <v/>
      </c>
      <c r="C6995" s="2"/>
      <c r="D6995" s="2" t="str">
        <f>IFERROR(__xludf.DUMMYFUNCTION("IF(C6995&lt;&gt;"""", GOOGLETRANSLATE(C6995, ""en"", ""te""),"""")"),"")</f>
        <v/>
      </c>
      <c r="E6995" s="2"/>
      <c r="F6995" s="2" t="str">
        <f>IFERROR(__xludf.DUMMYFUNCTION("IF(E6995&lt;&gt;"""", GOOGLETRANSLATE(E6995, ""en"", ""te""),"""")"),"")</f>
        <v/>
      </c>
      <c r="G6995" s="2"/>
      <c r="H6995" s="2" t="str">
        <f>IFERROR(__xludf.DUMMYFUNCTION("IF(G6995&lt;&gt;"""", GOOGLETRANSLATE(G6995, ""en"", ""te""),"""")"),"")</f>
        <v/>
      </c>
      <c r="I6995" s="3"/>
    </row>
    <row r="6996" customHeight="1" spans="1:9">
      <c r="A6996" s="2"/>
      <c r="B6996" s="2" t="str">
        <f>IFERROR(__xludf.DUMMYFUNCTION("IF(A6996&lt;&gt;"""", GOOGLETRANSLATE(A6996, ""en"", ""te""),"""")"),"")</f>
        <v/>
      </c>
      <c r="C6996" s="2"/>
      <c r="D6996" s="2" t="str">
        <f>IFERROR(__xludf.DUMMYFUNCTION("IF(C6996&lt;&gt;"""", GOOGLETRANSLATE(C6996, ""en"", ""te""),"""")"),"")</f>
        <v/>
      </c>
      <c r="E6996" s="2"/>
      <c r="F6996" s="2" t="str">
        <f>IFERROR(__xludf.DUMMYFUNCTION("IF(E6996&lt;&gt;"""", GOOGLETRANSLATE(E6996, ""en"", ""te""),"""")"),"")</f>
        <v/>
      </c>
      <c r="G6996" s="2"/>
      <c r="H6996" s="2" t="str">
        <f>IFERROR(__xludf.DUMMYFUNCTION("IF(G6996&lt;&gt;"""", GOOGLETRANSLATE(G6996, ""en"", ""te""),"""")"),"")</f>
        <v/>
      </c>
      <c r="I6996" s="3"/>
    </row>
    <row r="6997" customHeight="1" spans="1:9">
      <c r="A6997" s="2"/>
      <c r="B6997" s="2" t="str">
        <f>IFERROR(__xludf.DUMMYFUNCTION("IF(A6997&lt;&gt;"""", GOOGLETRANSLATE(A6997, ""en"", ""te""),"""")"),"")</f>
        <v/>
      </c>
      <c r="C6997" s="2"/>
      <c r="D6997" s="2" t="str">
        <f>IFERROR(__xludf.DUMMYFUNCTION("IF(C6997&lt;&gt;"""", GOOGLETRANSLATE(C6997, ""en"", ""te""),"""")"),"")</f>
        <v/>
      </c>
      <c r="E6997" s="2"/>
      <c r="F6997" s="2" t="str">
        <f>IFERROR(__xludf.DUMMYFUNCTION("IF(E6997&lt;&gt;"""", GOOGLETRANSLATE(E6997, ""en"", ""te""),"""")"),"")</f>
        <v/>
      </c>
      <c r="G6997" s="2"/>
      <c r="H6997" s="2" t="str">
        <f>IFERROR(__xludf.DUMMYFUNCTION("IF(G6997&lt;&gt;"""", GOOGLETRANSLATE(G6997, ""en"", ""te""),"""")"),"")</f>
        <v/>
      </c>
      <c r="I6997" s="3"/>
    </row>
    <row r="6998" customHeight="1" spans="1:9">
      <c r="A6998" s="2"/>
      <c r="B6998" s="2" t="str">
        <f>IFERROR(__xludf.DUMMYFUNCTION("IF(A6998&lt;&gt;"""", GOOGLETRANSLATE(A6998, ""en"", ""te""),"""")"),"")</f>
        <v/>
      </c>
      <c r="C6998" s="2"/>
      <c r="D6998" s="2" t="str">
        <f>IFERROR(__xludf.DUMMYFUNCTION("IF(C6998&lt;&gt;"""", GOOGLETRANSLATE(C6998, ""en"", ""te""),"""")"),"")</f>
        <v/>
      </c>
      <c r="E6998" s="2"/>
      <c r="F6998" s="2" t="str">
        <f>IFERROR(__xludf.DUMMYFUNCTION("IF(E6998&lt;&gt;"""", GOOGLETRANSLATE(E6998, ""en"", ""te""),"""")"),"")</f>
        <v/>
      </c>
      <c r="G6998" s="2"/>
      <c r="H6998" s="2" t="str">
        <f>IFERROR(__xludf.DUMMYFUNCTION("IF(G6998&lt;&gt;"""", GOOGLETRANSLATE(G6998, ""en"", ""te""),"""")"),"")</f>
        <v/>
      </c>
      <c r="I6998" s="3"/>
    </row>
    <row r="6999" customHeight="1" spans="1:9">
      <c r="A6999" s="2"/>
      <c r="B6999" s="2" t="str">
        <f>IFERROR(__xludf.DUMMYFUNCTION("IF(A6999&lt;&gt;"""", GOOGLETRANSLATE(A6999, ""en"", ""te""),"""")"),"")</f>
        <v/>
      </c>
      <c r="C6999" s="2"/>
      <c r="D6999" s="2" t="str">
        <f>IFERROR(__xludf.DUMMYFUNCTION("IF(C6999&lt;&gt;"""", GOOGLETRANSLATE(C6999, ""en"", ""te""),"""")"),"")</f>
        <v/>
      </c>
      <c r="E6999" s="2"/>
      <c r="F6999" s="2" t="str">
        <f>IFERROR(__xludf.DUMMYFUNCTION("IF(E6999&lt;&gt;"""", GOOGLETRANSLATE(E6999, ""en"", ""te""),"""")"),"")</f>
        <v/>
      </c>
      <c r="G6999" s="2"/>
      <c r="H6999" s="2" t="str">
        <f>IFERROR(__xludf.DUMMYFUNCTION("IF(G6999&lt;&gt;"""", GOOGLETRANSLATE(G6999, ""en"", ""te""),"""")"),"")</f>
        <v/>
      </c>
      <c r="I6999" s="3"/>
    </row>
    <row r="7000" customHeight="1" spans="1:9">
      <c r="A7000" s="2"/>
      <c r="B7000" s="2" t="str">
        <f>IFERROR(__xludf.DUMMYFUNCTION("IF(A7000&lt;&gt;"""", GOOGLETRANSLATE(A7000, ""en"", ""te""),"""")"),"")</f>
        <v/>
      </c>
      <c r="C7000" s="2"/>
      <c r="D7000" s="2" t="str">
        <f>IFERROR(__xludf.DUMMYFUNCTION("IF(C7000&lt;&gt;"""", GOOGLETRANSLATE(C7000, ""en"", ""te""),"""")"),"")</f>
        <v/>
      </c>
      <c r="E7000" s="2"/>
      <c r="F7000" s="2" t="str">
        <f>IFERROR(__xludf.DUMMYFUNCTION("IF(E7000&lt;&gt;"""", GOOGLETRANSLATE(E7000, ""en"", ""te""),"""")"),"")</f>
        <v/>
      </c>
      <c r="G7000" s="2"/>
      <c r="H7000" s="2" t="str">
        <f>IFERROR(__xludf.DUMMYFUNCTION("IF(G7000&lt;&gt;"""", GOOGLETRANSLATE(G7000, ""en"", ""te""),"""")"),"")</f>
        <v/>
      </c>
      <c r="I7000" s="3"/>
    </row>
    <row r="7001" customHeight="1" spans="1:9">
      <c r="A7001" s="2" t="s">
        <v>296</v>
      </c>
      <c r="B7001" s="2" t="str">
        <f>IFERROR(__xludf.DUMMYFUNCTION("IF(A7001&lt;&gt;"""", GOOGLETRANSLATE(A7001, ""en"", ""te""),"""")"),"[ 'ఒక మ్యాచ్లో ప్రతి ఇన్నింగ్స్లో హండ్రెడ్']")</f>
        <v>[ 'ఒక మ్యాచ్లో ప్రతి ఇన్నింగ్స్లో హండ్రెడ్']</v>
      </c>
      <c r="C7001" s="2"/>
      <c r="D7001" s="2" t="str">
        <f>IFERROR(__xludf.DUMMYFUNCTION("IF(C7001&lt;&gt;"""", GOOGLETRANSLATE(C7001, ""en"", ""te""),"""")"),"")</f>
        <v/>
      </c>
      <c r="E7001" s="2"/>
      <c r="F7001" s="2" t="str">
        <f>IFERROR(__xludf.DUMMYFUNCTION("IF(E7001&lt;&gt;"""", GOOGLETRANSLATE(E7001, ""en"", ""te""),"""")"),"")</f>
        <v/>
      </c>
      <c r="G7001" s="2"/>
      <c r="H7001" s="2" t="str">
        <f>IFERROR(__xludf.DUMMYFUNCTION("IF(G7001&lt;&gt;"""", GOOGLETRANSLATE(G7001, ""en"", ""te""),"""")"),"")</f>
        <v/>
      </c>
      <c r="I7001" s="3"/>
    </row>
    <row r="7002" customHeight="1" spans="1:9">
      <c r="A7002" s="2"/>
      <c r="B7002" s="2" t="str">
        <f>IFERROR(__xludf.DUMMYFUNCTION("IF(A7002&lt;&gt;"""", GOOGLETRANSLATE(A7002, ""en"", ""te""),"""")"),"")</f>
        <v/>
      </c>
      <c r="C7002" s="2"/>
      <c r="D7002" s="2" t="str">
        <f>IFERROR(__xludf.DUMMYFUNCTION("IF(C7002&lt;&gt;"""", GOOGLETRANSLATE(C7002, ""en"", ""te""),"""")"),"")</f>
        <v/>
      </c>
      <c r="E7002" s="2"/>
      <c r="F7002" s="2" t="str">
        <f>IFERROR(__xludf.DUMMYFUNCTION("IF(E7002&lt;&gt;"""", GOOGLETRANSLATE(E7002, ""en"", ""te""),"""")"),"")</f>
        <v/>
      </c>
      <c r="G7002" s="2"/>
      <c r="H7002" s="2" t="str">
        <f>IFERROR(__xludf.DUMMYFUNCTION("IF(G7002&lt;&gt;"""", GOOGLETRANSLATE(G7002, ""en"", ""te""),"""")"),"")</f>
        <v/>
      </c>
      <c r="I7002" s="3"/>
    </row>
    <row r="7003" customHeight="1" spans="1:9">
      <c r="A7003" s="2"/>
      <c r="B7003" s="2" t="str">
        <f>IFERROR(__xludf.DUMMYFUNCTION("IF(A7003&lt;&gt;"""", GOOGLETRANSLATE(A7003, ""en"", ""te""),"""")"),"")</f>
        <v/>
      </c>
      <c r="C7003" s="2"/>
      <c r="D7003" s="2" t="str">
        <f>IFERROR(__xludf.DUMMYFUNCTION("IF(C7003&lt;&gt;"""", GOOGLETRANSLATE(C7003, ""en"", ""te""),"""")"),"")</f>
        <v/>
      </c>
      <c r="E7003" s="2"/>
      <c r="F7003" s="2" t="str">
        <f>IFERROR(__xludf.DUMMYFUNCTION("IF(E7003&lt;&gt;"""", GOOGLETRANSLATE(E7003, ""en"", ""te""),"""")"),"")</f>
        <v/>
      </c>
      <c r="G7003" s="2"/>
      <c r="H7003" s="2" t="str">
        <f>IFERROR(__xludf.DUMMYFUNCTION("IF(G7003&lt;&gt;"""", GOOGLETRANSLATE(G7003, ""en"", ""te""),"""")"),"")</f>
        <v/>
      </c>
      <c r="I7003" s="3"/>
    </row>
    <row r="7004" customHeight="1" spans="1:9">
      <c r="A7004" s="2"/>
      <c r="B7004" s="2" t="str">
        <f>IFERROR(__xludf.DUMMYFUNCTION("IF(A7004&lt;&gt;"""", GOOGLETRANSLATE(A7004, ""en"", ""te""),"""")"),"")</f>
        <v/>
      </c>
      <c r="C7004" s="2"/>
      <c r="D7004" s="2" t="str">
        <f>IFERROR(__xludf.DUMMYFUNCTION("IF(C7004&lt;&gt;"""", GOOGLETRANSLATE(C7004, ""en"", ""te""),"""")"),"")</f>
        <v/>
      </c>
      <c r="E7004" s="2"/>
      <c r="F7004" s="2" t="str">
        <f>IFERROR(__xludf.DUMMYFUNCTION("IF(E7004&lt;&gt;"""", GOOGLETRANSLATE(E7004, ""en"", ""te""),"""")"),"")</f>
        <v/>
      </c>
      <c r="G7004" s="2"/>
      <c r="H7004" s="2" t="str">
        <f>IFERROR(__xludf.DUMMYFUNCTION("IF(G7004&lt;&gt;"""", GOOGLETRANSLATE(G7004, ""en"", ""te""),"""")"),"")</f>
        <v/>
      </c>
      <c r="I7004" s="3"/>
    </row>
    <row r="7005" customHeight="1" spans="1:9">
      <c r="A7005" s="2"/>
      <c r="B7005" s="2" t="str">
        <f>IFERROR(__xludf.DUMMYFUNCTION("IF(A7005&lt;&gt;"""", GOOGLETRANSLATE(A7005, ""en"", ""te""),"""")"),"")</f>
        <v/>
      </c>
      <c r="C7005" s="2"/>
      <c r="D7005" s="2" t="str">
        <f>IFERROR(__xludf.DUMMYFUNCTION("IF(C7005&lt;&gt;"""", GOOGLETRANSLATE(C7005, ""en"", ""te""),"""")"),"")</f>
        <v/>
      </c>
      <c r="E7005" s="2"/>
      <c r="F7005" s="2" t="str">
        <f>IFERROR(__xludf.DUMMYFUNCTION("IF(E7005&lt;&gt;"""", GOOGLETRANSLATE(E7005, ""en"", ""te""),"""")"),"")</f>
        <v/>
      </c>
      <c r="G7005" s="2"/>
      <c r="H7005" s="2" t="str">
        <f>IFERROR(__xludf.DUMMYFUNCTION("IF(G7005&lt;&gt;"""", GOOGLETRANSLATE(G7005, ""en"", ""te""),"""")"),"")</f>
        <v/>
      </c>
      <c r="I7005" s="3"/>
    </row>
    <row r="7006" customHeight="1" spans="1:9">
      <c r="A7006" s="2"/>
      <c r="B7006" s="2" t="str">
        <f>IFERROR(__xludf.DUMMYFUNCTION("IF(A7006&lt;&gt;"""", GOOGLETRANSLATE(A7006, ""en"", ""te""),"""")"),"")</f>
        <v/>
      </c>
      <c r="C7006" s="2"/>
      <c r="D7006" s="2" t="str">
        <f>IFERROR(__xludf.DUMMYFUNCTION("IF(C7006&lt;&gt;"""", GOOGLETRANSLATE(C7006, ""en"", ""te""),"""")"),"")</f>
        <v/>
      </c>
      <c r="E7006" s="2"/>
      <c r="F7006" s="2" t="str">
        <f>IFERROR(__xludf.DUMMYFUNCTION("IF(E7006&lt;&gt;"""", GOOGLETRANSLATE(E7006, ""en"", ""te""),"""")"),"")</f>
        <v/>
      </c>
      <c r="G7006" s="2"/>
      <c r="H7006" s="2" t="str">
        <f>IFERROR(__xludf.DUMMYFUNCTION("IF(G7006&lt;&gt;"""", GOOGLETRANSLATE(G7006, ""en"", ""te""),"""")"),"")</f>
        <v/>
      </c>
      <c r="I7006" s="3"/>
    </row>
    <row r="7007" customHeight="1" spans="1:9">
      <c r="A7007" s="2" t="s">
        <v>4166</v>
      </c>
      <c r="B7007" s="2" t="str">
        <f>IFERROR(__xludf.DUMMYFUNCTION("IF(A7007&lt;&gt;"""", GOOGLETRANSLATE(A7007, ""en"", ""te""),"""")"),"[ '2nd అత్యంత ఇన్నింగ్స్ లో సాధించిన పరుగులు (110)', '6 వ ఇన్నింగ్స్ లో అత్యధిక పరుగులు (బ్యాటింగ్ స్థానంలో ప్రకారం) (24)', 'పదవ వికెట్కు 3 వ అత్యధిక భాగస్వామ్యం (31 *)']")</f>
        <v>[ '2nd అత్యంత ఇన్నింగ్స్ లో సాధించిన పరుగులు (110)', '6 వ ఇన్నింగ్స్ లో అత్యధిక పరుగులు (బ్యాటింగ్ స్థానంలో ప్రకారం) (24)', 'పదవ వికెట్కు 3 వ అత్యధిక భాగస్వామ్యం (31 *)']</v>
      </c>
      <c r="C7007" s="2" t="s">
        <v>843</v>
      </c>
      <c r="D7007" s="2" t="str">
        <f>IFERROR(__xludf.DUMMYFUNCTION("IF(C7007&lt;&gt;"""", GOOGLETRANSLATE(C7007, ""en"", ""te""),"""")"),"[ '50 వ చెత్త కెరీర్లో ఆర్థిక రేటు (3.42)']")</f>
        <v>[ '50 వ చెత్త కెరీర్లో ఆర్థిక రేటు (3.42)']</v>
      </c>
      <c r="E7007" s="2" t="s">
        <v>4167</v>
      </c>
      <c r="F7007" s="2" t="str">
        <f>IFERROR(__xludf.DUMMYFUNCTION("IF(E7007&lt;&gt;"""", GOOGLETRANSLATE(E7007, ""en"", ""te""),"""")"),"[ '14 వ ఒక ఇన్నింగ్స్ లోని బెస్ట్ ఫిగర్స్ పరాజయం వైపు (5) ఉన్నప్పుడు', '38 వ చెత్త కెరీర్లో ఆర్థిక రేటు (5.70)', 'ఇన్నింగ్స్ లో 39 వ చెత్త ఆర్థిక రేటు (11.00)', '2 వ అత్యంత ఇన్నింగ్స్ లో ఇవ్వబడిన పరుగులలో (110) ']")</f>
        <v>[ '14 వ ఒక ఇన్నింగ్స్ లోని బెస్ట్ ఫిగర్స్ పరాజయం వైపు (5) ఉన్నప్పుడు', '38 వ చెత్త కెరీర్లో ఆర్థిక రేటు (5.70)', 'ఇన్నింగ్స్ లో 39 వ చెత్త ఆర్థిక రేటు (11.00)', '2 వ అత్యంత ఇన్నింగ్స్ లో ఇవ్వబడిన పరుగులలో (110) ']</v>
      </c>
      <c r="G7007" s="2" t="s">
        <v>4168</v>
      </c>
      <c r="H7007" s="2" t="str">
        <f>IFERROR(__xludf.DUMMYFUNCTION("IF(G7007&lt;&gt;"""", GOOGLETRANSLATE(G7007, ""en"", ""te""),"""")"),"[ 'ఇన్నింగ్స్ లో 6 వ అత్యధిక పరుగులు (బ్యాటింగ్ స్థానంలో ప్రకారం) (24)', '27 చెత్త కెరీర్లో ఆర్థిక రేటు (8.20)', 'పదవ వికెట్కు 3 వ అత్యధిక భాగస్వామ్యం (31 *)', '23 వ లాంగెస్ట్ కెరీర్లు (12y 244d ) ']")</f>
        <v>[ 'ఇన్నింగ్స్ లో 6 వ అత్యధిక పరుగులు (బ్యాటింగ్ స్థానంలో ప్రకారం) (24)', '27 చెత్త కెరీర్లో ఆర్థిక రేటు (8.20)', 'పదవ వికెట్కు 3 వ అత్యధిక భాగస్వామ్యం (31 *)', '23 వ లాంగెస్ట్ కెరీర్లు (12y 244d ) ']</v>
      </c>
      <c r="I7007" s="3"/>
    </row>
    <row r="7008" customHeight="1" spans="1:9">
      <c r="A7008" s="2"/>
      <c r="B7008" s="2" t="str">
        <f>IFERROR(__xludf.DUMMYFUNCTION("IF(A7008&lt;&gt;"""", GOOGLETRANSLATE(A7008, ""en"", ""te""),"""")"),"")</f>
        <v/>
      </c>
      <c r="C7008" s="2"/>
      <c r="D7008" s="2" t="str">
        <f>IFERROR(__xludf.DUMMYFUNCTION("IF(C7008&lt;&gt;"""", GOOGLETRANSLATE(C7008, ""en"", ""te""),"""")"),"")</f>
        <v/>
      </c>
      <c r="E7008" s="2"/>
      <c r="F7008" s="2" t="str">
        <f>IFERROR(__xludf.DUMMYFUNCTION("IF(E7008&lt;&gt;"""", GOOGLETRANSLATE(E7008, ""en"", ""te""),"""")"),"")</f>
        <v/>
      </c>
      <c r="G7008" s="2"/>
      <c r="H7008" s="2" t="str">
        <f>IFERROR(__xludf.DUMMYFUNCTION("IF(G7008&lt;&gt;"""", GOOGLETRANSLATE(G7008, ""en"", ""te""),"""")"),"")</f>
        <v/>
      </c>
      <c r="I7008" s="3"/>
    </row>
    <row r="7009" customHeight="1" spans="1:9">
      <c r="A7009" s="2" t="s">
        <v>4169</v>
      </c>
      <c r="B7009" s="2" t="str">
        <f>IFERROR(__xludf.DUMMYFUNCTION("IF(A7009&lt;&gt;"""", GOOGLETRANSLATE(A7009, ""en"", ""te""),"""")"),"[ 'కెరీర్లో 6 వ లేవు బాతులు (35)', 'ఏడవ వికెట్కు 2 వ అత్యధిక భాగస్వామ్యం (308)', 'కెరీర్ (35) 7 వ లేవు బాతులు']")</f>
        <v>[ 'కెరీర్లో 6 వ లేవు బాతులు (35)', 'ఏడవ వికెట్కు 2 వ అత్యధిక భాగస్వామ్యం (308)', 'కెరీర్ (35) 7 వ లేవు బాతులు']</v>
      </c>
      <c r="C7009" s="2" t="s">
        <v>4170</v>
      </c>
      <c r="D7009" s="2" t="str">
        <f>IFERROR(__xludf.DUMMYFUNCTION("IF(C7009&lt;&gt;"""", GOOGLETRANSLATE(C7009, ""en"", ""te""),"""")"),"[ 'కెరీర్లో 6 వ లేవు బాతులు (35)', 'ఏడవ వికెట్ (308) కోసం 2 వ అత్యధిక భాగస్వామ్యం']")</f>
        <v>[ 'కెరీర్లో 6 వ లేవు బాతులు (35)', 'ఏడవ వికెట్ (308) కోసం 2 వ అత్యధిక భాగస్వామ్యం']</v>
      </c>
      <c r="E7009" s="2"/>
      <c r="F7009" s="2" t="str">
        <f>IFERROR(__xludf.DUMMYFUNCTION("IF(E7009&lt;&gt;"""", GOOGLETRANSLATE(E7009, ""en"", ""te""),"""")"),"")</f>
        <v/>
      </c>
      <c r="G7009" s="2"/>
      <c r="H7009" s="2" t="str">
        <f>IFERROR(__xludf.DUMMYFUNCTION("IF(G7009&lt;&gt;"""", GOOGLETRANSLATE(G7009, ""en"", ""te""),"""")"),"")</f>
        <v/>
      </c>
      <c r="I7009" s="3"/>
    </row>
    <row r="7010" customHeight="1" spans="1:9">
      <c r="A7010" s="2"/>
      <c r="B7010" s="2" t="str">
        <f>IFERROR(__xludf.DUMMYFUNCTION("IF(A7010&lt;&gt;"""", GOOGLETRANSLATE(A7010, ""en"", ""te""),"""")"),"")</f>
        <v/>
      </c>
      <c r="C7010" s="2"/>
      <c r="D7010" s="2" t="str">
        <f>IFERROR(__xludf.DUMMYFUNCTION("IF(C7010&lt;&gt;"""", GOOGLETRANSLATE(C7010, ""en"", ""te""),"""")"),"")</f>
        <v/>
      </c>
      <c r="E7010" s="2"/>
      <c r="F7010" s="2" t="str">
        <f>IFERROR(__xludf.DUMMYFUNCTION("IF(E7010&lt;&gt;"""", GOOGLETRANSLATE(E7010, ""en"", ""te""),"""")"),"")</f>
        <v/>
      </c>
      <c r="G7010" s="2"/>
      <c r="H7010" s="2" t="str">
        <f>IFERROR(__xludf.DUMMYFUNCTION("IF(G7010&lt;&gt;"""", GOOGLETRANSLATE(G7010, ""en"", ""te""),"""")"),"")</f>
        <v/>
      </c>
      <c r="I7010" s="3"/>
    </row>
    <row r="7011" customHeight="1" spans="1:9">
      <c r="A7011" s="2" t="s">
        <v>4171</v>
      </c>
      <c r="B7011" s="2" t="str">
        <f>IFERROR(__xludf.DUMMYFUNCTION("IF(A7011&lt;&gt;"""", GOOGLETRANSLATE(A7011, ""en"", ""te""),"""")"),"[ 'ఇన్నింగ్స్ లో 1 వ చెత్త ఆర్థిక రేటు (8.85)', '9 వ అత్యంత ఒక మ్యాచ్లో సాధించిన పరుగులు (291)', '1st 200 వికెట్లు వేగంగా (33)', 'పదవ వికెట్ను (76) 4 వ అత్యధిక భాగస్వామ్యం' ]")</f>
        <v>[ 'ఇన్నింగ్స్ లో 1 వ చెత్త ఆర్థిక రేటు (8.85)', '9 వ అత్యంత ఒక మ్యాచ్లో సాధించిన పరుగులు (291)', '1st 200 వికెట్లు వేగంగా (33)', 'పదవ వికెట్ను (76) 4 వ అత్యధిక భాగస్వామ్యం' ]</v>
      </c>
      <c r="C7011" s="2" t="s">
        <v>4172</v>
      </c>
      <c r="D7011" s="2" t="str">
        <f>IFERROR(__xludf.DUMMYFUNCTION("IF(C7011&lt;&gt;"""", GOOGLETRANSLATE(C7011, ""en"", ""te""),"""")"),"[ 'ఒక మ్యాచ్లో 13 వ బెస్ట్ ఫిగర్స్ (14)' '33 వ ఉత్తమ ఇన్నింగ్స్ లో సంఖ్యలు (8/41)', 'ఒకే మైదానంలో 33 వ అత్యధిక వికెట్లు (55)', '24th ఒక ఇన్నింగ్స్ లోని బెస్ట్ ఫిగర్స్ ఉన్నప్పుడు వైపు కోల్పోకుండా (7) ',' ఇన్నింగ్స్ లో 45 వ ఉత్తమ సమ్మె రేటు (9.3) ',' 1st "&amp;"చెత్త ఆర్థిక వ్యవస్థ ఇన్నింగ్స్లో రేటు (8.85) ',' 32 వ అత్యంత ఐదు-వికెట్ల లో-ఒక-ఇన్నింగ్స్ కెరీర్లో (16 ) ',' 29 వ అత్యధిక పది వికెట్లు లో ఒక మ్యాచ్ ఒక వృత్తిలో (3) ',' 18 వ వరుస ఐదు వికెట్ల లో-ఒక-ఇన్నింగ్స్ (3) ',' 48 వ కెరీర్ లో సాధించిన అత్యధిక పరుగులు"&amp;" (7247 ) ',' 22 వ ఇన్నింగ్స్ లో సాధించిన అత్యధిక పరుగులు (213) ',' 9 వ అత్యధిక పరుగులు ఒక మ్యాచ్లో సాధించిన (291) ',' 40 వ అత్యధిక వికెట్లు తీసుకున్న బౌల్డ్ (58) ',' 30 వ అత్యధిక వికెట్లు తీసుకున్న ఎల్బిడబ్ల్యు (52) ' , '8 వ వేగవంతమైన 50 వికెట్లు (9) కు'"&amp;" '21 వ అత్యధిక వికెట్లు స్టంప్ (11) తీసుకున్న ',' 100 వికెట్లు (17) 2 వ వేగవంతమైన ',' 200 1st వేగవంతమైన '150 వికెట్లు (27) 2 వ వేగవంతమైన' వికెట్లు (33) ',' 12 వ అత్యంత ప్లేయర్ ఆఫ్ ది సిరీస్ అవార్డులు (5) ']")</f>
        <v>[ 'ఒక మ్యాచ్లో 13 వ బెస్ట్ ఫిగర్స్ (14)' '33 వ ఉత్తమ ఇన్నింగ్స్ లో సంఖ్యలు (8/41)', 'ఒకే మైదానంలో 33 వ అత్యధిక వికెట్లు (55)', '24th ఒక ఇన్నింగ్స్ లోని బెస్ట్ ఫిగర్స్ ఉన్నప్పుడు వైపు కోల్పోకుండా (7) ',' ఇన్నింగ్స్ లో 45 వ ఉత్తమ సమ్మె రేటు (9.3) ',' 1st చెత్త ఆర్థిక వ్యవస్థ ఇన్నింగ్స్లో రేటు (8.85) ',' 32 వ అత్యంత ఐదు-వికెట్ల లో-ఒక-ఇన్నింగ్స్ కెరీర్లో (16 ) ',' 29 వ అత్యధిక పది వికెట్లు లో ఒక మ్యాచ్ ఒక వృత్తిలో (3) ',' 18 వ వరుస ఐదు వికెట్ల లో-ఒక-ఇన్నింగ్స్ (3) ',' 48 వ కెరీర్ లో సాధించిన అత్యధిక పరుగులు (7247 ) ',' 22 వ ఇన్నింగ్స్ లో సాధించిన అత్యధిక పరుగులు (213) ',' 9 వ అత్యధిక పరుగులు ఒక మ్యాచ్లో సాధించిన (291) ',' 40 వ అత్యధిక వికెట్లు తీసుకున్న బౌల్డ్ (58) ',' 30 వ అత్యధిక వికెట్లు తీసుకున్న ఎల్బిడబ్ల్యు (52) ' , '8 వ వేగవంతమైన 50 వికెట్లు (9) కు' '21 వ అత్యధిక వికెట్లు స్టంప్ (11) తీసుకున్న ',' 100 వికెట్లు (17) 2 వ వేగవంతమైన ',' 200 1st వేగవంతమైన '150 వికెట్లు (27) 2 వ వేగవంతమైన' వికెట్లు (33) ',' 12 వ అత్యంత ప్లేయర్ ఆఫ్ ది సిరీస్ అవార్డులు (5) ']</v>
      </c>
      <c r="E7011" s="2" t="s">
        <v>4173</v>
      </c>
      <c r="F7011" s="2" t="str">
        <f>IFERROR(__xludf.DUMMYFUNCTION("IF(E7011&lt;&gt;"""", GOOGLETRANSLATE(E7011, ""en"", ""te""),"""")"),"[ '37 వ ఇన్నింగ్స్ లో బెస్ట్ ఫిగర్స్ (6/26)', '36 వ చెత్త కెరీర్ బౌలింగ్ సరాసరి (47.91)', 'పదవ వికెట్ను (76) 4 వ అత్యధిక భాగస్వామ్యం']")</f>
        <v>[ '37 వ ఇన్నింగ్స్ లో బెస్ట్ ఫిగర్స్ (6/26)', '36 వ చెత్త కెరీర్ బౌలింగ్ సరాసరి (47.91)', 'పదవ వికెట్ను (76) 4 వ అత్యధిక భాగస్వామ్యం']</v>
      </c>
      <c r="G7011" s="2" t="s">
        <v>933</v>
      </c>
      <c r="H7011" s="2" t="str">
        <f>IFERROR(__xludf.DUMMYFUNCTION("IF(G7011&lt;&gt;"""", GOOGLETRANSLATE(G7011, ""en"", ""te""),"""")"),"[ '15 వ ఇన్నింగ్స్ లో అత్యధిక క్యాచ్లు (3)']")</f>
        <v>[ '15 వ ఇన్నింగ్స్ లో అత్యధిక క్యాచ్లు (3)']</v>
      </c>
      <c r="I7011" s="3"/>
    </row>
    <row r="7012" customHeight="1" spans="1:9">
      <c r="A7012" s="2" t="s">
        <v>4174</v>
      </c>
      <c r="B7012" s="2" t="str">
        <f>IFERROR(__xludf.DUMMYFUNCTION("IF(A7012&lt;&gt;"""", GOOGLETRANSLATE(A7012, ""en"", ""te""),"""")"),"[ 'ప్రదర్శనల మధ్య 3 వ లాంగెస్ట్ వ్యవధిలో (17y 111d)']")</f>
        <v>[ 'ప్రదర్శనల మధ్య 3 వ లాంగెస్ట్ వ్యవధిలో (17y 111d)']</v>
      </c>
      <c r="C7012" s="2" t="s">
        <v>4175</v>
      </c>
      <c r="D7012" s="2" t="str">
        <f>IFERROR(__xludf.DUMMYFUNCTION("IF(C7012&lt;&gt;"""", GOOGLETRANSLATE(C7012, ""en"", ""te""),"""")"),"[ '3 వ లాంగెస్ట్ ప్రదర్శనలు (17y 111d) మధ్య వ్యవధిలో', '4 వ వరుస మ్యాచ్లు ఆడి మధ్య జట్టు (104) కోసం తప్పిన']")</f>
        <v>[ '3 వ లాంగెస్ట్ ప్రదర్శనలు (17y 111d) మధ్య వ్యవధిలో', '4 వ వరుస మ్యాచ్లు ఆడి మధ్య జట్టు (104) కోసం తప్పిన']</v>
      </c>
      <c r="E7012" s="2" t="s">
        <v>4176</v>
      </c>
      <c r="F7012" s="2" t="str">
        <f>IFERROR(__xludf.DUMMYFUNCTION("IF(E7012&lt;&gt;"""", GOOGLETRANSLATE(E7012, ""en"", ""te""),"""")"),"[ 'తొలి 22 ఓల్డెస్ట్ క్రీడాకారులు (39y 121d)']")</f>
        <v>[ 'తొలి 22 ఓల్డెస్ట్ క్రీడాకారులు (39y 121d)']</v>
      </c>
      <c r="G7012" s="2"/>
      <c r="H7012" s="2" t="str">
        <f>IFERROR(__xludf.DUMMYFUNCTION("IF(G7012&lt;&gt;"""", GOOGLETRANSLATE(G7012, ""en"", ""te""),"""")"),"")</f>
        <v/>
      </c>
      <c r="I7012" s="3"/>
    </row>
    <row r="7013" customHeight="1" spans="1:9">
      <c r="A7013" s="2"/>
      <c r="B7013" s="2" t="str">
        <f>IFERROR(__xludf.DUMMYFUNCTION("IF(A7013&lt;&gt;"""", GOOGLETRANSLATE(A7013, ""en"", ""te""),"""")"),"")</f>
        <v/>
      </c>
      <c r="C7013" s="2"/>
      <c r="D7013" s="2" t="str">
        <f>IFERROR(__xludf.DUMMYFUNCTION("IF(C7013&lt;&gt;"""", GOOGLETRANSLATE(C7013, ""en"", ""te""),"""")"),"")</f>
        <v/>
      </c>
      <c r="E7013" s="2"/>
      <c r="F7013" s="2" t="str">
        <f>IFERROR(__xludf.DUMMYFUNCTION("IF(E7013&lt;&gt;"""", GOOGLETRANSLATE(E7013, ""en"", ""te""),"""")"),"")</f>
        <v/>
      </c>
      <c r="G7013" s="2"/>
      <c r="H7013" s="2" t="str">
        <f>IFERROR(__xludf.DUMMYFUNCTION("IF(G7013&lt;&gt;"""", GOOGLETRANSLATE(G7013, ""en"", ""te""),"""")"),"")</f>
        <v/>
      </c>
      <c r="I7013" s="3"/>
    </row>
    <row r="7014" customHeight="1" spans="1:9">
      <c r="A7014" s="2" t="s">
        <v>4177</v>
      </c>
      <c r="B7014" s="2" t="str">
        <f>IFERROR(__xludf.DUMMYFUNCTION("IF(A7014&lt;&gt;"""", GOOGLETRANSLATE(A7014, ""en"", ""te""),"""")"),"[ 'ప్రవేశం (105) పై హండ్రెడ్', 'హండ్రెడ్ ఒక మ్యాచ్లో ప్రతి ఇన్నింగ్స్లో', '8 వ అత్యంత ఇన్నింగ్స్ తొలి డక్ ముందు (46)', 'వరుస ఇన్నింగ్స్లో 10 వ యాభైల్లో (6)', '9 వ మొట్టమొదటి డక్ ముందు అత్యంత ఇన్నింగ్స్ (58) ']")</f>
        <v>[ 'ప్రవేశం (105) పై హండ్రెడ్', 'హండ్రెడ్ ఒక మ్యాచ్లో ప్రతి ఇన్నింగ్స్లో', '8 వ అత్యంత ఇన్నింగ్స్ తొలి డక్ ముందు (46)', 'వరుస ఇన్నింగ్స్లో 10 వ యాభైల్లో (6)', '9 వ మొట్టమొదటి డక్ ముందు అత్యంత ఇన్నింగ్స్ (58) ']</v>
      </c>
      <c r="C7014" s="2" t="s">
        <v>4178</v>
      </c>
      <c r="D7014" s="2" t="str">
        <f>IFERROR(__xludf.DUMMYFUNCTION("IF(C7014&lt;&gt;"""", GOOGLETRANSLATE(C7014, ""en"", ""te""),"""")"),"[ '3 వ అత్యంత తొలి మ్యాచ్లో పరుగులు (275)', '8 వ అత్యంత ఇన్నింగ్స్ తొలి డక్ ముందు (46)']")</f>
        <v>[ '3 వ అత్యంత తొలి మ్యాచ్లో పరుగులు (275)', '8 వ అత్యంత ఇన్నింగ్స్ తొలి డక్ ముందు (46)']</v>
      </c>
      <c r="E7014" s="2" t="s">
        <v>4179</v>
      </c>
      <c r="F7014" s="2" t="str">
        <f>IFERROR(__xludf.DUMMYFUNCTION("IF(E7014&lt;&gt;"""", GOOGLETRANSLATE(E7014, ""en"", ""te""),"""")"),"[ 'వరుస ఇన్నింగ్స్లో 11 వ యాభైల్లో (5)', '24 వ వేగంగా' 1000 పరుగులు (24) కు 11 వ వేగవంతమైన ',' 25 వ అత్యంత ఇన్నింగ్స్ తొలి డక్ ముందు (39) ',' 42 వ అతి తక్కువ బాతులు కెరీర్ లో (28) ', 2000 పరుగులు (54) ',' తొలి వికెట్కు (197) కోసం 47 వ అత్యధిక భాగస్వామ్య"&amp;"ం ']")</f>
        <v>[ 'వరుస ఇన్నింగ్స్లో 11 వ యాభైల్లో (5)', '24 వ వేగంగా' 1000 పరుగులు (24) కు 11 వ వేగవంతమైన ',' 25 వ అత్యంత ఇన్నింగ్స్ తొలి డక్ ముందు (39) ',' 42 వ అతి తక్కువ బాతులు కెరీర్ లో (28) ', 2000 పరుగులు (54) ',' తొలి వికెట్కు (197) కోసం 47 వ అత్యధిక భాగస్వామ్యం ']</v>
      </c>
      <c r="G7014" s="2"/>
      <c r="H7014" s="2" t="str">
        <f>IFERROR(__xludf.DUMMYFUNCTION("IF(G7014&lt;&gt;"""", GOOGLETRANSLATE(G7014, ""en"", ""te""),"""")"),"")</f>
        <v/>
      </c>
      <c r="I7014" s="3"/>
    </row>
    <row r="7015" customHeight="1" spans="1:9">
      <c r="A7015" s="2" t="s">
        <v>4180</v>
      </c>
      <c r="B7015" s="2" t="str">
        <f>IFERROR(__xludf.DUMMYFUNCTION("IF(A7015&lt;&gt;"""", GOOGLETRANSLATE(A7015, ""en"", ""te""),"""")"),"[ '6 వ చాలా కెప్టెన్ ఇన్నింగ్స్ లో నడుస్తుంది (313)' 'ప్రవేశం (107) పై హండ్రెడ్', 'హండ్రెడ్ ఒక మ్యాచ్లో ప్రతి ఇన్నింగ్స్లో', 'హండ్రెడ్ మరియు ఒక మ్యాచ్లో తొంభై', 'హండ్రెడ్ మరియు ఒక డక్ ఒక మ్యాచ్లో 10000 పరుగులు (208) ',' 1 వ అత్యధిక క్యాచ్లు వేగంగా 6 వ మ"&amp;"్యాచ్లో ',' ఒక ప్రత్యామ్నాయంగా ద్వారా (4) ',' 5000 పరుగులు మరియు 50 ఫీల్డింగ్ వికెట్లు ',' మూడో వికెట్కు 8 వ అత్యధిక భాగస్వామ్యం (363 ) ',' ఇన్నింగ్స్ లో 2 వ అత్యధిక క్యాచ్లు (4) ',' 5000 పరుగులు మరియు 50 ఫీల్డింగ్ వికెట్లు ',' వరుస ఇన్నింగ్స్లో 6 వ వందల "&amp;"(3) ']")</f>
        <v>[ '6 వ చాలా కెప్టెన్ ఇన్నింగ్స్ లో నడుస్తుంది (313)' 'ప్రవేశం (107) పై హండ్రెడ్', 'హండ్రెడ్ ఒక మ్యాచ్లో ప్రతి ఇన్నింగ్స్లో', 'హండ్రెడ్ మరియు ఒక మ్యాచ్లో తొంభై', 'హండ్రెడ్ మరియు ఒక డక్ ఒక మ్యాచ్లో 10000 పరుగులు (208) ',' 1 వ అత్యధిక క్యాచ్లు వేగంగా 6 వ మ్యాచ్లో ',' ఒక ప్రత్యామ్నాయంగా ద్వారా (4) ',' 5000 పరుగులు మరియు 50 ఫీల్డింగ్ వికెట్లు ',' మూడో వికెట్కు 8 వ అత్యధిక భాగస్వామ్యం (363 ) ',' ఇన్నింగ్స్ లో 2 వ అత్యధిక క్యాచ్లు (4) ',' 5000 పరుగులు మరియు 50 ఫీల్డింగ్ వికెట్లు ',' వరుస ఇన్నింగ్స్లో 6 వ వందల (3) ']</v>
      </c>
      <c r="C7015" s="2" t="s">
        <v>4181</v>
      </c>
      <c r="D7015" s="2" t="str">
        <f>IFERROR(__xludf.DUMMYFUNCTION("IF(C7015&lt;&gt;"""", GOOGLETRANSLATE(C7015, ""en"", ""te""),"""")"),"[ '13 వ అత్యధిక కెరీర్ లో పరుగులు (10099)', '21 వ ఇన్నింగ్స్ లో అత్యధిక పరుగులు (313) ',' ఒక మ్యాచ్లో 14 వ అత్యధిక పరుగులు (351) ',' 7 వ ఇన్నింగ్స్ లో అత్యధిక పరుగులు (బ్యాటింగ్ స్థానంలో ప్రకారం) (313 ) ',' పరాజయం వైపు ఒక మ్యాచ్లో 44 వ అత్యధిక పరుగులు (2"&amp;"14) ',' ఒక కెప్టెన్తో ఇన్నింగ్స్ లో 6 వ అత్యధిక పరుగులు (313) ',' 30 వ అత్యధిక కెరీర్ బ్యాటింగ్ సగటు (52.05) ',' 6 వ అత్యధిక వందలు ఒక కెరీర్ (34) ',' 7 వ అధిక రెండొందల పరుగులు ఒక వృత్తిలో (6) ',' ఒక వృత్తిలో 5 వ అత్యధిక ట్రిపుల్ సెంచరీలు (1) ',' 6 వ ఒక క్"&amp;"యాలెండర్ సంవత్సరంలో అత్యధిక వందలు (6) ',' 15 వ అత్యధిక వందలు ఒక జట్టు వ్యతిరేకంగా (8) ',' వరుస ఇన్నింగ్స్లో 5 వ వందల (3) ',' వరుస మ్యాచ్లలో 21 వందల (3) ',' 20 వ కెరీర్ అర్ధ (67) ',' 27 వ కెరీర్ బాతులు (19) ',' కెరీర్లో 17 వ ఎక్కువ సిక్స్ (70) ',' 18 వ కెర"&amp;"ీర్ ఫోర్లు (1082) ',' 13 వ లాంగెస్ట్ వ్యక్తిగత ఇన్నింగ్స్ (నిమిషాలు) (760) ',' 15 వ లాంగెస్ట్ వ్యక్తిగత ఇన్నింగ్స్ (బంతులతో) (568) ',' ఫాస్టెస్ట్ 4000 పరుగులు 5000 పరుగులు (106) ',' 16 వ వేగంగా చేయడానికి 6000 పరుగులు (126) ',' 17 వ 7000 పరుగులు వేగంగా 24 "&amp;"(87) ',' 17 వ వేగంగా (14 7) ',' 9000 పరుగులు (184) ',' కెరీర్లో 10000 పరుగులు (208) ',' 13 వ అత్యధిక క్యాచ్లు వేగంగా 6 వ (139) ',' 42 వ 8000 పరుగులు (165) ',' 7 వ వేగవంతమైన వేగంగా 9th ఒక సిరీస్లో అత్యధిక క్యాచ్లు (10) ',' 1 వ ఇన్నింగ్స్ లో ఒక ప్రత్యామ్నా"&amp;"యంగా ద్వారా అత్యధిక క్యాచ్లు (4) ',' 1st ఒక ఆటలో బదులు ద్వారా అత్యధిక క్యాచ్లు (4) ',' ఏ వికెట్కు 34 వ అత్యధిక భాగస్వామ్యాల (363) ',' మూడో వికెట్కు 8 వ అత్యధిక భాగస్వామ్యం (363) ఐదో వికెట్కు ',' 26th అత్యధిక భాగస్వామ్యం (259) ',' తొమ్మిదవ వికెట్కు 13 వ అత"&amp;"్యధిక భాగస్వామ్యం (145) ',' పదవ వికెట్కు 40 వ అత్యధిక భాగస్వామ్యం ( 88 *) ',' 30 వ కెరీర్ లో అత్యధిక మ్యాచ్లు (118) ',' 25 వ అత్యంత ప్లేయర్ ఆఫ్ ది మ్యాచ్ అవార్డులు (10) ',' 24 వ అత్యంత ప్లేయర్ ఆఫ్ ది సిరీస్ అవార్డులు (4) ']")</f>
        <v>[ '13 వ అత్యధిక కెరీర్ లో పరుగులు (10099)', '21 వ ఇన్నింగ్స్ లో అత్యధిక పరుగులు (313) ',' ఒక మ్యాచ్లో 14 వ అత్యధిక పరుగులు (351) ',' 7 వ ఇన్నింగ్స్ లో అత్యధిక పరుగులు (బ్యాటింగ్ స్థానంలో ప్రకారం) (313 ) ',' పరాజయం వైపు ఒక మ్యాచ్లో 44 వ అత్యధిక పరుగులు (214) ',' ఒక కెప్టెన్తో ఇన్నింగ్స్ లో 6 వ అత్యధిక పరుగులు (313) ',' 30 వ అత్యధిక కెరీర్ బ్యాటింగ్ సగటు (52.05) ',' 6 వ అత్యధిక వందలు ఒక కెరీర్ (34) ',' 7 వ అధిక రెండొందల పరుగులు ఒక వృత్తిలో (6) ',' ఒక వృత్తిలో 5 వ అత్యధిక ట్రిపుల్ సెంచరీలు (1) ',' 6 వ ఒక క్యాలెండర్ సంవత్సరంలో అత్యధిక వందలు (6) ',' 15 వ అత్యధిక వందలు ఒక జట్టు వ్యతిరేకంగా (8) ',' వరుస ఇన్నింగ్స్లో 5 వ వందల (3) ',' వరుస మ్యాచ్లలో 21 వందల (3) ',' 20 వ కెరీర్ అర్ధ (67) ',' 27 వ కెరీర్ బాతులు (19) ',' కెరీర్లో 17 వ ఎక్కువ సిక్స్ (70) ',' 18 వ కెరీర్ ఫోర్లు (1082) ',' 13 వ లాంగెస్ట్ వ్యక్తిగత ఇన్నింగ్స్ (నిమిషాలు) (760) ',' 15 వ లాంగెస్ట్ వ్యక్తిగత ఇన్నింగ్స్ (బంతులతో) (568) ',' ఫాస్టెస్ట్ 4000 పరుగులు 5000 పరుగులు (106) ',' 16 వ వేగంగా చేయడానికి 6000 పరుగులు (126) ',' 17 వ 7000 పరుగులు వేగంగా 24 (87) ',' 17 వ వేగంగా (14 7) ',' 9000 పరుగులు (184) ',' కెరీర్లో 10000 పరుగులు (208) ',' 13 వ అత్యధిక క్యాచ్లు వేగంగా 6 వ (139) ',' 42 వ 8000 పరుగులు (165) ',' 7 వ వేగవంతమైన వేగంగా 9th ఒక సిరీస్లో అత్యధిక క్యాచ్లు (10) ',' 1 వ ఇన్నింగ్స్ లో ఒక ప్రత్యామ్నాయంగా ద్వారా అత్యధిక క్యాచ్లు (4) ',' 1st ఒక ఆటలో బదులు ద్వారా అత్యధిక క్యాచ్లు (4) ',' ఏ వికెట్కు 34 వ అత్యధిక భాగస్వామ్యాల (363) ',' మూడో వికెట్కు 8 వ అత్యధిక భాగస్వామ్యం (363) ఐదో వికెట్కు ',' 26th అత్యధిక భాగస్వామ్యం (259) ',' తొమ్మిదవ వికెట్కు 13 వ అత్యధిక భాగస్వామ్యం (145) ',' పదవ వికెట్కు 40 వ అత్యధిక భాగస్వామ్యం ( 88 *) ',' 30 వ కెరీర్ లో అత్యధిక మ్యాచ్లు (118) ',' 25 వ అత్యంత ప్లేయర్ ఆఫ్ ది మ్యాచ్ అవార్డులు (10) ',' 24 వ అత్యంత ప్లేయర్ ఆఫ్ ది సిరీస్ అవార్డులు (4) ']</v>
      </c>
      <c r="E7015" s="2" t="s">
        <v>4182</v>
      </c>
      <c r="F7015" s="2" t="str">
        <f>IFERROR(__xludf.DUMMYFUNCTION("IF(E7015&lt;&gt;"""", GOOGLETRANSLATE(E7015, ""en"", ""te""),"""")"),"[40 వ కెరీర్ లో అత్యధిక పరుగులు (7249) ',' 15 వ ఇన్నింగ్స్ లో అత్యధిక పరుగులు (బ్యాటింగ్ స్థానంలో ప్రకారం) (144) ',' 26th అత్యధిక తొలి వంద (144) ',' 18 వ అత్యంత వృద్ధ ఆటగాడు వంద (37y స్కోర్ 18d ) ',' 41 వ కెరీర్ అర్ధ (55) ',' వరుస ఇన్నింగ్స్లో 44 వ యాభైల"&amp;"్లో (4) ',' 11 వ అత్యంత బాతులు కెరీర్ లో (22) ',' 50 వ అత్యంత ఫోర్లు కెరీర్లో (578) ',' 48 వ వేగంగా 6000 పరుగులు (205) ',' ఫాస్టెస్ట్ 7000 పరుగులు (243) ',' 9 వ కెరీర్లో అత్యధిక క్యాచ్లు (130) ',' 2 వ అత్యధిక క్యాచ్లు ఒక ఇన్నింగ్స్ లో 39 వ (4) ',' ఐదవ విక"&amp;"ెట్కు 13 వ అత్యధిక భాగస్వామ్యం (176) ',' 35 వ కెరీర్ లో అత్యధిక మ్యాచ్లు (265) ',' 44th లాంగెస్ట్ కెరీర్లు (15y 271d) ']")</f>
        <v>[40 వ కెరీర్ లో అత్యధిక పరుగులు (7249) ',' 15 వ ఇన్నింగ్స్ లో అత్యధిక పరుగులు (బ్యాటింగ్ స్థానంలో ప్రకారం) (144) ',' 26th అత్యధిక తొలి వంద (144) ',' 18 వ అత్యంత వృద్ధ ఆటగాడు వంద (37y స్కోర్ 18d ) ',' 41 వ కెరీర్ అర్ధ (55) ',' వరుస ఇన్నింగ్స్లో 44 వ యాభైల్లో (4) ',' 11 వ అత్యంత బాతులు కెరీర్ లో (22) ',' 50 వ అత్యంత ఫోర్లు కెరీర్లో (578) ',' 48 వ వేగంగా 6000 పరుగులు (205) ',' ఫాస్టెస్ట్ 7000 పరుగులు (243) ',' 9 వ కెరీర్లో అత్యధిక క్యాచ్లు (130) ',' 2 వ అత్యధిక క్యాచ్లు ఒక ఇన్నింగ్స్ లో 39 వ (4) ',' ఐదవ వికెట్కు 13 వ అత్యధిక భాగస్వామ్యం (176) ',' 35 వ కెరీర్ లో అత్యధిక మ్యాచ్లు (265) ',' 44th లాంగెస్ట్ కెరీర్లు (15y 271d) ']</v>
      </c>
      <c r="G7015" s="2" t="s">
        <v>4183</v>
      </c>
      <c r="H7015" s="2" t="str">
        <f>IFERROR(__xludf.DUMMYFUNCTION("IF(G7015&lt;&gt;"""", GOOGLETRANSLATE(G7015, ""en"", ""te""),"""")"),"[18 వ అత్యధిక భాగస్వామ్యం నాలుగో వికెట్కు (101) కోసం '' 16 వ ఉత్తమ కెరీర్ సగటు (6.00) (అర్హత లేకుండా) బౌలింగ్ ',]")</f>
        <v>[18 వ అత్యధిక భాగస్వామ్యం నాలుగో వికెట్కు (101) కోసం '' 16 వ ఉత్తమ కెరీర్ సగటు (6.00) (అర్హత లేకుండా) బౌలింగ్ ',]</v>
      </c>
      <c r="I7015" s="3"/>
    </row>
    <row r="7016" customHeight="1" spans="1:9">
      <c r="A7016" s="2"/>
      <c r="B7016" s="2" t="str">
        <f>IFERROR(__xludf.DUMMYFUNCTION("IF(A7016&lt;&gt;"""", GOOGLETRANSLATE(A7016, ""en"", ""te""),"""")"),"")</f>
        <v/>
      </c>
      <c r="C7016" s="2" t="s">
        <v>4184</v>
      </c>
      <c r="D7016" s="2" t="str">
        <f>IFERROR(__xludf.DUMMYFUNCTION("IF(C7016&lt;&gt;"""", GOOGLETRANSLATE(C7016, ""en"", ""te""),"""")"),"[ '33 వ పిన్న క్రీడాకారులు (17y 323d)']")</f>
        <v>[ '33 వ పిన్న క్రీడాకారులు (17y 323d)']</v>
      </c>
      <c r="E7016" s="2"/>
      <c r="F7016" s="2" t="str">
        <f>IFERROR(__xludf.DUMMYFUNCTION("IF(E7016&lt;&gt;"""", GOOGLETRANSLATE(E7016, ""en"", ""te""),"""")"),"")</f>
        <v/>
      </c>
      <c r="G7016" s="2"/>
      <c r="H7016" s="2" t="str">
        <f>IFERROR(__xludf.DUMMYFUNCTION("IF(G7016&lt;&gt;"""", GOOGLETRANSLATE(G7016, ""en"", ""te""),"""")"),"")</f>
        <v/>
      </c>
      <c r="I7016" s="3"/>
    </row>
    <row r="7017" customHeight="1" spans="1:9">
      <c r="A7017" s="2"/>
      <c r="B7017" s="2" t="str">
        <f>IFERROR(__xludf.DUMMYFUNCTION("IF(A7017&lt;&gt;"""", GOOGLETRANSLATE(A7017, ""en"", ""te""),"""")"),"")</f>
        <v/>
      </c>
      <c r="C7017" s="2"/>
      <c r="D7017" s="2" t="str">
        <f>IFERROR(__xludf.DUMMYFUNCTION("IF(C7017&lt;&gt;"""", GOOGLETRANSLATE(C7017, ""en"", ""te""),"""")"),"")</f>
        <v/>
      </c>
      <c r="E7017" s="2"/>
      <c r="F7017" s="2" t="str">
        <f>IFERROR(__xludf.DUMMYFUNCTION("IF(E7017&lt;&gt;"""", GOOGLETRANSLATE(E7017, ""en"", ""te""),"""")"),"")</f>
        <v/>
      </c>
      <c r="G7017" s="2"/>
      <c r="H7017" s="2" t="str">
        <f>IFERROR(__xludf.DUMMYFUNCTION("IF(G7017&lt;&gt;"""", GOOGLETRANSLATE(G7017, ""en"", ""te""),"""")"),"")</f>
        <v/>
      </c>
      <c r="I7017" s="3"/>
    </row>
    <row r="7018" customHeight="1" spans="1:9">
      <c r="A7018" s="2"/>
      <c r="B7018" s="2" t="str">
        <f>IFERROR(__xludf.DUMMYFUNCTION("IF(A7018&lt;&gt;"""", GOOGLETRANSLATE(A7018, ""en"", ""te""),"""")"),"")</f>
        <v/>
      </c>
      <c r="C7018" s="2"/>
      <c r="D7018" s="2" t="str">
        <f>IFERROR(__xludf.DUMMYFUNCTION("IF(C7018&lt;&gt;"""", GOOGLETRANSLATE(C7018, ""en"", ""te""),"""")"),"")</f>
        <v/>
      </c>
      <c r="E7018" s="2"/>
      <c r="F7018" s="2" t="str">
        <f>IFERROR(__xludf.DUMMYFUNCTION("IF(E7018&lt;&gt;"""", GOOGLETRANSLATE(E7018, ""en"", ""te""),"""")"),"")</f>
        <v/>
      </c>
      <c r="G7018" s="2"/>
      <c r="H7018" s="2" t="str">
        <f>IFERROR(__xludf.DUMMYFUNCTION("IF(G7018&lt;&gt;"""", GOOGLETRANSLATE(G7018, ""en"", ""te""),"""")"),"")</f>
        <v/>
      </c>
      <c r="I7018" s="3"/>
    </row>
    <row r="7019" customHeight="1" spans="1:9">
      <c r="A7019" s="2"/>
      <c r="B7019" s="2" t="str">
        <f>IFERROR(__xludf.DUMMYFUNCTION("IF(A7019&lt;&gt;"""", GOOGLETRANSLATE(A7019, ""en"", ""te""),"""")"),"")</f>
        <v/>
      </c>
      <c r="C7019" s="2"/>
      <c r="D7019" s="2" t="str">
        <f>IFERROR(__xludf.DUMMYFUNCTION("IF(C7019&lt;&gt;"""", GOOGLETRANSLATE(C7019, ""en"", ""te""),"""")"),"")</f>
        <v/>
      </c>
      <c r="E7019" s="2" t="s">
        <v>4185</v>
      </c>
      <c r="F7019" s="2" t="str">
        <f>IFERROR(__xludf.DUMMYFUNCTION("IF(E7019&lt;&gt;"""", GOOGLETRANSLATE(E7019, ""en"", ""te""),"""")"),"[ '38 వ వరుస మ్యాచ్లు ఆడి మధ్య జట్టు (130) కోసం తప్పిన']")</f>
        <v>[ '38 వ వరుస మ్యాచ్లు ఆడి మధ్య జట్టు (130) కోసం తప్పిన']</v>
      </c>
      <c r="G7019" s="2"/>
      <c r="H7019" s="2" t="str">
        <f>IFERROR(__xludf.DUMMYFUNCTION("IF(G7019&lt;&gt;"""", GOOGLETRANSLATE(G7019, ""en"", ""te""),"""")"),"")</f>
        <v/>
      </c>
      <c r="I7019" s="3"/>
    </row>
    <row r="7020" customHeight="1" spans="1:9">
      <c r="A7020" s="2"/>
      <c r="B7020" s="2" t="str">
        <f>IFERROR(__xludf.DUMMYFUNCTION("IF(A7020&lt;&gt;"""", GOOGLETRANSLATE(A7020, ""en"", ""te""),"""")"),"")</f>
        <v/>
      </c>
      <c r="C7020" s="2"/>
      <c r="D7020" s="2" t="str">
        <f>IFERROR(__xludf.DUMMYFUNCTION("IF(C7020&lt;&gt;"""", GOOGLETRANSLATE(C7020, ""en"", ""te""),"""")"),"")</f>
        <v/>
      </c>
      <c r="E7020" s="2"/>
      <c r="F7020" s="2" t="str">
        <f>IFERROR(__xludf.DUMMYFUNCTION("IF(E7020&lt;&gt;"""", GOOGLETRANSLATE(E7020, ""en"", ""te""),"""")"),"")</f>
        <v/>
      </c>
      <c r="G7020" s="2"/>
      <c r="H7020" s="2" t="str">
        <f>IFERROR(__xludf.DUMMYFUNCTION("IF(G7020&lt;&gt;"""", GOOGLETRANSLATE(G7020, ""en"", ""te""),"""")"),"")</f>
        <v/>
      </c>
      <c r="I7020" s="3"/>
    </row>
    <row r="7021" customHeight="1" spans="1:9">
      <c r="A7021" s="2"/>
      <c r="B7021" s="2" t="str">
        <f>IFERROR(__xludf.DUMMYFUNCTION("IF(A7021&lt;&gt;"""", GOOGLETRANSLATE(A7021, ""en"", ""te""),"""")"),"")</f>
        <v/>
      </c>
      <c r="C7021" s="2"/>
      <c r="D7021" s="2" t="str">
        <f>IFERROR(__xludf.DUMMYFUNCTION("IF(C7021&lt;&gt;"""", GOOGLETRANSLATE(C7021, ""en"", ""te""),"""")"),"")</f>
        <v/>
      </c>
      <c r="E7021" s="2"/>
      <c r="F7021" s="2" t="str">
        <f>IFERROR(__xludf.DUMMYFUNCTION("IF(E7021&lt;&gt;"""", GOOGLETRANSLATE(E7021, ""en"", ""te""),"""")"),"")</f>
        <v/>
      </c>
      <c r="G7021" s="2" t="s">
        <v>1622</v>
      </c>
      <c r="H7021" s="2" t="str">
        <f>IFERROR(__xludf.DUMMYFUNCTION("IF(G7021&lt;&gt;"""", GOOGLETRANSLATE(G7021, ""en"", ""te""),"""")"),"[ '42 వ వరుస మ్యాచ్లు ప్రదర్శనల మధ్య బృందం (38) తప్పిన']")</f>
        <v>[ '42 వ వరుస మ్యాచ్లు ప్రదర్శనల మధ్య బృందం (38) తప్పిన']</v>
      </c>
      <c r="I7021" s="3"/>
    </row>
    <row r="7022" customHeight="1" spans="1:9">
      <c r="A7022" s="2"/>
      <c r="B7022" s="2" t="str">
        <f>IFERROR(__xludf.DUMMYFUNCTION("IF(A7022&lt;&gt;"""", GOOGLETRANSLATE(A7022, ""en"", ""te""),"""")"),"")</f>
        <v/>
      </c>
      <c r="C7022" s="2"/>
      <c r="D7022" s="2" t="str">
        <f>IFERROR(__xludf.DUMMYFUNCTION("IF(C7022&lt;&gt;"""", GOOGLETRANSLATE(C7022, ""en"", ""te""),"""")"),"")</f>
        <v/>
      </c>
      <c r="E7022" s="2"/>
      <c r="F7022" s="2" t="str">
        <f>IFERROR(__xludf.DUMMYFUNCTION("IF(E7022&lt;&gt;"""", GOOGLETRANSLATE(E7022, ""en"", ""te""),"""")"),"")</f>
        <v/>
      </c>
      <c r="G7022" s="2"/>
      <c r="H7022" s="2" t="str">
        <f>IFERROR(__xludf.DUMMYFUNCTION("IF(G7022&lt;&gt;"""", GOOGLETRANSLATE(G7022, ""en"", ""te""),"""")"),"")</f>
        <v/>
      </c>
      <c r="I7022" s="3"/>
    </row>
    <row r="7023" customHeight="1" spans="1:9">
      <c r="A7023" s="2" t="s">
        <v>2124</v>
      </c>
      <c r="B7023" s="2" t="str">
        <f>IFERROR(__xludf.DUMMYFUNCTION("IF(A7023&lt;&gt;"""", GOOGLETRANSLATE(A7023, ""en"", ""te""),"""")"),"[ '8 వ కెరీర్ (34) వెనుదిరిగాడు']")</f>
        <v>[ '8 వ కెరీర్ (34) వెనుదిరిగాడు']</v>
      </c>
      <c r="C7023" s="2" t="s">
        <v>4186</v>
      </c>
      <c r="D7023" s="2" t="str">
        <f>IFERROR(__xludf.DUMMYFUNCTION("IF(C7023&lt;&gt;"""", GOOGLETRANSLATE(C7023, ""en"", ""te""),"""")"),"[ '12 వ పిన్న క్రీడాకారులు (17y 5D)']")</f>
        <v>[ '12 వ పిన్న క్రీడాకారులు (17y 5D)']</v>
      </c>
      <c r="E7023" s="2" t="s">
        <v>4187</v>
      </c>
      <c r="F7023" s="2" t="str">
        <f>IFERROR(__xludf.DUMMYFUNCTION("IF(E7023&lt;&gt;"""", GOOGLETRANSLATE(E7023, ""en"", ""te""),"""")"),"[ '22 వ పిన్న క్రీడాకారులు (16y 361d)']")</f>
        <v>[ '22 వ పిన్న క్రీడాకారులు (16y 361d)']</v>
      </c>
      <c r="G7023" s="2"/>
      <c r="H7023" s="2" t="str">
        <f>IFERROR(__xludf.DUMMYFUNCTION("IF(G7023&lt;&gt;"""", GOOGLETRANSLATE(G7023, ""en"", ""te""),"""")"),"")</f>
        <v/>
      </c>
      <c r="I7023" s="3"/>
    </row>
    <row r="7024" customHeight="1" spans="1:9">
      <c r="A7024" s="2"/>
      <c r="B7024" s="2" t="str">
        <f>IFERROR(__xludf.DUMMYFUNCTION("IF(A7024&lt;&gt;"""", GOOGLETRANSLATE(A7024, ""en"", ""te""),"""")"),"")</f>
        <v/>
      </c>
      <c r="C7024" s="2"/>
      <c r="D7024" s="2" t="str">
        <f>IFERROR(__xludf.DUMMYFUNCTION("IF(C7024&lt;&gt;"""", GOOGLETRANSLATE(C7024, ""en"", ""te""),"""")"),"")</f>
        <v/>
      </c>
      <c r="E7024" s="2"/>
      <c r="F7024" s="2" t="str">
        <f>IFERROR(__xludf.DUMMYFUNCTION("IF(E7024&lt;&gt;"""", GOOGLETRANSLATE(E7024, ""en"", ""te""),"""")"),"")</f>
        <v/>
      </c>
      <c r="G7024" s="2"/>
      <c r="H7024" s="2" t="str">
        <f>IFERROR(__xludf.DUMMYFUNCTION("IF(G7024&lt;&gt;"""", GOOGLETRANSLATE(G7024, ""en"", ""te""),"""")"),"")</f>
        <v/>
      </c>
      <c r="I7024" s="3"/>
    </row>
    <row r="7025" customHeight="1" spans="1:9">
      <c r="A7025" s="2"/>
      <c r="B7025" s="2" t="str">
        <f>IFERROR(__xludf.DUMMYFUNCTION("IF(A7025&lt;&gt;"""", GOOGLETRANSLATE(A7025, ""en"", ""te""),"""")"),"")</f>
        <v/>
      </c>
      <c r="C7025" s="2"/>
      <c r="D7025" s="2" t="str">
        <f>IFERROR(__xludf.DUMMYFUNCTION("IF(C7025&lt;&gt;"""", GOOGLETRANSLATE(C7025, ""en"", ""te""),"""")"),"")</f>
        <v/>
      </c>
      <c r="E7025" s="2"/>
      <c r="F7025" s="2" t="str">
        <f>IFERROR(__xludf.DUMMYFUNCTION("IF(E7025&lt;&gt;"""", GOOGLETRANSLATE(E7025, ""en"", ""te""),"""")"),"")</f>
        <v/>
      </c>
      <c r="G7025" s="2"/>
      <c r="H7025" s="2" t="str">
        <f>IFERROR(__xludf.DUMMYFUNCTION("IF(G7025&lt;&gt;"""", GOOGLETRANSLATE(G7025, ""en"", ""te""),"""")"),"")</f>
        <v/>
      </c>
      <c r="I7025" s="3"/>
    </row>
    <row r="7026" customHeight="1" spans="1:9">
      <c r="A7026" s="2" t="s">
        <v>4188</v>
      </c>
      <c r="B7026" s="2" t="str">
        <f>IFERROR(__xludf.DUMMYFUNCTION("IF(A7026&lt;&gt;"""", GOOGLETRANSLATE(A7026, ""en"", ""te""),"""")"),"[ 'వరుస ఇన్నింగ్స్లో 5 వ వందల (3)', 'హండ్రెడ్ మరియు ఒక మ్యాచ్లో తొంభై', 'వరుస ఇన్నింగ్స్లో 7 వ యాభైల్లో (6)', 'బ్యాటింగ్ తెరవడం మరియు అదే మ్యాచ్ లో బౌలింగ్', '6 వ అత్యధిక కొరకు చేసిన భాగస్వామ్యం తొమ్మిదవ వికెట్ (161) ',' వరుస ఇన్నింగ్స్లో 2 వ వందల (3) '"&amp;",' 2nd 2000 వరకు వేగంగా పరుగులు (45) ',' వరుస ఇన్నింగ్స్లో 1st వందల (5) ']")</f>
        <v>[ 'వరుస ఇన్నింగ్స్లో 5 వ వందల (3)', 'హండ్రెడ్ మరియు ఒక మ్యాచ్లో తొంభై', 'వరుస ఇన్నింగ్స్లో 7 వ యాభైల్లో (6)', 'బ్యాటింగ్ తెరవడం మరియు అదే మ్యాచ్ లో బౌలింగ్', '6 వ అత్యధిక కొరకు చేసిన భాగస్వామ్యం తొమ్మిదవ వికెట్ (161) ',' వరుస ఇన్నింగ్స్లో 2 వ వందల (3) ',' 2nd 2000 వరకు వేగంగా పరుగులు (45) ',' వరుస ఇన్నింగ్స్లో 1st వందల (5) ']</v>
      </c>
      <c r="C7026" s="2" t="s">
        <v>4189</v>
      </c>
      <c r="D7026" s="2" t="str">
        <f>IFERROR(__xludf.DUMMYFUNCTION("IF(C7026&lt;&gt;"""", GOOGLETRANSLATE(C7026, ""en"", ""te""),"""")"),"[ 'వరుస ఇన్నింగ్స్లో 5 వ వందల (3)', 'వరుస మ్యాచ్లలో 21 వందల (3)', '6 వ అత్యధిక తొలి వంద (274)', '25 వ పిన్న ఆటగాడు' 17 వ అత్యంత వృత్తిగా (4) లో డబుల్ సెంచరీలు ' డబుల్ సెంచరీ (23y 314d) స్కోర్ ',' ఇన్నింగ్స్ లో వరుస ఇన్నింగ్స్ (6) ', '21 వ అత్యంత ఫోర్లు 7 "&amp;"వ యాభైల్లో (38)', 'ఇన్నింగ్స్ లో ఫోర్లు, సిక్సర్లు నుండి 34 వ అత్యధిక పరుగులు (152)', '42 వ వేగవంతమైన 4000 పరుగులు (92)', '39 వ 5000 పరుగులు (116) వేగంగా', 'రెండవ వికెట్కు 22 అత్యధిక భాగస్వామ్యం (291)', 'నాలుగవ వికెట్కు 42 వ అత్యధిక భాగస్వామ్యం (255)', "&amp;"'6 వ తొమ్మిదవ వికెట్కు అత్యధిక భాగస్వామ్యం (161) ',' కెప్టెన్సీ ప్రవేశం (36y 52d) పై 41 వ ఓల్డెస్ట్ కెప్టెన్లు ']")</f>
        <v>[ 'వరుస ఇన్నింగ్స్లో 5 వ వందల (3)', 'వరుస మ్యాచ్లలో 21 వందల (3)', '6 వ అత్యధిక తొలి వంద (274)', '25 వ పిన్న ఆటగాడు' 17 వ అత్యంత వృత్తిగా (4) లో డబుల్ సెంచరీలు ' డబుల్ సెంచరీ (23y 314d) స్కోర్ ',' ఇన్నింగ్స్ లో వరుస ఇన్నింగ్స్ (6) ', '21 వ అత్యంత ఫోర్లు 7 వ యాభైల్లో (38)', 'ఇన్నింగ్స్ లో ఫోర్లు, సిక్సర్లు నుండి 34 వ అత్యధిక పరుగులు (152)', '42 వ వేగవంతమైన 4000 పరుగులు (92)', '39 వ 5000 పరుగులు (116) వేగంగా', 'రెండవ వికెట్కు 22 అత్యధిక భాగస్వామ్యం (291)', 'నాలుగవ వికెట్కు 42 వ అత్యధిక భాగస్వామ్యం (255)', '6 వ తొమ్మిదవ వికెట్కు అత్యధిక భాగస్వామ్యం (161) ',' కెప్టెన్సీ ప్రవేశం (36y 52d) పై 41 వ ఓల్డెస్ట్ కెప్టెన్లు ']</v>
      </c>
      <c r="E7026" s="2" t="s">
        <v>4190</v>
      </c>
      <c r="F7026" s="2" t="str">
        <f>IFERROR(__xludf.DUMMYFUNCTION("IF(E7026&lt;&gt;"""", GOOGLETRANSLATE(E7026, ""en"", ""te""),"""")"),"[ '20 వ అత్యధిక కెరీర్ బ్యాటింగ్ సగటు (47.62)', 'వరుస 3 వ అత్యధిక వందలు (3)', '29th ఒక క్యాలెండర్ సంవత్సరంలో అత్యధిక వందలు (4)', 'వరుస ఇన్నింగ్స్లో 2 వ వందల (3)', '25 వ కన్య వందల (34y 146d) ',' వరుస ఇన్నింగ్స్లో 44 వ యాభైల్లో (4) ',' 29 వ అత్యధిక ఇన్నింగ"&amp;"్స్ తొలి డక్ ముందు (37) 'స్కోర్', '14 వ అత్యంత వృద్ధ ఆటగాడు వంద (331d 35y) స్కోర్ పురాతన ప్లేయర్, కెప్టెన్సీ తొలి 'కెరీర్లో 33 వ అతి తక్కువ బాతులు (30)', 'ఫాస్టెస్ట్ 20 వ 1000 పరుగులు (26)', '2nd 2000 వరకు వేగంగా పరుగులు (45)', '32 వ ఓల్డెస్ట్ కాప్టెన్ (3"&amp;"7y 136d)', '35 వ ఓల్డెస్ట్ కెప్టెన్లు (34y 250d) ']")</f>
        <v>[ '20 వ అత్యధిక కెరీర్ బ్యాటింగ్ సగటు (47.62)', 'వరుస 3 వ అత్యధిక వందలు (3)', '29th ఒక క్యాలెండర్ సంవత్సరంలో అత్యధిక వందలు (4)', 'వరుస ఇన్నింగ్స్లో 2 వ వందల (3)', '25 వ కన్య వందల (34y 146d) ',' వరుస ఇన్నింగ్స్లో 44 వ యాభైల్లో (4) ',' 29 వ అత్యధిక ఇన్నింగ్స్ తొలి డక్ ముందు (37) 'స్కోర్', '14 వ అత్యంత వృద్ధ ఆటగాడు వంద (331d 35y) స్కోర్ పురాతన ప్లేయర్, కెప్టెన్సీ తొలి 'కెరీర్లో 33 వ అతి తక్కువ బాతులు (30)', 'ఫాస్టెస్ట్ 20 వ 1000 పరుగులు (26)', '2nd 2000 వరకు వేగంగా పరుగులు (45)', '32 వ ఓల్డెస్ట్ కాప్టెన్ (37y 136d)', '35 వ ఓల్డెస్ట్ కెప్టెన్లు (34y 250d) ']</v>
      </c>
      <c r="G7026" s="2"/>
      <c r="H7026" s="2" t="str">
        <f>IFERROR(__xludf.DUMMYFUNCTION("IF(G7026&lt;&gt;"""", GOOGLETRANSLATE(G7026, ""en"", ""te""),"""")"),"")</f>
        <v/>
      </c>
      <c r="I7026" s="3"/>
    </row>
    <row r="7027" customHeight="1" spans="1:9">
      <c r="A7027" s="2"/>
      <c r="B7027" s="2" t="str">
        <f>IFERROR(__xludf.DUMMYFUNCTION("IF(A7027&lt;&gt;"""", GOOGLETRANSLATE(A7027, ""en"", ""te""),"""")"),"")</f>
        <v/>
      </c>
      <c r="C7027" s="2"/>
      <c r="D7027" s="2" t="str">
        <f>IFERROR(__xludf.DUMMYFUNCTION("IF(C7027&lt;&gt;"""", GOOGLETRANSLATE(C7027, ""en"", ""te""),"""")"),"")</f>
        <v/>
      </c>
      <c r="E7027" s="2"/>
      <c r="F7027" s="2" t="str">
        <f>IFERROR(__xludf.DUMMYFUNCTION("IF(E7027&lt;&gt;"""", GOOGLETRANSLATE(E7027, ""en"", ""te""),"""")"),"")</f>
        <v/>
      </c>
      <c r="G7027" s="2"/>
      <c r="H7027" s="2" t="str">
        <f>IFERROR(__xludf.DUMMYFUNCTION("IF(G7027&lt;&gt;"""", GOOGLETRANSLATE(G7027, ""en"", ""te""),"""")"),"")</f>
        <v/>
      </c>
      <c r="I7027" s="3"/>
    </row>
    <row r="7028" customHeight="1" spans="1:9">
      <c r="A7028" s="2"/>
      <c r="B7028" s="2" t="str">
        <f>IFERROR(__xludf.DUMMYFUNCTION("IF(A7028&lt;&gt;"""", GOOGLETRANSLATE(A7028, ""en"", ""te""),"""")"),"")</f>
        <v/>
      </c>
      <c r="C7028" s="2"/>
      <c r="D7028" s="2" t="str">
        <f>IFERROR(__xludf.DUMMYFUNCTION("IF(C7028&lt;&gt;"""", GOOGLETRANSLATE(C7028, ""en"", ""te""),"""")"),"")</f>
        <v/>
      </c>
      <c r="E7028" s="2"/>
      <c r="F7028" s="2" t="str">
        <f>IFERROR(__xludf.DUMMYFUNCTION("IF(E7028&lt;&gt;"""", GOOGLETRANSLATE(E7028, ""en"", ""te""),"""")"),"")</f>
        <v/>
      </c>
      <c r="G7028" s="2"/>
      <c r="H7028" s="2" t="str">
        <f>IFERROR(__xludf.DUMMYFUNCTION("IF(G7028&lt;&gt;"""", GOOGLETRANSLATE(G7028, ""en"", ""te""),"""")"),"")</f>
        <v/>
      </c>
      <c r="I7028" s="3"/>
    </row>
    <row r="7029" customHeight="1" spans="1:9">
      <c r="A7029" s="2"/>
      <c r="B7029" s="2" t="str">
        <f>IFERROR(__xludf.DUMMYFUNCTION("IF(A7029&lt;&gt;"""", GOOGLETRANSLATE(A7029, ""en"", ""te""),"""")"),"")</f>
        <v/>
      </c>
      <c r="C7029" s="2"/>
      <c r="D7029" s="2" t="str">
        <f>IFERROR(__xludf.DUMMYFUNCTION("IF(C7029&lt;&gt;"""", GOOGLETRANSLATE(C7029, ""en"", ""te""),"""")"),"")</f>
        <v/>
      </c>
      <c r="E7029" s="2"/>
      <c r="F7029" s="2" t="str">
        <f>IFERROR(__xludf.DUMMYFUNCTION("IF(E7029&lt;&gt;"""", GOOGLETRANSLATE(E7029, ""en"", ""te""),"""")"),"")</f>
        <v/>
      </c>
      <c r="G7029" s="2"/>
      <c r="H7029" s="2" t="str">
        <f>IFERROR(__xludf.DUMMYFUNCTION("IF(G7029&lt;&gt;"""", GOOGLETRANSLATE(G7029, ""en"", ""te""),"""")"),"")</f>
        <v/>
      </c>
      <c r="I7029" s="3"/>
    </row>
    <row r="7030" customHeight="1" spans="1:9">
      <c r="A7030" s="2"/>
      <c r="B7030" s="2" t="str">
        <f>IFERROR(__xludf.DUMMYFUNCTION("IF(A7030&lt;&gt;"""", GOOGLETRANSLATE(A7030, ""en"", ""te""),"""")"),"")</f>
        <v/>
      </c>
      <c r="C7030" s="2"/>
      <c r="D7030" s="2" t="str">
        <f>IFERROR(__xludf.DUMMYFUNCTION("IF(C7030&lt;&gt;"""", GOOGLETRANSLATE(C7030, ""en"", ""te""),"""")"),"")</f>
        <v/>
      </c>
      <c r="E7030" s="2"/>
      <c r="F7030" s="2" t="str">
        <f>IFERROR(__xludf.DUMMYFUNCTION("IF(E7030&lt;&gt;"""", GOOGLETRANSLATE(E7030, ""en"", ""te""),"""")"),"")</f>
        <v/>
      </c>
      <c r="G7030" s="2"/>
      <c r="H7030" s="2" t="str">
        <f>IFERROR(__xludf.DUMMYFUNCTION("IF(G7030&lt;&gt;"""", GOOGLETRANSLATE(G7030, ""en"", ""te""),"""")"),"")</f>
        <v/>
      </c>
      <c r="I7030" s="3"/>
    </row>
    <row r="7031" customHeight="1" spans="1:9">
      <c r="A7031" s="2"/>
      <c r="B7031" s="2" t="str">
        <f>IFERROR(__xludf.DUMMYFUNCTION("IF(A7031&lt;&gt;"""", GOOGLETRANSLATE(A7031, ""en"", ""te""),"""")"),"")</f>
        <v/>
      </c>
      <c r="C7031" s="2"/>
      <c r="D7031" s="2" t="str">
        <f>IFERROR(__xludf.DUMMYFUNCTION("IF(C7031&lt;&gt;"""", GOOGLETRANSLATE(C7031, ""en"", ""te""),"""")"),"")</f>
        <v/>
      </c>
      <c r="E7031" s="2"/>
      <c r="F7031" s="2" t="str">
        <f>IFERROR(__xludf.DUMMYFUNCTION("IF(E7031&lt;&gt;"""", GOOGLETRANSLATE(E7031, ""en"", ""te""),"""")"),"")</f>
        <v/>
      </c>
      <c r="G7031" s="2"/>
      <c r="H7031" s="2" t="str">
        <f>IFERROR(__xludf.DUMMYFUNCTION("IF(G7031&lt;&gt;"""", GOOGLETRANSLATE(G7031, ""en"", ""te""),"""")"),"")</f>
        <v/>
      </c>
      <c r="I7031" s="3"/>
    </row>
    <row r="7032" customHeight="1" spans="1:9">
      <c r="A7032" s="2"/>
      <c r="B7032" s="2" t="str">
        <f>IFERROR(__xludf.DUMMYFUNCTION("IF(A7032&lt;&gt;"""", GOOGLETRANSLATE(A7032, ""en"", ""te""),"""")"),"")</f>
        <v/>
      </c>
      <c r="C7032" s="2"/>
      <c r="D7032" s="2" t="str">
        <f>IFERROR(__xludf.DUMMYFUNCTION("IF(C7032&lt;&gt;"""", GOOGLETRANSLATE(C7032, ""en"", ""te""),"""")"),"")</f>
        <v/>
      </c>
      <c r="E7032" s="2"/>
      <c r="F7032" s="2" t="str">
        <f>IFERROR(__xludf.DUMMYFUNCTION("IF(E7032&lt;&gt;"""", GOOGLETRANSLATE(E7032, ""en"", ""te""),"""")"),"")</f>
        <v/>
      </c>
      <c r="G7032" s="2"/>
      <c r="H7032" s="2" t="str">
        <f>IFERROR(__xludf.DUMMYFUNCTION("IF(G7032&lt;&gt;"""", GOOGLETRANSLATE(G7032, ""en"", ""te""),"""")"),"")</f>
        <v/>
      </c>
      <c r="I7032" s="3"/>
    </row>
    <row r="7033" customHeight="1" spans="1:9">
      <c r="A7033" s="2"/>
      <c r="B7033" s="2" t="str">
        <f>IFERROR(__xludf.DUMMYFUNCTION("IF(A7033&lt;&gt;"""", GOOGLETRANSLATE(A7033, ""en"", ""te""),"""")"),"")</f>
        <v/>
      </c>
      <c r="C7033" s="2"/>
      <c r="D7033" s="2" t="str">
        <f>IFERROR(__xludf.DUMMYFUNCTION("IF(C7033&lt;&gt;"""", GOOGLETRANSLATE(C7033, ""en"", ""te""),"""")"),"")</f>
        <v/>
      </c>
      <c r="E7033" s="2"/>
      <c r="F7033" s="2" t="str">
        <f>IFERROR(__xludf.DUMMYFUNCTION("IF(E7033&lt;&gt;"""", GOOGLETRANSLATE(E7033, ""en"", ""te""),"""")"),"")</f>
        <v/>
      </c>
      <c r="G7033" s="2"/>
      <c r="H7033" s="2" t="str">
        <f>IFERROR(__xludf.DUMMYFUNCTION("IF(G7033&lt;&gt;"""", GOOGLETRANSLATE(G7033, ""en"", ""te""),"""")"),"")</f>
        <v/>
      </c>
      <c r="I7033" s="3"/>
    </row>
    <row r="7034" customHeight="1" spans="1:9">
      <c r="A7034" s="2" t="s">
        <v>1127</v>
      </c>
      <c r="B7034" s="2" t="str">
        <f>IFERROR(__xludf.DUMMYFUNCTION("IF(A7034&lt;&gt;"""", GOOGLETRANSLATE(A7034, ""en"", ""te""),"""")"),"[ '6 వ చెత్త సమ్మె ఇన్నింగ్స్ లో రేటు (432.0)']")</f>
        <v>[ '6 వ చెత్త సమ్మె ఇన్నింగ్స్ లో రేటు (432.0)']</v>
      </c>
      <c r="C7034" s="2" t="s">
        <v>4191</v>
      </c>
      <c r="D7034" s="2" t="str">
        <f>IFERROR(__xludf.DUMMYFUNCTION("IF(C7034&lt;&gt;"""", GOOGLETRANSLATE(C7034, ""en"", ""te""),"""")"),"[ 'ఇన్నింగ్స్ లో 6 వ చెత్త సమ్మె రేటు (432.0)', '25 వ అత్యంత వృద్ధ ఆటగాడు ఒక ఐదు మైడెన్-వికెట్ల లో-ఒక-ఇన్నింగ్స్ (35y 316d) తీసుకోవాలని' 'ఇన్నింగ్స్ లో బౌల్డ్ 40 వ అత్యంత బంతుల్లో (432)']")</f>
        <v>[ 'ఇన్నింగ్స్ లో 6 వ చెత్త సమ్మె రేటు (432.0)', '25 వ అత్యంత వృద్ధ ఆటగాడు ఒక ఐదు మైడెన్-వికెట్ల లో-ఒక-ఇన్నింగ్స్ (35y 316d) తీసుకోవాలని' 'ఇన్నింగ్స్ లో బౌల్డ్ 40 వ అత్యంత బంతుల్లో (432)']</v>
      </c>
      <c r="E7034" s="2"/>
      <c r="F7034" s="2" t="str">
        <f>IFERROR(__xludf.DUMMYFUNCTION("IF(E7034&lt;&gt;"""", GOOGLETRANSLATE(E7034, ""en"", ""te""),"""")"),"")</f>
        <v/>
      </c>
      <c r="G7034" s="2"/>
      <c r="H7034" s="2" t="str">
        <f>IFERROR(__xludf.DUMMYFUNCTION("IF(G7034&lt;&gt;"""", GOOGLETRANSLATE(G7034, ""en"", ""te""),"""")"),"")</f>
        <v/>
      </c>
      <c r="I7034" s="3"/>
    </row>
    <row r="7035" customHeight="1" spans="1:9">
      <c r="A7035" s="2"/>
      <c r="B7035" s="2" t="str">
        <f>IFERROR(__xludf.DUMMYFUNCTION("IF(A7035&lt;&gt;"""", GOOGLETRANSLATE(A7035, ""en"", ""te""),"""")"),"")</f>
        <v/>
      </c>
      <c r="C7035" s="2"/>
      <c r="D7035" s="2" t="str">
        <f>IFERROR(__xludf.DUMMYFUNCTION("IF(C7035&lt;&gt;"""", GOOGLETRANSLATE(C7035, ""en"", ""te""),"""")"),"")</f>
        <v/>
      </c>
      <c r="E7035" s="2"/>
      <c r="F7035" s="2" t="str">
        <f>IFERROR(__xludf.DUMMYFUNCTION("IF(E7035&lt;&gt;"""", GOOGLETRANSLATE(E7035, ""en"", ""te""),"""")"),"")</f>
        <v/>
      </c>
      <c r="G7035" s="2"/>
      <c r="H7035" s="2" t="str">
        <f>IFERROR(__xludf.DUMMYFUNCTION("IF(G7035&lt;&gt;"""", GOOGLETRANSLATE(G7035, ""en"", ""te""),"""")"),"")</f>
        <v/>
      </c>
      <c r="I7035" s="3"/>
    </row>
    <row r="7036" customHeight="1" spans="1:9">
      <c r="A7036" s="2"/>
      <c r="B7036" s="2" t="str">
        <f>IFERROR(__xludf.DUMMYFUNCTION("IF(A7036&lt;&gt;"""", GOOGLETRANSLATE(A7036, ""en"", ""te""),"""")"),"")</f>
        <v/>
      </c>
      <c r="C7036" s="2"/>
      <c r="D7036" s="2" t="str">
        <f>IFERROR(__xludf.DUMMYFUNCTION("IF(C7036&lt;&gt;"""", GOOGLETRANSLATE(C7036, ""en"", ""te""),"""")"),"")</f>
        <v/>
      </c>
      <c r="E7036" s="2"/>
      <c r="F7036" s="2" t="str">
        <f>IFERROR(__xludf.DUMMYFUNCTION("IF(E7036&lt;&gt;"""", GOOGLETRANSLATE(E7036, ""en"", ""te""),"""")"),"")</f>
        <v/>
      </c>
      <c r="G7036" s="2"/>
      <c r="H7036" s="2" t="str">
        <f>IFERROR(__xludf.DUMMYFUNCTION("IF(G7036&lt;&gt;"""", GOOGLETRANSLATE(G7036, ""en"", ""te""),"""")"),"")</f>
        <v/>
      </c>
      <c r="I7036" s="3"/>
    </row>
    <row r="7037" customHeight="1" spans="1:9">
      <c r="A7037" s="2"/>
      <c r="B7037" s="2" t="str">
        <f>IFERROR(__xludf.DUMMYFUNCTION("IF(A7037&lt;&gt;"""", GOOGLETRANSLATE(A7037, ""en"", ""te""),"""")"),"")</f>
        <v/>
      </c>
      <c r="C7037" s="2"/>
      <c r="D7037" s="2" t="str">
        <f>IFERROR(__xludf.DUMMYFUNCTION("IF(C7037&lt;&gt;"""", GOOGLETRANSLATE(C7037, ""en"", ""te""),"""")"),"")</f>
        <v/>
      </c>
      <c r="E7037" s="2"/>
      <c r="F7037" s="2" t="str">
        <f>IFERROR(__xludf.DUMMYFUNCTION("IF(E7037&lt;&gt;"""", GOOGLETRANSLATE(E7037, ""en"", ""te""),"""")"),"")</f>
        <v/>
      </c>
      <c r="G7037" s="2"/>
      <c r="H7037" s="2" t="str">
        <f>IFERROR(__xludf.DUMMYFUNCTION("IF(G7037&lt;&gt;"""", GOOGLETRANSLATE(G7037, ""en"", ""te""),"""")"),"")</f>
        <v/>
      </c>
      <c r="I7037" s="3"/>
    </row>
    <row r="7038" customHeight="1" spans="1:9">
      <c r="A7038" s="2" t="s">
        <v>175</v>
      </c>
      <c r="B7038" s="2" t="str">
        <f>IFERROR(__xludf.DUMMYFUNCTION("IF(A7038&lt;&gt;"""", GOOGLETRANSLATE(A7038, ""en"", ""te""),"""")"),"[ 'ఒక సిరీస్లో 6 వ అత్యంత బాతులు (3)']")</f>
        <v>[ 'ఒక సిరీస్లో 6 వ అత్యంత బాతులు (3)']</v>
      </c>
      <c r="C7038" s="2"/>
      <c r="D7038" s="2" t="str">
        <f>IFERROR(__xludf.DUMMYFUNCTION("IF(C7038&lt;&gt;"""", GOOGLETRANSLATE(C7038, ""en"", ""te""),"""")"),"")</f>
        <v/>
      </c>
      <c r="E7038" s="2" t="s">
        <v>175</v>
      </c>
      <c r="F7038" s="2" t="str">
        <f>IFERROR(__xludf.DUMMYFUNCTION("IF(E7038&lt;&gt;"""", GOOGLETRANSLATE(E7038, ""en"", ""te""),"""")"),"[ 'ఒక సిరీస్లో 6 వ అత్యంత బాతులు (3)']")</f>
        <v>[ 'ఒక సిరీస్లో 6 వ అత్యంత బాతులు (3)']</v>
      </c>
      <c r="G7038" s="2"/>
      <c r="H7038" s="2" t="str">
        <f>IFERROR(__xludf.DUMMYFUNCTION("IF(G7038&lt;&gt;"""", GOOGLETRANSLATE(G7038, ""en"", ""te""),"""")"),"")</f>
        <v/>
      </c>
      <c r="I7038" s="3"/>
    </row>
    <row r="7039" customHeight="1" spans="1:9">
      <c r="A7039" s="2"/>
      <c r="B7039" s="2" t="str">
        <f>IFERROR(__xludf.DUMMYFUNCTION("IF(A7039&lt;&gt;"""", GOOGLETRANSLATE(A7039, ""en"", ""te""),"""")"),"")</f>
        <v/>
      </c>
      <c r="C7039" s="2"/>
      <c r="D7039" s="2" t="str">
        <f>IFERROR(__xludf.DUMMYFUNCTION("IF(C7039&lt;&gt;"""", GOOGLETRANSLATE(C7039, ""en"", ""te""),"""")"),"")</f>
        <v/>
      </c>
      <c r="E7039" s="2"/>
      <c r="F7039" s="2" t="str">
        <f>IFERROR(__xludf.DUMMYFUNCTION("IF(E7039&lt;&gt;"""", GOOGLETRANSLATE(E7039, ""en"", ""te""),"""")"),"")</f>
        <v/>
      </c>
      <c r="G7039" s="2"/>
      <c r="H7039" s="2" t="str">
        <f>IFERROR(__xludf.DUMMYFUNCTION("IF(G7039&lt;&gt;"""", GOOGLETRANSLATE(G7039, ""en"", ""te""),"""")"),"")</f>
        <v/>
      </c>
      <c r="I7039" s="3"/>
    </row>
    <row r="7040" customHeight="1" spans="1:9">
      <c r="A7040" s="2"/>
      <c r="B7040" s="2" t="str">
        <f>IFERROR(__xludf.DUMMYFUNCTION("IF(A7040&lt;&gt;"""", GOOGLETRANSLATE(A7040, ""en"", ""te""),"""")"),"")</f>
        <v/>
      </c>
      <c r="C7040" s="2"/>
      <c r="D7040" s="2" t="str">
        <f>IFERROR(__xludf.DUMMYFUNCTION("IF(C7040&lt;&gt;"""", GOOGLETRANSLATE(C7040, ""en"", ""te""),"""")"),"")</f>
        <v/>
      </c>
      <c r="E7040" s="2"/>
      <c r="F7040" s="2" t="str">
        <f>IFERROR(__xludf.DUMMYFUNCTION("IF(E7040&lt;&gt;"""", GOOGLETRANSLATE(E7040, ""en"", ""te""),"""")"),"")</f>
        <v/>
      </c>
      <c r="G7040" s="2"/>
      <c r="H7040" s="2" t="str">
        <f>IFERROR(__xludf.DUMMYFUNCTION("IF(G7040&lt;&gt;"""", GOOGLETRANSLATE(G7040, ""en"", ""te""),"""")"),"")</f>
        <v/>
      </c>
      <c r="I7040" s="3"/>
    </row>
    <row r="7041" customHeight="1" spans="1:9">
      <c r="A7041" s="2"/>
      <c r="B7041" s="2" t="str">
        <f>IFERROR(__xludf.DUMMYFUNCTION("IF(A7041&lt;&gt;"""", GOOGLETRANSLATE(A7041, ""en"", ""te""),"""")"),"")</f>
        <v/>
      </c>
      <c r="C7041" s="2"/>
      <c r="D7041" s="2" t="str">
        <f>IFERROR(__xludf.DUMMYFUNCTION("IF(C7041&lt;&gt;"""", GOOGLETRANSLATE(C7041, ""en"", ""te""),"""")"),"")</f>
        <v/>
      </c>
      <c r="E7041" s="2"/>
      <c r="F7041" s="2" t="str">
        <f>IFERROR(__xludf.DUMMYFUNCTION("IF(E7041&lt;&gt;"""", GOOGLETRANSLATE(E7041, ""en"", ""te""),"""")"),"")</f>
        <v/>
      </c>
      <c r="G7041" s="2"/>
      <c r="H7041" s="2" t="str">
        <f>IFERROR(__xludf.DUMMYFUNCTION("IF(G7041&lt;&gt;"""", GOOGLETRANSLATE(G7041, ""en"", ""te""),"""")"),"")</f>
        <v/>
      </c>
      <c r="I7041" s="3"/>
    </row>
    <row r="7042" customHeight="1" spans="1:9">
      <c r="A7042" s="2"/>
      <c r="B7042" s="2" t="str">
        <f>IFERROR(__xludf.DUMMYFUNCTION("IF(A7042&lt;&gt;"""", GOOGLETRANSLATE(A7042, ""en"", ""te""),"""")"),"")</f>
        <v/>
      </c>
      <c r="C7042" s="2"/>
      <c r="D7042" s="2" t="str">
        <f>IFERROR(__xludf.DUMMYFUNCTION("IF(C7042&lt;&gt;"""", GOOGLETRANSLATE(C7042, ""en"", ""te""),"""")"),"")</f>
        <v/>
      </c>
      <c r="E7042" s="2"/>
      <c r="F7042" s="2" t="str">
        <f>IFERROR(__xludf.DUMMYFUNCTION("IF(E7042&lt;&gt;"""", GOOGLETRANSLATE(E7042, ""en"", ""te""),"""")"),"")</f>
        <v/>
      </c>
      <c r="G7042" s="2"/>
      <c r="H7042" s="2" t="str">
        <f>IFERROR(__xludf.DUMMYFUNCTION("IF(G7042&lt;&gt;"""", GOOGLETRANSLATE(G7042, ""en"", ""te""),"""")"),"")</f>
        <v/>
      </c>
      <c r="I7042" s="3"/>
    </row>
    <row r="7043" customHeight="1" spans="1:9">
      <c r="A7043" s="2"/>
      <c r="B7043" s="2" t="str">
        <f>IFERROR(__xludf.DUMMYFUNCTION("IF(A7043&lt;&gt;"""", GOOGLETRANSLATE(A7043, ""en"", ""te""),"""")"),"")</f>
        <v/>
      </c>
      <c r="C7043" s="2"/>
      <c r="D7043" s="2" t="str">
        <f>IFERROR(__xludf.DUMMYFUNCTION("IF(C7043&lt;&gt;"""", GOOGLETRANSLATE(C7043, ""en"", ""te""),"""")"),"")</f>
        <v/>
      </c>
      <c r="E7043" s="2"/>
      <c r="F7043" s="2" t="str">
        <f>IFERROR(__xludf.DUMMYFUNCTION("IF(E7043&lt;&gt;"""", GOOGLETRANSLATE(E7043, ""en"", ""te""),"""")"),"")</f>
        <v/>
      </c>
      <c r="G7043" s="2"/>
      <c r="H7043" s="2" t="str">
        <f>IFERROR(__xludf.DUMMYFUNCTION("IF(G7043&lt;&gt;"""", GOOGLETRANSLATE(G7043, ""en"", ""te""),"""")"),"")</f>
        <v/>
      </c>
      <c r="I7043" s="3"/>
    </row>
    <row r="7044" customHeight="1" spans="1:9">
      <c r="A7044" s="2"/>
      <c r="B7044" s="2" t="str">
        <f>IFERROR(__xludf.DUMMYFUNCTION("IF(A7044&lt;&gt;"""", GOOGLETRANSLATE(A7044, ""en"", ""te""),"""")"),"")</f>
        <v/>
      </c>
      <c r="C7044" s="2"/>
      <c r="D7044" s="2" t="str">
        <f>IFERROR(__xludf.DUMMYFUNCTION("IF(C7044&lt;&gt;"""", GOOGLETRANSLATE(C7044, ""en"", ""te""),"""")"),"")</f>
        <v/>
      </c>
      <c r="E7044" s="2"/>
      <c r="F7044" s="2" t="str">
        <f>IFERROR(__xludf.DUMMYFUNCTION("IF(E7044&lt;&gt;"""", GOOGLETRANSLATE(E7044, ""en"", ""te""),"""")"),"")</f>
        <v/>
      </c>
      <c r="G7044" s="2"/>
      <c r="H7044" s="2" t="str">
        <f>IFERROR(__xludf.DUMMYFUNCTION("IF(G7044&lt;&gt;"""", GOOGLETRANSLATE(G7044, ""en"", ""te""),"""")"),"")</f>
        <v/>
      </c>
      <c r="I7044" s="3"/>
    </row>
    <row r="7045" customHeight="1" spans="1:9">
      <c r="A7045" s="2"/>
      <c r="B7045" s="2" t="str">
        <f>IFERROR(__xludf.DUMMYFUNCTION("IF(A7045&lt;&gt;"""", GOOGLETRANSLATE(A7045, ""en"", ""te""),"""")"),"")</f>
        <v/>
      </c>
      <c r="C7045" s="2"/>
      <c r="D7045" s="2" t="str">
        <f>IFERROR(__xludf.DUMMYFUNCTION("IF(C7045&lt;&gt;"""", GOOGLETRANSLATE(C7045, ""en"", ""te""),"""")"),"")</f>
        <v/>
      </c>
      <c r="E7045" s="2"/>
      <c r="F7045" s="2" t="str">
        <f>IFERROR(__xludf.DUMMYFUNCTION("IF(E7045&lt;&gt;"""", GOOGLETRANSLATE(E7045, ""en"", ""te""),"""")"),"")</f>
        <v/>
      </c>
      <c r="G7045" s="2"/>
      <c r="H7045" s="2" t="str">
        <f>IFERROR(__xludf.DUMMYFUNCTION("IF(G7045&lt;&gt;"""", GOOGLETRANSLATE(G7045, ""en"", ""te""),"""")"),"")</f>
        <v/>
      </c>
      <c r="I7045" s="3"/>
    </row>
    <row r="7046" customHeight="1" spans="1:9">
      <c r="A7046" s="2"/>
      <c r="B7046" s="2" t="str">
        <f>IFERROR(__xludf.DUMMYFUNCTION("IF(A7046&lt;&gt;"""", GOOGLETRANSLATE(A7046, ""en"", ""te""),"""")"),"")</f>
        <v/>
      </c>
      <c r="C7046" s="2"/>
      <c r="D7046" s="2" t="str">
        <f>IFERROR(__xludf.DUMMYFUNCTION("IF(C7046&lt;&gt;"""", GOOGLETRANSLATE(C7046, ""en"", ""te""),"""")"),"")</f>
        <v/>
      </c>
      <c r="E7046" s="2"/>
      <c r="F7046" s="2" t="str">
        <f>IFERROR(__xludf.DUMMYFUNCTION("IF(E7046&lt;&gt;"""", GOOGLETRANSLATE(E7046, ""en"", ""te""),"""")"),"")</f>
        <v/>
      </c>
      <c r="G7046" s="2"/>
      <c r="H7046" s="2" t="str">
        <f>IFERROR(__xludf.DUMMYFUNCTION("IF(G7046&lt;&gt;"""", GOOGLETRANSLATE(G7046, ""en"", ""te""),"""")"),"")</f>
        <v/>
      </c>
      <c r="I7046" s="3"/>
    </row>
    <row r="7047" customHeight="1" spans="1:9">
      <c r="A7047" s="2"/>
      <c r="B7047" s="2" t="str">
        <f>IFERROR(__xludf.DUMMYFUNCTION("IF(A7047&lt;&gt;"""", GOOGLETRANSLATE(A7047, ""en"", ""te""),"""")"),"")</f>
        <v/>
      </c>
      <c r="C7047" s="2"/>
      <c r="D7047" s="2" t="str">
        <f>IFERROR(__xludf.DUMMYFUNCTION("IF(C7047&lt;&gt;"""", GOOGLETRANSLATE(C7047, ""en"", ""te""),"""")"),"")</f>
        <v/>
      </c>
      <c r="E7047" s="2"/>
      <c r="F7047" s="2" t="str">
        <f>IFERROR(__xludf.DUMMYFUNCTION("IF(E7047&lt;&gt;"""", GOOGLETRANSLATE(E7047, ""en"", ""te""),"""")"),"")</f>
        <v/>
      </c>
      <c r="G7047" s="2"/>
      <c r="H7047" s="2" t="str">
        <f>IFERROR(__xludf.DUMMYFUNCTION("IF(G7047&lt;&gt;"""", GOOGLETRANSLATE(G7047, ""en"", ""te""),"""")"),"")</f>
        <v/>
      </c>
      <c r="I7047" s="3"/>
    </row>
    <row r="7048" customHeight="1" spans="1:9">
      <c r="A7048" s="2"/>
      <c r="B7048" s="2" t="str">
        <f>IFERROR(__xludf.DUMMYFUNCTION("IF(A7048&lt;&gt;"""", GOOGLETRANSLATE(A7048, ""en"", ""te""),"""")"),"")</f>
        <v/>
      </c>
      <c r="C7048" s="2"/>
      <c r="D7048" s="2" t="str">
        <f>IFERROR(__xludf.DUMMYFUNCTION("IF(C7048&lt;&gt;"""", GOOGLETRANSLATE(C7048, ""en"", ""te""),"""")"),"")</f>
        <v/>
      </c>
      <c r="E7048" s="2" t="s">
        <v>549</v>
      </c>
      <c r="F7048" s="2" t="str">
        <f>IFERROR(__xludf.DUMMYFUNCTION("IF(E7048&lt;&gt;"""", GOOGLETRANSLATE(E7048, ""en"", ""te""),"""")"),"[ 'తొలి ఇన్నింగ్స్ 15 వ బెస్ట్ ఫిగర్స్ (4)']")</f>
        <v>[ 'తొలి ఇన్నింగ్స్ 15 వ బెస్ట్ ఫిగర్స్ (4)']</v>
      </c>
      <c r="G7048" s="2"/>
      <c r="H7048" s="2" t="str">
        <f>IFERROR(__xludf.DUMMYFUNCTION("IF(G7048&lt;&gt;"""", GOOGLETRANSLATE(G7048, ""en"", ""te""),"""")"),"")</f>
        <v/>
      </c>
      <c r="I7048" s="3"/>
    </row>
    <row r="7049" customHeight="1" spans="1:9">
      <c r="A7049" s="2"/>
      <c r="B7049" s="2" t="str">
        <f>IFERROR(__xludf.DUMMYFUNCTION("IF(A7049&lt;&gt;"""", GOOGLETRANSLATE(A7049, ""en"", ""te""),"""")"),"")</f>
        <v/>
      </c>
      <c r="C7049" s="2"/>
      <c r="D7049" s="2" t="str">
        <f>IFERROR(__xludf.DUMMYFUNCTION("IF(C7049&lt;&gt;"""", GOOGLETRANSLATE(C7049, ""en"", ""te""),"""")"),"")</f>
        <v/>
      </c>
      <c r="E7049" s="2"/>
      <c r="F7049" s="2" t="str">
        <f>IFERROR(__xludf.DUMMYFUNCTION("IF(E7049&lt;&gt;"""", GOOGLETRANSLATE(E7049, ""en"", ""te""),"""")"),"")</f>
        <v/>
      </c>
      <c r="G7049" s="2"/>
      <c r="H7049" s="2" t="str">
        <f>IFERROR(__xludf.DUMMYFUNCTION("IF(G7049&lt;&gt;"""", GOOGLETRANSLATE(G7049, ""en"", ""te""),"""")"),"")</f>
        <v/>
      </c>
      <c r="I7049" s="3"/>
    </row>
    <row r="7050" customHeight="1" spans="1:9">
      <c r="A7050" s="2"/>
      <c r="B7050" s="2" t="str">
        <f>IFERROR(__xludf.DUMMYFUNCTION("IF(A7050&lt;&gt;"""", GOOGLETRANSLATE(A7050, ""en"", ""te""),"""")"),"")</f>
        <v/>
      </c>
      <c r="C7050" s="2"/>
      <c r="D7050" s="2" t="str">
        <f>IFERROR(__xludf.DUMMYFUNCTION("IF(C7050&lt;&gt;"""", GOOGLETRANSLATE(C7050, ""en"", ""te""),"""")"),"")</f>
        <v/>
      </c>
      <c r="E7050" s="2"/>
      <c r="F7050" s="2" t="str">
        <f>IFERROR(__xludf.DUMMYFUNCTION("IF(E7050&lt;&gt;"""", GOOGLETRANSLATE(E7050, ""en"", ""te""),"""")"),"")</f>
        <v/>
      </c>
      <c r="G7050" s="2"/>
      <c r="H7050" s="2" t="str">
        <f>IFERROR(__xludf.DUMMYFUNCTION("IF(G7050&lt;&gt;"""", GOOGLETRANSLATE(G7050, ""en"", ""te""),"""")"),"")</f>
        <v/>
      </c>
      <c r="I7050" s="3"/>
    </row>
    <row r="7051" customHeight="1" spans="1:9">
      <c r="A7051" s="2"/>
      <c r="B7051" s="2" t="str">
        <f>IFERROR(__xludf.DUMMYFUNCTION("IF(A7051&lt;&gt;"""", GOOGLETRANSLATE(A7051, ""en"", ""te""),"""")"),"")</f>
        <v/>
      </c>
      <c r="C7051" s="2"/>
      <c r="D7051" s="2" t="str">
        <f>IFERROR(__xludf.DUMMYFUNCTION("IF(C7051&lt;&gt;"""", GOOGLETRANSLATE(C7051, ""en"", ""te""),"""")"),"")</f>
        <v/>
      </c>
      <c r="E7051" s="2"/>
      <c r="F7051" s="2" t="str">
        <f>IFERROR(__xludf.DUMMYFUNCTION("IF(E7051&lt;&gt;"""", GOOGLETRANSLATE(E7051, ""en"", ""te""),"""")"),"")</f>
        <v/>
      </c>
      <c r="G7051" s="2"/>
      <c r="H7051" s="2" t="str">
        <f>IFERROR(__xludf.DUMMYFUNCTION("IF(G7051&lt;&gt;"""", GOOGLETRANSLATE(G7051, ""en"", ""te""),"""")"),"")</f>
        <v/>
      </c>
      <c r="I7051" s="3"/>
    </row>
    <row r="7052" customHeight="1" spans="1:9">
      <c r="A7052" s="2"/>
      <c r="B7052" s="2" t="str">
        <f>IFERROR(__xludf.DUMMYFUNCTION("IF(A7052&lt;&gt;"""", GOOGLETRANSLATE(A7052, ""en"", ""te""),"""")"),"")</f>
        <v/>
      </c>
      <c r="C7052" s="2" t="s">
        <v>4192</v>
      </c>
      <c r="D7052" s="2" t="str">
        <f>IFERROR(__xludf.DUMMYFUNCTION("IF(C7052&lt;&gt;"""", GOOGLETRANSLATE(C7052, ""en"", ""te""),"""")"),"[ 'పదవ వికెట్ను (104) 24 అత్యధిక భాగస్వామ్యం']")</f>
        <v>[ 'పదవ వికెట్ను (104) 24 అత్యధిక భాగస్వామ్యం']</v>
      </c>
      <c r="E7052" s="2"/>
      <c r="F7052" s="2" t="str">
        <f>IFERROR(__xludf.DUMMYFUNCTION("IF(E7052&lt;&gt;"""", GOOGLETRANSLATE(E7052, ""en"", ""te""),"""")"),"")</f>
        <v/>
      </c>
      <c r="G7052" s="2"/>
      <c r="H7052" s="2" t="str">
        <f>IFERROR(__xludf.DUMMYFUNCTION("IF(G7052&lt;&gt;"""", GOOGLETRANSLATE(G7052, ""en"", ""te""),"""")"),"")</f>
        <v/>
      </c>
      <c r="I7052" s="3"/>
    </row>
    <row r="7053" customHeight="1" spans="1:9">
      <c r="A7053" s="2"/>
      <c r="B7053" s="2" t="str">
        <f>IFERROR(__xludf.DUMMYFUNCTION("IF(A7053&lt;&gt;"""", GOOGLETRANSLATE(A7053, ""en"", ""te""),"""")"),"")</f>
        <v/>
      </c>
      <c r="C7053" s="2"/>
      <c r="D7053" s="2" t="str">
        <f>IFERROR(__xludf.DUMMYFUNCTION("IF(C7053&lt;&gt;"""", GOOGLETRANSLATE(C7053, ""en"", ""te""),"""")"),"")</f>
        <v/>
      </c>
      <c r="E7053" s="2"/>
      <c r="F7053" s="2" t="str">
        <f>IFERROR(__xludf.DUMMYFUNCTION("IF(E7053&lt;&gt;"""", GOOGLETRANSLATE(E7053, ""en"", ""te""),"""")"),"")</f>
        <v/>
      </c>
      <c r="G7053" s="2"/>
      <c r="H7053" s="2" t="str">
        <f>IFERROR(__xludf.DUMMYFUNCTION("IF(G7053&lt;&gt;"""", GOOGLETRANSLATE(G7053, ""en"", ""te""),"""")"),"")</f>
        <v/>
      </c>
      <c r="I7053" s="3"/>
    </row>
    <row r="7054" customHeight="1" spans="1:9">
      <c r="A7054" s="2" t="s">
        <v>4193</v>
      </c>
      <c r="B7054" s="2" t="str">
        <f>IFERROR(__xludf.DUMMYFUNCTION("IF(A7054&lt;&gt;"""", GOOGLETRANSLATE(A7054, ""en"", ""te""),"""")"),"[ '4 వ కెరీర్ (23) వెనుదిరిగాడు', 'బ్యాటింగ్ తెరవడం మరియు అదే మ్యాచ్ లో బౌలింగ్']")</f>
        <v>[ '4 వ కెరీర్ (23) వెనుదిరిగాడు', 'బ్యాటింగ్ తెరవడం మరియు అదే మ్యాచ్ లో బౌలింగ్']</v>
      </c>
      <c r="C7054" s="2"/>
      <c r="D7054" s="2" t="str">
        <f>IFERROR(__xludf.DUMMYFUNCTION("IF(C7054&lt;&gt;"""", GOOGLETRANSLATE(C7054, ""en"", ""te""),"""")"),"")</f>
        <v/>
      </c>
      <c r="E7054" s="2" t="s">
        <v>4194</v>
      </c>
      <c r="F7054" s="2" t="str">
        <f>IFERROR(__xludf.DUMMYFUNCTION("IF(E7054&lt;&gt;"""", GOOGLETRANSLATE(E7054, ""en"", ""te""),"""")"),"[ '4 వ కెరీర్ లో బాతులు (23)', '49 వ చెత్త కెరీర్ (అర్హత లేకుండా) (66.50) సగటు బౌలింగ్']")</f>
        <v>[ '4 వ కెరీర్ లో బాతులు (23)', '49 వ చెత్త కెరీర్ (అర్హత లేకుండా) (66.50) సగటు బౌలింగ్']</v>
      </c>
      <c r="G7054" s="2"/>
      <c r="H7054" s="2" t="str">
        <f>IFERROR(__xludf.DUMMYFUNCTION("IF(G7054&lt;&gt;"""", GOOGLETRANSLATE(G7054, ""en"", ""te""),"""")"),"")</f>
        <v/>
      </c>
      <c r="I7054" s="3"/>
    </row>
    <row r="7055" customHeight="1" spans="1:9">
      <c r="A7055" s="2"/>
      <c r="B7055" s="2" t="str">
        <f>IFERROR(__xludf.DUMMYFUNCTION("IF(A7055&lt;&gt;"""", GOOGLETRANSLATE(A7055, ""en"", ""te""),"""")"),"")</f>
        <v/>
      </c>
      <c r="C7055" s="2"/>
      <c r="D7055" s="2" t="str">
        <f>IFERROR(__xludf.DUMMYFUNCTION("IF(C7055&lt;&gt;"""", GOOGLETRANSLATE(C7055, ""en"", ""te""),"""")"),"")</f>
        <v/>
      </c>
      <c r="E7055" s="2"/>
      <c r="F7055" s="2" t="str">
        <f>IFERROR(__xludf.DUMMYFUNCTION("IF(E7055&lt;&gt;"""", GOOGLETRANSLATE(E7055, ""en"", ""te""),"""")"),"")</f>
        <v/>
      </c>
      <c r="G7055" s="2"/>
      <c r="H7055" s="2" t="str">
        <f>IFERROR(__xludf.DUMMYFUNCTION("IF(G7055&lt;&gt;"""", GOOGLETRANSLATE(G7055, ""en"", ""te""),"""")"),"")</f>
        <v/>
      </c>
      <c r="I7055" s="3"/>
    </row>
    <row r="7056" customHeight="1" spans="1:9">
      <c r="A7056" s="2"/>
      <c r="B7056" s="2" t="str">
        <f>IFERROR(__xludf.DUMMYFUNCTION("IF(A7056&lt;&gt;"""", GOOGLETRANSLATE(A7056, ""en"", ""te""),"""")"),"")</f>
        <v/>
      </c>
      <c r="C7056" s="2"/>
      <c r="D7056" s="2" t="str">
        <f>IFERROR(__xludf.DUMMYFUNCTION("IF(C7056&lt;&gt;"""", GOOGLETRANSLATE(C7056, ""en"", ""te""),"""")"),"")</f>
        <v/>
      </c>
      <c r="E7056" s="2"/>
      <c r="F7056" s="2" t="str">
        <f>IFERROR(__xludf.DUMMYFUNCTION("IF(E7056&lt;&gt;"""", GOOGLETRANSLATE(E7056, ""en"", ""te""),"""")"),"")</f>
        <v/>
      </c>
      <c r="G7056" s="2"/>
      <c r="H7056" s="2" t="str">
        <f>IFERROR(__xludf.DUMMYFUNCTION("IF(G7056&lt;&gt;"""", GOOGLETRANSLATE(G7056, ""en"", ""te""),"""")"),"")</f>
        <v/>
      </c>
      <c r="I7056" s="3"/>
    </row>
    <row r="7057" customHeight="1" spans="1:9">
      <c r="A7057" s="2"/>
      <c r="B7057" s="2" t="str">
        <f>IFERROR(__xludf.DUMMYFUNCTION("IF(A7057&lt;&gt;"""", GOOGLETRANSLATE(A7057, ""en"", ""te""),"""")"),"")</f>
        <v/>
      </c>
      <c r="C7057" s="2"/>
      <c r="D7057" s="2" t="str">
        <f>IFERROR(__xludf.DUMMYFUNCTION("IF(C7057&lt;&gt;"""", GOOGLETRANSLATE(C7057, ""en"", ""te""),"""")"),"")</f>
        <v/>
      </c>
      <c r="E7057" s="2"/>
      <c r="F7057" s="2" t="str">
        <f>IFERROR(__xludf.DUMMYFUNCTION("IF(E7057&lt;&gt;"""", GOOGLETRANSLATE(E7057, ""en"", ""te""),"""")"),"")</f>
        <v/>
      </c>
      <c r="G7057" s="2"/>
      <c r="H7057" s="2" t="str">
        <f>IFERROR(__xludf.DUMMYFUNCTION("IF(G7057&lt;&gt;"""", GOOGLETRANSLATE(G7057, ""en"", ""te""),"""")"),"")</f>
        <v/>
      </c>
      <c r="I7057" s="3"/>
    </row>
    <row r="7058" customHeight="1" spans="1:9">
      <c r="A7058" s="2"/>
      <c r="B7058" s="2" t="str">
        <f>IFERROR(__xludf.DUMMYFUNCTION("IF(A7058&lt;&gt;"""", GOOGLETRANSLATE(A7058, ""en"", ""te""),"""")"),"")</f>
        <v/>
      </c>
      <c r="C7058" s="2"/>
      <c r="D7058" s="2" t="str">
        <f>IFERROR(__xludf.DUMMYFUNCTION("IF(C7058&lt;&gt;"""", GOOGLETRANSLATE(C7058, ""en"", ""te""),"""")"),"")</f>
        <v/>
      </c>
      <c r="E7058" s="2"/>
      <c r="F7058" s="2" t="str">
        <f>IFERROR(__xludf.DUMMYFUNCTION("IF(E7058&lt;&gt;"""", GOOGLETRANSLATE(E7058, ""en"", ""te""),"""")"),"")</f>
        <v/>
      </c>
      <c r="G7058" s="2"/>
      <c r="H7058" s="2" t="str">
        <f>IFERROR(__xludf.DUMMYFUNCTION("IF(G7058&lt;&gt;"""", GOOGLETRANSLATE(G7058, ""en"", ""te""),"""")"),"")</f>
        <v/>
      </c>
      <c r="I7058" s="3"/>
    </row>
    <row r="7059" customHeight="1" spans="1:9">
      <c r="A7059" s="2"/>
      <c r="B7059" s="2" t="str">
        <f>IFERROR(__xludf.DUMMYFUNCTION("IF(A7059&lt;&gt;"""", GOOGLETRANSLATE(A7059, ""en"", ""te""),"""")"),"")</f>
        <v/>
      </c>
      <c r="C7059" s="2"/>
      <c r="D7059" s="2" t="str">
        <f>IFERROR(__xludf.DUMMYFUNCTION("IF(C7059&lt;&gt;"""", GOOGLETRANSLATE(C7059, ""en"", ""te""),"""")"),"")</f>
        <v/>
      </c>
      <c r="E7059" s="2"/>
      <c r="F7059" s="2" t="str">
        <f>IFERROR(__xludf.DUMMYFUNCTION("IF(E7059&lt;&gt;"""", GOOGLETRANSLATE(E7059, ""en"", ""te""),"""")"),"")</f>
        <v/>
      </c>
      <c r="G7059" s="2"/>
      <c r="H7059" s="2" t="str">
        <f>IFERROR(__xludf.DUMMYFUNCTION("IF(G7059&lt;&gt;"""", GOOGLETRANSLATE(G7059, ""en"", ""te""),"""")"),"")</f>
        <v/>
      </c>
      <c r="I7059" s="3"/>
    </row>
    <row r="7060" customHeight="1" spans="1:9">
      <c r="A7060" s="2"/>
      <c r="B7060" s="2" t="str">
        <f>IFERROR(__xludf.DUMMYFUNCTION("IF(A7060&lt;&gt;"""", GOOGLETRANSLATE(A7060, ""en"", ""te""),"""")"),"")</f>
        <v/>
      </c>
      <c r="C7060" s="2"/>
      <c r="D7060" s="2" t="str">
        <f>IFERROR(__xludf.DUMMYFUNCTION("IF(C7060&lt;&gt;"""", GOOGLETRANSLATE(C7060, ""en"", ""te""),"""")"),"")</f>
        <v/>
      </c>
      <c r="E7060" s="2"/>
      <c r="F7060" s="2" t="str">
        <f>IFERROR(__xludf.DUMMYFUNCTION("IF(E7060&lt;&gt;"""", GOOGLETRANSLATE(E7060, ""en"", ""te""),"""")"),"")</f>
        <v/>
      </c>
      <c r="G7060" s="2"/>
      <c r="H7060" s="2" t="str">
        <f>IFERROR(__xludf.DUMMYFUNCTION("IF(G7060&lt;&gt;"""", GOOGLETRANSLATE(G7060, ""en"", ""te""),"""")"),"")</f>
        <v/>
      </c>
      <c r="I7060" s="3"/>
    </row>
    <row r="7061" customHeight="1" spans="1:9">
      <c r="A7061" s="2"/>
      <c r="B7061" s="2" t="str">
        <f>IFERROR(__xludf.DUMMYFUNCTION("IF(A7061&lt;&gt;"""", GOOGLETRANSLATE(A7061, ""en"", ""te""),"""")"),"")</f>
        <v/>
      </c>
      <c r="C7061" s="2"/>
      <c r="D7061" s="2" t="str">
        <f>IFERROR(__xludf.DUMMYFUNCTION("IF(C7061&lt;&gt;"""", GOOGLETRANSLATE(C7061, ""en"", ""te""),"""")"),"")</f>
        <v/>
      </c>
      <c r="E7061" s="2"/>
      <c r="F7061" s="2" t="str">
        <f>IFERROR(__xludf.DUMMYFUNCTION("IF(E7061&lt;&gt;"""", GOOGLETRANSLATE(E7061, ""en"", ""te""),"""")"),"")</f>
        <v/>
      </c>
      <c r="G7061" s="2"/>
      <c r="H7061" s="2" t="str">
        <f>IFERROR(__xludf.DUMMYFUNCTION("IF(G7061&lt;&gt;"""", GOOGLETRANSLATE(G7061, ""en"", ""te""),"""")"),"")</f>
        <v/>
      </c>
      <c r="I7061" s="3"/>
    </row>
    <row r="7062" customHeight="1" spans="1:9">
      <c r="A7062" s="2"/>
      <c r="B7062" s="2" t="str">
        <f>IFERROR(__xludf.DUMMYFUNCTION("IF(A7062&lt;&gt;"""", GOOGLETRANSLATE(A7062, ""en"", ""te""),"""")"),"")</f>
        <v/>
      </c>
      <c r="C7062" s="2"/>
      <c r="D7062" s="2" t="str">
        <f>IFERROR(__xludf.DUMMYFUNCTION("IF(C7062&lt;&gt;"""", GOOGLETRANSLATE(C7062, ""en"", ""te""),"""")"),"")</f>
        <v/>
      </c>
      <c r="E7062" s="2"/>
      <c r="F7062" s="2" t="str">
        <f>IFERROR(__xludf.DUMMYFUNCTION("IF(E7062&lt;&gt;"""", GOOGLETRANSLATE(E7062, ""en"", ""te""),"""")"),"")</f>
        <v/>
      </c>
      <c r="G7062" s="2"/>
      <c r="H7062" s="2" t="str">
        <f>IFERROR(__xludf.DUMMYFUNCTION("IF(G7062&lt;&gt;"""", GOOGLETRANSLATE(G7062, ""en"", ""te""),"""")"),"")</f>
        <v/>
      </c>
      <c r="I7062" s="3"/>
    </row>
    <row r="7063" customHeight="1" spans="1:9">
      <c r="A7063" s="2"/>
      <c r="B7063" s="2" t="str">
        <f>IFERROR(__xludf.DUMMYFUNCTION("IF(A7063&lt;&gt;"""", GOOGLETRANSLATE(A7063, ""en"", ""te""),"""")"),"")</f>
        <v/>
      </c>
      <c r="C7063" s="2"/>
      <c r="D7063" s="2" t="str">
        <f>IFERROR(__xludf.DUMMYFUNCTION("IF(C7063&lt;&gt;"""", GOOGLETRANSLATE(C7063, ""en"", ""te""),"""")"),"")</f>
        <v/>
      </c>
      <c r="E7063" s="2"/>
      <c r="F7063" s="2" t="str">
        <f>IFERROR(__xludf.DUMMYFUNCTION("IF(E7063&lt;&gt;"""", GOOGLETRANSLATE(E7063, ""en"", ""te""),"""")"),"")</f>
        <v/>
      </c>
      <c r="G7063" s="2"/>
      <c r="H7063" s="2" t="str">
        <f>IFERROR(__xludf.DUMMYFUNCTION("IF(G7063&lt;&gt;"""", GOOGLETRANSLATE(G7063, ""en"", ""te""),"""")"),"")</f>
        <v/>
      </c>
      <c r="I7063" s="3"/>
    </row>
    <row r="7064" customHeight="1" spans="1:9">
      <c r="A7064" s="2"/>
      <c r="B7064" s="2" t="str">
        <f>IFERROR(__xludf.DUMMYFUNCTION("IF(A7064&lt;&gt;"""", GOOGLETRANSLATE(A7064, ""en"", ""te""),"""")"),"")</f>
        <v/>
      </c>
      <c r="C7064" s="2"/>
      <c r="D7064" s="2" t="str">
        <f>IFERROR(__xludf.DUMMYFUNCTION("IF(C7064&lt;&gt;"""", GOOGLETRANSLATE(C7064, ""en"", ""te""),"""")"),"")</f>
        <v/>
      </c>
      <c r="E7064" s="2"/>
      <c r="F7064" s="2" t="str">
        <f>IFERROR(__xludf.DUMMYFUNCTION("IF(E7064&lt;&gt;"""", GOOGLETRANSLATE(E7064, ""en"", ""te""),"""")"),"")</f>
        <v/>
      </c>
      <c r="G7064" s="2"/>
      <c r="H7064" s="2" t="str">
        <f>IFERROR(__xludf.DUMMYFUNCTION("IF(G7064&lt;&gt;"""", GOOGLETRANSLATE(G7064, ""en"", ""te""),"""")"),"")</f>
        <v/>
      </c>
      <c r="I7064" s="3"/>
    </row>
    <row r="7065" customHeight="1" spans="1:9">
      <c r="A7065" s="2"/>
      <c r="B7065" s="2" t="str">
        <f>IFERROR(__xludf.DUMMYFUNCTION("IF(A7065&lt;&gt;"""", GOOGLETRANSLATE(A7065, ""en"", ""te""),"""")"),"")</f>
        <v/>
      </c>
      <c r="C7065" s="2"/>
      <c r="D7065" s="2" t="str">
        <f>IFERROR(__xludf.DUMMYFUNCTION("IF(C7065&lt;&gt;"""", GOOGLETRANSLATE(C7065, ""en"", ""te""),"""")"),"")</f>
        <v/>
      </c>
      <c r="E7065" s="2"/>
      <c r="F7065" s="2" t="str">
        <f>IFERROR(__xludf.DUMMYFUNCTION("IF(E7065&lt;&gt;"""", GOOGLETRANSLATE(E7065, ""en"", ""te""),"""")"),"")</f>
        <v/>
      </c>
      <c r="G7065" s="2"/>
      <c r="H7065" s="2" t="str">
        <f>IFERROR(__xludf.DUMMYFUNCTION("IF(G7065&lt;&gt;"""", GOOGLETRANSLATE(G7065, ""en"", ""te""),"""")"),"")</f>
        <v/>
      </c>
      <c r="I7065" s="3"/>
    </row>
    <row r="7066" customHeight="1" spans="1:9">
      <c r="A7066" s="2"/>
      <c r="B7066" s="2" t="str">
        <f>IFERROR(__xludf.DUMMYFUNCTION("IF(A7066&lt;&gt;"""", GOOGLETRANSLATE(A7066, ""en"", ""te""),"""")"),"")</f>
        <v/>
      </c>
      <c r="C7066" s="2"/>
      <c r="D7066" s="2" t="str">
        <f>IFERROR(__xludf.DUMMYFUNCTION("IF(C7066&lt;&gt;"""", GOOGLETRANSLATE(C7066, ""en"", ""te""),"""")"),"")</f>
        <v/>
      </c>
      <c r="E7066" s="2"/>
      <c r="F7066" s="2" t="str">
        <f>IFERROR(__xludf.DUMMYFUNCTION("IF(E7066&lt;&gt;"""", GOOGLETRANSLATE(E7066, ""en"", ""te""),"""")"),"")</f>
        <v/>
      </c>
      <c r="G7066" s="2"/>
      <c r="H7066" s="2" t="str">
        <f>IFERROR(__xludf.DUMMYFUNCTION("IF(G7066&lt;&gt;"""", GOOGLETRANSLATE(G7066, ""en"", ""te""),"""")"),"")</f>
        <v/>
      </c>
      <c r="I7066" s="3"/>
    </row>
    <row r="7067" customHeight="1" spans="1:9">
      <c r="A7067" s="2"/>
      <c r="B7067" s="2" t="str">
        <f>IFERROR(__xludf.DUMMYFUNCTION("IF(A7067&lt;&gt;"""", GOOGLETRANSLATE(A7067, ""en"", ""te""),"""")"),"")</f>
        <v/>
      </c>
      <c r="C7067" s="2"/>
      <c r="D7067" s="2" t="str">
        <f>IFERROR(__xludf.DUMMYFUNCTION("IF(C7067&lt;&gt;"""", GOOGLETRANSLATE(C7067, ""en"", ""te""),"""")"),"")</f>
        <v/>
      </c>
      <c r="E7067" s="2"/>
      <c r="F7067" s="2" t="str">
        <f>IFERROR(__xludf.DUMMYFUNCTION("IF(E7067&lt;&gt;"""", GOOGLETRANSLATE(E7067, ""en"", ""te""),"""")"),"")</f>
        <v/>
      </c>
      <c r="G7067" s="2"/>
      <c r="H7067" s="2" t="str">
        <f>IFERROR(__xludf.DUMMYFUNCTION("IF(G7067&lt;&gt;"""", GOOGLETRANSLATE(G7067, ""en"", ""te""),"""")"),"")</f>
        <v/>
      </c>
      <c r="I7067" s="3"/>
    </row>
    <row r="7068" customHeight="1" spans="1:9">
      <c r="A7068" s="2" t="s">
        <v>1828</v>
      </c>
      <c r="B7068" s="2" t="str">
        <f>IFERROR(__xludf.DUMMYFUNCTION("IF(A7068&lt;&gt;"""", GOOGLETRANSLATE(A7068, ""en"", ""te""),"""")"),"[ 'ఇన్నింగ్స్ లో 4 వ అత్యధిక క్యాచ్లు (3)']")</f>
        <v>[ 'ఇన్నింగ్స్ లో 4 వ అత్యధిక క్యాచ్లు (3)']</v>
      </c>
      <c r="C7068" s="2"/>
      <c r="D7068" s="2" t="str">
        <f>IFERROR(__xludf.DUMMYFUNCTION("IF(C7068&lt;&gt;"""", GOOGLETRANSLATE(C7068, ""en"", ""te""),"""")"),"")</f>
        <v/>
      </c>
      <c r="E7068" s="2" t="s">
        <v>4195</v>
      </c>
      <c r="F7068" s="2" t="str">
        <f>IFERROR(__xludf.DUMMYFUNCTION("IF(E7068&lt;&gt;"""", GOOGLETRANSLATE(E7068, ""en"", ""te""),"""")"),"[ '15 వ అతి తక్కువ కెరీర్ లో బాతులు (30)', 'మొదటి డక్ (24) ముందు 14 వ అత్యంత ఇన్నింగ్స్' ఇన్నింగ్స్ లో 4 వ అత్యధిక క్యాచ్లు (3) ']")</f>
        <v>[ '15 వ అతి తక్కువ కెరీర్ లో బాతులు (30)', 'మొదటి డక్ (24) ముందు 14 వ అత్యంత ఇన్నింగ్స్' ఇన్నింగ్స్ లో 4 వ అత్యధిక క్యాచ్లు (3) ']</v>
      </c>
      <c r="G7068" s="2"/>
      <c r="H7068" s="2" t="str">
        <f>IFERROR(__xludf.DUMMYFUNCTION("IF(G7068&lt;&gt;"""", GOOGLETRANSLATE(G7068, ""en"", ""te""),"""")"),"")</f>
        <v/>
      </c>
      <c r="I7068" s="3"/>
    </row>
    <row r="7069" customHeight="1" spans="1:9">
      <c r="A7069" s="2"/>
      <c r="B7069" s="2" t="str">
        <f>IFERROR(__xludf.DUMMYFUNCTION("IF(A7069&lt;&gt;"""", GOOGLETRANSLATE(A7069, ""en"", ""te""),"""")"),"")</f>
        <v/>
      </c>
      <c r="C7069" s="2"/>
      <c r="D7069" s="2" t="str">
        <f>IFERROR(__xludf.DUMMYFUNCTION("IF(C7069&lt;&gt;"""", GOOGLETRANSLATE(C7069, ""en"", ""te""),"""")"),"")</f>
        <v/>
      </c>
      <c r="E7069" s="2"/>
      <c r="F7069" s="2" t="str">
        <f>IFERROR(__xludf.DUMMYFUNCTION("IF(E7069&lt;&gt;"""", GOOGLETRANSLATE(E7069, ""en"", ""te""),"""")"),"")</f>
        <v/>
      </c>
      <c r="G7069" s="2"/>
      <c r="H7069" s="2" t="str">
        <f>IFERROR(__xludf.DUMMYFUNCTION("IF(G7069&lt;&gt;"""", GOOGLETRANSLATE(G7069, ""en"", ""te""),"""")"),"")</f>
        <v/>
      </c>
      <c r="I7069" s="3"/>
    </row>
    <row r="7070" customHeight="1" spans="1:9">
      <c r="A7070" s="2" t="s">
        <v>4196</v>
      </c>
      <c r="B7070" s="2" t="str">
        <f>IFERROR(__xludf.DUMMYFUNCTION("IF(A7070&lt;&gt;"""", GOOGLETRANSLATE(A7070, ""en"", ""te""),"""")"),"[ '5 వ సంఖ్య పదకొండు ఇన్నింగ్స్ లో టాప్ స్కోరింగ్ (34)']")</f>
        <v>[ '5 వ సంఖ్య పదకొండు ఇన్నింగ్స్ లో టాప్ స్కోరింగ్ (34)']</v>
      </c>
      <c r="C7070" s="2" t="s">
        <v>4196</v>
      </c>
      <c r="D7070" s="2" t="str">
        <f>IFERROR(__xludf.DUMMYFUNCTION("IF(C7070&lt;&gt;"""", GOOGLETRANSLATE(C7070, ""en"", ""te""),"""")"),"[ '5 వ సంఖ్య పదకొండు ఇన్నింగ్స్ లో టాప్ స్కోరింగ్ (34)']")</f>
        <v>[ '5 వ సంఖ్య పదకొండు ఇన్నింగ్స్ లో టాప్ స్కోరింగ్ (34)']</v>
      </c>
      <c r="E7070" s="2"/>
      <c r="F7070" s="2" t="str">
        <f>IFERROR(__xludf.DUMMYFUNCTION("IF(E7070&lt;&gt;"""", GOOGLETRANSLATE(E7070, ""en"", ""te""),"""")"),"")</f>
        <v/>
      </c>
      <c r="G7070" s="2"/>
      <c r="H7070" s="2" t="str">
        <f>IFERROR(__xludf.DUMMYFUNCTION("IF(G7070&lt;&gt;"""", GOOGLETRANSLATE(G7070, ""en"", ""te""),"""")"),"")</f>
        <v/>
      </c>
      <c r="I7070" s="3"/>
    </row>
    <row r="7071" customHeight="1" spans="1:9">
      <c r="A7071" s="2"/>
      <c r="B7071" s="2" t="str">
        <f>IFERROR(__xludf.DUMMYFUNCTION("IF(A7071&lt;&gt;"""", GOOGLETRANSLATE(A7071, ""en"", ""te""),"""")"),"")</f>
        <v/>
      </c>
      <c r="C7071" s="2"/>
      <c r="D7071" s="2" t="str">
        <f>IFERROR(__xludf.DUMMYFUNCTION("IF(C7071&lt;&gt;"""", GOOGLETRANSLATE(C7071, ""en"", ""te""),"""")"),"")</f>
        <v/>
      </c>
      <c r="E7071" s="2"/>
      <c r="F7071" s="2" t="str">
        <f>IFERROR(__xludf.DUMMYFUNCTION("IF(E7071&lt;&gt;"""", GOOGLETRANSLATE(E7071, ""en"", ""te""),"""")"),"")</f>
        <v/>
      </c>
      <c r="G7071" s="2"/>
      <c r="H7071" s="2" t="str">
        <f>IFERROR(__xludf.DUMMYFUNCTION("IF(G7071&lt;&gt;"""", GOOGLETRANSLATE(G7071, ""en"", ""te""),"""")"),"")</f>
        <v/>
      </c>
      <c r="I7071" s="3"/>
    </row>
    <row r="7072" customHeight="1" spans="1:9">
      <c r="A7072" s="2"/>
      <c r="B7072" s="2" t="str">
        <f>IFERROR(__xludf.DUMMYFUNCTION("IF(A7072&lt;&gt;"""", GOOGLETRANSLATE(A7072, ""en"", ""te""),"""")"),"")</f>
        <v/>
      </c>
      <c r="C7072" s="2"/>
      <c r="D7072" s="2" t="str">
        <f>IFERROR(__xludf.DUMMYFUNCTION("IF(C7072&lt;&gt;"""", GOOGLETRANSLATE(C7072, ""en"", ""te""),"""")"),"")</f>
        <v/>
      </c>
      <c r="E7072" s="2"/>
      <c r="F7072" s="2" t="str">
        <f>IFERROR(__xludf.DUMMYFUNCTION("IF(E7072&lt;&gt;"""", GOOGLETRANSLATE(E7072, ""en"", ""te""),"""")"),"")</f>
        <v/>
      </c>
      <c r="G7072" s="2"/>
      <c r="H7072" s="2" t="str">
        <f>IFERROR(__xludf.DUMMYFUNCTION("IF(G7072&lt;&gt;"""", GOOGLETRANSLATE(G7072, ""en"", ""te""),"""")"),"")</f>
        <v/>
      </c>
      <c r="I7072" s="3"/>
    </row>
    <row r="7073" customHeight="1" spans="1:9">
      <c r="A7073" s="2"/>
      <c r="B7073" s="2" t="str">
        <f>IFERROR(__xludf.DUMMYFUNCTION("IF(A7073&lt;&gt;"""", GOOGLETRANSLATE(A7073, ""en"", ""te""),"""")"),"")</f>
        <v/>
      </c>
      <c r="C7073" s="2"/>
      <c r="D7073" s="2" t="str">
        <f>IFERROR(__xludf.DUMMYFUNCTION("IF(C7073&lt;&gt;"""", GOOGLETRANSLATE(C7073, ""en"", ""te""),"""")"),"")</f>
        <v/>
      </c>
      <c r="E7073" s="2"/>
      <c r="F7073" s="2" t="str">
        <f>IFERROR(__xludf.DUMMYFUNCTION("IF(E7073&lt;&gt;"""", GOOGLETRANSLATE(E7073, ""en"", ""te""),"""")"),"")</f>
        <v/>
      </c>
      <c r="G7073" s="2"/>
      <c r="H7073" s="2" t="str">
        <f>IFERROR(__xludf.DUMMYFUNCTION("IF(G7073&lt;&gt;"""", GOOGLETRANSLATE(G7073, ""en"", ""te""),"""")"),"")</f>
        <v/>
      </c>
      <c r="I7073" s="3"/>
    </row>
    <row r="7074" customHeight="1" spans="1:9">
      <c r="A7074" s="2"/>
      <c r="B7074" s="2" t="str">
        <f>IFERROR(__xludf.DUMMYFUNCTION("IF(A7074&lt;&gt;"""", GOOGLETRANSLATE(A7074, ""en"", ""te""),"""")"),"")</f>
        <v/>
      </c>
      <c r="C7074" s="2"/>
      <c r="D7074" s="2" t="str">
        <f>IFERROR(__xludf.DUMMYFUNCTION("IF(C7074&lt;&gt;"""", GOOGLETRANSLATE(C7074, ""en"", ""te""),"""")"),"")</f>
        <v/>
      </c>
      <c r="E7074" s="2"/>
      <c r="F7074" s="2" t="str">
        <f>IFERROR(__xludf.DUMMYFUNCTION("IF(E7074&lt;&gt;"""", GOOGLETRANSLATE(E7074, ""en"", ""te""),"""")"),"")</f>
        <v/>
      </c>
      <c r="G7074" s="2"/>
      <c r="H7074" s="2" t="str">
        <f>IFERROR(__xludf.DUMMYFUNCTION("IF(G7074&lt;&gt;"""", GOOGLETRANSLATE(G7074, ""en"", ""te""),"""")"),"")</f>
        <v/>
      </c>
      <c r="I7074" s="3"/>
    </row>
    <row r="7075" customHeight="1" spans="1:9">
      <c r="A7075" s="2"/>
      <c r="B7075" s="2" t="str">
        <f>IFERROR(__xludf.DUMMYFUNCTION("IF(A7075&lt;&gt;"""", GOOGLETRANSLATE(A7075, ""en"", ""te""),"""")"),"")</f>
        <v/>
      </c>
      <c r="C7075" s="2"/>
      <c r="D7075" s="2" t="str">
        <f>IFERROR(__xludf.DUMMYFUNCTION("IF(C7075&lt;&gt;"""", GOOGLETRANSLATE(C7075, ""en"", ""te""),"""")"),"")</f>
        <v/>
      </c>
      <c r="E7075" s="2"/>
      <c r="F7075" s="2" t="str">
        <f>IFERROR(__xludf.DUMMYFUNCTION("IF(E7075&lt;&gt;"""", GOOGLETRANSLATE(E7075, ""en"", ""te""),"""")"),"")</f>
        <v/>
      </c>
      <c r="G7075" s="2"/>
      <c r="H7075" s="2" t="str">
        <f>IFERROR(__xludf.DUMMYFUNCTION("IF(G7075&lt;&gt;"""", GOOGLETRANSLATE(G7075, ""en"", ""te""),"""")"),"")</f>
        <v/>
      </c>
      <c r="I7075" s="3"/>
    </row>
    <row r="7076" customHeight="1" spans="1:9">
      <c r="A7076" s="2"/>
      <c r="B7076" s="2" t="str">
        <f>IFERROR(__xludf.DUMMYFUNCTION("IF(A7076&lt;&gt;"""", GOOGLETRANSLATE(A7076, ""en"", ""te""),"""")"),"")</f>
        <v/>
      </c>
      <c r="C7076" s="2"/>
      <c r="D7076" s="2" t="str">
        <f>IFERROR(__xludf.DUMMYFUNCTION("IF(C7076&lt;&gt;"""", GOOGLETRANSLATE(C7076, ""en"", ""te""),"""")"),"")</f>
        <v/>
      </c>
      <c r="E7076" s="2"/>
      <c r="F7076" s="2" t="str">
        <f>IFERROR(__xludf.DUMMYFUNCTION("IF(E7076&lt;&gt;"""", GOOGLETRANSLATE(E7076, ""en"", ""te""),"""")"),"")</f>
        <v/>
      </c>
      <c r="G7076" s="2"/>
      <c r="H7076" s="2" t="str">
        <f>IFERROR(__xludf.DUMMYFUNCTION("IF(G7076&lt;&gt;"""", GOOGLETRANSLATE(G7076, ""en"", ""te""),"""")"),"")</f>
        <v/>
      </c>
      <c r="I7076" s="3"/>
    </row>
    <row r="7077" customHeight="1" spans="1:9">
      <c r="A7077" s="2" t="s">
        <v>4197</v>
      </c>
      <c r="B7077" s="2" t="str">
        <f>IFERROR(__xludf.DUMMYFUNCTION("IF(A7077&lt;&gt;"""", GOOGLETRANSLATE(A7077, ""en"", ""te""),"""")"),"[ 'ఒక వృత్తిలో 7 వ అత్యధిక డబుల్ సెంచరీలు (6)', 'హండ్రెడ్ మరియు ఒక మ్యాచ్లో ఒక డక్' 'ఒక ఇన్నింగ్స్లో ద్వారా బ్యాట్ నిదర్శన (216 *)', '8 వ అసాధారణ వికెట్లు (అవుట్ విరమణ పొందిన)', '5000 పరుగులు మరియు 50 ఫీల్డింగ్ వికెట్లు ',' రెండవ వికెట్కు 4 వ అత్యధిక భాగస"&amp;"్వామ్యం (438) ',' 5000 పరుగులు మరియు 50 ఫీల్డింగ్ వికెట్లు ',' మూడో వికెట్ (226) 9 వ అత్యధిక భాగస్వామ్యం ']")</f>
        <v>[ 'ఒక వృత్తిలో 7 వ అత్యధిక డబుల్ సెంచరీలు (6)', 'హండ్రెడ్ మరియు ఒక మ్యాచ్లో ఒక డక్' 'ఒక ఇన్నింగ్స్లో ద్వారా బ్యాట్ నిదర్శన (216 *)', '8 వ అసాధారణ వికెట్లు (అవుట్ విరమణ పొందిన)', '5000 పరుగులు మరియు 50 ఫీల్డింగ్ వికెట్లు ',' రెండవ వికెట్కు 4 వ అత్యధిక భాగస్వామ్యం (438) ',' 5000 పరుగులు మరియు 50 ఫీల్డింగ్ వికెట్లు ',' మూడో వికెట్ (226) 9 వ అత్యధిక భాగస్వామ్యం ']</v>
      </c>
      <c r="C7077" s="2" t="s">
        <v>4198</v>
      </c>
      <c r="D7077" s="2" t="str">
        <f>IFERROR(__xludf.DUMMYFUNCTION("IF(C7077&lt;&gt;"""", GOOGLETRANSLATE(C7077, ""en"", ""te""),"""")"),"[ '21 వ అత్యంత ఒక కెప్టెన్తో ఇన్నింగ్స్ లో పరుగులు (249)', 'ఒక వృత్తిలో 7 వ అత్యధిక డబుల్ సెంచరీలు (6)', 'వరుస మ్యాచ్లలో 21 వందల (3)', '16 వ అత్యంత బాతులు కెరీర్ లో (22)' 'కెరీర్ లో 2 వ పెద్ద జతల (4)', '31 ఇన్నింగ్స్ లో వచ్చిన ఎక్కువ ఫోర్లు (36)', 'ఇన్నిం"&amp;"గ్స్ లో ఫోర్లు, సిక్సర్లు నుండి 43 వ అత్యధిక పరుగులు (150)', '33 వ లాంగెస్ట్ వ్యక్తిగత ఇన్నింగ్స్ (నిమిషాలు) ( 684) ',' ఏ వికెట్కు 27 లాంగెస్ట్ వ్యక్తిగత ఇన్నింగ్స్ (బంతులతో) (536) ',' 8 వ అసాధారణ వికెట్లు (అవుట్ రిటైర్) ',' 8 వ అత్యధిక భాగస్వామ్యాల (438"&amp;") ',' మొదటి వికెట్కు 9 వ అత్యధిక భాగస్వామ్యం (335 ) ',' రెండవ వికెట్ (438 4 వ అత్యధిక భాగస్వామ్యం) ']")</f>
        <v>[ '21 వ అత్యంత ఒక కెప్టెన్తో ఇన్నింగ్స్ లో పరుగులు (249)', 'ఒక వృత్తిలో 7 వ అత్యధిక డబుల్ సెంచరీలు (6)', 'వరుస మ్యాచ్లలో 21 వందల (3)', '16 వ అత్యంత బాతులు కెరీర్ లో (22)' 'కెరీర్ లో 2 వ పెద్ద జతల (4)', '31 ఇన్నింగ్స్ లో వచ్చిన ఎక్కువ ఫోర్లు (36)', 'ఇన్నింగ్స్ లో ఫోర్లు, సిక్సర్లు నుండి 43 వ అత్యధిక పరుగులు (150)', '33 వ లాంగెస్ట్ వ్యక్తిగత ఇన్నింగ్స్ (నిమిషాలు) ( 684) ',' ఏ వికెట్కు 27 లాంగెస్ట్ వ్యక్తిగత ఇన్నింగ్స్ (బంతులతో) (536) ',' 8 వ అసాధారణ వికెట్లు (అవుట్ రిటైర్) ',' 8 వ అత్యధిక భాగస్వామ్యాల (438) ',' మొదటి వికెట్కు 9 వ అత్యధిక భాగస్వామ్యం (335 ) ',' రెండవ వికెట్ (438 4 వ అత్యధిక భాగస్వామ్యం) ']</v>
      </c>
      <c r="E7077" s="2" t="s">
        <v>4199</v>
      </c>
      <c r="F7077" s="2" t="str">
        <f>IFERROR(__xludf.DUMMYFUNCTION("IF(E7077&lt;&gt;"""", GOOGLETRANSLATE(E7077, ""en"", ""te""),"""")"),"[ 'ఒకే మైదానంలో 20 వ అత్యధిక పరుగులు (1467)' '26 వ అధిక కెరీర్లో పరుగులు (8529)', 'ఒక వృత్తిలో 41 వ అత్యధిక వందలు (11)', '22 వ అత్యంత తొంభైల కెరీర్లో (5)', '21 వ జీవితంలో అత్యధిక అర్ధ (70) ',' 30 వ కెరీర్ ఫోర్లు (734) ',' 7000 పరుగులు 6000 పరుగులు (180)"&amp;" ',' 27 వ వేగవంతమైన 5000 పరుగులు (152) ',' 31 వేగవంతమైన వేగంగా 43 వ (213 ) ',' 8000 పరుగులు (239) ',' 39 వ అత్యధిక వాటా వేగంగా 23 ఏ వికెట్కు (237) ',' మొదటి వికెట్కు 16 అత్యధిక భాగస్వామ్యం (237) ',' మూడో వికెట్కు 9 వ అత్యధిక భాగస్వామ్యం (226) ',' ఆరవ వి"&amp;"కెట్కు 28 అత్యధిక భాగస్వామ్యం (133) ',' 33 వ కెరీర్ లో అత్యధిక మ్యాచ్లు (268) ',' ఒక జట్టు కోసం 21 వ వరుస మ్యాచ్లు (92) ',' 34 వ అత్యంత ప్లేయర్ ఆఫ్ ది మ్యాచ్ అవార్డులు (20) ',' 24 వ అత్యంత ప్లేయర్ ఆఫ్ ది సిరీస్ అవార్డులు (4) ',' 35 వ లాంగెస్ట్ కెరీర్లు (1"&amp;"6y 78d) ',' 42 వ అత్యధిక మ్యాచ్లు కెప్టెన్గా (63) ']")</f>
        <v>[ 'ఒకే మైదానంలో 20 వ అత్యధిక పరుగులు (1467)' '26 వ అధిక కెరీర్లో పరుగులు (8529)', 'ఒక వృత్తిలో 41 వ అత్యధిక వందలు (11)', '22 వ అత్యంత తొంభైల కెరీర్లో (5)', '21 వ జీవితంలో అత్యధిక అర్ధ (70) ',' 30 వ కెరీర్ ఫోర్లు (734) ',' 7000 పరుగులు 6000 పరుగులు (180) ',' 27 వ వేగవంతమైన 5000 పరుగులు (152) ',' 31 వేగవంతమైన వేగంగా 43 వ (213 ) ',' 8000 పరుగులు (239) ',' 39 వ అత్యధిక వాటా వేగంగా 23 ఏ వికెట్కు (237) ',' మొదటి వికెట్కు 16 అత్యధిక భాగస్వామ్యం (237) ',' మూడో వికెట్కు 9 వ అత్యధిక భాగస్వామ్యం (226) ',' ఆరవ వికెట్కు 28 అత్యధిక భాగస్వామ్యం (133) ',' 33 వ కెరీర్ లో అత్యధిక మ్యాచ్లు (268) ',' ఒక జట్టు కోసం 21 వ వరుస మ్యాచ్లు (92) ',' 34 వ అత్యంత ప్లేయర్ ఆఫ్ ది మ్యాచ్ అవార్డులు (20) ',' 24 వ అత్యంత ప్లేయర్ ఆఫ్ ది సిరీస్ అవార్డులు (4) ',' 35 వ లాంగెస్ట్ కెరీర్లు (16y 78d) ',' 42 వ అత్యధిక మ్యాచ్లు కెప్టెన్గా (63) ']</v>
      </c>
      <c r="G7077" s="2" t="s">
        <v>4200</v>
      </c>
      <c r="H7077" s="2" t="str">
        <f>IFERROR(__xludf.DUMMYFUNCTION("IF(G7077&lt;&gt;"""", GOOGLETRANSLATE(G7077, ""en"", ""te""),"""")"),"['21 వ పురాతన దేశం ఆటగాళ్ళు (50y 113d) ']")</f>
        <v>['21 వ పురాతన దేశం ఆటగాళ్ళు (50y 113d) ']</v>
      </c>
      <c r="I7077" s="3"/>
    </row>
    <row r="7078" customHeight="1" spans="1:9">
      <c r="A7078" s="2"/>
      <c r="B7078" s="2" t="str">
        <f>IFERROR(__xludf.DUMMYFUNCTION("IF(A7078&lt;&gt;"""", GOOGLETRANSLATE(A7078, ""en"", ""te""),"""")"),"")</f>
        <v/>
      </c>
      <c r="C7078" s="2"/>
      <c r="D7078" s="2" t="str">
        <f>IFERROR(__xludf.DUMMYFUNCTION("IF(C7078&lt;&gt;"""", GOOGLETRANSLATE(C7078, ""en"", ""te""),"""")"),"")</f>
        <v/>
      </c>
      <c r="E7078" s="2"/>
      <c r="F7078" s="2" t="str">
        <f>IFERROR(__xludf.DUMMYFUNCTION("IF(E7078&lt;&gt;"""", GOOGLETRANSLATE(E7078, ""en"", ""te""),"""")"),"")</f>
        <v/>
      </c>
      <c r="G7078" s="2"/>
      <c r="H7078" s="2" t="str">
        <f>IFERROR(__xludf.DUMMYFUNCTION("IF(G7078&lt;&gt;"""", GOOGLETRANSLATE(G7078, ""en"", ""te""),"""")"),"")</f>
        <v/>
      </c>
      <c r="I7078" s="3"/>
    </row>
    <row r="7079" customHeight="1" spans="1:9">
      <c r="A7079" s="2"/>
      <c r="B7079" s="2" t="str">
        <f>IFERROR(__xludf.DUMMYFUNCTION("IF(A7079&lt;&gt;"""", GOOGLETRANSLATE(A7079, ""en"", ""te""),"""")"),"")</f>
        <v/>
      </c>
      <c r="C7079" s="2"/>
      <c r="D7079" s="2" t="str">
        <f>IFERROR(__xludf.DUMMYFUNCTION("IF(C7079&lt;&gt;"""", GOOGLETRANSLATE(C7079, ""en"", ""te""),"""")"),"")</f>
        <v/>
      </c>
      <c r="E7079" s="2"/>
      <c r="F7079" s="2" t="str">
        <f>IFERROR(__xludf.DUMMYFUNCTION("IF(E7079&lt;&gt;"""", GOOGLETRANSLATE(E7079, ""en"", ""te""),"""")"),"")</f>
        <v/>
      </c>
      <c r="G7079" s="2"/>
      <c r="H7079" s="2" t="str">
        <f>IFERROR(__xludf.DUMMYFUNCTION("IF(G7079&lt;&gt;"""", GOOGLETRANSLATE(G7079, ""en"", ""te""),"""")"),"")</f>
        <v/>
      </c>
      <c r="I7079" s="3"/>
    </row>
    <row r="7080" customHeight="1" spans="1:9">
      <c r="A7080" s="2"/>
      <c r="B7080" s="2" t="str">
        <f>IFERROR(__xludf.DUMMYFUNCTION("IF(A7080&lt;&gt;"""", GOOGLETRANSLATE(A7080, ""en"", ""te""),"""")"),"")</f>
        <v/>
      </c>
      <c r="C7080" s="2"/>
      <c r="D7080" s="2" t="str">
        <f>IFERROR(__xludf.DUMMYFUNCTION("IF(C7080&lt;&gt;"""", GOOGLETRANSLATE(C7080, ""en"", ""te""),"""")"),"")</f>
        <v/>
      </c>
      <c r="E7080" s="2"/>
      <c r="F7080" s="2" t="str">
        <f>IFERROR(__xludf.DUMMYFUNCTION("IF(E7080&lt;&gt;"""", GOOGLETRANSLATE(E7080, ""en"", ""te""),"""")"),"")</f>
        <v/>
      </c>
      <c r="G7080" s="2"/>
      <c r="H7080" s="2" t="str">
        <f>IFERROR(__xludf.DUMMYFUNCTION("IF(G7080&lt;&gt;"""", GOOGLETRANSLATE(G7080, ""en"", ""te""),"""")"),"")</f>
        <v/>
      </c>
      <c r="I7080" s="3"/>
    </row>
    <row r="7081" customHeight="1" spans="1:9">
      <c r="A7081" s="2"/>
      <c r="B7081" s="2" t="str">
        <f>IFERROR(__xludf.DUMMYFUNCTION("IF(A7081&lt;&gt;"""", GOOGLETRANSLATE(A7081, ""en"", ""te""),"""")"),"")</f>
        <v/>
      </c>
      <c r="C7081" s="2" t="s">
        <v>2176</v>
      </c>
      <c r="D7081" s="2" t="str">
        <f>IFERROR(__xludf.DUMMYFUNCTION("IF(C7081&lt;&gt;"""", GOOGLETRANSLATE(C7081, ""en"", ""te""),"""")"),"[ '37 వ ఉత్తమ ఇన్నింగ్స్ లో ఆర్థిక రేటు (0.60)']")</f>
        <v>[ '37 వ ఉత్తమ ఇన్నింగ్స్ లో ఆర్థిక రేటు (0.60)']</v>
      </c>
      <c r="E7081" s="2" t="s">
        <v>4201</v>
      </c>
      <c r="F7081" s="2" t="str">
        <f>IFERROR(__xludf.DUMMYFUNCTION("IF(E7081&lt;&gt;"""", GOOGLETRANSLATE(E7081, ""en"", ""te""),"""")"),"[ '22 చెత్త కెరీర్లో సమ్మె రేటు (65.6)']")</f>
        <v>[ '22 చెత్త కెరీర్లో సమ్మె రేటు (65.6)']</v>
      </c>
      <c r="G7081" s="2"/>
      <c r="H7081" s="2" t="str">
        <f>IFERROR(__xludf.DUMMYFUNCTION("IF(G7081&lt;&gt;"""", GOOGLETRANSLATE(G7081, ""en"", ""te""),"""")"),"")</f>
        <v/>
      </c>
      <c r="I7081" s="3"/>
    </row>
    <row r="7082" customHeight="1" spans="1:9">
      <c r="A7082" s="2"/>
      <c r="B7082" s="2" t="str">
        <f>IFERROR(__xludf.DUMMYFUNCTION("IF(A7082&lt;&gt;"""", GOOGLETRANSLATE(A7082, ""en"", ""te""),"""")"),"")</f>
        <v/>
      </c>
      <c r="C7082" s="2"/>
      <c r="D7082" s="2" t="str">
        <f>IFERROR(__xludf.DUMMYFUNCTION("IF(C7082&lt;&gt;"""", GOOGLETRANSLATE(C7082, ""en"", ""te""),"""")"),"")</f>
        <v/>
      </c>
      <c r="E7082" s="2"/>
      <c r="F7082" s="2" t="str">
        <f>IFERROR(__xludf.DUMMYFUNCTION("IF(E7082&lt;&gt;"""", GOOGLETRANSLATE(E7082, ""en"", ""te""),"""")"),"")</f>
        <v/>
      </c>
      <c r="G7082" s="2"/>
      <c r="H7082" s="2" t="str">
        <f>IFERROR(__xludf.DUMMYFUNCTION("IF(G7082&lt;&gt;"""", GOOGLETRANSLATE(G7082, ""en"", ""te""),"""")"),"")</f>
        <v/>
      </c>
      <c r="I7082" s="3"/>
    </row>
    <row r="7083" customHeight="1" spans="1:9">
      <c r="A7083" s="2"/>
      <c r="B7083" s="2" t="str">
        <f>IFERROR(__xludf.DUMMYFUNCTION("IF(A7083&lt;&gt;"""", GOOGLETRANSLATE(A7083, ""en"", ""te""),"""")"),"")</f>
        <v/>
      </c>
      <c r="C7083" s="2"/>
      <c r="D7083" s="2" t="str">
        <f>IFERROR(__xludf.DUMMYFUNCTION("IF(C7083&lt;&gt;"""", GOOGLETRANSLATE(C7083, ""en"", ""te""),"""")"),"")</f>
        <v/>
      </c>
      <c r="E7083" s="2"/>
      <c r="F7083" s="2" t="str">
        <f>IFERROR(__xludf.DUMMYFUNCTION("IF(E7083&lt;&gt;"""", GOOGLETRANSLATE(E7083, ""en"", ""te""),"""")"),"")</f>
        <v/>
      </c>
      <c r="G7083" s="2"/>
      <c r="H7083" s="2" t="str">
        <f>IFERROR(__xludf.DUMMYFUNCTION("IF(G7083&lt;&gt;"""", GOOGLETRANSLATE(G7083, ""en"", ""te""),"""")"),"")</f>
        <v/>
      </c>
      <c r="I7083" s="3"/>
    </row>
    <row r="7084" customHeight="1" spans="1:9">
      <c r="A7084" s="2"/>
      <c r="B7084" s="2" t="str">
        <f>IFERROR(__xludf.DUMMYFUNCTION("IF(A7084&lt;&gt;"""", GOOGLETRANSLATE(A7084, ""en"", ""te""),"""")"),"")</f>
        <v/>
      </c>
      <c r="C7084" s="2"/>
      <c r="D7084" s="2" t="str">
        <f>IFERROR(__xludf.DUMMYFUNCTION("IF(C7084&lt;&gt;"""", GOOGLETRANSLATE(C7084, ""en"", ""te""),"""")"),"")</f>
        <v/>
      </c>
      <c r="E7084" s="2"/>
      <c r="F7084" s="2" t="str">
        <f>IFERROR(__xludf.DUMMYFUNCTION("IF(E7084&lt;&gt;"""", GOOGLETRANSLATE(E7084, ""en"", ""te""),"""")"),"")</f>
        <v/>
      </c>
      <c r="G7084" s="2"/>
      <c r="H7084" s="2" t="str">
        <f>IFERROR(__xludf.DUMMYFUNCTION("IF(G7084&lt;&gt;"""", GOOGLETRANSLATE(G7084, ""en"", ""te""),"""")"),"")</f>
        <v/>
      </c>
      <c r="I7084" s="3"/>
    </row>
    <row r="7085" customHeight="1" spans="1:9">
      <c r="A7085" s="2"/>
      <c r="B7085" s="2" t="str">
        <f>IFERROR(__xludf.DUMMYFUNCTION("IF(A7085&lt;&gt;"""", GOOGLETRANSLATE(A7085, ""en"", ""te""),"""")"),"")</f>
        <v/>
      </c>
      <c r="C7085" s="2"/>
      <c r="D7085" s="2" t="str">
        <f>IFERROR(__xludf.DUMMYFUNCTION("IF(C7085&lt;&gt;"""", GOOGLETRANSLATE(C7085, ""en"", ""te""),"""")"),"")</f>
        <v/>
      </c>
      <c r="E7085" s="2"/>
      <c r="F7085" s="2" t="str">
        <f>IFERROR(__xludf.DUMMYFUNCTION("IF(E7085&lt;&gt;"""", GOOGLETRANSLATE(E7085, ""en"", ""te""),"""")"),"")</f>
        <v/>
      </c>
      <c r="G7085" s="2"/>
      <c r="H7085" s="2" t="str">
        <f>IFERROR(__xludf.DUMMYFUNCTION("IF(G7085&lt;&gt;"""", GOOGLETRANSLATE(G7085, ""en"", ""te""),"""")"),"")</f>
        <v/>
      </c>
      <c r="I7085" s="3"/>
    </row>
    <row r="7086" customHeight="1" spans="1:9">
      <c r="A7086" s="2"/>
      <c r="B7086" s="2" t="str">
        <f>IFERROR(__xludf.DUMMYFUNCTION("IF(A7086&lt;&gt;"""", GOOGLETRANSLATE(A7086, ""en"", ""te""),"""")"),"")</f>
        <v/>
      </c>
      <c r="C7086" s="2"/>
      <c r="D7086" s="2" t="str">
        <f>IFERROR(__xludf.DUMMYFUNCTION("IF(C7086&lt;&gt;"""", GOOGLETRANSLATE(C7086, ""en"", ""te""),"""")"),"")</f>
        <v/>
      </c>
      <c r="E7086" s="2"/>
      <c r="F7086" s="2" t="str">
        <f>IFERROR(__xludf.DUMMYFUNCTION("IF(E7086&lt;&gt;"""", GOOGLETRANSLATE(E7086, ""en"", ""te""),"""")"),"")</f>
        <v/>
      </c>
      <c r="G7086" s="2"/>
      <c r="H7086" s="2" t="str">
        <f>IFERROR(__xludf.DUMMYFUNCTION("IF(G7086&lt;&gt;"""", GOOGLETRANSLATE(G7086, ""en"", ""te""),"""")"),"")</f>
        <v/>
      </c>
      <c r="I7086" s="3"/>
    </row>
    <row r="7087" customHeight="1" spans="1:9">
      <c r="A7087" s="2"/>
      <c r="B7087" s="2" t="str">
        <f>IFERROR(__xludf.DUMMYFUNCTION("IF(A7087&lt;&gt;"""", GOOGLETRANSLATE(A7087, ""en"", ""te""),"""")"),"")</f>
        <v/>
      </c>
      <c r="C7087" s="2"/>
      <c r="D7087" s="2" t="str">
        <f>IFERROR(__xludf.DUMMYFUNCTION("IF(C7087&lt;&gt;"""", GOOGLETRANSLATE(C7087, ""en"", ""te""),"""")"),"")</f>
        <v/>
      </c>
      <c r="E7087" s="2"/>
      <c r="F7087" s="2" t="str">
        <f>IFERROR(__xludf.DUMMYFUNCTION("IF(E7087&lt;&gt;"""", GOOGLETRANSLATE(E7087, ""en"", ""te""),"""")"),"")</f>
        <v/>
      </c>
      <c r="G7087" s="2"/>
      <c r="H7087" s="2" t="str">
        <f>IFERROR(__xludf.DUMMYFUNCTION("IF(G7087&lt;&gt;"""", GOOGLETRANSLATE(G7087, ""en"", ""te""),"""")"),"")</f>
        <v/>
      </c>
      <c r="I7087" s="3"/>
    </row>
    <row r="7088" customHeight="1" spans="1:9">
      <c r="A7088" s="2"/>
      <c r="B7088" s="2" t="str">
        <f>IFERROR(__xludf.DUMMYFUNCTION("IF(A7088&lt;&gt;"""", GOOGLETRANSLATE(A7088, ""en"", ""te""),"""")"),"")</f>
        <v/>
      </c>
      <c r="C7088" s="2"/>
      <c r="D7088" s="2" t="str">
        <f>IFERROR(__xludf.DUMMYFUNCTION("IF(C7088&lt;&gt;"""", GOOGLETRANSLATE(C7088, ""en"", ""te""),"""")"),"")</f>
        <v/>
      </c>
      <c r="E7088" s="2"/>
      <c r="F7088" s="2" t="str">
        <f>IFERROR(__xludf.DUMMYFUNCTION("IF(E7088&lt;&gt;"""", GOOGLETRANSLATE(E7088, ""en"", ""te""),"""")"),"")</f>
        <v/>
      </c>
      <c r="G7088" s="2"/>
      <c r="H7088" s="2" t="str">
        <f>IFERROR(__xludf.DUMMYFUNCTION("IF(G7088&lt;&gt;"""", GOOGLETRANSLATE(G7088, ""en"", ""te""),"""")"),"")</f>
        <v/>
      </c>
      <c r="I7088" s="3"/>
    </row>
    <row r="7089" customHeight="1" spans="1:9">
      <c r="A7089" s="2"/>
      <c r="B7089" s="2" t="str">
        <f>IFERROR(__xludf.DUMMYFUNCTION("IF(A7089&lt;&gt;"""", GOOGLETRANSLATE(A7089, ""en"", ""te""),"""")"),"")</f>
        <v/>
      </c>
      <c r="C7089" s="2"/>
      <c r="D7089" s="2" t="str">
        <f>IFERROR(__xludf.DUMMYFUNCTION("IF(C7089&lt;&gt;"""", GOOGLETRANSLATE(C7089, ""en"", ""te""),"""")"),"")</f>
        <v/>
      </c>
      <c r="E7089" s="2"/>
      <c r="F7089" s="2" t="str">
        <f>IFERROR(__xludf.DUMMYFUNCTION("IF(E7089&lt;&gt;"""", GOOGLETRANSLATE(E7089, ""en"", ""te""),"""")"),"")</f>
        <v/>
      </c>
      <c r="G7089" s="2"/>
      <c r="H7089" s="2" t="str">
        <f>IFERROR(__xludf.DUMMYFUNCTION("IF(G7089&lt;&gt;"""", GOOGLETRANSLATE(G7089, ""en"", ""te""),"""")"),"")</f>
        <v/>
      </c>
      <c r="I7089" s="3"/>
    </row>
    <row r="7090" customHeight="1" spans="1:9">
      <c r="A7090" s="2"/>
      <c r="B7090" s="2" t="str">
        <f>IFERROR(__xludf.DUMMYFUNCTION("IF(A7090&lt;&gt;"""", GOOGLETRANSLATE(A7090, ""en"", ""te""),"""")"),"")</f>
        <v/>
      </c>
      <c r="C7090" s="2"/>
      <c r="D7090" s="2" t="str">
        <f>IFERROR(__xludf.DUMMYFUNCTION("IF(C7090&lt;&gt;"""", GOOGLETRANSLATE(C7090, ""en"", ""te""),"""")"),"")</f>
        <v/>
      </c>
      <c r="E7090" s="2"/>
      <c r="F7090" s="2" t="str">
        <f>IFERROR(__xludf.DUMMYFUNCTION("IF(E7090&lt;&gt;"""", GOOGLETRANSLATE(E7090, ""en"", ""te""),"""")"),"")</f>
        <v/>
      </c>
      <c r="G7090" s="2"/>
      <c r="H7090" s="2" t="str">
        <f>IFERROR(__xludf.DUMMYFUNCTION("IF(G7090&lt;&gt;"""", GOOGLETRANSLATE(G7090, ""en"", ""te""),"""")"),"")</f>
        <v/>
      </c>
      <c r="I7090" s="3"/>
    </row>
    <row r="7091" customHeight="1" spans="1:9">
      <c r="A7091" s="2"/>
      <c r="B7091" s="2" t="str">
        <f>IFERROR(__xludf.DUMMYFUNCTION("IF(A7091&lt;&gt;"""", GOOGLETRANSLATE(A7091, ""en"", ""te""),"""")"),"")</f>
        <v/>
      </c>
      <c r="C7091" s="2"/>
      <c r="D7091" s="2" t="str">
        <f>IFERROR(__xludf.DUMMYFUNCTION("IF(C7091&lt;&gt;"""", GOOGLETRANSLATE(C7091, ""en"", ""te""),"""")"),"")</f>
        <v/>
      </c>
      <c r="E7091" s="2"/>
      <c r="F7091" s="2" t="str">
        <f>IFERROR(__xludf.DUMMYFUNCTION("IF(E7091&lt;&gt;"""", GOOGLETRANSLATE(E7091, ""en"", ""te""),"""")"),"")</f>
        <v/>
      </c>
      <c r="G7091" s="2"/>
      <c r="H7091" s="2" t="str">
        <f>IFERROR(__xludf.DUMMYFUNCTION("IF(G7091&lt;&gt;"""", GOOGLETRANSLATE(G7091, ""en"", ""te""),"""")"),"")</f>
        <v/>
      </c>
      <c r="I7091" s="3"/>
    </row>
    <row r="7092" customHeight="1" spans="1:9">
      <c r="A7092" s="2"/>
      <c r="B7092" s="2" t="str">
        <f>IFERROR(__xludf.DUMMYFUNCTION("IF(A7092&lt;&gt;"""", GOOGLETRANSLATE(A7092, ""en"", ""te""),"""")"),"")</f>
        <v/>
      </c>
      <c r="C7092" s="2"/>
      <c r="D7092" s="2" t="str">
        <f>IFERROR(__xludf.DUMMYFUNCTION("IF(C7092&lt;&gt;"""", GOOGLETRANSLATE(C7092, ""en"", ""te""),"""")"),"")</f>
        <v/>
      </c>
      <c r="E7092" s="2"/>
      <c r="F7092" s="2" t="str">
        <f>IFERROR(__xludf.DUMMYFUNCTION("IF(E7092&lt;&gt;"""", GOOGLETRANSLATE(E7092, ""en"", ""te""),"""")"),"")</f>
        <v/>
      </c>
      <c r="G7092" s="2"/>
      <c r="H7092" s="2" t="str">
        <f>IFERROR(__xludf.DUMMYFUNCTION("IF(G7092&lt;&gt;"""", GOOGLETRANSLATE(G7092, ""en"", ""te""),"""")"),"")</f>
        <v/>
      </c>
      <c r="I7092" s="3"/>
    </row>
    <row r="7093" customHeight="1" spans="1:9">
      <c r="A7093" s="2"/>
      <c r="B7093" s="2" t="str">
        <f>IFERROR(__xludf.DUMMYFUNCTION("IF(A7093&lt;&gt;"""", GOOGLETRANSLATE(A7093, ""en"", ""te""),"""")"),"")</f>
        <v/>
      </c>
      <c r="C7093" s="2"/>
      <c r="D7093" s="2" t="str">
        <f>IFERROR(__xludf.DUMMYFUNCTION("IF(C7093&lt;&gt;"""", GOOGLETRANSLATE(C7093, ""en"", ""te""),"""")"),"")</f>
        <v/>
      </c>
      <c r="E7093" s="2"/>
      <c r="F7093" s="2" t="str">
        <f>IFERROR(__xludf.DUMMYFUNCTION("IF(E7093&lt;&gt;"""", GOOGLETRANSLATE(E7093, ""en"", ""te""),"""")"),"")</f>
        <v/>
      </c>
      <c r="G7093" s="2"/>
      <c r="H7093" s="2" t="str">
        <f>IFERROR(__xludf.DUMMYFUNCTION("IF(G7093&lt;&gt;"""", GOOGLETRANSLATE(G7093, ""en"", ""te""),"""")"),"")</f>
        <v/>
      </c>
      <c r="I7093" s="3"/>
    </row>
    <row r="7094" customHeight="1" spans="1:9">
      <c r="A7094" s="2"/>
      <c r="B7094" s="2" t="str">
        <f>IFERROR(__xludf.DUMMYFUNCTION("IF(A7094&lt;&gt;"""", GOOGLETRANSLATE(A7094, ""en"", ""te""),"""")"),"")</f>
        <v/>
      </c>
      <c r="C7094" s="2"/>
      <c r="D7094" s="2" t="str">
        <f>IFERROR(__xludf.DUMMYFUNCTION("IF(C7094&lt;&gt;"""", GOOGLETRANSLATE(C7094, ""en"", ""te""),"""")"),"")</f>
        <v/>
      </c>
      <c r="E7094" s="2"/>
      <c r="F7094" s="2" t="str">
        <f>IFERROR(__xludf.DUMMYFUNCTION("IF(E7094&lt;&gt;"""", GOOGLETRANSLATE(E7094, ""en"", ""te""),"""")"),"")</f>
        <v/>
      </c>
      <c r="G7094" s="2"/>
      <c r="H7094" s="2" t="str">
        <f>IFERROR(__xludf.DUMMYFUNCTION("IF(G7094&lt;&gt;"""", GOOGLETRANSLATE(G7094, ""en"", ""te""),"""")"),"")</f>
        <v/>
      </c>
      <c r="I7094" s="3"/>
    </row>
    <row r="7095" customHeight="1" spans="1:9">
      <c r="A7095" s="2"/>
      <c r="B7095" s="2" t="str">
        <f>IFERROR(__xludf.DUMMYFUNCTION("IF(A7095&lt;&gt;"""", GOOGLETRANSLATE(A7095, ""en"", ""te""),"""")"),"")</f>
        <v/>
      </c>
      <c r="C7095" s="2"/>
      <c r="D7095" s="2" t="str">
        <f>IFERROR(__xludf.DUMMYFUNCTION("IF(C7095&lt;&gt;"""", GOOGLETRANSLATE(C7095, ""en"", ""te""),"""")"),"")</f>
        <v/>
      </c>
      <c r="E7095" s="2"/>
      <c r="F7095" s="2" t="str">
        <f>IFERROR(__xludf.DUMMYFUNCTION("IF(E7095&lt;&gt;"""", GOOGLETRANSLATE(E7095, ""en"", ""te""),"""")"),"")</f>
        <v/>
      </c>
      <c r="G7095" s="2"/>
      <c r="H7095" s="2" t="str">
        <f>IFERROR(__xludf.DUMMYFUNCTION("IF(G7095&lt;&gt;"""", GOOGLETRANSLATE(G7095, ""en"", ""te""),"""")"),"")</f>
        <v/>
      </c>
      <c r="I7095" s="3"/>
    </row>
    <row r="7096" customHeight="1" spans="1:9">
      <c r="A7096" s="2"/>
      <c r="B7096" s="2" t="str">
        <f>IFERROR(__xludf.DUMMYFUNCTION("IF(A7096&lt;&gt;"""", GOOGLETRANSLATE(A7096, ""en"", ""te""),"""")"),"")</f>
        <v/>
      </c>
      <c r="C7096" s="2"/>
      <c r="D7096" s="2" t="str">
        <f>IFERROR(__xludf.DUMMYFUNCTION("IF(C7096&lt;&gt;"""", GOOGLETRANSLATE(C7096, ""en"", ""te""),"""")"),"")</f>
        <v/>
      </c>
      <c r="E7096" s="2"/>
      <c r="F7096" s="2" t="str">
        <f>IFERROR(__xludf.DUMMYFUNCTION("IF(E7096&lt;&gt;"""", GOOGLETRANSLATE(E7096, ""en"", ""te""),"""")"),"")</f>
        <v/>
      </c>
      <c r="G7096" s="2"/>
      <c r="H7096" s="2" t="str">
        <f>IFERROR(__xludf.DUMMYFUNCTION("IF(G7096&lt;&gt;"""", GOOGLETRANSLATE(G7096, ""en"", ""te""),"""")"),"")</f>
        <v/>
      </c>
      <c r="I7096" s="3"/>
    </row>
    <row r="7097" customHeight="1" spans="1:9">
      <c r="A7097" s="2" t="s">
        <v>4202</v>
      </c>
      <c r="B7097" s="2" t="str">
        <f>IFERROR(__xludf.DUMMYFUNCTION("IF(A7097&lt;&gt;"""", GOOGLETRANSLATE(A7097, ""en"", ""te""),"""")"),"[ 'పరాజయం వైపు (178 *) ఒక మ్యాచ్లో 1st అత్యధిక పరుగులు', 'గత మ్యాచ్లో 2nd హండ్రెడ్ (103)', '6 వ ఒక సిరీస్లో అత్యధిక సెంచరీలు (2)', '1 వ 99 (199 అవుటయ్యాడు, 299 మొదలైనవి) (99) ',' ఒక ఇన్నింగ్స్లో పరుగుల 1st అత్యధిక శాతం (69.26) ',' 1st చెత్త కెరీర్లో ఆర్"&amp;"థిక రేటు (5.59) ',' 4 వ ఇన్నింగ్స్ లో అత్యధిక క్యాచ్లు (3) ',' బ్యాటింగ్ తెరవడం ఓడిపోయిన వైపు ఒక మ్యాచ్లో 2nd అత్యధిక పరుగులు ఒకే మ్యాచ్ లో బౌలింగ్ ',' (113) ',' 6 వ కెరీర్ బాతులు (8) ',' 10th ఒక ఇన్నింగ్స్లో పరుగుల అత్యధిక శాతం (64.20) ', '3 వ చెత్త కెర"&amp;"ీర్లో ఆర్థిక రేటు (7.08)']")</f>
        <v>[ 'పరాజయం వైపు (178 *) ఒక మ్యాచ్లో 1st అత్యధిక పరుగులు', 'గత మ్యాచ్లో 2nd హండ్రెడ్ (103)', '6 వ ఒక సిరీస్లో అత్యధిక సెంచరీలు (2)', '1 వ 99 (199 అవుటయ్యాడు, 299 మొదలైనవి) (99) ',' ఒక ఇన్నింగ్స్లో పరుగుల 1st అత్యధిక శాతం (69.26) ',' 1st చెత్త కెరీర్లో ఆర్థిక రేటు (5.59) ',' 4 వ ఇన్నింగ్స్ లో అత్యధిక క్యాచ్లు (3) ',' బ్యాటింగ్ తెరవడం ఓడిపోయిన వైపు ఒక మ్యాచ్లో 2nd అత్యధిక పరుగులు ఒకే మ్యాచ్ లో బౌలింగ్ ',' (113) ',' 6 వ కెరీర్ బాతులు (8) ',' 10th ఒక ఇన్నింగ్స్లో పరుగుల అత్యధిక శాతం (64.20) ', '3 వ చెత్త కెరీర్లో ఆర్థిక రేటు (7.08)']</v>
      </c>
      <c r="C7097" s="2"/>
      <c r="D7097" s="2" t="str">
        <f>IFERROR(__xludf.DUMMYFUNCTION("IF(C7097&lt;&gt;"""", GOOGLETRANSLATE(C7097, ""en"", ""te""),"""")"),"")</f>
        <v/>
      </c>
      <c r="E7097" s="2" t="s">
        <v>4203</v>
      </c>
      <c r="F7097" s="2" t="str">
        <f>IFERROR(__xludf.DUMMYFUNCTION("IF(E7097&lt;&gt;"""", GOOGLETRANSLATE(E7097, ""en"", ""te""),"""")"),"[ 'వరుస 19 వ అత్యధిక పరుగులు (639)', 'ఇన్నింగ్స్ (178 *) లో 4 వ అత్యధిక పరుగులు' 'కెరీర్లో 25 వ అత్యధిక పరుగులు (2625)', 'ఒక క్యాలెండర్ సంవత్సరంలో 45 వ అత్యధిక పరుగులు (533)', 'ఇన్నింగ్స్ లో 1 వ అత్యధిక పరుగులు (బ్యాటింగ్ స్థానంలో ప్రకారం) (178 *)', '1 వ "&amp;"పరాజయం వైపు (178 *) ఒక మ్యాచ్లో అత్యధిక పరుగులు', 'ఒక కెప్టెన్ ద్వారా ఒక సిరీస్లో 13 వ అత్యధిక పరుగులు (442)', 'ఒక కెప్టెన్తో ఇన్నింగ్స్ లో 19 అత్యధిక పరుగులు (115)', '45 వ అత్యధిక కెరీర్ బ్యాటింగ్ సగటు (31.62)', '2 వ హండ్రెడ్ గత మ్యాచ్లో (103)', '10 వ అ"&amp;"త్యధిక వందలు ఒక వృత్తిలో (5)', ' ఒక సిరీస్లో 6 వ అత్యధిక వందలు (2) ',' 11 వ ఒక జట్టు (2) ',' 42 వ అత్యధిక తొలి వంద (111) ',' 16 వ పిన్న ఆటగాడు వ్యతిరేకంగా అత్యధిక వందలు వంద (21y 78d) ',' 10 వ అత్యంత స్కోర్ కెరీర్లో తొంభైల (2) ',' 1 వ 99 (199, 299 etc) (9"&amp;"9) ', '21 వ అత్యంత అర్ధ కెరీర్లో (19)', 'వరుస ఇన్నింగ్స్లో 28 యాభైల్లో (3)', '21 వ మోస్ట్ కొట్టివేయబడింది కెరీర్లో బాతులు (9) ',' ఒక ఇన్నింగ్స్లో పరుగుల 1st అత్యధిక శాతం (69.26) ',' 6 వ చెత్త కెరీర్ బౌలింగ్ సరాసరి (47.17) ',' 1st చెత్త కెరీర్లో ఆర్థిక రే"&amp;"టు (5.59) ',' 29 వ అత్యధిక ఇన్నింగ్స్ లో ఒక ఇన్నింగ్స్ లో సాధించిన పరుగులు (75) ',' 4 వ అత్యధిక క్యాచ్లు (3) నాలుగో వికెట్కు ',' 27 వ అత్యధిక భాగస్వామ్యం (111) ',' ఏడవ వికెట్కు 39 వ అత్యధిక భాగస్వామ్యం (60 ) ',' ఎనిమిదవ వికెట్కు 41 వ అత్యధిక భాగస్వామ్యం ("&amp;"44) ',' ఒక జట్టు కోసం 25 వరుస మ్యాచ్లు (48 *) ',' 27 వ అత్యధిక మ్యాచ్లు కెప్టెన్గా (27) ',' 42 వ పిన్న కాప్టెన్ (24y 248d) ' 'వికెట్ (1) ఉంచింది చేసిన 17 వ కెప్టెన్ల']")</f>
        <v>[ 'వరుస 19 వ అత్యధిక పరుగులు (639)', 'ఇన్నింగ్స్ (178 *) లో 4 వ అత్యధిక పరుగులు' 'కెరీర్లో 25 వ అత్యధిక పరుగులు (2625)', 'ఒక క్యాలెండర్ సంవత్సరంలో 45 వ అత్యధిక పరుగులు (533)', 'ఇన్నింగ్స్ లో 1 వ అత్యధిక పరుగులు (బ్యాటింగ్ స్థానంలో ప్రకారం) (178 *)', '1 వ పరాజయం వైపు (178 *) ఒక మ్యాచ్లో అత్యధిక పరుగులు', 'ఒక కెప్టెన్ ద్వారా ఒక సిరీస్లో 13 వ అత్యధిక పరుగులు (442)', 'ఒక కెప్టెన్తో ఇన్నింగ్స్ లో 19 అత్యధిక పరుగులు (115)', '45 వ అత్యధిక కెరీర్ బ్యాటింగ్ సగటు (31.62)', '2 వ హండ్రెడ్ గత మ్యాచ్లో (103)', '10 వ అత్యధిక వందలు ఒక వృత్తిలో (5)', ' ఒక సిరీస్లో 6 వ అత్యధిక వందలు (2) ',' 11 వ ఒక జట్టు (2) ',' 42 వ అత్యధిక తొలి వంద (111) ',' 16 వ పిన్న ఆటగాడు వ్యతిరేకంగా అత్యధిక వందలు వంద (21y 78d) ',' 10 వ అత్యంత స్కోర్ కెరీర్లో తొంభైల (2) ',' 1 వ 99 (199, 299 etc) (99) ', '21 వ అత్యంత అర్ధ కెరీర్లో (19)', 'వరుస ఇన్నింగ్స్లో 28 యాభైల్లో (3)', '21 వ మోస్ట్ కొట్టివేయబడింది కెరీర్లో బాతులు (9) ',' ఒక ఇన్నింగ్స్లో పరుగుల 1st అత్యధిక శాతం (69.26) ',' 6 వ చెత్త కెరీర్ బౌలింగ్ సరాసరి (47.17) ',' 1st చెత్త కెరీర్లో ఆర్థిక రేటు (5.59) ',' 29 వ అత్యధిక ఇన్నింగ్స్ లో ఒక ఇన్నింగ్స్ లో సాధించిన పరుగులు (75) ',' 4 వ అత్యధిక క్యాచ్లు (3) నాలుగో వికెట్కు ',' 27 వ అత్యధిక భాగస్వామ్యం (111) ',' ఏడవ వికెట్కు 39 వ అత్యధిక భాగస్వామ్యం (60 ) ',' ఎనిమిదవ వికెట్కు 41 వ అత్యధిక భాగస్వామ్యం (44) ',' ఒక జట్టు కోసం 25 వరుస మ్యాచ్లు (48 *) ',' 27 వ అత్యధిక మ్యాచ్లు కెప్టెన్గా (27) ',' 42 వ పిన్న కాప్టెన్ (24y 248d) ' 'వికెట్ (1) ఉంచింది చేసిన 17 వ కెప్టెన్ల']</v>
      </c>
      <c r="G7097" s="2" t="s">
        <v>4204</v>
      </c>
      <c r="H7097" s="2" t="str">
        <f>IFERROR(__xludf.DUMMYFUNCTION("IF(G7097&lt;&gt;"""", GOOGLETRANSLATE(G7097, ""en"", ""te""),"""")"),"[ '19 కెరీర్లో అత్యధిక పరుగులు (1646)', '13 వ ఇన్నింగ్స్ లో అత్యధిక పరుగులు (113)', '10 వ ఇన్నింగ్స్ లో అత్యధిక పరుగులు (బ్యాటింగ్ స్థానంలో ప్రకారం) (113)', 'ఒక మ్యాచ్లో 2nd అత్యధిక పరుగులు ఒక కెప్టెన్తో ఇన్నింగ్స్ లో వైపు (113) ',' 4 వ అత్యధిక పరుగులు ఓ"&amp;"డిపోయిన (113) ',' 34 వ కెరీర్ అర్ధ (3) ',' 6 వ అత్యంత బాతులు కెరీర్లో (8) ',' 10 వ అత్యధిక పరుగులు శాతం ఒక ఇన్నింగ్స్లో (64.20) ',' ఒక కెప్టెన్ (3) ',' 6 వ చెత్త కెరీర్ సగటు (31.38) ',' 3 వ చెత్త కెరీర్లో ఎకానమీ రేట్ బౌలింగ్ ఒక ఇన్నింగ్స్ లో 21 వ బెస్ట్ ఫ"&amp;"ిగర్స్ (7.08) ',' 14 వ చెత్త వృత్తి సమ్మె రేటు (26.5) ',' 13 వ అత్యధిక పరుగులు ఇన్నింగ్స్ లో సాధించిన కెరీర్లో (53) ',' 41 వ అత్యధిక క్యాచ్లు కెరీర్లో (20) ',' మూడో వికెట్కు 45 వ అత్యధిక భాగస్వామ్యం (76) ',' 29th అత్యధిక మ్యాచ్లు (85) ',' ఒక జట్టు కోసం 26"&amp;" వరుస మ్యాచ్లు (43) ',' 12 వ అత్యధిక మ్యాచ్లు కెప్టెన్గా (39) ']")</f>
        <v>[ '19 కెరీర్లో అత్యధిక పరుగులు (1646)', '13 వ ఇన్నింగ్స్ లో అత్యధిక పరుగులు (113)', '10 వ ఇన్నింగ్స్ లో అత్యధిక పరుగులు (బ్యాటింగ్ స్థానంలో ప్రకారం) (113)', 'ఒక మ్యాచ్లో 2nd అత్యధిక పరుగులు ఒక కెప్టెన్తో ఇన్నింగ్స్ లో వైపు (113) ',' 4 వ అత్యధిక పరుగులు ఓడిపోయిన (113) ',' 34 వ కెరీర్ అర్ధ (3) ',' 6 వ అత్యంత బాతులు కెరీర్లో (8) ',' 10 వ అత్యధిక పరుగులు శాతం ఒక ఇన్నింగ్స్లో (64.20) ',' ఒక కెప్టెన్ (3) ',' 6 వ చెత్త కెరీర్ సగటు (31.38) ',' 3 వ చెత్త కెరీర్లో ఎకానమీ రేట్ బౌలింగ్ ఒక ఇన్నింగ్స్ లో 21 వ బెస్ట్ ఫిగర్స్ (7.08) ',' 14 వ చెత్త వృత్తి సమ్మె రేటు (26.5) ',' 13 వ అత్యధిక పరుగులు ఇన్నింగ్స్ లో సాధించిన కెరీర్లో (53) ',' 41 వ అత్యధిక క్యాచ్లు కెరీర్లో (20) ',' మూడో వికెట్కు 45 వ అత్యధిక భాగస్వామ్యం (76) ',' 29th అత్యధిక మ్యాచ్లు (85) ',' ఒక జట్టు కోసం 26 వరుస మ్యాచ్లు (43) ',' 12 వ అత్యధిక మ్యాచ్లు కెప్టెన్గా (39) ']</v>
      </c>
      <c r="I7097" s="3"/>
    </row>
    <row r="7098" customHeight="1" spans="1:9">
      <c r="A7098" s="2"/>
      <c r="B7098" s="2" t="str">
        <f>IFERROR(__xludf.DUMMYFUNCTION("IF(A7098&lt;&gt;"""", GOOGLETRANSLATE(A7098, ""en"", ""te""),"""")"),"")</f>
        <v/>
      </c>
      <c r="C7098" s="2"/>
      <c r="D7098" s="2" t="str">
        <f>IFERROR(__xludf.DUMMYFUNCTION("IF(C7098&lt;&gt;"""", GOOGLETRANSLATE(C7098, ""en"", ""te""),"""")"),"")</f>
        <v/>
      </c>
      <c r="E7098" s="2"/>
      <c r="F7098" s="2" t="str">
        <f>IFERROR(__xludf.DUMMYFUNCTION("IF(E7098&lt;&gt;"""", GOOGLETRANSLATE(E7098, ""en"", ""te""),"""")"),"")</f>
        <v/>
      </c>
      <c r="G7098" s="2"/>
      <c r="H7098" s="2" t="str">
        <f>IFERROR(__xludf.DUMMYFUNCTION("IF(G7098&lt;&gt;"""", GOOGLETRANSLATE(G7098, ""en"", ""te""),"""")"),"")</f>
        <v/>
      </c>
      <c r="I7098" s="3"/>
    </row>
    <row r="7099" customHeight="1" spans="1:9">
      <c r="A7099" s="2"/>
      <c r="B7099" s="2" t="str">
        <f>IFERROR(__xludf.DUMMYFUNCTION("IF(A7099&lt;&gt;"""", GOOGLETRANSLATE(A7099, ""en"", ""te""),"""")"),"")</f>
        <v/>
      </c>
      <c r="C7099" s="2"/>
      <c r="D7099" s="2" t="str">
        <f>IFERROR(__xludf.DUMMYFUNCTION("IF(C7099&lt;&gt;"""", GOOGLETRANSLATE(C7099, ""en"", ""te""),"""")"),"")</f>
        <v/>
      </c>
      <c r="E7099" s="2"/>
      <c r="F7099" s="2" t="str">
        <f>IFERROR(__xludf.DUMMYFUNCTION("IF(E7099&lt;&gt;"""", GOOGLETRANSLATE(E7099, ""en"", ""te""),"""")"),"")</f>
        <v/>
      </c>
      <c r="G7099" s="2"/>
      <c r="H7099" s="2" t="str">
        <f>IFERROR(__xludf.DUMMYFUNCTION("IF(G7099&lt;&gt;"""", GOOGLETRANSLATE(G7099, ""en"", ""te""),"""")"),"")</f>
        <v/>
      </c>
      <c r="I7099" s="3"/>
    </row>
    <row r="7100" customHeight="1" spans="1:9">
      <c r="A7100" s="2"/>
      <c r="B7100" s="2" t="str">
        <f>IFERROR(__xludf.DUMMYFUNCTION("IF(A7100&lt;&gt;"""", GOOGLETRANSLATE(A7100, ""en"", ""te""),"""")"),"")</f>
        <v/>
      </c>
      <c r="C7100" s="2"/>
      <c r="D7100" s="2" t="str">
        <f>IFERROR(__xludf.DUMMYFUNCTION("IF(C7100&lt;&gt;"""", GOOGLETRANSLATE(C7100, ""en"", ""te""),"""")"),"")</f>
        <v/>
      </c>
      <c r="E7100" s="2"/>
      <c r="F7100" s="2" t="str">
        <f>IFERROR(__xludf.DUMMYFUNCTION("IF(E7100&lt;&gt;"""", GOOGLETRANSLATE(E7100, ""en"", ""te""),"""")"),"")</f>
        <v/>
      </c>
      <c r="G7100" s="2"/>
      <c r="H7100" s="2" t="str">
        <f>IFERROR(__xludf.DUMMYFUNCTION("IF(G7100&lt;&gt;"""", GOOGLETRANSLATE(G7100, ""en"", ""te""),"""")"),"")</f>
        <v/>
      </c>
      <c r="I7100" s="3"/>
    </row>
    <row r="7101" customHeight="1" spans="1:9">
      <c r="A7101" s="2"/>
      <c r="B7101" s="2" t="str">
        <f>IFERROR(__xludf.DUMMYFUNCTION("IF(A7101&lt;&gt;"""", GOOGLETRANSLATE(A7101, ""en"", ""te""),"""")"),"")</f>
        <v/>
      </c>
      <c r="C7101" s="2"/>
      <c r="D7101" s="2" t="str">
        <f>IFERROR(__xludf.DUMMYFUNCTION("IF(C7101&lt;&gt;"""", GOOGLETRANSLATE(C7101, ""en"", ""te""),"""")"),"")</f>
        <v/>
      </c>
      <c r="E7101" s="2"/>
      <c r="F7101" s="2" t="str">
        <f>IFERROR(__xludf.DUMMYFUNCTION("IF(E7101&lt;&gt;"""", GOOGLETRANSLATE(E7101, ""en"", ""te""),"""")"),"")</f>
        <v/>
      </c>
      <c r="G7101" s="2"/>
      <c r="H7101" s="2" t="str">
        <f>IFERROR(__xludf.DUMMYFUNCTION("IF(G7101&lt;&gt;"""", GOOGLETRANSLATE(G7101, ""en"", ""te""),"""")"),"")</f>
        <v/>
      </c>
      <c r="I7101" s="3"/>
    </row>
    <row r="7102" customHeight="1" spans="1:9">
      <c r="A7102" s="2"/>
      <c r="B7102" s="2" t="str">
        <f>IFERROR(__xludf.DUMMYFUNCTION("IF(A7102&lt;&gt;"""", GOOGLETRANSLATE(A7102, ""en"", ""te""),"""")"),"")</f>
        <v/>
      </c>
      <c r="C7102" s="2"/>
      <c r="D7102" s="2" t="str">
        <f>IFERROR(__xludf.DUMMYFUNCTION("IF(C7102&lt;&gt;"""", GOOGLETRANSLATE(C7102, ""en"", ""te""),"""")"),"")</f>
        <v/>
      </c>
      <c r="E7102" s="2"/>
      <c r="F7102" s="2" t="str">
        <f>IFERROR(__xludf.DUMMYFUNCTION("IF(E7102&lt;&gt;"""", GOOGLETRANSLATE(E7102, ""en"", ""te""),"""")"),"")</f>
        <v/>
      </c>
      <c r="G7102" s="2"/>
      <c r="H7102" s="2" t="str">
        <f>IFERROR(__xludf.DUMMYFUNCTION("IF(G7102&lt;&gt;"""", GOOGLETRANSLATE(G7102, ""en"", ""te""),"""")"),"")</f>
        <v/>
      </c>
      <c r="I7102" s="3"/>
    </row>
    <row r="7103" customHeight="1" spans="1:9">
      <c r="A7103" s="2"/>
      <c r="B7103" s="2" t="str">
        <f>IFERROR(__xludf.DUMMYFUNCTION("IF(A7103&lt;&gt;"""", GOOGLETRANSLATE(A7103, ""en"", ""te""),"""")"),"")</f>
        <v/>
      </c>
      <c r="C7103" s="2"/>
      <c r="D7103" s="2" t="str">
        <f>IFERROR(__xludf.DUMMYFUNCTION("IF(C7103&lt;&gt;"""", GOOGLETRANSLATE(C7103, ""en"", ""te""),"""")"),"")</f>
        <v/>
      </c>
      <c r="E7103" s="2"/>
      <c r="F7103" s="2" t="str">
        <f>IFERROR(__xludf.DUMMYFUNCTION("IF(E7103&lt;&gt;"""", GOOGLETRANSLATE(E7103, ""en"", ""te""),"""")"),"")</f>
        <v/>
      </c>
      <c r="G7103" s="2"/>
      <c r="H7103" s="2" t="str">
        <f>IFERROR(__xludf.DUMMYFUNCTION("IF(G7103&lt;&gt;"""", GOOGLETRANSLATE(G7103, ""en"", ""te""),"""")"),"")</f>
        <v/>
      </c>
      <c r="I7103" s="3"/>
    </row>
    <row r="7104" customHeight="1" spans="1:9">
      <c r="A7104" s="2"/>
      <c r="B7104" s="2" t="str">
        <f>IFERROR(__xludf.DUMMYFUNCTION("IF(A7104&lt;&gt;"""", GOOGLETRANSLATE(A7104, ""en"", ""te""),"""")"),"")</f>
        <v/>
      </c>
      <c r="C7104" s="2"/>
      <c r="D7104" s="2" t="str">
        <f>IFERROR(__xludf.DUMMYFUNCTION("IF(C7104&lt;&gt;"""", GOOGLETRANSLATE(C7104, ""en"", ""te""),"""")"),"")</f>
        <v/>
      </c>
      <c r="E7104" s="2"/>
      <c r="F7104" s="2" t="str">
        <f>IFERROR(__xludf.DUMMYFUNCTION("IF(E7104&lt;&gt;"""", GOOGLETRANSLATE(E7104, ""en"", ""te""),"""")"),"")</f>
        <v/>
      </c>
      <c r="G7104" s="2"/>
      <c r="H7104" s="2" t="str">
        <f>IFERROR(__xludf.DUMMYFUNCTION("IF(G7104&lt;&gt;"""", GOOGLETRANSLATE(G7104, ""en"", ""te""),"""")"),"")</f>
        <v/>
      </c>
      <c r="I7104" s="3"/>
    </row>
    <row r="7105" customHeight="1" spans="1:9">
      <c r="A7105" s="2"/>
      <c r="B7105" s="2" t="str">
        <f>IFERROR(__xludf.DUMMYFUNCTION("IF(A7105&lt;&gt;"""", GOOGLETRANSLATE(A7105, ""en"", ""te""),"""")"),"")</f>
        <v/>
      </c>
      <c r="C7105" s="2"/>
      <c r="D7105" s="2" t="str">
        <f>IFERROR(__xludf.DUMMYFUNCTION("IF(C7105&lt;&gt;"""", GOOGLETRANSLATE(C7105, ""en"", ""te""),"""")"),"")</f>
        <v/>
      </c>
      <c r="E7105" s="2"/>
      <c r="F7105" s="2" t="str">
        <f>IFERROR(__xludf.DUMMYFUNCTION("IF(E7105&lt;&gt;"""", GOOGLETRANSLATE(E7105, ""en"", ""te""),"""")"),"")</f>
        <v/>
      </c>
      <c r="G7105" s="2"/>
      <c r="H7105" s="2" t="str">
        <f>IFERROR(__xludf.DUMMYFUNCTION("IF(G7105&lt;&gt;"""", GOOGLETRANSLATE(G7105, ""en"", ""te""),"""")"),"")</f>
        <v/>
      </c>
      <c r="I7105" s="3"/>
    </row>
    <row r="7106" customHeight="1" spans="1:9">
      <c r="A7106" s="2" t="s">
        <v>4205</v>
      </c>
      <c r="B7106" s="2" t="str">
        <f>IFERROR(__xludf.DUMMYFUNCTION("IF(A7106&lt;&gt;"""", GOOGLETRANSLATE(A7106, ""en"", ""te""),"""")"),"[ 'ఇన్నింగ్స్ పూర్తి ద్వారా బ్యాట్ నిదర్శన (104 *)']")</f>
        <v>[ 'ఇన్నింగ్స్ పూర్తి ద్వారా బ్యాట్ నిదర్శన (104 *)']</v>
      </c>
      <c r="C7106" s="2"/>
      <c r="D7106" s="2" t="str">
        <f>IFERROR(__xludf.DUMMYFUNCTION("IF(C7106&lt;&gt;"""", GOOGLETRANSLATE(C7106, ""en"", ""te""),"""")"),"")</f>
        <v/>
      </c>
      <c r="E7106" s="2" t="s">
        <v>4206</v>
      </c>
      <c r="F7106" s="2" t="str">
        <f>IFERROR(__xludf.DUMMYFUNCTION("IF(E7106&lt;&gt;"""", GOOGLETRANSLATE(E7106, ""en"", ""te""),"""")"),"[ 'పదవ వికెట్కు 35 వ అత్యధిక భాగస్వామ్యం (51)', '12 వ వరుస బృందం (115) మ్యాచ్' 'మొదటి డక్ (39) ముందు 25 మోస్ట్ ఇన్నింగ్స్]")</f>
        <v>[ 'పదవ వికెట్కు 35 వ అత్యధిక భాగస్వామ్యం (51)', '12 వ వరుస బృందం (115) మ్యాచ్' 'మొదటి డక్ (39) ముందు 25 మోస్ట్ ఇన్నింగ్స్]</v>
      </c>
      <c r="G7106" s="2"/>
      <c r="H7106" s="2" t="str">
        <f>IFERROR(__xludf.DUMMYFUNCTION("IF(G7106&lt;&gt;"""", GOOGLETRANSLATE(G7106, ""en"", ""te""),"""")"),"")</f>
        <v/>
      </c>
      <c r="I7106" s="3"/>
    </row>
    <row r="7107" customHeight="1" spans="1:9">
      <c r="A7107" s="2"/>
      <c r="B7107" s="2" t="str">
        <f>IFERROR(__xludf.DUMMYFUNCTION("IF(A7107&lt;&gt;"""", GOOGLETRANSLATE(A7107, ""en"", ""te""),"""")"),"")</f>
        <v/>
      </c>
      <c r="C7107" s="2"/>
      <c r="D7107" s="2" t="str">
        <f>IFERROR(__xludf.DUMMYFUNCTION("IF(C7107&lt;&gt;"""", GOOGLETRANSLATE(C7107, ""en"", ""te""),"""")"),"")</f>
        <v/>
      </c>
      <c r="E7107" s="2"/>
      <c r="F7107" s="2" t="str">
        <f>IFERROR(__xludf.DUMMYFUNCTION("IF(E7107&lt;&gt;"""", GOOGLETRANSLATE(E7107, ""en"", ""te""),"""")"),"")</f>
        <v/>
      </c>
      <c r="G7107" s="2"/>
      <c r="H7107" s="2" t="str">
        <f>IFERROR(__xludf.DUMMYFUNCTION("IF(G7107&lt;&gt;"""", GOOGLETRANSLATE(G7107, ""en"", ""te""),"""")"),"")</f>
        <v/>
      </c>
      <c r="I7107" s="3"/>
    </row>
    <row r="7108" customHeight="1" spans="1:9">
      <c r="A7108" s="2"/>
      <c r="B7108" s="2" t="str">
        <f>IFERROR(__xludf.DUMMYFUNCTION("IF(A7108&lt;&gt;"""", GOOGLETRANSLATE(A7108, ""en"", ""te""),"""")"),"")</f>
        <v/>
      </c>
      <c r="C7108" s="2"/>
      <c r="D7108" s="2" t="str">
        <f>IFERROR(__xludf.DUMMYFUNCTION("IF(C7108&lt;&gt;"""", GOOGLETRANSLATE(C7108, ""en"", ""te""),"""")"),"")</f>
        <v/>
      </c>
      <c r="E7108" s="2"/>
      <c r="F7108" s="2" t="str">
        <f>IFERROR(__xludf.DUMMYFUNCTION("IF(E7108&lt;&gt;"""", GOOGLETRANSLATE(E7108, ""en"", ""te""),"""")"),"")</f>
        <v/>
      </c>
      <c r="G7108" s="2"/>
      <c r="H7108" s="2" t="str">
        <f>IFERROR(__xludf.DUMMYFUNCTION("IF(G7108&lt;&gt;"""", GOOGLETRANSLATE(G7108, ""en"", ""te""),"""")"),"")</f>
        <v/>
      </c>
      <c r="I7108" s="3"/>
    </row>
    <row r="7109" customHeight="1" spans="1:9">
      <c r="A7109" s="2"/>
      <c r="B7109" s="2" t="str">
        <f>IFERROR(__xludf.DUMMYFUNCTION("IF(A7109&lt;&gt;"""", GOOGLETRANSLATE(A7109, ""en"", ""te""),"""")"),"")</f>
        <v/>
      </c>
      <c r="C7109" s="2"/>
      <c r="D7109" s="2" t="str">
        <f>IFERROR(__xludf.DUMMYFUNCTION("IF(C7109&lt;&gt;"""", GOOGLETRANSLATE(C7109, ""en"", ""te""),"""")"),"")</f>
        <v/>
      </c>
      <c r="E7109" s="2"/>
      <c r="F7109" s="2" t="str">
        <f>IFERROR(__xludf.DUMMYFUNCTION("IF(E7109&lt;&gt;"""", GOOGLETRANSLATE(E7109, ""en"", ""te""),"""")"),"")</f>
        <v/>
      </c>
      <c r="G7109" s="2"/>
      <c r="H7109" s="2" t="str">
        <f>IFERROR(__xludf.DUMMYFUNCTION("IF(G7109&lt;&gt;"""", GOOGLETRANSLATE(G7109, ""en"", ""te""),"""")"),"")</f>
        <v/>
      </c>
      <c r="I7109" s="3"/>
    </row>
    <row r="7110" customHeight="1" spans="1:9">
      <c r="A7110" s="2"/>
      <c r="B7110" s="2" t="str">
        <f>IFERROR(__xludf.DUMMYFUNCTION("IF(A7110&lt;&gt;"""", GOOGLETRANSLATE(A7110, ""en"", ""te""),"""")"),"")</f>
        <v/>
      </c>
      <c r="C7110" s="2"/>
      <c r="D7110" s="2" t="str">
        <f>IFERROR(__xludf.DUMMYFUNCTION("IF(C7110&lt;&gt;"""", GOOGLETRANSLATE(C7110, ""en"", ""te""),"""")"),"")</f>
        <v/>
      </c>
      <c r="E7110" s="2"/>
      <c r="F7110" s="2" t="str">
        <f>IFERROR(__xludf.DUMMYFUNCTION("IF(E7110&lt;&gt;"""", GOOGLETRANSLATE(E7110, ""en"", ""te""),"""")"),"")</f>
        <v/>
      </c>
      <c r="G7110" s="2"/>
      <c r="H7110" s="2" t="str">
        <f>IFERROR(__xludf.DUMMYFUNCTION("IF(G7110&lt;&gt;"""", GOOGLETRANSLATE(G7110, ""en"", ""te""),"""")"),"")</f>
        <v/>
      </c>
      <c r="I7110" s="3"/>
    </row>
    <row r="7111" customHeight="1" spans="1:9">
      <c r="A7111" s="2"/>
      <c r="B7111" s="2" t="str">
        <f>IFERROR(__xludf.DUMMYFUNCTION("IF(A7111&lt;&gt;"""", GOOGLETRANSLATE(A7111, ""en"", ""te""),"""")"),"")</f>
        <v/>
      </c>
      <c r="C7111" s="2"/>
      <c r="D7111" s="2" t="str">
        <f>IFERROR(__xludf.DUMMYFUNCTION("IF(C7111&lt;&gt;"""", GOOGLETRANSLATE(C7111, ""en"", ""te""),"""")"),"")</f>
        <v/>
      </c>
      <c r="E7111" s="2"/>
      <c r="F7111" s="2" t="str">
        <f>IFERROR(__xludf.DUMMYFUNCTION("IF(E7111&lt;&gt;"""", GOOGLETRANSLATE(E7111, ""en"", ""te""),"""")"),"")</f>
        <v/>
      </c>
      <c r="G7111" s="2"/>
      <c r="H7111" s="2" t="str">
        <f>IFERROR(__xludf.DUMMYFUNCTION("IF(G7111&lt;&gt;"""", GOOGLETRANSLATE(G7111, ""en"", ""te""),"""")"),"")</f>
        <v/>
      </c>
      <c r="I7111" s="3"/>
    </row>
    <row r="7112" customHeight="1" spans="1:9">
      <c r="A7112" s="2"/>
      <c r="B7112" s="2" t="str">
        <f>IFERROR(__xludf.DUMMYFUNCTION("IF(A7112&lt;&gt;"""", GOOGLETRANSLATE(A7112, ""en"", ""te""),"""")"),"")</f>
        <v/>
      </c>
      <c r="C7112" s="2"/>
      <c r="D7112" s="2" t="str">
        <f>IFERROR(__xludf.DUMMYFUNCTION("IF(C7112&lt;&gt;"""", GOOGLETRANSLATE(C7112, ""en"", ""te""),"""")"),"")</f>
        <v/>
      </c>
      <c r="E7112" s="2"/>
      <c r="F7112" s="2" t="str">
        <f>IFERROR(__xludf.DUMMYFUNCTION("IF(E7112&lt;&gt;"""", GOOGLETRANSLATE(E7112, ""en"", ""te""),"""")"),"")</f>
        <v/>
      </c>
      <c r="G7112" s="2"/>
      <c r="H7112" s="2" t="str">
        <f>IFERROR(__xludf.DUMMYFUNCTION("IF(G7112&lt;&gt;"""", GOOGLETRANSLATE(G7112, ""en"", ""te""),"""")"),"")</f>
        <v/>
      </c>
      <c r="I7112" s="3"/>
    </row>
    <row r="7113" customHeight="1" spans="1:9">
      <c r="A7113" s="2"/>
      <c r="B7113" s="2" t="str">
        <f>IFERROR(__xludf.DUMMYFUNCTION("IF(A7113&lt;&gt;"""", GOOGLETRANSLATE(A7113, ""en"", ""te""),"""")"),"")</f>
        <v/>
      </c>
      <c r="C7113" s="2"/>
      <c r="D7113" s="2" t="str">
        <f>IFERROR(__xludf.DUMMYFUNCTION("IF(C7113&lt;&gt;"""", GOOGLETRANSLATE(C7113, ""en"", ""te""),"""")"),"")</f>
        <v/>
      </c>
      <c r="E7113" s="2"/>
      <c r="F7113" s="2" t="str">
        <f>IFERROR(__xludf.DUMMYFUNCTION("IF(E7113&lt;&gt;"""", GOOGLETRANSLATE(E7113, ""en"", ""te""),"""")"),"")</f>
        <v/>
      </c>
      <c r="G7113" s="2"/>
      <c r="H7113" s="2" t="str">
        <f>IFERROR(__xludf.DUMMYFUNCTION("IF(G7113&lt;&gt;"""", GOOGLETRANSLATE(G7113, ""en"", ""te""),"""")"),"")</f>
        <v/>
      </c>
      <c r="I7113" s="3"/>
    </row>
    <row r="7114" customHeight="1" spans="1:9">
      <c r="A7114" s="2"/>
      <c r="B7114" s="2" t="str">
        <f>IFERROR(__xludf.DUMMYFUNCTION("IF(A7114&lt;&gt;"""", GOOGLETRANSLATE(A7114, ""en"", ""te""),"""")"),"")</f>
        <v/>
      </c>
      <c r="C7114" s="2"/>
      <c r="D7114" s="2" t="str">
        <f>IFERROR(__xludf.DUMMYFUNCTION("IF(C7114&lt;&gt;"""", GOOGLETRANSLATE(C7114, ""en"", ""te""),"""")"),"")</f>
        <v/>
      </c>
      <c r="E7114" s="2"/>
      <c r="F7114" s="2" t="str">
        <f>IFERROR(__xludf.DUMMYFUNCTION("IF(E7114&lt;&gt;"""", GOOGLETRANSLATE(E7114, ""en"", ""te""),"""")"),"")</f>
        <v/>
      </c>
      <c r="G7114" s="2"/>
      <c r="H7114" s="2" t="str">
        <f>IFERROR(__xludf.DUMMYFUNCTION("IF(G7114&lt;&gt;"""", GOOGLETRANSLATE(G7114, ""en"", ""te""),"""")"),"")</f>
        <v/>
      </c>
      <c r="I7114" s="3"/>
    </row>
    <row r="7115" customHeight="1" spans="1:9">
      <c r="A7115" s="2"/>
      <c r="B7115" s="2" t="str">
        <f>IFERROR(__xludf.DUMMYFUNCTION("IF(A7115&lt;&gt;"""", GOOGLETRANSLATE(A7115, ""en"", ""te""),"""")"),"")</f>
        <v/>
      </c>
      <c r="C7115" s="2"/>
      <c r="D7115" s="2" t="str">
        <f>IFERROR(__xludf.DUMMYFUNCTION("IF(C7115&lt;&gt;"""", GOOGLETRANSLATE(C7115, ""en"", ""te""),"""")"),"")</f>
        <v/>
      </c>
      <c r="E7115" s="2"/>
      <c r="F7115" s="2" t="str">
        <f>IFERROR(__xludf.DUMMYFUNCTION("IF(E7115&lt;&gt;"""", GOOGLETRANSLATE(E7115, ""en"", ""te""),"""")"),"")</f>
        <v/>
      </c>
      <c r="G7115" s="2"/>
      <c r="H7115" s="2" t="str">
        <f>IFERROR(__xludf.DUMMYFUNCTION("IF(G7115&lt;&gt;"""", GOOGLETRANSLATE(G7115, ""en"", ""te""),"""")"),"")</f>
        <v/>
      </c>
      <c r="I7115" s="3"/>
    </row>
    <row r="7116" customHeight="1" spans="1:9">
      <c r="A7116" s="2"/>
      <c r="B7116" s="2" t="str">
        <f>IFERROR(__xludf.DUMMYFUNCTION("IF(A7116&lt;&gt;"""", GOOGLETRANSLATE(A7116, ""en"", ""te""),"""")"),"")</f>
        <v/>
      </c>
      <c r="C7116" s="2"/>
      <c r="D7116" s="2" t="str">
        <f>IFERROR(__xludf.DUMMYFUNCTION("IF(C7116&lt;&gt;"""", GOOGLETRANSLATE(C7116, ""en"", ""te""),"""")"),"")</f>
        <v/>
      </c>
      <c r="E7116" s="2"/>
      <c r="F7116" s="2" t="str">
        <f>IFERROR(__xludf.DUMMYFUNCTION("IF(E7116&lt;&gt;"""", GOOGLETRANSLATE(E7116, ""en"", ""te""),"""")"),"")</f>
        <v/>
      </c>
      <c r="G7116" s="2"/>
      <c r="H7116" s="2" t="str">
        <f>IFERROR(__xludf.DUMMYFUNCTION("IF(G7116&lt;&gt;"""", GOOGLETRANSLATE(G7116, ""en"", ""te""),"""")"),"")</f>
        <v/>
      </c>
      <c r="I7116" s="3"/>
    </row>
    <row r="7117" customHeight="1" spans="1:9">
      <c r="A7117" s="2"/>
      <c r="B7117" s="2" t="str">
        <f>IFERROR(__xludf.DUMMYFUNCTION("IF(A7117&lt;&gt;"""", GOOGLETRANSLATE(A7117, ""en"", ""te""),"""")"),"")</f>
        <v/>
      </c>
      <c r="C7117" s="2"/>
      <c r="D7117" s="2" t="str">
        <f>IFERROR(__xludf.DUMMYFUNCTION("IF(C7117&lt;&gt;"""", GOOGLETRANSLATE(C7117, ""en"", ""te""),"""")"),"")</f>
        <v/>
      </c>
      <c r="E7117" s="2"/>
      <c r="F7117" s="2" t="str">
        <f>IFERROR(__xludf.DUMMYFUNCTION("IF(E7117&lt;&gt;"""", GOOGLETRANSLATE(E7117, ""en"", ""te""),"""")"),"")</f>
        <v/>
      </c>
      <c r="G7117" s="2"/>
      <c r="H7117" s="2" t="str">
        <f>IFERROR(__xludf.DUMMYFUNCTION("IF(G7117&lt;&gt;"""", GOOGLETRANSLATE(G7117, ""en"", ""te""),"""")"),"")</f>
        <v/>
      </c>
      <c r="I7117" s="3"/>
    </row>
    <row r="7118" customHeight="1" spans="1:9">
      <c r="A7118" s="2"/>
      <c r="B7118" s="2" t="str">
        <f>IFERROR(__xludf.DUMMYFUNCTION("IF(A7118&lt;&gt;"""", GOOGLETRANSLATE(A7118, ""en"", ""te""),"""")"),"")</f>
        <v/>
      </c>
      <c r="C7118" s="2"/>
      <c r="D7118" s="2" t="str">
        <f>IFERROR(__xludf.DUMMYFUNCTION("IF(C7118&lt;&gt;"""", GOOGLETRANSLATE(C7118, ""en"", ""te""),"""")"),"")</f>
        <v/>
      </c>
      <c r="E7118" s="2"/>
      <c r="F7118" s="2" t="str">
        <f>IFERROR(__xludf.DUMMYFUNCTION("IF(E7118&lt;&gt;"""", GOOGLETRANSLATE(E7118, ""en"", ""te""),"""")"),"")</f>
        <v/>
      </c>
      <c r="G7118" s="2"/>
      <c r="H7118" s="2" t="str">
        <f>IFERROR(__xludf.DUMMYFUNCTION("IF(G7118&lt;&gt;"""", GOOGLETRANSLATE(G7118, ""en"", ""te""),"""")"),"")</f>
        <v/>
      </c>
      <c r="I7118" s="3"/>
    </row>
    <row r="7119" customHeight="1" spans="1:9">
      <c r="A7119" s="2" t="s">
        <v>4207</v>
      </c>
      <c r="B7119" s="2" t="str">
        <f>IFERROR(__xludf.DUMMYFUNCTION("IF(A7119&lt;&gt;"""", GOOGLETRANSLATE(A7119, ""en"", ""te""),"""")"),"[ 'ఏడవ వికెట్కు 8 వ అత్యధిక భాగస్వామ్యం (123 *)']")</f>
        <v>[ 'ఏడవ వికెట్కు 8 వ అత్యధిక భాగస్వామ్యం (123 *)']</v>
      </c>
      <c r="C7119" s="2"/>
      <c r="D7119" s="2" t="str">
        <f>IFERROR(__xludf.DUMMYFUNCTION("IF(C7119&lt;&gt;"""", GOOGLETRANSLATE(C7119, ""en"", ""te""),"""")"),"")</f>
        <v/>
      </c>
      <c r="E7119" s="2" t="s">
        <v>4207</v>
      </c>
      <c r="F7119" s="2" t="str">
        <f>IFERROR(__xludf.DUMMYFUNCTION("IF(E7119&lt;&gt;"""", GOOGLETRANSLATE(E7119, ""en"", ""te""),"""")"),"[ 'ఏడవ వికెట్కు 8 వ అత్యధిక భాగస్వామ్యం (123 *)']")</f>
        <v>[ 'ఏడవ వికెట్కు 8 వ అత్యధిక భాగస్వామ్యం (123 *)']</v>
      </c>
      <c r="G7119" s="2"/>
      <c r="H7119" s="2" t="str">
        <f>IFERROR(__xludf.DUMMYFUNCTION("IF(G7119&lt;&gt;"""", GOOGLETRANSLATE(G7119, ""en"", ""te""),"""")"),"")</f>
        <v/>
      </c>
      <c r="I7119" s="3"/>
    </row>
    <row r="7120" customHeight="1" spans="1:9">
      <c r="A7120" s="2"/>
      <c r="B7120" s="2" t="str">
        <f>IFERROR(__xludf.DUMMYFUNCTION("IF(A7120&lt;&gt;"""", GOOGLETRANSLATE(A7120, ""en"", ""te""),"""")"),"")</f>
        <v/>
      </c>
      <c r="C7120" s="2"/>
      <c r="D7120" s="2" t="str">
        <f>IFERROR(__xludf.DUMMYFUNCTION("IF(C7120&lt;&gt;"""", GOOGLETRANSLATE(C7120, ""en"", ""te""),"""")"),"")</f>
        <v/>
      </c>
      <c r="E7120" s="2"/>
      <c r="F7120" s="2" t="str">
        <f>IFERROR(__xludf.DUMMYFUNCTION("IF(E7120&lt;&gt;"""", GOOGLETRANSLATE(E7120, ""en"", ""te""),"""")"),"")</f>
        <v/>
      </c>
      <c r="G7120" s="2"/>
      <c r="H7120" s="2" t="str">
        <f>IFERROR(__xludf.DUMMYFUNCTION("IF(G7120&lt;&gt;"""", GOOGLETRANSLATE(G7120, ""en"", ""te""),"""")"),"")</f>
        <v/>
      </c>
      <c r="I7120" s="3"/>
    </row>
    <row r="7121" customHeight="1" spans="1:9">
      <c r="A7121" s="2" t="s">
        <v>4208</v>
      </c>
      <c r="B7121" s="2" t="str">
        <f>IFERROR(__xludf.DUMMYFUNCTION("IF(A7121&lt;&gt;"""", GOOGLETRANSLATE(A7121, ""en"", ""te""),"""")"),"[ '6 వ అత్యంత తొలి మ్యాచ్ (141) లో నడుస్తుంది']")</f>
        <v>[ '6 వ అత్యంత తొలి మ్యాచ్ (141) లో నడుస్తుంది']</v>
      </c>
      <c r="C7121" s="2" t="s">
        <v>4208</v>
      </c>
      <c r="D7121" s="2" t="str">
        <f>IFERROR(__xludf.DUMMYFUNCTION("IF(C7121&lt;&gt;"""", GOOGLETRANSLATE(C7121, ""en"", ""te""),"""")"),"[ '6 వ అత్యంత తొలి మ్యాచ్ (141) లో నడుస్తుంది']")</f>
        <v>[ '6 వ అత్యంత తొలి మ్యాచ్ (141) లో నడుస్తుంది']</v>
      </c>
      <c r="E7121" s="2" t="s">
        <v>4209</v>
      </c>
      <c r="F7121" s="2" t="str">
        <f>IFERROR(__xludf.DUMMYFUNCTION("IF(E7121&lt;&gt;"""", GOOGLETRANSLATE(E7121, ""en"", ""te""),"""")"),"[ '24 వ పిన్న కాప్టెన్ (23y 60d)']")</f>
        <v>[ '24 వ పిన్న కాప్టెన్ (23y 60d)']</v>
      </c>
      <c r="G7121" s="2"/>
      <c r="H7121" s="2" t="str">
        <f>IFERROR(__xludf.DUMMYFUNCTION("IF(G7121&lt;&gt;"""", GOOGLETRANSLATE(G7121, ""en"", ""te""),"""")"),"")</f>
        <v/>
      </c>
      <c r="I7121" s="3"/>
    </row>
    <row r="7122" customHeight="1" spans="1:9">
      <c r="A7122" s="2"/>
      <c r="B7122" s="2" t="str">
        <f>IFERROR(__xludf.DUMMYFUNCTION("IF(A7122&lt;&gt;"""", GOOGLETRANSLATE(A7122, ""en"", ""te""),"""")"),"")</f>
        <v/>
      </c>
      <c r="C7122" s="2" t="s">
        <v>2183</v>
      </c>
      <c r="D7122" s="2" t="str">
        <f>IFERROR(__xludf.DUMMYFUNCTION("IF(C7122&lt;&gt;"""", GOOGLETRANSLATE(C7122, ""en"", ""te""),"""")"),"[ '21 వ వరుస మ్యాచ్లు ప్రదర్శనల మధ్య బృందం (69) కోసం తప్పిన']")</f>
        <v>[ '21 వ వరుస మ్యాచ్లు ప్రదర్శనల మధ్య బృందం (69) కోసం తప్పిన']</v>
      </c>
      <c r="E7122" s="2"/>
      <c r="F7122" s="2" t="str">
        <f>IFERROR(__xludf.DUMMYFUNCTION("IF(E7122&lt;&gt;"""", GOOGLETRANSLATE(E7122, ""en"", ""te""),"""")"),"")</f>
        <v/>
      </c>
      <c r="G7122" s="2"/>
      <c r="H7122" s="2" t="str">
        <f>IFERROR(__xludf.DUMMYFUNCTION("IF(G7122&lt;&gt;"""", GOOGLETRANSLATE(G7122, ""en"", ""te""),"""")"),"")</f>
        <v/>
      </c>
      <c r="I7122" s="3"/>
    </row>
    <row r="7123" customHeight="1" spans="1:9">
      <c r="A7123" s="2"/>
      <c r="B7123" s="2" t="str">
        <f>IFERROR(__xludf.DUMMYFUNCTION("IF(A7123&lt;&gt;"""", GOOGLETRANSLATE(A7123, ""en"", ""te""),"""")"),"")</f>
        <v/>
      </c>
      <c r="C7123" s="2"/>
      <c r="D7123" s="2" t="str">
        <f>IFERROR(__xludf.DUMMYFUNCTION("IF(C7123&lt;&gt;"""", GOOGLETRANSLATE(C7123, ""en"", ""te""),"""")"),"")</f>
        <v/>
      </c>
      <c r="E7123" s="2"/>
      <c r="F7123" s="2" t="str">
        <f>IFERROR(__xludf.DUMMYFUNCTION("IF(E7123&lt;&gt;"""", GOOGLETRANSLATE(E7123, ""en"", ""te""),"""")"),"")</f>
        <v/>
      </c>
      <c r="G7123" s="2"/>
      <c r="H7123" s="2" t="str">
        <f>IFERROR(__xludf.DUMMYFUNCTION("IF(G7123&lt;&gt;"""", GOOGLETRANSLATE(G7123, ""en"", ""te""),"""")"),"")</f>
        <v/>
      </c>
      <c r="I7123" s="3"/>
    </row>
    <row r="7124" customHeight="1" spans="1:9">
      <c r="A7124" s="2"/>
      <c r="B7124" s="2" t="str">
        <f>IFERROR(__xludf.DUMMYFUNCTION("IF(A7124&lt;&gt;"""", GOOGLETRANSLATE(A7124, ""en"", ""te""),"""")"),"")</f>
        <v/>
      </c>
      <c r="C7124" s="2"/>
      <c r="D7124" s="2" t="str">
        <f>IFERROR(__xludf.DUMMYFUNCTION("IF(C7124&lt;&gt;"""", GOOGLETRANSLATE(C7124, ""en"", ""te""),"""")"),"")</f>
        <v/>
      </c>
      <c r="E7124" s="2"/>
      <c r="F7124" s="2" t="str">
        <f>IFERROR(__xludf.DUMMYFUNCTION("IF(E7124&lt;&gt;"""", GOOGLETRANSLATE(E7124, ""en"", ""te""),"""")"),"")</f>
        <v/>
      </c>
      <c r="G7124" s="2"/>
      <c r="H7124" s="2" t="str">
        <f>IFERROR(__xludf.DUMMYFUNCTION("IF(G7124&lt;&gt;"""", GOOGLETRANSLATE(G7124, ""en"", ""te""),"""")"),"")</f>
        <v/>
      </c>
      <c r="I7124" s="3"/>
    </row>
    <row r="7125" customHeight="1" spans="1:9">
      <c r="A7125" s="2"/>
      <c r="B7125" s="2" t="str">
        <f>IFERROR(__xludf.DUMMYFUNCTION("IF(A7125&lt;&gt;"""", GOOGLETRANSLATE(A7125, ""en"", ""te""),"""")"),"")</f>
        <v/>
      </c>
      <c r="C7125" s="2"/>
      <c r="D7125" s="2" t="str">
        <f>IFERROR(__xludf.DUMMYFUNCTION("IF(C7125&lt;&gt;"""", GOOGLETRANSLATE(C7125, ""en"", ""te""),"""")"),"")</f>
        <v/>
      </c>
      <c r="E7125" s="2"/>
      <c r="F7125" s="2" t="str">
        <f>IFERROR(__xludf.DUMMYFUNCTION("IF(E7125&lt;&gt;"""", GOOGLETRANSLATE(E7125, ""en"", ""te""),"""")"),"")</f>
        <v/>
      </c>
      <c r="G7125" s="2"/>
      <c r="H7125" s="2" t="str">
        <f>IFERROR(__xludf.DUMMYFUNCTION("IF(G7125&lt;&gt;"""", GOOGLETRANSLATE(G7125, ""en"", ""te""),"""")"),"")</f>
        <v/>
      </c>
      <c r="I7125" s="3"/>
    </row>
    <row r="7126" customHeight="1" spans="1:9">
      <c r="A7126" s="2"/>
      <c r="B7126" s="2" t="str">
        <f>IFERROR(__xludf.DUMMYFUNCTION("IF(A7126&lt;&gt;"""", GOOGLETRANSLATE(A7126, ""en"", ""te""),"""")"),"")</f>
        <v/>
      </c>
      <c r="C7126" s="2"/>
      <c r="D7126" s="2" t="str">
        <f>IFERROR(__xludf.DUMMYFUNCTION("IF(C7126&lt;&gt;"""", GOOGLETRANSLATE(C7126, ""en"", ""te""),"""")"),"")</f>
        <v/>
      </c>
      <c r="E7126" s="2"/>
      <c r="F7126" s="2" t="str">
        <f>IFERROR(__xludf.DUMMYFUNCTION("IF(E7126&lt;&gt;"""", GOOGLETRANSLATE(E7126, ""en"", ""te""),"""")"),"")</f>
        <v/>
      </c>
      <c r="G7126" s="2"/>
      <c r="H7126" s="2" t="str">
        <f>IFERROR(__xludf.DUMMYFUNCTION("IF(G7126&lt;&gt;"""", GOOGLETRANSLATE(G7126, ""en"", ""te""),"""")"),"")</f>
        <v/>
      </c>
      <c r="I7126" s="3"/>
    </row>
    <row r="7127" customHeight="1" spans="1:9">
      <c r="A7127" s="2"/>
      <c r="B7127" s="2" t="str">
        <f>IFERROR(__xludf.DUMMYFUNCTION("IF(A7127&lt;&gt;"""", GOOGLETRANSLATE(A7127, ""en"", ""te""),"""")"),"")</f>
        <v/>
      </c>
      <c r="C7127" s="2"/>
      <c r="D7127" s="2" t="str">
        <f>IFERROR(__xludf.DUMMYFUNCTION("IF(C7127&lt;&gt;"""", GOOGLETRANSLATE(C7127, ""en"", ""te""),"""")"),"")</f>
        <v/>
      </c>
      <c r="E7127" s="2"/>
      <c r="F7127" s="2" t="str">
        <f>IFERROR(__xludf.DUMMYFUNCTION("IF(E7127&lt;&gt;"""", GOOGLETRANSLATE(E7127, ""en"", ""te""),"""")"),"")</f>
        <v/>
      </c>
      <c r="G7127" s="2"/>
      <c r="H7127" s="2" t="str">
        <f>IFERROR(__xludf.DUMMYFUNCTION("IF(G7127&lt;&gt;"""", GOOGLETRANSLATE(G7127, ""en"", ""te""),"""")"),"")</f>
        <v/>
      </c>
      <c r="I7127" s="3"/>
    </row>
    <row r="7128" customHeight="1" spans="1:9">
      <c r="A7128" s="2"/>
      <c r="B7128" s="2" t="str">
        <f>IFERROR(__xludf.DUMMYFUNCTION("IF(A7128&lt;&gt;"""", GOOGLETRANSLATE(A7128, ""en"", ""te""),"""")"),"")</f>
        <v/>
      </c>
      <c r="C7128" s="2"/>
      <c r="D7128" s="2" t="str">
        <f>IFERROR(__xludf.DUMMYFUNCTION("IF(C7128&lt;&gt;"""", GOOGLETRANSLATE(C7128, ""en"", ""te""),"""")"),"")</f>
        <v/>
      </c>
      <c r="E7128" s="2"/>
      <c r="F7128" s="2" t="str">
        <f>IFERROR(__xludf.DUMMYFUNCTION("IF(E7128&lt;&gt;"""", GOOGLETRANSLATE(E7128, ""en"", ""te""),"""")"),"")</f>
        <v/>
      </c>
      <c r="G7128" s="2"/>
      <c r="H7128" s="2" t="str">
        <f>IFERROR(__xludf.DUMMYFUNCTION("IF(G7128&lt;&gt;"""", GOOGLETRANSLATE(G7128, ""en"", ""te""),"""")"),"")</f>
        <v/>
      </c>
      <c r="I7128" s="3"/>
    </row>
    <row r="7129" customHeight="1" spans="1:9">
      <c r="A7129" s="2"/>
      <c r="B7129" s="2" t="str">
        <f>IFERROR(__xludf.DUMMYFUNCTION("IF(A7129&lt;&gt;"""", GOOGLETRANSLATE(A7129, ""en"", ""te""),"""")"),"")</f>
        <v/>
      </c>
      <c r="C7129" s="2"/>
      <c r="D7129" s="2" t="str">
        <f>IFERROR(__xludf.DUMMYFUNCTION("IF(C7129&lt;&gt;"""", GOOGLETRANSLATE(C7129, ""en"", ""te""),"""")"),"")</f>
        <v/>
      </c>
      <c r="E7129" s="2"/>
      <c r="F7129" s="2" t="str">
        <f>IFERROR(__xludf.DUMMYFUNCTION("IF(E7129&lt;&gt;"""", GOOGLETRANSLATE(E7129, ""en"", ""te""),"""")"),"")</f>
        <v/>
      </c>
      <c r="G7129" s="2"/>
      <c r="H7129" s="2" t="str">
        <f>IFERROR(__xludf.DUMMYFUNCTION("IF(G7129&lt;&gt;"""", GOOGLETRANSLATE(G7129, ""en"", ""te""),"""")"),"")</f>
        <v/>
      </c>
      <c r="I7129" s="3"/>
    </row>
    <row r="7130" customHeight="1" spans="1:9">
      <c r="A7130" s="2"/>
      <c r="B7130" s="2" t="str">
        <f>IFERROR(__xludf.DUMMYFUNCTION("IF(A7130&lt;&gt;"""", GOOGLETRANSLATE(A7130, ""en"", ""te""),"""")"),"")</f>
        <v/>
      </c>
      <c r="C7130" s="2"/>
      <c r="D7130" s="2" t="str">
        <f>IFERROR(__xludf.DUMMYFUNCTION("IF(C7130&lt;&gt;"""", GOOGLETRANSLATE(C7130, ""en"", ""te""),"""")"),"")</f>
        <v/>
      </c>
      <c r="E7130" s="2"/>
      <c r="F7130" s="2" t="str">
        <f>IFERROR(__xludf.DUMMYFUNCTION("IF(E7130&lt;&gt;"""", GOOGLETRANSLATE(E7130, ""en"", ""te""),"""")"),"")</f>
        <v/>
      </c>
      <c r="G7130" s="2"/>
      <c r="H7130" s="2" t="str">
        <f>IFERROR(__xludf.DUMMYFUNCTION("IF(G7130&lt;&gt;"""", GOOGLETRANSLATE(G7130, ""en"", ""te""),"""")"),"")</f>
        <v/>
      </c>
      <c r="I7130" s="3"/>
    </row>
    <row r="7131" customHeight="1" spans="1:9">
      <c r="A7131" s="2"/>
      <c r="B7131" s="2" t="str">
        <f>IFERROR(__xludf.DUMMYFUNCTION("IF(A7131&lt;&gt;"""", GOOGLETRANSLATE(A7131, ""en"", ""te""),"""")"),"")</f>
        <v/>
      </c>
      <c r="C7131" s="2"/>
      <c r="D7131" s="2" t="str">
        <f>IFERROR(__xludf.DUMMYFUNCTION("IF(C7131&lt;&gt;"""", GOOGLETRANSLATE(C7131, ""en"", ""te""),"""")"),"")</f>
        <v/>
      </c>
      <c r="E7131" s="2"/>
      <c r="F7131" s="2" t="str">
        <f>IFERROR(__xludf.DUMMYFUNCTION("IF(E7131&lt;&gt;"""", GOOGLETRANSLATE(E7131, ""en"", ""te""),"""")"),"")</f>
        <v/>
      </c>
      <c r="G7131" s="2"/>
      <c r="H7131" s="2" t="str">
        <f>IFERROR(__xludf.DUMMYFUNCTION("IF(G7131&lt;&gt;"""", GOOGLETRANSLATE(G7131, ""en"", ""te""),"""")"),"")</f>
        <v/>
      </c>
      <c r="I7131" s="3"/>
    </row>
    <row r="7132" customHeight="1" spans="1:9">
      <c r="A7132" s="2"/>
      <c r="B7132" s="2" t="str">
        <f>IFERROR(__xludf.DUMMYFUNCTION("IF(A7132&lt;&gt;"""", GOOGLETRANSLATE(A7132, ""en"", ""te""),"""")"),"")</f>
        <v/>
      </c>
      <c r="C7132" s="2"/>
      <c r="D7132" s="2" t="str">
        <f>IFERROR(__xludf.DUMMYFUNCTION("IF(C7132&lt;&gt;"""", GOOGLETRANSLATE(C7132, ""en"", ""te""),"""")"),"")</f>
        <v/>
      </c>
      <c r="E7132" s="2"/>
      <c r="F7132" s="2" t="str">
        <f>IFERROR(__xludf.DUMMYFUNCTION("IF(E7132&lt;&gt;"""", GOOGLETRANSLATE(E7132, ""en"", ""te""),"""")"),"")</f>
        <v/>
      </c>
      <c r="G7132" s="2"/>
      <c r="H7132" s="2" t="str">
        <f>IFERROR(__xludf.DUMMYFUNCTION("IF(G7132&lt;&gt;"""", GOOGLETRANSLATE(G7132, ""en"", ""te""),"""")"),"")</f>
        <v/>
      </c>
      <c r="I7132" s="3"/>
    </row>
    <row r="7133" customHeight="1" spans="1:9">
      <c r="A7133" s="2"/>
      <c r="B7133" s="2" t="str">
        <f>IFERROR(__xludf.DUMMYFUNCTION("IF(A7133&lt;&gt;"""", GOOGLETRANSLATE(A7133, ""en"", ""te""),"""")"),"")</f>
        <v/>
      </c>
      <c r="C7133" s="2"/>
      <c r="D7133" s="2" t="str">
        <f>IFERROR(__xludf.DUMMYFUNCTION("IF(C7133&lt;&gt;"""", GOOGLETRANSLATE(C7133, ""en"", ""te""),"""")"),"")</f>
        <v/>
      </c>
      <c r="E7133" s="2"/>
      <c r="F7133" s="2" t="str">
        <f>IFERROR(__xludf.DUMMYFUNCTION("IF(E7133&lt;&gt;"""", GOOGLETRANSLATE(E7133, ""en"", ""te""),"""")"),"")</f>
        <v/>
      </c>
      <c r="G7133" s="2"/>
      <c r="H7133" s="2" t="str">
        <f>IFERROR(__xludf.DUMMYFUNCTION("IF(G7133&lt;&gt;"""", GOOGLETRANSLATE(G7133, ""en"", ""te""),"""")"),"")</f>
        <v/>
      </c>
      <c r="I7133" s="3"/>
    </row>
    <row r="7134" customHeight="1" spans="1:9">
      <c r="A7134" s="2"/>
      <c r="B7134" s="2" t="str">
        <f>IFERROR(__xludf.DUMMYFUNCTION("IF(A7134&lt;&gt;"""", GOOGLETRANSLATE(A7134, ""en"", ""te""),"""")"),"")</f>
        <v/>
      </c>
      <c r="C7134" s="2"/>
      <c r="D7134" s="2" t="str">
        <f>IFERROR(__xludf.DUMMYFUNCTION("IF(C7134&lt;&gt;"""", GOOGLETRANSLATE(C7134, ""en"", ""te""),"""")"),"")</f>
        <v/>
      </c>
      <c r="E7134" s="2"/>
      <c r="F7134" s="2" t="str">
        <f>IFERROR(__xludf.DUMMYFUNCTION("IF(E7134&lt;&gt;"""", GOOGLETRANSLATE(E7134, ""en"", ""te""),"""")"),"")</f>
        <v/>
      </c>
      <c r="G7134" s="2"/>
      <c r="H7134" s="2" t="str">
        <f>IFERROR(__xludf.DUMMYFUNCTION("IF(G7134&lt;&gt;"""", GOOGLETRANSLATE(G7134, ""en"", ""te""),"""")"),"")</f>
        <v/>
      </c>
      <c r="I7134" s="3"/>
    </row>
    <row r="7135" customHeight="1" spans="1:9">
      <c r="A7135" s="2" t="s">
        <v>4210</v>
      </c>
      <c r="B7135" s="2" t="str">
        <f>IFERROR(__xludf.DUMMYFUNCTION("IF(A7135&lt;&gt;"""", GOOGLETRANSLATE(A7135, ""en"", ""te""),"""")"),"[ 'ఇన్నింగ్స్ లో 5 వ అత్యధిక వికెట్లు (6)', 'నూట ఇన్నింగ్స్ లో నాలుగు తొలగింపులకు', 'ఇన్నింగ్స్ లో 5 వ అత్యధిక వికెట్లు (4)', 'వికెట్ను కాపాడుకున్నాడు మరియు బ్యాటింగ్ తెరిచారు ఎవరు 5 వ కెప్టెన్ల (1) ',' 3 వ లేవు ఇన్నింగ్స్ లో కెరీర్ (50) వెనుదిరిగాడు ',' "&amp;"1 వ అత్యధిక క్యాచ్లు (4) ']")</f>
        <v>[ 'ఇన్నింగ్స్ లో 5 వ అత్యధిక వికెట్లు (6)', 'నూట ఇన్నింగ్స్ లో నాలుగు తొలగింపులకు', 'ఇన్నింగ్స్ లో 5 వ అత్యధిక వికెట్లు (4)', 'వికెట్ను కాపాడుకున్నాడు మరియు బ్యాటింగ్ తెరిచారు ఎవరు 5 వ కెప్టెన్ల (1) ',' 3 వ లేవు ఇన్నింగ్స్ లో కెరీర్ (50) వెనుదిరిగాడు ',' 1 వ అత్యధిక క్యాచ్లు (4) ']</v>
      </c>
      <c r="C7135" s="2" t="s">
        <v>4211</v>
      </c>
      <c r="D7135" s="2" t="str">
        <f>IFERROR(__xludf.DUMMYFUNCTION("IF(C7135&lt;&gt;"""", GOOGLETRANSLATE(C7135, ""en"", ""te""),"""")"),"[ 'అత్యధిక వికెట్లు ఇన్నింగ్స్ (162 *) లో 26 వ అత్యధిక పరుగులు' 'ఒక డక్ లేకుండా 29 వరుస ఇన్నింగ్స్ (61)', 'కెరీర్లో 29 వ అతి తక్కువ బాతులు (28.25)', ఆరవ వికెట్కు '38 వ అత్యధిక భాగస్వామ్యం ( ఒక ఇన్నింగ్స్ లో 211) ',' 5 వ అత్యధిక వికెట్లు (6) ',' 35 వ మ్యాచ"&amp;"్లో (8) ',' 26th అత్యధిక ఇన్నింగ్స్ బై (580 / 4D గూడా ఇవ్వకుండా మొత్తంగా అత్యధిక వికెట్లు) ']")</f>
        <v>[ 'అత్యధిక వికెట్లు ఇన్నింగ్స్ (162 *) లో 26 వ అత్యధిక పరుగులు' 'ఒక డక్ లేకుండా 29 వరుస ఇన్నింగ్స్ (61)', 'కెరీర్లో 29 వ అతి తక్కువ బాతులు (28.25)', ఆరవ వికెట్కు '38 వ అత్యధిక భాగస్వామ్యం ( ఒక ఇన్నింగ్స్ లో 211) ',' 5 వ అత్యధిక వికెట్లు (6) ',' 35 వ మ్యాచ్లో (8) ',' 26th అత్యధిక ఇన్నింగ్స్ బై (580 / 4D గూడా ఇవ్వకుండా మొత్తంగా అత్యధిక వికెట్లు) ']</v>
      </c>
      <c r="E7135" s="2" t="s">
        <v>4212</v>
      </c>
      <c r="F7135" s="2" t="str">
        <f>IFERROR(__xludf.DUMMYFUNCTION("IF(E7135&lt;&gt;"""", GOOGLETRANSLATE(E7135, ""en"", ""te""),"""")"),"['21 వ పిన్న ఆటగాడు వంద స్కోర్ (20y 199d) ',' వరుస ఇన్నింగ్స్లో 11 వ యాభైల్లో (5) ',' 17 వ పిన్న కాప్టెన్ (23y 244d) ']")</f>
        <v>['21 వ పిన్న ఆటగాడు వంద స్కోర్ (20y 199d) ',' వరుస ఇన్నింగ్స్లో 11 వ యాభైల్లో (5) ',' 17 వ పిన్న కాప్టెన్ (23y 244d) ']</v>
      </c>
      <c r="G7135" s="2" t="s">
        <v>4213</v>
      </c>
      <c r="H7135" s="2" t="str">
        <f>IFERROR(__xludf.DUMMYFUNCTION("IF(G7135&lt;&gt;"""", GOOGLETRANSLATE(G7135, ""en"", ""te""),"""")"),"[ 'కెరీర్లో 3 వ లేవు బాతులు (50)', 'ఒక డక్ లేకుండా 11 వ వరుస ఇన్నింగ్స్ (50 *)', 'ఇన్నింగ్స్ లో 1 వ అత్యధిక క్యాచ్లు (4)', ఐదవ వికెట్కు యొక్క 11 వ అత్యధిక భాగస్వామ్యం (85 *) ',' 25 వ అత్యధిక మ్యాచ్లు కెప్టెన్గా (26) ',' 15 వ పిన్న కాప్టెన్ (23y 133d) ',' "&amp;"వికెట్ (10) ఉంచింది చేసిన 11 వ కెప్టెన్ల ',' వికెట్ను కాపాడుకున్నాడు మరియు బ్యాటింగ్ (1) తెరిచిన చేసిన 5 వ కెప్టెన్ల ' 'కెరీర్లో 23 వ అత్యధిక వికెట్లు (20)', '5 వ ఇన్నింగ్స్ లో అత్యధిక వికెట్లు (4)', '26th కెరీర్లో అత్యధిక క్యాచ్లు (15)', '13 వ ఇన్నింగ్స్"&amp;" లో అత్యధిక క్యాచ్లు (3)', '24 వ అత్యంత కెరీర్ (5) స్టంపింగ్లు ']")</f>
        <v>[ 'కెరీర్లో 3 వ లేవు బాతులు (50)', 'ఒక డక్ లేకుండా 11 వ వరుస ఇన్నింగ్స్ (50 *)', 'ఇన్నింగ్స్ లో 1 వ అత్యధిక క్యాచ్లు (4)', ఐదవ వికెట్కు యొక్క 11 వ అత్యధిక భాగస్వామ్యం (85 *) ',' 25 వ అత్యధిక మ్యాచ్లు కెప్టెన్గా (26) ',' 15 వ పిన్న కాప్టెన్ (23y 133d) ',' వికెట్ (10) ఉంచింది చేసిన 11 వ కెప్టెన్ల ',' వికెట్ను కాపాడుకున్నాడు మరియు బ్యాటింగ్ (1) తెరిచిన చేసిన 5 వ కెప్టెన్ల ' 'కెరీర్లో 23 వ అత్యధిక వికెట్లు (20)', '5 వ ఇన్నింగ్స్ లో అత్యధిక వికెట్లు (4)', '26th కెరీర్లో అత్యధిక క్యాచ్లు (15)', '13 వ ఇన్నింగ్స్ లో అత్యధిక క్యాచ్లు (3)', '24 వ అత్యంత కెరీర్ (5) స్టంపింగ్లు ']</v>
      </c>
      <c r="I7135" s="3"/>
    </row>
    <row r="7136" customHeight="1" spans="1:9">
      <c r="A7136" s="2"/>
      <c r="B7136" s="2" t="str">
        <f>IFERROR(__xludf.DUMMYFUNCTION("IF(A7136&lt;&gt;"""", GOOGLETRANSLATE(A7136, ""en"", ""te""),"""")"),"")</f>
        <v/>
      </c>
      <c r="C7136" s="2"/>
      <c r="D7136" s="2" t="str">
        <f>IFERROR(__xludf.DUMMYFUNCTION("IF(C7136&lt;&gt;"""", GOOGLETRANSLATE(C7136, ""en"", ""te""),"""")"),"")</f>
        <v/>
      </c>
      <c r="E7136" s="2"/>
      <c r="F7136" s="2" t="str">
        <f>IFERROR(__xludf.DUMMYFUNCTION("IF(E7136&lt;&gt;"""", GOOGLETRANSLATE(E7136, ""en"", ""te""),"""")"),"")</f>
        <v/>
      </c>
      <c r="G7136" s="2"/>
      <c r="H7136" s="2" t="str">
        <f>IFERROR(__xludf.DUMMYFUNCTION("IF(G7136&lt;&gt;"""", GOOGLETRANSLATE(G7136, ""en"", ""te""),"""")"),"")</f>
        <v/>
      </c>
      <c r="I7136" s="3"/>
    </row>
    <row r="7137" customHeight="1" spans="1:9">
      <c r="A7137" s="2"/>
      <c r="B7137" s="2" t="str">
        <f>IFERROR(__xludf.DUMMYFUNCTION("IF(A7137&lt;&gt;"""", GOOGLETRANSLATE(A7137, ""en"", ""te""),"""")"),"")</f>
        <v/>
      </c>
      <c r="C7137" s="2"/>
      <c r="D7137" s="2" t="str">
        <f>IFERROR(__xludf.DUMMYFUNCTION("IF(C7137&lt;&gt;"""", GOOGLETRANSLATE(C7137, ""en"", ""te""),"""")"),"")</f>
        <v/>
      </c>
      <c r="E7137" s="2"/>
      <c r="F7137" s="2" t="str">
        <f>IFERROR(__xludf.DUMMYFUNCTION("IF(E7137&lt;&gt;"""", GOOGLETRANSLATE(E7137, ""en"", ""te""),"""")"),"")</f>
        <v/>
      </c>
      <c r="G7137" s="2"/>
      <c r="H7137" s="2" t="str">
        <f>IFERROR(__xludf.DUMMYFUNCTION("IF(G7137&lt;&gt;"""", GOOGLETRANSLATE(G7137, ""en"", ""te""),"""")"),"")</f>
        <v/>
      </c>
      <c r="I7137" s="3"/>
    </row>
    <row r="7138" customHeight="1" spans="1:9">
      <c r="A7138" s="2" t="s">
        <v>4214</v>
      </c>
      <c r="B7138" s="2" t="str">
        <f>IFERROR(__xludf.DUMMYFUNCTION("IF(A7138&lt;&gt;"""", GOOGLETRANSLATE(A7138, ""en"", ""te""),"""")"),"[ '1st అత్యుత్తమ ఇన్నింగ్స్ లో విశ్లేషణలు బౌలింగ్ (3/2)', '1000 పరుగులు మరియు 100 వికెట్లు', '1000 పరుగులు, 50 వికెట్లు, 50 క్యాచ్లు']")</f>
        <v>[ '1st అత్యుత్తమ ఇన్నింగ్స్ లో విశ్లేషణలు బౌలింగ్ (3/2)', '1000 పరుగులు మరియు 100 వికెట్లు', '1000 పరుగులు, 50 వికెట్లు, 50 క్యాచ్లు']</v>
      </c>
      <c r="C7138" s="2" t="s">
        <v>4215</v>
      </c>
      <c r="D7138" s="2" t="str">
        <f>IFERROR(__xludf.DUMMYFUNCTION("IF(C7138&lt;&gt;"""", GOOGLETRANSLATE(C7138, ""en"", ""te""),"""")"),"[18 వ కెరీర్ లో బాతులు (24) ',' 49 వ చెత్త కెరీర్లో ఆర్థిక రేటు (3.43) ',' తొలి ఇన్నింగ్స్లో 22 బెస్ట్ ఫిగర్స్ (6) ']")</f>
        <v>[18 వ కెరీర్ లో బాతులు (24) ',' 49 వ చెత్త కెరీర్లో ఆర్థిక రేటు (3.43) ',' తొలి ఇన్నింగ్స్లో 22 బెస్ట్ ఫిగర్స్ (6) ']</v>
      </c>
      <c r="E7138" s="2" t="s">
        <v>4216</v>
      </c>
      <c r="F7138" s="2" t="str">
        <f>IFERROR(__xludf.DUMMYFUNCTION("IF(E7138&lt;&gt;"""", GOOGLETRANSLATE(E7138, ""en"", ""te""),"""")"),"[ '35 వ అత్యంత వంద (1627) లేకుండా ఒక వృత్తిలో పరుగులు' '1 వ అత్యుత్తమ బౌలింగ్ ఇన్నింగ్స్ లో విశ్లేషించడం (3/2)', తీసుకోవాలని, '39 వ అత్యంత వృద్ధ ఆటగాడు' 24 ఒకే క్రీడా (42) పై అత్యంత వికెట్స్ ' ఐదు వికెట్లు-ఇన్-ఒక-ఇన్నింగ్స్ (32y 116d) ',' 23 వ అత్యంత వృద"&amp;"్ధ ఆటగాడు ఒక కన్య (13) ఐదు వికెట్లు-ఇన్-ఒక-ఇన్నింగ్స్ (32y 116d) ',' 14 వ అత్యధిక వికెట్లు క్యాచ్ మరియు బౌల్డ్ తీసుకున్న తీసుకోవాలని ' '16 వ అత్యధిక వికెట్లు స్టంప్ తీసుకున్న (18)']")</f>
        <v>[ '35 వ అత్యంత వంద (1627) లేకుండా ఒక వృత్తిలో పరుగులు' '1 వ అత్యుత్తమ బౌలింగ్ ఇన్నింగ్స్ లో విశ్లేషించడం (3/2)', తీసుకోవాలని, '39 వ అత్యంత వృద్ధ ఆటగాడు' 24 ఒకే క్రీడా (42) పై అత్యంత వికెట్స్ ' ఐదు వికెట్లు-ఇన్-ఒక-ఇన్నింగ్స్ (32y 116d) ',' 23 వ అత్యంత వృద్ధ ఆటగాడు ఒక కన్య (13) ఐదు వికెట్లు-ఇన్-ఒక-ఇన్నింగ్స్ (32y 116d) ',' 14 వ అత్యధిక వికెట్లు క్యాచ్ మరియు బౌల్డ్ తీసుకున్న తీసుకోవాలని ' '16 వ అత్యధిక వికెట్లు స్టంప్ తీసుకున్న (18)']</v>
      </c>
      <c r="G7138" s="2"/>
      <c r="H7138" s="2" t="str">
        <f>IFERROR(__xludf.DUMMYFUNCTION("IF(G7138&lt;&gt;"""", GOOGLETRANSLATE(G7138, ""en"", ""te""),"""")"),"")</f>
        <v/>
      </c>
      <c r="I7138" s="3"/>
    </row>
    <row r="7139" customHeight="1" spans="1:9">
      <c r="A7139" s="2"/>
      <c r="B7139" s="2" t="str">
        <f>IFERROR(__xludf.DUMMYFUNCTION("IF(A7139&lt;&gt;"""", GOOGLETRANSLATE(A7139, ""en"", ""te""),"""")"),"")</f>
        <v/>
      </c>
      <c r="C7139" s="2"/>
      <c r="D7139" s="2" t="str">
        <f>IFERROR(__xludf.DUMMYFUNCTION("IF(C7139&lt;&gt;"""", GOOGLETRANSLATE(C7139, ""en"", ""te""),"""")"),"")</f>
        <v/>
      </c>
      <c r="E7139" s="2"/>
      <c r="F7139" s="2" t="str">
        <f>IFERROR(__xludf.DUMMYFUNCTION("IF(E7139&lt;&gt;"""", GOOGLETRANSLATE(E7139, ""en"", ""te""),"""")"),"")</f>
        <v/>
      </c>
      <c r="G7139" s="2"/>
      <c r="H7139" s="2" t="str">
        <f>IFERROR(__xludf.DUMMYFUNCTION("IF(G7139&lt;&gt;"""", GOOGLETRANSLATE(G7139, ""en"", ""te""),"""")"),"")</f>
        <v/>
      </c>
      <c r="I7139" s="3"/>
    </row>
    <row r="7140" customHeight="1" spans="1:9">
      <c r="A7140" s="2"/>
      <c r="B7140" s="2" t="str">
        <f>IFERROR(__xludf.DUMMYFUNCTION("IF(A7140&lt;&gt;"""", GOOGLETRANSLATE(A7140, ""en"", ""te""),"""")"),"")</f>
        <v/>
      </c>
      <c r="C7140" s="2"/>
      <c r="D7140" s="2" t="str">
        <f>IFERROR(__xludf.DUMMYFUNCTION("IF(C7140&lt;&gt;"""", GOOGLETRANSLATE(C7140, ""en"", ""te""),"""")"),"")</f>
        <v/>
      </c>
      <c r="E7140" s="2"/>
      <c r="F7140" s="2" t="str">
        <f>IFERROR(__xludf.DUMMYFUNCTION("IF(E7140&lt;&gt;"""", GOOGLETRANSLATE(E7140, ""en"", ""te""),"""")"),"")</f>
        <v/>
      </c>
      <c r="G7140" s="2"/>
      <c r="H7140" s="2" t="str">
        <f>IFERROR(__xludf.DUMMYFUNCTION("IF(G7140&lt;&gt;"""", GOOGLETRANSLATE(G7140, ""en"", ""te""),"""")"),"")</f>
        <v/>
      </c>
      <c r="I7140" s="3"/>
    </row>
    <row r="7141" customHeight="1" spans="1:9">
      <c r="A7141" s="2"/>
      <c r="B7141" s="2" t="str">
        <f>IFERROR(__xludf.DUMMYFUNCTION("IF(A7141&lt;&gt;"""", GOOGLETRANSLATE(A7141, ""en"", ""te""),"""")"),"")</f>
        <v/>
      </c>
      <c r="C7141" s="2"/>
      <c r="D7141" s="2" t="str">
        <f>IFERROR(__xludf.DUMMYFUNCTION("IF(C7141&lt;&gt;"""", GOOGLETRANSLATE(C7141, ""en"", ""te""),"""")"),"")</f>
        <v/>
      </c>
      <c r="E7141" s="2"/>
      <c r="F7141" s="2" t="str">
        <f>IFERROR(__xludf.DUMMYFUNCTION("IF(E7141&lt;&gt;"""", GOOGLETRANSLATE(E7141, ""en"", ""te""),"""")"),"")</f>
        <v/>
      </c>
      <c r="G7141" s="2"/>
      <c r="H7141" s="2" t="str">
        <f>IFERROR(__xludf.DUMMYFUNCTION("IF(G7141&lt;&gt;"""", GOOGLETRANSLATE(G7141, ""en"", ""te""),"""")"),"")</f>
        <v/>
      </c>
      <c r="I7141" s="3"/>
    </row>
    <row r="7142" customHeight="1" spans="1:9">
      <c r="A7142" s="2"/>
      <c r="B7142" s="2" t="str">
        <f>IFERROR(__xludf.DUMMYFUNCTION("IF(A7142&lt;&gt;"""", GOOGLETRANSLATE(A7142, ""en"", ""te""),"""")"),"")</f>
        <v/>
      </c>
      <c r="C7142" s="2"/>
      <c r="D7142" s="2" t="str">
        <f>IFERROR(__xludf.DUMMYFUNCTION("IF(C7142&lt;&gt;"""", GOOGLETRANSLATE(C7142, ""en"", ""te""),"""")"),"")</f>
        <v/>
      </c>
      <c r="E7142" s="2"/>
      <c r="F7142" s="2" t="str">
        <f>IFERROR(__xludf.DUMMYFUNCTION("IF(E7142&lt;&gt;"""", GOOGLETRANSLATE(E7142, ""en"", ""te""),"""")"),"")</f>
        <v/>
      </c>
      <c r="G7142" s="2"/>
      <c r="H7142" s="2" t="str">
        <f>IFERROR(__xludf.DUMMYFUNCTION("IF(G7142&lt;&gt;"""", GOOGLETRANSLATE(G7142, ""en"", ""te""),"""")"),"")</f>
        <v/>
      </c>
      <c r="I7142" s="3"/>
    </row>
    <row r="7143" customHeight="1" spans="1:9">
      <c r="A7143" s="2"/>
      <c r="B7143" s="2" t="str">
        <f>IFERROR(__xludf.DUMMYFUNCTION("IF(A7143&lt;&gt;"""", GOOGLETRANSLATE(A7143, ""en"", ""te""),"""")"),"")</f>
        <v/>
      </c>
      <c r="C7143" s="2"/>
      <c r="D7143" s="2" t="str">
        <f>IFERROR(__xludf.DUMMYFUNCTION("IF(C7143&lt;&gt;"""", GOOGLETRANSLATE(C7143, ""en"", ""te""),"""")"),"")</f>
        <v/>
      </c>
      <c r="E7143" s="2"/>
      <c r="F7143" s="2" t="str">
        <f>IFERROR(__xludf.DUMMYFUNCTION("IF(E7143&lt;&gt;"""", GOOGLETRANSLATE(E7143, ""en"", ""te""),"""")"),"")</f>
        <v/>
      </c>
      <c r="G7143" s="2"/>
      <c r="H7143" s="2" t="str">
        <f>IFERROR(__xludf.DUMMYFUNCTION("IF(G7143&lt;&gt;"""", GOOGLETRANSLATE(G7143, ""en"", ""te""),"""")"),"")</f>
        <v/>
      </c>
      <c r="I7143" s="3"/>
    </row>
    <row r="7144" customHeight="1" spans="1:9">
      <c r="A7144" s="2" t="s">
        <v>4217</v>
      </c>
      <c r="B7144" s="2" t="str">
        <f>IFERROR(__xludf.DUMMYFUNCTION("IF(A7144&lt;&gt;"""", GOOGLETRANSLATE(A7144, ""en"", ""te""),"""")"),"[ '1st బౌలర్ / బ్యాట్స్ కలయికలు (4)']")</f>
        <v>[ '1st బౌలర్ / బ్యాట్స్ కలయికలు (4)']</v>
      </c>
      <c r="C7144" s="2"/>
      <c r="D7144" s="2" t="str">
        <f>IFERROR(__xludf.DUMMYFUNCTION("IF(C7144&lt;&gt;"""", GOOGLETRANSLATE(C7144, ""en"", ""te""),"""")"),"")</f>
        <v/>
      </c>
      <c r="E7144" s="2"/>
      <c r="F7144" s="2" t="str">
        <f>IFERROR(__xludf.DUMMYFUNCTION("IF(E7144&lt;&gt;"""", GOOGLETRANSLATE(E7144, ""en"", ""te""),"""")"),"")</f>
        <v/>
      </c>
      <c r="G7144" s="2" t="s">
        <v>4217</v>
      </c>
      <c r="H7144" s="2" t="str">
        <f>IFERROR(__xludf.DUMMYFUNCTION("IF(G7144&lt;&gt;"""", GOOGLETRANSLATE(G7144, ""en"", ""te""),"""")"),"[ '1st బౌలర్ / బ్యాట్స్ కలయికలు (4)']")</f>
        <v>[ '1st బౌలర్ / బ్యాట్స్ కలయికలు (4)']</v>
      </c>
      <c r="I7144" s="3"/>
    </row>
    <row r="7145" customHeight="1" spans="1:9">
      <c r="A7145" s="2"/>
      <c r="B7145" s="2" t="str">
        <f>IFERROR(__xludf.DUMMYFUNCTION("IF(A7145&lt;&gt;"""", GOOGLETRANSLATE(A7145, ""en"", ""te""),"""")"),"")</f>
        <v/>
      </c>
      <c r="C7145" s="2"/>
      <c r="D7145" s="2" t="str">
        <f>IFERROR(__xludf.DUMMYFUNCTION("IF(C7145&lt;&gt;"""", GOOGLETRANSLATE(C7145, ""en"", ""te""),"""")"),"")</f>
        <v/>
      </c>
      <c r="E7145" s="2"/>
      <c r="F7145" s="2" t="str">
        <f>IFERROR(__xludf.DUMMYFUNCTION("IF(E7145&lt;&gt;"""", GOOGLETRANSLATE(E7145, ""en"", ""te""),"""")"),"")</f>
        <v/>
      </c>
      <c r="G7145" s="2"/>
      <c r="H7145" s="2" t="str">
        <f>IFERROR(__xludf.DUMMYFUNCTION("IF(G7145&lt;&gt;"""", GOOGLETRANSLATE(G7145, ""en"", ""te""),"""")"),"")</f>
        <v/>
      </c>
      <c r="I7145" s="3"/>
    </row>
    <row r="7146" customHeight="1" spans="1:9">
      <c r="A7146" s="2"/>
      <c r="B7146" s="2" t="str">
        <f>IFERROR(__xludf.DUMMYFUNCTION("IF(A7146&lt;&gt;"""", GOOGLETRANSLATE(A7146, ""en"", ""te""),"""")"),"")</f>
        <v/>
      </c>
      <c r="C7146" s="2"/>
      <c r="D7146" s="2" t="str">
        <f>IFERROR(__xludf.DUMMYFUNCTION("IF(C7146&lt;&gt;"""", GOOGLETRANSLATE(C7146, ""en"", ""te""),"""")"),"")</f>
        <v/>
      </c>
      <c r="E7146" s="2"/>
      <c r="F7146" s="2" t="str">
        <f>IFERROR(__xludf.DUMMYFUNCTION("IF(E7146&lt;&gt;"""", GOOGLETRANSLATE(E7146, ""en"", ""te""),"""")"),"")</f>
        <v/>
      </c>
      <c r="G7146" s="2"/>
      <c r="H7146" s="2" t="str">
        <f>IFERROR(__xludf.DUMMYFUNCTION("IF(G7146&lt;&gt;"""", GOOGLETRANSLATE(G7146, ""en"", ""te""),"""")"),"")</f>
        <v/>
      </c>
      <c r="I7146" s="3"/>
    </row>
    <row r="7147" customHeight="1" spans="1:9">
      <c r="A7147" s="2"/>
      <c r="B7147" s="2" t="str">
        <f>IFERROR(__xludf.DUMMYFUNCTION("IF(A7147&lt;&gt;"""", GOOGLETRANSLATE(A7147, ""en"", ""te""),"""")"),"")</f>
        <v/>
      </c>
      <c r="C7147" s="2"/>
      <c r="D7147" s="2" t="str">
        <f>IFERROR(__xludf.DUMMYFUNCTION("IF(C7147&lt;&gt;"""", GOOGLETRANSLATE(C7147, ""en"", ""te""),"""")"),"")</f>
        <v/>
      </c>
      <c r="E7147" s="2"/>
      <c r="F7147" s="2" t="str">
        <f>IFERROR(__xludf.DUMMYFUNCTION("IF(E7147&lt;&gt;"""", GOOGLETRANSLATE(E7147, ""en"", ""te""),"""")"),"")</f>
        <v/>
      </c>
      <c r="G7147" s="2"/>
      <c r="H7147" s="2" t="str">
        <f>IFERROR(__xludf.DUMMYFUNCTION("IF(G7147&lt;&gt;"""", GOOGLETRANSLATE(G7147, ""en"", ""te""),"""")"),"")</f>
        <v/>
      </c>
      <c r="I7147" s="3"/>
    </row>
    <row r="7148" customHeight="1" spans="1:9">
      <c r="A7148" s="2"/>
      <c r="B7148" s="2" t="str">
        <f>IFERROR(__xludf.DUMMYFUNCTION("IF(A7148&lt;&gt;"""", GOOGLETRANSLATE(A7148, ""en"", ""te""),"""")"),"")</f>
        <v/>
      </c>
      <c r="C7148" s="2"/>
      <c r="D7148" s="2" t="str">
        <f>IFERROR(__xludf.DUMMYFUNCTION("IF(C7148&lt;&gt;"""", GOOGLETRANSLATE(C7148, ""en"", ""te""),"""")"),"")</f>
        <v/>
      </c>
      <c r="E7148" s="2"/>
      <c r="F7148" s="2" t="str">
        <f>IFERROR(__xludf.DUMMYFUNCTION("IF(E7148&lt;&gt;"""", GOOGLETRANSLATE(E7148, ""en"", ""te""),"""")"),"")</f>
        <v/>
      </c>
      <c r="G7148" s="2"/>
      <c r="H7148" s="2" t="str">
        <f>IFERROR(__xludf.DUMMYFUNCTION("IF(G7148&lt;&gt;"""", GOOGLETRANSLATE(G7148, ""en"", ""te""),"""")"),"")</f>
        <v/>
      </c>
      <c r="I7148" s="3"/>
    </row>
    <row r="7149" customHeight="1" spans="1:9">
      <c r="A7149" s="2"/>
      <c r="B7149" s="2" t="str">
        <f>IFERROR(__xludf.DUMMYFUNCTION("IF(A7149&lt;&gt;"""", GOOGLETRANSLATE(A7149, ""en"", ""te""),"""")"),"")</f>
        <v/>
      </c>
      <c r="C7149" s="2"/>
      <c r="D7149" s="2" t="str">
        <f>IFERROR(__xludf.DUMMYFUNCTION("IF(C7149&lt;&gt;"""", GOOGLETRANSLATE(C7149, ""en"", ""te""),"""")"),"")</f>
        <v/>
      </c>
      <c r="E7149" s="2"/>
      <c r="F7149" s="2" t="str">
        <f>IFERROR(__xludf.DUMMYFUNCTION("IF(E7149&lt;&gt;"""", GOOGLETRANSLATE(E7149, ""en"", ""te""),"""")"),"")</f>
        <v/>
      </c>
      <c r="G7149" s="2"/>
      <c r="H7149" s="2" t="str">
        <f>IFERROR(__xludf.DUMMYFUNCTION("IF(G7149&lt;&gt;"""", GOOGLETRANSLATE(G7149, ""en"", ""te""),"""")"),"")</f>
        <v/>
      </c>
      <c r="I7149" s="3"/>
    </row>
    <row r="7150" customHeight="1" spans="1:9">
      <c r="A7150" s="2"/>
      <c r="B7150" s="2" t="str">
        <f>IFERROR(__xludf.DUMMYFUNCTION("IF(A7150&lt;&gt;"""", GOOGLETRANSLATE(A7150, ""en"", ""te""),"""")"),"")</f>
        <v/>
      </c>
      <c r="C7150" s="2"/>
      <c r="D7150" s="2" t="str">
        <f>IFERROR(__xludf.DUMMYFUNCTION("IF(C7150&lt;&gt;"""", GOOGLETRANSLATE(C7150, ""en"", ""te""),"""")"),"")</f>
        <v/>
      </c>
      <c r="E7150" s="2"/>
      <c r="F7150" s="2" t="str">
        <f>IFERROR(__xludf.DUMMYFUNCTION("IF(E7150&lt;&gt;"""", GOOGLETRANSLATE(E7150, ""en"", ""te""),"""")"),"")</f>
        <v/>
      </c>
      <c r="G7150" s="2"/>
      <c r="H7150" s="2" t="str">
        <f>IFERROR(__xludf.DUMMYFUNCTION("IF(G7150&lt;&gt;"""", GOOGLETRANSLATE(G7150, ""en"", ""te""),"""")"),"")</f>
        <v/>
      </c>
      <c r="I7150" s="3"/>
    </row>
    <row r="7151" customHeight="1" spans="1:9">
      <c r="A7151" s="2"/>
      <c r="B7151" s="2" t="str">
        <f>IFERROR(__xludf.DUMMYFUNCTION("IF(A7151&lt;&gt;"""", GOOGLETRANSLATE(A7151, ""en"", ""te""),"""")"),"")</f>
        <v/>
      </c>
      <c r="C7151" s="2"/>
      <c r="D7151" s="2" t="str">
        <f>IFERROR(__xludf.DUMMYFUNCTION("IF(C7151&lt;&gt;"""", GOOGLETRANSLATE(C7151, ""en"", ""te""),"""")"),"")</f>
        <v/>
      </c>
      <c r="E7151" s="2"/>
      <c r="F7151" s="2" t="str">
        <f>IFERROR(__xludf.DUMMYFUNCTION("IF(E7151&lt;&gt;"""", GOOGLETRANSLATE(E7151, ""en"", ""te""),"""")"),"")</f>
        <v/>
      </c>
      <c r="G7151" s="2"/>
      <c r="H7151" s="2" t="str">
        <f>IFERROR(__xludf.DUMMYFUNCTION("IF(G7151&lt;&gt;"""", GOOGLETRANSLATE(G7151, ""en"", ""te""),"""")"),"")</f>
        <v/>
      </c>
      <c r="I7151" s="3"/>
    </row>
    <row r="7152" customHeight="1" spans="1:9">
      <c r="A7152" s="2"/>
      <c r="B7152" s="2" t="str">
        <f>IFERROR(__xludf.DUMMYFUNCTION("IF(A7152&lt;&gt;"""", GOOGLETRANSLATE(A7152, ""en"", ""te""),"""")"),"")</f>
        <v/>
      </c>
      <c r="C7152" s="2"/>
      <c r="D7152" s="2" t="str">
        <f>IFERROR(__xludf.DUMMYFUNCTION("IF(C7152&lt;&gt;"""", GOOGLETRANSLATE(C7152, ""en"", ""te""),"""")"),"")</f>
        <v/>
      </c>
      <c r="E7152" s="2"/>
      <c r="F7152" s="2" t="str">
        <f>IFERROR(__xludf.DUMMYFUNCTION("IF(E7152&lt;&gt;"""", GOOGLETRANSLATE(E7152, ""en"", ""te""),"""")"),"")</f>
        <v/>
      </c>
      <c r="G7152" s="2"/>
      <c r="H7152" s="2" t="str">
        <f>IFERROR(__xludf.DUMMYFUNCTION("IF(G7152&lt;&gt;"""", GOOGLETRANSLATE(G7152, ""en"", ""te""),"""")"),"")</f>
        <v/>
      </c>
      <c r="I7152" s="3"/>
    </row>
    <row r="7153" customHeight="1" spans="1:9">
      <c r="A7153" s="2"/>
      <c r="B7153" s="2" t="str">
        <f>IFERROR(__xludf.DUMMYFUNCTION("IF(A7153&lt;&gt;"""", GOOGLETRANSLATE(A7153, ""en"", ""te""),"""")"),"")</f>
        <v/>
      </c>
      <c r="C7153" s="2"/>
      <c r="D7153" s="2" t="str">
        <f>IFERROR(__xludf.DUMMYFUNCTION("IF(C7153&lt;&gt;"""", GOOGLETRANSLATE(C7153, ""en"", ""te""),"""")"),"")</f>
        <v/>
      </c>
      <c r="E7153" s="2"/>
      <c r="F7153" s="2" t="str">
        <f>IFERROR(__xludf.DUMMYFUNCTION("IF(E7153&lt;&gt;"""", GOOGLETRANSLATE(E7153, ""en"", ""te""),"""")"),"")</f>
        <v/>
      </c>
      <c r="G7153" s="2"/>
      <c r="H7153" s="2" t="str">
        <f>IFERROR(__xludf.DUMMYFUNCTION("IF(G7153&lt;&gt;"""", GOOGLETRANSLATE(G7153, ""en"", ""te""),"""")"),"")</f>
        <v/>
      </c>
      <c r="I7153" s="3"/>
    </row>
    <row r="7154" customHeight="1" spans="1:9">
      <c r="A7154" s="2"/>
      <c r="B7154" s="2" t="str">
        <f>IFERROR(__xludf.DUMMYFUNCTION("IF(A7154&lt;&gt;"""", GOOGLETRANSLATE(A7154, ""en"", ""te""),"""")"),"")</f>
        <v/>
      </c>
      <c r="C7154" s="2"/>
      <c r="D7154" s="2" t="str">
        <f>IFERROR(__xludf.DUMMYFUNCTION("IF(C7154&lt;&gt;"""", GOOGLETRANSLATE(C7154, ""en"", ""te""),"""")"),"")</f>
        <v/>
      </c>
      <c r="E7154" s="2"/>
      <c r="F7154" s="2" t="str">
        <f>IFERROR(__xludf.DUMMYFUNCTION("IF(E7154&lt;&gt;"""", GOOGLETRANSLATE(E7154, ""en"", ""te""),"""")"),"")</f>
        <v/>
      </c>
      <c r="G7154" s="2"/>
      <c r="H7154" s="2" t="str">
        <f>IFERROR(__xludf.DUMMYFUNCTION("IF(G7154&lt;&gt;"""", GOOGLETRANSLATE(G7154, ""en"", ""te""),"""")"),"")</f>
        <v/>
      </c>
      <c r="I7154" s="3"/>
    </row>
    <row r="7155" customHeight="1" spans="1:9">
      <c r="A7155" s="2"/>
      <c r="B7155" s="2" t="str">
        <f>IFERROR(__xludf.DUMMYFUNCTION("IF(A7155&lt;&gt;"""", GOOGLETRANSLATE(A7155, ""en"", ""te""),"""")"),"")</f>
        <v/>
      </c>
      <c r="C7155" s="2"/>
      <c r="D7155" s="2" t="str">
        <f>IFERROR(__xludf.DUMMYFUNCTION("IF(C7155&lt;&gt;"""", GOOGLETRANSLATE(C7155, ""en"", ""te""),"""")"),"")</f>
        <v/>
      </c>
      <c r="E7155" s="2"/>
      <c r="F7155" s="2" t="str">
        <f>IFERROR(__xludf.DUMMYFUNCTION("IF(E7155&lt;&gt;"""", GOOGLETRANSLATE(E7155, ""en"", ""te""),"""")"),"")</f>
        <v/>
      </c>
      <c r="G7155" s="2"/>
      <c r="H7155" s="2" t="str">
        <f>IFERROR(__xludf.DUMMYFUNCTION("IF(G7155&lt;&gt;"""", GOOGLETRANSLATE(G7155, ""en"", ""te""),"""")"),"")</f>
        <v/>
      </c>
      <c r="I7155" s="3"/>
    </row>
    <row r="7156" customHeight="1" spans="1:9">
      <c r="A7156" s="2"/>
      <c r="B7156" s="2" t="str">
        <f>IFERROR(__xludf.DUMMYFUNCTION("IF(A7156&lt;&gt;"""", GOOGLETRANSLATE(A7156, ""en"", ""te""),"""")"),"")</f>
        <v/>
      </c>
      <c r="C7156" s="2"/>
      <c r="D7156" s="2" t="str">
        <f>IFERROR(__xludf.DUMMYFUNCTION("IF(C7156&lt;&gt;"""", GOOGLETRANSLATE(C7156, ""en"", ""te""),"""")"),"")</f>
        <v/>
      </c>
      <c r="E7156" s="2"/>
      <c r="F7156" s="2" t="str">
        <f>IFERROR(__xludf.DUMMYFUNCTION("IF(E7156&lt;&gt;"""", GOOGLETRANSLATE(E7156, ""en"", ""te""),"""")"),"")</f>
        <v/>
      </c>
      <c r="G7156" s="2"/>
      <c r="H7156" s="2" t="str">
        <f>IFERROR(__xludf.DUMMYFUNCTION("IF(G7156&lt;&gt;"""", GOOGLETRANSLATE(G7156, ""en"", ""te""),"""")"),"")</f>
        <v/>
      </c>
      <c r="I7156" s="3"/>
    </row>
    <row r="7157" customHeight="1" spans="1:9">
      <c r="A7157" s="2"/>
      <c r="B7157" s="2" t="str">
        <f>IFERROR(__xludf.DUMMYFUNCTION("IF(A7157&lt;&gt;"""", GOOGLETRANSLATE(A7157, ""en"", ""te""),"""")"),"")</f>
        <v/>
      </c>
      <c r="C7157" s="2"/>
      <c r="D7157" s="2" t="str">
        <f>IFERROR(__xludf.DUMMYFUNCTION("IF(C7157&lt;&gt;"""", GOOGLETRANSLATE(C7157, ""en"", ""te""),"""")"),"")</f>
        <v/>
      </c>
      <c r="E7157" s="2"/>
      <c r="F7157" s="2" t="str">
        <f>IFERROR(__xludf.DUMMYFUNCTION("IF(E7157&lt;&gt;"""", GOOGLETRANSLATE(E7157, ""en"", ""te""),"""")"),"")</f>
        <v/>
      </c>
      <c r="G7157" s="2"/>
      <c r="H7157" s="2" t="str">
        <f>IFERROR(__xludf.DUMMYFUNCTION("IF(G7157&lt;&gt;"""", GOOGLETRANSLATE(G7157, ""en"", ""te""),"""")"),"")</f>
        <v/>
      </c>
      <c r="I7157" s="3"/>
    </row>
    <row r="7158" customHeight="1" spans="1:9">
      <c r="A7158" s="2"/>
      <c r="B7158" s="2" t="str">
        <f>IFERROR(__xludf.DUMMYFUNCTION("IF(A7158&lt;&gt;"""", GOOGLETRANSLATE(A7158, ""en"", ""te""),"""")"),"")</f>
        <v/>
      </c>
      <c r="C7158" s="2"/>
      <c r="D7158" s="2" t="str">
        <f>IFERROR(__xludf.DUMMYFUNCTION("IF(C7158&lt;&gt;"""", GOOGLETRANSLATE(C7158, ""en"", ""te""),"""")"),"")</f>
        <v/>
      </c>
      <c r="E7158" s="2" t="s">
        <v>4218</v>
      </c>
      <c r="F7158" s="2" t="str">
        <f>IFERROR(__xludf.DUMMYFUNCTION("IF(E7158&lt;&gt;"""", GOOGLETRANSLATE(E7158, ""en"", ""te""),"""")"),"[ '35 వ ఉత్తమ కెరీర్ సమ్మె రేటు (31.1)']")</f>
        <v>[ '35 వ ఉత్తమ కెరీర్ సమ్మె రేటు (31.1)']</v>
      </c>
      <c r="G7158" s="2"/>
      <c r="H7158" s="2" t="str">
        <f>IFERROR(__xludf.DUMMYFUNCTION("IF(G7158&lt;&gt;"""", GOOGLETRANSLATE(G7158, ""en"", ""te""),"""")"),"")</f>
        <v/>
      </c>
      <c r="I7158" s="3"/>
    </row>
    <row r="7159" customHeight="1" spans="1:9">
      <c r="A7159" s="2"/>
      <c r="B7159" s="2" t="str">
        <f>IFERROR(__xludf.DUMMYFUNCTION("IF(A7159&lt;&gt;"""", GOOGLETRANSLATE(A7159, ""en"", ""te""),"""")"),"")</f>
        <v/>
      </c>
      <c r="C7159" s="2"/>
      <c r="D7159" s="2" t="str">
        <f>IFERROR(__xludf.DUMMYFUNCTION("IF(C7159&lt;&gt;"""", GOOGLETRANSLATE(C7159, ""en"", ""te""),"""")"),"")</f>
        <v/>
      </c>
      <c r="E7159" s="2"/>
      <c r="F7159" s="2" t="str">
        <f>IFERROR(__xludf.DUMMYFUNCTION("IF(E7159&lt;&gt;"""", GOOGLETRANSLATE(E7159, ""en"", ""te""),"""")"),"")</f>
        <v/>
      </c>
      <c r="G7159" s="2"/>
      <c r="H7159" s="2" t="str">
        <f>IFERROR(__xludf.DUMMYFUNCTION("IF(G7159&lt;&gt;"""", GOOGLETRANSLATE(G7159, ""en"", ""te""),"""")"),"")</f>
        <v/>
      </c>
      <c r="I7159" s="3"/>
    </row>
    <row r="7160" customHeight="1" spans="1:9">
      <c r="A7160" s="2"/>
      <c r="B7160" s="2" t="str">
        <f>IFERROR(__xludf.DUMMYFUNCTION("IF(A7160&lt;&gt;"""", GOOGLETRANSLATE(A7160, ""en"", ""te""),"""")"),"")</f>
        <v/>
      </c>
      <c r="C7160" s="2"/>
      <c r="D7160" s="2" t="str">
        <f>IFERROR(__xludf.DUMMYFUNCTION("IF(C7160&lt;&gt;"""", GOOGLETRANSLATE(C7160, ""en"", ""te""),"""")"),"")</f>
        <v/>
      </c>
      <c r="E7160" s="2"/>
      <c r="F7160" s="2" t="str">
        <f>IFERROR(__xludf.DUMMYFUNCTION("IF(E7160&lt;&gt;"""", GOOGLETRANSLATE(E7160, ""en"", ""te""),"""")"),"")</f>
        <v/>
      </c>
      <c r="G7160" s="2"/>
      <c r="H7160" s="2" t="str">
        <f>IFERROR(__xludf.DUMMYFUNCTION("IF(G7160&lt;&gt;"""", GOOGLETRANSLATE(G7160, ""en"", ""te""),"""")"),"")</f>
        <v/>
      </c>
      <c r="I7160" s="3"/>
    </row>
    <row r="7161" customHeight="1" spans="1:9">
      <c r="A7161" s="2"/>
      <c r="B7161" s="2" t="str">
        <f>IFERROR(__xludf.DUMMYFUNCTION("IF(A7161&lt;&gt;"""", GOOGLETRANSLATE(A7161, ""en"", ""te""),"""")"),"")</f>
        <v/>
      </c>
      <c r="C7161" s="2"/>
      <c r="D7161" s="2" t="str">
        <f>IFERROR(__xludf.DUMMYFUNCTION("IF(C7161&lt;&gt;"""", GOOGLETRANSLATE(C7161, ""en"", ""te""),"""")"),"")</f>
        <v/>
      </c>
      <c r="E7161" s="2"/>
      <c r="F7161" s="2" t="str">
        <f>IFERROR(__xludf.DUMMYFUNCTION("IF(E7161&lt;&gt;"""", GOOGLETRANSLATE(E7161, ""en"", ""te""),"""")"),"")</f>
        <v/>
      </c>
      <c r="G7161" s="2"/>
      <c r="H7161" s="2" t="str">
        <f>IFERROR(__xludf.DUMMYFUNCTION("IF(G7161&lt;&gt;"""", GOOGLETRANSLATE(G7161, ""en"", ""te""),"""")"),"")</f>
        <v/>
      </c>
      <c r="I7161" s="3"/>
    </row>
    <row r="7162" customHeight="1" spans="1:9">
      <c r="A7162" s="2"/>
      <c r="B7162" s="2" t="str">
        <f>IFERROR(__xludf.DUMMYFUNCTION("IF(A7162&lt;&gt;"""", GOOGLETRANSLATE(A7162, ""en"", ""te""),"""")"),"")</f>
        <v/>
      </c>
      <c r="C7162" s="2"/>
      <c r="D7162" s="2" t="str">
        <f>IFERROR(__xludf.DUMMYFUNCTION("IF(C7162&lt;&gt;"""", GOOGLETRANSLATE(C7162, ""en"", ""te""),"""")"),"")</f>
        <v/>
      </c>
      <c r="E7162" s="2"/>
      <c r="F7162" s="2" t="str">
        <f>IFERROR(__xludf.DUMMYFUNCTION("IF(E7162&lt;&gt;"""", GOOGLETRANSLATE(E7162, ""en"", ""te""),"""")"),"")</f>
        <v/>
      </c>
      <c r="G7162" s="2"/>
      <c r="H7162" s="2" t="str">
        <f>IFERROR(__xludf.DUMMYFUNCTION("IF(G7162&lt;&gt;"""", GOOGLETRANSLATE(G7162, ""en"", ""te""),"""")"),"")</f>
        <v/>
      </c>
      <c r="I7162" s="3"/>
    </row>
    <row r="7163" customHeight="1" spans="1:9">
      <c r="A7163" s="2"/>
      <c r="B7163" s="2" t="str">
        <f>IFERROR(__xludf.DUMMYFUNCTION("IF(A7163&lt;&gt;"""", GOOGLETRANSLATE(A7163, ""en"", ""te""),"""")"),"")</f>
        <v/>
      </c>
      <c r="C7163" s="2"/>
      <c r="D7163" s="2" t="str">
        <f>IFERROR(__xludf.DUMMYFUNCTION("IF(C7163&lt;&gt;"""", GOOGLETRANSLATE(C7163, ""en"", ""te""),"""")"),"")</f>
        <v/>
      </c>
      <c r="E7163" s="2"/>
      <c r="F7163" s="2" t="str">
        <f>IFERROR(__xludf.DUMMYFUNCTION("IF(E7163&lt;&gt;"""", GOOGLETRANSLATE(E7163, ""en"", ""te""),"""")"),"")</f>
        <v/>
      </c>
      <c r="G7163" s="2"/>
      <c r="H7163" s="2" t="str">
        <f>IFERROR(__xludf.DUMMYFUNCTION("IF(G7163&lt;&gt;"""", GOOGLETRANSLATE(G7163, ""en"", ""te""),"""")"),"")</f>
        <v/>
      </c>
      <c r="I7163" s="3"/>
    </row>
    <row r="7164" customHeight="1" spans="1:9">
      <c r="A7164" s="2"/>
      <c r="B7164" s="2" t="str">
        <f>IFERROR(__xludf.DUMMYFUNCTION("IF(A7164&lt;&gt;"""", GOOGLETRANSLATE(A7164, ""en"", ""te""),"""")"),"")</f>
        <v/>
      </c>
      <c r="C7164" s="2"/>
      <c r="D7164" s="2" t="str">
        <f>IFERROR(__xludf.DUMMYFUNCTION("IF(C7164&lt;&gt;"""", GOOGLETRANSLATE(C7164, ""en"", ""te""),"""")"),"")</f>
        <v/>
      </c>
      <c r="E7164" s="2"/>
      <c r="F7164" s="2" t="str">
        <f>IFERROR(__xludf.DUMMYFUNCTION("IF(E7164&lt;&gt;"""", GOOGLETRANSLATE(E7164, ""en"", ""te""),"""")"),"")</f>
        <v/>
      </c>
      <c r="G7164" s="2"/>
      <c r="H7164" s="2" t="str">
        <f>IFERROR(__xludf.DUMMYFUNCTION("IF(G7164&lt;&gt;"""", GOOGLETRANSLATE(G7164, ""en"", ""te""),"""")"),"")</f>
        <v/>
      </c>
      <c r="I7164" s="3"/>
    </row>
    <row r="7165" customHeight="1" spans="1:9">
      <c r="A7165" s="2"/>
      <c r="B7165" s="2" t="str">
        <f>IFERROR(__xludf.DUMMYFUNCTION("IF(A7165&lt;&gt;"""", GOOGLETRANSLATE(A7165, ""en"", ""te""),"""")"),"")</f>
        <v/>
      </c>
      <c r="C7165" s="2"/>
      <c r="D7165" s="2" t="str">
        <f>IFERROR(__xludf.DUMMYFUNCTION("IF(C7165&lt;&gt;"""", GOOGLETRANSLATE(C7165, ""en"", ""te""),"""")"),"")</f>
        <v/>
      </c>
      <c r="E7165" s="2"/>
      <c r="F7165" s="2" t="str">
        <f>IFERROR(__xludf.DUMMYFUNCTION("IF(E7165&lt;&gt;"""", GOOGLETRANSLATE(E7165, ""en"", ""te""),"""")"),"")</f>
        <v/>
      </c>
      <c r="G7165" s="2"/>
      <c r="H7165" s="2" t="str">
        <f>IFERROR(__xludf.DUMMYFUNCTION("IF(G7165&lt;&gt;"""", GOOGLETRANSLATE(G7165, ""en"", ""te""),"""")"),"")</f>
        <v/>
      </c>
      <c r="I7165" s="3"/>
    </row>
    <row r="7166" customHeight="1" spans="1:9">
      <c r="A7166" s="2" t="s">
        <v>4219</v>
      </c>
      <c r="B7166" s="2" t="str">
        <f>IFERROR(__xludf.DUMMYFUNCTION("IF(A7166&lt;&gt;"""", GOOGLETRANSLATE(A7166, ""en"", ""te""),"""")"),"[ '2nd షార్టేస్ట్ క్రీడాకారులు (23y 147d) నివసించారు']")</f>
        <v>[ '2nd షార్టేస్ట్ క్రీడాకారులు (23y 147d) నివసించారు']</v>
      </c>
      <c r="C7166" s="2"/>
      <c r="D7166" s="2" t="str">
        <f>IFERROR(__xludf.DUMMYFUNCTION("IF(C7166&lt;&gt;"""", GOOGLETRANSLATE(C7166, ""en"", ""te""),"""")"),"")</f>
        <v/>
      </c>
      <c r="E7166" s="2" t="s">
        <v>4219</v>
      </c>
      <c r="F7166" s="2" t="str">
        <f>IFERROR(__xludf.DUMMYFUNCTION("IF(E7166&lt;&gt;"""", GOOGLETRANSLATE(E7166, ""en"", ""te""),"""")"),"[ '2nd షార్టేస్ట్ క్రీడాకారులు (23y 147d) నివసించారు']")</f>
        <v>[ '2nd షార్టేస్ట్ క్రీడాకారులు (23y 147d) నివసించారు']</v>
      </c>
      <c r="G7166" s="2"/>
      <c r="H7166" s="2" t="str">
        <f>IFERROR(__xludf.DUMMYFUNCTION("IF(G7166&lt;&gt;"""", GOOGLETRANSLATE(G7166, ""en"", ""te""),"""")"),"")</f>
        <v/>
      </c>
      <c r="I7166" s="3"/>
    </row>
    <row r="7167" customHeight="1" spans="1:9">
      <c r="A7167" s="2" t="s">
        <v>1219</v>
      </c>
      <c r="B7167" s="2" t="str">
        <f>IFERROR(__xludf.DUMMYFUNCTION("IF(A7167&lt;&gt;"""", GOOGLETRANSLATE(A7167, ""en"", ""te""),"""")"),"[ 'ఇన్నింగ్స్ లో 4 వ అత్యంత స్టంపింగ్లు (3)']")</f>
        <v>[ 'ఇన్నింగ్స్ లో 4 వ అత్యంత స్టంపింగ్లు (3)']</v>
      </c>
      <c r="C7167" s="2" t="s">
        <v>4220</v>
      </c>
      <c r="D7167" s="2" t="str">
        <f>IFERROR(__xludf.DUMMYFUNCTION("IF(C7167&lt;&gt;"""", GOOGLETRANSLATE(C7167, ""en"", ""te""),"""")"),"[ 'ఇన్నింగ్స్ లో 4 వ అత్యంత స్టంపింగ్లు (3)', 'ఒక మ్యాచ్లో 12 వ అత్యంత స్టంపింగ్లు (3)']")</f>
        <v>[ 'ఇన్నింగ్స్ లో 4 వ అత్యంత స్టంపింగ్లు (3)', 'ఒక మ్యాచ్లో 12 వ అత్యంత స్టంపింగ్లు (3)']</v>
      </c>
      <c r="E7167" s="2"/>
      <c r="F7167" s="2" t="str">
        <f>IFERROR(__xludf.DUMMYFUNCTION("IF(E7167&lt;&gt;"""", GOOGLETRANSLATE(E7167, ""en"", ""te""),"""")"),"")</f>
        <v/>
      </c>
      <c r="G7167" s="2"/>
      <c r="H7167" s="2" t="str">
        <f>IFERROR(__xludf.DUMMYFUNCTION("IF(G7167&lt;&gt;"""", GOOGLETRANSLATE(G7167, ""en"", ""te""),"""")"),"")</f>
        <v/>
      </c>
      <c r="I7167" s="3"/>
    </row>
    <row r="7168" customHeight="1" spans="1:9">
      <c r="A7168" s="2"/>
      <c r="B7168" s="2" t="str">
        <f>IFERROR(__xludf.DUMMYFUNCTION("IF(A7168&lt;&gt;"""", GOOGLETRANSLATE(A7168, ""en"", ""te""),"""")"),"")</f>
        <v/>
      </c>
      <c r="C7168" s="2"/>
      <c r="D7168" s="2" t="str">
        <f>IFERROR(__xludf.DUMMYFUNCTION("IF(C7168&lt;&gt;"""", GOOGLETRANSLATE(C7168, ""en"", ""te""),"""")"),"")</f>
        <v/>
      </c>
      <c r="E7168" s="2"/>
      <c r="F7168" s="2" t="str">
        <f>IFERROR(__xludf.DUMMYFUNCTION("IF(E7168&lt;&gt;"""", GOOGLETRANSLATE(E7168, ""en"", ""te""),"""")"),"")</f>
        <v/>
      </c>
      <c r="G7168" s="2"/>
      <c r="H7168" s="2" t="str">
        <f>IFERROR(__xludf.DUMMYFUNCTION("IF(G7168&lt;&gt;"""", GOOGLETRANSLATE(G7168, ""en"", ""te""),"""")"),"")</f>
        <v/>
      </c>
      <c r="I7168" s="3"/>
    </row>
    <row r="7169" customHeight="1" spans="1:9">
      <c r="A7169" s="2"/>
      <c r="B7169" s="2" t="str">
        <f>IFERROR(__xludf.DUMMYFUNCTION("IF(A7169&lt;&gt;"""", GOOGLETRANSLATE(A7169, ""en"", ""te""),"""")"),"")</f>
        <v/>
      </c>
      <c r="C7169" s="2"/>
      <c r="D7169" s="2" t="str">
        <f>IFERROR(__xludf.DUMMYFUNCTION("IF(C7169&lt;&gt;"""", GOOGLETRANSLATE(C7169, ""en"", ""te""),"""")"),"")</f>
        <v/>
      </c>
      <c r="E7169" s="2"/>
      <c r="F7169" s="2" t="str">
        <f>IFERROR(__xludf.DUMMYFUNCTION("IF(E7169&lt;&gt;"""", GOOGLETRANSLATE(E7169, ""en"", ""te""),"""")"),"")</f>
        <v/>
      </c>
      <c r="G7169" s="2"/>
      <c r="H7169" s="2" t="str">
        <f>IFERROR(__xludf.DUMMYFUNCTION("IF(G7169&lt;&gt;"""", GOOGLETRANSLATE(G7169, ""en"", ""te""),"""")"),"")</f>
        <v/>
      </c>
      <c r="I7169" s="3"/>
    </row>
    <row r="7170" customHeight="1" spans="1:9">
      <c r="A7170" s="2" t="s">
        <v>4221</v>
      </c>
      <c r="B7170" s="2" t="str">
        <f>IFERROR(__xludf.DUMMYFUNCTION("IF(A7170&lt;&gt;"""", GOOGLETRANSLATE(A7170, ""en"", ""te""),"""")"),"[ '2 వ వరుస ఐదు వికెట్ల లో-ఒక-ఇన్నింగ్స్ (2)']")</f>
        <v>[ '2 వ వరుస ఐదు వికెట్ల లో-ఒక-ఇన్నింగ్స్ (2)']</v>
      </c>
      <c r="C7170" s="2" t="s">
        <v>4222</v>
      </c>
      <c r="D7170" s="2" t="str">
        <f>IFERROR(__xludf.DUMMYFUNCTION("IF(C7170&lt;&gt;"""", GOOGLETRANSLATE(C7170, ""en"", ""te""),"""")"),"[ '14 వ చెత్త కెరీర్లో ఆర్థిక రేటు (3.71)']")</f>
        <v>[ '14 వ చెత్త కెరీర్లో ఆర్థిక రేటు (3.71)']</v>
      </c>
      <c r="E7170" s="2" t="s">
        <v>4223</v>
      </c>
      <c r="F7170" s="2" t="str">
        <f>IFERROR(__xludf.DUMMYFUNCTION("IF(E7170&lt;&gt;"""", GOOGLETRANSLATE(E7170, ""en"", ""te""),"""")"),"[ '14 వ ఒక ఇన్నింగ్స్ లోని బెస్ట్ ఫిగర్స్ ఉన్నప్పుడు పరాజయం వైపు (5)', '15 వ ఉత్తమ తొలి ఇన్నింగ్స్లో గణాంకాలు (4)', '43 వ అత్యంత ఐదు-వికెట్ల లో-ఒక-ఇన్నింగ్స్ కెరీర్లో (2) ',' 2 వ వరుస ఐదు వికెట్ల లో-ఒక-ఇన్నింగ్స్ (2) ',' 13 వ వరుస నాలుగు వికెట్లు-ఇన్-ఒక-"&amp;"ఇన్నింగ్స్ (2) ',' 15 వ ఇన్నింగ్స్ లో సాధించిన అత్యధిక పరుగులు (97) ' ]")</f>
        <v>[ '14 వ ఒక ఇన్నింగ్స్ లోని బెస్ట్ ఫిగర్స్ ఉన్నప్పుడు పరాజయం వైపు (5)', '15 వ ఉత్తమ తొలి ఇన్నింగ్స్లో గణాంకాలు (4)', '43 వ అత్యంత ఐదు-వికెట్ల లో-ఒక-ఇన్నింగ్స్ కెరీర్లో (2) ',' 2 వ వరుస ఐదు వికెట్ల లో-ఒక-ఇన్నింగ్స్ (2) ',' 13 వ వరుస నాలుగు వికెట్లు-ఇన్-ఒక-ఇన్నింగ్స్ (2) ',' 15 వ ఇన్నింగ్స్ లో సాధించిన అత్యధిక పరుగులు (97) ' ]</v>
      </c>
      <c r="G7170" s="2"/>
      <c r="H7170" s="2" t="str">
        <f>IFERROR(__xludf.DUMMYFUNCTION("IF(G7170&lt;&gt;"""", GOOGLETRANSLATE(G7170, ""en"", ""te""),"""")"),"")</f>
        <v/>
      </c>
      <c r="I7170" s="3"/>
    </row>
    <row r="7171" customHeight="1" spans="1:9">
      <c r="A7171" s="2"/>
      <c r="B7171" s="2" t="str">
        <f>IFERROR(__xludf.DUMMYFUNCTION("IF(A7171&lt;&gt;"""", GOOGLETRANSLATE(A7171, ""en"", ""te""),"""")"),"")</f>
        <v/>
      </c>
      <c r="C7171" s="2"/>
      <c r="D7171" s="2" t="str">
        <f>IFERROR(__xludf.DUMMYFUNCTION("IF(C7171&lt;&gt;"""", GOOGLETRANSLATE(C7171, ""en"", ""te""),"""")"),"")</f>
        <v/>
      </c>
      <c r="E7171" s="2"/>
      <c r="F7171" s="2" t="str">
        <f>IFERROR(__xludf.DUMMYFUNCTION("IF(E7171&lt;&gt;"""", GOOGLETRANSLATE(E7171, ""en"", ""te""),"""")"),"")</f>
        <v/>
      </c>
      <c r="G7171" s="2"/>
      <c r="H7171" s="2" t="str">
        <f>IFERROR(__xludf.DUMMYFUNCTION("IF(G7171&lt;&gt;"""", GOOGLETRANSLATE(G7171, ""en"", ""te""),"""")"),"")</f>
        <v/>
      </c>
      <c r="I7171" s="3"/>
    </row>
    <row r="7172" customHeight="1" spans="1:9">
      <c r="A7172" s="2"/>
      <c r="B7172" s="2" t="str">
        <f>IFERROR(__xludf.DUMMYFUNCTION("IF(A7172&lt;&gt;"""", GOOGLETRANSLATE(A7172, ""en"", ""te""),"""")"),"")</f>
        <v/>
      </c>
      <c r="C7172" s="2"/>
      <c r="D7172" s="2" t="str">
        <f>IFERROR(__xludf.DUMMYFUNCTION("IF(C7172&lt;&gt;"""", GOOGLETRANSLATE(C7172, ""en"", ""te""),"""")"),"")</f>
        <v/>
      </c>
      <c r="E7172" s="2"/>
      <c r="F7172" s="2" t="str">
        <f>IFERROR(__xludf.DUMMYFUNCTION("IF(E7172&lt;&gt;"""", GOOGLETRANSLATE(E7172, ""en"", ""te""),"""")"),"")</f>
        <v/>
      </c>
      <c r="G7172" s="2"/>
      <c r="H7172" s="2" t="str">
        <f>IFERROR(__xludf.DUMMYFUNCTION("IF(G7172&lt;&gt;"""", GOOGLETRANSLATE(G7172, ""en"", ""te""),"""")"),"")</f>
        <v/>
      </c>
      <c r="I7172" s="3"/>
    </row>
    <row r="7173" customHeight="1" spans="1:9">
      <c r="A7173" s="2"/>
      <c r="B7173" s="2" t="str">
        <f>IFERROR(__xludf.DUMMYFUNCTION("IF(A7173&lt;&gt;"""", GOOGLETRANSLATE(A7173, ""en"", ""te""),"""")"),"")</f>
        <v/>
      </c>
      <c r="C7173" s="2"/>
      <c r="D7173" s="2" t="str">
        <f>IFERROR(__xludf.DUMMYFUNCTION("IF(C7173&lt;&gt;"""", GOOGLETRANSLATE(C7173, ""en"", ""te""),"""")"),"")</f>
        <v/>
      </c>
      <c r="E7173" s="2"/>
      <c r="F7173" s="2" t="str">
        <f>IFERROR(__xludf.DUMMYFUNCTION("IF(E7173&lt;&gt;"""", GOOGLETRANSLATE(E7173, ""en"", ""te""),"""")"),"")</f>
        <v/>
      </c>
      <c r="G7173" s="2"/>
      <c r="H7173" s="2" t="str">
        <f>IFERROR(__xludf.DUMMYFUNCTION("IF(G7173&lt;&gt;"""", GOOGLETRANSLATE(G7173, ""en"", ""te""),"""")"),"")</f>
        <v/>
      </c>
      <c r="I7173" s="3"/>
    </row>
    <row r="7174" customHeight="1" spans="1:9">
      <c r="A7174" s="2"/>
      <c r="B7174" s="2" t="str">
        <f>IFERROR(__xludf.DUMMYFUNCTION("IF(A7174&lt;&gt;"""", GOOGLETRANSLATE(A7174, ""en"", ""te""),"""")"),"")</f>
        <v/>
      </c>
      <c r="C7174" s="2"/>
      <c r="D7174" s="2" t="str">
        <f>IFERROR(__xludf.DUMMYFUNCTION("IF(C7174&lt;&gt;"""", GOOGLETRANSLATE(C7174, ""en"", ""te""),"""")"),"")</f>
        <v/>
      </c>
      <c r="E7174" s="2"/>
      <c r="F7174" s="2" t="str">
        <f>IFERROR(__xludf.DUMMYFUNCTION("IF(E7174&lt;&gt;"""", GOOGLETRANSLATE(E7174, ""en"", ""te""),"""")"),"")</f>
        <v/>
      </c>
      <c r="G7174" s="2"/>
      <c r="H7174" s="2" t="str">
        <f>IFERROR(__xludf.DUMMYFUNCTION("IF(G7174&lt;&gt;"""", GOOGLETRANSLATE(G7174, ""en"", ""te""),"""")"),"")</f>
        <v/>
      </c>
      <c r="I7174" s="3"/>
    </row>
    <row r="7175" customHeight="1" spans="1:9">
      <c r="A7175" s="2"/>
      <c r="B7175" s="2" t="str">
        <f>IFERROR(__xludf.DUMMYFUNCTION("IF(A7175&lt;&gt;"""", GOOGLETRANSLATE(A7175, ""en"", ""te""),"""")"),"")</f>
        <v/>
      </c>
      <c r="C7175" s="2"/>
      <c r="D7175" s="2" t="str">
        <f>IFERROR(__xludf.DUMMYFUNCTION("IF(C7175&lt;&gt;"""", GOOGLETRANSLATE(C7175, ""en"", ""te""),"""")"),"")</f>
        <v/>
      </c>
      <c r="E7175" s="2"/>
      <c r="F7175" s="2" t="str">
        <f>IFERROR(__xludf.DUMMYFUNCTION("IF(E7175&lt;&gt;"""", GOOGLETRANSLATE(E7175, ""en"", ""te""),"""")"),"")</f>
        <v/>
      </c>
      <c r="G7175" s="2"/>
      <c r="H7175" s="2" t="str">
        <f>IFERROR(__xludf.DUMMYFUNCTION("IF(G7175&lt;&gt;"""", GOOGLETRANSLATE(G7175, ""en"", ""te""),"""")"),"")</f>
        <v/>
      </c>
      <c r="I7175" s="3"/>
    </row>
    <row r="7176" customHeight="1" spans="1:9">
      <c r="A7176" s="2" t="s">
        <v>4224</v>
      </c>
      <c r="B7176" s="2" t="str">
        <f>IFERROR(__xludf.DUMMYFUNCTION("IF(A7176&lt;&gt;"""", GOOGLETRANSLATE(A7176, ""en"", ""te""),"""")"),"[ '1st చెత్త కెరీర్లో సమ్మె రేటు (291.0)']")</f>
        <v>[ '1st చెత్త కెరీర్లో సమ్మె రేటు (291.0)']</v>
      </c>
      <c r="C7176" s="2" t="s">
        <v>4225</v>
      </c>
      <c r="D7176" s="2" t="str">
        <f>IFERROR(__xludf.DUMMYFUNCTION("IF(C7176&lt;&gt;"""", GOOGLETRANSLATE(C7176, ""en"", ""te""),"""")"),"[ '1st చెత్త కెరీర్ బౌలింగ్ సరాసరి (129,00)', '1st చెత్త కెరీర్లో సమ్మె రేటు (291.0)', '21 వ అంపైర్ గా అత్యధిక మ్యాచ్లు (49) ']")</f>
        <v>[ '1st చెత్త కెరీర్ బౌలింగ్ సరాసరి (129,00)', '1st చెత్త కెరీర్లో సమ్మె రేటు (291.0)', '21 వ అంపైర్ గా అత్యధిక మ్యాచ్లు (49) ']</v>
      </c>
      <c r="E7176" s="2" t="s">
        <v>4226</v>
      </c>
      <c r="F7176" s="2" t="str">
        <f>IFERROR(__xludf.DUMMYFUNCTION("IF(E7176&lt;&gt;"""", GOOGLETRANSLATE(E7176, ""en"", ""te""),"""")"),"[ 'అంపాయర్ (122) వంటి 13 వ అత్యధిక మ్యాచ్లు' '10 వ చెత్త కెరీర్ బౌలింగ్ సరాసరి (56.88)', '4 వ చెత్త కెరీర్లో సమ్మె రేటు (80.8)',]")</f>
        <v>[ 'అంపాయర్ (122) వంటి 13 వ అత్యధిక మ్యాచ్లు' '10 వ చెత్త కెరీర్ బౌలింగ్ సరాసరి (56.88)', '4 వ చెత్త కెరీర్లో సమ్మె రేటు (80.8)',]</v>
      </c>
      <c r="G7176" s="2"/>
      <c r="H7176" s="2" t="str">
        <f>IFERROR(__xludf.DUMMYFUNCTION("IF(G7176&lt;&gt;"""", GOOGLETRANSLATE(G7176, ""en"", ""te""),"""")"),"")</f>
        <v/>
      </c>
      <c r="I7176" s="3"/>
    </row>
    <row r="7177" customHeight="1" spans="1:9">
      <c r="A7177" s="2"/>
      <c r="B7177" s="2" t="str">
        <f>IFERROR(__xludf.DUMMYFUNCTION("IF(A7177&lt;&gt;"""", GOOGLETRANSLATE(A7177, ""en"", ""te""),"""")"),"")</f>
        <v/>
      </c>
      <c r="C7177" s="2"/>
      <c r="D7177" s="2" t="str">
        <f>IFERROR(__xludf.DUMMYFUNCTION("IF(C7177&lt;&gt;"""", GOOGLETRANSLATE(C7177, ""en"", ""te""),"""")"),"")</f>
        <v/>
      </c>
      <c r="E7177" s="2"/>
      <c r="F7177" s="2" t="str">
        <f>IFERROR(__xludf.DUMMYFUNCTION("IF(E7177&lt;&gt;"""", GOOGLETRANSLATE(E7177, ""en"", ""te""),"""")"),"")</f>
        <v/>
      </c>
      <c r="G7177" s="2"/>
      <c r="H7177" s="2" t="str">
        <f>IFERROR(__xludf.DUMMYFUNCTION("IF(G7177&lt;&gt;"""", GOOGLETRANSLATE(G7177, ""en"", ""te""),"""")"),"")</f>
        <v/>
      </c>
      <c r="I7177" s="3"/>
    </row>
    <row r="7178" customHeight="1" spans="1:9">
      <c r="A7178" s="2" t="s">
        <v>323</v>
      </c>
      <c r="B7178" s="2" t="str">
        <f>IFERROR(__xludf.DUMMYFUNCTION("IF(A7178&lt;&gt;"""", GOOGLETRANSLATE(A7178, ""en"", ""te""),"""")"),"[ '4 వ అత్యధిక వరుస బాతులు (4)']")</f>
        <v>[ '4 వ అత్యధిక వరుస బాతులు (4)']</v>
      </c>
      <c r="C7178" s="2" t="s">
        <v>323</v>
      </c>
      <c r="D7178" s="2" t="str">
        <f>IFERROR(__xludf.DUMMYFUNCTION("IF(C7178&lt;&gt;"""", GOOGLETRANSLATE(C7178, ""en"", ""te""),"""")"),"[ '4 వ అత్యధిక వరుస బాతులు (4)']")</f>
        <v>[ '4 వ అత్యధిక వరుస బాతులు (4)']</v>
      </c>
      <c r="E7178" s="2" t="s">
        <v>2236</v>
      </c>
      <c r="F7178" s="2" t="str">
        <f>IFERROR(__xludf.DUMMYFUNCTION("IF(E7178&lt;&gt;"""", GOOGLETRANSLATE(E7178, ""en"", ""te""),"""")"),"[ '16 వ ఇన్నింగ్స్ లో అత్యధిక వికెట్లు (5)', '11 వ అత్యంత ఇన్నింగ్స్ లో క్యాచ్లు (5)']")</f>
        <v>[ '16 వ ఇన్నింగ్స్ లో అత్యధిక వికెట్లు (5)', '11 వ అత్యంత ఇన్నింగ్స్ లో క్యాచ్లు (5)']</v>
      </c>
      <c r="G7178" s="2"/>
      <c r="H7178" s="2" t="str">
        <f>IFERROR(__xludf.DUMMYFUNCTION("IF(G7178&lt;&gt;"""", GOOGLETRANSLATE(G7178, ""en"", ""te""),"""")"),"")</f>
        <v/>
      </c>
      <c r="I7178" s="3"/>
    </row>
    <row r="7179" customHeight="1" spans="1:9">
      <c r="A7179" s="2"/>
      <c r="B7179" s="2" t="str">
        <f>IFERROR(__xludf.DUMMYFUNCTION("IF(A7179&lt;&gt;"""", GOOGLETRANSLATE(A7179, ""en"", ""te""),"""")"),"")</f>
        <v/>
      </c>
      <c r="C7179" s="2"/>
      <c r="D7179" s="2" t="str">
        <f>IFERROR(__xludf.DUMMYFUNCTION("IF(C7179&lt;&gt;"""", GOOGLETRANSLATE(C7179, ""en"", ""te""),"""")"),"")</f>
        <v/>
      </c>
      <c r="E7179" s="2"/>
      <c r="F7179" s="2" t="str">
        <f>IFERROR(__xludf.DUMMYFUNCTION("IF(E7179&lt;&gt;"""", GOOGLETRANSLATE(E7179, ""en"", ""te""),"""")"),"")</f>
        <v/>
      </c>
      <c r="G7179" s="2"/>
      <c r="H7179" s="2" t="str">
        <f>IFERROR(__xludf.DUMMYFUNCTION("IF(G7179&lt;&gt;"""", GOOGLETRANSLATE(G7179, ""en"", ""te""),"""")"),"")</f>
        <v/>
      </c>
      <c r="I7179" s="3"/>
    </row>
    <row r="7180" customHeight="1" spans="1:9">
      <c r="A7180" s="2"/>
      <c r="B7180" s="2" t="str">
        <f>IFERROR(__xludf.DUMMYFUNCTION("IF(A7180&lt;&gt;"""", GOOGLETRANSLATE(A7180, ""en"", ""te""),"""")"),"")</f>
        <v/>
      </c>
      <c r="C7180" s="2"/>
      <c r="D7180" s="2" t="str">
        <f>IFERROR(__xludf.DUMMYFUNCTION("IF(C7180&lt;&gt;"""", GOOGLETRANSLATE(C7180, ""en"", ""te""),"""")"),"")</f>
        <v/>
      </c>
      <c r="E7180" s="2"/>
      <c r="F7180" s="2" t="str">
        <f>IFERROR(__xludf.DUMMYFUNCTION("IF(E7180&lt;&gt;"""", GOOGLETRANSLATE(E7180, ""en"", ""te""),"""")"),"")</f>
        <v/>
      </c>
      <c r="G7180" s="2"/>
      <c r="H7180" s="2" t="str">
        <f>IFERROR(__xludf.DUMMYFUNCTION("IF(G7180&lt;&gt;"""", GOOGLETRANSLATE(G7180, ""en"", ""te""),"""")"),"")</f>
        <v/>
      </c>
      <c r="I7180" s="3"/>
    </row>
    <row r="7181" customHeight="1" spans="1:9">
      <c r="A7181" s="2"/>
      <c r="B7181" s="2" t="str">
        <f>IFERROR(__xludf.DUMMYFUNCTION("IF(A7181&lt;&gt;"""", GOOGLETRANSLATE(A7181, ""en"", ""te""),"""")"),"")</f>
        <v/>
      </c>
      <c r="C7181" s="2" t="s">
        <v>4227</v>
      </c>
      <c r="D7181" s="2" t="str">
        <f>IFERROR(__xludf.DUMMYFUNCTION("IF(C7181&lt;&gt;"""", GOOGLETRANSLATE(C7181, ""en"", ""te""),"""")"),"[ 'తొలి 23 తొంభై (91)']")</f>
        <v>[ 'తొలి 23 తొంభై (91)']</v>
      </c>
      <c r="E7181" s="2"/>
      <c r="F7181" s="2" t="str">
        <f>IFERROR(__xludf.DUMMYFUNCTION("IF(E7181&lt;&gt;"""", GOOGLETRANSLATE(E7181, ""en"", ""te""),"""")"),"")</f>
        <v/>
      </c>
      <c r="G7181" s="2"/>
      <c r="H7181" s="2" t="str">
        <f>IFERROR(__xludf.DUMMYFUNCTION("IF(G7181&lt;&gt;"""", GOOGLETRANSLATE(G7181, ""en"", ""te""),"""")"),"")</f>
        <v/>
      </c>
      <c r="I7181" s="3"/>
    </row>
    <row r="7182" customHeight="1" spans="1:9">
      <c r="A7182" s="2"/>
      <c r="B7182" s="2" t="str">
        <f>IFERROR(__xludf.DUMMYFUNCTION("IF(A7182&lt;&gt;"""", GOOGLETRANSLATE(A7182, ""en"", ""te""),"""")"),"")</f>
        <v/>
      </c>
      <c r="C7182" s="2"/>
      <c r="D7182" s="2" t="str">
        <f>IFERROR(__xludf.DUMMYFUNCTION("IF(C7182&lt;&gt;"""", GOOGLETRANSLATE(C7182, ""en"", ""te""),"""")"),"")</f>
        <v/>
      </c>
      <c r="E7182" s="2"/>
      <c r="F7182" s="2" t="str">
        <f>IFERROR(__xludf.DUMMYFUNCTION("IF(E7182&lt;&gt;"""", GOOGLETRANSLATE(E7182, ""en"", ""te""),"""")"),"")</f>
        <v/>
      </c>
      <c r="G7182" s="2"/>
      <c r="H7182" s="2" t="str">
        <f>IFERROR(__xludf.DUMMYFUNCTION("IF(G7182&lt;&gt;"""", GOOGLETRANSLATE(G7182, ""en"", ""te""),"""")"),"")</f>
        <v/>
      </c>
      <c r="I7182" s="3"/>
    </row>
    <row r="7183" customHeight="1" spans="1:9">
      <c r="A7183" s="2"/>
      <c r="B7183" s="2" t="str">
        <f>IFERROR(__xludf.DUMMYFUNCTION("IF(A7183&lt;&gt;"""", GOOGLETRANSLATE(A7183, ""en"", ""te""),"""")"),"")</f>
        <v/>
      </c>
      <c r="C7183" s="2"/>
      <c r="D7183" s="2" t="str">
        <f>IFERROR(__xludf.DUMMYFUNCTION("IF(C7183&lt;&gt;"""", GOOGLETRANSLATE(C7183, ""en"", ""te""),"""")"),"")</f>
        <v/>
      </c>
      <c r="E7183" s="2"/>
      <c r="F7183" s="2" t="str">
        <f>IFERROR(__xludf.DUMMYFUNCTION("IF(E7183&lt;&gt;"""", GOOGLETRANSLATE(E7183, ""en"", ""te""),"""")"),"")</f>
        <v/>
      </c>
      <c r="G7183" s="2"/>
      <c r="H7183" s="2" t="str">
        <f>IFERROR(__xludf.DUMMYFUNCTION("IF(G7183&lt;&gt;"""", GOOGLETRANSLATE(G7183, ""en"", ""te""),"""")"),"")</f>
        <v/>
      </c>
      <c r="I7183" s="3"/>
    </row>
    <row r="7184" customHeight="1" spans="1:9">
      <c r="A7184" s="2"/>
      <c r="B7184" s="2" t="str">
        <f>IFERROR(__xludf.DUMMYFUNCTION("IF(A7184&lt;&gt;"""", GOOGLETRANSLATE(A7184, ""en"", ""te""),"""")"),"")</f>
        <v/>
      </c>
      <c r="C7184" s="2"/>
      <c r="D7184" s="2" t="str">
        <f>IFERROR(__xludf.DUMMYFUNCTION("IF(C7184&lt;&gt;"""", GOOGLETRANSLATE(C7184, ""en"", ""te""),"""")"),"")</f>
        <v/>
      </c>
      <c r="E7184" s="2"/>
      <c r="F7184" s="2" t="str">
        <f>IFERROR(__xludf.DUMMYFUNCTION("IF(E7184&lt;&gt;"""", GOOGLETRANSLATE(E7184, ""en"", ""te""),"""")"),"")</f>
        <v/>
      </c>
      <c r="G7184" s="2"/>
      <c r="H7184" s="2" t="str">
        <f>IFERROR(__xludf.DUMMYFUNCTION("IF(G7184&lt;&gt;"""", GOOGLETRANSLATE(G7184, ""en"", ""te""),"""")"),"")</f>
        <v/>
      </c>
      <c r="I7184" s="3"/>
    </row>
    <row r="7185" customHeight="1" spans="1:9">
      <c r="A7185" s="2"/>
      <c r="B7185" s="2" t="str">
        <f>IFERROR(__xludf.DUMMYFUNCTION("IF(A7185&lt;&gt;"""", GOOGLETRANSLATE(A7185, ""en"", ""te""),"""")"),"")</f>
        <v/>
      </c>
      <c r="C7185" s="2"/>
      <c r="D7185" s="2" t="str">
        <f>IFERROR(__xludf.DUMMYFUNCTION("IF(C7185&lt;&gt;"""", GOOGLETRANSLATE(C7185, ""en"", ""te""),"""")"),"")</f>
        <v/>
      </c>
      <c r="E7185" s="2"/>
      <c r="F7185" s="2" t="str">
        <f>IFERROR(__xludf.DUMMYFUNCTION("IF(E7185&lt;&gt;"""", GOOGLETRANSLATE(E7185, ""en"", ""te""),"""")"),"")</f>
        <v/>
      </c>
      <c r="G7185" s="2"/>
      <c r="H7185" s="2" t="str">
        <f>IFERROR(__xludf.DUMMYFUNCTION("IF(G7185&lt;&gt;"""", GOOGLETRANSLATE(G7185, ""en"", ""te""),"""")"),"")</f>
        <v/>
      </c>
      <c r="I7185" s="3"/>
    </row>
    <row r="7186" customHeight="1" spans="1:9">
      <c r="A7186" s="2"/>
      <c r="B7186" s="2" t="str">
        <f>IFERROR(__xludf.DUMMYFUNCTION("IF(A7186&lt;&gt;"""", GOOGLETRANSLATE(A7186, ""en"", ""te""),"""")"),"")</f>
        <v/>
      </c>
      <c r="C7186" s="2"/>
      <c r="D7186" s="2" t="str">
        <f>IFERROR(__xludf.DUMMYFUNCTION("IF(C7186&lt;&gt;"""", GOOGLETRANSLATE(C7186, ""en"", ""te""),"""")"),"")</f>
        <v/>
      </c>
      <c r="E7186" s="2"/>
      <c r="F7186" s="2" t="str">
        <f>IFERROR(__xludf.DUMMYFUNCTION("IF(E7186&lt;&gt;"""", GOOGLETRANSLATE(E7186, ""en"", ""te""),"""")"),"")</f>
        <v/>
      </c>
      <c r="G7186" s="2"/>
      <c r="H7186" s="2" t="str">
        <f>IFERROR(__xludf.DUMMYFUNCTION("IF(G7186&lt;&gt;"""", GOOGLETRANSLATE(G7186, ""en"", ""te""),"""")"),"")</f>
        <v/>
      </c>
      <c r="I7186" s="3"/>
    </row>
    <row r="7187" customHeight="1" spans="1:9">
      <c r="A7187" s="2"/>
      <c r="B7187" s="2" t="str">
        <f>IFERROR(__xludf.DUMMYFUNCTION("IF(A7187&lt;&gt;"""", GOOGLETRANSLATE(A7187, ""en"", ""te""),"""")"),"")</f>
        <v/>
      </c>
      <c r="C7187" s="2"/>
      <c r="D7187" s="2" t="str">
        <f>IFERROR(__xludf.DUMMYFUNCTION("IF(C7187&lt;&gt;"""", GOOGLETRANSLATE(C7187, ""en"", ""te""),"""")"),"")</f>
        <v/>
      </c>
      <c r="E7187" s="2" t="s">
        <v>4228</v>
      </c>
      <c r="F7187" s="2" t="str">
        <f>IFERROR(__xludf.DUMMYFUNCTION("IF(E7187&lt;&gt;"""", GOOGLETRANSLATE(E7187, ""en"", ""te""),"""")"),"[ 'మొదటి డక్ ముందు 16 వ ఇన్నింగ్స్ (44)', 'ఫాస్టెస్ట్ 1000 పరుగులు 27 (27)']")</f>
        <v>[ 'మొదటి డక్ ముందు 16 వ ఇన్నింగ్స్ (44)', 'ఫాస్టెస్ట్ 1000 పరుగులు 27 (27)']</v>
      </c>
      <c r="G7187" s="2"/>
      <c r="H7187" s="2" t="str">
        <f>IFERROR(__xludf.DUMMYFUNCTION("IF(G7187&lt;&gt;"""", GOOGLETRANSLATE(G7187, ""en"", ""te""),"""")"),"")</f>
        <v/>
      </c>
      <c r="I7187" s="3"/>
    </row>
    <row r="7188" customHeight="1" spans="1:9">
      <c r="A7188" s="2"/>
      <c r="B7188" s="2" t="str">
        <f>IFERROR(__xludf.DUMMYFUNCTION("IF(A7188&lt;&gt;"""", GOOGLETRANSLATE(A7188, ""en"", ""te""),"""")"),"")</f>
        <v/>
      </c>
      <c r="C7188" s="2"/>
      <c r="D7188" s="2" t="str">
        <f>IFERROR(__xludf.DUMMYFUNCTION("IF(C7188&lt;&gt;"""", GOOGLETRANSLATE(C7188, ""en"", ""te""),"""")"),"")</f>
        <v/>
      </c>
      <c r="E7188" s="2"/>
      <c r="F7188" s="2" t="str">
        <f>IFERROR(__xludf.DUMMYFUNCTION("IF(E7188&lt;&gt;"""", GOOGLETRANSLATE(E7188, ""en"", ""te""),"""")"),"")</f>
        <v/>
      </c>
      <c r="G7188" s="2"/>
      <c r="H7188" s="2" t="str">
        <f>IFERROR(__xludf.DUMMYFUNCTION("IF(G7188&lt;&gt;"""", GOOGLETRANSLATE(G7188, ""en"", ""te""),"""")"),"")</f>
        <v/>
      </c>
      <c r="I7188" s="3"/>
    </row>
    <row r="7189" customHeight="1" spans="1:9">
      <c r="A7189" s="2"/>
      <c r="B7189" s="2" t="str">
        <f>IFERROR(__xludf.DUMMYFUNCTION("IF(A7189&lt;&gt;"""", GOOGLETRANSLATE(A7189, ""en"", ""te""),"""")"),"")</f>
        <v/>
      </c>
      <c r="C7189" s="2"/>
      <c r="D7189" s="2" t="str">
        <f>IFERROR(__xludf.DUMMYFUNCTION("IF(C7189&lt;&gt;"""", GOOGLETRANSLATE(C7189, ""en"", ""te""),"""")"),"")</f>
        <v/>
      </c>
      <c r="E7189" s="2"/>
      <c r="F7189" s="2" t="str">
        <f>IFERROR(__xludf.DUMMYFUNCTION("IF(E7189&lt;&gt;"""", GOOGLETRANSLATE(E7189, ""en"", ""te""),"""")"),"")</f>
        <v/>
      </c>
      <c r="G7189" s="2"/>
      <c r="H7189" s="2" t="str">
        <f>IFERROR(__xludf.DUMMYFUNCTION("IF(G7189&lt;&gt;"""", GOOGLETRANSLATE(G7189, ""en"", ""te""),"""")"),"")</f>
        <v/>
      </c>
      <c r="I7189" s="3"/>
    </row>
    <row r="7190" customHeight="1" spans="1:9">
      <c r="A7190" s="2"/>
      <c r="B7190" s="2" t="str">
        <f>IFERROR(__xludf.DUMMYFUNCTION("IF(A7190&lt;&gt;"""", GOOGLETRANSLATE(A7190, ""en"", ""te""),"""")"),"")</f>
        <v/>
      </c>
      <c r="C7190" s="2"/>
      <c r="D7190" s="2" t="str">
        <f>IFERROR(__xludf.DUMMYFUNCTION("IF(C7190&lt;&gt;"""", GOOGLETRANSLATE(C7190, ""en"", ""te""),"""")"),"")</f>
        <v/>
      </c>
      <c r="E7190" s="2"/>
      <c r="F7190" s="2" t="str">
        <f>IFERROR(__xludf.DUMMYFUNCTION("IF(E7190&lt;&gt;"""", GOOGLETRANSLATE(E7190, ""en"", ""te""),"""")"),"")</f>
        <v/>
      </c>
      <c r="G7190" s="2"/>
      <c r="H7190" s="2" t="str">
        <f>IFERROR(__xludf.DUMMYFUNCTION("IF(G7190&lt;&gt;"""", GOOGLETRANSLATE(G7190, ""en"", ""te""),"""")"),"")</f>
        <v/>
      </c>
      <c r="I7190" s="3"/>
    </row>
    <row r="7191" customHeight="1" spans="1:9">
      <c r="A7191" s="2"/>
      <c r="B7191" s="2" t="str">
        <f>IFERROR(__xludf.DUMMYFUNCTION("IF(A7191&lt;&gt;"""", GOOGLETRANSLATE(A7191, ""en"", ""te""),"""")"),"")</f>
        <v/>
      </c>
      <c r="C7191" s="2"/>
      <c r="D7191" s="2" t="str">
        <f>IFERROR(__xludf.DUMMYFUNCTION("IF(C7191&lt;&gt;"""", GOOGLETRANSLATE(C7191, ""en"", ""te""),"""")"),"")</f>
        <v/>
      </c>
      <c r="E7191" s="2"/>
      <c r="F7191" s="2" t="str">
        <f>IFERROR(__xludf.DUMMYFUNCTION("IF(E7191&lt;&gt;"""", GOOGLETRANSLATE(E7191, ""en"", ""te""),"""")"),"")</f>
        <v/>
      </c>
      <c r="G7191" s="2"/>
      <c r="H7191" s="2" t="str">
        <f>IFERROR(__xludf.DUMMYFUNCTION("IF(G7191&lt;&gt;"""", GOOGLETRANSLATE(G7191, ""en"", ""te""),"""")"),"")</f>
        <v/>
      </c>
      <c r="I7191" s="3"/>
    </row>
    <row r="7192" customHeight="1" spans="1:9">
      <c r="A7192" s="2"/>
      <c r="B7192" s="2" t="str">
        <f>IFERROR(__xludf.DUMMYFUNCTION("IF(A7192&lt;&gt;"""", GOOGLETRANSLATE(A7192, ""en"", ""te""),"""")"),"")</f>
        <v/>
      </c>
      <c r="C7192" s="2"/>
      <c r="D7192" s="2" t="str">
        <f>IFERROR(__xludf.DUMMYFUNCTION("IF(C7192&lt;&gt;"""", GOOGLETRANSLATE(C7192, ""en"", ""te""),"""")"),"")</f>
        <v/>
      </c>
      <c r="E7192" s="2"/>
      <c r="F7192" s="2" t="str">
        <f>IFERROR(__xludf.DUMMYFUNCTION("IF(E7192&lt;&gt;"""", GOOGLETRANSLATE(E7192, ""en"", ""te""),"""")"),"")</f>
        <v/>
      </c>
      <c r="G7192" s="2"/>
      <c r="H7192" s="2" t="str">
        <f>IFERROR(__xludf.DUMMYFUNCTION("IF(G7192&lt;&gt;"""", GOOGLETRANSLATE(G7192, ""en"", ""te""),"""")"),"")</f>
        <v/>
      </c>
      <c r="I7192" s="3"/>
    </row>
    <row r="7193" customHeight="1" spans="1:9">
      <c r="A7193" s="2" t="s">
        <v>4229</v>
      </c>
      <c r="B7193" s="2" t="str">
        <f>IFERROR(__xludf.DUMMYFUNCTION("IF(A7193&lt;&gt;"""", GOOGLETRANSLATE(A7193, ""en"", ""te""),"""")"),"[ 'మొదటి డక్ ముందు 1st చాలా ఇన్నింగ్స్ (72)', '1000 పరుగులు మరియు 100 వికెట్లు']")</f>
        <v>[ 'మొదటి డక్ ముందు 1st చాలా ఇన్నింగ్స్ (72)', '1000 పరుగులు మరియు 100 వికెట్లు']</v>
      </c>
      <c r="C7193" s="2" t="s">
        <v>4230</v>
      </c>
      <c r="D7193" s="2" t="str">
        <f>IFERROR(__xludf.DUMMYFUNCTION("IF(C7193&lt;&gt;"""", GOOGLETRANSLATE(C7193, ""en"", ""te""),"""")"),"[ '46 వ ఉత్తమ ఇన్నింగ్స్ లో ఆర్థిక రేటు (0.61)', '12 వ అంపైర్ గా అత్యధిక మ్యాచ్లు (69)']")</f>
        <v>[ '46 వ ఉత్తమ ఇన్నింగ్స్ లో ఆర్థిక రేటు (0.61)', '12 వ అంపైర్ గా అత్యధిక మ్యాచ్లు (69)']</v>
      </c>
      <c r="E7193" s="2" t="s">
        <v>4231</v>
      </c>
      <c r="F7193" s="2" t="str">
        <f>IFERROR(__xludf.DUMMYFUNCTION("IF(E7193&lt;&gt;"""", GOOGLETRANSLATE(E7193, ""en"", ""te""),"""")"),"[ 'కెరీర్లో 18 వ అతి తక్కువ బాతులు (43.5)' '25 వ వరుస ఒక డక్ లేకుండా ఇన్నింగ్స్ (72)', 'మొదటి డక్ (72) ముందు 1 వ అత్యంత ఇన్నింగ్స్' 'ఒకే మైదానంలో 33 వ అత్యధిక వికెట్లు (37)', '25 వ అత్యధిక వికెట్లు తీసుకున్న క్యాచ్ మరియు బౌల్డ్ (11)', '32 వ అత్యధిక వికెట"&amp;"్లు తీసుకున్న స్టంప్ (11)', 'ఎనిమిదవ వికెట్ (91) కోసం 17 అత్యధిక భాగస్వామ్యం' 'ఒక అంపైర్ (105) 16 అత్యధిక మ్యాచ్లు']")</f>
        <v>[ 'కెరీర్లో 18 వ అతి తక్కువ బాతులు (43.5)' '25 వ వరుస ఒక డక్ లేకుండా ఇన్నింగ్స్ (72)', 'మొదటి డక్ (72) ముందు 1 వ అత్యంత ఇన్నింగ్స్' 'ఒకే మైదానంలో 33 వ అత్యధిక వికెట్లు (37)', '25 వ అత్యధిక వికెట్లు తీసుకున్న క్యాచ్ మరియు బౌల్డ్ (11)', '32 వ అత్యధిక వికెట్లు తీసుకున్న స్టంప్ (11)', 'ఎనిమిదవ వికెట్ (91) కోసం 17 అత్యధిక భాగస్వామ్యం' 'ఒక అంపైర్ (105) 16 అత్యధిక మ్యాచ్లు']</v>
      </c>
      <c r="G7193" s="2" t="s">
        <v>1954</v>
      </c>
      <c r="H7193" s="2" t="str">
        <f>IFERROR(__xludf.DUMMYFUNCTION("IF(G7193&lt;&gt;"""", GOOGLETRANSLATE(G7193, ""en"", ""te""),"""")"),"[ '30 వ అంపాయర్ (22) గా అత్యధిక మ్యాచ్లు']")</f>
        <v>[ '30 వ అంపాయర్ (22) గా అత్యధిక మ్యాచ్లు']</v>
      </c>
      <c r="I7193" s="3"/>
    </row>
    <row r="7194" customHeight="1" spans="1:9">
      <c r="A7194" s="2"/>
      <c r="B7194" s="2" t="str">
        <f>IFERROR(__xludf.DUMMYFUNCTION("IF(A7194&lt;&gt;"""", GOOGLETRANSLATE(A7194, ""en"", ""te""),"""")"),"")</f>
        <v/>
      </c>
      <c r="C7194" s="2"/>
      <c r="D7194" s="2" t="str">
        <f>IFERROR(__xludf.DUMMYFUNCTION("IF(C7194&lt;&gt;"""", GOOGLETRANSLATE(C7194, ""en"", ""te""),"""")"),"")</f>
        <v/>
      </c>
      <c r="E7194" s="2"/>
      <c r="F7194" s="2" t="str">
        <f>IFERROR(__xludf.DUMMYFUNCTION("IF(E7194&lt;&gt;"""", GOOGLETRANSLATE(E7194, ""en"", ""te""),"""")"),"")</f>
        <v/>
      </c>
      <c r="G7194" s="2"/>
      <c r="H7194" s="2" t="str">
        <f>IFERROR(__xludf.DUMMYFUNCTION("IF(G7194&lt;&gt;"""", GOOGLETRANSLATE(G7194, ""en"", ""te""),"""")"),"")</f>
        <v/>
      </c>
      <c r="I7194" s="3"/>
    </row>
    <row r="7195" customHeight="1" spans="1:9">
      <c r="A7195" s="2"/>
      <c r="B7195" s="2" t="str">
        <f>IFERROR(__xludf.DUMMYFUNCTION("IF(A7195&lt;&gt;"""", GOOGLETRANSLATE(A7195, ""en"", ""te""),"""")"),"")</f>
        <v/>
      </c>
      <c r="C7195" s="2"/>
      <c r="D7195" s="2" t="str">
        <f>IFERROR(__xludf.DUMMYFUNCTION("IF(C7195&lt;&gt;"""", GOOGLETRANSLATE(C7195, ""en"", ""te""),"""")"),"")</f>
        <v/>
      </c>
      <c r="E7195" s="2"/>
      <c r="F7195" s="2" t="str">
        <f>IFERROR(__xludf.DUMMYFUNCTION("IF(E7195&lt;&gt;"""", GOOGLETRANSLATE(E7195, ""en"", ""te""),"""")"),"")</f>
        <v/>
      </c>
      <c r="G7195" s="2"/>
      <c r="H7195" s="2" t="str">
        <f>IFERROR(__xludf.DUMMYFUNCTION("IF(G7195&lt;&gt;"""", GOOGLETRANSLATE(G7195, ""en"", ""te""),"""")"),"")</f>
        <v/>
      </c>
      <c r="I7195" s="3"/>
    </row>
    <row r="7196" customHeight="1" spans="1:9">
      <c r="A7196" s="2"/>
      <c r="B7196" s="2" t="str">
        <f>IFERROR(__xludf.DUMMYFUNCTION("IF(A7196&lt;&gt;"""", GOOGLETRANSLATE(A7196, ""en"", ""te""),"""")"),"")</f>
        <v/>
      </c>
      <c r="C7196" s="2"/>
      <c r="D7196" s="2" t="str">
        <f>IFERROR(__xludf.DUMMYFUNCTION("IF(C7196&lt;&gt;"""", GOOGLETRANSLATE(C7196, ""en"", ""te""),"""")"),"")</f>
        <v/>
      </c>
      <c r="E7196" s="2"/>
      <c r="F7196" s="2" t="str">
        <f>IFERROR(__xludf.DUMMYFUNCTION("IF(E7196&lt;&gt;"""", GOOGLETRANSLATE(E7196, ""en"", ""te""),"""")"),"")</f>
        <v/>
      </c>
      <c r="G7196" s="2"/>
      <c r="H7196" s="2" t="str">
        <f>IFERROR(__xludf.DUMMYFUNCTION("IF(G7196&lt;&gt;"""", GOOGLETRANSLATE(G7196, ""en"", ""te""),"""")"),"")</f>
        <v/>
      </c>
      <c r="I7196" s="3"/>
    </row>
    <row r="7197" customHeight="1" spans="1:9">
      <c r="A7197" s="2" t="s">
        <v>4232</v>
      </c>
      <c r="B7197" s="2" t="str">
        <f>IFERROR(__xludf.DUMMYFUNCTION("IF(A7197&lt;&gt;"""", GOOGLETRANSLATE(A7197, ""en"", ""te""),"""")"),"[ '6 వ అత్యంత క్యాచ్ మరియు బౌల్డ్ తీసుకోబడిన వికెట్ల (9)', 'ఎనిమిదవ వికెట్కు 7 వ అత్యధిక భాగస్వామ్యం (70 *)']")</f>
        <v>[ '6 వ అత్యంత క్యాచ్ మరియు బౌల్డ్ తీసుకోబడిన వికెట్ల (9)', 'ఎనిమిదవ వికెట్కు 7 వ అత్యధిక భాగస్వామ్యం (70 *)']</v>
      </c>
      <c r="C7197" s="2"/>
      <c r="D7197" s="2" t="str">
        <f>IFERROR(__xludf.DUMMYFUNCTION("IF(C7197&lt;&gt;"""", GOOGLETRANSLATE(C7197, ""en"", ""te""),"""")"),"")</f>
        <v/>
      </c>
      <c r="E7197" s="2" t="s">
        <v>4233</v>
      </c>
      <c r="F7197" s="2" t="str">
        <f>IFERROR(__xludf.DUMMYFUNCTION("IF(E7197&lt;&gt;"""", GOOGLETRANSLATE(E7197, ""en"", ""te""),"""")"),"[ '33 వ ఒకే మైదానంలో అత్యధిక వికెట్లు (12)', '11 వ ఒక ఇన్నింగ్స్ లోని బెస్ట్ ఫిగర్స్ ఉన్నప్పుడు పరాజయం వైపు (4)', '46 వ ఉత్తమ కెరీర్ సమ్మె రేటు (36.2)', '38 వ అత్యంత నాలుగు వికెట్లు ఇన్ ఒక వృత్తిలో -an-ఇన్నింగ్స్ (3) ',' 44 వ బౌలర్ / ఫీల్డర్ కలయికలు (10"&amp;") ',' 42 వ అత్యధిక వికెట్లు తీసుకున్న ఆకర్షించింది (42) ',' 6 వ అత్యధిక వికెట్లు ఆకర్షించింది తీసుకున్న మరియు బౌల్డ్ (9) ',' 31 మోస్ట్ వికెట్లు ఒక ఫీల్డర్ చేత క్యాచ్ తీసుకున్న (38) ',' ఎనిమిదవ వికెట్ (70 *) కోసం 7 వ అత్యధిక భాగస్వామ్యం ',' బృందం (43) కోసం"&amp;" 32 వ వరుస మ్యాచ్లు ']")</f>
        <v>[ '33 వ ఒకే మైదానంలో అత్యధిక వికెట్లు (12)', '11 వ ఒక ఇన్నింగ్స్ లోని బెస్ట్ ఫిగర్స్ ఉన్నప్పుడు పరాజయం వైపు (4)', '46 వ ఉత్తమ కెరీర్ సమ్మె రేటు (36.2)', '38 వ అత్యంత నాలుగు వికెట్లు ఇన్ ఒక వృత్తిలో -an-ఇన్నింగ్స్ (3) ',' 44 వ బౌలర్ / ఫీల్డర్ కలయికలు (10) ',' 42 వ అత్యధిక వికెట్లు తీసుకున్న ఆకర్షించింది (42) ',' 6 వ అత్యధిక వికెట్లు ఆకర్షించింది తీసుకున్న మరియు బౌల్డ్ (9) ',' 31 మోస్ట్ వికెట్లు ఒక ఫీల్డర్ చేత క్యాచ్ తీసుకున్న (38) ',' ఎనిమిదవ వికెట్ (70 *) కోసం 7 వ అత్యధిక భాగస్వామ్యం ',' బృందం (43) కోసం 32 వ వరుస మ్యాచ్లు ']</v>
      </c>
      <c r="G7197" s="2"/>
      <c r="H7197" s="2" t="str">
        <f>IFERROR(__xludf.DUMMYFUNCTION("IF(G7197&lt;&gt;"""", GOOGLETRANSLATE(G7197, ""en"", ""te""),"""")"),"")</f>
        <v/>
      </c>
      <c r="I7197" s="3"/>
    </row>
    <row r="7198" customHeight="1" spans="1:9">
      <c r="A7198" s="2"/>
      <c r="B7198" s="2" t="str">
        <f>IFERROR(__xludf.DUMMYFUNCTION("IF(A7198&lt;&gt;"""", GOOGLETRANSLATE(A7198, ""en"", ""te""),"""")"),"")</f>
        <v/>
      </c>
      <c r="C7198" s="2"/>
      <c r="D7198" s="2" t="str">
        <f>IFERROR(__xludf.DUMMYFUNCTION("IF(C7198&lt;&gt;"""", GOOGLETRANSLATE(C7198, ""en"", ""te""),"""")"),"")</f>
        <v/>
      </c>
      <c r="E7198" s="2" t="s">
        <v>4234</v>
      </c>
      <c r="F7198" s="2" t="str">
        <f>IFERROR(__xludf.DUMMYFUNCTION("IF(E7198&lt;&gt;"""", GOOGLETRANSLATE(E7198, ""en"", ""te""),"""")"),"[ 'ప్రదర్శనల మధ్య 29 లాంగెస్ట్ వ్యవధిలో (7y 8D)']")</f>
        <v>[ 'ప్రదర్శనల మధ్య 29 లాంగెస్ట్ వ్యవధిలో (7y 8D)']</v>
      </c>
      <c r="G7198" s="2"/>
      <c r="H7198" s="2" t="str">
        <f>IFERROR(__xludf.DUMMYFUNCTION("IF(G7198&lt;&gt;"""", GOOGLETRANSLATE(G7198, ""en"", ""te""),"""")"),"")</f>
        <v/>
      </c>
      <c r="I7198" s="3"/>
    </row>
    <row r="7199" customHeight="1" spans="1:9">
      <c r="A7199" s="2"/>
      <c r="B7199" s="2" t="str">
        <f>IFERROR(__xludf.DUMMYFUNCTION("IF(A7199&lt;&gt;"""", GOOGLETRANSLATE(A7199, ""en"", ""te""),"""")"),"")</f>
        <v/>
      </c>
      <c r="C7199" s="2"/>
      <c r="D7199" s="2" t="str">
        <f>IFERROR(__xludf.DUMMYFUNCTION("IF(C7199&lt;&gt;"""", GOOGLETRANSLATE(C7199, ""en"", ""te""),"""")"),"")</f>
        <v/>
      </c>
      <c r="E7199" s="2"/>
      <c r="F7199" s="2" t="str">
        <f>IFERROR(__xludf.DUMMYFUNCTION("IF(E7199&lt;&gt;"""", GOOGLETRANSLATE(E7199, ""en"", ""te""),"""")"),"")</f>
        <v/>
      </c>
      <c r="G7199" s="2"/>
      <c r="H7199" s="2" t="str">
        <f>IFERROR(__xludf.DUMMYFUNCTION("IF(G7199&lt;&gt;"""", GOOGLETRANSLATE(G7199, ""en"", ""te""),"""")"),"")</f>
        <v/>
      </c>
      <c r="I7199" s="3"/>
    </row>
    <row r="7200" customHeight="1" spans="1:9">
      <c r="A7200" s="2" t="s">
        <v>4235</v>
      </c>
      <c r="B7200" s="2" t="str">
        <f>IFERROR(__xludf.DUMMYFUNCTION("IF(A7200&lt;&gt;"""", GOOGLETRANSLATE(A7200, ""en"", ""te""),"""")"),"[ 'ఎనిమిదవ వికెట్కు 1st అత్యధిక భాగస్వామ్యం (88)', 'ఇన్నింగ్స్ లో 5 వ చెత్త ఆర్థిక రేటు (18.50)', '3 వ ఇన్నింగ్స్ లో అత్యధిక క్యాచ్లు (3)']")</f>
        <v>[ 'ఎనిమిదవ వికెట్కు 1st అత్యధిక భాగస్వామ్యం (88)', 'ఇన్నింగ్స్ లో 5 వ చెత్త ఆర్థిక రేటు (18.50)', '3 వ ఇన్నింగ్స్ లో అత్యధిక క్యాచ్లు (3)']</v>
      </c>
      <c r="C7200" s="2"/>
      <c r="D7200" s="2" t="str">
        <f>IFERROR(__xludf.DUMMYFUNCTION("IF(C7200&lt;&gt;"""", GOOGLETRANSLATE(C7200, ""en"", ""te""),"""")"),"")</f>
        <v/>
      </c>
      <c r="E7200" s="2" t="s">
        <v>4236</v>
      </c>
      <c r="F7200" s="2" t="str">
        <f>IFERROR(__xludf.DUMMYFUNCTION("IF(E7200&lt;&gt;"""", GOOGLETRANSLATE(E7200, ""en"", ""te""),"""")"),"[ '14 వ ఇన్నింగ్స్ లో అత్యధిక పరుగులు (బ్యాటింగ్ స్థానంలో ప్రకారం) (45)', 'కెరీర్లో 20 వ బాతులు నో (18)', '9 వ వికెట్ తేడాతో అత్యధిక భాగస్వామ్యాలు' సగటు (అర్హత లేకుండా) (67.25) బౌలింగ్ 47th చెత్త కెరీర్లో ' (8 వ) ',' ఎనిమిదవ వికెట్కు 1st అత్యధిక భాగస్వామ్"&amp;"యం (88) ']")</f>
        <v>[ '14 వ ఇన్నింగ్స్ లో అత్యధిక పరుగులు (బ్యాటింగ్ స్థానంలో ప్రకారం) (45)', 'కెరీర్లో 20 వ బాతులు నో (18)', '9 వ వికెట్ తేడాతో అత్యధిక భాగస్వామ్యాలు' సగటు (అర్హత లేకుండా) (67.25) బౌలింగ్ 47th చెత్త కెరీర్లో ' (8 వ) ',' ఎనిమిదవ వికెట్కు 1st అత్యధిక భాగస్వామ్యం (88) ']</v>
      </c>
      <c r="G7200" s="2" t="s">
        <v>4237</v>
      </c>
      <c r="H7200" s="2" t="str">
        <f>IFERROR(__xludf.DUMMYFUNCTION("IF(G7200&lt;&gt;"""", GOOGLETRANSLATE(G7200, ""en"", ""te""),"""")"),"[ '11 వ ఇన్నింగ్స్ లో అత్యధిక పరుగులు (బ్యాటింగ్ స్థానంలో ప్రకారం) (35 *)', '13 వ తొలి డక్ ముందు అత్యంత ఇన్నింగ్స్ (23)', 'ఇన్నింగ్స్ లో 5 వ చెత్త ఆర్థిక రేటు (18.50)', '3 వ చాల వరకు ఒక లో క్యాచ్లు ఇన్నింగ్స్ (3) ',' ఎనిమిదవ వికెట్కు 33 వ అత్యధిక భాగస్వామ"&amp;"్యం (24) ']")</f>
        <v>[ '11 వ ఇన్నింగ్స్ లో అత్యధిక పరుగులు (బ్యాటింగ్ స్థానంలో ప్రకారం) (35 *)', '13 వ తొలి డక్ ముందు అత్యంత ఇన్నింగ్స్ (23)', 'ఇన్నింగ్స్ లో 5 వ చెత్త ఆర్థిక రేటు (18.50)', '3 వ చాల వరకు ఒక లో క్యాచ్లు ఇన్నింగ్స్ (3) ',' ఎనిమిదవ వికెట్కు 33 వ అత్యధిక భాగస్వామ్యం (24) ']</v>
      </c>
      <c r="I7200" s="3"/>
    </row>
    <row r="7201" customHeight="1" spans="1:9">
      <c r="A7201" s="2" t="s">
        <v>4238</v>
      </c>
      <c r="B7201" s="2" t="str">
        <f>IFERROR(__xludf.DUMMYFUNCTION("IF(A7201&lt;&gt;"""", GOOGLETRANSLATE(A7201, ""en"", ""te""),"""")"),"[ '9 వ వరుస మ్యాచ్లు ప్రదర్శనల మధ్య బృందం (305) కోసం తప్పిన']")</f>
        <v>[ '9 వ వరుస మ్యాచ్లు ప్రదర్శనల మధ్య బృందం (305) కోసం తప్పిన']</v>
      </c>
      <c r="C7201" s="2"/>
      <c r="D7201" s="2" t="str">
        <f>IFERROR(__xludf.DUMMYFUNCTION("IF(C7201&lt;&gt;"""", GOOGLETRANSLATE(C7201, ""en"", ""te""),"""")"),"")</f>
        <v/>
      </c>
      <c r="E7201" s="2"/>
      <c r="F7201" s="2" t="str">
        <f>IFERROR(__xludf.DUMMYFUNCTION("IF(E7201&lt;&gt;"""", GOOGLETRANSLATE(E7201, ""en"", ""te""),"""")"),"")</f>
        <v/>
      </c>
      <c r="G7201" s="2"/>
      <c r="H7201" s="2" t="str">
        <f>IFERROR(__xludf.DUMMYFUNCTION("IF(G7201&lt;&gt;"""", GOOGLETRANSLATE(G7201, ""en"", ""te""),"""")"),"")</f>
        <v/>
      </c>
      <c r="I7201" s="3"/>
    </row>
    <row r="7202" customHeight="1" spans="1:9">
      <c r="A7202" s="2" t="s">
        <v>4239</v>
      </c>
      <c r="B7202" s="2" t="str">
        <f>IFERROR(__xludf.DUMMYFUNCTION("IF(A7202&lt;&gt;"""", GOOGLETRANSLATE(A7202, ""en"", ""te""),"""")"),"[ '1st ఇన్నింగ్స్ లో అత్యధిక పరుగులు (బ్యాటింగ్ స్థానంలో ప్రకారం) (25 *)']")</f>
        <v>[ '1st ఇన్నింగ్స్ లో అత్యధిక పరుగులు (బ్యాటింగ్ స్థానంలో ప్రకారం) (25 *)']</v>
      </c>
      <c r="C7202" s="2"/>
      <c r="D7202" s="2" t="str">
        <f>IFERROR(__xludf.DUMMYFUNCTION("IF(C7202&lt;&gt;"""", GOOGLETRANSLATE(C7202, ""en"", ""te""),"""")"),"")</f>
        <v/>
      </c>
      <c r="E7202" s="2"/>
      <c r="F7202" s="2" t="str">
        <f>IFERROR(__xludf.DUMMYFUNCTION("IF(E7202&lt;&gt;"""", GOOGLETRANSLATE(E7202, ""en"", ""te""),"""")"),"")</f>
        <v/>
      </c>
      <c r="G7202" s="2" t="s">
        <v>4239</v>
      </c>
      <c r="H7202" s="2" t="str">
        <f>IFERROR(__xludf.DUMMYFUNCTION("IF(G7202&lt;&gt;"""", GOOGLETRANSLATE(G7202, ""en"", ""te""),"""")"),"[ '1st ఇన్నింగ్స్ లో అత్యధిక పరుగులు (బ్యాటింగ్ స్థానంలో ప్రకారం) (25 *)']")</f>
        <v>[ '1st ఇన్నింగ్స్ లో అత్యధిక పరుగులు (బ్యాటింగ్ స్థానంలో ప్రకారం) (25 *)']</v>
      </c>
      <c r="I7202" s="3"/>
    </row>
    <row r="7203" customHeight="1" spans="1:9">
      <c r="A7203" s="2" t="s">
        <v>4240</v>
      </c>
      <c r="B7203" s="2" t="str">
        <f>IFERROR(__xludf.DUMMYFUNCTION("IF(A7203&lt;&gt;"""", GOOGLETRANSLATE(A7203, ""en"", ""te""),"""")"),"[ 'కెప్టెన్సీ ప్రవేశం (40y 266d) 7 వ ఓల్డెస్ట్ కెప్టెన్లు', 'తొలి తీసుకోవాలని 8 వ అత్యంత వృద్ధ ఆటగాడు ఐదు వికెట్ల లో-ఒక-ఇన్నింగ్స్ (39y 276d)', 'కెప్టెన్సీ ప్రవేశం (40y 264d) 8 వ ఓల్డెస్ట్ కెప్టెన్లు', '8 వ కెరీర్ (29) వెనుదిరిగాడు']")</f>
        <v>[ 'కెప్టెన్సీ ప్రవేశం (40y 266d) 7 వ ఓల్డెస్ట్ కెప్టెన్లు', 'తొలి తీసుకోవాలని 8 వ అత్యంత వృద్ధ ఆటగాడు ఐదు వికెట్ల లో-ఒక-ఇన్నింగ్స్ (39y 276d)', 'కెప్టెన్సీ ప్రవేశం (40y 264d) 8 వ ఓల్డెస్ట్ కెప్టెన్లు', '8 వ కెరీర్ (29) వెనుదిరిగాడు']</v>
      </c>
      <c r="C7203" s="2" t="s">
        <v>4241</v>
      </c>
      <c r="D7203" s="2" t="str">
        <f>IFERROR(__xludf.DUMMYFUNCTION("IF(C7203&lt;&gt;"""", GOOGLETRANSLATE(C7203, ""en"", ""te""),"""")"),"[ '16 వ అత్యంత వృద్ధ ఆటగాడు (39y 276d) ఐదు వికెట్లు-ఇన్-ఒక-ఇన్నింగ్స్ తీసుకోవాలని', 'తొలి తీసుకోవాలని 8 వ అత్యంత వృద్ధ ఆటగాడు ఐదు వికెట్ల లో-ఒక-ఇన్నింగ్స్ (39y 276d)', '18 వ ఓల్డెస్ట్ క్రీడాకారులు ప్రవేశం (39y 251d) కెప్టెన్సీ తొలి ',' 44 వ ఓల్డెస్ట్ క్రీ"&amp;"డాకారులు (42y 78d) ',' 17 వ ఓల్డెస్ట్ కాప్టెన్ (40y 277d) ',' 7 వ ఓల్డెస్ట్ కాప్టెన్ (40y 266d) ']")</f>
        <v>[ '16 వ అత్యంత వృద్ధ ఆటగాడు (39y 276d) ఐదు వికెట్లు-ఇన్-ఒక-ఇన్నింగ్స్ తీసుకోవాలని', 'తొలి తీసుకోవాలని 8 వ అత్యంత వృద్ధ ఆటగాడు ఐదు వికెట్ల లో-ఒక-ఇన్నింగ్స్ (39y 276d)', '18 వ ఓల్డెస్ట్ క్రీడాకారులు ప్రవేశం (39y 251d) కెప్టెన్సీ తొలి ',' 44 వ ఓల్డెస్ట్ క్రీడాకారులు (42y 78d) ',' 17 వ ఓల్డెస్ట్ కాప్టెన్ (40y 277d) ',' 7 వ ఓల్డెస్ట్ కాప్టెన్ (40y 266d) ']</v>
      </c>
      <c r="E7203" s="2" t="s">
        <v>4242</v>
      </c>
      <c r="F7203" s="2" t="str">
        <f>IFERROR(__xludf.DUMMYFUNCTION("IF(E7203&lt;&gt;"""", GOOGLETRANSLATE(E7203, ""en"", ""te""),"""")"),"[ '8 వ కెరీర్ లో బాతులు (29)', 'ఇన్నింగ్స్ లో 43 ఉత్తమ ఆర్థిక రేటు (0.91)', '34 వ చెత్త కెరీర్ బౌలింగ్ సరాసరి (48.65)', '24th చెత్త కెరీర్లో సమ్మె రేటు (64.8)', '12 వ ఓల్డెస్ట్ క్రీడాకారులు (42y 261d) ',' 34 వ పురాతన దేశం ఆటగాళ్ళు (78y 355d) ',' 11 వ ఓల్డ"&amp;"ెస్ట్ కాప్టెన్ (40y 264d) ',' 8 వ ఓల్డెస్ట్ కెప్టెన్లు కెప్టెన్సీ తొలి (40y 264d) ']")</f>
        <v>[ '8 వ కెరీర్ లో బాతులు (29)', 'ఇన్నింగ్స్ లో 43 ఉత్తమ ఆర్థిక రేటు (0.91)', '34 వ చెత్త కెరీర్ బౌలింగ్ సరాసరి (48.65)', '24th చెత్త కెరీర్లో సమ్మె రేటు (64.8)', '12 వ ఓల్డెస్ట్ క్రీడాకారులు (42y 261d) ',' 34 వ పురాతన దేశం ఆటగాళ్ళు (78y 355d) ',' 11 వ ఓల్డెస్ట్ కాప్టెన్ (40y 264d) ',' 8 వ ఓల్డెస్ట్ కెప్టెన్లు కెప్టెన్సీ తొలి (40y 264d) ']</v>
      </c>
      <c r="G7203" s="2"/>
      <c r="H7203" s="2" t="str">
        <f>IFERROR(__xludf.DUMMYFUNCTION("IF(G7203&lt;&gt;"""", GOOGLETRANSLATE(G7203, ""en"", ""te""),"""")"),"")</f>
        <v/>
      </c>
      <c r="I7203" s="3"/>
    </row>
    <row r="7204" customHeight="1" spans="1:9">
      <c r="A7204" s="2"/>
      <c r="B7204" s="2" t="str">
        <f>IFERROR(__xludf.DUMMYFUNCTION("IF(A7204&lt;&gt;"""", GOOGLETRANSLATE(A7204, ""en"", ""te""),"""")"),"")</f>
        <v/>
      </c>
      <c r="C7204" s="2"/>
      <c r="D7204" s="2" t="str">
        <f>IFERROR(__xludf.DUMMYFUNCTION("IF(C7204&lt;&gt;"""", GOOGLETRANSLATE(C7204, ""en"", ""te""),"""")"),"")</f>
        <v/>
      </c>
      <c r="E7204" s="2"/>
      <c r="F7204" s="2" t="str">
        <f>IFERROR(__xludf.DUMMYFUNCTION("IF(E7204&lt;&gt;"""", GOOGLETRANSLATE(E7204, ""en"", ""te""),"""")"),"")</f>
        <v/>
      </c>
      <c r="G7204" s="2"/>
      <c r="H7204" s="2" t="str">
        <f>IFERROR(__xludf.DUMMYFUNCTION("IF(G7204&lt;&gt;"""", GOOGLETRANSLATE(G7204, ""en"", ""te""),"""")"),"")</f>
        <v/>
      </c>
      <c r="I7204" s="3"/>
    </row>
    <row r="7205" customHeight="1" spans="1:9">
      <c r="A7205" s="2" t="s">
        <v>4243</v>
      </c>
      <c r="B7205" s="2" t="str">
        <f>IFERROR(__xludf.DUMMYFUNCTION("IF(A7205&lt;&gt;"""", GOOGLETRANSLATE(A7205, ""en"", ""te""),"""")"),"[ 'వరుస 8 వ అత్యధిక క్యాచ్లు (28)', '2nd చాలా కెరీర్లో లేకుండా పరుగులు వంద (2443)', '2000 పరుగులు మరియు 100 వికెట్ కీపింగ్ తొలగింపులకు', 'మొదటి డక్ (58) ముందు 9 వ అత్యంత ఇన్నింగ్స్]")</f>
        <v>[ 'వరుస 8 వ అత్యధిక క్యాచ్లు (28)', '2nd చాలా కెరీర్లో లేకుండా పరుగులు వంద (2443)', '2000 పరుగులు మరియు 100 వికెట్ కీపింగ్ తొలగింపులకు', 'మొదటి డక్ (58) ముందు 9 వ అత్యంత ఇన్నింగ్స్]</v>
      </c>
      <c r="C7205" s="2" t="s">
        <v>4244</v>
      </c>
      <c r="D7205" s="2" t="str">
        <f>IFERROR(__xludf.DUMMYFUNCTION("IF(C7205&lt;&gt;"""", GOOGLETRANSLATE(C7205, ""en"", ""te""),"""")"),"[ '35 వ కెరీర్ లో అతి తక్కువ బాతులు (26.66)' '2 వ అత్యంత వంద (2443) లేకుండా ఒక వృత్తిలో నడుస్తుంది', '35 వ కెరీర్ లో అత్యధిక వికెట్లు (134)', '37 వ కెరీర్ లో అత్యధిక క్యాచ్లు (111)', ' ఒక మ్యాచ్ (3) ',' 27 వ అత్యధిక ఇన్నింగ్స్ బై (578) గూడా ఇవ్వకుండా మొత"&amp;"్తంగా వరుస 8 వ అత్యధిక క్యాచ్లు (28) ',' 12 వ కెరీర్ స్టంపింగ్లు (23) ',' 12 వ అత్యంత స్టంపింగ్లు ']")</f>
        <v>[ '35 వ కెరీర్ లో అతి తక్కువ బాతులు (26.66)' '2 వ అత్యంత వంద (2443) లేకుండా ఒక వృత్తిలో నడుస్తుంది', '35 వ కెరీర్ లో అత్యధిక వికెట్లు (134)', '37 వ కెరీర్ లో అత్యధిక క్యాచ్లు (111)', ' ఒక మ్యాచ్ (3) ',' 27 వ అత్యధిక ఇన్నింగ్స్ బై (578) గూడా ఇవ్వకుండా మొత్తంగా వరుస 8 వ అత్యధిక క్యాచ్లు (28) ',' 12 వ కెరీర్ స్టంపింగ్లు (23) ',' 12 వ అత్యంత స్టంపింగ్లు ']</v>
      </c>
      <c r="E7205" s="2" t="s">
        <v>4245</v>
      </c>
      <c r="F7205" s="2" t="str">
        <f>IFERROR(__xludf.DUMMYFUNCTION("IF(E7205&lt;&gt;"""", GOOGLETRANSLATE(E7205, ""en"", ""te""),"""")"),"[ 'కెరీర్లో 14 వ అతి తక్కువ బాతులు (50)', 'తొలి వికెట్కు (229) కోసం 22 అత్యధిక భాగస్వామ్యం']")</f>
        <v>[ 'కెరీర్లో 14 వ అతి తక్కువ బాతులు (50)', 'తొలి వికెట్కు (229) కోసం 22 అత్యధిక భాగస్వామ్యం']</v>
      </c>
      <c r="G7205" s="2" t="s">
        <v>4246</v>
      </c>
      <c r="H7205" s="2" t="str">
        <f>IFERROR(__xludf.DUMMYFUNCTION("IF(G7205&lt;&gt;"""", GOOGLETRANSLATE(G7205, ""en"", ""te""),"""")"),"[ '36 వ కెరీర్ లో అత్యధిక క్యాచ్లు (11)']")</f>
        <v>[ '36 వ కెరీర్ లో అత్యధిక క్యాచ్లు (11)']</v>
      </c>
      <c r="I7205" s="3"/>
    </row>
    <row r="7206" customHeight="1" spans="1:9">
      <c r="A7206" s="2"/>
      <c r="B7206" s="2" t="str">
        <f>IFERROR(__xludf.DUMMYFUNCTION("IF(A7206&lt;&gt;"""", GOOGLETRANSLATE(A7206, ""en"", ""te""),"""")"),"")</f>
        <v/>
      </c>
      <c r="C7206" s="2"/>
      <c r="D7206" s="2" t="str">
        <f>IFERROR(__xludf.DUMMYFUNCTION("IF(C7206&lt;&gt;"""", GOOGLETRANSLATE(C7206, ""en"", ""te""),"""")"),"")</f>
        <v/>
      </c>
      <c r="E7206" s="2"/>
      <c r="F7206" s="2" t="str">
        <f>IFERROR(__xludf.DUMMYFUNCTION("IF(E7206&lt;&gt;"""", GOOGLETRANSLATE(E7206, ""en"", ""te""),"""")"),"")</f>
        <v/>
      </c>
      <c r="G7206" s="2"/>
      <c r="H7206" s="2" t="str">
        <f>IFERROR(__xludf.DUMMYFUNCTION("IF(G7206&lt;&gt;"""", GOOGLETRANSLATE(G7206, ""en"", ""te""),"""")"),"")</f>
        <v/>
      </c>
      <c r="I7206" s="3"/>
    </row>
    <row r="7207" customHeight="1" spans="1:9">
      <c r="A7207" s="2"/>
      <c r="B7207" s="2" t="str">
        <f>IFERROR(__xludf.DUMMYFUNCTION("IF(A7207&lt;&gt;"""", GOOGLETRANSLATE(A7207, ""en"", ""te""),"""")"),"")</f>
        <v/>
      </c>
      <c r="C7207" s="2"/>
      <c r="D7207" s="2" t="str">
        <f>IFERROR(__xludf.DUMMYFUNCTION("IF(C7207&lt;&gt;"""", GOOGLETRANSLATE(C7207, ""en"", ""te""),"""")"),"")</f>
        <v/>
      </c>
      <c r="E7207" s="2"/>
      <c r="F7207" s="2" t="str">
        <f>IFERROR(__xludf.DUMMYFUNCTION("IF(E7207&lt;&gt;"""", GOOGLETRANSLATE(E7207, ""en"", ""te""),"""")"),"")</f>
        <v/>
      </c>
      <c r="G7207" s="2"/>
      <c r="H7207" s="2" t="str">
        <f>IFERROR(__xludf.DUMMYFUNCTION("IF(G7207&lt;&gt;"""", GOOGLETRANSLATE(G7207, ""en"", ""te""),"""")"),"")</f>
        <v/>
      </c>
      <c r="I7207" s="3"/>
    </row>
    <row r="7208" customHeight="1" spans="1:9">
      <c r="A7208" s="2" t="s">
        <v>658</v>
      </c>
      <c r="B7208" s="2" t="str">
        <f>IFERROR(__xludf.DUMMYFUNCTION("IF(A7208&lt;&gt;"""", GOOGLETRANSLATE(A7208, ""en"", ""te""),"""")"),"[ '3 వ వరుస మ్యాచ్లు ఆడి మధ్య జట్టు (218) కోసం తప్పిన']")</f>
        <v>[ '3 వ వరుస మ్యాచ్లు ఆడి మధ్య జట్టు (218) కోసం తప్పిన']</v>
      </c>
      <c r="C7208" s="2"/>
      <c r="D7208" s="2" t="str">
        <f>IFERROR(__xludf.DUMMYFUNCTION("IF(C7208&lt;&gt;"""", GOOGLETRANSLATE(C7208, ""en"", ""te""),"""")"),"")</f>
        <v/>
      </c>
      <c r="E7208" s="2" t="s">
        <v>4247</v>
      </c>
      <c r="F7208" s="2" t="str">
        <f>IFERROR(__xludf.DUMMYFUNCTION("IF(E7208&lt;&gt;"""", GOOGLETRANSLATE(E7208, ""en"", ""te""),"""")"),"[ '3 వ వరుస మ్యాచ్లు ఆడి మధ్య జట్టు (218) కోసం తప్పిన' 'ప్రదర్శనల మధ్య 20 వ లాంగెస్ట్ వ్యవధిలో (7y 239d)',]")</f>
        <v>[ '3 వ వరుస మ్యాచ్లు ఆడి మధ్య జట్టు (218) కోసం తప్పిన' 'ప్రదర్శనల మధ్య 20 వ లాంగెస్ట్ వ్యవధిలో (7y 239d)',]</v>
      </c>
      <c r="G7208" s="2"/>
      <c r="H7208" s="2" t="str">
        <f>IFERROR(__xludf.DUMMYFUNCTION("IF(G7208&lt;&gt;"""", GOOGLETRANSLATE(G7208, ""en"", ""te""),"""")"),"")</f>
        <v/>
      </c>
      <c r="I7208" s="3"/>
    </row>
    <row r="7209" customHeight="1" spans="1:9">
      <c r="A7209" s="2"/>
      <c r="B7209" s="2" t="str">
        <f>IFERROR(__xludf.DUMMYFUNCTION("IF(A7209&lt;&gt;"""", GOOGLETRANSLATE(A7209, ""en"", ""te""),"""")"),"")</f>
        <v/>
      </c>
      <c r="C7209" s="2"/>
      <c r="D7209" s="2" t="str">
        <f>IFERROR(__xludf.DUMMYFUNCTION("IF(C7209&lt;&gt;"""", GOOGLETRANSLATE(C7209, ""en"", ""te""),"""")"),"")</f>
        <v/>
      </c>
      <c r="E7209" s="2"/>
      <c r="F7209" s="2" t="str">
        <f>IFERROR(__xludf.DUMMYFUNCTION("IF(E7209&lt;&gt;"""", GOOGLETRANSLATE(E7209, ""en"", ""te""),"""")"),"")</f>
        <v/>
      </c>
      <c r="G7209" s="2"/>
      <c r="H7209" s="2" t="str">
        <f>IFERROR(__xludf.DUMMYFUNCTION("IF(G7209&lt;&gt;"""", GOOGLETRANSLATE(G7209, ""en"", ""te""),"""")"),"")</f>
        <v/>
      </c>
      <c r="I7209" s="3"/>
    </row>
    <row r="7210" customHeight="1" spans="1:9">
      <c r="A7210" s="2"/>
      <c r="B7210" s="2" t="str">
        <f>IFERROR(__xludf.DUMMYFUNCTION("IF(A7210&lt;&gt;"""", GOOGLETRANSLATE(A7210, ""en"", ""te""),"""")"),"")</f>
        <v/>
      </c>
      <c r="C7210" s="2"/>
      <c r="D7210" s="2" t="str">
        <f>IFERROR(__xludf.DUMMYFUNCTION("IF(C7210&lt;&gt;"""", GOOGLETRANSLATE(C7210, ""en"", ""te""),"""")"),"")</f>
        <v/>
      </c>
      <c r="E7210" s="2"/>
      <c r="F7210" s="2" t="str">
        <f>IFERROR(__xludf.DUMMYFUNCTION("IF(E7210&lt;&gt;"""", GOOGLETRANSLATE(E7210, ""en"", ""te""),"""")"),"")</f>
        <v/>
      </c>
      <c r="G7210" s="2"/>
      <c r="H7210" s="2" t="str">
        <f>IFERROR(__xludf.DUMMYFUNCTION("IF(G7210&lt;&gt;"""", GOOGLETRANSLATE(G7210, ""en"", ""te""),"""")"),"")</f>
        <v/>
      </c>
      <c r="I7210" s="3"/>
    </row>
    <row r="7211" customHeight="1" spans="1:9">
      <c r="A7211" s="2"/>
      <c r="B7211" s="2" t="str">
        <f>IFERROR(__xludf.DUMMYFUNCTION("IF(A7211&lt;&gt;"""", GOOGLETRANSLATE(A7211, ""en"", ""te""),"""")"),"")</f>
        <v/>
      </c>
      <c r="C7211" s="2"/>
      <c r="D7211" s="2" t="str">
        <f>IFERROR(__xludf.DUMMYFUNCTION("IF(C7211&lt;&gt;"""", GOOGLETRANSLATE(C7211, ""en"", ""te""),"""")"),"")</f>
        <v/>
      </c>
      <c r="E7211" s="2"/>
      <c r="F7211" s="2" t="str">
        <f>IFERROR(__xludf.DUMMYFUNCTION("IF(E7211&lt;&gt;"""", GOOGLETRANSLATE(E7211, ""en"", ""te""),"""")"),"")</f>
        <v/>
      </c>
      <c r="G7211" s="2"/>
      <c r="H7211" s="2" t="str">
        <f>IFERROR(__xludf.DUMMYFUNCTION("IF(G7211&lt;&gt;"""", GOOGLETRANSLATE(G7211, ""en"", ""te""),"""")"),"")</f>
        <v/>
      </c>
      <c r="I7211" s="3"/>
    </row>
    <row r="7212" customHeight="1" spans="1:9">
      <c r="A7212" s="2"/>
      <c r="B7212" s="2" t="str">
        <f>IFERROR(__xludf.DUMMYFUNCTION("IF(A7212&lt;&gt;"""", GOOGLETRANSLATE(A7212, ""en"", ""te""),"""")"),"")</f>
        <v/>
      </c>
      <c r="C7212" s="2"/>
      <c r="D7212" s="2" t="str">
        <f>IFERROR(__xludf.DUMMYFUNCTION("IF(C7212&lt;&gt;"""", GOOGLETRANSLATE(C7212, ""en"", ""te""),"""")"),"")</f>
        <v/>
      </c>
      <c r="E7212" s="2"/>
      <c r="F7212" s="2" t="str">
        <f>IFERROR(__xludf.DUMMYFUNCTION("IF(E7212&lt;&gt;"""", GOOGLETRANSLATE(E7212, ""en"", ""te""),"""")"),"")</f>
        <v/>
      </c>
      <c r="G7212" s="2"/>
      <c r="H7212" s="2" t="str">
        <f>IFERROR(__xludf.DUMMYFUNCTION("IF(G7212&lt;&gt;"""", GOOGLETRANSLATE(G7212, ""en"", ""te""),"""")"),"")</f>
        <v/>
      </c>
      <c r="I7212" s="3"/>
    </row>
    <row r="7213" customHeight="1" spans="1:9">
      <c r="A7213" s="2"/>
      <c r="B7213" s="2" t="str">
        <f>IFERROR(__xludf.DUMMYFUNCTION("IF(A7213&lt;&gt;"""", GOOGLETRANSLATE(A7213, ""en"", ""te""),"""")"),"")</f>
        <v/>
      </c>
      <c r="C7213" s="2"/>
      <c r="D7213" s="2" t="str">
        <f>IFERROR(__xludf.DUMMYFUNCTION("IF(C7213&lt;&gt;"""", GOOGLETRANSLATE(C7213, ""en"", ""te""),"""")"),"")</f>
        <v/>
      </c>
      <c r="E7213" s="2"/>
      <c r="F7213" s="2" t="str">
        <f>IFERROR(__xludf.DUMMYFUNCTION("IF(E7213&lt;&gt;"""", GOOGLETRANSLATE(E7213, ""en"", ""te""),"""")"),"")</f>
        <v/>
      </c>
      <c r="G7213" s="2"/>
      <c r="H7213" s="2" t="str">
        <f>IFERROR(__xludf.DUMMYFUNCTION("IF(G7213&lt;&gt;"""", GOOGLETRANSLATE(G7213, ""en"", ""te""),"""")"),"")</f>
        <v/>
      </c>
      <c r="I7213" s="3"/>
    </row>
    <row r="7214" customHeight="1" spans="1:9">
      <c r="A7214" s="2"/>
      <c r="B7214" s="2" t="str">
        <f>IFERROR(__xludf.DUMMYFUNCTION("IF(A7214&lt;&gt;"""", GOOGLETRANSLATE(A7214, ""en"", ""te""),"""")"),"")</f>
        <v/>
      </c>
      <c r="C7214" s="2"/>
      <c r="D7214" s="2" t="str">
        <f>IFERROR(__xludf.DUMMYFUNCTION("IF(C7214&lt;&gt;"""", GOOGLETRANSLATE(C7214, ""en"", ""te""),"""")"),"")</f>
        <v/>
      </c>
      <c r="E7214" s="2"/>
      <c r="F7214" s="2" t="str">
        <f>IFERROR(__xludf.DUMMYFUNCTION("IF(E7214&lt;&gt;"""", GOOGLETRANSLATE(E7214, ""en"", ""te""),"""")"),"")</f>
        <v/>
      </c>
      <c r="G7214" s="2"/>
      <c r="H7214" s="2" t="str">
        <f>IFERROR(__xludf.DUMMYFUNCTION("IF(G7214&lt;&gt;"""", GOOGLETRANSLATE(G7214, ""en"", ""te""),"""")"),"")</f>
        <v/>
      </c>
      <c r="I7214" s="3"/>
    </row>
    <row r="7215" customHeight="1" spans="1:9">
      <c r="A7215" s="2"/>
      <c r="B7215" s="2" t="str">
        <f>IFERROR(__xludf.DUMMYFUNCTION("IF(A7215&lt;&gt;"""", GOOGLETRANSLATE(A7215, ""en"", ""te""),"""")"),"")</f>
        <v/>
      </c>
      <c r="C7215" s="2"/>
      <c r="D7215" s="2" t="str">
        <f>IFERROR(__xludf.DUMMYFUNCTION("IF(C7215&lt;&gt;"""", GOOGLETRANSLATE(C7215, ""en"", ""te""),"""")"),"")</f>
        <v/>
      </c>
      <c r="E7215" s="2"/>
      <c r="F7215" s="2" t="str">
        <f>IFERROR(__xludf.DUMMYFUNCTION("IF(E7215&lt;&gt;"""", GOOGLETRANSLATE(E7215, ""en"", ""te""),"""")"),"")</f>
        <v/>
      </c>
      <c r="G7215" s="2"/>
      <c r="H7215" s="2" t="str">
        <f>IFERROR(__xludf.DUMMYFUNCTION("IF(G7215&lt;&gt;"""", GOOGLETRANSLATE(G7215, ""en"", ""te""),"""")"),"")</f>
        <v/>
      </c>
      <c r="I7215" s="3"/>
    </row>
    <row r="7216" customHeight="1" spans="1:9">
      <c r="A7216" s="2"/>
      <c r="B7216" s="2" t="str">
        <f>IFERROR(__xludf.DUMMYFUNCTION("IF(A7216&lt;&gt;"""", GOOGLETRANSLATE(A7216, ""en"", ""te""),"""")"),"")</f>
        <v/>
      </c>
      <c r="C7216" s="2"/>
      <c r="D7216" s="2" t="str">
        <f>IFERROR(__xludf.DUMMYFUNCTION("IF(C7216&lt;&gt;"""", GOOGLETRANSLATE(C7216, ""en"", ""te""),"""")"),"")</f>
        <v/>
      </c>
      <c r="E7216" s="2"/>
      <c r="F7216" s="2" t="str">
        <f>IFERROR(__xludf.DUMMYFUNCTION("IF(E7216&lt;&gt;"""", GOOGLETRANSLATE(E7216, ""en"", ""te""),"""")"),"")</f>
        <v/>
      </c>
      <c r="G7216" s="2"/>
      <c r="H7216" s="2" t="str">
        <f>IFERROR(__xludf.DUMMYFUNCTION("IF(G7216&lt;&gt;"""", GOOGLETRANSLATE(G7216, ""en"", ""te""),"""")"),"")</f>
        <v/>
      </c>
      <c r="I7216" s="3"/>
    </row>
    <row r="7217" customHeight="1" spans="1:9">
      <c r="A7217" s="2"/>
      <c r="B7217" s="2" t="str">
        <f>IFERROR(__xludf.DUMMYFUNCTION("IF(A7217&lt;&gt;"""", GOOGLETRANSLATE(A7217, ""en"", ""te""),"""")"),"")</f>
        <v/>
      </c>
      <c r="C7217" s="2"/>
      <c r="D7217" s="2" t="str">
        <f>IFERROR(__xludf.DUMMYFUNCTION("IF(C7217&lt;&gt;"""", GOOGLETRANSLATE(C7217, ""en"", ""te""),"""")"),"")</f>
        <v/>
      </c>
      <c r="E7217" s="2"/>
      <c r="F7217" s="2" t="str">
        <f>IFERROR(__xludf.DUMMYFUNCTION("IF(E7217&lt;&gt;"""", GOOGLETRANSLATE(E7217, ""en"", ""te""),"""")"),"")</f>
        <v/>
      </c>
      <c r="G7217" s="2"/>
      <c r="H7217" s="2" t="str">
        <f>IFERROR(__xludf.DUMMYFUNCTION("IF(G7217&lt;&gt;"""", GOOGLETRANSLATE(G7217, ""en"", ""te""),"""")"),"")</f>
        <v/>
      </c>
      <c r="I7217" s="3"/>
    </row>
    <row r="7218" customHeight="1" spans="1:9">
      <c r="A7218" s="2"/>
      <c r="B7218" s="2" t="str">
        <f>IFERROR(__xludf.DUMMYFUNCTION("IF(A7218&lt;&gt;"""", GOOGLETRANSLATE(A7218, ""en"", ""te""),"""")"),"")</f>
        <v/>
      </c>
      <c r="C7218" s="2"/>
      <c r="D7218" s="2" t="str">
        <f>IFERROR(__xludf.DUMMYFUNCTION("IF(C7218&lt;&gt;"""", GOOGLETRANSLATE(C7218, ""en"", ""te""),"""")"),"")</f>
        <v/>
      </c>
      <c r="E7218" s="2"/>
      <c r="F7218" s="2" t="str">
        <f>IFERROR(__xludf.DUMMYFUNCTION("IF(E7218&lt;&gt;"""", GOOGLETRANSLATE(E7218, ""en"", ""te""),"""")"),"")</f>
        <v/>
      </c>
      <c r="G7218" s="2"/>
      <c r="H7218" s="2" t="str">
        <f>IFERROR(__xludf.DUMMYFUNCTION("IF(G7218&lt;&gt;"""", GOOGLETRANSLATE(G7218, ""en"", ""te""),"""")"),"")</f>
        <v/>
      </c>
      <c r="I7218" s="3"/>
    </row>
    <row r="7219" customHeight="1" spans="1:9">
      <c r="A7219" s="2"/>
      <c r="B7219" s="2" t="str">
        <f>IFERROR(__xludf.DUMMYFUNCTION("IF(A7219&lt;&gt;"""", GOOGLETRANSLATE(A7219, ""en"", ""te""),"""")"),"")</f>
        <v/>
      </c>
      <c r="C7219" s="2"/>
      <c r="D7219" s="2" t="str">
        <f>IFERROR(__xludf.DUMMYFUNCTION("IF(C7219&lt;&gt;"""", GOOGLETRANSLATE(C7219, ""en"", ""te""),"""")"),"")</f>
        <v/>
      </c>
      <c r="E7219" s="2"/>
      <c r="F7219" s="2" t="str">
        <f>IFERROR(__xludf.DUMMYFUNCTION("IF(E7219&lt;&gt;"""", GOOGLETRANSLATE(E7219, ""en"", ""te""),"""")"),"")</f>
        <v/>
      </c>
      <c r="G7219" s="2"/>
      <c r="H7219" s="2" t="str">
        <f>IFERROR(__xludf.DUMMYFUNCTION("IF(G7219&lt;&gt;"""", GOOGLETRANSLATE(G7219, ""en"", ""te""),"""")"),"")</f>
        <v/>
      </c>
      <c r="I7219" s="3"/>
    </row>
    <row r="7220" customHeight="1" spans="1:9">
      <c r="A7220" s="2" t="s">
        <v>4248</v>
      </c>
      <c r="B7220" s="2" t="str">
        <f>IFERROR(__xludf.DUMMYFUNCTION("IF(A7220&lt;&gt;"""", GOOGLETRANSLATE(A7220, ""en"", ""te""),"""")"),"[ '6 వ ఉత్తమ సమ్మె ఇన్నింగ్స్ లో రేటు (6.0)', '1st ఒక ఇన్నింగ్స్ లోని బెస్ట్ ఫిగర్స్ ఉన్నప్పుడు పరాజయం వైపు (6)', '4 వ అత్యధిక వరుస బాతులు (4)']")</f>
        <v>[ '6 వ ఉత్తమ సమ్మె ఇన్నింగ్స్ లో రేటు (6.0)', '1st ఒక ఇన్నింగ్స్ లోని బెస్ట్ ఫిగర్స్ ఉన్నప్పుడు పరాజయం వైపు (6)', '4 వ అత్యధిక వరుస బాతులు (4)']</v>
      </c>
      <c r="C7220" s="2" t="s">
        <v>4249</v>
      </c>
      <c r="D7220" s="2" t="str">
        <f>IFERROR(__xludf.DUMMYFUNCTION("IF(C7220&lt;&gt;"""", GOOGLETRANSLATE(C7220, ""en"", ""te""),"""")"),"[ '6 వ ఉత్తమ సమ్మె ఇన్నింగ్స్ లో రేటు (6.0)', '33 వ ప్రవేశం (8) ఒక మ్యాచ్లో బెస్ట్ ఫిగర్స్']")</f>
        <v>[ '6 వ ఉత్తమ సమ్మె ఇన్నింగ్స్ లో రేటు (6.0)', '33 వ ప్రవేశం (8) ఒక మ్యాచ్లో బెస్ట్ ఫిగర్స్']</v>
      </c>
      <c r="E7220" s="2" t="s">
        <v>4250</v>
      </c>
      <c r="F7220" s="2" t="str">
        <f>IFERROR(__xludf.DUMMYFUNCTION("IF(E7220&lt;&gt;"""", GOOGLETRANSLATE(E7220, ""en"", ""te""),"""")"),"[ '49 వ ఇన్నింగ్స్ లో బెస్ట్ ఫిగర్స్ (6/29)', '1st ఒక ఇన్నింగ్స్ లోని బెస్ట్ ఫిగర్స్ ఉన్నప్పుడు పరాజయం వైపు (6)', '43 వ అత్యంత ఐదు-వికెట్ల లో-ఒక-ఇన్నింగ్స్ కెరీర్లో (2) ',' 13 వ వరుస నాలుగు వికెట్లు-ఇన్-ఒక-ఇన్నింగ్స్ (2) ']")</f>
        <v>[ '49 వ ఇన్నింగ్స్ లో బెస్ట్ ఫిగర్స్ (6/29)', '1st ఒక ఇన్నింగ్స్ లోని బెస్ట్ ఫిగర్స్ ఉన్నప్పుడు పరాజయం వైపు (6)', '43 వ అత్యంత ఐదు-వికెట్ల లో-ఒక-ఇన్నింగ్స్ కెరీర్లో (2) ',' 13 వ వరుస నాలుగు వికెట్లు-ఇన్-ఒక-ఇన్నింగ్స్ (2) ']</v>
      </c>
      <c r="G7220" s="2" t="s">
        <v>4251</v>
      </c>
      <c r="H7220" s="2" t="str">
        <f>IFERROR(__xludf.DUMMYFUNCTION("IF(G7220&lt;&gt;"""", GOOGLETRANSLATE(G7220, ""en"", ""te""),"""")"),"[ '30 వ ఒకే మైదానంలో అత్యధిక వికెట్లు (12)', '30 వ చెత్త కెరీర్లో ఆర్థిక రేటు (8.16)', '16 వ ఇన్నింగ్స్ లో సాధించిన అత్యధిక పరుగులు (62)', '26 వరుస మ్యాచ్లు ఆడి మధ్య జట్టుకు దూరమయ్యాడు ( 44) ']")</f>
        <v>[ '30 వ ఒకే మైదానంలో అత్యధిక వికెట్లు (12)', '30 వ చెత్త కెరీర్లో ఆర్థిక రేటు (8.16)', '16 వ ఇన్నింగ్స్ లో సాధించిన అత్యధిక పరుగులు (62)', '26 వరుస మ్యాచ్లు ఆడి మధ్య జట్టుకు దూరమయ్యాడు ( 44) ']</v>
      </c>
      <c r="I7220" s="3"/>
    </row>
    <row r="7221" customHeight="1" spans="1:9">
      <c r="A7221" s="2"/>
      <c r="B7221" s="2" t="str">
        <f>IFERROR(__xludf.DUMMYFUNCTION("IF(A7221&lt;&gt;"""", GOOGLETRANSLATE(A7221, ""en"", ""te""),"""")"),"")</f>
        <v/>
      </c>
      <c r="C7221" s="2"/>
      <c r="D7221" s="2" t="str">
        <f>IFERROR(__xludf.DUMMYFUNCTION("IF(C7221&lt;&gt;"""", GOOGLETRANSLATE(C7221, ""en"", ""te""),"""")"),"")</f>
        <v/>
      </c>
      <c r="E7221" s="2"/>
      <c r="F7221" s="2" t="str">
        <f>IFERROR(__xludf.DUMMYFUNCTION("IF(E7221&lt;&gt;"""", GOOGLETRANSLATE(E7221, ""en"", ""te""),"""")"),"")</f>
        <v/>
      </c>
      <c r="G7221" s="2"/>
      <c r="H7221" s="2" t="str">
        <f>IFERROR(__xludf.DUMMYFUNCTION("IF(G7221&lt;&gt;"""", GOOGLETRANSLATE(G7221, ""en"", ""te""),"""")"),"")</f>
        <v/>
      </c>
      <c r="I7221" s="3"/>
    </row>
    <row r="7222" customHeight="1" spans="1:9">
      <c r="A7222" s="2"/>
      <c r="B7222" s="2" t="str">
        <f>IFERROR(__xludf.DUMMYFUNCTION("IF(A7222&lt;&gt;"""", GOOGLETRANSLATE(A7222, ""en"", ""te""),"""")"),"")</f>
        <v/>
      </c>
      <c r="C7222" s="2" t="s">
        <v>4252</v>
      </c>
      <c r="D7222" s="2" t="str">
        <f>IFERROR(__xludf.DUMMYFUNCTION("IF(C7222&lt;&gt;"""", GOOGLETRANSLATE(C7222, ""en"", ""te""),"""")"),"[ '16 వ చెత్త కెరీర్ బౌలింగ్ సరాసరి (60.04)', '45 వ చెత్త కెరీర్లో సమ్మె రేటు (108.5)']")</f>
        <v>[ '16 వ చెత్త కెరీర్ బౌలింగ్ సరాసరి (60.04)', '45 వ చెత్త కెరీర్లో సమ్మె రేటు (108.5)']</v>
      </c>
      <c r="E7222" s="2"/>
      <c r="F7222" s="2" t="str">
        <f>IFERROR(__xludf.DUMMYFUNCTION("IF(E7222&lt;&gt;"""", GOOGLETRANSLATE(E7222, ""en"", ""te""),"""")"),"")</f>
        <v/>
      </c>
      <c r="G7222" s="2" t="s">
        <v>4253</v>
      </c>
      <c r="H7222" s="2" t="str">
        <f>IFERROR(__xludf.DUMMYFUNCTION("IF(G7222&lt;&gt;"""", GOOGLETRANSLATE(G7222, ""en"", ""te""),"""")"),"[ '20 వ ఇన్నింగ్స్ లో అత్యధిక పరుగులు (బ్యాటింగ్ స్థానంలో ప్రకారం) (57)', 'కెరీర్ (15) 40 వ లేవు బాతులు']")</f>
        <v>[ '20 వ ఇన్నింగ్స్ లో అత్యధిక పరుగులు (బ్యాటింగ్ స్థానంలో ప్రకారం) (57)', 'కెరీర్ (15) 40 వ లేవు బాతులు']</v>
      </c>
      <c r="I7222" s="3"/>
    </row>
    <row r="7223" customHeight="1" spans="1:9">
      <c r="A7223" s="2"/>
      <c r="B7223" s="2" t="str">
        <f>IFERROR(__xludf.DUMMYFUNCTION("IF(A7223&lt;&gt;"""", GOOGLETRANSLATE(A7223, ""en"", ""te""),"""")"),"")</f>
        <v/>
      </c>
      <c r="C7223" s="2"/>
      <c r="D7223" s="2" t="str">
        <f>IFERROR(__xludf.DUMMYFUNCTION("IF(C7223&lt;&gt;"""", GOOGLETRANSLATE(C7223, ""en"", ""te""),"""")"),"")</f>
        <v/>
      </c>
      <c r="E7223" s="2"/>
      <c r="F7223" s="2" t="str">
        <f>IFERROR(__xludf.DUMMYFUNCTION("IF(E7223&lt;&gt;"""", GOOGLETRANSLATE(E7223, ""en"", ""te""),"""")"),"")</f>
        <v/>
      </c>
      <c r="G7223" s="2"/>
      <c r="H7223" s="2" t="str">
        <f>IFERROR(__xludf.DUMMYFUNCTION("IF(G7223&lt;&gt;"""", GOOGLETRANSLATE(G7223, ""en"", ""te""),"""")"),"")</f>
        <v/>
      </c>
      <c r="I7223" s="3"/>
    </row>
    <row r="7224" customHeight="1" spans="1:9">
      <c r="A7224" s="2"/>
      <c r="B7224" s="2" t="str">
        <f>IFERROR(__xludf.DUMMYFUNCTION("IF(A7224&lt;&gt;"""", GOOGLETRANSLATE(A7224, ""en"", ""te""),"""")"),"")</f>
        <v/>
      </c>
      <c r="C7224" s="2"/>
      <c r="D7224" s="2" t="str">
        <f>IFERROR(__xludf.DUMMYFUNCTION("IF(C7224&lt;&gt;"""", GOOGLETRANSLATE(C7224, ""en"", ""te""),"""")"),"")</f>
        <v/>
      </c>
      <c r="E7224" s="2"/>
      <c r="F7224" s="2" t="str">
        <f>IFERROR(__xludf.DUMMYFUNCTION("IF(E7224&lt;&gt;"""", GOOGLETRANSLATE(E7224, ""en"", ""te""),"""")"),"")</f>
        <v/>
      </c>
      <c r="G7224" s="2"/>
      <c r="H7224" s="2" t="str">
        <f>IFERROR(__xludf.DUMMYFUNCTION("IF(G7224&lt;&gt;"""", GOOGLETRANSLATE(G7224, ""en"", ""te""),"""")"),"")</f>
        <v/>
      </c>
      <c r="I7224" s="3"/>
    </row>
    <row r="7225" customHeight="1" spans="1:9">
      <c r="A7225" s="2"/>
      <c r="B7225" s="2" t="str">
        <f>IFERROR(__xludf.DUMMYFUNCTION("IF(A7225&lt;&gt;"""", GOOGLETRANSLATE(A7225, ""en"", ""te""),"""")"),"")</f>
        <v/>
      </c>
      <c r="C7225" s="2"/>
      <c r="D7225" s="2" t="str">
        <f>IFERROR(__xludf.DUMMYFUNCTION("IF(C7225&lt;&gt;"""", GOOGLETRANSLATE(C7225, ""en"", ""te""),"""")"),"")</f>
        <v/>
      </c>
      <c r="E7225" s="2"/>
      <c r="F7225" s="2" t="str">
        <f>IFERROR(__xludf.DUMMYFUNCTION("IF(E7225&lt;&gt;"""", GOOGLETRANSLATE(E7225, ""en"", ""te""),"""")"),"")</f>
        <v/>
      </c>
      <c r="G7225" s="2"/>
      <c r="H7225" s="2" t="str">
        <f>IFERROR(__xludf.DUMMYFUNCTION("IF(G7225&lt;&gt;"""", GOOGLETRANSLATE(G7225, ""en"", ""te""),"""")"),"")</f>
        <v/>
      </c>
      <c r="I7225" s="3"/>
    </row>
    <row r="7226" customHeight="1" spans="1:9">
      <c r="A7226" s="2"/>
      <c r="B7226" s="2" t="str">
        <f>IFERROR(__xludf.DUMMYFUNCTION("IF(A7226&lt;&gt;"""", GOOGLETRANSLATE(A7226, ""en"", ""te""),"""")"),"")</f>
        <v/>
      </c>
      <c r="C7226" s="2"/>
      <c r="D7226" s="2" t="str">
        <f>IFERROR(__xludf.DUMMYFUNCTION("IF(C7226&lt;&gt;"""", GOOGLETRANSLATE(C7226, ""en"", ""te""),"""")"),"")</f>
        <v/>
      </c>
      <c r="E7226" s="2"/>
      <c r="F7226" s="2" t="str">
        <f>IFERROR(__xludf.DUMMYFUNCTION("IF(E7226&lt;&gt;"""", GOOGLETRANSLATE(E7226, ""en"", ""te""),"""")"),"")</f>
        <v/>
      </c>
      <c r="G7226" s="2"/>
      <c r="H7226" s="2" t="str">
        <f>IFERROR(__xludf.DUMMYFUNCTION("IF(G7226&lt;&gt;"""", GOOGLETRANSLATE(G7226, ""en"", ""te""),"""")"),"")</f>
        <v/>
      </c>
      <c r="I7226" s="3"/>
    </row>
    <row r="7227" customHeight="1" spans="1:9">
      <c r="A7227" s="2"/>
      <c r="B7227" s="2" t="str">
        <f>IFERROR(__xludf.DUMMYFUNCTION("IF(A7227&lt;&gt;"""", GOOGLETRANSLATE(A7227, ""en"", ""te""),"""")"),"")</f>
        <v/>
      </c>
      <c r="C7227" s="2"/>
      <c r="D7227" s="2" t="str">
        <f>IFERROR(__xludf.DUMMYFUNCTION("IF(C7227&lt;&gt;"""", GOOGLETRANSLATE(C7227, ""en"", ""te""),"""")"),"")</f>
        <v/>
      </c>
      <c r="E7227" s="2"/>
      <c r="F7227" s="2" t="str">
        <f>IFERROR(__xludf.DUMMYFUNCTION("IF(E7227&lt;&gt;"""", GOOGLETRANSLATE(E7227, ""en"", ""te""),"""")"),"")</f>
        <v/>
      </c>
      <c r="G7227" s="2"/>
      <c r="H7227" s="2" t="str">
        <f>IFERROR(__xludf.DUMMYFUNCTION("IF(G7227&lt;&gt;"""", GOOGLETRANSLATE(G7227, ""en"", ""te""),"""")"),"")</f>
        <v/>
      </c>
      <c r="I7227" s="3"/>
    </row>
    <row r="7228" customHeight="1" spans="1:9">
      <c r="A7228" s="2"/>
      <c r="B7228" s="2" t="str">
        <f>IFERROR(__xludf.DUMMYFUNCTION("IF(A7228&lt;&gt;"""", GOOGLETRANSLATE(A7228, ""en"", ""te""),"""")"),"")</f>
        <v/>
      </c>
      <c r="C7228" s="2"/>
      <c r="D7228" s="2" t="str">
        <f>IFERROR(__xludf.DUMMYFUNCTION("IF(C7228&lt;&gt;"""", GOOGLETRANSLATE(C7228, ""en"", ""te""),"""")"),"")</f>
        <v/>
      </c>
      <c r="E7228" s="2"/>
      <c r="F7228" s="2" t="str">
        <f>IFERROR(__xludf.DUMMYFUNCTION("IF(E7228&lt;&gt;"""", GOOGLETRANSLATE(E7228, ""en"", ""te""),"""")"),"")</f>
        <v/>
      </c>
      <c r="G7228" s="2"/>
      <c r="H7228" s="2" t="str">
        <f>IFERROR(__xludf.DUMMYFUNCTION("IF(G7228&lt;&gt;"""", GOOGLETRANSLATE(G7228, ""en"", ""te""),"""")"),"")</f>
        <v/>
      </c>
      <c r="I7228" s="3"/>
    </row>
    <row r="7229" customHeight="1" spans="1:9">
      <c r="A7229" s="2"/>
      <c r="B7229" s="2" t="str">
        <f>IFERROR(__xludf.DUMMYFUNCTION("IF(A7229&lt;&gt;"""", GOOGLETRANSLATE(A7229, ""en"", ""te""),"""")"),"")</f>
        <v/>
      </c>
      <c r="C7229" s="2"/>
      <c r="D7229" s="2" t="str">
        <f>IFERROR(__xludf.DUMMYFUNCTION("IF(C7229&lt;&gt;"""", GOOGLETRANSLATE(C7229, ""en"", ""te""),"""")"),"")</f>
        <v/>
      </c>
      <c r="E7229" s="2"/>
      <c r="F7229" s="2" t="str">
        <f>IFERROR(__xludf.DUMMYFUNCTION("IF(E7229&lt;&gt;"""", GOOGLETRANSLATE(E7229, ""en"", ""te""),"""")"),"")</f>
        <v/>
      </c>
      <c r="G7229" s="2"/>
      <c r="H7229" s="2" t="str">
        <f>IFERROR(__xludf.DUMMYFUNCTION("IF(G7229&lt;&gt;"""", GOOGLETRANSLATE(G7229, ""en"", ""te""),"""")"),"")</f>
        <v/>
      </c>
      <c r="I7229" s="3"/>
    </row>
    <row r="7230" customHeight="1" spans="1:9">
      <c r="A7230" s="2"/>
      <c r="B7230" s="2" t="str">
        <f>IFERROR(__xludf.DUMMYFUNCTION("IF(A7230&lt;&gt;"""", GOOGLETRANSLATE(A7230, ""en"", ""te""),"""")"),"")</f>
        <v/>
      </c>
      <c r="C7230" s="2"/>
      <c r="D7230" s="2" t="str">
        <f>IFERROR(__xludf.DUMMYFUNCTION("IF(C7230&lt;&gt;"""", GOOGLETRANSLATE(C7230, ""en"", ""te""),"""")"),"")</f>
        <v/>
      </c>
      <c r="E7230" s="2"/>
      <c r="F7230" s="2" t="str">
        <f>IFERROR(__xludf.DUMMYFUNCTION("IF(E7230&lt;&gt;"""", GOOGLETRANSLATE(E7230, ""en"", ""te""),"""")"),"")</f>
        <v/>
      </c>
      <c r="G7230" s="2"/>
      <c r="H7230" s="2" t="str">
        <f>IFERROR(__xludf.DUMMYFUNCTION("IF(G7230&lt;&gt;"""", GOOGLETRANSLATE(G7230, ""en"", ""te""),"""")"),"")</f>
        <v/>
      </c>
      <c r="I7230" s="3"/>
    </row>
    <row r="7231" customHeight="1" spans="1:9">
      <c r="A7231" s="2"/>
      <c r="B7231" s="2" t="str">
        <f>IFERROR(__xludf.DUMMYFUNCTION("IF(A7231&lt;&gt;"""", GOOGLETRANSLATE(A7231, ""en"", ""te""),"""")"),"")</f>
        <v/>
      </c>
      <c r="C7231" s="2"/>
      <c r="D7231" s="2" t="str">
        <f>IFERROR(__xludf.DUMMYFUNCTION("IF(C7231&lt;&gt;"""", GOOGLETRANSLATE(C7231, ""en"", ""te""),"""")"),"")</f>
        <v/>
      </c>
      <c r="E7231" s="2"/>
      <c r="F7231" s="2" t="str">
        <f>IFERROR(__xludf.DUMMYFUNCTION("IF(E7231&lt;&gt;"""", GOOGLETRANSLATE(E7231, ""en"", ""te""),"""")"),"")</f>
        <v/>
      </c>
      <c r="G7231" s="2"/>
      <c r="H7231" s="2" t="str">
        <f>IFERROR(__xludf.DUMMYFUNCTION("IF(G7231&lt;&gt;"""", GOOGLETRANSLATE(G7231, ""en"", ""te""),"""")"),"")</f>
        <v/>
      </c>
      <c r="I7231" s="3"/>
    </row>
    <row r="7232" customHeight="1" spans="1:9">
      <c r="A7232" s="2"/>
      <c r="B7232" s="2" t="str">
        <f>IFERROR(__xludf.DUMMYFUNCTION("IF(A7232&lt;&gt;"""", GOOGLETRANSLATE(A7232, ""en"", ""te""),"""")"),"")</f>
        <v/>
      </c>
      <c r="C7232" s="2"/>
      <c r="D7232" s="2" t="str">
        <f>IFERROR(__xludf.DUMMYFUNCTION("IF(C7232&lt;&gt;"""", GOOGLETRANSLATE(C7232, ""en"", ""te""),"""")"),"")</f>
        <v/>
      </c>
      <c r="E7232" s="2"/>
      <c r="F7232" s="2" t="str">
        <f>IFERROR(__xludf.DUMMYFUNCTION("IF(E7232&lt;&gt;"""", GOOGLETRANSLATE(E7232, ""en"", ""te""),"""")"),"")</f>
        <v/>
      </c>
      <c r="G7232" s="2"/>
      <c r="H7232" s="2" t="str">
        <f>IFERROR(__xludf.DUMMYFUNCTION("IF(G7232&lt;&gt;"""", GOOGLETRANSLATE(G7232, ""en"", ""te""),"""")"),"")</f>
        <v/>
      </c>
      <c r="I7232" s="3"/>
    </row>
    <row r="7233" customHeight="1" spans="1:9">
      <c r="A7233" s="2"/>
      <c r="B7233" s="2" t="str">
        <f>IFERROR(__xludf.DUMMYFUNCTION("IF(A7233&lt;&gt;"""", GOOGLETRANSLATE(A7233, ""en"", ""te""),"""")"),"")</f>
        <v/>
      </c>
      <c r="C7233" s="2"/>
      <c r="D7233" s="2" t="str">
        <f>IFERROR(__xludf.DUMMYFUNCTION("IF(C7233&lt;&gt;"""", GOOGLETRANSLATE(C7233, ""en"", ""te""),"""")"),"")</f>
        <v/>
      </c>
      <c r="E7233" s="2"/>
      <c r="F7233" s="2" t="str">
        <f>IFERROR(__xludf.DUMMYFUNCTION("IF(E7233&lt;&gt;"""", GOOGLETRANSLATE(E7233, ""en"", ""te""),"""")"),"")</f>
        <v/>
      </c>
      <c r="G7233" s="2"/>
      <c r="H7233" s="2" t="str">
        <f>IFERROR(__xludf.DUMMYFUNCTION("IF(G7233&lt;&gt;"""", GOOGLETRANSLATE(G7233, ""en"", ""te""),"""")"),"")</f>
        <v/>
      </c>
      <c r="I7233" s="3"/>
    </row>
    <row r="7234" customHeight="1" spans="1:9">
      <c r="A7234" s="2"/>
      <c r="B7234" s="2" t="str">
        <f>IFERROR(__xludf.DUMMYFUNCTION("IF(A7234&lt;&gt;"""", GOOGLETRANSLATE(A7234, ""en"", ""te""),"""")"),"")</f>
        <v/>
      </c>
      <c r="C7234" s="2"/>
      <c r="D7234" s="2" t="str">
        <f>IFERROR(__xludf.DUMMYFUNCTION("IF(C7234&lt;&gt;"""", GOOGLETRANSLATE(C7234, ""en"", ""te""),"""")"),"")</f>
        <v/>
      </c>
      <c r="E7234" s="2"/>
      <c r="F7234" s="2" t="str">
        <f>IFERROR(__xludf.DUMMYFUNCTION("IF(E7234&lt;&gt;"""", GOOGLETRANSLATE(E7234, ""en"", ""te""),"""")"),"")</f>
        <v/>
      </c>
      <c r="G7234" s="2"/>
      <c r="H7234" s="2" t="str">
        <f>IFERROR(__xludf.DUMMYFUNCTION("IF(G7234&lt;&gt;"""", GOOGLETRANSLATE(G7234, ""en"", ""te""),"""")"),"")</f>
        <v/>
      </c>
      <c r="I7234" s="3"/>
    </row>
    <row r="7235" customHeight="1" spans="1:9">
      <c r="A7235" s="2"/>
      <c r="B7235" s="2" t="str">
        <f>IFERROR(__xludf.DUMMYFUNCTION("IF(A7235&lt;&gt;"""", GOOGLETRANSLATE(A7235, ""en"", ""te""),"""")"),"")</f>
        <v/>
      </c>
      <c r="C7235" s="2"/>
      <c r="D7235" s="2" t="str">
        <f>IFERROR(__xludf.DUMMYFUNCTION("IF(C7235&lt;&gt;"""", GOOGLETRANSLATE(C7235, ""en"", ""te""),"""")"),"")</f>
        <v/>
      </c>
      <c r="E7235" s="2"/>
      <c r="F7235" s="2" t="str">
        <f>IFERROR(__xludf.DUMMYFUNCTION("IF(E7235&lt;&gt;"""", GOOGLETRANSLATE(E7235, ""en"", ""te""),"""")"),"")</f>
        <v/>
      </c>
      <c r="G7235" s="2"/>
      <c r="H7235" s="2" t="str">
        <f>IFERROR(__xludf.DUMMYFUNCTION("IF(G7235&lt;&gt;"""", GOOGLETRANSLATE(G7235, ""en"", ""te""),"""")"),"")</f>
        <v/>
      </c>
      <c r="I7235" s="3"/>
    </row>
    <row r="7236" customHeight="1" spans="1:9">
      <c r="A7236" s="2"/>
      <c r="B7236" s="2" t="str">
        <f>IFERROR(__xludf.DUMMYFUNCTION("IF(A7236&lt;&gt;"""", GOOGLETRANSLATE(A7236, ""en"", ""te""),"""")"),"")</f>
        <v/>
      </c>
      <c r="C7236" s="2"/>
      <c r="D7236" s="2" t="str">
        <f>IFERROR(__xludf.DUMMYFUNCTION("IF(C7236&lt;&gt;"""", GOOGLETRANSLATE(C7236, ""en"", ""te""),"""")"),"")</f>
        <v/>
      </c>
      <c r="E7236" s="2"/>
      <c r="F7236" s="2" t="str">
        <f>IFERROR(__xludf.DUMMYFUNCTION("IF(E7236&lt;&gt;"""", GOOGLETRANSLATE(E7236, ""en"", ""te""),"""")"),"")</f>
        <v/>
      </c>
      <c r="G7236" s="2"/>
      <c r="H7236" s="2" t="str">
        <f>IFERROR(__xludf.DUMMYFUNCTION("IF(G7236&lt;&gt;"""", GOOGLETRANSLATE(G7236, ""en"", ""te""),"""")"),"")</f>
        <v/>
      </c>
      <c r="I7236" s="3"/>
    </row>
    <row r="7237" customHeight="1" spans="1:9">
      <c r="A7237" s="2"/>
      <c r="B7237" s="2" t="str">
        <f>IFERROR(__xludf.DUMMYFUNCTION("IF(A7237&lt;&gt;"""", GOOGLETRANSLATE(A7237, ""en"", ""te""),"""")"),"")</f>
        <v/>
      </c>
      <c r="C7237" s="2"/>
      <c r="D7237" s="2" t="str">
        <f>IFERROR(__xludf.DUMMYFUNCTION("IF(C7237&lt;&gt;"""", GOOGLETRANSLATE(C7237, ""en"", ""te""),"""")"),"")</f>
        <v/>
      </c>
      <c r="E7237" s="2"/>
      <c r="F7237" s="2" t="str">
        <f>IFERROR(__xludf.DUMMYFUNCTION("IF(E7237&lt;&gt;"""", GOOGLETRANSLATE(E7237, ""en"", ""te""),"""")"),"")</f>
        <v/>
      </c>
      <c r="G7237" s="2"/>
      <c r="H7237" s="2" t="str">
        <f>IFERROR(__xludf.DUMMYFUNCTION("IF(G7237&lt;&gt;"""", GOOGLETRANSLATE(G7237, ""en"", ""te""),"""")"),"")</f>
        <v/>
      </c>
      <c r="I7237" s="3"/>
    </row>
    <row r="7238" customHeight="1" spans="1:9">
      <c r="A7238" s="2"/>
      <c r="B7238" s="2" t="str">
        <f>IFERROR(__xludf.DUMMYFUNCTION("IF(A7238&lt;&gt;"""", GOOGLETRANSLATE(A7238, ""en"", ""te""),"""")"),"")</f>
        <v/>
      </c>
      <c r="C7238" s="2"/>
      <c r="D7238" s="2" t="str">
        <f>IFERROR(__xludf.DUMMYFUNCTION("IF(C7238&lt;&gt;"""", GOOGLETRANSLATE(C7238, ""en"", ""te""),"""")"),"")</f>
        <v/>
      </c>
      <c r="E7238" s="2"/>
      <c r="F7238" s="2" t="str">
        <f>IFERROR(__xludf.DUMMYFUNCTION("IF(E7238&lt;&gt;"""", GOOGLETRANSLATE(E7238, ""en"", ""te""),"""")"),"")</f>
        <v/>
      </c>
      <c r="G7238" s="2"/>
      <c r="H7238" s="2" t="str">
        <f>IFERROR(__xludf.DUMMYFUNCTION("IF(G7238&lt;&gt;"""", GOOGLETRANSLATE(G7238, ""en"", ""te""),"""")"),"")</f>
        <v/>
      </c>
      <c r="I7238" s="3"/>
    </row>
    <row r="7239" customHeight="1" spans="1:9">
      <c r="A7239" s="2"/>
      <c r="B7239" s="2" t="str">
        <f>IFERROR(__xludf.DUMMYFUNCTION("IF(A7239&lt;&gt;"""", GOOGLETRANSLATE(A7239, ""en"", ""te""),"""")"),"")</f>
        <v/>
      </c>
      <c r="C7239" s="2"/>
      <c r="D7239" s="2" t="str">
        <f>IFERROR(__xludf.DUMMYFUNCTION("IF(C7239&lt;&gt;"""", GOOGLETRANSLATE(C7239, ""en"", ""te""),"""")"),"")</f>
        <v/>
      </c>
      <c r="E7239" s="2"/>
      <c r="F7239" s="2" t="str">
        <f>IFERROR(__xludf.DUMMYFUNCTION("IF(E7239&lt;&gt;"""", GOOGLETRANSLATE(E7239, ""en"", ""te""),"""")"),"")</f>
        <v/>
      </c>
      <c r="G7239" s="2"/>
      <c r="H7239" s="2" t="str">
        <f>IFERROR(__xludf.DUMMYFUNCTION("IF(G7239&lt;&gt;"""", GOOGLETRANSLATE(G7239, ""en"", ""te""),"""")"),"")</f>
        <v/>
      </c>
      <c r="I7239" s="3"/>
    </row>
    <row r="7240" customHeight="1" spans="1:9">
      <c r="A7240" s="2"/>
      <c r="B7240" s="2" t="str">
        <f>IFERROR(__xludf.DUMMYFUNCTION("IF(A7240&lt;&gt;"""", GOOGLETRANSLATE(A7240, ""en"", ""te""),"""")"),"")</f>
        <v/>
      </c>
      <c r="C7240" s="2"/>
      <c r="D7240" s="2" t="str">
        <f>IFERROR(__xludf.DUMMYFUNCTION("IF(C7240&lt;&gt;"""", GOOGLETRANSLATE(C7240, ""en"", ""te""),"""")"),"")</f>
        <v/>
      </c>
      <c r="E7240" s="2"/>
      <c r="F7240" s="2" t="str">
        <f>IFERROR(__xludf.DUMMYFUNCTION("IF(E7240&lt;&gt;"""", GOOGLETRANSLATE(E7240, ""en"", ""te""),"""")"),"")</f>
        <v/>
      </c>
      <c r="G7240" s="2"/>
      <c r="H7240" s="2" t="str">
        <f>IFERROR(__xludf.DUMMYFUNCTION("IF(G7240&lt;&gt;"""", GOOGLETRANSLATE(G7240, ""en"", ""te""),"""")"),"")</f>
        <v/>
      </c>
      <c r="I7240" s="3"/>
    </row>
    <row r="7241" customHeight="1" spans="1:9">
      <c r="A7241" s="2"/>
      <c r="B7241" s="2" t="str">
        <f>IFERROR(__xludf.DUMMYFUNCTION("IF(A7241&lt;&gt;"""", GOOGLETRANSLATE(A7241, ""en"", ""te""),"""")"),"")</f>
        <v/>
      </c>
      <c r="C7241" s="2"/>
      <c r="D7241" s="2" t="str">
        <f>IFERROR(__xludf.DUMMYFUNCTION("IF(C7241&lt;&gt;"""", GOOGLETRANSLATE(C7241, ""en"", ""te""),"""")"),"")</f>
        <v/>
      </c>
      <c r="E7241" s="2"/>
      <c r="F7241" s="2" t="str">
        <f>IFERROR(__xludf.DUMMYFUNCTION("IF(E7241&lt;&gt;"""", GOOGLETRANSLATE(E7241, ""en"", ""te""),"""")"),"")</f>
        <v/>
      </c>
      <c r="G7241" s="2"/>
      <c r="H7241" s="2" t="str">
        <f>IFERROR(__xludf.DUMMYFUNCTION("IF(G7241&lt;&gt;"""", GOOGLETRANSLATE(G7241, ""en"", ""te""),"""")"),"")</f>
        <v/>
      </c>
      <c r="I7241" s="3"/>
    </row>
    <row r="7242" customHeight="1" spans="1:9">
      <c r="A7242" s="2"/>
      <c r="B7242" s="2" t="str">
        <f>IFERROR(__xludf.DUMMYFUNCTION("IF(A7242&lt;&gt;"""", GOOGLETRANSLATE(A7242, ""en"", ""te""),"""")"),"")</f>
        <v/>
      </c>
      <c r="C7242" s="2"/>
      <c r="D7242" s="2" t="str">
        <f>IFERROR(__xludf.DUMMYFUNCTION("IF(C7242&lt;&gt;"""", GOOGLETRANSLATE(C7242, ""en"", ""te""),"""")"),"")</f>
        <v/>
      </c>
      <c r="E7242" s="2"/>
      <c r="F7242" s="2" t="str">
        <f>IFERROR(__xludf.DUMMYFUNCTION("IF(E7242&lt;&gt;"""", GOOGLETRANSLATE(E7242, ""en"", ""te""),"""")"),"")</f>
        <v/>
      </c>
      <c r="G7242" s="2"/>
      <c r="H7242" s="2" t="str">
        <f>IFERROR(__xludf.DUMMYFUNCTION("IF(G7242&lt;&gt;"""", GOOGLETRANSLATE(G7242, ""en"", ""te""),"""")"),"")</f>
        <v/>
      </c>
      <c r="I7242" s="3"/>
    </row>
    <row r="7243" customHeight="1" spans="1:9">
      <c r="A7243" s="2" t="s">
        <v>4254</v>
      </c>
      <c r="B7243" s="2" t="str">
        <f>IFERROR(__xludf.DUMMYFUNCTION("IF(A7243&lt;&gt;"""", GOOGLETRANSLATE(A7243, ""en"", ""te""),"""")"),"[ 'ఒక మ్యాచ్లో ప్రతి ఇన్నింగ్స్లో హండ్రెడ్', 'హండ్రెడ్ మరియు ఒక మ్యాచ్లో తొంభై', 'ఒక మ్యాచ్ లో రెండు అజేయంగా అర్ధ', 'హండ్రెడ్ మరియు ఒక మ్యాచ్లో ఒక డక్', '6 వ లాంగెస్ట్ కెరీర్లు (18y 352d)', 'కెరీర్ లో 2 వ పెద్ద తొంభైల (9)', '1000 పరుగులు మరియు 100 వికెట"&amp;"్లు', '1000 పరుగులు, 50 వికెట్లు, 50 క్యాచ్లు', '5000 పరుగులు మరియు 50 ఫీల్డింగ్ వికెట్లు', '9 వ అత్యంత ప్లేయర్ ఆఫ్ ది మ్యాచ్ అవార్డులు (41) ',' ఒక క్యాలెండర్ సంవత్సరంలో 5 వ అత్యధిక వందలు (10) ',' కెరీర్లో 8 వ అత్యంత తొంభైల (11) ']")</f>
        <v>[ 'ఒక మ్యాచ్లో ప్రతి ఇన్నింగ్స్లో హండ్రెడ్', 'హండ్రెడ్ మరియు ఒక మ్యాచ్లో తొంభై', 'ఒక మ్యాచ్ లో రెండు అజేయంగా అర్ధ', 'హండ్రెడ్ మరియు ఒక మ్యాచ్లో ఒక డక్', '6 వ లాంగెస్ట్ కెరీర్లు (18y 352d)', 'కెరీర్ లో 2 వ పెద్ద తొంభైల (9)', '1000 పరుగులు మరియు 100 వికెట్లు', '1000 పరుగులు, 50 వికెట్లు, 50 క్యాచ్లు', '5000 పరుగులు మరియు 50 ఫీల్డింగ్ వికెట్లు', '9 వ అత్యంత ప్లేయర్ ఆఫ్ ది మ్యాచ్ అవార్డులు (41) ',' ఒక క్యాలెండర్ సంవత్సరంలో 5 వ అత్యధిక వందలు (10) ',' కెరీర్లో 8 వ అత్యంత తొంభైల (11) ']</v>
      </c>
      <c r="C7243" s="2" t="s">
        <v>4255</v>
      </c>
      <c r="D7243" s="2" t="str">
        <f>IFERROR(__xludf.DUMMYFUNCTION("IF(C7243&lt;&gt;"""", GOOGLETRANSLATE(C7243, ""en"", ""te""),"""")"),"[ 'ఒకే మైదానంలో 38 వ అత్యధిక పరుగులు (1257)' 'ఒక రోజు లో 32 వ అత్యధిక పరుగులు (206)' '50 వ అత్యంత ఒక క్యాలెండర్ సంవత్సరంలో పరుగులు (1220)', '29th హండ్రెడ్ గత మ్యాచ్లో (206)', '42 వ ఒక వృత్తిలో అత్యధిక వందలు (20)', 'ఒక క్యాలెండర్ సంవత్సరంలో 2 వ అత్యధిక వం"&amp;"దలు (7)', '15 వ ఒక జట్టు వ్యతిరేకంగా అత్యధిక వందలు (8)', 'వరుస ఇన్నింగ్స్లో 5 వ వందల (3)', '21 వ వరుస మ్యాచ్లలో సెంచరీలు (3) ', '21 వ పిన్న ఆటగాడు వంద (19y 364d)', 'స్కోర్ 2 వ అత్యంత ఇన్నింగ్స్ తొలి డక్ ముందు (75)', 'ఒక డక్ లేకుండా 10 వ వరుస ఇన్నింగ్స్ (7"&amp;"5)', '40 వ ఒక ఇన్నింగ్స్ లో కెరీర్ లో వచ్చిన ఎక్కువ సిక్స్ (48) ',' 14 వ అత్యంత ఫోర్లు (40) ',' ఇన్నింగ్స్ లో ఫోర్లు, సిక్సర్లు నుండి 28 అత్యధిక పరుగులు (160) ',' ఐదవ వికెట్కు 38 వ అత్యధిక భాగస్వామ్యం (234) ', '15 వ అత్యంత ప్లేయర్ ఆఫ్ ది మ్యాచ్ అవార్డులు "&amp;"(11)', '24 వ అత్యంత ప్లేయర్ ఆఫ్ ది సిరీస్ అవార్డులు (4)', '48 వ లాంగెస్ట్ కెరీర్లు (17y 334d)', '47 వ పిన్న కాప్టెన్ (25y 309d) ']")</f>
        <v>[ 'ఒకే మైదానంలో 38 వ అత్యధిక పరుగులు (1257)' 'ఒక రోజు లో 32 వ అత్యధిక పరుగులు (206)' '50 వ అత్యంత ఒక క్యాలెండర్ సంవత్సరంలో పరుగులు (1220)', '29th హండ్రెడ్ గత మ్యాచ్లో (206)', '42 వ ఒక వృత్తిలో అత్యధిక వందలు (20)', 'ఒక క్యాలెండర్ సంవత్సరంలో 2 వ అత్యధిక వందలు (7)', '15 వ ఒక జట్టు వ్యతిరేకంగా అత్యధిక వందలు (8)', 'వరుస ఇన్నింగ్స్లో 5 వ వందల (3)', '21 వ వరుస మ్యాచ్లలో సెంచరీలు (3) ', '21 వ పిన్న ఆటగాడు వంద (19y 364d)', 'స్కోర్ 2 వ అత్యంత ఇన్నింగ్స్ తొలి డక్ ముందు (75)', 'ఒక డక్ లేకుండా 10 వ వరుస ఇన్నింగ్స్ (75)', '40 వ ఒక ఇన్నింగ్స్ లో కెరీర్ లో వచ్చిన ఎక్కువ సిక్స్ (48) ',' 14 వ అత్యంత ఫోర్లు (40) ',' ఇన్నింగ్స్ లో ఫోర్లు, సిక్సర్లు నుండి 28 అత్యధిక పరుగులు (160) ',' ఐదవ వికెట్కు 38 వ అత్యధిక భాగస్వామ్యం (234) ', '15 వ అత్యంత ప్లేయర్ ఆఫ్ ది మ్యాచ్ అవార్డులు (11)', '24 వ అత్యంత ప్లేయర్ ఆఫ్ ది సిరీస్ అవార్డులు (4)', '48 వ లాంగెస్ట్ కెరీర్లు (17y 334d)', '47 వ పిన్న కాప్టెన్ (25y 309d) ']</v>
      </c>
      <c r="E7243" s="2" t="s">
        <v>4256</v>
      </c>
      <c r="F7243" s="2" t="str">
        <f>IFERROR(__xludf.DUMMYFUNCTION("IF(E7243&lt;&gt;"""", GOOGLETRANSLATE(E7243, ""en"", ""te""),"""")"),"[ '19 కెరీర్లో అత్యధిక పరుగులు (9284)', '45 వ ఒక క్యాలెండర్ సంవత్సరంలో అత్యధిక పరుగులు (1212)', '14 వ ఇన్నింగ్స్ లో అత్యధిక పరుగులు (బ్యాటింగ్ స్థానంలో ప్రకారం) (145)', '21 వ ఒకే మైదానంలో అత్యధిక పరుగులు (1402) ',' 41 వ ఒక వృత్తిలో అత్యధిక వందలు (11) ','"&amp;" 29th ఒక క్యాలెండర్ సంవత్సరంలో అత్యధిక వందలు కెరీర్లో (4) ',' 2 వ అత్యంత తొంభైల (9) ',' 16 వ కెరీర్ అర్ధ (75) ',' వరుస ఇన్నింగ్స్లో 44 వ యాభైల్లో (4) ',' 30 వ కెరీర్ బాతులు (17) ',' 39 వ ఎక్కువ సిక్స్ కెరీర్లో (102+) ',' 35 వ అత్యంత ఫోర్లు కెరీర్లో (712"&amp;"+) ',' 43 వ వేగవంతమైన వరకు 6000 పరుగులు (194) ',' ఫాస్టెస్ట్ 7000 పరుగులు (216) ',' 24 వ అత్యంత వేగంగా 8000 పరుగులు (247) ',' 17 వ అత్యంత వేగంగా 9000 పరుగులు (288) కు 30 వ ',' 19 వ అత్యధిక వికెట్లు క్యాచ్ మరియు బౌల్డ్ తీసుకున్న (95) ',' ఏడవ వికెట్కు 22 అ"&amp;"త్యధిక భాగస్వామ్యం (110) ',' 18 వ అత్యధిక కెరీర్ (308) లో మ్యాచ్లు '(12)', '32 వ అత్యధిక వికెట్లు కెరీర్లో తీసుకున్న స్టంప్ (11)', '35 వ అత్యధిక క్యాచ్లు 'ఒక జట్టు కోసం 17 వరుస మ్యాచ్లు (96)', '10 వ అత్యంత ప్లేయర్ ఆఫ్ ది మ్యాచ్ అవార్డులు (30)', '45 వ అత్య"&amp;"ంత ప్లేయర్ ఆఫ్ ది సిరీస్ అవార్డులు (3)', '6 వ లాంగెస్ట్ కెరీర్లు (18y 352d) ']")</f>
        <v>[ '19 కెరీర్లో అత్యధిక పరుగులు (9284)', '45 వ ఒక క్యాలెండర్ సంవత్సరంలో అత్యధిక పరుగులు (1212)', '14 వ ఇన్నింగ్స్ లో అత్యధిక పరుగులు (బ్యాటింగ్ స్థానంలో ప్రకారం) (145)', '21 వ ఒకే మైదానంలో అత్యధిక పరుగులు (1402) ',' 41 వ ఒక వృత్తిలో అత్యధిక వందలు (11) ',' 29th ఒక క్యాలెండర్ సంవత్సరంలో అత్యధిక వందలు కెరీర్లో (4) ',' 2 వ అత్యంత తొంభైల (9) ',' 16 వ కెరీర్ అర్ధ (75) ',' వరుస ఇన్నింగ్స్లో 44 వ యాభైల్లో (4) ',' 30 వ కెరీర్ బాతులు (17) ',' 39 వ ఎక్కువ సిక్స్ కెరీర్లో (102+) ',' 35 వ అత్యంత ఫోర్లు కెరీర్లో (712+) ',' 43 వ వేగవంతమైన వరకు 6000 పరుగులు (194) ',' ఫాస్టెస్ట్ 7000 పరుగులు (216) ',' 24 వ అత్యంత వేగంగా 8000 పరుగులు (247) ',' 17 వ అత్యంత వేగంగా 9000 పరుగులు (288) కు 30 వ ',' 19 వ అత్యధిక వికెట్లు క్యాచ్ మరియు బౌల్డ్ తీసుకున్న (95) ',' ఏడవ వికెట్కు 22 అత్యధిక భాగస్వామ్యం (110) ',' 18 వ అత్యధిక కెరీర్ (308) లో మ్యాచ్లు '(12)', '32 వ అత్యధిక వికెట్లు కెరీర్లో తీసుకున్న స్టంప్ (11)', '35 వ అత్యధిక క్యాచ్లు 'ఒక జట్టు కోసం 17 వరుస మ్యాచ్లు (96)', '10 వ అత్యంత ప్లేయర్ ఆఫ్ ది మ్యాచ్ అవార్డులు (30)', '45 వ అత్యంత ప్లేయర్ ఆఫ్ ది సిరీస్ అవార్డులు (3)', '6 వ లాంగెస్ట్ కెరీర్లు (18y 352d) ']</v>
      </c>
      <c r="G7243" s="2"/>
      <c r="H7243" s="2" t="str">
        <f>IFERROR(__xludf.DUMMYFUNCTION("IF(G7243&lt;&gt;"""", GOOGLETRANSLATE(G7243, ""en"", ""te""),"""")"),"")</f>
        <v/>
      </c>
      <c r="I7243" s="3"/>
    </row>
    <row r="7244" customHeight="1" spans="1:9">
      <c r="A7244" s="2"/>
      <c r="B7244" s="2" t="str">
        <f>IFERROR(__xludf.DUMMYFUNCTION("IF(A7244&lt;&gt;"""", GOOGLETRANSLATE(A7244, ""en"", ""te""),"""")"),"")</f>
        <v/>
      </c>
      <c r="C7244" s="2"/>
      <c r="D7244" s="2" t="str">
        <f>IFERROR(__xludf.DUMMYFUNCTION("IF(C7244&lt;&gt;"""", GOOGLETRANSLATE(C7244, ""en"", ""te""),"""")"),"")</f>
        <v/>
      </c>
      <c r="E7244" s="2"/>
      <c r="F7244" s="2" t="str">
        <f>IFERROR(__xludf.DUMMYFUNCTION("IF(E7244&lt;&gt;"""", GOOGLETRANSLATE(E7244, ""en"", ""te""),"""")"),"")</f>
        <v/>
      </c>
      <c r="G7244" s="2"/>
      <c r="H7244" s="2" t="str">
        <f>IFERROR(__xludf.DUMMYFUNCTION("IF(G7244&lt;&gt;"""", GOOGLETRANSLATE(G7244, ""en"", ""te""),"""")"),"")</f>
        <v/>
      </c>
      <c r="I7244" s="3"/>
    </row>
    <row r="7245" customHeight="1" spans="1:9">
      <c r="A7245" s="2"/>
      <c r="B7245" s="2" t="str">
        <f>IFERROR(__xludf.DUMMYFUNCTION("IF(A7245&lt;&gt;"""", GOOGLETRANSLATE(A7245, ""en"", ""te""),"""")"),"")</f>
        <v/>
      </c>
      <c r="C7245" s="2"/>
      <c r="D7245" s="2" t="str">
        <f>IFERROR(__xludf.DUMMYFUNCTION("IF(C7245&lt;&gt;"""", GOOGLETRANSLATE(C7245, ""en"", ""te""),"""")"),"")</f>
        <v/>
      </c>
      <c r="E7245" s="2"/>
      <c r="F7245" s="2" t="str">
        <f>IFERROR(__xludf.DUMMYFUNCTION("IF(E7245&lt;&gt;"""", GOOGLETRANSLATE(E7245, ""en"", ""te""),"""")"),"")</f>
        <v/>
      </c>
      <c r="G7245" s="2"/>
      <c r="H7245" s="2" t="str">
        <f>IFERROR(__xludf.DUMMYFUNCTION("IF(G7245&lt;&gt;"""", GOOGLETRANSLATE(G7245, ""en"", ""te""),"""")"),"")</f>
        <v/>
      </c>
      <c r="I7245" s="3"/>
    </row>
    <row r="7246" customHeight="1" spans="1:9">
      <c r="A7246" s="2" t="s">
        <v>4257</v>
      </c>
      <c r="B7246" s="2" t="str">
        <f>IFERROR(__xludf.DUMMYFUNCTION("IF(A7246&lt;&gt;"""", GOOGLETRANSLATE(A7246, ""en"", ""te""),"""")"),"[ 'హండ్రెడ్ ఒక మ్యాచ్లో ప్రతి ఇన్నింగ్స్లో', 'హండ్రెడ్ మరియు ఒక మ్యాచ్లో తొంభై', 'హండ్రెడ్ మరియు ఒక మ్యాచ్లో ఒక డక్', 'బ్యాటింగ్ తెరవడం మరియు అదే మ్యాచ్ లో బౌలింగ్', '5000 పరుగులు మరియు 50 ఫీల్డింగ్ వికెట్లు ',' వికెట్ను కాపాడుకున్నాడు మరియు బ్యాటింగ్ (1"&amp;") ',' 8 వ అత్యంత వృద్ధ ఆటగాడు 99 (199, 299 etc) (99) అవుటయ్యాడు వంద (38y 148d) ',' 1st స్కోర్ తెరిచిన చేసిన 5 వ కెప్టెన్ల ',' ఒక ఇన్నింగ్స్ లో 9 వ అత్యంత ఫోర్లు (22) ',' 10th 10000 పరుగులు (293) ',' 1 వ అత్యుత్తమ బౌలింగ్ ఇన్నింగ్స్ విశ్లేషణలలో వేగంగా (1/0"&amp;") ',' ఇన్నింగ్స్ లో 4 వ ఉత్తమ సమ్మె రేటు (4.5) ', 'బ్యాటింగ్ తెరవడం మరియు అదే మ్యాచ్ లో బౌలింగ్', '1000 పరుగులు, 50 వికెట్లు, 50 క్యాచ్లు', '5000 పరుగులు మరియు 50 ఫీల్డింగ్ వికెట్లు', 'వికెట్ను కాపాడుకున్నాడు మరియు బ్యాటింగ్ తెరిచారు ఎవరు 3 వ కెప్టెన్ల (1"&amp;")', '8 వ అత్యంత బైలు ఇన్నింగ్స్ లో సాధించిన (8) ',' ఒక కెప్టెన్తో ఇన్నింగ్స్ లో 10 వ అత్యధిక పరుగులు (104 *) ',' వరుస ఇన్నింగ్స్లో 3 వ యాభైల్లో (3) ',' 1 వ అత్యంత బాతులు కెరీర్ లో (10) ',' కెరీర్లో 7 వ అత్యంత ఫోర్లు (223) ',' 7 వ రెండవ వికెట్కు అత్యధిక "&amp;"భాగస్వామ్యం (145) ',' ఒక క్యాలెండర్ సంవత్సరంలో 5 వ అత్యధిక వందలు (10) ']")</f>
        <v>[ 'హండ్రెడ్ ఒక మ్యాచ్లో ప్రతి ఇన్నింగ్స్లో', 'హండ్రెడ్ మరియు ఒక మ్యాచ్లో తొంభై', 'హండ్రెడ్ మరియు ఒక మ్యాచ్లో ఒక డక్', 'బ్యాటింగ్ తెరవడం మరియు అదే మ్యాచ్ లో బౌలింగ్', '5000 పరుగులు మరియు 50 ఫీల్డింగ్ వికెట్లు ',' వికెట్ను కాపాడుకున్నాడు మరియు బ్యాటింగ్ (1) ',' 8 వ అత్యంత వృద్ధ ఆటగాడు 99 (199, 299 etc) (99) అవుటయ్యాడు వంద (38y 148d) ',' 1st స్కోర్ తెరిచిన చేసిన 5 వ కెప్టెన్ల ',' ఒక ఇన్నింగ్స్ లో 9 వ అత్యంత ఫోర్లు (22) ',' 10th 10000 పరుగులు (293) ',' 1 వ అత్యుత్తమ బౌలింగ్ ఇన్నింగ్స్ విశ్లేషణలలో వేగంగా (1/0) ',' ఇన్నింగ్స్ లో 4 వ ఉత్తమ సమ్మె రేటు (4.5) ', 'బ్యాటింగ్ తెరవడం మరియు అదే మ్యాచ్ లో బౌలింగ్', '1000 పరుగులు, 50 వికెట్లు, 50 క్యాచ్లు', '5000 పరుగులు మరియు 50 ఫీల్డింగ్ వికెట్లు', 'వికెట్ను కాపాడుకున్నాడు మరియు బ్యాటింగ్ తెరిచారు ఎవరు 3 వ కెప్టెన్ల (1)', '8 వ అత్యంత బైలు ఇన్నింగ్స్ లో సాధించిన (8) ',' ఒక కెప్టెన్తో ఇన్నింగ్స్ లో 10 వ అత్యధిక పరుగులు (104 *) ',' వరుస ఇన్నింగ్స్లో 3 వ యాభైల్లో (3) ',' 1 వ అత్యంత బాతులు కెరీర్ లో (10) ',' కెరీర్లో 7 వ అత్యంత ఫోర్లు (223) ',' 7 వ రెండవ వికెట్కు అత్యధిక భాగస్వామ్యం (145) ',' ఒక క్యాలెండర్ సంవత్సరంలో 5 వ అత్యధిక వందలు (10) ']</v>
      </c>
      <c r="C7246" s="2" t="s">
        <v>4258</v>
      </c>
      <c r="D7246" s="2" t="str">
        <f>IFERROR(__xludf.DUMMYFUNCTION("IF(C7246&lt;&gt;"""", GOOGLETRANSLATE(C7246, ""en"", ""te""),"""")"),"[ '47 వ మ్యాచ్ లో అత్యధిక పరుగులు (305)', '6 వ ఒక క్యాలెండర్ సంవత్సరంలో అత్యధిక వందలు (6)', 'ఇన్నింగ్స్ లో 13 వ అత్యుత్తమ బౌలింగ్ విశ్లేషణలు (4/10)', ఒక ఇన్నింగ్స్ లో '12 వ ఉత్తమ సమ్మె రేటు ( 6.5) ']")</f>
        <v>[ '47 వ మ్యాచ్ లో అత్యధిక పరుగులు (305)', '6 వ ఒక క్యాలెండర్ సంవత్సరంలో అత్యధిక వందలు (6)', 'ఇన్నింగ్స్ లో 13 వ అత్యుత్తమ బౌలింగ్ విశ్లేషణలు (4/10)', ఒక ఇన్నింగ్స్ లో '12 వ ఉత్తమ సమ్మె రేటు ( 6.5) ']</v>
      </c>
      <c r="E7246" s="2" t="s">
        <v>4259</v>
      </c>
      <c r="F7246" s="2" t="str">
        <f>IFERROR(__xludf.DUMMYFUNCTION("IF(E7246&lt;&gt;"""", GOOGLETRANSLATE(E7246, ""en"", ""te""),"""")"),"[ '14 వ అత్యధిక కెరీర్ లో పరుగులు (10290)', 'వరుస లో 26 వ అత్యధిక పరుగులు (513)', '47 వ ఒక క్యాలెండర్ సంవత్సరంలో అత్యధిక పరుగులు (1207)', '11 వ కోల్పోకుండా వైపు ఒక మ్యాచ్లో అత్యధిక పరుగులు (160 ) ',' 17 వ ఒకే మైదానంలో అత్యధిక పరుగులు (1605) ',' 10th ఒక "&amp;"వృత్తిలో అత్యధిక వందలు (22) ',' 29th ఒక క్యాలెండర్ సంవత్సరంలో అత్యధిక వందలు (4) ',' 39 వ ఒక జట్టు వ్యతిరేకంగా అత్యధిక వందలు (4 ) ',' 8 వ అత్యంత వృద్ధ ఆటగాడు వంద (38y 148d) ',' 1 వ 99 (199 అవుటయ్యాడు వృత్తి జీవితంలో చేసిన, 299 etc) (99) ',' 23 వ అర్ధ (69) "&amp;"',' 11 వ వరుస లో యాభైల్లో ఇన్నింగ్స్ డక్ లేకుండా (5) ',' 16 వ వరుస ఇన్నింగ్స్ (80) ',' 48 వ కెరీర్ లో అతి తక్కువ బాతులు (27.54) ',' 11 వ కెరీర్ ఫోర్లు (1111) ',' 9 వ ఇన్నింగ్స్ లో వచ్చిన ఎక్కువ ఫోర్లు (22 ) ',' 18 వ లాంగెస్ట్ వ్యక్తిగత ఇన్నింగ్స్ (బంతులత"&amp;"ో) (165) ',' 47 వ 6000 పరుగులు (వేగంగా 203) ',' 32 వ 7000 పరుగులు (8000 పరుగులు (250) '230)', '26th వేగంగా వేగంగా, '16 వ 9000 పరుగులు (275) వేగంగా', '1 వ అత్యుత్తమ బౌలింగ్ ఇన్నింగ్స్ లో విశ్లేషించడం (1/0)', ​​'4 వ ఉత్తమ సత్రము లో సమ్మె రేటు' 10 వ 10000 పర"&amp;"ుగులు (293) వేగంగా ' ఇంగ్స్ (4.5) ',' 25 వ అత్యధిక వికెట్లు క్యాచ్ మరియు బౌల్డ్ తీసుకోకూడదు (11) ',' 32 వ అత్యధిక వికెట్లు తీసుకున్న స్టంప్ (11) ',' 18 వ కెరీర్ లో అత్యధిక క్యాచ్లు (118) ',' రెండవ వికెట్కు 29 అత్యధిక భాగస్వామ్యం ( ఒక జట్టు (88) ',' 16 వ ఆ"&amp;"టగాడు వెలుపల 210 *) ',' ఆరవ వికెట్ (131 *) కోసం 33 వ అత్యధిక భాగస్వామ్యం ',' 13 వ కెరీర్ లో అత్యధిక మ్యాచ్లు (330) ',' 25 వ వరుస మ్యాచ్లు -మ్యాచ్ అవార్డులు (25) ',' 12 వ అత్యంత ప్లేయర్ ఆఫ్ ది సిరీస్ అవార్డులు (6) ',' 29th లాంగెస్ట్ కెరీర్లు (16y 261d) ','"&amp;" వికెట్ (1) ఉంచింది చేసిన 31 కెప్టెన్ల ',' 5 వ కెప్టెన్ల ఎవరు వికెట్ను కాపాడుకున్నాడు మరియు బ్యాటింగ్ (1) తెరిచారు ']")</f>
        <v>[ '14 వ అత్యధిక కెరీర్ లో పరుగులు (10290)', 'వరుస లో 26 వ అత్యధిక పరుగులు (513)', '47 వ ఒక క్యాలెండర్ సంవత్సరంలో అత్యధిక పరుగులు (1207)', '11 వ కోల్పోకుండా వైపు ఒక మ్యాచ్లో అత్యధిక పరుగులు (160 ) ',' 17 వ ఒకే మైదానంలో అత్యధిక పరుగులు (1605) ',' 10th ఒక వృత్తిలో అత్యధిక వందలు (22) ',' 29th ఒక క్యాలెండర్ సంవత్సరంలో అత్యధిక వందలు (4) ',' 39 వ ఒక జట్టు వ్యతిరేకంగా అత్యధిక వందలు (4 ) ',' 8 వ అత్యంత వృద్ధ ఆటగాడు వంద (38y 148d) ',' 1 వ 99 (199 అవుటయ్యాడు వృత్తి జీవితంలో చేసిన, 299 etc) (99) ',' 23 వ అర్ధ (69) ',' 11 వ వరుస లో యాభైల్లో ఇన్నింగ్స్ డక్ లేకుండా (5) ',' 16 వ వరుస ఇన్నింగ్స్ (80) ',' 48 వ కెరీర్ లో అతి తక్కువ బాతులు (27.54) ',' 11 వ కెరీర్ ఫోర్లు (1111) ',' 9 వ ఇన్నింగ్స్ లో వచ్చిన ఎక్కువ ఫోర్లు (22 ) ',' 18 వ లాంగెస్ట్ వ్యక్తిగత ఇన్నింగ్స్ (బంతులతో) (165) ',' 47 వ 6000 పరుగులు (వేగంగా 203) ',' 32 వ 7000 పరుగులు (8000 పరుగులు (250) '230)', '26th వేగంగా వేగంగా, '16 వ 9000 పరుగులు (275) వేగంగా', '1 వ అత్యుత్తమ బౌలింగ్ ఇన్నింగ్స్ లో విశ్లేషించడం (1/0)', ​​'4 వ ఉత్తమ సత్రము లో సమ్మె రేటు' 10 వ 10000 పరుగులు (293) వేగంగా ' ఇంగ్స్ (4.5) ',' 25 వ అత్యధిక వికెట్లు క్యాచ్ మరియు బౌల్డ్ తీసుకోకూడదు (11) ',' 32 వ అత్యధిక వికెట్లు తీసుకున్న స్టంప్ (11) ',' 18 వ కెరీర్ లో అత్యధిక క్యాచ్లు (118) ',' రెండవ వికెట్కు 29 అత్యధిక భాగస్వామ్యం ( ఒక జట్టు (88) ',' 16 వ ఆటగాడు వెలుపల 210 *) ',' ఆరవ వికెట్ (131 *) కోసం 33 వ అత్యధిక భాగస్వామ్యం ',' 13 వ కెరీర్ లో అత్యధిక మ్యాచ్లు (330) ',' 25 వ వరుస మ్యాచ్లు -మ్యాచ్ అవార్డులు (25) ',' 12 వ అత్యంత ప్లేయర్ ఆఫ్ ది సిరీస్ అవార్డులు (6) ',' 29th లాంగెస్ట్ కెరీర్లు (16y 261d) ',' వికెట్ (1) ఉంచింది చేసిన 31 కెప్టెన్ల ',' 5 వ కెప్టెన్ల ఎవరు వికెట్ను కాపాడుకున్నాడు మరియు బ్యాటింగ్ (1) తెరిచారు ']</v>
      </c>
      <c r="G7246" s="2" t="s">
        <v>4260</v>
      </c>
      <c r="H7246" s="2" t="str">
        <f>IFERROR(__xludf.DUMMYFUNCTION("IF(G7246&lt;&gt;"""", GOOGLETRANSLATE(G7246, ""en"", ""te""),"""")"),"[ '15 వ కెరీర్ లో అత్యధిక పరుగులు (1889)', '36 వ ఇన్నింగ్స్ లో అత్యధిక పరుగులు (104 *)', '22 వ ఒక క్యాలెండర్ సంవత్సరంలో అత్యధిక పరుగులు (471)', '27 వ ఇన్నింగ్స్ లో అత్యధిక పరుగులు (బ్యాటింగ్ స్థానంలో ద్వారా) (104 *) ',' 19 ఒకే మైదానంలో అత్యధిక పరుగులు (3"&amp;"34) ',' ఒక కెప్టెన్తో ఇన్నింగ్స్ లో 10 వ అత్యధిక పరుగులు (104 *) ',' 10 వ కెరీర్ లో చాలా అర్ధ (14) ',' 3 వ యాభైల్లో వరుస ఇన్నింగ్స్లో (3) ',' 1 వ అత్యంత ఫోర్లు, సిక్సర్లు నుండి కెరీర్లో బాతులు (10) ',' 7 వ అత్యంత ఫోర్లు ఒక ఇన్నింగ్స్ లో కెరీర్లో (223) ',"&amp;"' 12 వ అత్యంత ఫోర్లు (12) ',' 29th మోస్ట్ రన్స్ ఇన్నింగ్స్ (78) ',' ఒక ఇన్నింగ్స్లో పరుగుల 18 అత్యధిక శాతం (60.75) ',' ఫాస్టెస్ట్ 1000 పరుగులు (40) ',' 20 వ అత్యుత్తమ బౌలింగ్ ఇన్నింగ్స్ లో విశ్లేషించడం (2/4) ',' 38 వ 24 కెరీర్లో అత్యధిక క్యాచ్లు (26) ',' "&amp;"22 వ అత్యధిక భాగస్వామ్యాలు ఏ వికెట్కు (145) ',' మొదటి వికెట్కు 36 వ అత్యధిక భాగస్వామ్యం (124) ',' రెండవ వికెట్కు 7 వ అత్యధిక భాగస్వామ్యం (145) ',' 17 వ అత్యధిక కోసం నాలుగో వికెట్కు భాగస్వామ్యం (104 *) ఎనిమిదో వికెట్కు ',' 42 వ అత్యధిక భాగస్వామ్యం (35) ','"&amp;" 22 వ అత్యంత నేను మ్యాచ్లు n కెరీర్ (80) ',' 19 వ అత్యంత ప్లేయర్ ఆఫ్ ది మ్యాచ్ అవార్డులు (6) ',' వికెట్ను కాపాడుకున్నాడు చేసిన 29 కెప్టెన్ల (2) ',' వికెట్ను కాపాడుకున్నాడు మరియు బ్యాటింగ్ (1) తెరిచిన చేసిన 3 వ కెప్టెన్ల ' '8 వ అత్యంత ఇన్నింగ్స్ లో సాధించి"&amp;"న బైస్ (8)']")</f>
        <v>[ '15 వ కెరీర్ లో అత్యధిక పరుగులు (1889)', '36 వ ఇన్నింగ్స్ లో అత్యధిక పరుగులు (104 *)', '22 వ ఒక క్యాలెండర్ సంవత్సరంలో అత్యధిక పరుగులు (471)', '27 వ ఇన్నింగ్స్ లో అత్యధిక పరుగులు (బ్యాటింగ్ స్థానంలో ద్వారా) (104 *) ',' 19 ఒకే మైదానంలో అత్యధిక పరుగులు (334) ',' ఒక కెప్టెన్తో ఇన్నింగ్స్ లో 10 వ అత్యధిక పరుగులు (104 *) ',' 10 వ కెరీర్ లో చాలా అర్ధ (14) ',' 3 వ యాభైల్లో వరుస ఇన్నింగ్స్లో (3) ',' 1 వ అత్యంత ఫోర్లు, సిక్సర్లు నుండి కెరీర్లో బాతులు (10) ',' 7 వ అత్యంత ఫోర్లు ఒక ఇన్నింగ్స్ లో కెరీర్లో (223) ',' 12 వ అత్యంత ఫోర్లు (12) ',' 29th మోస్ట్ రన్స్ ఇన్నింగ్స్ (78) ',' ఒక ఇన్నింగ్స్లో పరుగుల 18 అత్యధిక శాతం (60.75) ',' ఫాస్టెస్ట్ 1000 పరుగులు (40) ',' 20 వ అత్యుత్తమ బౌలింగ్ ఇన్నింగ్స్ లో విశ్లేషించడం (2/4) ',' 38 వ 24 కెరీర్లో అత్యధిక క్యాచ్లు (26) ',' 22 వ అత్యధిక భాగస్వామ్యాలు ఏ వికెట్కు (145) ',' మొదటి వికెట్కు 36 వ అత్యధిక భాగస్వామ్యం (124) ',' రెండవ వికెట్కు 7 వ అత్యధిక భాగస్వామ్యం (145) ',' 17 వ అత్యధిక కోసం నాలుగో వికెట్కు భాగస్వామ్యం (104 *) ఎనిమిదో వికెట్కు ',' 42 వ అత్యధిక భాగస్వామ్యం (35) ',' 22 వ అత్యంత నేను మ్యాచ్లు n కెరీర్ (80) ',' 19 వ అత్యంత ప్లేయర్ ఆఫ్ ది మ్యాచ్ అవార్డులు (6) ',' వికెట్ను కాపాడుకున్నాడు చేసిన 29 కెప్టెన్ల (2) ',' వికెట్ను కాపాడుకున్నాడు మరియు బ్యాటింగ్ (1) తెరిచిన చేసిన 3 వ కెప్టెన్ల ' '8 వ అత్యంత ఇన్నింగ్స్ లో సాధించిన బైస్ (8)']</v>
      </c>
      <c r="I7246" s="3"/>
    </row>
    <row r="7247" customHeight="1" spans="1:9">
      <c r="A7247" s="2"/>
      <c r="B7247" s="2" t="str">
        <f>IFERROR(__xludf.DUMMYFUNCTION("IF(A7247&lt;&gt;"""", GOOGLETRANSLATE(A7247, ""en"", ""te""),"""")"),"")</f>
        <v/>
      </c>
      <c r="C7247" s="2"/>
      <c r="D7247" s="2" t="str">
        <f>IFERROR(__xludf.DUMMYFUNCTION("IF(C7247&lt;&gt;"""", GOOGLETRANSLATE(C7247, ""en"", ""te""),"""")"),"")</f>
        <v/>
      </c>
      <c r="E7247" s="2"/>
      <c r="F7247" s="2" t="str">
        <f>IFERROR(__xludf.DUMMYFUNCTION("IF(E7247&lt;&gt;"""", GOOGLETRANSLATE(E7247, ""en"", ""te""),"""")"),"")</f>
        <v/>
      </c>
      <c r="G7247" s="2"/>
      <c r="H7247" s="2" t="str">
        <f>IFERROR(__xludf.DUMMYFUNCTION("IF(G7247&lt;&gt;"""", GOOGLETRANSLATE(G7247, ""en"", ""te""),"""")"),"")</f>
        <v/>
      </c>
      <c r="I7247" s="3"/>
    </row>
    <row r="7248" customHeight="1" spans="1:9">
      <c r="A7248" s="2"/>
      <c r="B7248" s="2" t="str">
        <f>IFERROR(__xludf.DUMMYFUNCTION("IF(A7248&lt;&gt;"""", GOOGLETRANSLATE(A7248, ""en"", ""te""),"""")"),"")</f>
        <v/>
      </c>
      <c r="C7248" s="2"/>
      <c r="D7248" s="2" t="str">
        <f>IFERROR(__xludf.DUMMYFUNCTION("IF(C7248&lt;&gt;"""", GOOGLETRANSLATE(C7248, ""en"", ""te""),"""")"),"")</f>
        <v/>
      </c>
      <c r="E7248" s="2"/>
      <c r="F7248" s="2" t="str">
        <f>IFERROR(__xludf.DUMMYFUNCTION("IF(E7248&lt;&gt;"""", GOOGLETRANSLATE(E7248, ""en"", ""te""),"""")"),"")</f>
        <v/>
      </c>
      <c r="G7248" s="2"/>
      <c r="H7248" s="2" t="str">
        <f>IFERROR(__xludf.DUMMYFUNCTION("IF(G7248&lt;&gt;"""", GOOGLETRANSLATE(G7248, ""en"", ""te""),"""")"),"")</f>
        <v/>
      </c>
      <c r="I7248" s="3"/>
    </row>
    <row r="7249" customHeight="1" spans="1:9">
      <c r="A7249" s="2"/>
      <c r="B7249" s="2" t="str">
        <f>IFERROR(__xludf.DUMMYFUNCTION("IF(A7249&lt;&gt;"""", GOOGLETRANSLATE(A7249, ""en"", ""te""),"""")"),"")</f>
        <v/>
      </c>
      <c r="C7249" s="2"/>
      <c r="D7249" s="2" t="str">
        <f>IFERROR(__xludf.DUMMYFUNCTION("IF(C7249&lt;&gt;"""", GOOGLETRANSLATE(C7249, ""en"", ""te""),"""")"),"")</f>
        <v/>
      </c>
      <c r="E7249" s="2"/>
      <c r="F7249" s="2" t="str">
        <f>IFERROR(__xludf.DUMMYFUNCTION("IF(E7249&lt;&gt;"""", GOOGLETRANSLATE(E7249, ""en"", ""te""),"""")"),"")</f>
        <v/>
      </c>
      <c r="G7249" s="2"/>
      <c r="H7249" s="2" t="str">
        <f>IFERROR(__xludf.DUMMYFUNCTION("IF(G7249&lt;&gt;"""", GOOGLETRANSLATE(G7249, ""en"", ""te""),"""")"),"")</f>
        <v/>
      </c>
      <c r="I7249" s="3"/>
    </row>
    <row r="7250" customHeight="1" spans="1:9">
      <c r="A7250" s="2"/>
      <c r="B7250" s="2" t="str">
        <f>IFERROR(__xludf.DUMMYFUNCTION("IF(A7250&lt;&gt;"""", GOOGLETRANSLATE(A7250, ""en"", ""te""),"""")"),"")</f>
        <v/>
      </c>
      <c r="C7250" s="2"/>
      <c r="D7250" s="2" t="str">
        <f>IFERROR(__xludf.DUMMYFUNCTION("IF(C7250&lt;&gt;"""", GOOGLETRANSLATE(C7250, ""en"", ""te""),"""")"),"")</f>
        <v/>
      </c>
      <c r="E7250" s="2"/>
      <c r="F7250" s="2" t="str">
        <f>IFERROR(__xludf.DUMMYFUNCTION("IF(E7250&lt;&gt;"""", GOOGLETRANSLATE(E7250, ""en"", ""te""),"""")"),"")</f>
        <v/>
      </c>
      <c r="G7250" s="2"/>
      <c r="H7250" s="2" t="str">
        <f>IFERROR(__xludf.DUMMYFUNCTION("IF(G7250&lt;&gt;"""", GOOGLETRANSLATE(G7250, ""en"", ""te""),"""")"),"")</f>
        <v/>
      </c>
      <c r="I7250" s="3"/>
    </row>
    <row r="7251" customHeight="1" spans="1:9">
      <c r="A7251" s="2" t="s">
        <v>4261</v>
      </c>
      <c r="B7251" s="2" t="str">
        <f>IFERROR(__xludf.DUMMYFUNCTION("IF(A7251&lt;&gt;"""", GOOGLETRANSLATE(A7251, ""en"", ""te""),"""")"),"'1 వ వరుస బాతులు (3)' [ '10 వ అత్యుత్తమ ఇన్నింగ్స్ లో బౌలింగ్ విశ్లేషణలు (2/2)', '1 వ అత్యుత్తమ బౌలింగ్ ఇన్నింగ్స్ లో విశ్లేషించడం (3/0)', ​​'ఇన్నింగ్స్ లో 2 వ ఉత్తమ సమ్మె రేటు ( 2.0) ']")</f>
        <v>'1 వ వరుస బాతులు (3)' [ '10 వ అత్యుత్తమ ఇన్నింగ్స్ లో బౌలింగ్ విశ్లేషణలు (2/2)', '1 వ అత్యుత్తమ బౌలింగ్ ఇన్నింగ్స్ లో విశ్లేషించడం (3/0)', ​​'ఇన్నింగ్స్ లో 2 వ ఉత్తమ సమ్మె రేటు ( 2.0) ']</v>
      </c>
      <c r="C7251" s="2"/>
      <c r="D7251" s="2" t="str">
        <f>IFERROR(__xludf.DUMMYFUNCTION("IF(C7251&lt;&gt;"""", GOOGLETRANSLATE(C7251, ""en"", ""te""),"""")"),"")</f>
        <v/>
      </c>
      <c r="E7251" s="2" t="s">
        <v>4262</v>
      </c>
      <c r="F7251" s="2" t="str">
        <f>IFERROR(__xludf.DUMMYFUNCTION("IF(E7251&lt;&gt;"""", GOOGLETRANSLATE(E7251, ""en"", ""te""),"""")"),"[ '39 వ ఇన్నింగ్స్ లో బెస్ట్ ఫిగర్స్ (5/16)', 'ఇన్నింగ్స్ లో 10 వ అత్యుత్తమ బౌలింగ్ విశ్లేషణలు (2/2)', '12 వ పిన్న ఆటగాడు ఐదు వికెట్ల లో-ఒక-ఇన్నింగ్స్ (20y 40D) తీసుకోవాలని' 'పదవ వికెట్కు 47 వ అత్యధిక భాగస్వామ్యం (25)', '19 వ పిన్న కాప్టెన్ (22y 40D)']")</f>
        <v>[ '39 వ ఇన్నింగ్స్ లో బెస్ట్ ఫిగర్స్ (5/16)', 'ఇన్నింగ్స్ లో 10 వ అత్యుత్తమ బౌలింగ్ విశ్లేషణలు (2/2)', '12 వ పిన్న ఆటగాడు ఐదు వికెట్ల లో-ఒక-ఇన్నింగ్స్ (20y 40D) తీసుకోవాలని' 'పదవ వికెట్కు 47 వ అత్యధిక భాగస్వామ్యం (25)', '19 వ పిన్న కాప్టెన్ (22y 40D)']</v>
      </c>
      <c r="G7251" s="2" t="s">
        <v>4263</v>
      </c>
      <c r="H7251" s="2" t="str">
        <f>IFERROR(__xludf.DUMMYFUNCTION("IF(G7251&lt;&gt;"""", GOOGLETRANSLATE(G7251, ""en"", ""te""),"""")"),"[ '1st వరుస బాతులు (3)', '1 వ అత్యుత్తమ బౌలింగ్ ఇన్నింగ్స్ లో విశ్లేషించడం (3/0)', ​​'ఇన్నింగ్స్ లో 2 వ ఉత్తమ సమ్మె రేటు (2.0)', ఎనిమిదవ వికెట్కు '12 వ అత్యధిక భాగస్వామ్యం (31) ']")</f>
        <v>[ '1st వరుస బాతులు (3)', '1 వ అత్యుత్తమ బౌలింగ్ ఇన్నింగ్స్ లో విశ్లేషించడం (3/0)', ​​'ఇన్నింగ్స్ లో 2 వ ఉత్తమ సమ్మె రేటు (2.0)', ఎనిమిదవ వికెట్కు '12 వ అత్యధిక భాగస్వామ్యం (31) ']</v>
      </c>
      <c r="I7251" s="3"/>
    </row>
    <row r="7252" customHeight="1" spans="1:9">
      <c r="A7252" s="2" t="s">
        <v>4264</v>
      </c>
      <c r="B7252" s="2" t="str">
        <f>IFERROR(__xludf.DUMMYFUNCTION("IF(A7252&lt;&gt;"""", GOOGLETRANSLATE(A7252, ""en"", ""te""),"""")"),"[ 'ఇన్నింగ్స్ లో 8 వ అత్యధిక పరుగులు (బ్యాటింగ్ స్థానంలో ప్రకారం) (80 *)', '6 వ అత్యధిక వికెట్లు తీసుకున్న ఎల్బిడబ్ల్యు (11)']")</f>
        <v>[ 'ఇన్నింగ్స్ లో 8 వ అత్యధిక పరుగులు (బ్యాటింగ్ స్థానంలో ప్రకారం) (80 *)', '6 వ అత్యధిక వికెట్లు తీసుకున్న ఎల్బిడబ్ల్యు (11)']</v>
      </c>
      <c r="C7252" s="2"/>
      <c r="D7252" s="2" t="str">
        <f>IFERROR(__xludf.DUMMYFUNCTION("IF(C7252&lt;&gt;"""", GOOGLETRANSLATE(C7252, ""en"", ""te""),"""")"),"")</f>
        <v/>
      </c>
      <c r="E7252" s="2" t="s">
        <v>4265</v>
      </c>
      <c r="F7252" s="2" t="str">
        <f>IFERROR(__xludf.DUMMYFUNCTION("IF(E7252&lt;&gt;"""", GOOGLETRANSLATE(E7252, ""en"", ""te""),"""")"),"[ '8 వ ఎక్కువ (80 *) ఒక ఇన్నింగ్స్ లో నడుస్తుంది (బ్యాటింగ్ స్థానం)']")</f>
        <v>[ '8 వ ఎక్కువ (80 *) ఒక ఇన్నింగ్స్ లో నడుస్తుంది (బ్యాటింగ్ స్థానం)']</v>
      </c>
      <c r="G7252" s="2" t="s">
        <v>4266</v>
      </c>
      <c r="H7252" s="2" t="str">
        <f>IFERROR(__xludf.DUMMYFUNCTION("IF(G7252&lt;&gt;"""", GOOGLETRANSLATE(G7252, ""en"", ""te""),"""")"),"[ '33 వ ఇన్నింగ్స్ లో అత్యధిక పరుగులు (బ్యాటింగ్ స్థానంలో ప్రకారం) (44)', '17 వ బౌలర్ / బ్యాట్స్ కలయికలు (3)', '6 వ అత్యధిక వికెట్లు తీసుకున్న ఎల్బిడబ్ల్యు (11)']")</f>
        <v>[ '33 వ ఇన్నింగ్స్ లో అత్యధిక పరుగులు (బ్యాటింగ్ స్థానంలో ప్రకారం) (44)', '17 వ బౌలర్ / బ్యాట్స్ కలయికలు (3)', '6 వ అత్యధిక వికెట్లు తీసుకున్న ఎల్బిడబ్ల్యు (11)']</v>
      </c>
      <c r="I7252" s="3"/>
    </row>
    <row r="7253" customHeight="1" spans="1:9">
      <c r="A7253" s="2"/>
      <c r="B7253" s="2" t="str">
        <f>IFERROR(__xludf.DUMMYFUNCTION("IF(A7253&lt;&gt;"""", GOOGLETRANSLATE(A7253, ""en"", ""te""),"""")"),"")</f>
        <v/>
      </c>
      <c r="C7253" s="2"/>
      <c r="D7253" s="2" t="str">
        <f>IFERROR(__xludf.DUMMYFUNCTION("IF(C7253&lt;&gt;"""", GOOGLETRANSLATE(C7253, ""en"", ""te""),"""")"),"")</f>
        <v/>
      </c>
      <c r="E7253" s="2"/>
      <c r="F7253" s="2" t="str">
        <f>IFERROR(__xludf.DUMMYFUNCTION("IF(E7253&lt;&gt;"""", GOOGLETRANSLATE(E7253, ""en"", ""te""),"""")"),"")</f>
        <v/>
      </c>
      <c r="G7253" s="2"/>
      <c r="H7253" s="2" t="str">
        <f>IFERROR(__xludf.DUMMYFUNCTION("IF(G7253&lt;&gt;"""", GOOGLETRANSLATE(G7253, ""en"", ""te""),"""")"),"")</f>
        <v/>
      </c>
      <c r="I7253" s="3"/>
    </row>
    <row r="7254" customHeight="1" spans="1:9">
      <c r="A7254" s="2"/>
      <c r="B7254" s="2" t="str">
        <f>IFERROR(__xludf.DUMMYFUNCTION("IF(A7254&lt;&gt;"""", GOOGLETRANSLATE(A7254, ""en"", ""te""),"""")"),"")</f>
        <v/>
      </c>
      <c r="C7254" s="2"/>
      <c r="D7254" s="2" t="str">
        <f>IFERROR(__xludf.DUMMYFUNCTION("IF(C7254&lt;&gt;"""", GOOGLETRANSLATE(C7254, ""en"", ""te""),"""")"),"")</f>
        <v/>
      </c>
      <c r="E7254" s="2"/>
      <c r="F7254" s="2" t="str">
        <f>IFERROR(__xludf.DUMMYFUNCTION("IF(E7254&lt;&gt;"""", GOOGLETRANSLATE(E7254, ""en"", ""te""),"""")"),"")</f>
        <v/>
      </c>
      <c r="G7254" s="2"/>
      <c r="H7254" s="2" t="str">
        <f>IFERROR(__xludf.DUMMYFUNCTION("IF(G7254&lt;&gt;"""", GOOGLETRANSLATE(G7254, ""en"", ""te""),"""")"),"")</f>
        <v/>
      </c>
      <c r="I7254" s="3"/>
    </row>
    <row r="7255" customHeight="1" spans="1:9">
      <c r="A7255" s="2"/>
      <c r="B7255" s="2" t="str">
        <f>IFERROR(__xludf.DUMMYFUNCTION("IF(A7255&lt;&gt;"""", GOOGLETRANSLATE(A7255, ""en"", ""te""),"""")"),"")</f>
        <v/>
      </c>
      <c r="C7255" s="2"/>
      <c r="D7255" s="2" t="str">
        <f>IFERROR(__xludf.DUMMYFUNCTION("IF(C7255&lt;&gt;"""", GOOGLETRANSLATE(C7255, ""en"", ""te""),"""")"),"")</f>
        <v/>
      </c>
      <c r="E7255" s="2"/>
      <c r="F7255" s="2" t="str">
        <f>IFERROR(__xludf.DUMMYFUNCTION("IF(E7255&lt;&gt;"""", GOOGLETRANSLATE(E7255, ""en"", ""te""),"""")"),"")</f>
        <v/>
      </c>
      <c r="G7255" s="2"/>
      <c r="H7255" s="2" t="str">
        <f>IFERROR(__xludf.DUMMYFUNCTION("IF(G7255&lt;&gt;"""", GOOGLETRANSLATE(G7255, ""en"", ""te""),"""")"),"")</f>
        <v/>
      </c>
      <c r="I7255" s="3"/>
    </row>
    <row r="7256" customHeight="1" spans="1:9">
      <c r="A7256" s="2"/>
      <c r="B7256" s="2" t="str">
        <f>IFERROR(__xludf.DUMMYFUNCTION("IF(A7256&lt;&gt;"""", GOOGLETRANSLATE(A7256, ""en"", ""te""),"""")"),"")</f>
        <v/>
      </c>
      <c r="C7256" s="2"/>
      <c r="D7256" s="2" t="str">
        <f>IFERROR(__xludf.DUMMYFUNCTION("IF(C7256&lt;&gt;"""", GOOGLETRANSLATE(C7256, ""en"", ""te""),"""")"),"")</f>
        <v/>
      </c>
      <c r="E7256" s="2"/>
      <c r="F7256" s="2" t="str">
        <f>IFERROR(__xludf.DUMMYFUNCTION("IF(E7256&lt;&gt;"""", GOOGLETRANSLATE(E7256, ""en"", ""te""),"""")"),"")</f>
        <v/>
      </c>
      <c r="G7256" s="2"/>
      <c r="H7256" s="2" t="str">
        <f>IFERROR(__xludf.DUMMYFUNCTION("IF(G7256&lt;&gt;"""", GOOGLETRANSLATE(G7256, ""en"", ""te""),"""")"),"")</f>
        <v/>
      </c>
      <c r="I7256" s="3"/>
    </row>
    <row r="7257" customHeight="1" spans="1:9">
      <c r="A7257" s="2"/>
      <c r="B7257" s="2" t="str">
        <f>IFERROR(__xludf.DUMMYFUNCTION("IF(A7257&lt;&gt;"""", GOOGLETRANSLATE(A7257, ""en"", ""te""),"""")"),"")</f>
        <v/>
      </c>
      <c r="C7257" s="2"/>
      <c r="D7257" s="2" t="str">
        <f>IFERROR(__xludf.DUMMYFUNCTION("IF(C7257&lt;&gt;"""", GOOGLETRANSLATE(C7257, ""en"", ""te""),"""")"),"")</f>
        <v/>
      </c>
      <c r="E7257" s="2"/>
      <c r="F7257" s="2" t="str">
        <f>IFERROR(__xludf.DUMMYFUNCTION("IF(E7257&lt;&gt;"""", GOOGLETRANSLATE(E7257, ""en"", ""te""),"""")"),"")</f>
        <v/>
      </c>
      <c r="G7257" s="2"/>
      <c r="H7257" s="2" t="str">
        <f>IFERROR(__xludf.DUMMYFUNCTION("IF(G7257&lt;&gt;"""", GOOGLETRANSLATE(G7257, ""en"", ""te""),"""")"),"")</f>
        <v/>
      </c>
      <c r="I7257" s="3"/>
    </row>
    <row r="7258" customHeight="1" spans="1:9">
      <c r="A7258" s="2"/>
      <c r="B7258" s="2" t="str">
        <f>IFERROR(__xludf.DUMMYFUNCTION("IF(A7258&lt;&gt;"""", GOOGLETRANSLATE(A7258, ""en"", ""te""),"""")"),"")</f>
        <v/>
      </c>
      <c r="C7258" s="2"/>
      <c r="D7258" s="2" t="str">
        <f>IFERROR(__xludf.DUMMYFUNCTION("IF(C7258&lt;&gt;"""", GOOGLETRANSLATE(C7258, ""en"", ""te""),"""")"),"")</f>
        <v/>
      </c>
      <c r="E7258" s="2"/>
      <c r="F7258" s="2" t="str">
        <f>IFERROR(__xludf.DUMMYFUNCTION("IF(E7258&lt;&gt;"""", GOOGLETRANSLATE(E7258, ""en"", ""te""),"""")"),"")</f>
        <v/>
      </c>
      <c r="G7258" s="2"/>
      <c r="H7258" s="2" t="str">
        <f>IFERROR(__xludf.DUMMYFUNCTION("IF(G7258&lt;&gt;"""", GOOGLETRANSLATE(G7258, ""en"", ""te""),"""")"),"")</f>
        <v/>
      </c>
      <c r="I7258" s="3"/>
    </row>
    <row r="7259" customHeight="1" spans="1:9">
      <c r="A7259" s="2"/>
      <c r="B7259" s="2" t="str">
        <f>IFERROR(__xludf.DUMMYFUNCTION("IF(A7259&lt;&gt;"""", GOOGLETRANSLATE(A7259, ""en"", ""te""),"""")"),"")</f>
        <v/>
      </c>
      <c r="C7259" s="2"/>
      <c r="D7259" s="2" t="str">
        <f>IFERROR(__xludf.DUMMYFUNCTION("IF(C7259&lt;&gt;"""", GOOGLETRANSLATE(C7259, ""en"", ""te""),"""")"),"")</f>
        <v/>
      </c>
      <c r="E7259" s="2"/>
      <c r="F7259" s="2" t="str">
        <f>IFERROR(__xludf.DUMMYFUNCTION("IF(E7259&lt;&gt;"""", GOOGLETRANSLATE(E7259, ""en"", ""te""),"""")"),"")</f>
        <v/>
      </c>
      <c r="G7259" s="2"/>
      <c r="H7259" s="2" t="str">
        <f>IFERROR(__xludf.DUMMYFUNCTION("IF(G7259&lt;&gt;"""", GOOGLETRANSLATE(G7259, ""en"", ""te""),"""")"),"")</f>
        <v/>
      </c>
      <c r="I7259" s="3"/>
    </row>
    <row r="7260" customHeight="1" spans="1:9">
      <c r="A7260" s="2"/>
      <c r="B7260" s="2" t="str">
        <f>IFERROR(__xludf.DUMMYFUNCTION("IF(A7260&lt;&gt;"""", GOOGLETRANSLATE(A7260, ""en"", ""te""),"""")"),"")</f>
        <v/>
      </c>
      <c r="C7260" s="2"/>
      <c r="D7260" s="2" t="str">
        <f>IFERROR(__xludf.DUMMYFUNCTION("IF(C7260&lt;&gt;"""", GOOGLETRANSLATE(C7260, ""en"", ""te""),"""")"),"")</f>
        <v/>
      </c>
      <c r="E7260" s="2"/>
      <c r="F7260" s="2" t="str">
        <f>IFERROR(__xludf.DUMMYFUNCTION("IF(E7260&lt;&gt;"""", GOOGLETRANSLATE(E7260, ""en"", ""te""),"""")"),"")</f>
        <v/>
      </c>
      <c r="G7260" s="2"/>
      <c r="H7260" s="2" t="str">
        <f>IFERROR(__xludf.DUMMYFUNCTION("IF(G7260&lt;&gt;"""", GOOGLETRANSLATE(G7260, ""en"", ""te""),"""")"),"")</f>
        <v/>
      </c>
      <c r="I7260" s="3"/>
    </row>
    <row r="7261" customHeight="1" spans="1:9">
      <c r="A7261" s="2"/>
      <c r="B7261" s="2" t="str">
        <f>IFERROR(__xludf.DUMMYFUNCTION("IF(A7261&lt;&gt;"""", GOOGLETRANSLATE(A7261, ""en"", ""te""),"""")"),"")</f>
        <v/>
      </c>
      <c r="C7261" s="2"/>
      <c r="D7261" s="2" t="str">
        <f>IFERROR(__xludf.DUMMYFUNCTION("IF(C7261&lt;&gt;"""", GOOGLETRANSLATE(C7261, ""en"", ""te""),"""")"),"")</f>
        <v/>
      </c>
      <c r="E7261" s="2"/>
      <c r="F7261" s="2" t="str">
        <f>IFERROR(__xludf.DUMMYFUNCTION("IF(E7261&lt;&gt;"""", GOOGLETRANSLATE(E7261, ""en"", ""te""),"""")"),"")</f>
        <v/>
      </c>
      <c r="G7261" s="2"/>
      <c r="H7261" s="2" t="str">
        <f>IFERROR(__xludf.DUMMYFUNCTION("IF(G7261&lt;&gt;"""", GOOGLETRANSLATE(G7261, ""en"", ""te""),"""")"),"")</f>
        <v/>
      </c>
      <c r="I7261" s="3"/>
    </row>
    <row r="7262" customHeight="1" spans="1:9">
      <c r="A7262" s="2"/>
      <c r="B7262" s="2" t="str">
        <f>IFERROR(__xludf.DUMMYFUNCTION("IF(A7262&lt;&gt;"""", GOOGLETRANSLATE(A7262, ""en"", ""te""),"""")"),"")</f>
        <v/>
      </c>
      <c r="C7262" s="2"/>
      <c r="D7262" s="2" t="str">
        <f>IFERROR(__xludf.DUMMYFUNCTION("IF(C7262&lt;&gt;"""", GOOGLETRANSLATE(C7262, ""en"", ""te""),"""")"),"")</f>
        <v/>
      </c>
      <c r="E7262" s="2"/>
      <c r="F7262" s="2" t="str">
        <f>IFERROR(__xludf.DUMMYFUNCTION("IF(E7262&lt;&gt;"""", GOOGLETRANSLATE(E7262, ""en"", ""te""),"""")"),"")</f>
        <v/>
      </c>
      <c r="G7262" s="2"/>
      <c r="H7262" s="2" t="str">
        <f>IFERROR(__xludf.DUMMYFUNCTION("IF(G7262&lt;&gt;"""", GOOGLETRANSLATE(G7262, ""en"", ""te""),"""")"),"")</f>
        <v/>
      </c>
      <c r="I7262" s="3"/>
    </row>
    <row r="7263" customHeight="1" spans="1:9">
      <c r="A7263" s="2"/>
      <c r="B7263" s="2" t="str">
        <f>IFERROR(__xludf.DUMMYFUNCTION("IF(A7263&lt;&gt;"""", GOOGLETRANSLATE(A7263, ""en"", ""te""),"""")"),"")</f>
        <v/>
      </c>
      <c r="C7263" s="2"/>
      <c r="D7263" s="2" t="str">
        <f>IFERROR(__xludf.DUMMYFUNCTION("IF(C7263&lt;&gt;"""", GOOGLETRANSLATE(C7263, ""en"", ""te""),"""")"),"")</f>
        <v/>
      </c>
      <c r="E7263" s="2"/>
      <c r="F7263" s="2" t="str">
        <f>IFERROR(__xludf.DUMMYFUNCTION("IF(E7263&lt;&gt;"""", GOOGLETRANSLATE(E7263, ""en"", ""te""),"""")"),"")</f>
        <v/>
      </c>
      <c r="G7263" s="2"/>
      <c r="H7263" s="2" t="str">
        <f>IFERROR(__xludf.DUMMYFUNCTION("IF(G7263&lt;&gt;"""", GOOGLETRANSLATE(G7263, ""en"", ""te""),"""")"),"")</f>
        <v/>
      </c>
      <c r="I7263" s="3"/>
    </row>
    <row r="7264" customHeight="1" spans="1:9">
      <c r="A7264" s="2"/>
      <c r="B7264" s="2" t="str">
        <f>IFERROR(__xludf.DUMMYFUNCTION("IF(A7264&lt;&gt;"""", GOOGLETRANSLATE(A7264, ""en"", ""te""),"""")"),"")</f>
        <v/>
      </c>
      <c r="C7264" s="2"/>
      <c r="D7264" s="2" t="str">
        <f>IFERROR(__xludf.DUMMYFUNCTION("IF(C7264&lt;&gt;"""", GOOGLETRANSLATE(C7264, ""en"", ""te""),"""")"),"")</f>
        <v/>
      </c>
      <c r="E7264" s="2"/>
      <c r="F7264" s="2" t="str">
        <f>IFERROR(__xludf.DUMMYFUNCTION("IF(E7264&lt;&gt;"""", GOOGLETRANSLATE(E7264, ""en"", ""te""),"""")"),"")</f>
        <v/>
      </c>
      <c r="G7264" s="2"/>
      <c r="H7264" s="2" t="str">
        <f>IFERROR(__xludf.DUMMYFUNCTION("IF(G7264&lt;&gt;"""", GOOGLETRANSLATE(G7264, ""en"", ""te""),"""")"),"")</f>
        <v/>
      </c>
      <c r="I7264" s="3"/>
    </row>
    <row r="7265" customHeight="1" spans="1:9">
      <c r="A7265" s="2"/>
      <c r="B7265" s="2" t="str">
        <f>IFERROR(__xludf.DUMMYFUNCTION("IF(A7265&lt;&gt;"""", GOOGLETRANSLATE(A7265, ""en"", ""te""),"""")"),"")</f>
        <v/>
      </c>
      <c r="C7265" s="2"/>
      <c r="D7265" s="2" t="str">
        <f>IFERROR(__xludf.DUMMYFUNCTION("IF(C7265&lt;&gt;"""", GOOGLETRANSLATE(C7265, ""en"", ""te""),"""")"),"")</f>
        <v/>
      </c>
      <c r="E7265" s="2"/>
      <c r="F7265" s="2" t="str">
        <f>IFERROR(__xludf.DUMMYFUNCTION("IF(E7265&lt;&gt;"""", GOOGLETRANSLATE(E7265, ""en"", ""te""),"""")"),"")</f>
        <v/>
      </c>
      <c r="G7265" s="2"/>
      <c r="H7265" s="2" t="str">
        <f>IFERROR(__xludf.DUMMYFUNCTION("IF(G7265&lt;&gt;"""", GOOGLETRANSLATE(G7265, ""en"", ""te""),"""")"),"")</f>
        <v/>
      </c>
      <c r="I7265" s="3"/>
    </row>
    <row r="7266" customHeight="1" spans="1:9">
      <c r="A7266" s="2"/>
      <c r="B7266" s="2" t="str">
        <f>IFERROR(__xludf.DUMMYFUNCTION("IF(A7266&lt;&gt;"""", GOOGLETRANSLATE(A7266, ""en"", ""te""),"""")"),"")</f>
        <v/>
      </c>
      <c r="C7266" s="2"/>
      <c r="D7266" s="2" t="str">
        <f>IFERROR(__xludf.DUMMYFUNCTION("IF(C7266&lt;&gt;"""", GOOGLETRANSLATE(C7266, ""en"", ""te""),"""")"),"")</f>
        <v/>
      </c>
      <c r="E7266" s="2"/>
      <c r="F7266" s="2" t="str">
        <f>IFERROR(__xludf.DUMMYFUNCTION("IF(E7266&lt;&gt;"""", GOOGLETRANSLATE(E7266, ""en"", ""te""),"""")"),"")</f>
        <v/>
      </c>
      <c r="G7266" s="2"/>
      <c r="H7266" s="2" t="str">
        <f>IFERROR(__xludf.DUMMYFUNCTION("IF(G7266&lt;&gt;"""", GOOGLETRANSLATE(G7266, ""en"", ""te""),"""")"),"")</f>
        <v/>
      </c>
      <c r="I7266" s="3"/>
    </row>
    <row r="7267" customHeight="1" spans="1:9">
      <c r="A7267" s="2"/>
      <c r="B7267" s="2" t="str">
        <f>IFERROR(__xludf.DUMMYFUNCTION("IF(A7267&lt;&gt;"""", GOOGLETRANSLATE(A7267, ""en"", ""te""),"""")"),"")</f>
        <v/>
      </c>
      <c r="C7267" s="2"/>
      <c r="D7267" s="2" t="str">
        <f>IFERROR(__xludf.DUMMYFUNCTION("IF(C7267&lt;&gt;"""", GOOGLETRANSLATE(C7267, ""en"", ""te""),"""")"),"")</f>
        <v/>
      </c>
      <c r="E7267" s="2"/>
      <c r="F7267" s="2" t="str">
        <f>IFERROR(__xludf.DUMMYFUNCTION("IF(E7267&lt;&gt;"""", GOOGLETRANSLATE(E7267, ""en"", ""te""),"""")"),"")</f>
        <v/>
      </c>
      <c r="G7267" s="2"/>
      <c r="H7267" s="2" t="str">
        <f>IFERROR(__xludf.DUMMYFUNCTION("IF(G7267&lt;&gt;"""", GOOGLETRANSLATE(G7267, ""en"", ""te""),"""")"),"")</f>
        <v/>
      </c>
      <c r="I7267" s="3"/>
    </row>
    <row r="7268" customHeight="1" spans="1:9">
      <c r="A7268" s="2"/>
      <c r="B7268" s="2" t="str">
        <f>IFERROR(__xludf.DUMMYFUNCTION("IF(A7268&lt;&gt;"""", GOOGLETRANSLATE(A7268, ""en"", ""te""),"""")"),"")</f>
        <v/>
      </c>
      <c r="C7268" s="2"/>
      <c r="D7268" s="2" t="str">
        <f>IFERROR(__xludf.DUMMYFUNCTION("IF(C7268&lt;&gt;"""", GOOGLETRANSLATE(C7268, ""en"", ""te""),"""")"),"")</f>
        <v/>
      </c>
      <c r="E7268" s="2"/>
      <c r="F7268" s="2" t="str">
        <f>IFERROR(__xludf.DUMMYFUNCTION("IF(E7268&lt;&gt;"""", GOOGLETRANSLATE(E7268, ""en"", ""te""),"""")"),"")</f>
        <v/>
      </c>
      <c r="G7268" s="2"/>
      <c r="H7268" s="2" t="str">
        <f>IFERROR(__xludf.DUMMYFUNCTION("IF(G7268&lt;&gt;"""", GOOGLETRANSLATE(G7268, ""en"", ""te""),"""")"),"")</f>
        <v/>
      </c>
      <c r="I7268" s="3"/>
    </row>
    <row r="7269" customHeight="1" spans="1:9">
      <c r="A7269" s="2"/>
      <c r="B7269" s="2" t="str">
        <f>IFERROR(__xludf.DUMMYFUNCTION("IF(A7269&lt;&gt;"""", GOOGLETRANSLATE(A7269, ""en"", ""te""),"""")"),"")</f>
        <v/>
      </c>
      <c r="C7269" s="2"/>
      <c r="D7269" s="2" t="str">
        <f>IFERROR(__xludf.DUMMYFUNCTION("IF(C7269&lt;&gt;"""", GOOGLETRANSLATE(C7269, ""en"", ""te""),"""")"),"")</f>
        <v/>
      </c>
      <c r="E7269" s="2"/>
      <c r="F7269" s="2" t="str">
        <f>IFERROR(__xludf.DUMMYFUNCTION("IF(E7269&lt;&gt;"""", GOOGLETRANSLATE(E7269, ""en"", ""te""),"""")"),"")</f>
        <v/>
      </c>
      <c r="G7269" s="2"/>
      <c r="H7269" s="2" t="str">
        <f>IFERROR(__xludf.DUMMYFUNCTION("IF(G7269&lt;&gt;"""", GOOGLETRANSLATE(G7269, ""en"", ""te""),"""")"),"")</f>
        <v/>
      </c>
      <c r="I7269" s="3"/>
    </row>
    <row r="7270" customHeight="1" spans="1:9">
      <c r="A7270" s="2"/>
      <c r="B7270" s="2" t="str">
        <f>IFERROR(__xludf.DUMMYFUNCTION("IF(A7270&lt;&gt;"""", GOOGLETRANSLATE(A7270, ""en"", ""te""),"""")"),"")</f>
        <v/>
      </c>
      <c r="C7270" s="2"/>
      <c r="D7270" s="2" t="str">
        <f>IFERROR(__xludf.DUMMYFUNCTION("IF(C7270&lt;&gt;"""", GOOGLETRANSLATE(C7270, ""en"", ""te""),"""")"),"")</f>
        <v/>
      </c>
      <c r="E7270" s="2"/>
      <c r="F7270" s="2" t="str">
        <f>IFERROR(__xludf.DUMMYFUNCTION("IF(E7270&lt;&gt;"""", GOOGLETRANSLATE(E7270, ""en"", ""te""),"""")"),"")</f>
        <v/>
      </c>
      <c r="G7270" s="2"/>
      <c r="H7270" s="2" t="str">
        <f>IFERROR(__xludf.DUMMYFUNCTION("IF(G7270&lt;&gt;"""", GOOGLETRANSLATE(G7270, ""en"", ""te""),"""")"),"")</f>
        <v/>
      </c>
      <c r="I7270" s="3"/>
    </row>
    <row r="7271" customHeight="1" spans="1:9">
      <c r="A7271" s="2"/>
      <c r="B7271" s="2" t="str">
        <f>IFERROR(__xludf.DUMMYFUNCTION("IF(A7271&lt;&gt;"""", GOOGLETRANSLATE(A7271, ""en"", ""te""),"""")"),"")</f>
        <v/>
      </c>
      <c r="C7271" s="2"/>
      <c r="D7271" s="2" t="str">
        <f>IFERROR(__xludf.DUMMYFUNCTION("IF(C7271&lt;&gt;"""", GOOGLETRANSLATE(C7271, ""en"", ""te""),"""")"),"")</f>
        <v/>
      </c>
      <c r="E7271" s="2"/>
      <c r="F7271" s="2" t="str">
        <f>IFERROR(__xludf.DUMMYFUNCTION("IF(E7271&lt;&gt;"""", GOOGLETRANSLATE(E7271, ""en"", ""te""),"""")"),"")</f>
        <v/>
      </c>
      <c r="G7271" s="2"/>
      <c r="H7271" s="2" t="str">
        <f>IFERROR(__xludf.DUMMYFUNCTION("IF(G7271&lt;&gt;"""", GOOGLETRANSLATE(G7271, ""en"", ""te""),"""")"),"")</f>
        <v/>
      </c>
      <c r="I7271" s="3"/>
    </row>
    <row r="7272" customHeight="1" spans="1:9">
      <c r="A7272" s="2"/>
      <c r="B7272" s="2" t="str">
        <f>IFERROR(__xludf.DUMMYFUNCTION("IF(A7272&lt;&gt;"""", GOOGLETRANSLATE(A7272, ""en"", ""te""),"""")"),"")</f>
        <v/>
      </c>
      <c r="C7272" s="2"/>
      <c r="D7272" s="2" t="str">
        <f>IFERROR(__xludf.DUMMYFUNCTION("IF(C7272&lt;&gt;"""", GOOGLETRANSLATE(C7272, ""en"", ""te""),"""")"),"")</f>
        <v/>
      </c>
      <c r="E7272" s="2"/>
      <c r="F7272" s="2" t="str">
        <f>IFERROR(__xludf.DUMMYFUNCTION("IF(E7272&lt;&gt;"""", GOOGLETRANSLATE(E7272, ""en"", ""te""),"""")"),"")</f>
        <v/>
      </c>
      <c r="G7272" s="2"/>
      <c r="H7272" s="2" t="str">
        <f>IFERROR(__xludf.DUMMYFUNCTION("IF(G7272&lt;&gt;"""", GOOGLETRANSLATE(G7272, ""en"", ""te""),"""")"),"")</f>
        <v/>
      </c>
      <c r="I7272" s="3"/>
    </row>
    <row r="7273" customHeight="1" spans="1:9">
      <c r="A7273" s="2"/>
      <c r="B7273" s="2" t="str">
        <f>IFERROR(__xludf.DUMMYFUNCTION("IF(A7273&lt;&gt;"""", GOOGLETRANSLATE(A7273, ""en"", ""te""),"""")"),"")</f>
        <v/>
      </c>
      <c r="C7273" s="2"/>
      <c r="D7273" s="2" t="str">
        <f>IFERROR(__xludf.DUMMYFUNCTION("IF(C7273&lt;&gt;"""", GOOGLETRANSLATE(C7273, ""en"", ""te""),"""")"),"")</f>
        <v/>
      </c>
      <c r="E7273" s="2"/>
      <c r="F7273" s="2" t="str">
        <f>IFERROR(__xludf.DUMMYFUNCTION("IF(E7273&lt;&gt;"""", GOOGLETRANSLATE(E7273, ""en"", ""te""),"""")"),"")</f>
        <v/>
      </c>
      <c r="G7273" s="2"/>
      <c r="H7273" s="2" t="str">
        <f>IFERROR(__xludf.DUMMYFUNCTION("IF(G7273&lt;&gt;"""", GOOGLETRANSLATE(G7273, ""en"", ""te""),"""")"),"")</f>
        <v/>
      </c>
      <c r="I7273" s="3"/>
    </row>
    <row r="7274" customHeight="1" spans="1:9">
      <c r="A7274" s="2"/>
      <c r="B7274" s="2" t="str">
        <f>IFERROR(__xludf.DUMMYFUNCTION("IF(A7274&lt;&gt;"""", GOOGLETRANSLATE(A7274, ""en"", ""te""),"""")"),"")</f>
        <v/>
      </c>
      <c r="C7274" s="2" t="s">
        <v>4267</v>
      </c>
      <c r="D7274" s="2" t="str">
        <f>IFERROR(__xludf.DUMMYFUNCTION("IF(C7274&lt;&gt;"""", GOOGLETRANSLATE(C7274, ""en"", ""te""),"""")"),"[ '24 ఒక ఇన్నింగ్స్ లోని బెస్ట్ ఫిగర్స్ ఉన్నప్పుడు పరాజయం వైపు (7)', '47 వ అత్యధిక పరుగులు ఇన్నింగ్స్ లో సాధించిన (193)', '36 వ 40 వ మ్యాచ్లో ఉన్నప్పుడు పరాజయం వైపు (10) ఉత్తమ ప్రముఖులలో అత్యధిక పరుగులు ఒక మ్యాచ్లో సాధించిన (264) ']")</f>
        <v>[ '24 ఒక ఇన్నింగ్స్ లోని బెస్ట్ ఫిగర్స్ ఉన్నప్పుడు పరాజయం వైపు (7)', '47 వ అత్యధిక పరుగులు ఇన్నింగ్స్ లో సాధించిన (193)', '36 వ 40 వ మ్యాచ్లో ఉన్నప్పుడు పరాజయం వైపు (10) ఉత్తమ ప్రముఖులలో అత్యధిక పరుగులు ఒక మ్యాచ్లో సాధించిన (264) ']</v>
      </c>
      <c r="E7274" s="2"/>
      <c r="F7274" s="2" t="str">
        <f>IFERROR(__xludf.DUMMYFUNCTION("IF(E7274&lt;&gt;"""", GOOGLETRANSLATE(E7274, ""en"", ""te""),"""")"),"")</f>
        <v/>
      </c>
      <c r="G7274" s="2"/>
      <c r="H7274" s="2" t="str">
        <f>IFERROR(__xludf.DUMMYFUNCTION("IF(G7274&lt;&gt;"""", GOOGLETRANSLATE(G7274, ""en"", ""te""),"""")"),"")</f>
        <v/>
      </c>
      <c r="I7274" s="3"/>
    </row>
    <row r="7275" customHeight="1" spans="1:9">
      <c r="A7275" s="2"/>
      <c r="B7275" s="2" t="str">
        <f>IFERROR(__xludf.DUMMYFUNCTION("IF(A7275&lt;&gt;"""", GOOGLETRANSLATE(A7275, ""en"", ""te""),"""")"),"")</f>
        <v/>
      </c>
      <c r="C7275" s="2"/>
      <c r="D7275" s="2" t="str">
        <f>IFERROR(__xludf.DUMMYFUNCTION("IF(C7275&lt;&gt;"""", GOOGLETRANSLATE(C7275, ""en"", ""te""),"""")"),"")</f>
        <v/>
      </c>
      <c r="E7275" s="2"/>
      <c r="F7275" s="2" t="str">
        <f>IFERROR(__xludf.DUMMYFUNCTION("IF(E7275&lt;&gt;"""", GOOGLETRANSLATE(E7275, ""en"", ""te""),"""")"),"")</f>
        <v/>
      </c>
      <c r="G7275" s="2"/>
      <c r="H7275" s="2" t="str">
        <f>IFERROR(__xludf.DUMMYFUNCTION("IF(G7275&lt;&gt;"""", GOOGLETRANSLATE(G7275, ""en"", ""te""),"""")"),"")</f>
        <v/>
      </c>
      <c r="I7275" s="3"/>
    </row>
    <row r="7276" customHeight="1" spans="1:9">
      <c r="A7276" s="2"/>
      <c r="B7276" s="2" t="str">
        <f>IFERROR(__xludf.DUMMYFUNCTION("IF(A7276&lt;&gt;"""", GOOGLETRANSLATE(A7276, ""en"", ""te""),"""")"),"")</f>
        <v/>
      </c>
      <c r="C7276" s="2"/>
      <c r="D7276" s="2" t="str">
        <f>IFERROR(__xludf.DUMMYFUNCTION("IF(C7276&lt;&gt;"""", GOOGLETRANSLATE(C7276, ""en"", ""te""),"""")"),"")</f>
        <v/>
      </c>
      <c r="E7276" s="2"/>
      <c r="F7276" s="2" t="str">
        <f>IFERROR(__xludf.DUMMYFUNCTION("IF(E7276&lt;&gt;"""", GOOGLETRANSLATE(E7276, ""en"", ""te""),"""")"),"")</f>
        <v/>
      </c>
      <c r="G7276" s="2"/>
      <c r="H7276" s="2" t="str">
        <f>IFERROR(__xludf.DUMMYFUNCTION("IF(G7276&lt;&gt;"""", GOOGLETRANSLATE(G7276, ""en"", ""te""),"""")"),"")</f>
        <v/>
      </c>
      <c r="I7276" s="3"/>
    </row>
    <row r="7277" customHeight="1" spans="1:9">
      <c r="A7277" s="2"/>
      <c r="B7277" s="2" t="str">
        <f>IFERROR(__xludf.DUMMYFUNCTION("IF(A7277&lt;&gt;"""", GOOGLETRANSLATE(A7277, ""en"", ""te""),"""")"),"")</f>
        <v/>
      </c>
      <c r="C7277" s="2"/>
      <c r="D7277" s="2" t="str">
        <f>IFERROR(__xludf.DUMMYFUNCTION("IF(C7277&lt;&gt;"""", GOOGLETRANSLATE(C7277, ""en"", ""te""),"""")"),"")</f>
        <v/>
      </c>
      <c r="E7277" s="2"/>
      <c r="F7277" s="2" t="str">
        <f>IFERROR(__xludf.DUMMYFUNCTION("IF(E7277&lt;&gt;"""", GOOGLETRANSLATE(E7277, ""en"", ""te""),"""")"),"")</f>
        <v/>
      </c>
      <c r="G7277" s="2"/>
      <c r="H7277" s="2" t="str">
        <f>IFERROR(__xludf.DUMMYFUNCTION("IF(G7277&lt;&gt;"""", GOOGLETRANSLATE(G7277, ""en"", ""te""),"""")"),"")</f>
        <v/>
      </c>
      <c r="I7277" s="3"/>
    </row>
    <row r="7278" customHeight="1" spans="1:9">
      <c r="A7278" s="2"/>
      <c r="B7278" s="2" t="str">
        <f>IFERROR(__xludf.DUMMYFUNCTION("IF(A7278&lt;&gt;"""", GOOGLETRANSLATE(A7278, ""en"", ""te""),"""")"),"")</f>
        <v/>
      </c>
      <c r="C7278" s="2"/>
      <c r="D7278" s="2" t="str">
        <f>IFERROR(__xludf.DUMMYFUNCTION("IF(C7278&lt;&gt;"""", GOOGLETRANSLATE(C7278, ""en"", ""te""),"""")"),"")</f>
        <v/>
      </c>
      <c r="E7278" s="2"/>
      <c r="F7278" s="2" t="str">
        <f>IFERROR(__xludf.DUMMYFUNCTION("IF(E7278&lt;&gt;"""", GOOGLETRANSLATE(E7278, ""en"", ""te""),"""")"),"")</f>
        <v/>
      </c>
      <c r="G7278" s="2"/>
      <c r="H7278" s="2" t="str">
        <f>IFERROR(__xludf.DUMMYFUNCTION("IF(G7278&lt;&gt;"""", GOOGLETRANSLATE(G7278, ""en"", ""te""),"""")"),"")</f>
        <v/>
      </c>
      <c r="I7278" s="3"/>
    </row>
    <row r="7279" customHeight="1" spans="1:9">
      <c r="A7279" s="2"/>
      <c r="B7279" s="2" t="str">
        <f>IFERROR(__xludf.DUMMYFUNCTION("IF(A7279&lt;&gt;"""", GOOGLETRANSLATE(A7279, ""en"", ""te""),"""")"),"")</f>
        <v/>
      </c>
      <c r="C7279" s="2"/>
      <c r="D7279" s="2" t="str">
        <f>IFERROR(__xludf.DUMMYFUNCTION("IF(C7279&lt;&gt;"""", GOOGLETRANSLATE(C7279, ""en"", ""te""),"""")"),"")</f>
        <v/>
      </c>
      <c r="E7279" s="2"/>
      <c r="F7279" s="2" t="str">
        <f>IFERROR(__xludf.DUMMYFUNCTION("IF(E7279&lt;&gt;"""", GOOGLETRANSLATE(E7279, ""en"", ""te""),"""")"),"")</f>
        <v/>
      </c>
      <c r="G7279" s="2"/>
      <c r="H7279" s="2" t="str">
        <f>IFERROR(__xludf.DUMMYFUNCTION("IF(G7279&lt;&gt;"""", GOOGLETRANSLATE(G7279, ""en"", ""te""),"""")"),"")</f>
        <v/>
      </c>
      <c r="I7279" s="3"/>
    </row>
    <row r="7280" customHeight="1" spans="1:9">
      <c r="A7280" s="2"/>
      <c r="B7280" s="2" t="str">
        <f>IFERROR(__xludf.DUMMYFUNCTION("IF(A7280&lt;&gt;"""", GOOGLETRANSLATE(A7280, ""en"", ""te""),"""")"),"")</f>
        <v/>
      </c>
      <c r="C7280" s="2"/>
      <c r="D7280" s="2" t="str">
        <f>IFERROR(__xludf.DUMMYFUNCTION("IF(C7280&lt;&gt;"""", GOOGLETRANSLATE(C7280, ""en"", ""te""),"""")"),"")</f>
        <v/>
      </c>
      <c r="E7280" s="2"/>
      <c r="F7280" s="2" t="str">
        <f>IFERROR(__xludf.DUMMYFUNCTION("IF(E7280&lt;&gt;"""", GOOGLETRANSLATE(E7280, ""en"", ""te""),"""")"),"")</f>
        <v/>
      </c>
      <c r="G7280" s="2"/>
      <c r="H7280" s="2" t="str">
        <f>IFERROR(__xludf.DUMMYFUNCTION("IF(G7280&lt;&gt;"""", GOOGLETRANSLATE(G7280, ""en"", ""te""),"""")"),"")</f>
        <v/>
      </c>
      <c r="I7280" s="3"/>
    </row>
    <row r="7281" customHeight="1" spans="1:9">
      <c r="A7281" s="2"/>
      <c r="B7281" s="2" t="str">
        <f>IFERROR(__xludf.DUMMYFUNCTION("IF(A7281&lt;&gt;"""", GOOGLETRANSLATE(A7281, ""en"", ""te""),"""")"),"")</f>
        <v/>
      </c>
      <c r="C7281" s="2"/>
      <c r="D7281" s="2" t="str">
        <f>IFERROR(__xludf.DUMMYFUNCTION("IF(C7281&lt;&gt;"""", GOOGLETRANSLATE(C7281, ""en"", ""te""),"""")"),"")</f>
        <v/>
      </c>
      <c r="E7281" s="2"/>
      <c r="F7281" s="2" t="str">
        <f>IFERROR(__xludf.DUMMYFUNCTION("IF(E7281&lt;&gt;"""", GOOGLETRANSLATE(E7281, ""en"", ""te""),"""")"),"")</f>
        <v/>
      </c>
      <c r="G7281" s="2"/>
      <c r="H7281" s="2" t="str">
        <f>IFERROR(__xludf.DUMMYFUNCTION("IF(G7281&lt;&gt;"""", GOOGLETRANSLATE(G7281, ""en"", ""te""),"""")"),"")</f>
        <v/>
      </c>
      <c r="I7281" s="3"/>
    </row>
    <row r="7282" customHeight="1" spans="1:9">
      <c r="A7282" s="2"/>
      <c r="B7282" s="2" t="str">
        <f>IFERROR(__xludf.DUMMYFUNCTION("IF(A7282&lt;&gt;"""", GOOGLETRANSLATE(A7282, ""en"", ""te""),"""")"),"")</f>
        <v/>
      </c>
      <c r="C7282" s="2"/>
      <c r="D7282" s="2" t="str">
        <f>IFERROR(__xludf.DUMMYFUNCTION("IF(C7282&lt;&gt;"""", GOOGLETRANSLATE(C7282, ""en"", ""te""),"""")"),"")</f>
        <v/>
      </c>
      <c r="E7282" s="2"/>
      <c r="F7282" s="2" t="str">
        <f>IFERROR(__xludf.DUMMYFUNCTION("IF(E7282&lt;&gt;"""", GOOGLETRANSLATE(E7282, ""en"", ""te""),"""")"),"")</f>
        <v/>
      </c>
      <c r="G7282" s="2"/>
      <c r="H7282" s="2" t="str">
        <f>IFERROR(__xludf.DUMMYFUNCTION("IF(G7282&lt;&gt;"""", GOOGLETRANSLATE(G7282, ""en"", ""te""),"""")"),"")</f>
        <v/>
      </c>
      <c r="I7282" s="3"/>
    </row>
    <row r="7283" customHeight="1" spans="1:9">
      <c r="A7283" s="2"/>
      <c r="B7283" s="2" t="str">
        <f>IFERROR(__xludf.DUMMYFUNCTION("IF(A7283&lt;&gt;"""", GOOGLETRANSLATE(A7283, ""en"", ""te""),"""")"),"")</f>
        <v/>
      </c>
      <c r="C7283" s="2"/>
      <c r="D7283" s="2" t="str">
        <f>IFERROR(__xludf.DUMMYFUNCTION("IF(C7283&lt;&gt;"""", GOOGLETRANSLATE(C7283, ""en"", ""te""),"""")"),"")</f>
        <v/>
      </c>
      <c r="E7283" s="2"/>
      <c r="F7283" s="2" t="str">
        <f>IFERROR(__xludf.DUMMYFUNCTION("IF(E7283&lt;&gt;"""", GOOGLETRANSLATE(E7283, ""en"", ""te""),"""")"),"")</f>
        <v/>
      </c>
      <c r="G7283" s="2"/>
      <c r="H7283" s="2" t="str">
        <f>IFERROR(__xludf.DUMMYFUNCTION("IF(G7283&lt;&gt;"""", GOOGLETRANSLATE(G7283, ""en"", ""te""),"""")"),"")</f>
        <v/>
      </c>
      <c r="I7283" s="3"/>
    </row>
    <row r="7284" customHeight="1" spans="1:9">
      <c r="A7284" s="2"/>
      <c r="B7284" s="2" t="str">
        <f>IFERROR(__xludf.DUMMYFUNCTION("IF(A7284&lt;&gt;"""", GOOGLETRANSLATE(A7284, ""en"", ""te""),"""")"),"")</f>
        <v/>
      </c>
      <c r="C7284" s="2"/>
      <c r="D7284" s="2" t="str">
        <f>IFERROR(__xludf.DUMMYFUNCTION("IF(C7284&lt;&gt;"""", GOOGLETRANSLATE(C7284, ""en"", ""te""),"""")"),"")</f>
        <v/>
      </c>
      <c r="E7284" s="2"/>
      <c r="F7284" s="2" t="str">
        <f>IFERROR(__xludf.DUMMYFUNCTION("IF(E7284&lt;&gt;"""", GOOGLETRANSLATE(E7284, ""en"", ""te""),"""")"),"")</f>
        <v/>
      </c>
      <c r="G7284" s="2"/>
      <c r="H7284" s="2" t="str">
        <f>IFERROR(__xludf.DUMMYFUNCTION("IF(G7284&lt;&gt;"""", GOOGLETRANSLATE(G7284, ""en"", ""te""),"""")"),"")</f>
        <v/>
      </c>
      <c r="I7284" s="3"/>
    </row>
    <row r="7285" customHeight="1" spans="1:9">
      <c r="A7285" s="2"/>
      <c r="B7285" s="2" t="str">
        <f>IFERROR(__xludf.DUMMYFUNCTION("IF(A7285&lt;&gt;"""", GOOGLETRANSLATE(A7285, ""en"", ""te""),"""")"),"")</f>
        <v/>
      </c>
      <c r="C7285" s="2"/>
      <c r="D7285" s="2" t="str">
        <f>IFERROR(__xludf.DUMMYFUNCTION("IF(C7285&lt;&gt;"""", GOOGLETRANSLATE(C7285, ""en"", ""te""),"""")"),"")</f>
        <v/>
      </c>
      <c r="E7285" s="2"/>
      <c r="F7285" s="2" t="str">
        <f>IFERROR(__xludf.DUMMYFUNCTION("IF(E7285&lt;&gt;"""", GOOGLETRANSLATE(E7285, ""en"", ""te""),"""")"),"")</f>
        <v/>
      </c>
      <c r="G7285" s="2"/>
      <c r="H7285" s="2" t="str">
        <f>IFERROR(__xludf.DUMMYFUNCTION("IF(G7285&lt;&gt;"""", GOOGLETRANSLATE(G7285, ""en"", ""te""),"""")"),"")</f>
        <v/>
      </c>
      <c r="I7285" s="3"/>
    </row>
    <row r="7286" customHeight="1" spans="1:9">
      <c r="A7286" s="2"/>
      <c r="B7286" s="2" t="str">
        <f>IFERROR(__xludf.DUMMYFUNCTION("IF(A7286&lt;&gt;"""", GOOGLETRANSLATE(A7286, ""en"", ""te""),"""")"),"")</f>
        <v/>
      </c>
      <c r="C7286" s="2"/>
      <c r="D7286" s="2" t="str">
        <f>IFERROR(__xludf.DUMMYFUNCTION("IF(C7286&lt;&gt;"""", GOOGLETRANSLATE(C7286, ""en"", ""te""),"""")"),"")</f>
        <v/>
      </c>
      <c r="E7286" s="2"/>
      <c r="F7286" s="2" t="str">
        <f>IFERROR(__xludf.DUMMYFUNCTION("IF(E7286&lt;&gt;"""", GOOGLETRANSLATE(E7286, ""en"", ""te""),"""")"),"")</f>
        <v/>
      </c>
      <c r="G7286" s="2"/>
      <c r="H7286" s="2" t="str">
        <f>IFERROR(__xludf.DUMMYFUNCTION("IF(G7286&lt;&gt;"""", GOOGLETRANSLATE(G7286, ""en"", ""te""),"""")"),"")</f>
        <v/>
      </c>
      <c r="I7286" s="3"/>
    </row>
    <row r="7287" customHeight="1" spans="1:9">
      <c r="A7287" s="2"/>
      <c r="B7287" s="2" t="str">
        <f>IFERROR(__xludf.DUMMYFUNCTION("IF(A7287&lt;&gt;"""", GOOGLETRANSLATE(A7287, ""en"", ""te""),"""")"),"")</f>
        <v/>
      </c>
      <c r="C7287" s="2"/>
      <c r="D7287" s="2" t="str">
        <f>IFERROR(__xludf.DUMMYFUNCTION("IF(C7287&lt;&gt;"""", GOOGLETRANSLATE(C7287, ""en"", ""te""),"""")"),"")</f>
        <v/>
      </c>
      <c r="E7287" s="2"/>
      <c r="F7287" s="2" t="str">
        <f>IFERROR(__xludf.DUMMYFUNCTION("IF(E7287&lt;&gt;"""", GOOGLETRANSLATE(E7287, ""en"", ""te""),"""")"),"")</f>
        <v/>
      </c>
      <c r="G7287" s="2"/>
      <c r="H7287" s="2" t="str">
        <f>IFERROR(__xludf.DUMMYFUNCTION("IF(G7287&lt;&gt;"""", GOOGLETRANSLATE(G7287, ""en"", ""te""),"""")"),"")</f>
        <v/>
      </c>
      <c r="I7287" s="3"/>
    </row>
    <row r="7288" customHeight="1" spans="1:9">
      <c r="A7288" s="2"/>
      <c r="B7288" s="2" t="str">
        <f>IFERROR(__xludf.DUMMYFUNCTION("IF(A7288&lt;&gt;"""", GOOGLETRANSLATE(A7288, ""en"", ""te""),"""")"),"")</f>
        <v/>
      </c>
      <c r="C7288" s="2"/>
      <c r="D7288" s="2" t="str">
        <f>IFERROR(__xludf.DUMMYFUNCTION("IF(C7288&lt;&gt;"""", GOOGLETRANSLATE(C7288, ""en"", ""te""),"""")"),"")</f>
        <v/>
      </c>
      <c r="E7288" s="2"/>
      <c r="F7288" s="2" t="str">
        <f>IFERROR(__xludf.DUMMYFUNCTION("IF(E7288&lt;&gt;"""", GOOGLETRANSLATE(E7288, ""en"", ""te""),"""")"),"")</f>
        <v/>
      </c>
      <c r="G7288" s="2"/>
      <c r="H7288" s="2" t="str">
        <f>IFERROR(__xludf.DUMMYFUNCTION("IF(G7288&lt;&gt;"""", GOOGLETRANSLATE(G7288, ""en"", ""te""),"""")"),"")</f>
        <v/>
      </c>
      <c r="I7288" s="3"/>
    </row>
    <row r="7289" customHeight="1" spans="1:9">
      <c r="A7289" s="2"/>
      <c r="B7289" s="2" t="str">
        <f>IFERROR(__xludf.DUMMYFUNCTION("IF(A7289&lt;&gt;"""", GOOGLETRANSLATE(A7289, ""en"", ""te""),"""")"),"")</f>
        <v/>
      </c>
      <c r="C7289" s="2"/>
      <c r="D7289" s="2" t="str">
        <f>IFERROR(__xludf.DUMMYFUNCTION("IF(C7289&lt;&gt;"""", GOOGLETRANSLATE(C7289, ""en"", ""te""),"""")"),"")</f>
        <v/>
      </c>
      <c r="E7289" s="2"/>
      <c r="F7289" s="2" t="str">
        <f>IFERROR(__xludf.DUMMYFUNCTION("IF(E7289&lt;&gt;"""", GOOGLETRANSLATE(E7289, ""en"", ""te""),"""")"),"")</f>
        <v/>
      </c>
      <c r="G7289" s="2"/>
      <c r="H7289" s="2" t="str">
        <f>IFERROR(__xludf.DUMMYFUNCTION("IF(G7289&lt;&gt;"""", GOOGLETRANSLATE(G7289, ""en"", ""te""),"""")"),"")</f>
        <v/>
      </c>
      <c r="I7289" s="3"/>
    </row>
    <row r="7290" customHeight="1" spans="1:9">
      <c r="A7290" s="2" t="s">
        <v>4268</v>
      </c>
      <c r="B7290" s="2" t="str">
        <f>IFERROR(__xludf.DUMMYFUNCTION("IF(A7290&lt;&gt;"""", GOOGLETRANSLATE(A7290, ""en"", ""te""),"""")"),"[ '4 వ అత్యధిక వరుస బాతులు (4)', 'ఇన్నింగ్స్ లో సాధించిన 4 వ అత్యధిక పరుగులు (106)', '4 వ అత్యధిక వరుస బాతులు (4)']")</f>
        <v>[ '4 వ అత్యధిక వరుస బాతులు (4)', 'ఇన్నింగ్స్ లో సాధించిన 4 వ అత్యధిక పరుగులు (106)', '4 వ అత్యధిక వరుస బాతులు (4)']</v>
      </c>
      <c r="C7290" s="2" t="s">
        <v>4269</v>
      </c>
      <c r="D7290" s="2" t="str">
        <f>IFERROR(__xludf.DUMMYFUNCTION("IF(C7290&lt;&gt;"""", GOOGLETRANSLATE(C7290, ""en"", ""te""),"""")"),"[ '37 వ కెరీర్ బాతులు (18)', '11 వ ఒక సిరీస్లో అత్యధిక బాతులు (4)', '4 వ అత్యధిక వరుస బాతులు (4)', '7 వ అత్యంత జతల కెరీర్లో (3)', '32 వ చెత్త కెరీర్లో ఆర్థిక రేటు (3.54) ',' ఇన్నింగ్స్ లో 43 చెత్త ఆర్థిక రేటు (6.40) ']")</f>
        <v>[ '37 వ కెరీర్ బాతులు (18)', '11 వ ఒక సిరీస్లో అత్యధిక బాతులు (4)', '4 వ అత్యధిక వరుస బాతులు (4)', '7 వ అత్యంత జతల కెరీర్లో (3)', '32 వ చెత్త కెరీర్లో ఆర్థిక రేటు (3.54) ',' ఇన్నింగ్స్ లో 43 చెత్త ఆర్థిక రేటు (6.40) ']</v>
      </c>
      <c r="E7290" s="2" t="s">
        <v>4270</v>
      </c>
      <c r="F7290" s="2" t="str">
        <f>IFERROR(__xludf.DUMMYFUNCTION("IF(E7290&lt;&gt;"""", GOOGLETRANSLATE(E7290, ""en"", ""te""),"""")"),"[ '6 వ అత్యధిక వరుస బాతులు (3)', '13 వ చెత్త కెరీర్లో ఆర్థిక రేటు (5.96)', '13 వ వరుస నాలుగు వికెట్లు-ఇన్-ఒక-ఇన్నింగ్స్ (2)', '4 వ ఇన్నింగ్స్ లో సాధించిన అత్యధిక పరుగులు (106 ) ']")</f>
        <v>[ '6 వ అత్యధిక వరుస బాతులు (3)', '13 వ చెత్త కెరీర్లో ఆర్థిక రేటు (5.96)', '13 వ వరుస నాలుగు వికెట్లు-ఇన్-ఒక-ఇన్నింగ్స్ (2)', '4 వ ఇన్నింగ్స్ లో సాధించిన అత్యధిక పరుగులు (106 ) ']</v>
      </c>
      <c r="G7290" s="2" t="s">
        <v>2122</v>
      </c>
      <c r="H7290" s="2" t="str">
        <f>IFERROR(__xludf.DUMMYFUNCTION("IF(G7290&lt;&gt;"""", GOOGLETRANSLATE(G7290, ""en"", ""te""),"""")"),"[18 వ అత్యధిక పరుగులు ఇన్నింగ్స్ (61) లో సాధించిన]")</f>
        <v>[18 వ అత్యధిక పరుగులు ఇన్నింగ్స్ (61) లో సాధించిన]</v>
      </c>
      <c r="I7290" s="3"/>
    </row>
    <row r="7291" customHeight="1" spans="1:9">
      <c r="A7291" s="2"/>
      <c r="B7291" s="2" t="str">
        <f>IFERROR(__xludf.DUMMYFUNCTION("IF(A7291&lt;&gt;"""", GOOGLETRANSLATE(A7291, ""en"", ""te""),"""")"),"")</f>
        <v/>
      </c>
      <c r="C7291" s="2"/>
      <c r="D7291" s="2" t="str">
        <f>IFERROR(__xludf.DUMMYFUNCTION("IF(C7291&lt;&gt;"""", GOOGLETRANSLATE(C7291, ""en"", ""te""),"""")"),"")</f>
        <v/>
      </c>
      <c r="E7291" s="2"/>
      <c r="F7291" s="2" t="str">
        <f>IFERROR(__xludf.DUMMYFUNCTION("IF(E7291&lt;&gt;"""", GOOGLETRANSLATE(E7291, ""en"", ""te""),"""")"),"")</f>
        <v/>
      </c>
      <c r="G7291" s="2"/>
      <c r="H7291" s="2" t="str">
        <f>IFERROR(__xludf.DUMMYFUNCTION("IF(G7291&lt;&gt;"""", GOOGLETRANSLATE(G7291, ""en"", ""te""),"""")"),"")</f>
        <v/>
      </c>
      <c r="I7291" s="3"/>
    </row>
    <row r="7292" customHeight="1" spans="1:9">
      <c r="A7292" s="2"/>
      <c r="B7292" s="2" t="str">
        <f>IFERROR(__xludf.DUMMYFUNCTION("IF(A7292&lt;&gt;"""", GOOGLETRANSLATE(A7292, ""en"", ""te""),"""")"),"")</f>
        <v/>
      </c>
      <c r="C7292" s="2"/>
      <c r="D7292" s="2" t="str">
        <f>IFERROR(__xludf.DUMMYFUNCTION("IF(C7292&lt;&gt;"""", GOOGLETRANSLATE(C7292, ""en"", ""te""),"""")"),"")</f>
        <v/>
      </c>
      <c r="E7292" s="2"/>
      <c r="F7292" s="2" t="str">
        <f>IFERROR(__xludf.DUMMYFUNCTION("IF(E7292&lt;&gt;"""", GOOGLETRANSLATE(E7292, ""en"", ""te""),"""")"),"")</f>
        <v/>
      </c>
      <c r="G7292" s="2"/>
      <c r="H7292" s="2" t="str">
        <f>IFERROR(__xludf.DUMMYFUNCTION("IF(G7292&lt;&gt;"""", GOOGLETRANSLATE(G7292, ""en"", ""te""),"""")"),"")</f>
        <v/>
      </c>
      <c r="I7292" s="3"/>
    </row>
    <row r="7293" customHeight="1" spans="1:9">
      <c r="A7293" s="2"/>
      <c r="B7293" s="2" t="str">
        <f>IFERROR(__xludf.DUMMYFUNCTION("IF(A7293&lt;&gt;"""", GOOGLETRANSLATE(A7293, ""en"", ""te""),"""")"),"")</f>
        <v/>
      </c>
      <c r="C7293" s="2"/>
      <c r="D7293" s="2" t="str">
        <f>IFERROR(__xludf.DUMMYFUNCTION("IF(C7293&lt;&gt;"""", GOOGLETRANSLATE(C7293, ""en"", ""te""),"""")"),"")</f>
        <v/>
      </c>
      <c r="E7293" s="2"/>
      <c r="F7293" s="2" t="str">
        <f>IFERROR(__xludf.DUMMYFUNCTION("IF(E7293&lt;&gt;"""", GOOGLETRANSLATE(E7293, ""en"", ""te""),"""")"),"")</f>
        <v/>
      </c>
      <c r="G7293" s="2"/>
      <c r="H7293" s="2" t="str">
        <f>IFERROR(__xludf.DUMMYFUNCTION("IF(G7293&lt;&gt;"""", GOOGLETRANSLATE(G7293, ""en"", ""te""),"""")"),"")</f>
        <v/>
      </c>
      <c r="I7293" s="3"/>
    </row>
    <row r="7294" customHeight="1" spans="1:9">
      <c r="A7294" s="2"/>
      <c r="B7294" s="2" t="str">
        <f>IFERROR(__xludf.DUMMYFUNCTION("IF(A7294&lt;&gt;"""", GOOGLETRANSLATE(A7294, ""en"", ""te""),"""")"),"")</f>
        <v/>
      </c>
      <c r="C7294" s="2"/>
      <c r="D7294" s="2" t="str">
        <f>IFERROR(__xludf.DUMMYFUNCTION("IF(C7294&lt;&gt;"""", GOOGLETRANSLATE(C7294, ""en"", ""te""),"""")"),"")</f>
        <v/>
      </c>
      <c r="E7294" s="2"/>
      <c r="F7294" s="2" t="str">
        <f>IFERROR(__xludf.DUMMYFUNCTION("IF(E7294&lt;&gt;"""", GOOGLETRANSLATE(E7294, ""en"", ""te""),"""")"),"")</f>
        <v/>
      </c>
      <c r="G7294" s="2"/>
      <c r="H7294" s="2" t="str">
        <f>IFERROR(__xludf.DUMMYFUNCTION("IF(G7294&lt;&gt;"""", GOOGLETRANSLATE(G7294, ""en"", ""te""),"""")"),"")</f>
        <v/>
      </c>
      <c r="I7294" s="3"/>
    </row>
    <row r="7295" customHeight="1" spans="1:9">
      <c r="A7295" s="2"/>
      <c r="B7295" s="2" t="str">
        <f>IFERROR(__xludf.DUMMYFUNCTION("IF(A7295&lt;&gt;"""", GOOGLETRANSLATE(A7295, ""en"", ""te""),"""")"),"")</f>
        <v/>
      </c>
      <c r="C7295" s="2"/>
      <c r="D7295" s="2" t="str">
        <f>IFERROR(__xludf.DUMMYFUNCTION("IF(C7295&lt;&gt;"""", GOOGLETRANSLATE(C7295, ""en"", ""te""),"""")"),"")</f>
        <v/>
      </c>
      <c r="E7295" s="2"/>
      <c r="F7295" s="2" t="str">
        <f>IFERROR(__xludf.DUMMYFUNCTION("IF(E7295&lt;&gt;"""", GOOGLETRANSLATE(E7295, ""en"", ""te""),"""")"),"")</f>
        <v/>
      </c>
      <c r="G7295" s="2"/>
      <c r="H7295" s="2" t="str">
        <f>IFERROR(__xludf.DUMMYFUNCTION("IF(G7295&lt;&gt;"""", GOOGLETRANSLATE(G7295, ""en"", ""te""),"""")"),"")</f>
        <v/>
      </c>
      <c r="I7295" s="3"/>
    </row>
    <row r="7296" customHeight="1" spans="1:9">
      <c r="A7296" s="2"/>
      <c r="B7296" s="2" t="str">
        <f>IFERROR(__xludf.DUMMYFUNCTION("IF(A7296&lt;&gt;"""", GOOGLETRANSLATE(A7296, ""en"", ""te""),"""")"),"")</f>
        <v/>
      </c>
      <c r="C7296" s="2"/>
      <c r="D7296" s="2" t="str">
        <f>IFERROR(__xludf.DUMMYFUNCTION("IF(C7296&lt;&gt;"""", GOOGLETRANSLATE(C7296, ""en"", ""te""),"""")"),"")</f>
        <v/>
      </c>
      <c r="E7296" s="2"/>
      <c r="F7296" s="2" t="str">
        <f>IFERROR(__xludf.DUMMYFUNCTION("IF(E7296&lt;&gt;"""", GOOGLETRANSLATE(E7296, ""en"", ""te""),"""")"),"")</f>
        <v/>
      </c>
      <c r="G7296" s="2"/>
      <c r="H7296" s="2" t="str">
        <f>IFERROR(__xludf.DUMMYFUNCTION("IF(G7296&lt;&gt;"""", GOOGLETRANSLATE(G7296, ""en"", ""te""),"""")"),"")</f>
        <v/>
      </c>
      <c r="I7296" s="3"/>
    </row>
    <row r="7297" customHeight="1" spans="1:9">
      <c r="A7297" s="2"/>
      <c r="B7297" s="2" t="str">
        <f>IFERROR(__xludf.DUMMYFUNCTION("IF(A7297&lt;&gt;"""", GOOGLETRANSLATE(A7297, ""en"", ""te""),"""")"),"")</f>
        <v/>
      </c>
      <c r="C7297" s="2"/>
      <c r="D7297" s="2" t="str">
        <f>IFERROR(__xludf.DUMMYFUNCTION("IF(C7297&lt;&gt;"""", GOOGLETRANSLATE(C7297, ""en"", ""te""),"""")"),"")</f>
        <v/>
      </c>
      <c r="E7297" s="2"/>
      <c r="F7297" s="2" t="str">
        <f>IFERROR(__xludf.DUMMYFUNCTION("IF(E7297&lt;&gt;"""", GOOGLETRANSLATE(E7297, ""en"", ""te""),"""")"),"")</f>
        <v/>
      </c>
      <c r="G7297" s="2"/>
      <c r="H7297" s="2" t="str">
        <f>IFERROR(__xludf.DUMMYFUNCTION("IF(G7297&lt;&gt;"""", GOOGLETRANSLATE(G7297, ""en"", ""te""),"""")"),"")</f>
        <v/>
      </c>
      <c r="I7297" s="3"/>
    </row>
    <row r="7298" customHeight="1" spans="1:9">
      <c r="A7298" s="2"/>
      <c r="B7298" s="2" t="str">
        <f>IFERROR(__xludf.DUMMYFUNCTION("IF(A7298&lt;&gt;"""", GOOGLETRANSLATE(A7298, ""en"", ""te""),"""")"),"")</f>
        <v/>
      </c>
      <c r="C7298" s="2"/>
      <c r="D7298" s="2" t="str">
        <f>IFERROR(__xludf.DUMMYFUNCTION("IF(C7298&lt;&gt;"""", GOOGLETRANSLATE(C7298, ""en"", ""te""),"""")"),"")</f>
        <v/>
      </c>
      <c r="E7298" s="2"/>
      <c r="F7298" s="2" t="str">
        <f>IFERROR(__xludf.DUMMYFUNCTION("IF(E7298&lt;&gt;"""", GOOGLETRANSLATE(E7298, ""en"", ""te""),"""")"),"")</f>
        <v/>
      </c>
      <c r="G7298" s="2"/>
      <c r="H7298" s="2" t="str">
        <f>IFERROR(__xludf.DUMMYFUNCTION("IF(G7298&lt;&gt;"""", GOOGLETRANSLATE(G7298, ""en"", ""te""),"""")"),"")</f>
        <v/>
      </c>
      <c r="I7298" s="3"/>
    </row>
    <row r="7299" customHeight="1" spans="1:9">
      <c r="A7299" s="2"/>
      <c r="B7299" s="2" t="str">
        <f>IFERROR(__xludf.DUMMYFUNCTION("IF(A7299&lt;&gt;"""", GOOGLETRANSLATE(A7299, ""en"", ""te""),"""")"),"")</f>
        <v/>
      </c>
      <c r="C7299" s="2"/>
      <c r="D7299" s="2" t="str">
        <f>IFERROR(__xludf.DUMMYFUNCTION("IF(C7299&lt;&gt;"""", GOOGLETRANSLATE(C7299, ""en"", ""te""),"""")"),"")</f>
        <v/>
      </c>
      <c r="E7299" s="2"/>
      <c r="F7299" s="2" t="str">
        <f>IFERROR(__xludf.DUMMYFUNCTION("IF(E7299&lt;&gt;"""", GOOGLETRANSLATE(E7299, ""en"", ""te""),"""")"),"")</f>
        <v/>
      </c>
      <c r="G7299" s="2"/>
      <c r="H7299" s="2" t="str">
        <f>IFERROR(__xludf.DUMMYFUNCTION("IF(G7299&lt;&gt;"""", GOOGLETRANSLATE(G7299, ""en"", ""te""),"""")"),"")</f>
        <v/>
      </c>
      <c r="I7299" s="3"/>
    </row>
    <row r="7300" customHeight="1" spans="1:9">
      <c r="A7300" s="2"/>
      <c r="B7300" s="2" t="str">
        <f>IFERROR(__xludf.DUMMYFUNCTION("IF(A7300&lt;&gt;"""", GOOGLETRANSLATE(A7300, ""en"", ""te""),"""")"),"")</f>
        <v/>
      </c>
      <c r="C7300" s="2"/>
      <c r="D7300" s="2" t="str">
        <f>IFERROR(__xludf.DUMMYFUNCTION("IF(C7300&lt;&gt;"""", GOOGLETRANSLATE(C7300, ""en"", ""te""),"""")"),"")</f>
        <v/>
      </c>
      <c r="E7300" s="2"/>
      <c r="F7300" s="2" t="str">
        <f>IFERROR(__xludf.DUMMYFUNCTION("IF(E7300&lt;&gt;"""", GOOGLETRANSLATE(E7300, ""en"", ""te""),"""")"),"")</f>
        <v/>
      </c>
      <c r="G7300" s="2"/>
      <c r="H7300" s="2" t="str">
        <f>IFERROR(__xludf.DUMMYFUNCTION("IF(G7300&lt;&gt;"""", GOOGLETRANSLATE(G7300, ""en"", ""te""),"""")"),"")</f>
        <v/>
      </c>
      <c r="I7300" s="3"/>
    </row>
    <row r="7301" customHeight="1" spans="1:9">
      <c r="A7301" s="2"/>
      <c r="B7301" s="2" t="str">
        <f>IFERROR(__xludf.DUMMYFUNCTION("IF(A7301&lt;&gt;"""", GOOGLETRANSLATE(A7301, ""en"", ""te""),"""")"),"")</f>
        <v/>
      </c>
      <c r="C7301" s="2"/>
      <c r="D7301" s="2" t="str">
        <f>IFERROR(__xludf.DUMMYFUNCTION("IF(C7301&lt;&gt;"""", GOOGLETRANSLATE(C7301, ""en"", ""te""),"""")"),"")</f>
        <v/>
      </c>
      <c r="E7301" s="2"/>
      <c r="F7301" s="2" t="str">
        <f>IFERROR(__xludf.DUMMYFUNCTION("IF(E7301&lt;&gt;"""", GOOGLETRANSLATE(E7301, ""en"", ""te""),"""")"),"")</f>
        <v/>
      </c>
      <c r="G7301" s="2"/>
      <c r="H7301" s="2" t="str">
        <f>IFERROR(__xludf.DUMMYFUNCTION("IF(G7301&lt;&gt;"""", GOOGLETRANSLATE(G7301, ""en"", ""te""),"""")"),"")</f>
        <v/>
      </c>
      <c r="I7301" s="3"/>
    </row>
    <row r="7302" customHeight="1" spans="1:9">
      <c r="A7302" s="2"/>
      <c r="B7302" s="2" t="str">
        <f>IFERROR(__xludf.DUMMYFUNCTION("IF(A7302&lt;&gt;"""", GOOGLETRANSLATE(A7302, ""en"", ""te""),"""")"),"")</f>
        <v/>
      </c>
      <c r="C7302" s="2"/>
      <c r="D7302" s="2" t="str">
        <f>IFERROR(__xludf.DUMMYFUNCTION("IF(C7302&lt;&gt;"""", GOOGLETRANSLATE(C7302, ""en"", ""te""),"""")"),"")</f>
        <v/>
      </c>
      <c r="E7302" s="2"/>
      <c r="F7302" s="2" t="str">
        <f>IFERROR(__xludf.DUMMYFUNCTION("IF(E7302&lt;&gt;"""", GOOGLETRANSLATE(E7302, ""en"", ""te""),"""")"),"")</f>
        <v/>
      </c>
      <c r="G7302" s="2"/>
      <c r="H7302" s="2" t="str">
        <f>IFERROR(__xludf.DUMMYFUNCTION("IF(G7302&lt;&gt;"""", GOOGLETRANSLATE(G7302, ""en"", ""te""),"""")"),"")</f>
        <v/>
      </c>
      <c r="I7302" s="3"/>
    </row>
    <row r="7303" customHeight="1" spans="1:9">
      <c r="A7303" s="2"/>
      <c r="B7303" s="2" t="str">
        <f>IFERROR(__xludf.DUMMYFUNCTION("IF(A7303&lt;&gt;"""", GOOGLETRANSLATE(A7303, ""en"", ""te""),"""")"),"")</f>
        <v/>
      </c>
      <c r="C7303" s="2"/>
      <c r="D7303" s="2" t="str">
        <f>IFERROR(__xludf.DUMMYFUNCTION("IF(C7303&lt;&gt;"""", GOOGLETRANSLATE(C7303, ""en"", ""te""),"""")"),"")</f>
        <v/>
      </c>
      <c r="E7303" s="2"/>
      <c r="F7303" s="2" t="str">
        <f>IFERROR(__xludf.DUMMYFUNCTION("IF(E7303&lt;&gt;"""", GOOGLETRANSLATE(E7303, ""en"", ""te""),"""")"),"")</f>
        <v/>
      </c>
      <c r="G7303" s="2"/>
      <c r="H7303" s="2" t="str">
        <f>IFERROR(__xludf.DUMMYFUNCTION("IF(G7303&lt;&gt;"""", GOOGLETRANSLATE(G7303, ""en"", ""te""),"""")"),"")</f>
        <v/>
      </c>
      <c r="I7303" s="3"/>
    </row>
    <row r="7304" customHeight="1" spans="1:9">
      <c r="A7304" s="2" t="s">
        <v>399</v>
      </c>
      <c r="B7304" s="2" t="str">
        <f>IFERROR(__xludf.DUMMYFUNCTION("IF(A7304&lt;&gt;"""", GOOGLETRANSLATE(A7304, ""en"", ""te""),"""")"),"[ 'తొలి పెయిర్']")</f>
        <v>[ 'తొలి పెయిర్']</v>
      </c>
      <c r="C7304" s="2"/>
      <c r="D7304" s="2" t="str">
        <f>IFERROR(__xludf.DUMMYFUNCTION("IF(C7304&lt;&gt;"""", GOOGLETRANSLATE(C7304, ""en"", ""te""),"""")"),"")</f>
        <v/>
      </c>
      <c r="E7304" s="2"/>
      <c r="F7304" s="2" t="str">
        <f>IFERROR(__xludf.DUMMYFUNCTION("IF(E7304&lt;&gt;"""", GOOGLETRANSLATE(E7304, ""en"", ""te""),"""")"),"")</f>
        <v/>
      </c>
      <c r="G7304" s="2"/>
      <c r="H7304" s="2" t="str">
        <f>IFERROR(__xludf.DUMMYFUNCTION("IF(G7304&lt;&gt;"""", GOOGLETRANSLATE(G7304, ""en"", ""te""),"""")"),"")</f>
        <v/>
      </c>
      <c r="I7304" s="3"/>
    </row>
    <row r="7305" customHeight="1" spans="1:9">
      <c r="A7305" s="2"/>
      <c r="B7305" s="2" t="str">
        <f>IFERROR(__xludf.DUMMYFUNCTION("IF(A7305&lt;&gt;"""", GOOGLETRANSLATE(A7305, ""en"", ""te""),"""")"),"")</f>
        <v/>
      </c>
      <c r="C7305" s="2"/>
      <c r="D7305" s="2" t="str">
        <f>IFERROR(__xludf.DUMMYFUNCTION("IF(C7305&lt;&gt;"""", GOOGLETRANSLATE(C7305, ""en"", ""te""),"""")"),"")</f>
        <v/>
      </c>
      <c r="E7305" s="2"/>
      <c r="F7305" s="2" t="str">
        <f>IFERROR(__xludf.DUMMYFUNCTION("IF(E7305&lt;&gt;"""", GOOGLETRANSLATE(E7305, ""en"", ""te""),"""")"),"")</f>
        <v/>
      </c>
      <c r="G7305" s="2"/>
      <c r="H7305" s="2" t="str">
        <f>IFERROR(__xludf.DUMMYFUNCTION("IF(G7305&lt;&gt;"""", GOOGLETRANSLATE(G7305, ""en"", ""te""),"""")"),"")</f>
        <v/>
      </c>
      <c r="I7305" s="3"/>
    </row>
    <row r="7306" customHeight="1" spans="1:9">
      <c r="A7306" s="2"/>
      <c r="B7306" s="2" t="str">
        <f>IFERROR(__xludf.DUMMYFUNCTION("IF(A7306&lt;&gt;"""", GOOGLETRANSLATE(A7306, ""en"", ""te""),"""")"),"")</f>
        <v/>
      </c>
      <c r="C7306" s="2"/>
      <c r="D7306" s="2" t="str">
        <f>IFERROR(__xludf.DUMMYFUNCTION("IF(C7306&lt;&gt;"""", GOOGLETRANSLATE(C7306, ""en"", ""te""),"""")"),"")</f>
        <v/>
      </c>
      <c r="E7306" s="2"/>
      <c r="F7306" s="2" t="str">
        <f>IFERROR(__xludf.DUMMYFUNCTION("IF(E7306&lt;&gt;"""", GOOGLETRANSLATE(E7306, ""en"", ""te""),"""")"),"")</f>
        <v/>
      </c>
      <c r="G7306" s="2"/>
      <c r="H7306" s="2" t="str">
        <f>IFERROR(__xludf.DUMMYFUNCTION("IF(G7306&lt;&gt;"""", GOOGLETRANSLATE(G7306, ""en"", ""te""),"""")"),"")</f>
        <v/>
      </c>
      <c r="I7306" s="3"/>
    </row>
    <row r="7307" customHeight="1" spans="1:9">
      <c r="A7307" s="2"/>
      <c r="B7307" s="2" t="str">
        <f>IFERROR(__xludf.DUMMYFUNCTION("IF(A7307&lt;&gt;"""", GOOGLETRANSLATE(A7307, ""en"", ""te""),"""")"),"")</f>
        <v/>
      </c>
      <c r="C7307" s="2"/>
      <c r="D7307" s="2" t="str">
        <f>IFERROR(__xludf.DUMMYFUNCTION("IF(C7307&lt;&gt;"""", GOOGLETRANSLATE(C7307, ""en"", ""te""),"""")"),"")</f>
        <v/>
      </c>
      <c r="E7307" s="2"/>
      <c r="F7307" s="2" t="str">
        <f>IFERROR(__xludf.DUMMYFUNCTION("IF(E7307&lt;&gt;"""", GOOGLETRANSLATE(E7307, ""en"", ""te""),"""")"),"")</f>
        <v/>
      </c>
      <c r="G7307" s="2"/>
      <c r="H7307" s="2" t="str">
        <f>IFERROR(__xludf.DUMMYFUNCTION("IF(G7307&lt;&gt;"""", GOOGLETRANSLATE(G7307, ""en"", ""te""),"""")"),"")</f>
        <v/>
      </c>
      <c r="I7307" s="3"/>
    </row>
    <row r="7308" customHeight="1" spans="1:9">
      <c r="A7308" s="2" t="s">
        <v>4271</v>
      </c>
      <c r="B7308" s="2" t="str">
        <f>IFERROR(__xludf.DUMMYFUNCTION("IF(A7308&lt;&gt;"""", GOOGLETRANSLATE(A7308, ""en"", ""te""),"""")"),"[ 'మూడో వికెట్ (239) 4 వ అత్యధిక భాగస్వామ్యం']")</f>
        <v>[ 'మూడో వికెట్ (239) 4 వ అత్యధిక భాగస్వామ్యం']</v>
      </c>
      <c r="C7308" s="2"/>
      <c r="D7308" s="2" t="str">
        <f>IFERROR(__xludf.DUMMYFUNCTION("IF(C7308&lt;&gt;"""", GOOGLETRANSLATE(C7308, ""en"", ""te""),"""")"),"")</f>
        <v/>
      </c>
      <c r="E7308" s="2" t="s">
        <v>4272</v>
      </c>
      <c r="F7308" s="2" t="str">
        <f>IFERROR(__xludf.DUMMYFUNCTION("IF(E7308&lt;&gt;"""", GOOGLETRANSLATE(E7308, ""en"", ""te""),"""")"),"[ '46 వ అత్యధిక కెరీర్ సమ్మె రేటు (96.59)', '35 వ పిన్న ఆటగాడు వంద (87d 21y) స్కోర్' 'ఏ వికెట్కు 35 వ అత్యధిక భాగస్వామ్యాల (239)', 'మూడో వికెట్ (239) 4 వ అత్యధిక భాగస్వామ్యం' ]")</f>
        <v>[ '46 వ అత్యధిక కెరీర్ సమ్మె రేటు (96.59)', '35 వ పిన్న ఆటగాడు వంద (87d 21y) స్కోర్' 'ఏ వికెట్కు 35 వ అత్యధిక భాగస్వామ్యాల (239)', 'మూడో వికెట్ (239) 4 వ అత్యధిక భాగస్వామ్యం' ]</v>
      </c>
      <c r="G7308" s="2"/>
      <c r="H7308" s="2" t="str">
        <f>IFERROR(__xludf.DUMMYFUNCTION("IF(G7308&lt;&gt;"""", GOOGLETRANSLATE(G7308, ""en"", ""te""),"""")"),"")</f>
        <v/>
      </c>
      <c r="I7308" s="3"/>
    </row>
    <row r="7309" customHeight="1" spans="1:9">
      <c r="A7309" s="2"/>
      <c r="B7309" s="2" t="str">
        <f>IFERROR(__xludf.DUMMYFUNCTION("IF(A7309&lt;&gt;"""", GOOGLETRANSLATE(A7309, ""en"", ""te""),"""")"),"")</f>
        <v/>
      </c>
      <c r="C7309" s="2"/>
      <c r="D7309" s="2" t="str">
        <f>IFERROR(__xludf.DUMMYFUNCTION("IF(C7309&lt;&gt;"""", GOOGLETRANSLATE(C7309, ""en"", ""te""),"""")"),"")</f>
        <v/>
      </c>
      <c r="E7309" s="2"/>
      <c r="F7309" s="2" t="str">
        <f>IFERROR(__xludf.DUMMYFUNCTION("IF(E7309&lt;&gt;"""", GOOGLETRANSLATE(E7309, ""en"", ""te""),"""")"),"")</f>
        <v/>
      </c>
      <c r="G7309" s="2"/>
      <c r="H7309" s="2" t="str">
        <f>IFERROR(__xludf.DUMMYFUNCTION("IF(G7309&lt;&gt;"""", GOOGLETRANSLATE(G7309, ""en"", ""te""),"""")"),"")</f>
        <v/>
      </c>
      <c r="I7309" s="3"/>
    </row>
    <row r="7310" customHeight="1" spans="1:9">
      <c r="A7310" s="2"/>
      <c r="B7310" s="2" t="str">
        <f>IFERROR(__xludf.DUMMYFUNCTION("IF(A7310&lt;&gt;"""", GOOGLETRANSLATE(A7310, ""en"", ""te""),"""")"),"")</f>
        <v/>
      </c>
      <c r="C7310" s="2"/>
      <c r="D7310" s="2" t="str">
        <f>IFERROR(__xludf.DUMMYFUNCTION("IF(C7310&lt;&gt;"""", GOOGLETRANSLATE(C7310, ""en"", ""te""),"""")"),"")</f>
        <v/>
      </c>
      <c r="E7310" s="2"/>
      <c r="F7310" s="2" t="str">
        <f>IFERROR(__xludf.DUMMYFUNCTION("IF(E7310&lt;&gt;"""", GOOGLETRANSLATE(E7310, ""en"", ""te""),"""")"),"")</f>
        <v/>
      </c>
      <c r="G7310" s="2"/>
      <c r="H7310" s="2" t="str">
        <f>IFERROR(__xludf.DUMMYFUNCTION("IF(G7310&lt;&gt;"""", GOOGLETRANSLATE(G7310, ""en"", ""te""),"""")"),"")</f>
        <v/>
      </c>
      <c r="I7310" s="3"/>
    </row>
    <row r="7311" customHeight="1" spans="1:9">
      <c r="A7311" s="2"/>
      <c r="B7311" s="2" t="str">
        <f>IFERROR(__xludf.DUMMYFUNCTION("IF(A7311&lt;&gt;"""", GOOGLETRANSLATE(A7311, ""en"", ""te""),"""")"),"")</f>
        <v/>
      </c>
      <c r="C7311" s="2"/>
      <c r="D7311" s="2" t="str">
        <f>IFERROR(__xludf.DUMMYFUNCTION("IF(C7311&lt;&gt;"""", GOOGLETRANSLATE(C7311, ""en"", ""te""),"""")"),"")</f>
        <v/>
      </c>
      <c r="E7311" s="2"/>
      <c r="F7311" s="2" t="str">
        <f>IFERROR(__xludf.DUMMYFUNCTION("IF(E7311&lt;&gt;"""", GOOGLETRANSLATE(E7311, ""en"", ""te""),"""")"),"")</f>
        <v/>
      </c>
      <c r="G7311" s="2"/>
      <c r="H7311" s="2" t="str">
        <f>IFERROR(__xludf.DUMMYFUNCTION("IF(G7311&lt;&gt;"""", GOOGLETRANSLATE(G7311, ""en"", ""te""),"""")"),"")</f>
        <v/>
      </c>
      <c r="I7311" s="3"/>
    </row>
    <row r="7312" customHeight="1" spans="1:9">
      <c r="A7312" s="2"/>
      <c r="B7312" s="2" t="str">
        <f>IFERROR(__xludf.DUMMYFUNCTION("IF(A7312&lt;&gt;"""", GOOGLETRANSLATE(A7312, ""en"", ""te""),"""")"),"")</f>
        <v/>
      </c>
      <c r="C7312" s="2"/>
      <c r="D7312" s="2" t="str">
        <f>IFERROR(__xludf.DUMMYFUNCTION("IF(C7312&lt;&gt;"""", GOOGLETRANSLATE(C7312, ""en"", ""te""),"""")"),"")</f>
        <v/>
      </c>
      <c r="E7312" s="2"/>
      <c r="F7312" s="2" t="str">
        <f>IFERROR(__xludf.DUMMYFUNCTION("IF(E7312&lt;&gt;"""", GOOGLETRANSLATE(E7312, ""en"", ""te""),"""")"),"")</f>
        <v/>
      </c>
      <c r="G7312" s="2"/>
      <c r="H7312" s="2" t="str">
        <f>IFERROR(__xludf.DUMMYFUNCTION("IF(G7312&lt;&gt;"""", GOOGLETRANSLATE(G7312, ""en"", ""te""),"""")"),"")</f>
        <v/>
      </c>
      <c r="I7312" s="3"/>
    </row>
    <row r="7313" customHeight="1" spans="1:9">
      <c r="A7313" s="2"/>
      <c r="B7313" s="2" t="str">
        <f>IFERROR(__xludf.DUMMYFUNCTION("IF(A7313&lt;&gt;"""", GOOGLETRANSLATE(A7313, ""en"", ""te""),"""")"),"")</f>
        <v/>
      </c>
      <c r="C7313" s="2"/>
      <c r="D7313" s="2" t="str">
        <f>IFERROR(__xludf.DUMMYFUNCTION("IF(C7313&lt;&gt;"""", GOOGLETRANSLATE(C7313, ""en"", ""te""),"""")"),"")</f>
        <v/>
      </c>
      <c r="E7313" s="2"/>
      <c r="F7313" s="2" t="str">
        <f>IFERROR(__xludf.DUMMYFUNCTION("IF(E7313&lt;&gt;"""", GOOGLETRANSLATE(E7313, ""en"", ""te""),"""")"),"")</f>
        <v/>
      </c>
      <c r="G7313" s="2"/>
      <c r="H7313" s="2" t="str">
        <f>IFERROR(__xludf.DUMMYFUNCTION("IF(G7313&lt;&gt;"""", GOOGLETRANSLATE(G7313, ""en"", ""te""),"""")"),"")</f>
        <v/>
      </c>
      <c r="I7313" s="3"/>
    </row>
    <row r="7314" customHeight="1" spans="1:9">
      <c r="A7314" s="2"/>
      <c r="B7314" s="2" t="str">
        <f>IFERROR(__xludf.DUMMYFUNCTION("IF(A7314&lt;&gt;"""", GOOGLETRANSLATE(A7314, ""en"", ""te""),"""")"),"")</f>
        <v/>
      </c>
      <c r="C7314" s="2"/>
      <c r="D7314" s="2" t="str">
        <f>IFERROR(__xludf.DUMMYFUNCTION("IF(C7314&lt;&gt;"""", GOOGLETRANSLATE(C7314, ""en"", ""te""),"""")"),"")</f>
        <v/>
      </c>
      <c r="E7314" s="2"/>
      <c r="F7314" s="2" t="str">
        <f>IFERROR(__xludf.DUMMYFUNCTION("IF(E7314&lt;&gt;"""", GOOGLETRANSLATE(E7314, ""en"", ""te""),"""")"),"")</f>
        <v/>
      </c>
      <c r="G7314" s="2"/>
      <c r="H7314" s="2" t="str">
        <f>IFERROR(__xludf.DUMMYFUNCTION("IF(G7314&lt;&gt;"""", GOOGLETRANSLATE(G7314, ""en"", ""te""),"""")"),"")</f>
        <v/>
      </c>
      <c r="I7314" s="3"/>
    </row>
    <row r="7315" customHeight="1" spans="1:9">
      <c r="A7315" s="2"/>
      <c r="B7315" s="2" t="str">
        <f>IFERROR(__xludf.DUMMYFUNCTION("IF(A7315&lt;&gt;"""", GOOGLETRANSLATE(A7315, ""en"", ""te""),"""")"),"")</f>
        <v/>
      </c>
      <c r="C7315" s="2"/>
      <c r="D7315" s="2" t="str">
        <f>IFERROR(__xludf.DUMMYFUNCTION("IF(C7315&lt;&gt;"""", GOOGLETRANSLATE(C7315, ""en"", ""te""),"""")"),"")</f>
        <v/>
      </c>
      <c r="E7315" s="2"/>
      <c r="F7315" s="2" t="str">
        <f>IFERROR(__xludf.DUMMYFUNCTION("IF(E7315&lt;&gt;"""", GOOGLETRANSLATE(E7315, ""en"", ""te""),"""")"),"")</f>
        <v/>
      </c>
      <c r="G7315" s="2"/>
      <c r="H7315" s="2" t="str">
        <f>IFERROR(__xludf.DUMMYFUNCTION("IF(G7315&lt;&gt;"""", GOOGLETRANSLATE(G7315, ""en"", ""te""),"""")"),"")</f>
        <v/>
      </c>
      <c r="I7315" s="3"/>
    </row>
    <row r="7316" customHeight="1" spans="1:9">
      <c r="A7316" s="2" t="s">
        <v>4273</v>
      </c>
      <c r="B7316" s="2" t="str">
        <f>IFERROR(__xludf.DUMMYFUNCTION("IF(A7316&lt;&gt;"""", GOOGLETRANSLATE(A7316, ""en"", ""te""),"""")"),"[ '4 వ అత్యుత్తమ బౌలింగ్ ఇన్నింగ్స్ లో విశ్లేషించడం (4/3)', '5 వ ఉత్తమ కెరీర్ బౌలింగ్ సరాసరి (14.41)']")</f>
        <v>[ '4 వ అత్యుత్తమ బౌలింగ్ ఇన్నింగ్స్ లో విశ్లేషించడం (4/3)', '5 వ ఉత్తమ కెరీర్ బౌలింగ్ సరాసరి (14.41)']</v>
      </c>
      <c r="C7316" s="2" t="s">
        <v>4274</v>
      </c>
      <c r="D7316" s="2" t="str">
        <f>IFERROR(__xludf.DUMMYFUNCTION("IF(C7316&lt;&gt;"""", GOOGLETRANSLATE(C7316, ""en"", ""te""),"""")"),"[ '13 వ ఇన్నింగ్స్ లో అత్యధిక పరుగులు (బ్యాటింగ్ స్థానంలో ప్రకారం) (44)']")</f>
        <v>[ '13 వ ఇన్నింగ్స్ లో అత్యధిక పరుగులు (బ్యాటింగ్ స్థానంలో ప్రకారం) (44)']</v>
      </c>
      <c r="E7316" s="2" t="s">
        <v>4275</v>
      </c>
      <c r="F7316" s="2" t="str">
        <f>IFERROR(__xludf.DUMMYFUNCTION("IF(E7316&lt;&gt;"""", GOOGLETRANSLATE(E7316, ""en"", ""te""),"""")"),"[ '5 వ ఉత్తమ కెరీర్ సగటు (14.41) బౌలింగ్', '11 వ ఉత్తమ కెరీర్ ఆర్థిక రేటు (2.28)', '23 వ ఉత్తమ ఆర్థిక వ్యవస్థ ఇన్నింగ్స్లో రేటు (0.34)' '4 వ అత్యుత్తమ బౌలింగ్ (4/3) ఇన్నింగ్స్ విశ్లేషణలలో' '38 వ అత్యంత నాలుగు వికెట్లు-ఇన్-ఒక-ఇన్నింగ్స్ కెరీర్లో (3)']")</f>
        <v>[ '5 వ ఉత్తమ కెరీర్ సగటు (14.41) బౌలింగ్', '11 వ ఉత్తమ కెరీర్ ఆర్థిక రేటు (2.28)', '23 వ ఉత్తమ ఆర్థిక వ్యవస్థ ఇన్నింగ్స్లో రేటు (0.34)' '4 వ అత్యుత్తమ బౌలింగ్ (4/3) ఇన్నింగ్స్ విశ్లేషణలలో' '38 వ అత్యంత నాలుగు వికెట్లు-ఇన్-ఒక-ఇన్నింగ్స్ కెరీర్లో (3)']</v>
      </c>
      <c r="G7316" s="2"/>
      <c r="H7316" s="2" t="str">
        <f>IFERROR(__xludf.DUMMYFUNCTION("IF(G7316&lt;&gt;"""", GOOGLETRANSLATE(G7316, ""en"", ""te""),"""")"),"")</f>
        <v/>
      </c>
      <c r="I7316" s="3"/>
    </row>
    <row r="7317" customHeight="1" spans="1:9">
      <c r="A7317" s="2"/>
      <c r="B7317" s="2" t="str">
        <f>IFERROR(__xludf.DUMMYFUNCTION("IF(A7317&lt;&gt;"""", GOOGLETRANSLATE(A7317, ""en"", ""te""),"""")"),"")</f>
        <v/>
      </c>
      <c r="C7317" s="2"/>
      <c r="D7317" s="2" t="str">
        <f>IFERROR(__xludf.DUMMYFUNCTION("IF(C7317&lt;&gt;"""", GOOGLETRANSLATE(C7317, ""en"", ""te""),"""")"),"")</f>
        <v/>
      </c>
      <c r="E7317" s="2"/>
      <c r="F7317" s="2" t="str">
        <f>IFERROR(__xludf.DUMMYFUNCTION("IF(E7317&lt;&gt;"""", GOOGLETRANSLATE(E7317, ""en"", ""te""),"""")"),"")</f>
        <v/>
      </c>
      <c r="G7317" s="2"/>
      <c r="H7317" s="2" t="str">
        <f>IFERROR(__xludf.DUMMYFUNCTION("IF(G7317&lt;&gt;"""", GOOGLETRANSLATE(G7317, ""en"", ""te""),"""")"),"")</f>
        <v/>
      </c>
      <c r="I7317" s="3"/>
    </row>
    <row r="7318" customHeight="1" spans="1:9">
      <c r="A7318" s="2"/>
      <c r="B7318" s="2" t="str">
        <f>IFERROR(__xludf.DUMMYFUNCTION("IF(A7318&lt;&gt;"""", GOOGLETRANSLATE(A7318, ""en"", ""te""),"""")"),"")</f>
        <v/>
      </c>
      <c r="C7318" s="2"/>
      <c r="D7318" s="2" t="str">
        <f>IFERROR(__xludf.DUMMYFUNCTION("IF(C7318&lt;&gt;"""", GOOGLETRANSLATE(C7318, ""en"", ""te""),"""")"),"")</f>
        <v/>
      </c>
      <c r="E7318" s="2" t="s">
        <v>4276</v>
      </c>
      <c r="F7318" s="2" t="str">
        <f>IFERROR(__xludf.DUMMYFUNCTION("IF(E7318&lt;&gt;"""", GOOGLETRANSLATE(E7318, ""en"", ""te""),"""")"),"[ '45 వ పురాతన దేశం ఆటగాళ్ళు (77y 99d)']")</f>
        <v>[ '45 వ పురాతన దేశం ఆటగాళ్ళు (77y 99d)']</v>
      </c>
      <c r="G7318" s="2"/>
      <c r="H7318" s="2" t="str">
        <f>IFERROR(__xludf.DUMMYFUNCTION("IF(G7318&lt;&gt;"""", GOOGLETRANSLATE(G7318, ""en"", ""te""),"""")"),"")</f>
        <v/>
      </c>
      <c r="I7318" s="3"/>
    </row>
    <row r="7319" customHeight="1" spans="1:9">
      <c r="A7319" s="2"/>
      <c r="B7319" s="2" t="str">
        <f>IFERROR(__xludf.DUMMYFUNCTION("IF(A7319&lt;&gt;"""", GOOGLETRANSLATE(A7319, ""en"", ""te""),"""")"),"")</f>
        <v/>
      </c>
      <c r="C7319" s="2"/>
      <c r="D7319" s="2" t="str">
        <f>IFERROR(__xludf.DUMMYFUNCTION("IF(C7319&lt;&gt;"""", GOOGLETRANSLATE(C7319, ""en"", ""te""),"""")"),"")</f>
        <v/>
      </c>
      <c r="E7319" s="2"/>
      <c r="F7319" s="2" t="str">
        <f>IFERROR(__xludf.DUMMYFUNCTION("IF(E7319&lt;&gt;"""", GOOGLETRANSLATE(E7319, ""en"", ""te""),"""")"),"")</f>
        <v/>
      </c>
      <c r="G7319" s="2" t="s">
        <v>4277</v>
      </c>
      <c r="H7319" s="2" t="str">
        <f>IFERROR(__xludf.DUMMYFUNCTION("IF(G7319&lt;&gt;"""", GOOGLETRANSLATE(G7319, ""en"", ""te""),"""")"),"[ '14 వ ఇన్నింగ్స్ లో అత్యధిక పరుగులు (బ్యాటింగ్ స్థానంలో ప్రకారం) (78 *)', '11 వ తొలి మ్యాచ్ (78 *) లో అత్యధిక పరుగులు', 'ఐదవ వికెట్కు 30 వ అత్యధిక భాగస్వామ్యం (76)']")</f>
        <v>[ '14 వ ఇన్నింగ్స్ లో అత్యధిక పరుగులు (బ్యాటింగ్ స్థానంలో ప్రకారం) (78 *)', '11 వ తొలి మ్యాచ్ (78 *) లో అత్యధిక పరుగులు', 'ఐదవ వికెట్కు 30 వ అత్యధిక భాగస్వామ్యం (76)']</v>
      </c>
      <c r="I7319" s="3"/>
    </row>
    <row r="7320" customHeight="1" spans="1:9">
      <c r="A7320" s="2"/>
      <c r="B7320" s="2" t="str">
        <f>IFERROR(__xludf.DUMMYFUNCTION("IF(A7320&lt;&gt;"""", GOOGLETRANSLATE(A7320, ""en"", ""te""),"""")"),"")</f>
        <v/>
      </c>
      <c r="C7320" s="2"/>
      <c r="D7320" s="2" t="str">
        <f>IFERROR(__xludf.DUMMYFUNCTION("IF(C7320&lt;&gt;"""", GOOGLETRANSLATE(C7320, ""en"", ""te""),"""")"),"")</f>
        <v/>
      </c>
      <c r="E7320" s="2"/>
      <c r="F7320" s="2" t="str">
        <f>IFERROR(__xludf.DUMMYFUNCTION("IF(E7320&lt;&gt;"""", GOOGLETRANSLATE(E7320, ""en"", ""te""),"""")"),"")</f>
        <v/>
      </c>
      <c r="G7320" s="2"/>
      <c r="H7320" s="2" t="str">
        <f>IFERROR(__xludf.DUMMYFUNCTION("IF(G7320&lt;&gt;"""", GOOGLETRANSLATE(G7320, ""en"", ""te""),"""")"),"")</f>
        <v/>
      </c>
      <c r="I7320" s="3"/>
    </row>
    <row r="7321" customHeight="1" spans="1:9">
      <c r="A7321" s="2"/>
      <c r="B7321" s="2" t="str">
        <f>IFERROR(__xludf.DUMMYFUNCTION("IF(A7321&lt;&gt;"""", GOOGLETRANSLATE(A7321, ""en"", ""te""),"""")"),"")</f>
        <v/>
      </c>
      <c r="C7321" s="2"/>
      <c r="D7321" s="2" t="str">
        <f>IFERROR(__xludf.DUMMYFUNCTION("IF(C7321&lt;&gt;"""", GOOGLETRANSLATE(C7321, ""en"", ""te""),"""")"),"")</f>
        <v/>
      </c>
      <c r="E7321" s="2"/>
      <c r="F7321" s="2" t="str">
        <f>IFERROR(__xludf.DUMMYFUNCTION("IF(E7321&lt;&gt;"""", GOOGLETRANSLATE(E7321, ""en"", ""te""),"""")"),"")</f>
        <v/>
      </c>
      <c r="G7321" s="2"/>
      <c r="H7321" s="2" t="str">
        <f>IFERROR(__xludf.DUMMYFUNCTION("IF(G7321&lt;&gt;"""", GOOGLETRANSLATE(G7321, ""en"", ""te""),"""")"),"")</f>
        <v/>
      </c>
      <c r="I7321" s="3"/>
    </row>
    <row r="7322" customHeight="1" spans="1:9">
      <c r="A7322" s="2"/>
      <c r="B7322" s="2" t="str">
        <f>IFERROR(__xludf.DUMMYFUNCTION("IF(A7322&lt;&gt;"""", GOOGLETRANSLATE(A7322, ""en"", ""te""),"""")"),"")</f>
        <v/>
      </c>
      <c r="C7322" s="2"/>
      <c r="D7322" s="2" t="str">
        <f>IFERROR(__xludf.DUMMYFUNCTION("IF(C7322&lt;&gt;"""", GOOGLETRANSLATE(C7322, ""en"", ""te""),"""")"),"")</f>
        <v/>
      </c>
      <c r="E7322" s="2"/>
      <c r="F7322" s="2" t="str">
        <f>IFERROR(__xludf.DUMMYFUNCTION("IF(E7322&lt;&gt;"""", GOOGLETRANSLATE(E7322, ""en"", ""te""),"""")"),"")</f>
        <v/>
      </c>
      <c r="G7322" s="2"/>
      <c r="H7322" s="2" t="str">
        <f>IFERROR(__xludf.DUMMYFUNCTION("IF(G7322&lt;&gt;"""", GOOGLETRANSLATE(G7322, ""en"", ""te""),"""")"),"")</f>
        <v/>
      </c>
      <c r="I7322" s="3"/>
    </row>
    <row r="7323" customHeight="1" spans="1:9">
      <c r="A7323" s="2"/>
      <c r="B7323" s="2" t="str">
        <f>IFERROR(__xludf.DUMMYFUNCTION("IF(A7323&lt;&gt;"""", GOOGLETRANSLATE(A7323, ""en"", ""te""),"""")"),"")</f>
        <v/>
      </c>
      <c r="C7323" s="2"/>
      <c r="D7323" s="2" t="str">
        <f>IFERROR(__xludf.DUMMYFUNCTION("IF(C7323&lt;&gt;"""", GOOGLETRANSLATE(C7323, ""en"", ""te""),"""")"),"")</f>
        <v/>
      </c>
      <c r="E7323" s="2"/>
      <c r="F7323" s="2" t="str">
        <f>IFERROR(__xludf.DUMMYFUNCTION("IF(E7323&lt;&gt;"""", GOOGLETRANSLATE(E7323, ""en"", ""te""),"""")"),"")</f>
        <v/>
      </c>
      <c r="G7323" s="2"/>
      <c r="H7323" s="2" t="str">
        <f>IFERROR(__xludf.DUMMYFUNCTION("IF(G7323&lt;&gt;"""", GOOGLETRANSLATE(G7323, ""en"", ""te""),"""")"),"")</f>
        <v/>
      </c>
      <c r="I7323" s="3"/>
    </row>
    <row r="7324" customHeight="1" spans="1:9">
      <c r="A7324" s="2"/>
      <c r="B7324" s="2" t="str">
        <f>IFERROR(__xludf.DUMMYFUNCTION("IF(A7324&lt;&gt;"""", GOOGLETRANSLATE(A7324, ""en"", ""te""),"""")"),"")</f>
        <v/>
      </c>
      <c r="C7324" s="2"/>
      <c r="D7324" s="2" t="str">
        <f>IFERROR(__xludf.DUMMYFUNCTION("IF(C7324&lt;&gt;"""", GOOGLETRANSLATE(C7324, ""en"", ""te""),"""")"),"")</f>
        <v/>
      </c>
      <c r="E7324" s="2"/>
      <c r="F7324" s="2" t="str">
        <f>IFERROR(__xludf.DUMMYFUNCTION("IF(E7324&lt;&gt;"""", GOOGLETRANSLATE(E7324, ""en"", ""te""),"""")"),"")</f>
        <v/>
      </c>
      <c r="G7324" s="2"/>
      <c r="H7324" s="2" t="str">
        <f>IFERROR(__xludf.DUMMYFUNCTION("IF(G7324&lt;&gt;"""", GOOGLETRANSLATE(G7324, ""en"", ""te""),"""")"),"")</f>
        <v/>
      </c>
      <c r="I7324" s="3"/>
    </row>
    <row r="7325" customHeight="1" spans="1:9">
      <c r="A7325" s="2"/>
      <c r="B7325" s="2" t="str">
        <f>IFERROR(__xludf.DUMMYFUNCTION("IF(A7325&lt;&gt;"""", GOOGLETRANSLATE(A7325, ""en"", ""te""),"""")"),"")</f>
        <v/>
      </c>
      <c r="C7325" s="2"/>
      <c r="D7325" s="2" t="str">
        <f>IFERROR(__xludf.DUMMYFUNCTION("IF(C7325&lt;&gt;"""", GOOGLETRANSLATE(C7325, ""en"", ""te""),"""")"),"")</f>
        <v/>
      </c>
      <c r="E7325" s="2"/>
      <c r="F7325" s="2" t="str">
        <f>IFERROR(__xludf.DUMMYFUNCTION("IF(E7325&lt;&gt;"""", GOOGLETRANSLATE(E7325, ""en"", ""te""),"""")"),"")</f>
        <v/>
      </c>
      <c r="G7325" s="2"/>
      <c r="H7325" s="2" t="str">
        <f>IFERROR(__xludf.DUMMYFUNCTION("IF(G7325&lt;&gt;"""", GOOGLETRANSLATE(G7325, ""en"", ""te""),"""")"),"")</f>
        <v/>
      </c>
      <c r="I7325" s="3"/>
    </row>
    <row r="7326" customHeight="1" spans="1:9">
      <c r="A7326" s="2"/>
      <c r="B7326" s="2" t="str">
        <f>IFERROR(__xludf.DUMMYFUNCTION("IF(A7326&lt;&gt;"""", GOOGLETRANSLATE(A7326, ""en"", ""te""),"""")"),"")</f>
        <v/>
      </c>
      <c r="C7326" s="2"/>
      <c r="D7326" s="2" t="str">
        <f>IFERROR(__xludf.DUMMYFUNCTION("IF(C7326&lt;&gt;"""", GOOGLETRANSLATE(C7326, ""en"", ""te""),"""")"),"")</f>
        <v/>
      </c>
      <c r="E7326" s="2" t="s">
        <v>4278</v>
      </c>
      <c r="F7326" s="2" t="str">
        <f>IFERROR(__xludf.DUMMYFUNCTION("IF(E7326&lt;&gt;"""", GOOGLETRANSLATE(E7326, ""en"", ""te""),"""")"),"[ '33 వ అత్యంత వంద (1015) లేకుండా ఒక వృత్తిలో నడుస్తుంది']")</f>
        <v>[ '33 వ అత్యంత వంద (1015) లేకుండా ఒక వృత్తిలో నడుస్తుంది']</v>
      </c>
      <c r="G7326" s="2"/>
      <c r="H7326" s="2" t="str">
        <f>IFERROR(__xludf.DUMMYFUNCTION("IF(G7326&lt;&gt;"""", GOOGLETRANSLATE(G7326, ""en"", ""te""),"""")"),"")</f>
        <v/>
      </c>
      <c r="I7326" s="3"/>
    </row>
    <row r="7327" customHeight="1" spans="1:9">
      <c r="A7327" s="2"/>
      <c r="B7327" s="2" t="str">
        <f>IFERROR(__xludf.DUMMYFUNCTION("IF(A7327&lt;&gt;"""", GOOGLETRANSLATE(A7327, ""en"", ""te""),"""")"),"")</f>
        <v/>
      </c>
      <c r="C7327" s="2"/>
      <c r="D7327" s="2" t="str">
        <f>IFERROR(__xludf.DUMMYFUNCTION("IF(C7327&lt;&gt;"""", GOOGLETRANSLATE(C7327, ""en"", ""te""),"""")"),"")</f>
        <v/>
      </c>
      <c r="E7327" s="2"/>
      <c r="F7327" s="2" t="str">
        <f>IFERROR(__xludf.DUMMYFUNCTION("IF(E7327&lt;&gt;"""", GOOGLETRANSLATE(E7327, ""en"", ""te""),"""")"),"")</f>
        <v/>
      </c>
      <c r="G7327" s="2"/>
      <c r="H7327" s="2" t="str">
        <f>IFERROR(__xludf.DUMMYFUNCTION("IF(G7327&lt;&gt;"""", GOOGLETRANSLATE(G7327, ""en"", ""te""),"""")"),"")</f>
        <v/>
      </c>
      <c r="I7327" s="3"/>
    </row>
    <row r="7328" customHeight="1" spans="1:9">
      <c r="A7328" s="2"/>
      <c r="B7328" s="2" t="str">
        <f>IFERROR(__xludf.DUMMYFUNCTION("IF(A7328&lt;&gt;"""", GOOGLETRANSLATE(A7328, ""en"", ""te""),"""")"),"")</f>
        <v/>
      </c>
      <c r="C7328" s="2"/>
      <c r="D7328" s="2" t="str">
        <f>IFERROR(__xludf.DUMMYFUNCTION("IF(C7328&lt;&gt;"""", GOOGLETRANSLATE(C7328, ""en"", ""te""),"""")"),"")</f>
        <v/>
      </c>
      <c r="E7328" s="2"/>
      <c r="F7328" s="2" t="str">
        <f>IFERROR(__xludf.DUMMYFUNCTION("IF(E7328&lt;&gt;"""", GOOGLETRANSLATE(E7328, ""en"", ""te""),"""")"),"")</f>
        <v/>
      </c>
      <c r="G7328" s="2"/>
      <c r="H7328" s="2" t="str">
        <f>IFERROR(__xludf.DUMMYFUNCTION("IF(G7328&lt;&gt;"""", GOOGLETRANSLATE(G7328, ""en"", ""te""),"""")"),"")</f>
        <v/>
      </c>
      <c r="I7328" s="3"/>
    </row>
    <row r="7329" customHeight="1" spans="1:9">
      <c r="A7329" s="2"/>
      <c r="B7329" s="2" t="str">
        <f>IFERROR(__xludf.DUMMYFUNCTION("IF(A7329&lt;&gt;"""", GOOGLETRANSLATE(A7329, ""en"", ""te""),"""")"),"")</f>
        <v/>
      </c>
      <c r="C7329" s="2"/>
      <c r="D7329" s="2" t="str">
        <f>IFERROR(__xludf.DUMMYFUNCTION("IF(C7329&lt;&gt;"""", GOOGLETRANSLATE(C7329, ""en"", ""te""),"""")"),"")</f>
        <v/>
      </c>
      <c r="E7329" s="2"/>
      <c r="F7329" s="2" t="str">
        <f>IFERROR(__xludf.DUMMYFUNCTION("IF(E7329&lt;&gt;"""", GOOGLETRANSLATE(E7329, ""en"", ""te""),"""")"),"")</f>
        <v/>
      </c>
      <c r="G7329" s="2"/>
      <c r="H7329" s="2" t="str">
        <f>IFERROR(__xludf.DUMMYFUNCTION("IF(G7329&lt;&gt;"""", GOOGLETRANSLATE(G7329, ""en"", ""te""),"""")"),"")</f>
        <v/>
      </c>
      <c r="I7329" s="3"/>
    </row>
    <row r="7330" customHeight="1" spans="1:9">
      <c r="A7330" s="2"/>
      <c r="B7330" s="2" t="str">
        <f>IFERROR(__xludf.DUMMYFUNCTION("IF(A7330&lt;&gt;"""", GOOGLETRANSLATE(A7330, ""en"", ""te""),"""")"),"")</f>
        <v/>
      </c>
      <c r="C7330" s="2"/>
      <c r="D7330" s="2" t="str">
        <f>IFERROR(__xludf.DUMMYFUNCTION("IF(C7330&lt;&gt;"""", GOOGLETRANSLATE(C7330, ""en"", ""te""),"""")"),"")</f>
        <v/>
      </c>
      <c r="E7330" s="2" t="s">
        <v>2909</v>
      </c>
      <c r="F7330" s="2" t="str">
        <f>IFERROR(__xludf.DUMMYFUNCTION("IF(E7330&lt;&gt;"""", GOOGLETRANSLATE(E7330, ""en"", ""te""),"""")"),"[ '23 వ ఇన్నింగ్స్ లో సాధించిన బైస్ (10)']")</f>
        <v>[ '23 వ ఇన్నింగ్స్ లో సాధించిన బైస్ (10)']</v>
      </c>
      <c r="G7330" s="2"/>
      <c r="H7330" s="2" t="str">
        <f>IFERROR(__xludf.DUMMYFUNCTION("IF(G7330&lt;&gt;"""", GOOGLETRANSLATE(G7330, ""en"", ""te""),"""")"),"")</f>
        <v/>
      </c>
      <c r="I7330" s="3"/>
    </row>
    <row r="7331" customHeight="1" spans="1:9">
      <c r="A7331" s="2"/>
      <c r="B7331" s="2" t="str">
        <f>IFERROR(__xludf.DUMMYFUNCTION("IF(A7331&lt;&gt;"""", GOOGLETRANSLATE(A7331, ""en"", ""te""),"""")"),"")</f>
        <v/>
      </c>
      <c r="C7331" s="2"/>
      <c r="D7331" s="2" t="str">
        <f>IFERROR(__xludf.DUMMYFUNCTION("IF(C7331&lt;&gt;"""", GOOGLETRANSLATE(C7331, ""en"", ""te""),"""")"),"")</f>
        <v/>
      </c>
      <c r="E7331" s="2"/>
      <c r="F7331" s="2" t="str">
        <f>IFERROR(__xludf.DUMMYFUNCTION("IF(E7331&lt;&gt;"""", GOOGLETRANSLATE(E7331, ""en"", ""te""),"""")"),"")</f>
        <v/>
      </c>
      <c r="G7331" s="2"/>
      <c r="H7331" s="2" t="str">
        <f>IFERROR(__xludf.DUMMYFUNCTION("IF(G7331&lt;&gt;"""", GOOGLETRANSLATE(G7331, ""en"", ""te""),"""")"),"")</f>
        <v/>
      </c>
      <c r="I7331" s="3"/>
    </row>
    <row r="7332" customHeight="1" spans="1:9">
      <c r="A7332" s="2" t="s">
        <v>4279</v>
      </c>
      <c r="B7332" s="2" t="str">
        <f>IFERROR(__xludf.DUMMYFUNCTION("IF(A7332&lt;&gt;"""", GOOGLETRANSLATE(A7332, ""en"", ""te""),"""")"),"[ 'తొలి ఇన్నింగ్స్లో 3 వ ఉత్తమ బొమ్మలు (5)']")</f>
        <v>[ 'తొలి ఇన్నింగ్స్లో 3 వ ఉత్తమ బొమ్మలు (5)']</v>
      </c>
      <c r="C7332" s="2"/>
      <c r="D7332" s="2" t="str">
        <f>IFERROR(__xludf.DUMMYFUNCTION("IF(C7332&lt;&gt;"""", GOOGLETRANSLATE(C7332, ""en"", ""te""),"""")"),"")</f>
        <v/>
      </c>
      <c r="E7332" s="2" t="s">
        <v>4280</v>
      </c>
      <c r="F7332" s="2" t="str">
        <f>IFERROR(__xludf.DUMMYFUNCTION("IF(E7332&lt;&gt;"""", GOOGLETRANSLATE(E7332, ""en"", ""te""),"""")"),"[ 'తొలి ఇన్నింగ్స్లో 3 వ ఉత్తమ బొమ్మలు (5)', 'ఐదు వికెట్ల లో-ఒక-ఇన్నింగ్స్ పడుతుంది 24 పిన్న ఆటగాడు (21y 65d)']")</f>
        <v>[ 'తొలి ఇన్నింగ్స్లో 3 వ ఉత్తమ బొమ్మలు (5)', 'ఐదు వికెట్ల లో-ఒక-ఇన్నింగ్స్ పడుతుంది 24 పిన్న ఆటగాడు (21y 65d)']</v>
      </c>
      <c r="G7332" s="2"/>
      <c r="H7332" s="2" t="str">
        <f>IFERROR(__xludf.DUMMYFUNCTION("IF(G7332&lt;&gt;"""", GOOGLETRANSLATE(G7332, ""en"", ""te""),"""")"),"")</f>
        <v/>
      </c>
      <c r="I7332" s="3"/>
    </row>
    <row r="7333" customHeight="1" spans="1:9">
      <c r="A7333" s="2"/>
      <c r="B7333" s="2" t="str">
        <f>IFERROR(__xludf.DUMMYFUNCTION("IF(A7333&lt;&gt;"""", GOOGLETRANSLATE(A7333, ""en"", ""te""),"""")"),"")</f>
        <v/>
      </c>
      <c r="C7333" s="2"/>
      <c r="D7333" s="2" t="str">
        <f>IFERROR(__xludf.DUMMYFUNCTION("IF(C7333&lt;&gt;"""", GOOGLETRANSLATE(C7333, ""en"", ""te""),"""")"),"")</f>
        <v/>
      </c>
      <c r="E7333" s="2"/>
      <c r="F7333" s="2" t="str">
        <f>IFERROR(__xludf.DUMMYFUNCTION("IF(E7333&lt;&gt;"""", GOOGLETRANSLATE(E7333, ""en"", ""te""),"""")"),"")</f>
        <v/>
      </c>
      <c r="G7333" s="2"/>
      <c r="H7333" s="2" t="str">
        <f>IFERROR(__xludf.DUMMYFUNCTION("IF(G7333&lt;&gt;"""", GOOGLETRANSLATE(G7333, ""en"", ""te""),"""")"),"")</f>
        <v/>
      </c>
      <c r="I7333" s="3"/>
    </row>
    <row r="7334" customHeight="1" spans="1:9">
      <c r="A7334" s="2"/>
      <c r="B7334" s="2" t="str">
        <f>IFERROR(__xludf.DUMMYFUNCTION("IF(A7334&lt;&gt;"""", GOOGLETRANSLATE(A7334, ""en"", ""te""),"""")"),"")</f>
        <v/>
      </c>
      <c r="C7334" s="2"/>
      <c r="D7334" s="2" t="str">
        <f>IFERROR(__xludf.DUMMYFUNCTION("IF(C7334&lt;&gt;"""", GOOGLETRANSLATE(C7334, ""en"", ""te""),"""")"),"")</f>
        <v/>
      </c>
      <c r="E7334" s="2"/>
      <c r="F7334" s="2" t="str">
        <f>IFERROR(__xludf.DUMMYFUNCTION("IF(E7334&lt;&gt;"""", GOOGLETRANSLATE(E7334, ""en"", ""te""),"""")"),"")</f>
        <v/>
      </c>
      <c r="G7334" s="2" t="s">
        <v>4281</v>
      </c>
      <c r="H7334" s="2" t="str">
        <f>IFERROR(__xludf.DUMMYFUNCTION("IF(G7334&lt;&gt;"""", GOOGLETRANSLATE(G7334, ""en"", ""te""),"""")"),"[ '33 వ చెత్త ఇన్నింగ్స్ లో ఆర్థిక రేటు (14.50)']")</f>
        <v>[ '33 వ చెత్త ఇన్నింగ్స్ లో ఆర్థిక రేటు (14.50)']</v>
      </c>
      <c r="I7334" s="3"/>
    </row>
    <row r="7335" customHeight="1" spans="1:9">
      <c r="A7335" s="2"/>
      <c r="B7335" s="2" t="str">
        <f>IFERROR(__xludf.DUMMYFUNCTION("IF(A7335&lt;&gt;"""", GOOGLETRANSLATE(A7335, ""en"", ""te""),"""")"),"")</f>
        <v/>
      </c>
      <c r="C7335" s="2"/>
      <c r="D7335" s="2" t="str">
        <f>IFERROR(__xludf.DUMMYFUNCTION("IF(C7335&lt;&gt;"""", GOOGLETRANSLATE(C7335, ""en"", ""te""),"""")"),"")</f>
        <v/>
      </c>
      <c r="E7335" s="2"/>
      <c r="F7335" s="2" t="str">
        <f>IFERROR(__xludf.DUMMYFUNCTION("IF(E7335&lt;&gt;"""", GOOGLETRANSLATE(E7335, ""en"", ""te""),"""")"),"")</f>
        <v/>
      </c>
      <c r="G7335" s="2"/>
      <c r="H7335" s="2" t="str">
        <f>IFERROR(__xludf.DUMMYFUNCTION("IF(G7335&lt;&gt;"""", GOOGLETRANSLATE(G7335, ""en"", ""te""),"""")"),"")</f>
        <v/>
      </c>
      <c r="I7335" s="3"/>
    </row>
    <row r="7336" customHeight="1" spans="1:9">
      <c r="A7336" s="2"/>
      <c r="B7336" s="2" t="str">
        <f>IFERROR(__xludf.DUMMYFUNCTION("IF(A7336&lt;&gt;"""", GOOGLETRANSLATE(A7336, ""en"", ""te""),"""")"),"")</f>
        <v/>
      </c>
      <c r="C7336" s="2"/>
      <c r="D7336" s="2" t="str">
        <f>IFERROR(__xludf.DUMMYFUNCTION("IF(C7336&lt;&gt;"""", GOOGLETRANSLATE(C7336, ""en"", ""te""),"""")"),"")</f>
        <v/>
      </c>
      <c r="E7336" s="2"/>
      <c r="F7336" s="2" t="str">
        <f>IFERROR(__xludf.DUMMYFUNCTION("IF(E7336&lt;&gt;"""", GOOGLETRANSLATE(E7336, ""en"", ""te""),"""")"),"")</f>
        <v/>
      </c>
      <c r="G7336" s="2"/>
      <c r="H7336" s="2" t="str">
        <f>IFERROR(__xludf.DUMMYFUNCTION("IF(G7336&lt;&gt;"""", GOOGLETRANSLATE(G7336, ""en"", ""te""),"""")"),"")</f>
        <v/>
      </c>
      <c r="I7336" s="3"/>
    </row>
    <row r="7337" customHeight="1" spans="1:9">
      <c r="A7337" s="2"/>
      <c r="B7337" s="2" t="str">
        <f>IFERROR(__xludf.DUMMYFUNCTION("IF(A7337&lt;&gt;"""", GOOGLETRANSLATE(A7337, ""en"", ""te""),"""")"),"")</f>
        <v/>
      </c>
      <c r="C7337" s="2"/>
      <c r="D7337" s="2" t="str">
        <f>IFERROR(__xludf.DUMMYFUNCTION("IF(C7337&lt;&gt;"""", GOOGLETRANSLATE(C7337, ""en"", ""te""),"""")"),"")</f>
        <v/>
      </c>
      <c r="E7337" s="2"/>
      <c r="F7337" s="2" t="str">
        <f>IFERROR(__xludf.DUMMYFUNCTION("IF(E7337&lt;&gt;"""", GOOGLETRANSLATE(E7337, ""en"", ""te""),"""")"),"")</f>
        <v/>
      </c>
      <c r="G7337" s="2"/>
      <c r="H7337" s="2" t="str">
        <f>IFERROR(__xludf.DUMMYFUNCTION("IF(G7337&lt;&gt;"""", GOOGLETRANSLATE(G7337, ""en"", ""te""),"""")"),"")</f>
        <v/>
      </c>
      <c r="I7337" s="3"/>
    </row>
    <row r="7338" customHeight="1" spans="1:9">
      <c r="A7338" s="2"/>
      <c r="B7338" s="2" t="str">
        <f>IFERROR(__xludf.DUMMYFUNCTION("IF(A7338&lt;&gt;"""", GOOGLETRANSLATE(A7338, ""en"", ""te""),"""")"),"")</f>
        <v/>
      </c>
      <c r="C7338" s="2"/>
      <c r="D7338" s="2" t="str">
        <f>IFERROR(__xludf.DUMMYFUNCTION("IF(C7338&lt;&gt;"""", GOOGLETRANSLATE(C7338, ""en"", ""te""),"""")"),"")</f>
        <v/>
      </c>
      <c r="E7338" s="2"/>
      <c r="F7338" s="2" t="str">
        <f>IFERROR(__xludf.DUMMYFUNCTION("IF(E7338&lt;&gt;"""", GOOGLETRANSLATE(E7338, ""en"", ""te""),"""")"),"")</f>
        <v/>
      </c>
      <c r="G7338" s="2"/>
      <c r="H7338" s="2" t="str">
        <f>IFERROR(__xludf.DUMMYFUNCTION("IF(G7338&lt;&gt;"""", GOOGLETRANSLATE(G7338, ""en"", ""te""),"""")"),"")</f>
        <v/>
      </c>
      <c r="I7338" s="3"/>
    </row>
    <row r="7339" customHeight="1" spans="1:9">
      <c r="A7339" s="2"/>
      <c r="B7339" s="2" t="str">
        <f>IFERROR(__xludf.DUMMYFUNCTION("IF(A7339&lt;&gt;"""", GOOGLETRANSLATE(A7339, ""en"", ""te""),"""")"),"")</f>
        <v/>
      </c>
      <c r="C7339" s="2"/>
      <c r="D7339" s="2" t="str">
        <f>IFERROR(__xludf.DUMMYFUNCTION("IF(C7339&lt;&gt;"""", GOOGLETRANSLATE(C7339, ""en"", ""te""),"""")"),"")</f>
        <v/>
      </c>
      <c r="E7339" s="2"/>
      <c r="F7339" s="2" t="str">
        <f>IFERROR(__xludf.DUMMYFUNCTION("IF(E7339&lt;&gt;"""", GOOGLETRANSLATE(E7339, ""en"", ""te""),"""")"),"")</f>
        <v/>
      </c>
      <c r="G7339" s="2"/>
      <c r="H7339" s="2" t="str">
        <f>IFERROR(__xludf.DUMMYFUNCTION("IF(G7339&lt;&gt;"""", GOOGLETRANSLATE(G7339, ""en"", ""te""),"""")"),"")</f>
        <v/>
      </c>
      <c r="I7339" s="3"/>
    </row>
    <row r="7340" customHeight="1" spans="1:9">
      <c r="A7340" s="2"/>
      <c r="B7340" s="2" t="str">
        <f>IFERROR(__xludf.DUMMYFUNCTION("IF(A7340&lt;&gt;"""", GOOGLETRANSLATE(A7340, ""en"", ""te""),"""")"),"")</f>
        <v/>
      </c>
      <c r="C7340" s="2"/>
      <c r="D7340" s="2" t="str">
        <f>IFERROR(__xludf.DUMMYFUNCTION("IF(C7340&lt;&gt;"""", GOOGLETRANSLATE(C7340, ""en"", ""te""),"""")"),"")</f>
        <v/>
      </c>
      <c r="E7340" s="2"/>
      <c r="F7340" s="2" t="str">
        <f>IFERROR(__xludf.DUMMYFUNCTION("IF(E7340&lt;&gt;"""", GOOGLETRANSLATE(E7340, ""en"", ""te""),"""")"),"")</f>
        <v/>
      </c>
      <c r="G7340" s="2"/>
      <c r="H7340" s="2" t="str">
        <f>IFERROR(__xludf.DUMMYFUNCTION("IF(G7340&lt;&gt;"""", GOOGLETRANSLATE(G7340, ""en"", ""te""),"""")"),"")</f>
        <v/>
      </c>
      <c r="I7340" s="3"/>
    </row>
    <row r="7341" customHeight="1" spans="1:9">
      <c r="A7341" s="2"/>
      <c r="B7341" s="2" t="str">
        <f>IFERROR(__xludf.DUMMYFUNCTION("IF(A7341&lt;&gt;"""", GOOGLETRANSLATE(A7341, ""en"", ""te""),"""")"),"")</f>
        <v/>
      </c>
      <c r="C7341" s="2"/>
      <c r="D7341" s="2" t="str">
        <f>IFERROR(__xludf.DUMMYFUNCTION("IF(C7341&lt;&gt;"""", GOOGLETRANSLATE(C7341, ""en"", ""te""),"""")"),"")</f>
        <v/>
      </c>
      <c r="E7341" s="2"/>
      <c r="F7341" s="2" t="str">
        <f>IFERROR(__xludf.DUMMYFUNCTION("IF(E7341&lt;&gt;"""", GOOGLETRANSLATE(E7341, ""en"", ""te""),"""")"),"")</f>
        <v/>
      </c>
      <c r="G7341" s="2"/>
      <c r="H7341" s="2" t="str">
        <f>IFERROR(__xludf.DUMMYFUNCTION("IF(G7341&lt;&gt;"""", GOOGLETRANSLATE(G7341, ""en"", ""te""),"""")"),"")</f>
        <v/>
      </c>
      <c r="I7341" s="3"/>
    </row>
    <row r="7342" customHeight="1" spans="1:9">
      <c r="A7342" s="2"/>
      <c r="B7342" s="2" t="str">
        <f>IFERROR(__xludf.DUMMYFUNCTION("IF(A7342&lt;&gt;"""", GOOGLETRANSLATE(A7342, ""en"", ""te""),"""")"),"")</f>
        <v/>
      </c>
      <c r="C7342" s="2" t="s">
        <v>4282</v>
      </c>
      <c r="D7342" s="2" t="str">
        <f>IFERROR(__xludf.DUMMYFUNCTION("IF(C7342&lt;&gt;"""", GOOGLETRANSLATE(C7342, ""en"", ""te""),"""")"),"[ '22 చెత్త కెరీర్లో ఆర్థిక రేటు (3.67)', 'ఇన్నింగ్స్ లో 26 వ చెత్త ఆర్థిక రేటు (6.68)']")</f>
        <v>[ '22 చెత్త కెరీర్లో ఆర్థిక రేటు (3.67)', 'ఇన్నింగ్స్ లో 26 వ చెత్త ఆర్థిక రేటు (6.68)']</v>
      </c>
      <c r="E7342" s="2" t="s">
        <v>4283</v>
      </c>
      <c r="F7342" s="2" t="str">
        <f>IFERROR(__xludf.DUMMYFUNCTION("IF(E7342&lt;&gt;"""", GOOGLETRANSLATE(E7342, ""en"", ""te""),"""")"),"'ఇన్ నాలుగు వికెట్లు ఒక-ఇన్నింగ్స్ 13 వ వరుస (2)' [ '48 వ కెరీర్ లో అత్యధిక వికెట్లు (187)', '41 వ ఇన్నింగ్స్ లో బెస్ట్ ఫిగర్స్ (6/27)', '50 వ మోస్ట్ రన్స్ సాధించిన కెరీర్ (5648) ',' 11 వ బౌలర్ / బ్యాట్స్ కలయికలు (9) ',' 33 వ బౌలర్ / ఫీల్డర్ కలయికలు (28) "&amp;"',' 43 వ అత్యధిక వికెట్లు బౌల్డ్ తీసుకున్న (48) ',' 50 వ అత్యధిక వికెట్లు తీసుకున్న ఆకర్షించింది (115) ', '44 వ వేగంగా 150 వికెట్లు (121)']")</f>
        <v>'ఇన్ నాలుగు వికెట్లు ఒక-ఇన్నింగ్స్ 13 వ వరుస (2)' [ '48 వ కెరీర్ లో అత్యధిక వికెట్లు (187)', '41 వ ఇన్నింగ్స్ లో బెస్ట్ ఫిగర్స్ (6/27)', '50 వ మోస్ట్ రన్స్ సాధించిన కెరీర్ (5648) ',' 11 వ బౌలర్ / బ్యాట్స్ కలయికలు (9) ',' 33 వ బౌలర్ / ఫీల్డర్ కలయికలు (28) ',' 43 వ అత్యధిక వికెట్లు బౌల్డ్ తీసుకున్న (48) ',' 50 వ అత్యధిక వికెట్లు తీసుకున్న ఆకర్షించింది (115) ', '44 వ వేగంగా 150 వికెట్లు (121)']</v>
      </c>
      <c r="G7342" s="2" t="s">
        <v>4284</v>
      </c>
      <c r="H7342" s="2" t="str">
        <f>IFERROR(__xludf.DUMMYFUNCTION("IF(G7342&lt;&gt;"""", GOOGLETRANSLATE(G7342, ""en"", ""te""),"""")"),"[ '13 వ ఇన్నింగ్స్ లో అత్యధిక పరుగులు (బ్యాటింగ్ స్థానంలో ప్రకారం) (21)', '47 వ వరుస మ్యాచ్లు ఆడి (37) మధ్య ఒక జట్టుకు దూరమయ్యాడు' 'కెరీర్ (3) 19 వ అత్యంత పనికత్తెలయొద్ద']")</f>
        <v>[ '13 వ ఇన్నింగ్స్ లో అత్యధిక పరుగులు (బ్యాటింగ్ స్థానంలో ప్రకారం) (21)', '47 వ వరుస మ్యాచ్లు ఆడి (37) మధ్య ఒక జట్టుకు దూరమయ్యాడు' 'కెరీర్ (3) 19 వ అత్యంత పనికత్తెలయొద్ద']</v>
      </c>
      <c r="I7342" s="3"/>
    </row>
    <row r="7343" customHeight="1" spans="1:9">
      <c r="A7343" s="2"/>
      <c r="B7343" s="2" t="str">
        <f>IFERROR(__xludf.DUMMYFUNCTION("IF(A7343&lt;&gt;"""", GOOGLETRANSLATE(A7343, ""en"", ""te""),"""")"),"")</f>
        <v/>
      </c>
      <c r="C7343" s="2"/>
      <c r="D7343" s="2" t="str">
        <f>IFERROR(__xludf.DUMMYFUNCTION("IF(C7343&lt;&gt;"""", GOOGLETRANSLATE(C7343, ""en"", ""te""),"""")"),"")</f>
        <v/>
      </c>
      <c r="E7343" s="2"/>
      <c r="F7343" s="2" t="str">
        <f>IFERROR(__xludf.DUMMYFUNCTION("IF(E7343&lt;&gt;"""", GOOGLETRANSLATE(E7343, ""en"", ""te""),"""")"),"")</f>
        <v/>
      </c>
      <c r="G7343" s="2"/>
      <c r="H7343" s="2" t="str">
        <f>IFERROR(__xludf.DUMMYFUNCTION("IF(G7343&lt;&gt;"""", GOOGLETRANSLATE(G7343, ""en"", ""te""),"""")"),"")</f>
        <v/>
      </c>
      <c r="I7343" s="3"/>
    </row>
    <row r="7344" customHeight="1" spans="1:9">
      <c r="A7344" s="2"/>
      <c r="B7344" s="2" t="str">
        <f>IFERROR(__xludf.DUMMYFUNCTION("IF(A7344&lt;&gt;"""", GOOGLETRANSLATE(A7344, ""en"", ""te""),"""")"),"")</f>
        <v/>
      </c>
      <c r="C7344" s="2"/>
      <c r="D7344" s="2" t="str">
        <f>IFERROR(__xludf.DUMMYFUNCTION("IF(C7344&lt;&gt;"""", GOOGLETRANSLATE(C7344, ""en"", ""te""),"""")"),"")</f>
        <v/>
      </c>
      <c r="E7344" s="2"/>
      <c r="F7344" s="2" t="str">
        <f>IFERROR(__xludf.DUMMYFUNCTION("IF(E7344&lt;&gt;"""", GOOGLETRANSLATE(E7344, ""en"", ""te""),"""")"),"")</f>
        <v/>
      </c>
      <c r="G7344" s="2"/>
      <c r="H7344" s="2" t="str">
        <f>IFERROR(__xludf.DUMMYFUNCTION("IF(G7344&lt;&gt;"""", GOOGLETRANSLATE(G7344, ""en"", ""te""),"""")"),"")</f>
        <v/>
      </c>
      <c r="I7344" s="3"/>
    </row>
    <row r="7345" customHeight="1" spans="1:9">
      <c r="A7345" s="2"/>
      <c r="B7345" s="2" t="str">
        <f>IFERROR(__xludf.DUMMYFUNCTION("IF(A7345&lt;&gt;"""", GOOGLETRANSLATE(A7345, ""en"", ""te""),"""")"),"")</f>
        <v/>
      </c>
      <c r="C7345" s="2"/>
      <c r="D7345" s="2" t="str">
        <f>IFERROR(__xludf.DUMMYFUNCTION("IF(C7345&lt;&gt;"""", GOOGLETRANSLATE(C7345, ""en"", ""te""),"""")"),"")</f>
        <v/>
      </c>
      <c r="E7345" s="2"/>
      <c r="F7345" s="2" t="str">
        <f>IFERROR(__xludf.DUMMYFUNCTION("IF(E7345&lt;&gt;"""", GOOGLETRANSLATE(E7345, ""en"", ""te""),"""")"),"")</f>
        <v/>
      </c>
      <c r="G7345" s="2"/>
      <c r="H7345" s="2" t="str">
        <f>IFERROR(__xludf.DUMMYFUNCTION("IF(G7345&lt;&gt;"""", GOOGLETRANSLATE(G7345, ""en"", ""te""),"""")"),"")</f>
        <v/>
      </c>
      <c r="I7345" s="3"/>
    </row>
    <row r="7346" customHeight="1" spans="1:9">
      <c r="A7346" s="2"/>
      <c r="B7346" s="2" t="str">
        <f>IFERROR(__xludf.DUMMYFUNCTION("IF(A7346&lt;&gt;"""", GOOGLETRANSLATE(A7346, ""en"", ""te""),"""")"),"")</f>
        <v/>
      </c>
      <c r="C7346" s="2"/>
      <c r="D7346" s="2" t="str">
        <f>IFERROR(__xludf.DUMMYFUNCTION("IF(C7346&lt;&gt;"""", GOOGLETRANSLATE(C7346, ""en"", ""te""),"""")"),"")</f>
        <v/>
      </c>
      <c r="E7346" s="2"/>
      <c r="F7346" s="2" t="str">
        <f>IFERROR(__xludf.DUMMYFUNCTION("IF(E7346&lt;&gt;"""", GOOGLETRANSLATE(E7346, ""en"", ""te""),"""")"),"")</f>
        <v/>
      </c>
      <c r="G7346" s="2"/>
      <c r="H7346" s="2" t="str">
        <f>IFERROR(__xludf.DUMMYFUNCTION("IF(G7346&lt;&gt;"""", GOOGLETRANSLATE(G7346, ""en"", ""te""),"""")"),"")</f>
        <v/>
      </c>
      <c r="I7346" s="3"/>
    </row>
    <row r="7347" customHeight="1" spans="1:9">
      <c r="A7347" s="2"/>
      <c r="B7347" s="2" t="str">
        <f>IFERROR(__xludf.DUMMYFUNCTION("IF(A7347&lt;&gt;"""", GOOGLETRANSLATE(A7347, ""en"", ""te""),"""")"),"")</f>
        <v/>
      </c>
      <c r="C7347" s="2"/>
      <c r="D7347" s="2" t="str">
        <f>IFERROR(__xludf.DUMMYFUNCTION("IF(C7347&lt;&gt;"""", GOOGLETRANSLATE(C7347, ""en"", ""te""),"""")"),"")</f>
        <v/>
      </c>
      <c r="E7347" s="2"/>
      <c r="F7347" s="2" t="str">
        <f>IFERROR(__xludf.DUMMYFUNCTION("IF(E7347&lt;&gt;"""", GOOGLETRANSLATE(E7347, ""en"", ""te""),"""")"),"")</f>
        <v/>
      </c>
      <c r="G7347" s="2"/>
      <c r="H7347" s="2" t="str">
        <f>IFERROR(__xludf.DUMMYFUNCTION("IF(G7347&lt;&gt;"""", GOOGLETRANSLATE(G7347, ""en"", ""te""),"""")"),"")</f>
        <v/>
      </c>
      <c r="I7347" s="3"/>
    </row>
    <row r="7348" customHeight="1" spans="1:9">
      <c r="A7348" s="2"/>
      <c r="B7348" s="2" t="str">
        <f>IFERROR(__xludf.DUMMYFUNCTION("IF(A7348&lt;&gt;"""", GOOGLETRANSLATE(A7348, ""en"", ""te""),"""")"),"")</f>
        <v/>
      </c>
      <c r="C7348" s="2"/>
      <c r="D7348" s="2" t="str">
        <f>IFERROR(__xludf.DUMMYFUNCTION("IF(C7348&lt;&gt;"""", GOOGLETRANSLATE(C7348, ""en"", ""te""),"""")"),"")</f>
        <v/>
      </c>
      <c r="E7348" s="2" t="s">
        <v>4285</v>
      </c>
      <c r="F7348" s="2" t="str">
        <f>IFERROR(__xludf.DUMMYFUNCTION("IF(E7348&lt;&gt;"""", GOOGLETRANSLATE(E7348, ""en"", ""te""),"""")"),"[ '12 వ ఉత్తమ కెరీర్ బౌలింగ్ సరాసరి (అర్హత లేకుండా) (6.50)']")</f>
        <v>[ '12 వ ఉత్తమ కెరీర్ బౌలింగ్ సరాసరి (అర్హత లేకుండా) (6.50)']</v>
      </c>
      <c r="G7348" s="2"/>
      <c r="H7348" s="2" t="str">
        <f>IFERROR(__xludf.DUMMYFUNCTION("IF(G7348&lt;&gt;"""", GOOGLETRANSLATE(G7348, ""en"", ""te""),"""")"),"")</f>
        <v/>
      </c>
      <c r="I7348" s="3"/>
    </row>
    <row r="7349" customHeight="1" spans="1:9">
      <c r="A7349" s="2"/>
      <c r="B7349" s="2" t="str">
        <f>IFERROR(__xludf.DUMMYFUNCTION("IF(A7349&lt;&gt;"""", GOOGLETRANSLATE(A7349, ""en"", ""te""),"""")"),"")</f>
        <v/>
      </c>
      <c r="C7349" s="2" t="s">
        <v>4286</v>
      </c>
      <c r="D7349" s="2" t="str">
        <f>IFERROR(__xludf.DUMMYFUNCTION("IF(C7349&lt;&gt;"""", GOOGLETRANSLATE(C7349, ""en"", ""te""),"""")"),"[ '35 వ చెత్త కెరీర్లో ఆర్థిక రేటు (3.53)']")</f>
        <v>[ '35 వ చెత్త కెరీర్లో ఆర్థిక రేటు (3.53)']</v>
      </c>
      <c r="E7349" s="2"/>
      <c r="F7349" s="2" t="str">
        <f>IFERROR(__xludf.DUMMYFUNCTION("IF(E7349&lt;&gt;"""", GOOGLETRANSLATE(E7349, ""en"", ""te""),"""")"),"")</f>
        <v/>
      </c>
      <c r="G7349" s="2"/>
      <c r="H7349" s="2" t="str">
        <f>IFERROR(__xludf.DUMMYFUNCTION("IF(G7349&lt;&gt;"""", GOOGLETRANSLATE(G7349, ""en"", ""te""),"""")"),"")</f>
        <v/>
      </c>
      <c r="I7349" s="3"/>
    </row>
    <row r="7350" customHeight="1" spans="1:9">
      <c r="A7350" s="2"/>
      <c r="B7350" s="2" t="str">
        <f>IFERROR(__xludf.DUMMYFUNCTION("IF(A7350&lt;&gt;"""", GOOGLETRANSLATE(A7350, ""en"", ""te""),"""")"),"")</f>
        <v/>
      </c>
      <c r="C7350" s="2"/>
      <c r="D7350" s="2" t="str">
        <f>IFERROR(__xludf.DUMMYFUNCTION("IF(C7350&lt;&gt;"""", GOOGLETRANSLATE(C7350, ""en"", ""te""),"""")"),"")</f>
        <v/>
      </c>
      <c r="E7350" s="2"/>
      <c r="F7350" s="2" t="str">
        <f>IFERROR(__xludf.DUMMYFUNCTION("IF(E7350&lt;&gt;"""", GOOGLETRANSLATE(E7350, ""en"", ""te""),"""")"),"")</f>
        <v/>
      </c>
      <c r="G7350" s="2"/>
      <c r="H7350" s="2" t="str">
        <f>IFERROR(__xludf.DUMMYFUNCTION("IF(G7350&lt;&gt;"""", GOOGLETRANSLATE(G7350, ""en"", ""te""),"""")"),"")</f>
        <v/>
      </c>
      <c r="I7350" s="3"/>
    </row>
    <row r="7351" customHeight="1" spans="1:9">
      <c r="A7351" s="2"/>
      <c r="B7351" s="2" t="str">
        <f>IFERROR(__xludf.DUMMYFUNCTION("IF(A7351&lt;&gt;"""", GOOGLETRANSLATE(A7351, ""en"", ""te""),"""")"),"")</f>
        <v/>
      </c>
      <c r="C7351" s="2"/>
      <c r="D7351" s="2" t="str">
        <f>IFERROR(__xludf.DUMMYFUNCTION("IF(C7351&lt;&gt;"""", GOOGLETRANSLATE(C7351, ""en"", ""te""),"""")"),"")</f>
        <v/>
      </c>
      <c r="E7351" s="2"/>
      <c r="F7351" s="2" t="str">
        <f>IFERROR(__xludf.DUMMYFUNCTION("IF(E7351&lt;&gt;"""", GOOGLETRANSLATE(E7351, ""en"", ""te""),"""")"),"")</f>
        <v/>
      </c>
      <c r="G7351" s="2"/>
      <c r="H7351" s="2" t="str">
        <f>IFERROR(__xludf.DUMMYFUNCTION("IF(G7351&lt;&gt;"""", GOOGLETRANSLATE(G7351, ""en"", ""te""),"""")"),"")</f>
        <v/>
      </c>
      <c r="I7351" s="3"/>
    </row>
    <row r="7352" customHeight="1" spans="1:9">
      <c r="A7352" s="2"/>
      <c r="B7352" s="2" t="str">
        <f>IFERROR(__xludf.DUMMYFUNCTION("IF(A7352&lt;&gt;"""", GOOGLETRANSLATE(A7352, ""en"", ""te""),"""")"),"")</f>
        <v/>
      </c>
      <c r="C7352" s="2"/>
      <c r="D7352" s="2" t="str">
        <f>IFERROR(__xludf.DUMMYFUNCTION("IF(C7352&lt;&gt;"""", GOOGLETRANSLATE(C7352, ""en"", ""te""),"""")"),"")</f>
        <v/>
      </c>
      <c r="E7352" s="2" t="s">
        <v>4287</v>
      </c>
      <c r="F7352" s="2" t="str">
        <f>IFERROR(__xludf.DUMMYFUNCTION("IF(E7352&lt;&gt;"""", GOOGLETRANSLATE(E7352, ""en"", ""te""),"""")"),"[ '49 వ అత్యధిక తొలి వంద (132)', '39 వ ఇన్నింగ్స్ లో వచ్చిన ఎక్కువ ఫోర్లు (19)']")</f>
        <v>[ '49 వ అత్యధిక తొలి వంద (132)', '39 వ ఇన్నింగ్స్ లో వచ్చిన ఎక్కువ ఫోర్లు (19)']</v>
      </c>
      <c r="G7352" s="2"/>
      <c r="H7352" s="2" t="str">
        <f>IFERROR(__xludf.DUMMYFUNCTION("IF(G7352&lt;&gt;"""", GOOGLETRANSLATE(G7352, ""en"", ""te""),"""")"),"")</f>
        <v/>
      </c>
      <c r="I7352" s="3"/>
    </row>
    <row r="7353" customHeight="1" spans="1:9">
      <c r="A7353" s="2" t="s">
        <v>4288</v>
      </c>
      <c r="B7353" s="2" t="str">
        <f>IFERROR(__xludf.DUMMYFUNCTION("IF(A7353&lt;&gt;"""", GOOGLETRANSLATE(A7353, ""en"", ""te""),"""")"),"[ '10 వ అసాధారణ వికెట్లు (అడ్డుకోవడం)', 'ఇన్నింగ్స్ లో 7 వ అత్యుత్తమ బౌలింగ్ విశ్లేషణలు (2/3)', 'కెరీర్ లో 1 వ అతి తక్కువ బాతులు (85)']")</f>
        <v>[ '10 వ అసాధారణ వికెట్లు (అడ్డుకోవడం)', 'ఇన్నింగ్స్ లో 7 వ అత్యుత్తమ బౌలింగ్ విశ్లేషణలు (2/3)', 'కెరీర్ లో 1 వ అతి తక్కువ బాతులు (85)']</v>
      </c>
      <c r="C7353" s="2"/>
      <c r="D7353" s="2" t="str">
        <f>IFERROR(__xludf.DUMMYFUNCTION("IF(C7353&lt;&gt;"""", GOOGLETRANSLATE(C7353, ""en"", ""te""),"""")"),"")</f>
        <v/>
      </c>
      <c r="E7353" s="2" t="s">
        <v>4289</v>
      </c>
      <c r="F7353" s="2" t="str">
        <f>IFERROR(__xludf.DUMMYFUNCTION("IF(E7353&lt;&gt;"""", GOOGLETRANSLATE(E7353, ""en"", ""te""),"""")"),"[ '10 వ అసాధారణ వికెట్లు (అడ్డుకోవడం)']")</f>
        <v>[ '10 వ అసాధారణ వికెట్లు (అడ్డుకోవడం)']</v>
      </c>
      <c r="G7353" s="2" t="s">
        <v>4290</v>
      </c>
      <c r="H7353" s="2" t="str">
        <f>IFERROR(__xludf.DUMMYFUNCTION("IF(G7353&lt;&gt;"""", GOOGLETRANSLATE(G7353, ""en"", ""te""),"""")"),"[ '14 వ కెరీర్ లో బాతులు (26)', '7 వ అత్యుత్తమ బౌలింగ్ ఇన్నింగ్స్ లో విశ్లేషించడం (2/3)', 'ఇన్నింగ్స్ లో 15 వ అత్యధిక క్యాచ్లు (3)']")</f>
        <v>[ '14 వ కెరీర్ లో బాతులు (26)', '7 వ అత్యుత్తమ బౌలింగ్ ఇన్నింగ్స్ లో విశ్లేషించడం (2/3)', 'ఇన్నింగ్స్ లో 15 వ అత్యధిక క్యాచ్లు (3)']</v>
      </c>
      <c r="I7353" s="3"/>
    </row>
    <row r="7354" customHeight="1" spans="1:9">
      <c r="A7354" s="2"/>
      <c r="B7354" s="2" t="str">
        <f>IFERROR(__xludf.DUMMYFUNCTION("IF(A7354&lt;&gt;"""", GOOGLETRANSLATE(A7354, ""en"", ""te""),"""")"),"")</f>
        <v/>
      </c>
      <c r="C7354" s="2"/>
      <c r="D7354" s="2" t="str">
        <f>IFERROR(__xludf.DUMMYFUNCTION("IF(C7354&lt;&gt;"""", GOOGLETRANSLATE(C7354, ""en"", ""te""),"""")"),"")</f>
        <v/>
      </c>
      <c r="E7354" s="2"/>
      <c r="F7354" s="2" t="str">
        <f>IFERROR(__xludf.DUMMYFUNCTION("IF(E7354&lt;&gt;"""", GOOGLETRANSLATE(E7354, ""en"", ""te""),"""")"),"")</f>
        <v/>
      </c>
      <c r="G7354" s="2"/>
      <c r="H7354" s="2" t="str">
        <f>IFERROR(__xludf.DUMMYFUNCTION("IF(G7354&lt;&gt;"""", GOOGLETRANSLATE(G7354, ""en"", ""te""),"""")"),"")</f>
        <v/>
      </c>
      <c r="I7354" s="3"/>
    </row>
    <row r="7355" customHeight="1" spans="1:9">
      <c r="A7355" s="2"/>
      <c r="B7355" s="2" t="str">
        <f>IFERROR(__xludf.DUMMYFUNCTION("IF(A7355&lt;&gt;"""", GOOGLETRANSLATE(A7355, ""en"", ""te""),"""")"),"")</f>
        <v/>
      </c>
      <c r="C7355" s="2"/>
      <c r="D7355" s="2" t="str">
        <f>IFERROR(__xludf.DUMMYFUNCTION("IF(C7355&lt;&gt;"""", GOOGLETRANSLATE(C7355, ""en"", ""te""),"""")"),"")</f>
        <v/>
      </c>
      <c r="E7355" s="2"/>
      <c r="F7355" s="2" t="str">
        <f>IFERROR(__xludf.DUMMYFUNCTION("IF(E7355&lt;&gt;"""", GOOGLETRANSLATE(E7355, ""en"", ""te""),"""")"),"")</f>
        <v/>
      </c>
      <c r="G7355" s="2"/>
      <c r="H7355" s="2" t="str">
        <f>IFERROR(__xludf.DUMMYFUNCTION("IF(G7355&lt;&gt;"""", GOOGLETRANSLATE(G7355, ""en"", ""te""),"""")"),"")</f>
        <v/>
      </c>
      <c r="I7355" s="3"/>
    </row>
    <row r="7356" customHeight="1" spans="1:9">
      <c r="A7356" s="2"/>
      <c r="B7356" s="2" t="str">
        <f>IFERROR(__xludf.DUMMYFUNCTION("IF(A7356&lt;&gt;"""", GOOGLETRANSLATE(A7356, ""en"", ""te""),"""")"),"")</f>
        <v/>
      </c>
      <c r="C7356" s="2"/>
      <c r="D7356" s="2" t="str">
        <f>IFERROR(__xludf.DUMMYFUNCTION("IF(C7356&lt;&gt;"""", GOOGLETRANSLATE(C7356, ""en"", ""te""),"""")"),"")</f>
        <v/>
      </c>
      <c r="E7356" s="2"/>
      <c r="F7356" s="2" t="str">
        <f>IFERROR(__xludf.DUMMYFUNCTION("IF(E7356&lt;&gt;"""", GOOGLETRANSLATE(E7356, ""en"", ""te""),"""")"),"")</f>
        <v/>
      </c>
      <c r="G7356" s="2"/>
      <c r="H7356" s="2" t="str">
        <f>IFERROR(__xludf.DUMMYFUNCTION("IF(G7356&lt;&gt;"""", GOOGLETRANSLATE(G7356, ""en"", ""te""),"""")"),"")</f>
        <v/>
      </c>
      <c r="I7356" s="3"/>
    </row>
    <row r="7357" customHeight="1" spans="1:9">
      <c r="A7357" s="2"/>
      <c r="B7357" s="2" t="str">
        <f>IFERROR(__xludf.DUMMYFUNCTION("IF(A7357&lt;&gt;"""", GOOGLETRANSLATE(A7357, ""en"", ""te""),"""")"),"")</f>
        <v/>
      </c>
      <c r="C7357" s="2"/>
      <c r="D7357" s="2" t="str">
        <f>IFERROR(__xludf.DUMMYFUNCTION("IF(C7357&lt;&gt;"""", GOOGLETRANSLATE(C7357, ""en"", ""te""),"""")"),"")</f>
        <v/>
      </c>
      <c r="E7357" s="2"/>
      <c r="F7357" s="2" t="str">
        <f>IFERROR(__xludf.DUMMYFUNCTION("IF(E7357&lt;&gt;"""", GOOGLETRANSLATE(E7357, ""en"", ""te""),"""")"),"")</f>
        <v/>
      </c>
      <c r="G7357" s="2"/>
      <c r="H7357" s="2" t="str">
        <f>IFERROR(__xludf.DUMMYFUNCTION("IF(G7357&lt;&gt;"""", GOOGLETRANSLATE(G7357, ""en"", ""te""),"""")"),"")</f>
        <v/>
      </c>
      <c r="I7357" s="3"/>
    </row>
    <row r="7358" customHeight="1" spans="1:9">
      <c r="A7358" s="2"/>
      <c r="B7358" s="2" t="str">
        <f>IFERROR(__xludf.DUMMYFUNCTION("IF(A7358&lt;&gt;"""", GOOGLETRANSLATE(A7358, ""en"", ""te""),"""")"),"")</f>
        <v/>
      </c>
      <c r="C7358" s="2"/>
      <c r="D7358" s="2" t="str">
        <f>IFERROR(__xludf.DUMMYFUNCTION("IF(C7358&lt;&gt;"""", GOOGLETRANSLATE(C7358, ""en"", ""te""),"""")"),"")</f>
        <v/>
      </c>
      <c r="E7358" s="2"/>
      <c r="F7358" s="2" t="str">
        <f>IFERROR(__xludf.DUMMYFUNCTION("IF(E7358&lt;&gt;"""", GOOGLETRANSLATE(E7358, ""en"", ""te""),"""")"),"")</f>
        <v/>
      </c>
      <c r="G7358" s="2"/>
      <c r="H7358" s="2" t="str">
        <f>IFERROR(__xludf.DUMMYFUNCTION("IF(G7358&lt;&gt;"""", GOOGLETRANSLATE(G7358, ""en"", ""te""),"""")"),"")</f>
        <v/>
      </c>
      <c r="I7358" s="3"/>
    </row>
    <row r="7359" customHeight="1" spans="1:9">
      <c r="A7359" s="2"/>
      <c r="B7359" s="2" t="str">
        <f>IFERROR(__xludf.DUMMYFUNCTION("IF(A7359&lt;&gt;"""", GOOGLETRANSLATE(A7359, ""en"", ""te""),"""")"),"")</f>
        <v/>
      </c>
      <c r="C7359" s="2"/>
      <c r="D7359" s="2" t="str">
        <f>IFERROR(__xludf.DUMMYFUNCTION("IF(C7359&lt;&gt;"""", GOOGLETRANSLATE(C7359, ""en"", ""te""),"""")"),"")</f>
        <v/>
      </c>
      <c r="E7359" s="2"/>
      <c r="F7359" s="2" t="str">
        <f>IFERROR(__xludf.DUMMYFUNCTION("IF(E7359&lt;&gt;"""", GOOGLETRANSLATE(E7359, ""en"", ""te""),"""")"),"")</f>
        <v/>
      </c>
      <c r="G7359" s="2"/>
      <c r="H7359" s="2" t="str">
        <f>IFERROR(__xludf.DUMMYFUNCTION("IF(G7359&lt;&gt;"""", GOOGLETRANSLATE(G7359, ""en"", ""te""),"""")"),"")</f>
        <v/>
      </c>
      <c r="I7359" s="3"/>
    </row>
    <row r="7360" customHeight="1" spans="1:9">
      <c r="A7360" s="2"/>
      <c r="B7360" s="2" t="str">
        <f>IFERROR(__xludf.DUMMYFUNCTION("IF(A7360&lt;&gt;"""", GOOGLETRANSLATE(A7360, ""en"", ""te""),"""")"),"")</f>
        <v/>
      </c>
      <c r="C7360" s="2"/>
      <c r="D7360" s="2" t="str">
        <f>IFERROR(__xludf.DUMMYFUNCTION("IF(C7360&lt;&gt;"""", GOOGLETRANSLATE(C7360, ""en"", ""te""),"""")"),"")</f>
        <v/>
      </c>
      <c r="E7360" s="2"/>
      <c r="F7360" s="2" t="str">
        <f>IFERROR(__xludf.DUMMYFUNCTION("IF(E7360&lt;&gt;"""", GOOGLETRANSLATE(E7360, ""en"", ""te""),"""")"),"")</f>
        <v/>
      </c>
      <c r="G7360" s="2"/>
      <c r="H7360" s="2" t="str">
        <f>IFERROR(__xludf.DUMMYFUNCTION("IF(G7360&lt;&gt;"""", GOOGLETRANSLATE(G7360, ""en"", ""te""),"""")"),"")</f>
        <v/>
      </c>
      <c r="I7360" s="3"/>
    </row>
    <row r="7361" customHeight="1" spans="1:9">
      <c r="A7361" s="2"/>
      <c r="B7361" s="2" t="str">
        <f>IFERROR(__xludf.DUMMYFUNCTION("IF(A7361&lt;&gt;"""", GOOGLETRANSLATE(A7361, ""en"", ""te""),"""")"),"")</f>
        <v/>
      </c>
      <c r="C7361" s="2"/>
      <c r="D7361" s="2" t="str">
        <f>IFERROR(__xludf.DUMMYFUNCTION("IF(C7361&lt;&gt;"""", GOOGLETRANSLATE(C7361, ""en"", ""te""),"""")"),"")</f>
        <v/>
      </c>
      <c r="E7361" s="2"/>
      <c r="F7361" s="2" t="str">
        <f>IFERROR(__xludf.DUMMYFUNCTION("IF(E7361&lt;&gt;"""", GOOGLETRANSLATE(E7361, ""en"", ""te""),"""")"),"")</f>
        <v/>
      </c>
      <c r="G7361" s="2"/>
      <c r="H7361" s="2" t="str">
        <f>IFERROR(__xludf.DUMMYFUNCTION("IF(G7361&lt;&gt;"""", GOOGLETRANSLATE(G7361, ""en"", ""te""),"""")"),"")</f>
        <v/>
      </c>
      <c r="I7361" s="3"/>
    </row>
    <row r="7362" customHeight="1" spans="1:9">
      <c r="A7362" s="2"/>
      <c r="B7362" s="2" t="str">
        <f>IFERROR(__xludf.DUMMYFUNCTION("IF(A7362&lt;&gt;"""", GOOGLETRANSLATE(A7362, ""en"", ""te""),"""")"),"")</f>
        <v/>
      </c>
      <c r="C7362" s="2"/>
      <c r="D7362" s="2" t="str">
        <f>IFERROR(__xludf.DUMMYFUNCTION("IF(C7362&lt;&gt;"""", GOOGLETRANSLATE(C7362, ""en"", ""te""),"""")"),"")</f>
        <v/>
      </c>
      <c r="E7362" s="2" t="s">
        <v>4291</v>
      </c>
      <c r="F7362" s="2" t="str">
        <f>IFERROR(__xludf.DUMMYFUNCTION("IF(E7362&lt;&gt;"""", GOOGLETRANSLATE(E7362, ""en"", ""te""),"""")"),"[40 వ ఉత్తమ ఇన్నింగ్స్ లో సమ్మె రేటు (8.5) ',' ప్రదర్శనల మధ్య 24 లాంగెస్ట్ వ్యవధిలో (6y 118d) ']")</f>
        <v>[40 వ ఉత్తమ ఇన్నింగ్స్ లో సమ్మె రేటు (8.5) ',' ప్రదర్శనల మధ్య 24 లాంగెస్ట్ వ్యవధిలో (6y 118d) ']</v>
      </c>
      <c r="G7362" s="2"/>
      <c r="H7362" s="2" t="str">
        <f>IFERROR(__xludf.DUMMYFUNCTION("IF(G7362&lt;&gt;"""", GOOGLETRANSLATE(G7362, ""en"", ""te""),"""")"),"")</f>
        <v/>
      </c>
      <c r="I7362" s="3"/>
    </row>
    <row r="7363" customHeight="1" spans="1:9">
      <c r="A7363" s="2"/>
      <c r="B7363" s="2" t="str">
        <f>IFERROR(__xludf.DUMMYFUNCTION("IF(A7363&lt;&gt;"""", GOOGLETRANSLATE(A7363, ""en"", ""te""),"""")"),"")</f>
        <v/>
      </c>
      <c r="C7363" s="2"/>
      <c r="D7363" s="2" t="str">
        <f>IFERROR(__xludf.DUMMYFUNCTION("IF(C7363&lt;&gt;"""", GOOGLETRANSLATE(C7363, ""en"", ""te""),"""")"),"")</f>
        <v/>
      </c>
      <c r="E7363" s="2"/>
      <c r="F7363" s="2" t="str">
        <f>IFERROR(__xludf.DUMMYFUNCTION("IF(E7363&lt;&gt;"""", GOOGLETRANSLATE(E7363, ""en"", ""te""),"""")"),"")</f>
        <v/>
      </c>
      <c r="G7363" s="2"/>
      <c r="H7363" s="2" t="str">
        <f>IFERROR(__xludf.DUMMYFUNCTION("IF(G7363&lt;&gt;"""", GOOGLETRANSLATE(G7363, ""en"", ""te""),"""")"),"")</f>
        <v/>
      </c>
      <c r="I7363" s="3"/>
    </row>
    <row r="7364" customHeight="1" spans="1:9">
      <c r="A7364" s="2"/>
      <c r="B7364" s="2" t="str">
        <f>IFERROR(__xludf.DUMMYFUNCTION("IF(A7364&lt;&gt;"""", GOOGLETRANSLATE(A7364, ""en"", ""te""),"""")"),"")</f>
        <v/>
      </c>
      <c r="C7364" s="2"/>
      <c r="D7364" s="2" t="str">
        <f>IFERROR(__xludf.DUMMYFUNCTION("IF(C7364&lt;&gt;"""", GOOGLETRANSLATE(C7364, ""en"", ""te""),"""")"),"")</f>
        <v/>
      </c>
      <c r="E7364" s="2"/>
      <c r="F7364" s="2" t="str">
        <f>IFERROR(__xludf.DUMMYFUNCTION("IF(E7364&lt;&gt;"""", GOOGLETRANSLATE(E7364, ""en"", ""te""),"""")"),"")</f>
        <v/>
      </c>
      <c r="G7364" s="2"/>
      <c r="H7364" s="2" t="str">
        <f>IFERROR(__xludf.DUMMYFUNCTION("IF(G7364&lt;&gt;"""", GOOGLETRANSLATE(G7364, ""en"", ""te""),"""")"),"")</f>
        <v/>
      </c>
      <c r="I7364" s="3"/>
    </row>
    <row r="7365" customHeight="1" spans="1:9">
      <c r="A7365" s="2"/>
      <c r="B7365" s="2" t="str">
        <f>IFERROR(__xludf.DUMMYFUNCTION("IF(A7365&lt;&gt;"""", GOOGLETRANSLATE(A7365, ""en"", ""te""),"""")"),"")</f>
        <v/>
      </c>
      <c r="C7365" s="2"/>
      <c r="D7365" s="2" t="str">
        <f>IFERROR(__xludf.DUMMYFUNCTION("IF(C7365&lt;&gt;"""", GOOGLETRANSLATE(C7365, ""en"", ""te""),"""")"),"")</f>
        <v/>
      </c>
      <c r="E7365" s="2"/>
      <c r="F7365" s="2" t="str">
        <f>IFERROR(__xludf.DUMMYFUNCTION("IF(E7365&lt;&gt;"""", GOOGLETRANSLATE(E7365, ""en"", ""te""),"""")"),"")</f>
        <v/>
      </c>
      <c r="G7365" s="2"/>
      <c r="H7365" s="2" t="str">
        <f>IFERROR(__xludf.DUMMYFUNCTION("IF(G7365&lt;&gt;"""", GOOGLETRANSLATE(G7365, ""en"", ""te""),"""")"),"")</f>
        <v/>
      </c>
      <c r="I7365" s="3"/>
    </row>
    <row r="7366" customHeight="1" spans="1:9">
      <c r="A7366" s="2"/>
      <c r="B7366" s="2" t="str">
        <f>IFERROR(__xludf.DUMMYFUNCTION("IF(A7366&lt;&gt;"""", GOOGLETRANSLATE(A7366, ""en"", ""te""),"""")"),"")</f>
        <v/>
      </c>
      <c r="C7366" s="2"/>
      <c r="D7366" s="2" t="str">
        <f>IFERROR(__xludf.DUMMYFUNCTION("IF(C7366&lt;&gt;"""", GOOGLETRANSLATE(C7366, ""en"", ""te""),"""")"),"")</f>
        <v/>
      </c>
      <c r="E7366" s="2"/>
      <c r="F7366" s="2" t="str">
        <f>IFERROR(__xludf.DUMMYFUNCTION("IF(E7366&lt;&gt;"""", GOOGLETRANSLATE(E7366, ""en"", ""te""),"""")"),"")</f>
        <v/>
      </c>
      <c r="G7366" s="2"/>
      <c r="H7366" s="2" t="str">
        <f>IFERROR(__xludf.DUMMYFUNCTION("IF(G7366&lt;&gt;"""", GOOGLETRANSLATE(G7366, ""en"", ""te""),"""")"),"")</f>
        <v/>
      </c>
      <c r="I7366" s="3"/>
    </row>
    <row r="7367" customHeight="1" spans="1:9">
      <c r="A7367" s="2"/>
      <c r="B7367" s="2" t="str">
        <f>IFERROR(__xludf.DUMMYFUNCTION("IF(A7367&lt;&gt;"""", GOOGLETRANSLATE(A7367, ""en"", ""te""),"""")"),"")</f>
        <v/>
      </c>
      <c r="C7367" s="2"/>
      <c r="D7367" s="2" t="str">
        <f>IFERROR(__xludf.DUMMYFUNCTION("IF(C7367&lt;&gt;"""", GOOGLETRANSLATE(C7367, ""en"", ""te""),"""")"),"")</f>
        <v/>
      </c>
      <c r="E7367" s="2"/>
      <c r="F7367" s="2" t="str">
        <f>IFERROR(__xludf.DUMMYFUNCTION("IF(E7367&lt;&gt;"""", GOOGLETRANSLATE(E7367, ""en"", ""te""),"""")"),"")</f>
        <v/>
      </c>
      <c r="G7367" s="2"/>
      <c r="H7367" s="2" t="str">
        <f>IFERROR(__xludf.DUMMYFUNCTION("IF(G7367&lt;&gt;"""", GOOGLETRANSLATE(G7367, ""en"", ""te""),"""")"),"")</f>
        <v/>
      </c>
      <c r="I7367" s="3"/>
    </row>
    <row r="7368" customHeight="1" spans="1:9">
      <c r="A7368" s="2"/>
      <c r="B7368" s="2" t="str">
        <f>IFERROR(__xludf.DUMMYFUNCTION("IF(A7368&lt;&gt;"""", GOOGLETRANSLATE(A7368, ""en"", ""te""),"""")"),"")</f>
        <v/>
      </c>
      <c r="C7368" s="2"/>
      <c r="D7368" s="2" t="str">
        <f>IFERROR(__xludf.DUMMYFUNCTION("IF(C7368&lt;&gt;"""", GOOGLETRANSLATE(C7368, ""en"", ""te""),"""")"),"")</f>
        <v/>
      </c>
      <c r="E7368" s="2"/>
      <c r="F7368" s="2" t="str">
        <f>IFERROR(__xludf.DUMMYFUNCTION("IF(E7368&lt;&gt;"""", GOOGLETRANSLATE(E7368, ""en"", ""te""),"""")"),"")</f>
        <v/>
      </c>
      <c r="G7368" s="2"/>
      <c r="H7368" s="2" t="str">
        <f>IFERROR(__xludf.DUMMYFUNCTION("IF(G7368&lt;&gt;"""", GOOGLETRANSLATE(G7368, ""en"", ""te""),"""")"),"")</f>
        <v/>
      </c>
      <c r="I7368" s="3"/>
    </row>
    <row r="7369" customHeight="1" spans="1:9">
      <c r="A7369" s="2"/>
      <c r="B7369" s="2" t="str">
        <f>IFERROR(__xludf.DUMMYFUNCTION("IF(A7369&lt;&gt;"""", GOOGLETRANSLATE(A7369, ""en"", ""te""),"""")"),"")</f>
        <v/>
      </c>
      <c r="C7369" s="2"/>
      <c r="D7369" s="2" t="str">
        <f>IFERROR(__xludf.DUMMYFUNCTION("IF(C7369&lt;&gt;"""", GOOGLETRANSLATE(C7369, ""en"", ""te""),"""")"),"")</f>
        <v/>
      </c>
      <c r="E7369" s="2"/>
      <c r="F7369" s="2" t="str">
        <f>IFERROR(__xludf.DUMMYFUNCTION("IF(E7369&lt;&gt;"""", GOOGLETRANSLATE(E7369, ""en"", ""te""),"""")"),"")</f>
        <v/>
      </c>
      <c r="G7369" s="2"/>
      <c r="H7369" s="2" t="str">
        <f>IFERROR(__xludf.DUMMYFUNCTION("IF(G7369&lt;&gt;"""", GOOGLETRANSLATE(G7369, ""en"", ""te""),"""")"),"")</f>
        <v/>
      </c>
      <c r="I7369" s="3"/>
    </row>
    <row r="7370" customHeight="1" spans="1:9">
      <c r="A7370" s="2"/>
      <c r="B7370" s="2" t="str">
        <f>IFERROR(__xludf.DUMMYFUNCTION("IF(A7370&lt;&gt;"""", GOOGLETRANSLATE(A7370, ""en"", ""te""),"""")"),"")</f>
        <v/>
      </c>
      <c r="C7370" s="2"/>
      <c r="D7370" s="2" t="str">
        <f>IFERROR(__xludf.DUMMYFUNCTION("IF(C7370&lt;&gt;"""", GOOGLETRANSLATE(C7370, ""en"", ""te""),"""")"),"")</f>
        <v/>
      </c>
      <c r="E7370" s="2"/>
      <c r="F7370" s="2" t="str">
        <f>IFERROR(__xludf.DUMMYFUNCTION("IF(E7370&lt;&gt;"""", GOOGLETRANSLATE(E7370, ""en"", ""te""),"""")"),"")</f>
        <v/>
      </c>
      <c r="G7370" s="2"/>
      <c r="H7370" s="2" t="str">
        <f>IFERROR(__xludf.DUMMYFUNCTION("IF(G7370&lt;&gt;"""", GOOGLETRANSLATE(G7370, ""en"", ""te""),"""")"),"")</f>
        <v/>
      </c>
      <c r="I7370" s="3"/>
    </row>
    <row r="7371" customHeight="1" spans="1:9">
      <c r="A7371" s="2"/>
      <c r="B7371" s="2" t="str">
        <f>IFERROR(__xludf.DUMMYFUNCTION("IF(A7371&lt;&gt;"""", GOOGLETRANSLATE(A7371, ""en"", ""te""),"""")"),"")</f>
        <v/>
      </c>
      <c r="C7371" s="2"/>
      <c r="D7371" s="2" t="str">
        <f>IFERROR(__xludf.DUMMYFUNCTION("IF(C7371&lt;&gt;"""", GOOGLETRANSLATE(C7371, ""en"", ""te""),"""")"),"")</f>
        <v/>
      </c>
      <c r="E7371" s="2"/>
      <c r="F7371" s="2" t="str">
        <f>IFERROR(__xludf.DUMMYFUNCTION("IF(E7371&lt;&gt;"""", GOOGLETRANSLATE(E7371, ""en"", ""te""),"""")"),"")</f>
        <v/>
      </c>
      <c r="G7371" s="2"/>
      <c r="H7371" s="2" t="str">
        <f>IFERROR(__xludf.DUMMYFUNCTION("IF(G7371&lt;&gt;"""", GOOGLETRANSLATE(G7371, ""en"", ""te""),"""")"),"")</f>
        <v/>
      </c>
      <c r="I7371" s="3"/>
    </row>
    <row r="7372" customHeight="1" spans="1:9">
      <c r="A7372" s="2"/>
      <c r="B7372" s="2" t="str">
        <f>IFERROR(__xludf.DUMMYFUNCTION("IF(A7372&lt;&gt;"""", GOOGLETRANSLATE(A7372, ""en"", ""te""),"""")"),"")</f>
        <v/>
      </c>
      <c r="C7372" s="2"/>
      <c r="D7372" s="2" t="str">
        <f>IFERROR(__xludf.DUMMYFUNCTION("IF(C7372&lt;&gt;"""", GOOGLETRANSLATE(C7372, ""en"", ""te""),"""")"),"")</f>
        <v/>
      </c>
      <c r="E7372" s="2"/>
      <c r="F7372" s="2" t="str">
        <f>IFERROR(__xludf.DUMMYFUNCTION("IF(E7372&lt;&gt;"""", GOOGLETRANSLATE(E7372, ""en"", ""te""),"""")"),"")</f>
        <v/>
      </c>
      <c r="G7372" s="2"/>
      <c r="H7372" s="2" t="str">
        <f>IFERROR(__xludf.DUMMYFUNCTION("IF(G7372&lt;&gt;"""", GOOGLETRANSLATE(G7372, ""en"", ""te""),"""")"),"")</f>
        <v/>
      </c>
      <c r="I7372" s="3"/>
    </row>
    <row r="7373" customHeight="1" spans="1:9">
      <c r="A7373" s="2"/>
      <c r="B7373" s="2" t="str">
        <f>IFERROR(__xludf.DUMMYFUNCTION("IF(A7373&lt;&gt;"""", GOOGLETRANSLATE(A7373, ""en"", ""te""),"""")"),"")</f>
        <v/>
      </c>
      <c r="C7373" s="2"/>
      <c r="D7373" s="2" t="str">
        <f>IFERROR(__xludf.DUMMYFUNCTION("IF(C7373&lt;&gt;"""", GOOGLETRANSLATE(C7373, ""en"", ""te""),"""")"),"")</f>
        <v/>
      </c>
      <c r="E7373" s="2"/>
      <c r="F7373" s="2" t="str">
        <f>IFERROR(__xludf.DUMMYFUNCTION("IF(E7373&lt;&gt;"""", GOOGLETRANSLATE(E7373, ""en"", ""te""),"""")"),"")</f>
        <v/>
      </c>
      <c r="G7373" s="2"/>
      <c r="H7373" s="2" t="str">
        <f>IFERROR(__xludf.DUMMYFUNCTION("IF(G7373&lt;&gt;"""", GOOGLETRANSLATE(G7373, ""en"", ""te""),"""")"),"")</f>
        <v/>
      </c>
      <c r="I7373" s="3"/>
    </row>
    <row r="7374" customHeight="1" spans="1:9">
      <c r="A7374" s="2"/>
      <c r="B7374" s="2" t="str">
        <f>IFERROR(__xludf.DUMMYFUNCTION("IF(A7374&lt;&gt;"""", GOOGLETRANSLATE(A7374, ""en"", ""te""),"""")"),"")</f>
        <v/>
      </c>
      <c r="C7374" s="2"/>
      <c r="D7374" s="2" t="str">
        <f>IFERROR(__xludf.DUMMYFUNCTION("IF(C7374&lt;&gt;"""", GOOGLETRANSLATE(C7374, ""en"", ""te""),"""")"),"")</f>
        <v/>
      </c>
      <c r="E7374" s="2"/>
      <c r="F7374" s="2" t="str">
        <f>IFERROR(__xludf.DUMMYFUNCTION("IF(E7374&lt;&gt;"""", GOOGLETRANSLATE(E7374, ""en"", ""te""),"""")"),"")</f>
        <v/>
      </c>
      <c r="G7374" s="2"/>
      <c r="H7374" s="2" t="str">
        <f>IFERROR(__xludf.DUMMYFUNCTION("IF(G7374&lt;&gt;"""", GOOGLETRANSLATE(G7374, ""en"", ""te""),"""")"),"")</f>
        <v/>
      </c>
      <c r="I7374" s="3"/>
    </row>
    <row r="7375" customHeight="1" spans="1:9">
      <c r="A7375" s="2"/>
      <c r="B7375" s="2" t="str">
        <f>IFERROR(__xludf.DUMMYFUNCTION("IF(A7375&lt;&gt;"""", GOOGLETRANSLATE(A7375, ""en"", ""te""),"""")"),"")</f>
        <v/>
      </c>
      <c r="C7375" s="2"/>
      <c r="D7375" s="2" t="str">
        <f>IFERROR(__xludf.DUMMYFUNCTION("IF(C7375&lt;&gt;"""", GOOGLETRANSLATE(C7375, ""en"", ""te""),"""")"),"")</f>
        <v/>
      </c>
      <c r="E7375" s="2"/>
      <c r="F7375" s="2" t="str">
        <f>IFERROR(__xludf.DUMMYFUNCTION("IF(E7375&lt;&gt;"""", GOOGLETRANSLATE(E7375, ""en"", ""te""),"""")"),"")</f>
        <v/>
      </c>
      <c r="G7375" s="2"/>
      <c r="H7375" s="2" t="str">
        <f>IFERROR(__xludf.DUMMYFUNCTION("IF(G7375&lt;&gt;"""", GOOGLETRANSLATE(G7375, ""en"", ""te""),"""")"),"")</f>
        <v/>
      </c>
      <c r="I7375" s="3"/>
    </row>
    <row r="7376" customHeight="1" spans="1:9">
      <c r="A7376" s="2"/>
      <c r="B7376" s="2" t="str">
        <f>IFERROR(__xludf.DUMMYFUNCTION("IF(A7376&lt;&gt;"""", GOOGLETRANSLATE(A7376, ""en"", ""te""),"""")"),"")</f>
        <v/>
      </c>
      <c r="C7376" s="2"/>
      <c r="D7376" s="2" t="str">
        <f>IFERROR(__xludf.DUMMYFUNCTION("IF(C7376&lt;&gt;"""", GOOGLETRANSLATE(C7376, ""en"", ""te""),"""")"),"")</f>
        <v/>
      </c>
      <c r="E7376" s="2"/>
      <c r="F7376" s="2" t="str">
        <f>IFERROR(__xludf.DUMMYFUNCTION("IF(E7376&lt;&gt;"""", GOOGLETRANSLATE(E7376, ""en"", ""te""),"""")"),"")</f>
        <v/>
      </c>
      <c r="G7376" s="2"/>
      <c r="H7376" s="2" t="str">
        <f>IFERROR(__xludf.DUMMYFUNCTION("IF(G7376&lt;&gt;"""", GOOGLETRANSLATE(G7376, ""en"", ""te""),"""")"),"")</f>
        <v/>
      </c>
      <c r="I7376" s="3"/>
    </row>
    <row r="7377" customHeight="1" spans="1:9">
      <c r="A7377" s="2"/>
      <c r="B7377" s="2" t="str">
        <f>IFERROR(__xludf.DUMMYFUNCTION("IF(A7377&lt;&gt;"""", GOOGLETRANSLATE(A7377, ""en"", ""te""),"""")"),"")</f>
        <v/>
      </c>
      <c r="C7377" s="2"/>
      <c r="D7377" s="2" t="str">
        <f>IFERROR(__xludf.DUMMYFUNCTION("IF(C7377&lt;&gt;"""", GOOGLETRANSLATE(C7377, ""en"", ""te""),"""")"),"")</f>
        <v/>
      </c>
      <c r="E7377" s="2"/>
      <c r="F7377" s="2" t="str">
        <f>IFERROR(__xludf.DUMMYFUNCTION("IF(E7377&lt;&gt;"""", GOOGLETRANSLATE(E7377, ""en"", ""te""),"""")"),"")</f>
        <v/>
      </c>
      <c r="G7377" s="2"/>
      <c r="H7377" s="2" t="str">
        <f>IFERROR(__xludf.DUMMYFUNCTION("IF(G7377&lt;&gt;"""", GOOGLETRANSLATE(G7377, ""en"", ""te""),"""")"),"")</f>
        <v/>
      </c>
      <c r="I7377" s="3"/>
    </row>
    <row r="7378" customHeight="1" spans="1:9">
      <c r="A7378" s="2"/>
      <c r="B7378" s="2" t="str">
        <f>IFERROR(__xludf.DUMMYFUNCTION("IF(A7378&lt;&gt;"""", GOOGLETRANSLATE(A7378, ""en"", ""te""),"""")"),"")</f>
        <v/>
      </c>
      <c r="C7378" s="2"/>
      <c r="D7378" s="2" t="str">
        <f>IFERROR(__xludf.DUMMYFUNCTION("IF(C7378&lt;&gt;"""", GOOGLETRANSLATE(C7378, ""en"", ""te""),"""")"),"")</f>
        <v/>
      </c>
      <c r="E7378" s="2"/>
      <c r="F7378" s="2" t="str">
        <f>IFERROR(__xludf.DUMMYFUNCTION("IF(E7378&lt;&gt;"""", GOOGLETRANSLATE(E7378, ""en"", ""te""),"""")"),"")</f>
        <v/>
      </c>
      <c r="G7378" s="2"/>
      <c r="H7378" s="2" t="str">
        <f>IFERROR(__xludf.DUMMYFUNCTION("IF(G7378&lt;&gt;"""", GOOGLETRANSLATE(G7378, ""en"", ""te""),"""")"),"")</f>
        <v/>
      </c>
      <c r="I7378" s="3"/>
    </row>
    <row r="7379" customHeight="1" spans="1:9">
      <c r="A7379" s="2"/>
      <c r="B7379" s="2" t="str">
        <f>IFERROR(__xludf.DUMMYFUNCTION("IF(A7379&lt;&gt;"""", GOOGLETRANSLATE(A7379, ""en"", ""te""),"""")"),"")</f>
        <v/>
      </c>
      <c r="C7379" s="2"/>
      <c r="D7379" s="2" t="str">
        <f>IFERROR(__xludf.DUMMYFUNCTION("IF(C7379&lt;&gt;"""", GOOGLETRANSLATE(C7379, ""en"", ""te""),"""")"),"")</f>
        <v/>
      </c>
      <c r="E7379" s="2"/>
      <c r="F7379" s="2" t="str">
        <f>IFERROR(__xludf.DUMMYFUNCTION("IF(E7379&lt;&gt;"""", GOOGLETRANSLATE(E7379, ""en"", ""te""),"""")"),"")</f>
        <v/>
      </c>
      <c r="G7379" s="2"/>
      <c r="H7379" s="2" t="str">
        <f>IFERROR(__xludf.DUMMYFUNCTION("IF(G7379&lt;&gt;"""", GOOGLETRANSLATE(G7379, ""en"", ""te""),"""")"),"")</f>
        <v/>
      </c>
      <c r="I7379" s="3"/>
    </row>
    <row r="7380" customHeight="1" spans="1:9">
      <c r="A7380" s="2"/>
      <c r="B7380" s="2" t="str">
        <f>IFERROR(__xludf.DUMMYFUNCTION("IF(A7380&lt;&gt;"""", GOOGLETRANSLATE(A7380, ""en"", ""te""),"""")"),"")</f>
        <v/>
      </c>
      <c r="C7380" s="2"/>
      <c r="D7380" s="2" t="str">
        <f>IFERROR(__xludf.DUMMYFUNCTION("IF(C7380&lt;&gt;"""", GOOGLETRANSLATE(C7380, ""en"", ""te""),"""")"),"")</f>
        <v/>
      </c>
      <c r="E7380" s="2"/>
      <c r="F7380" s="2" t="str">
        <f>IFERROR(__xludf.DUMMYFUNCTION("IF(E7380&lt;&gt;"""", GOOGLETRANSLATE(E7380, ""en"", ""te""),"""")"),"")</f>
        <v/>
      </c>
      <c r="G7380" s="2"/>
      <c r="H7380" s="2" t="str">
        <f>IFERROR(__xludf.DUMMYFUNCTION("IF(G7380&lt;&gt;"""", GOOGLETRANSLATE(G7380, ""en"", ""te""),"""")"),"")</f>
        <v/>
      </c>
      <c r="I7380" s="3"/>
    </row>
    <row r="7381" customHeight="1" spans="1:9">
      <c r="A7381" s="2"/>
      <c r="B7381" s="2" t="str">
        <f>IFERROR(__xludf.DUMMYFUNCTION("IF(A7381&lt;&gt;"""", GOOGLETRANSLATE(A7381, ""en"", ""te""),"""")"),"")</f>
        <v/>
      </c>
      <c r="C7381" s="2"/>
      <c r="D7381" s="2" t="str">
        <f>IFERROR(__xludf.DUMMYFUNCTION("IF(C7381&lt;&gt;"""", GOOGLETRANSLATE(C7381, ""en"", ""te""),"""")"),"")</f>
        <v/>
      </c>
      <c r="E7381" s="2"/>
      <c r="F7381" s="2" t="str">
        <f>IFERROR(__xludf.DUMMYFUNCTION("IF(E7381&lt;&gt;"""", GOOGLETRANSLATE(E7381, ""en"", ""te""),"""")"),"")</f>
        <v/>
      </c>
      <c r="G7381" s="2"/>
      <c r="H7381" s="2" t="str">
        <f>IFERROR(__xludf.DUMMYFUNCTION("IF(G7381&lt;&gt;"""", GOOGLETRANSLATE(G7381, ""en"", ""te""),"""")"),"")</f>
        <v/>
      </c>
      <c r="I7381" s="3"/>
    </row>
    <row r="7382" customHeight="1" spans="1:9">
      <c r="A7382" s="2"/>
      <c r="B7382" s="2" t="str">
        <f>IFERROR(__xludf.DUMMYFUNCTION("IF(A7382&lt;&gt;"""", GOOGLETRANSLATE(A7382, ""en"", ""te""),"""")"),"")</f>
        <v/>
      </c>
      <c r="C7382" s="2"/>
      <c r="D7382" s="2" t="str">
        <f>IFERROR(__xludf.DUMMYFUNCTION("IF(C7382&lt;&gt;"""", GOOGLETRANSLATE(C7382, ""en"", ""te""),"""")"),"")</f>
        <v/>
      </c>
      <c r="E7382" s="2"/>
      <c r="F7382" s="2" t="str">
        <f>IFERROR(__xludf.DUMMYFUNCTION("IF(E7382&lt;&gt;"""", GOOGLETRANSLATE(E7382, ""en"", ""te""),"""")"),"")</f>
        <v/>
      </c>
      <c r="G7382" s="2"/>
      <c r="H7382" s="2" t="str">
        <f>IFERROR(__xludf.DUMMYFUNCTION("IF(G7382&lt;&gt;"""", GOOGLETRANSLATE(G7382, ""en"", ""te""),"""")"),"")</f>
        <v/>
      </c>
      <c r="I7382" s="3"/>
    </row>
    <row r="7383" customHeight="1" spans="1:9">
      <c r="A7383" s="2" t="s">
        <v>4292</v>
      </c>
      <c r="B7383" s="2" t="str">
        <f>IFERROR(__xludf.DUMMYFUNCTION("IF(A7383&lt;&gt;"""", GOOGLETRANSLATE(A7383, ""en"", ""te""),"""")"),"[ 'ఇన్నింగ్స్ లో 8 వ అత్యధిక పరుగులు (బ్యాటింగ్ స్థానంలో ప్రకారం) (84 *)' '9 వ అత్యధిక తొమ్మిదవ వికెట్ (97 *) కొరకు చేసిన భాగస్వామ్యం',]")</f>
        <v>[ 'ఇన్నింగ్స్ లో 8 వ అత్యధిక పరుగులు (బ్యాటింగ్ స్థానంలో ప్రకారం) (84 *)' '9 వ అత్యధిక తొమ్మిదవ వికెట్ (97 *) కొరకు చేసిన భాగస్వామ్యం',]</v>
      </c>
      <c r="C7383" s="2"/>
      <c r="D7383" s="2" t="str">
        <f>IFERROR(__xludf.DUMMYFUNCTION("IF(C7383&lt;&gt;"""", GOOGLETRANSLATE(C7383, ""en"", ""te""),"""")"),"")</f>
        <v/>
      </c>
      <c r="E7383" s="2" t="s">
        <v>4293</v>
      </c>
      <c r="F7383" s="2" t="str">
        <f>IFERROR(__xludf.DUMMYFUNCTION("IF(E7383&lt;&gt;"""", GOOGLETRANSLATE(E7383, ""en"", ""te""),"""")"),"[ 'కెరీర్లో 14 వ లేవు బాతులు (25)', 'తొమ్మిదవ వికెట్కు 9 వ అత్యధిక భాగస్వామ్యం (97 *)']")</f>
        <v>[ 'కెరీర్లో 14 వ లేవు బాతులు (25)', 'తొమ్మిదవ వికెట్కు 9 వ అత్యధిక భాగస్వామ్యం (97 *)']</v>
      </c>
      <c r="G7383" s="2" t="s">
        <v>4294</v>
      </c>
      <c r="H7383" s="2" t="str">
        <f>IFERROR(__xludf.DUMMYFUNCTION("IF(G7383&lt;&gt;"""", GOOGLETRANSLATE(G7383, ""en"", ""te""),"""")"),"[ 'ఎనిమిదవ వికెట్కు 21 అత్యధిక భాగస్వామ్యం (41)' '8 వ అత్యంత ఇన్నింగ్స్ లో నడుస్తుంది (బ్యాటింగ్ స్థానం) (84 *)',]")</f>
        <v>[ 'ఎనిమిదవ వికెట్కు 21 అత్యధిక భాగస్వామ్యం (41)' '8 వ అత్యంత ఇన్నింగ్స్ లో నడుస్తుంది (బ్యాటింగ్ స్థానం) (84 *)',]</v>
      </c>
      <c r="I7383" s="3"/>
    </row>
    <row r="7384" customHeight="1" spans="1:9">
      <c r="A7384" s="2"/>
      <c r="B7384" s="2" t="str">
        <f>IFERROR(__xludf.DUMMYFUNCTION("IF(A7384&lt;&gt;"""", GOOGLETRANSLATE(A7384, ""en"", ""te""),"""")"),"")</f>
        <v/>
      </c>
      <c r="C7384" s="2"/>
      <c r="D7384" s="2" t="str">
        <f>IFERROR(__xludf.DUMMYFUNCTION("IF(C7384&lt;&gt;"""", GOOGLETRANSLATE(C7384, ""en"", ""te""),"""")"),"")</f>
        <v/>
      </c>
      <c r="E7384" s="2"/>
      <c r="F7384" s="2" t="str">
        <f>IFERROR(__xludf.DUMMYFUNCTION("IF(E7384&lt;&gt;"""", GOOGLETRANSLATE(E7384, ""en"", ""te""),"""")"),"")</f>
        <v/>
      </c>
      <c r="G7384" s="2"/>
      <c r="H7384" s="2" t="str">
        <f>IFERROR(__xludf.DUMMYFUNCTION("IF(G7384&lt;&gt;"""", GOOGLETRANSLATE(G7384, ""en"", ""te""),"""")"),"")</f>
        <v/>
      </c>
      <c r="I7384" s="3"/>
    </row>
    <row r="7385" customHeight="1" spans="1:9">
      <c r="A7385" s="2"/>
      <c r="B7385" s="2" t="str">
        <f>IFERROR(__xludf.DUMMYFUNCTION("IF(A7385&lt;&gt;"""", GOOGLETRANSLATE(A7385, ""en"", ""te""),"""")"),"")</f>
        <v/>
      </c>
      <c r="C7385" s="2"/>
      <c r="D7385" s="2" t="str">
        <f>IFERROR(__xludf.DUMMYFUNCTION("IF(C7385&lt;&gt;"""", GOOGLETRANSLATE(C7385, ""en"", ""te""),"""")"),"")</f>
        <v/>
      </c>
      <c r="E7385" s="2"/>
      <c r="F7385" s="2" t="str">
        <f>IFERROR(__xludf.DUMMYFUNCTION("IF(E7385&lt;&gt;"""", GOOGLETRANSLATE(E7385, ""en"", ""te""),"""")"),"")</f>
        <v/>
      </c>
      <c r="G7385" s="2"/>
      <c r="H7385" s="2" t="str">
        <f>IFERROR(__xludf.DUMMYFUNCTION("IF(G7385&lt;&gt;"""", GOOGLETRANSLATE(G7385, ""en"", ""te""),"""")"),"")</f>
        <v/>
      </c>
      <c r="I7385" s="3"/>
    </row>
    <row r="7386" customHeight="1" spans="1:9">
      <c r="A7386" s="2"/>
      <c r="B7386" s="2" t="str">
        <f>IFERROR(__xludf.DUMMYFUNCTION("IF(A7386&lt;&gt;"""", GOOGLETRANSLATE(A7386, ""en"", ""te""),"""")"),"")</f>
        <v/>
      </c>
      <c r="C7386" s="2"/>
      <c r="D7386" s="2" t="str">
        <f>IFERROR(__xludf.DUMMYFUNCTION("IF(C7386&lt;&gt;"""", GOOGLETRANSLATE(C7386, ""en"", ""te""),"""")"),"")</f>
        <v/>
      </c>
      <c r="E7386" s="2"/>
      <c r="F7386" s="2" t="str">
        <f>IFERROR(__xludf.DUMMYFUNCTION("IF(E7386&lt;&gt;"""", GOOGLETRANSLATE(E7386, ""en"", ""te""),"""")"),"")</f>
        <v/>
      </c>
      <c r="G7386" s="2"/>
      <c r="H7386" s="2" t="str">
        <f>IFERROR(__xludf.DUMMYFUNCTION("IF(G7386&lt;&gt;"""", GOOGLETRANSLATE(G7386, ""en"", ""te""),"""")"),"")</f>
        <v/>
      </c>
      <c r="I7386" s="3"/>
    </row>
    <row r="7387" customHeight="1" spans="1:9">
      <c r="A7387" s="2"/>
      <c r="B7387" s="2" t="str">
        <f>IFERROR(__xludf.DUMMYFUNCTION("IF(A7387&lt;&gt;"""", GOOGLETRANSLATE(A7387, ""en"", ""te""),"""")"),"")</f>
        <v/>
      </c>
      <c r="C7387" s="2"/>
      <c r="D7387" s="2" t="str">
        <f>IFERROR(__xludf.DUMMYFUNCTION("IF(C7387&lt;&gt;"""", GOOGLETRANSLATE(C7387, ""en"", ""te""),"""")"),"")</f>
        <v/>
      </c>
      <c r="E7387" s="2"/>
      <c r="F7387" s="2" t="str">
        <f>IFERROR(__xludf.DUMMYFUNCTION("IF(E7387&lt;&gt;"""", GOOGLETRANSLATE(E7387, ""en"", ""te""),"""")"),"")</f>
        <v/>
      </c>
      <c r="G7387" s="2"/>
      <c r="H7387" s="2" t="str">
        <f>IFERROR(__xludf.DUMMYFUNCTION("IF(G7387&lt;&gt;"""", GOOGLETRANSLATE(G7387, ""en"", ""te""),"""")"),"")</f>
        <v/>
      </c>
      <c r="I7387" s="3"/>
    </row>
    <row r="7388" customHeight="1" spans="1:9">
      <c r="A7388" s="2"/>
      <c r="B7388" s="2" t="str">
        <f>IFERROR(__xludf.DUMMYFUNCTION("IF(A7388&lt;&gt;"""", GOOGLETRANSLATE(A7388, ""en"", ""te""),"""")"),"")</f>
        <v/>
      </c>
      <c r="C7388" s="2"/>
      <c r="D7388" s="2" t="str">
        <f>IFERROR(__xludf.DUMMYFUNCTION("IF(C7388&lt;&gt;"""", GOOGLETRANSLATE(C7388, ""en"", ""te""),"""")"),"")</f>
        <v/>
      </c>
      <c r="E7388" s="2"/>
      <c r="F7388" s="2" t="str">
        <f>IFERROR(__xludf.DUMMYFUNCTION("IF(E7388&lt;&gt;"""", GOOGLETRANSLATE(E7388, ""en"", ""te""),"""")"),"")</f>
        <v/>
      </c>
      <c r="G7388" s="2"/>
      <c r="H7388" s="2" t="str">
        <f>IFERROR(__xludf.DUMMYFUNCTION("IF(G7388&lt;&gt;"""", GOOGLETRANSLATE(G7388, ""en"", ""te""),"""")"),"")</f>
        <v/>
      </c>
      <c r="I7388" s="3"/>
    </row>
    <row r="7389" customHeight="1" spans="1:9">
      <c r="A7389" s="2"/>
      <c r="B7389" s="2" t="str">
        <f>IFERROR(__xludf.DUMMYFUNCTION("IF(A7389&lt;&gt;"""", GOOGLETRANSLATE(A7389, ""en"", ""te""),"""")"),"")</f>
        <v/>
      </c>
      <c r="C7389" s="2"/>
      <c r="D7389" s="2" t="str">
        <f>IFERROR(__xludf.DUMMYFUNCTION("IF(C7389&lt;&gt;"""", GOOGLETRANSLATE(C7389, ""en"", ""te""),"""")"),"")</f>
        <v/>
      </c>
      <c r="E7389" s="2"/>
      <c r="F7389" s="2" t="str">
        <f>IFERROR(__xludf.DUMMYFUNCTION("IF(E7389&lt;&gt;"""", GOOGLETRANSLATE(E7389, ""en"", ""te""),"""")"),"")</f>
        <v/>
      </c>
      <c r="G7389" s="2"/>
      <c r="H7389" s="2" t="str">
        <f>IFERROR(__xludf.DUMMYFUNCTION("IF(G7389&lt;&gt;"""", GOOGLETRANSLATE(G7389, ""en"", ""te""),"""")"),"")</f>
        <v/>
      </c>
      <c r="I7389" s="3"/>
    </row>
    <row r="7390" customHeight="1" spans="1:9">
      <c r="A7390" s="2" t="s">
        <v>4295</v>
      </c>
      <c r="B7390" s="2" t="str">
        <f>IFERROR(__xludf.DUMMYFUNCTION("IF(A7390&lt;&gt;"""", GOOGLETRANSLATE(A7390, ""en"", ""te""),"""")"),"[ 'ఒక మ్యాచ్లో ప్రతి ఇన్నింగ్స్లో హండ్రెడ్', 'ఒక ఇన్నింగ్స్లో పరుగుల 6 వ అత్యధిక శాతం (63.41)']")</f>
        <v>[ 'ఒక మ్యాచ్లో ప్రతి ఇన్నింగ్స్లో హండ్రెడ్', 'ఒక ఇన్నింగ్స్లో పరుగుల 6 వ అత్యధిక శాతం (63.41)']</v>
      </c>
      <c r="C7390" s="2" t="s">
        <v>4296</v>
      </c>
      <c r="D7390" s="2" t="str">
        <f>IFERROR(__xludf.DUMMYFUNCTION("IF(C7390&lt;&gt;"""", GOOGLETRANSLATE(C7390, ""en"", ""te""),"""")"),"[ 'పరుగులు 6 వ అత్యధిక శాతం ఒక ఇన్నింగ్స్లో (63.41)' '16 వ పిన్న ఆటగాడు వంద (19y 187d) స్కోర్',]")</f>
        <v>[ 'పరుగులు 6 వ అత్యధిక శాతం ఒక ఇన్నింగ్స్లో (63.41)' '16 వ పిన్న ఆటగాడు వంద (19y 187d) స్కోర్',]</v>
      </c>
      <c r="E7390" s="2" t="s">
        <v>4297</v>
      </c>
      <c r="F7390" s="2" t="str">
        <f>IFERROR(__xludf.DUMMYFUNCTION("IF(E7390&lt;&gt;"""", GOOGLETRANSLATE(E7390, ""en"", ""te""),"""")"),"[ '20 వ చెత్త కెరీర్ బౌలింగ్ సరాసరి (52.07)', '34 వ చెత్త కెరీర్లో సమ్మె రేటు (60.9)']")</f>
        <v>[ '20 వ చెత్త కెరీర్ బౌలింగ్ సరాసరి (52.07)', '34 వ చెత్త కెరీర్లో సమ్మె రేటు (60.9)']</v>
      </c>
      <c r="G7390" s="2"/>
      <c r="H7390" s="2" t="str">
        <f>IFERROR(__xludf.DUMMYFUNCTION("IF(G7390&lt;&gt;"""", GOOGLETRANSLATE(G7390, ""en"", ""te""),"""")"),"")</f>
        <v/>
      </c>
      <c r="I7390" s="3"/>
    </row>
    <row r="7391" customHeight="1" spans="1:9">
      <c r="A7391" s="2"/>
      <c r="B7391" s="2" t="str">
        <f>IFERROR(__xludf.DUMMYFUNCTION("IF(A7391&lt;&gt;"""", GOOGLETRANSLATE(A7391, ""en"", ""te""),"""")"),"")</f>
        <v/>
      </c>
      <c r="C7391" s="2"/>
      <c r="D7391" s="2" t="str">
        <f>IFERROR(__xludf.DUMMYFUNCTION("IF(C7391&lt;&gt;"""", GOOGLETRANSLATE(C7391, ""en"", ""te""),"""")"),"")</f>
        <v/>
      </c>
      <c r="E7391" s="2" t="s">
        <v>4298</v>
      </c>
      <c r="F7391" s="2" t="str">
        <f>IFERROR(__xludf.DUMMYFUNCTION("IF(E7391&lt;&gt;"""", GOOGLETRANSLATE(E7391, ""en"", ""te""),"""")"),"[40 వ వరుస మ్యాచ్లు ఆడి మధ్య జట్టు (129) కోసం తప్పిన ']")</f>
        <v>[40 వ వరుస మ్యాచ్లు ఆడి మధ్య జట్టు (129) కోసం తప్పిన ']</v>
      </c>
      <c r="G7391" s="2"/>
      <c r="H7391" s="2" t="str">
        <f>IFERROR(__xludf.DUMMYFUNCTION("IF(G7391&lt;&gt;"""", GOOGLETRANSLATE(G7391, ""en"", ""te""),"""")"),"")</f>
        <v/>
      </c>
      <c r="I7391" s="3"/>
    </row>
    <row r="7392" customHeight="1" spans="1:9">
      <c r="A7392" s="2"/>
      <c r="B7392" s="2" t="str">
        <f>IFERROR(__xludf.DUMMYFUNCTION("IF(A7392&lt;&gt;"""", GOOGLETRANSLATE(A7392, ""en"", ""te""),"""")"),"")</f>
        <v/>
      </c>
      <c r="C7392" s="2"/>
      <c r="D7392" s="2" t="str">
        <f>IFERROR(__xludf.DUMMYFUNCTION("IF(C7392&lt;&gt;"""", GOOGLETRANSLATE(C7392, ""en"", ""te""),"""")"),"")</f>
        <v/>
      </c>
      <c r="E7392" s="2"/>
      <c r="F7392" s="2" t="str">
        <f>IFERROR(__xludf.DUMMYFUNCTION("IF(E7392&lt;&gt;"""", GOOGLETRANSLATE(E7392, ""en"", ""te""),"""")"),"")</f>
        <v/>
      </c>
      <c r="G7392" s="2"/>
      <c r="H7392" s="2" t="str">
        <f>IFERROR(__xludf.DUMMYFUNCTION("IF(G7392&lt;&gt;"""", GOOGLETRANSLATE(G7392, ""en"", ""te""),"""")"),"")</f>
        <v/>
      </c>
      <c r="I7392" s="3"/>
    </row>
    <row r="7393" customHeight="1" spans="1:9">
      <c r="A7393" s="2"/>
      <c r="B7393" s="2" t="str">
        <f>IFERROR(__xludf.DUMMYFUNCTION("IF(A7393&lt;&gt;"""", GOOGLETRANSLATE(A7393, ""en"", ""te""),"""")"),"")</f>
        <v/>
      </c>
      <c r="C7393" s="2"/>
      <c r="D7393" s="2" t="str">
        <f>IFERROR(__xludf.DUMMYFUNCTION("IF(C7393&lt;&gt;"""", GOOGLETRANSLATE(C7393, ""en"", ""te""),"""")"),"")</f>
        <v/>
      </c>
      <c r="E7393" s="2"/>
      <c r="F7393" s="2" t="str">
        <f>IFERROR(__xludf.DUMMYFUNCTION("IF(E7393&lt;&gt;"""", GOOGLETRANSLATE(E7393, ""en"", ""te""),"""")"),"")</f>
        <v/>
      </c>
      <c r="G7393" s="2"/>
      <c r="H7393" s="2" t="str">
        <f>IFERROR(__xludf.DUMMYFUNCTION("IF(G7393&lt;&gt;"""", GOOGLETRANSLATE(G7393, ""en"", ""te""),"""")"),"")</f>
        <v/>
      </c>
      <c r="I7393" s="3"/>
    </row>
    <row r="7394" customHeight="1" spans="1:9">
      <c r="A7394" s="2"/>
      <c r="B7394" s="2" t="str">
        <f>IFERROR(__xludf.DUMMYFUNCTION("IF(A7394&lt;&gt;"""", GOOGLETRANSLATE(A7394, ""en"", ""te""),"""")"),"")</f>
        <v/>
      </c>
      <c r="C7394" s="2"/>
      <c r="D7394" s="2" t="str">
        <f>IFERROR(__xludf.DUMMYFUNCTION("IF(C7394&lt;&gt;"""", GOOGLETRANSLATE(C7394, ""en"", ""te""),"""")"),"")</f>
        <v/>
      </c>
      <c r="E7394" s="2"/>
      <c r="F7394" s="2" t="str">
        <f>IFERROR(__xludf.DUMMYFUNCTION("IF(E7394&lt;&gt;"""", GOOGLETRANSLATE(E7394, ""en"", ""te""),"""")"),"")</f>
        <v/>
      </c>
      <c r="G7394" s="2"/>
      <c r="H7394" s="2" t="str">
        <f>IFERROR(__xludf.DUMMYFUNCTION("IF(G7394&lt;&gt;"""", GOOGLETRANSLATE(G7394, ""en"", ""te""),"""")"),"")</f>
        <v/>
      </c>
      <c r="I7394" s="3"/>
    </row>
    <row r="7395" customHeight="1" spans="1:9">
      <c r="A7395" s="2"/>
      <c r="B7395" s="2" t="str">
        <f>IFERROR(__xludf.DUMMYFUNCTION("IF(A7395&lt;&gt;"""", GOOGLETRANSLATE(A7395, ""en"", ""te""),"""")"),"")</f>
        <v/>
      </c>
      <c r="C7395" s="2"/>
      <c r="D7395" s="2" t="str">
        <f>IFERROR(__xludf.DUMMYFUNCTION("IF(C7395&lt;&gt;"""", GOOGLETRANSLATE(C7395, ""en"", ""te""),"""")"),"")</f>
        <v/>
      </c>
      <c r="E7395" s="2"/>
      <c r="F7395" s="2" t="str">
        <f>IFERROR(__xludf.DUMMYFUNCTION("IF(E7395&lt;&gt;"""", GOOGLETRANSLATE(E7395, ""en"", ""te""),"""")"),"")</f>
        <v/>
      </c>
      <c r="G7395" s="2"/>
      <c r="H7395" s="2" t="str">
        <f>IFERROR(__xludf.DUMMYFUNCTION("IF(G7395&lt;&gt;"""", GOOGLETRANSLATE(G7395, ""en"", ""te""),"""")"),"")</f>
        <v/>
      </c>
      <c r="I7395" s="3"/>
    </row>
    <row r="7396" customHeight="1" spans="1:9">
      <c r="A7396" s="2"/>
      <c r="B7396" s="2" t="str">
        <f>IFERROR(__xludf.DUMMYFUNCTION("IF(A7396&lt;&gt;"""", GOOGLETRANSLATE(A7396, ""en"", ""te""),"""")"),"")</f>
        <v/>
      </c>
      <c r="C7396" s="2"/>
      <c r="D7396" s="2" t="str">
        <f>IFERROR(__xludf.DUMMYFUNCTION("IF(C7396&lt;&gt;"""", GOOGLETRANSLATE(C7396, ""en"", ""te""),"""")"),"")</f>
        <v/>
      </c>
      <c r="E7396" s="2"/>
      <c r="F7396" s="2" t="str">
        <f>IFERROR(__xludf.DUMMYFUNCTION("IF(E7396&lt;&gt;"""", GOOGLETRANSLATE(E7396, ""en"", ""te""),"""")"),"")</f>
        <v/>
      </c>
      <c r="G7396" s="2"/>
      <c r="H7396" s="2" t="str">
        <f>IFERROR(__xludf.DUMMYFUNCTION("IF(G7396&lt;&gt;"""", GOOGLETRANSLATE(G7396, ""en"", ""te""),"""")"),"")</f>
        <v/>
      </c>
      <c r="I7396" s="3"/>
    </row>
    <row r="7397" customHeight="1" spans="1:9">
      <c r="A7397" s="2"/>
      <c r="B7397" s="2" t="str">
        <f>IFERROR(__xludf.DUMMYFUNCTION("IF(A7397&lt;&gt;"""", GOOGLETRANSLATE(A7397, ""en"", ""te""),"""")"),"")</f>
        <v/>
      </c>
      <c r="C7397" s="2"/>
      <c r="D7397" s="2" t="str">
        <f>IFERROR(__xludf.DUMMYFUNCTION("IF(C7397&lt;&gt;"""", GOOGLETRANSLATE(C7397, ""en"", ""te""),"""")"),"")</f>
        <v/>
      </c>
      <c r="E7397" s="2" t="s">
        <v>4299</v>
      </c>
      <c r="F7397" s="2" t="str">
        <f>IFERROR(__xludf.DUMMYFUNCTION("IF(E7397&lt;&gt;"""", GOOGLETRANSLATE(E7397, ""en"", ""te""),"""")"),"[ '21 వ కెరీర్ బాతులు (9)']")</f>
        <v>[ '21 వ కెరీర్ బాతులు (9)']</v>
      </c>
      <c r="G7397" s="2"/>
      <c r="H7397" s="2" t="str">
        <f>IFERROR(__xludf.DUMMYFUNCTION("IF(G7397&lt;&gt;"""", GOOGLETRANSLATE(G7397, ""en"", ""te""),"""")"),"")</f>
        <v/>
      </c>
      <c r="I7397" s="3"/>
    </row>
    <row r="7398" customHeight="1" spans="1:9">
      <c r="A7398" s="2"/>
      <c r="B7398" s="2" t="str">
        <f>IFERROR(__xludf.DUMMYFUNCTION("IF(A7398&lt;&gt;"""", GOOGLETRANSLATE(A7398, ""en"", ""te""),"""")"),"")</f>
        <v/>
      </c>
      <c r="C7398" s="2"/>
      <c r="D7398" s="2" t="str">
        <f>IFERROR(__xludf.DUMMYFUNCTION("IF(C7398&lt;&gt;"""", GOOGLETRANSLATE(C7398, ""en"", ""te""),"""")"),"")</f>
        <v/>
      </c>
      <c r="E7398" s="2"/>
      <c r="F7398" s="2" t="str">
        <f>IFERROR(__xludf.DUMMYFUNCTION("IF(E7398&lt;&gt;"""", GOOGLETRANSLATE(E7398, ""en"", ""te""),"""")"),"")</f>
        <v/>
      </c>
      <c r="G7398" s="2"/>
      <c r="H7398" s="2" t="str">
        <f>IFERROR(__xludf.DUMMYFUNCTION("IF(G7398&lt;&gt;"""", GOOGLETRANSLATE(G7398, ""en"", ""te""),"""")"),"")</f>
        <v/>
      </c>
      <c r="I7398" s="3"/>
    </row>
    <row r="7399" customHeight="1" spans="1:9">
      <c r="A7399" s="2"/>
      <c r="B7399" s="2" t="str">
        <f>IFERROR(__xludf.DUMMYFUNCTION("IF(A7399&lt;&gt;"""", GOOGLETRANSLATE(A7399, ""en"", ""te""),"""")"),"")</f>
        <v/>
      </c>
      <c r="C7399" s="2"/>
      <c r="D7399" s="2" t="str">
        <f>IFERROR(__xludf.DUMMYFUNCTION("IF(C7399&lt;&gt;"""", GOOGLETRANSLATE(C7399, ""en"", ""te""),"""")"),"")</f>
        <v/>
      </c>
      <c r="E7399" s="2"/>
      <c r="F7399" s="2" t="str">
        <f>IFERROR(__xludf.DUMMYFUNCTION("IF(E7399&lt;&gt;"""", GOOGLETRANSLATE(E7399, ""en"", ""te""),"""")"),"")</f>
        <v/>
      </c>
      <c r="G7399" s="2"/>
      <c r="H7399" s="2" t="str">
        <f>IFERROR(__xludf.DUMMYFUNCTION("IF(G7399&lt;&gt;"""", GOOGLETRANSLATE(G7399, ""en"", ""te""),"""")"),"")</f>
        <v/>
      </c>
      <c r="I7399" s="3"/>
    </row>
    <row r="7400" customHeight="1" spans="1:9">
      <c r="A7400" s="2"/>
      <c r="B7400" s="2" t="str">
        <f>IFERROR(__xludf.DUMMYFUNCTION("IF(A7400&lt;&gt;"""", GOOGLETRANSLATE(A7400, ""en"", ""te""),"""")"),"")</f>
        <v/>
      </c>
      <c r="C7400" s="2"/>
      <c r="D7400" s="2" t="str">
        <f>IFERROR(__xludf.DUMMYFUNCTION("IF(C7400&lt;&gt;"""", GOOGLETRANSLATE(C7400, ""en"", ""te""),"""")"),"")</f>
        <v/>
      </c>
      <c r="E7400" s="2"/>
      <c r="F7400" s="2" t="str">
        <f>IFERROR(__xludf.DUMMYFUNCTION("IF(E7400&lt;&gt;"""", GOOGLETRANSLATE(E7400, ""en"", ""te""),"""")"),"")</f>
        <v/>
      </c>
      <c r="G7400" s="2"/>
      <c r="H7400" s="2" t="str">
        <f>IFERROR(__xludf.DUMMYFUNCTION("IF(G7400&lt;&gt;"""", GOOGLETRANSLATE(G7400, ""en"", ""te""),"""")"),"")</f>
        <v/>
      </c>
      <c r="I7400" s="3"/>
    </row>
    <row r="7401" customHeight="1" spans="1:9">
      <c r="A7401" s="2"/>
      <c r="B7401" s="2" t="str">
        <f>IFERROR(__xludf.DUMMYFUNCTION("IF(A7401&lt;&gt;"""", GOOGLETRANSLATE(A7401, ""en"", ""te""),"""")"),"")</f>
        <v/>
      </c>
      <c r="C7401" s="2"/>
      <c r="D7401" s="2" t="str">
        <f>IFERROR(__xludf.DUMMYFUNCTION("IF(C7401&lt;&gt;"""", GOOGLETRANSLATE(C7401, ""en"", ""te""),"""")"),"")</f>
        <v/>
      </c>
      <c r="E7401" s="2"/>
      <c r="F7401" s="2" t="str">
        <f>IFERROR(__xludf.DUMMYFUNCTION("IF(E7401&lt;&gt;"""", GOOGLETRANSLATE(E7401, ""en"", ""te""),"""")"),"")</f>
        <v/>
      </c>
      <c r="G7401" s="2"/>
      <c r="H7401" s="2" t="str">
        <f>IFERROR(__xludf.DUMMYFUNCTION("IF(G7401&lt;&gt;"""", GOOGLETRANSLATE(G7401, ""en"", ""te""),"""")"),"")</f>
        <v/>
      </c>
      <c r="I7401" s="3"/>
    </row>
    <row r="7402" customHeight="1" spans="1:9">
      <c r="A7402" s="2"/>
      <c r="B7402" s="2" t="str">
        <f>IFERROR(__xludf.DUMMYFUNCTION("IF(A7402&lt;&gt;"""", GOOGLETRANSLATE(A7402, ""en"", ""te""),"""")"),"")</f>
        <v/>
      </c>
      <c r="C7402" s="2"/>
      <c r="D7402" s="2" t="str">
        <f>IFERROR(__xludf.DUMMYFUNCTION("IF(C7402&lt;&gt;"""", GOOGLETRANSLATE(C7402, ""en"", ""te""),"""")"),"")</f>
        <v/>
      </c>
      <c r="E7402" s="2"/>
      <c r="F7402" s="2" t="str">
        <f>IFERROR(__xludf.DUMMYFUNCTION("IF(E7402&lt;&gt;"""", GOOGLETRANSLATE(E7402, ""en"", ""te""),"""")"),"")</f>
        <v/>
      </c>
      <c r="G7402" s="2"/>
      <c r="H7402" s="2" t="str">
        <f>IFERROR(__xludf.DUMMYFUNCTION("IF(G7402&lt;&gt;"""", GOOGLETRANSLATE(G7402, ""en"", ""te""),"""")"),"")</f>
        <v/>
      </c>
      <c r="I7402" s="3"/>
    </row>
    <row r="7403" customHeight="1" spans="1:9">
      <c r="A7403" s="2"/>
      <c r="B7403" s="2" t="str">
        <f>IFERROR(__xludf.DUMMYFUNCTION("IF(A7403&lt;&gt;"""", GOOGLETRANSLATE(A7403, ""en"", ""te""),"""")"),"")</f>
        <v/>
      </c>
      <c r="C7403" s="2"/>
      <c r="D7403" s="2" t="str">
        <f>IFERROR(__xludf.DUMMYFUNCTION("IF(C7403&lt;&gt;"""", GOOGLETRANSLATE(C7403, ""en"", ""te""),"""")"),"")</f>
        <v/>
      </c>
      <c r="E7403" s="2"/>
      <c r="F7403" s="2" t="str">
        <f>IFERROR(__xludf.DUMMYFUNCTION("IF(E7403&lt;&gt;"""", GOOGLETRANSLATE(E7403, ""en"", ""te""),"""")"),"")</f>
        <v/>
      </c>
      <c r="G7403" s="2"/>
      <c r="H7403" s="2" t="str">
        <f>IFERROR(__xludf.DUMMYFUNCTION("IF(G7403&lt;&gt;"""", GOOGLETRANSLATE(G7403, ""en"", ""te""),"""")"),"")</f>
        <v/>
      </c>
      <c r="I7403" s="3"/>
    </row>
    <row r="7404" customHeight="1" spans="1:9">
      <c r="A7404" s="2"/>
      <c r="B7404" s="2" t="str">
        <f>IFERROR(__xludf.DUMMYFUNCTION("IF(A7404&lt;&gt;"""", GOOGLETRANSLATE(A7404, ""en"", ""te""),"""")"),"")</f>
        <v/>
      </c>
      <c r="C7404" s="2"/>
      <c r="D7404" s="2" t="str">
        <f>IFERROR(__xludf.DUMMYFUNCTION("IF(C7404&lt;&gt;"""", GOOGLETRANSLATE(C7404, ""en"", ""te""),"""")"),"")</f>
        <v/>
      </c>
      <c r="E7404" s="2"/>
      <c r="F7404" s="2" t="str">
        <f>IFERROR(__xludf.DUMMYFUNCTION("IF(E7404&lt;&gt;"""", GOOGLETRANSLATE(E7404, ""en"", ""te""),"""")"),"")</f>
        <v/>
      </c>
      <c r="G7404" s="2"/>
      <c r="H7404" s="2" t="str">
        <f>IFERROR(__xludf.DUMMYFUNCTION("IF(G7404&lt;&gt;"""", GOOGLETRANSLATE(G7404, ""en"", ""te""),"""")"),"")</f>
        <v/>
      </c>
      <c r="I7404" s="3"/>
    </row>
    <row r="7405" customHeight="1" spans="1:9">
      <c r="A7405" s="2"/>
      <c r="B7405" s="2" t="str">
        <f>IFERROR(__xludf.DUMMYFUNCTION("IF(A7405&lt;&gt;"""", GOOGLETRANSLATE(A7405, ""en"", ""te""),"""")"),"")</f>
        <v/>
      </c>
      <c r="C7405" s="2"/>
      <c r="D7405" s="2" t="str">
        <f>IFERROR(__xludf.DUMMYFUNCTION("IF(C7405&lt;&gt;"""", GOOGLETRANSLATE(C7405, ""en"", ""te""),"""")"),"")</f>
        <v/>
      </c>
      <c r="E7405" s="2"/>
      <c r="F7405" s="2" t="str">
        <f>IFERROR(__xludf.DUMMYFUNCTION("IF(E7405&lt;&gt;"""", GOOGLETRANSLATE(E7405, ""en"", ""te""),"""")"),"")</f>
        <v/>
      </c>
      <c r="G7405" s="2"/>
      <c r="H7405" s="2" t="str">
        <f>IFERROR(__xludf.DUMMYFUNCTION("IF(G7405&lt;&gt;"""", GOOGLETRANSLATE(G7405, ""en"", ""te""),"""")"),"")</f>
        <v/>
      </c>
      <c r="I7405" s="3"/>
    </row>
    <row r="7406" customHeight="1" spans="1:9">
      <c r="A7406" s="2"/>
      <c r="B7406" s="2" t="str">
        <f>IFERROR(__xludf.DUMMYFUNCTION("IF(A7406&lt;&gt;"""", GOOGLETRANSLATE(A7406, ""en"", ""te""),"""")"),"")</f>
        <v/>
      </c>
      <c r="C7406" s="2"/>
      <c r="D7406" s="2" t="str">
        <f>IFERROR(__xludf.DUMMYFUNCTION("IF(C7406&lt;&gt;"""", GOOGLETRANSLATE(C7406, ""en"", ""te""),"""")"),"")</f>
        <v/>
      </c>
      <c r="E7406" s="2"/>
      <c r="F7406" s="2" t="str">
        <f>IFERROR(__xludf.DUMMYFUNCTION("IF(E7406&lt;&gt;"""", GOOGLETRANSLATE(E7406, ""en"", ""te""),"""")"),"")</f>
        <v/>
      </c>
      <c r="G7406" s="2"/>
      <c r="H7406" s="2" t="str">
        <f>IFERROR(__xludf.DUMMYFUNCTION("IF(G7406&lt;&gt;"""", GOOGLETRANSLATE(G7406, ""en"", ""te""),"""")"),"")</f>
        <v/>
      </c>
      <c r="I7406" s="3"/>
    </row>
    <row r="7407" customHeight="1" spans="1:9">
      <c r="A7407" s="2"/>
      <c r="B7407" s="2" t="str">
        <f>IFERROR(__xludf.DUMMYFUNCTION("IF(A7407&lt;&gt;"""", GOOGLETRANSLATE(A7407, ""en"", ""te""),"""")"),"")</f>
        <v/>
      </c>
      <c r="C7407" s="2"/>
      <c r="D7407" s="2" t="str">
        <f>IFERROR(__xludf.DUMMYFUNCTION("IF(C7407&lt;&gt;"""", GOOGLETRANSLATE(C7407, ""en"", ""te""),"""")"),"")</f>
        <v/>
      </c>
      <c r="E7407" s="2"/>
      <c r="F7407" s="2" t="str">
        <f>IFERROR(__xludf.DUMMYFUNCTION("IF(E7407&lt;&gt;"""", GOOGLETRANSLATE(E7407, ""en"", ""te""),"""")"),"")</f>
        <v/>
      </c>
      <c r="G7407" s="2"/>
      <c r="H7407" s="2" t="str">
        <f>IFERROR(__xludf.DUMMYFUNCTION("IF(G7407&lt;&gt;"""", GOOGLETRANSLATE(G7407, ""en"", ""te""),"""")"),"")</f>
        <v/>
      </c>
      <c r="I7407" s="3"/>
    </row>
    <row r="7408" customHeight="1" spans="1:9">
      <c r="A7408" s="2" t="s">
        <v>1828</v>
      </c>
      <c r="B7408" s="2" t="str">
        <f>IFERROR(__xludf.DUMMYFUNCTION("IF(A7408&lt;&gt;"""", GOOGLETRANSLATE(A7408, ""en"", ""te""),"""")"),"[ 'ఇన్నింగ్స్ లో 4 వ అత్యధిక క్యాచ్లు (3)']")</f>
        <v>[ 'ఇన్నింగ్స్ లో 4 వ అత్యధిక క్యాచ్లు (3)']</v>
      </c>
      <c r="C7408" s="2"/>
      <c r="D7408" s="2" t="str">
        <f>IFERROR(__xludf.DUMMYFUNCTION("IF(C7408&lt;&gt;"""", GOOGLETRANSLATE(C7408, ""en"", ""te""),"""")"),"")</f>
        <v/>
      </c>
      <c r="E7408" s="2" t="s">
        <v>1828</v>
      </c>
      <c r="F7408" s="2" t="str">
        <f>IFERROR(__xludf.DUMMYFUNCTION("IF(E7408&lt;&gt;"""", GOOGLETRANSLATE(E7408, ""en"", ""te""),"""")"),"[ 'ఇన్నింగ్స్ లో 4 వ అత్యధిక క్యాచ్లు (3)']")</f>
        <v>[ 'ఇన్నింగ్స్ లో 4 వ అత్యధిక క్యాచ్లు (3)']</v>
      </c>
      <c r="G7408" s="2"/>
      <c r="H7408" s="2" t="str">
        <f>IFERROR(__xludf.DUMMYFUNCTION("IF(G7408&lt;&gt;"""", GOOGLETRANSLATE(G7408, ""en"", ""te""),"""")"),"")</f>
        <v/>
      </c>
      <c r="I7408" s="3"/>
    </row>
    <row r="7409" customHeight="1" spans="1:9">
      <c r="A7409" s="2"/>
      <c r="B7409" s="2" t="str">
        <f>IFERROR(__xludf.DUMMYFUNCTION("IF(A7409&lt;&gt;"""", GOOGLETRANSLATE(A7409, ""en"", ""te""),"""")"),"")</f>
        <v/>
      </c>
      <c r="C7409" s="2"/>
      <c r="D7409" s="2" t="str">
        <f>IFERROR(__xludf.DUMMYFUNCTION("IF(C7409&lt;&gt;"""", GOOGLETRANSLATE(C7409, ""en"", ""te""),"""")"),"")</f>
        <v/>
      </c>
      <c r="E7409" s="2"/>
      <c r="F7409" s="2" t="str">
        <f>IFERROR(__xludf.DUMMYFUNCTION("IF(E7409&lt;&gt;"""", GOOGLETRANSLATE(E7409, ""en"", ""te""),"""")"),"")</f>
        <v/>
      </c>
      <c r="G7409" s="2"/>
      <c r="H7409" s="2" t="str">
        <f>IFERROR(__xludf.DUMMYFUNCTION("IF(G7409&lt;&gt;"""", GOOGLETRANSLATE(G7409, ""en"", ""te""),"""")"),"")</f>
        <v/>
      </c>
      <c r="I7409" s="3"/>
    </row>
    <row r="7410" customHeight="1" spans="1:9">
      <c r="A7410" s="2" t="s">
        <v>4300</v>
      </c>
      <c r="B7410" s="2" t="str">
        <f>IFERROR(__xludf.DUMMYFUNCTION("IF(A7410&lt;&gt;"""", GOOGLETRANSLATE(A7410, ""en"", ""te""),"""")"),"[ '8 వ అత్యంత లేకుండా వంద (1699) ఒక వృత్తిలో పరుగులు' 'ఒక కెప్టెన్తో ఒక మ్యాచ్లో 1st బెస్ట్ ఫిగర్స్ (13)', '3 వ అత్యంత పది వికెట్లు లో ఒక మ్యాచ్ ఒక వృత్తిలో (9)' , '7 వ అత్యంత ఇన్నింగ్స్ (240) లో ఇవ్వబడిన పరుగులలో' '3 వ అత్యంత స్టంప్ తీసుకోబడిన వికెట్ల (3"&amp;"5)', '5 వ 400 వికెట్లు (84) వేగంగా', '1000 పరుగులు మరియు 100 వికెట్లు', '1 వ అత్యుత్తమ బౌలింగ్ విశ్లేషణలలో ఇన్నింగ్స్ (5/3) ',' 1 వ ఇన్నింగ్స్ (2) ',' మోస్ట్ ఐదు వికెట్ల లో-ఒక-ఇన్నింగ్స్ 6 వ ఒక వృత్తిలో (35) ',' 6 వ అత్యధిక వికెట్లు స్టంప్ తీసుకున్న అత్యం"&amp;"త పనికత్తెలయొద్ద (49) ']")</f>
        <v>[ '8 వ అత్యంత లేకుండా వంద (1699) ఒక వృత్తిలో పరుగులు' 'ఒక కెప్టెన్తో ఒక మ్యాచ్లో 1st బెస్ట్ ఫిగర్స్ (13)', '3 వ అత్యంత పది వికెట్లు లో ఒక మ్యాచ్ ఒక వృత్తిలో (9)' , '7 వ అత్యంత ఇన్నింగ్స్ (240) లో ఇవ్వబడిన పరుగులలో' '3 వ అత్యంత స్టంప్ తీసుకోబడిన వికెట్ల (35)', '5 వ 400 వికెట్లు (84) వేగంగా', '1000 పరుగులు మరియు 100 వికెట్లు', '1 వ అత్యుత్తమ బౌలింగ్ విశ్లేషణలలో ఇన్నింగ్స్ (5/3) ',' 1 వ ఇన్నింగ్స్ (2) ',' మోస్ట్ ఐదు వికెట్ల లో-ఒక-ఇన్నింగ్స్ 6 వ ఒక వృత్తిలో (35) ',' 6 వ అత్యధిక వికెట్లు స్టంప్ తీసుకున్న అత్యంత పనికత్తెలయొద్ద (49) ']</v>
      </c>
      <c r="C7410" s="2" t="s">
        <v>4301</v>
      </c>
      <c r="D7410" s="2" t="str">
        <f>IFERROR(__xludf.DUMMYFUNCTION("IF(C7410&lt;&gt;"""", GOOGLETRANSLATE(C7410, ""en"", ""te""),"""")"),"[ '14 వ కెరీర్ బాతులు (23)' '8 వ అత్యంత వంద (1699) లేకుండా ఒక వృత్తిలో నడుస్తుంది', '10 వ కెరీర్ లో అత్యధిక వికెట్లు (433)', '18 వ ఇన్నింగ్స్ లో బెస్ట్ ఫిగర్స్ (9/127) ',' 13 వ మ్యాచ్ లో బెస్ట్ ఫిగర్స్ (14) ',' 44th ఒక క్యాలెండర్ సంవత్సరంలో అత్యధిక వికెట్"&amp;"లు (60) ',' ఒక కెప్టెన్తో ఒక ఇన్నింగ్స్ లో (102) ',' 2 వ బెస్ట్ ఫిగర్స్ ఒకే క్రీడా 5 వ అత్యధిక వికెట్లు (8) ',' ఒక కెప్టెన్తో ఒక మ్యాచ్లో 1st బెస్ట్ ఫిగర్స్ (13) ',' ఇన్నింగ్స్ లో 30 వ చెత్త సమ్మె రేటు (360.0) ',' 5 వ అత్యంత ఐదు-వికెట్ల లో-ఒక-ఇన్నింగ్స్ క"&amp;"ెరీర్లో (34 ) ',' 3 వ అత్యంత పది వికెట్లు లో ఒక మ్యాచ్ ఒక వృత్తిలో (9) ',' 18 వ వరుస ఐదు వికెట్ల లో-ఒక-ఇన్నింగ్స్ (3) ',' అయిదు వికెట్లు తీసుకోవాలని 12 వ అత్యంత వృద్ధ ఆటగాడు -ఇన్-ఒక-ఇన్నింగ్స్ (40y 123d) ',' 5 వ అత్యంత వృద్ధ ఆటగాడు పది వికెట్లు లో ఒక మ్యా"&amp;"చ్ తీసుకోవాలని (39y 193d) ',' 12 వ కెరీర్ లో బౌల్డ్ చాలా బంతుల్లో (25993) ',' 12 వ అత్యధిక పరుగులు సాధించిన కెరీర్లో (12157) ',' 7 వ అత్యధిక పరుగులు ఇన్నింగ్స్ (240) ',' 19 వ అత్యధిక వికెట్లు తీసుకున్న బౌల్డ్ (82) ',' 28th అత్యధిక వికెట్లు తీసుకున్న ఆకర్ష"&amp;"ించింది (208) ',' 17 వ అత్యధిక వికెట్లు ఒక పట్టుకుంటే తీసిన సాధించిన ఫీల్డర్ (166 ) ',' 8 వ అత్యధిక వికెట్లు తీసుకున్న ఎల్బిడబ్ల్యు (108) ',' 3 వ అత్యంత స్టంప్ (35) ',' 27 వ వేగంగా 200 వికెట్లు (47) ',' 15 వ వేగంగా 250 వికెట్లు (57) ',' 14 వ వేగంగా తీసుకు"&amp;"న్న వికెట్ల 300 వికెట్లు (69) ',' 7th 350 వికెట్లు వేగంగా (75) ',' 5 వ 400 వికెట్లు (84) ',' 15 వ అత్యంత ప్లేయర్ ఆఫ్ ది మ్యాచ్ అవార్డులు (11) ',' 12 వ అత్యంత ఆటగాడు వేగంగా -of-సిరీస్ అవార్డులు (5) ',' 26th లాంగెస్ట్ కెరీర్లు (19y 48d) ',' 30 వ ఓల్డెస్ట్ క"&amp;"ాప్టెన్ (39y 132d) ',' కెప్టెన్సీ తొలి 15 నాడు ఓల్డెస్ట్ కాప్టెన్ (38y 224d) ']")</f>
        <v>[ '14 వ కెరీర్ బాతులు (23)' '8 వ అత్యంత వంద (1699) లేకుండా ఒక వృత్తిలో నడుస్తుంది', '10 వ కెరీర్ లో అత్యధిక వికెట్లు (433)', '18 వ ఇన్నింగ్స్ లో బెస్ట్ ఫిగర్స్ (9/127) ',' 13 వ మ్యాచ్ లో బెస్ట్ ఫిగర్స్ (14) ',' 44th ఒక క్యాలెండర్ సంవత్సరంలో అత్యధిక వికెట్లు (60) ',' ఒక కెప్టెన్తో ఒక ఇన్నింగ్స్ లో (102) ',' 2 వ బెస్ట్ ఫిగర్స్ ఒకే క్రీడా 5 వ అత్యధిక వికెట్లు (8) ',' ఒక కెప్టెన్తో ఒక మ్యాచ్లో 1st బెస్ట్ ఫిగర్స్ (13) ',' ఇన్నింగ్స్ లో 30 వ చెత్త సమ్మె రేటు (360.0) ',' 5 వ అత్యంత ఐదు-వికెట్ల లో-ఒక-ఇన్నింగ్స్ కెరీర్లో (34 ) ',' 3 వ అత్యంత పది వికెట్లు లో ఒక మ్యాచ్ ఒక వృత్తిలో (9) ',' 18 వ వరుస ఐదు వికెట్ల లో-ఒక-ఇన్నింగ్స్ (3) ',' అయిదు వికెట్లు తీసుకోవాలని 12 వ అత్యంత వృద్ధ ఆటగాడు -ఇన్-ఒక-ఇన్నింగ్స్ (40y 123d) ',' 5 వ అత్యంత వృద్ధ ఆటగాడు పది వికెట్లు లో ఒక మ్యాచ్ తీసుకోవాలని (39y 193d) ',' 12 వ కెరీర్ లో బౌల్డ్ చాలా బంతుల్లో (25993) ',' 12 వ అత్యధిక పరుగులు సాధించిన కెరీర్లో (12157) ',' 7 వ అత్యధిక పరుగులు ఇన్నింగ్స్ (240) ',' 19 వ అత్యధిక వికెట్లు తీసుకున్న బౌల్డ్ (82) ',' 28th అత్యధిక వికెట్లు తీసుకున్న ఆకర్షించింది (208) ',' 17 వ అత్యధిక వికెట్లు ఒక పట్టుకుంటే తీసిన సాధించిన ఫీల్డర్ (166 ) ',' 8 వ అత్యధిక వికెట్లు తీసుకున్న ఎల్బిడబ్ల్యు (108) ',' 3 వ అత్యంత స్టంప్ (35) ',' 27 వ వేగంగా 200 వికెట్లు (47) ',' 15 వ వేగంగా 250 వికెట్లు (57) ',' 14 వ వేగంగా తీసుకున్న వికెట్ల 300 వికెట్లు (69) ',' 7th 350 వికెట్లు వేగంగా (75) ',' 5 వ 400 వికెట్లు (84) ',' 15 వ అత్యంత ప్లేయర్ ఆఫ్ ది మ్యాచ్ అవార్డులు (11) ',' 12 వ అత్యంత ఆటగాడు వేగంగా -of-సిరీస్ అవార్డులు (5) ',' 26th లాంగెస్ట్ కెరీర్లు (19y 48d) ',' 30 వ ఓల్డెస్ట్ కాప్టెన్ (39y 132d) ',' కెప్టెన్సీ తొలి 15 నాడు ఓల్డెస్ట్ కాప్టెన్ (38y 224d) ']</v>
      </c>
      <c r="E7410" s="2" t="s">
        <v>4302</v>
      </c>
      <c r="F7410" s="2" t="str">
        <f>IFERROR(__xludf.DUMMYFUNCTION("IF(E7410&lt;&gt;"""", GOOGLETRANSLATE(E7410, ""en"", ""te""),"""")"),"[40 వ అత్యధిక వికెట్లు తీసుకున్న స్టంప్ (10) ',' 22 వ వరుస మ్యాచ్లు ఆడి మధ్య జట్టు (154) కోసం తప్పిన ']")</f>
        <v>[40 వ అత్యధిక వికెట్లు తీసుకున్న స్టంప్ (10) ',' 22 వ వరుస మ్యాచ్లు ఆడి మధ్య జట్టు (154) కోసం తప్పిన ']</v>
      </c>
      <c r="G7410" s="2" t="s">
        <v>4303</v>
      </c>
      <c r="H7410" s="2" t="str">
        <f>IFERROR(__xludf.DUMMYFUNCTION("IF(G7410&lt;&gt;"""", GOOGLETRANSLATE(G7410, ""en"", ""te""),"""")"),"[ 'ఇన్నింగ్స్ లో 6 వ ఉత్తమ బొమ్మలు (5/3)', '1 వ అత్యుత్తమ బౌలింగ్ ఇన్నింగ్స్ లో విశ్లేషించడం (5/3)', 'ఇన్నింగ్స్ లో 24 వ ఉత్తమ సమ్మె రేటు (4.2)', '19 వ కెరీర్ పనికత్తెలయొద్ద ( 3) ',' 1 వ ఇన్నింగ్స్ లో వచ్చిన ఎక్కువ పనికత్తెలయొద్ద (2) ']")</f>
        <v>[ 'ఇన్నింగ్స్ లో 6 వ ఉత్తమ బొమ్మలు (5/3)', '1 వ అత్యుత్తమ బౌలింగ్ ఇన్నింగ్స్ లో విశ్లేషించడం (5/3)', 'ఇన్నింగ్స్ లో 24 వ ఉత్తమ సమ్మె రేటు (4.2)', '19 వ కెరీర్ పనికత్తెలయొద్ద ( 3) ',' 1 వ ఇన్నింగ్స్ లో వచ్చిన ఎక్కువ పనికత్తెలయొద్ద (2) ']</v>
      </c>
      <c r="I7410" s="3"/>
    </row>
    <row r="7411" customHeight="1" spans="1:9">
      <c r="A7411" s="2"/>
      <c r="B7411" s="2" t="str">
        <f>IFERROR(__xludf.DUMMYFUNCTION("IF(A7411&lt;&gt;"""", GOOGLETRANSLATE(A7411, ""en"", ""te""),"""")"),"")</f>
        <v/>
      </c>
      <c r="C7411" s="2"/>
      <c r="D7411" s="2" t="str">
        <f>IFERROR(__xludf.DUMMYFUNCTION("IF(C7411&lt;&gt;"""", GOOGLETRANSLATE(C7411, ""en"", ""te""),"""")"),"")</f>
        <v/>
      </c>
      <c r="E7411" s="2"/>
      <c r="F7411" s="2" t="str">
        <f>IFERROR(__xludf.DUMMYFUNCTION("IF(E7411&lt;&gt;"""", GOOGLETRANSLATE(E7411, ""en"", ""te""),"""")"),"")</f>
        <v/>
      </c>
      <c r="G7411" s="2"/>
      <c r="H7411" s="2" t="str">
        <f>IFERROR(__xludf.DUMMYFUNCTION("IF(G7411&lt;&gt;"""", GOOGLETRANSLATE(G7411, ""en"", ""te""),"""")"),"")</f>
        <v/>
      </c>
      <c r="I7411" s="3"/>
    </row>
    <row r="7412" customHeight="1" spans="1:9">
      <c r="A7412" s="2"/>
      <c r="B7412" s="2" t="str">
        <f>IFERROR(__xludf.DUMMYFUNCTION("IF(A7412&lt;&gt;"""", GOOGLETRANSLATE(A7412, ""en"", ""te""),"""")"),"")</f>
        <v/>
      </c>
      <c r="C7412" s="2"/>
      <c r="D7412" s="2" t="str">
        <f>IFERROR(__xludf.DUMMYFUNCTION("IF(C7412&lt;&gt;"""", GOOGLETRANSLATE(C7412, ""en"", ""te""),"""")"),"")</f>
        <v/>
      </c>
      <c r="E7412" s="2"/>
      <c r="F7412" s="2" t="str">
        <f>IFERROR(__xludf.DUMMYFUNCTION("IF(E7412&lt;&gt;"""", GOOGLETRANSLATE(E7412, ""en"", ""te""),"""")"),"")</f>
        <v/>
      </c>
      <c r="G7412" s="2"/>
      <c r="H7412" s="2" t="str">
        <f>IFERROR(__xludf.DUMMYFUNCTION("IF(G7412&lt;&gt;"""", GOOGLETRANSLATE(G7412, ""en"", ""te""),"""")"),"")</f>
        <v/>
      </c>
      <c r="I7412" s="3"/>
    </row>
    <row r="7413" customHeight="1" spans="1:9">
      <c r="A7413" s="2"/>
      <c r="B7413" s="2" t="str">
        <f>IFERROR(__xludf.DUMMYFUNCTION("IF(A7413&lt;&gt;"""", GOOGLETRANSLATE(A7413, ""en"", ""te""),"""")"),"")</f>
        <v/>
      </c>
      <c r="C7413" s="2"/>
      <c r="D7413" s="2" t="str">
        <f>IFERROR(__xludf.DUMMYFUNCTION("IF(C7413&lt;&gt;"""", GOOGLETRANSLATE(C7413, ""en"", ""te""),"""")"),"")</f>
        <v/>
      </c>
      <c r="E7413" s="2"/>
      <c r="F7413" s="2" t="str">
        <f>IFERROR(__xludf.DUMMYFUNCTION("IF(E7413&lt;&gt;"""", GOOGLETRANSLATE(E7413, ""en"", ""te""),"""")"),"")</f>
        <v/>
      </c>
      <c r="G7413" s="2"/>
      <c r="H7413" s="2" t="str">
        <f>IFERROR(__xludf.DUMMYFUNCTION("IF(G7413&lt;&gt;"""", GOOGLETRANSLATE(G7413, ""en"", ""te""),"""")"),"")</f>
        <v/>
      </c>
      <c r="I7413" s="3"/>
    </row>
    <row r="7414" customHeight="1" spans="1:9">
      <c r="A7414" s="2"/>
      <c r="B7414" s="2" t="str">
        <f>IFERROR(__xludf.DUMMYFUNCTION("IF(A7414&lt;&gt;"""", GOOGLETRANSLATE(A7414, ""en"", ""te""),"""")"),"")</f>
        <v/>
      </c>
      <c r="C7414" s="2"/>
      <c r="D7414" s="2" t="str">
        <f>IFERROR(__xludf.DUMMYFUNCTION("IF(C7414&lt;&gt;"""", GOOGLETRANSLATE(C7414, ""en"", ""te""),"""")"),"")</f>
        <v/>
      </c>
      <c r="E7414" s="2"/>
      <c r="F7414" s="2" t="str">
        <f>IFERROR(__xludf.DUMMYFUNCTION("IF(E7414&lt;&gt;"""", GOOGLETRANSLATE(E7414, ""en"", ""te""),"""")"),"")</f>
        <v/>
      </c>
      <c r="G7414" s="2"/>
      <c r="H7414" s="2" t="str">
        <f>IFERROR(__xludf.DUMMYFUNCTION("IF(G7414&lt;&gt;"""", GOOGLETRANSLATE(G7414, ""en"", ""te""),"""")"),"")</f>
        <v/>
      </c>
      <c r="I7414" s="3"/>
    </row>
    <row r="7415" customHeight="1" spans="1:9">
      <c r="A7415" s="2"/>
      <c r="B7415" s="2" t="str">
        <f>IFERROR(__xludf.DUMMYFUNCTION("IF(A7415&lt;&gt;"""", GOOGLETRANSLATE(A7415, ""en"", ""te""),"""")"),"")</f>
        <v/>
      </c>
      <c r="C7415" s="2"/>
      <c r="D7415" s="2" t="str">
        <f>IFERROR(__xludf.DUMMYFUNCTION("IF(C7415&lt;&gt;"""", GOOGLETRANSLATE(C7415, ""en"", ""te""),"""")"),"")</f>
        <v/>
      </c>
      <c r="E7415" s="2"/>
      <c r="F7415" s="2" t="str">
        <f>IFERROR(__xludf.DUMMYFUNCTION("IF(E7415&lt;&gt;"""", GOOGLETRANSLATE(E7415, ""en"", ""te""),"""")"),"")</f>
        <v/>
      </c>
      <c r="G7415" s="2"/>
      <c r="H7415" s="2" t="str">
        <f>IFERROR(__xludf.DUMMYFUNCTION("IF(G7415&lt;&gt;"""", GOOGLETRANSLATE(G7415, ""en"", ""te""),"""")"),"")</f>
        <v/>
      </c>
      <c r="I7415" s="3"/>
    </row>
    <row r="7416" customHeight="1" spans="1:9">
      <c r="A7416" s="2"/>
      <c r="B7416" s="2" t="str">
        <f>IFERROR(__xludf.DUMMYFUNCTION("IF(A7416&lt;&gt;"""", GOOGLETRANSLATE(A7416, ""en"", ""te""),"""")"),"")</f>
        <v/>
      </c>
      <c r="C7416" s="2"/>
      <c r="D7416" s="2" t="str">
        <f>IFERROR(__xludf.DUMMYFUNCTION("IF(C7416&lt;&gt;"""", GOOGLETRANSLATE(C7416, ""en"", ""te""),"""")"),"")</f>
        <v/>
      </c>
      <c r="E7416" s="2"/>
      <c r="F7416" s="2" t="str">
        <f>IFERROR(__xludf.DUMMYFUNCTION("IF(E7416&lt;&gt;"""", GOOGLETRANSLATE(E7416, ""en"", ""te""),"""")"),"")</f>
        <v/>
      </c>
      <c r="G7416" s="2"/>
      <c r="H7416" s="2" t="str">
        <f>IFERROR(__xludf.DUMMYFUNCTION("IF(G7416&lt;&gt;"""", GOOGLETRANSLATE(G7416, ""en"", ""te""),"""")"),"")</f>
        <v/>
      </c>
      <c r="I7416" s="3"/>
    </row>
    <row r="7417" customHeight="1" spans="1:9">
      <c r="A7417" s="2"/>
      <c r="B7417" s="2" t="str">
        <f>IFERROR(__xludf.DUMMYFUNCTION("IF(A7417&lt;&gt;"""", GOOGLETRANSLATE(A7417, ""en"", ""te""),"""")"),"")</f>
        <v/>
      </c>
      <c r="C7417" s="2"/>
      <c r="D7417" s="2" t="str">
        <f>IFERROR(__xludf.DUMMYFUNCTION("IF(C7417&lt;&gt;"""", GOOGLETRANSLATE(C7417, ""en"", ""te""),"""")"),"")</f>
        <v/>
      </c>
      <c r="E7417" s="2"/>
      <c r="F7417" s="2" t="str">
        <f>IFERROR(__xludf.DUMMYFUNCTION("IF(E7417&lt;&gt;"""", GOOGLETRANSLATE(E7417, ""en"", ""te""),"""")"),"")</f>
        <v/>
      </c>
      <c r="G7417" s="2"/>
      <c r="H7417" s="2" t="str">
        <f>IFERROR(__xludf.DUMMYFUNCTION("IF(G7417&lt;&gt;"""", GOOGLETRANSLATE(G7417, ""en"", ""te""),"""")"),"")</f>
        <v/>
      </c>
      <c r="I7417" s="3"/>
    </row>
    <row r="7418" customHeight="1" spans="1:9">
      <c r="A7418" s="2" t="s">
        <v>352</v>
      </c>
      <c r="B7418" s="2" t="str">
        <f>IFERROR(__xludf.DUMMYFUNCTION("IF(A7418&lt;&gt;"""", GOOGLETRANSLATE(A7418, ""en"", ""te""),"""")"),"[ 'బ్యాటింగ్ ప్రారంభించుటకు మరియు అదే మ్యాచ్ లో బౌలింగ్']")</f>
        <v>[ 'బ్యాటింగ్ ప్రారంభించుటకు మరియు అదే మ్యాచ్ లో బౌలింగ్']</v>
      </c>
      <c r="C7418" s="2" t="s">
        <v>4304</v>
      </c>
      <c r="D7418" s="2" t="str">
        <f>IFERROR(__xludf.DUMMYFUNCTION("IF(C7418&lt;&gt;"""", GOOGLETRANSLATE(C7418, ""en"", ""te""),"""")"),"[ 'లేకుండా కెరీర్లో 26 అత్యధిక పరుగులు వంద (1274)']")</f>
        <v>[ 'లేకుండా కెరీర్లో 26 అత్యధిక పరుగులు వంద (1274)']</v>
      </c>
      <c r="E7418" s="2"/>
      <c r="F7418" s="2" t="str">
        <f>IFERROR(__xludf.DUMMYFUNCTION("IF(E7418&lt;&gt;"""", GOOGLETRANSLATE(E7418, ""en"", ""te""),"""")"),"")</f>
        <v/>
      </c>
      <c r="G7418" s="2"/>
      <c r="H7418" s="2" t="str">
        <f>IFERROR(__xludf.DUMMYFUNCTION("IF(G7418&lt;&gt;"""", GOOGLETRANSLATE(G7418, ""en"", ""te""),"""")"),"")</f>
        <v/>
      </c>
      <c r="I7418" s="3"/>
    </row>
    <row r="7419" customHeight="1" spans="1:9">
      <c r="A7419" s="2"/>
      <c r="B7419" s="2" t="str">
        <f>IFERROR(__xludf.DUMMYFUNCTION("IF(A7419&lt;&gt;"""", GOOGLETRANSLATE(A7419, ""en"", ""te""),"""")"),"")</f>
        <v/>
      </c>
      <c r="C7419" s="2"/>
      <c r="D7419" s="2" t="str">
        <f>IFERROR(__xludf.DUMMYFUNCTION("IF(C7419&lt;&gt;"""", GOOGLETRANSLATE(C7419, ""en"", ""te""),"""")"),"")</f>
        <v/>
      </c>
      <c r="E7419" s="2"/>
      <c r="F7419" s="2" t="str">
        <f>IFERROR(__xludf.DUMMYFUNCTION("IF(E7419&lt;&gt;"""", GOOGLETRANSLATE(E7419, ""en"", ""te""),"""")"),"")</f>
        <v/>
      </c>
      <c r="G7419" s="2"/>
      <c r="H7419" s="2" t="str">
        <f>IFERROR(__xludf.DUMMYFUNCTION("IF(G7419&lt;&gt;"""", GOOGLETRANSLATE(G7419, ""en"", ""te""),"""")"),"")</f>
        <v/>
      </c>
      <c r="I7419" s="3"/>
    </row>
    <row r="7420" customHeight="1" spans="1:9">
      <c r="A7420" s="2"/>
      <c r="B7420" s="2" t="str">
        <f>IFERROR(__xludf.DUMMYFUNCTION("IF(A7420&lt;&gt;"""", GOOGLETRANSLATE(A7420, ""en"", ""te""),"""")"),"")</f>
        <v/>
      </c>
      <c r="C7420" s="2"/>
      <c r="D7420" s="2" t="str">
        <f>IFERROR(__xludf.DUMMYFUNCTION("IF(C7420&lt;&gt;"""", GOOGLETRANSLATE(C7420, ""en"", ""te""),"""")"),"")</f>
        <v/>
      </c>
      <c r="E7420" s="2"/>
      <c r="F7420" s="2" t="str">
        <f>IFERROR(__xludf.DUMMYFUNCTION("IF(E7420&lt;&gt;"""", GOOGLETRANSLATE(E7420, ""en"", ""te""),"""")"),"")</f>
        <v/>
      </c>
      <c r="G7420" s="2"/>
      <c r="H7420" s="2" t="str">
        <f>IFERROR(__xludf.DUMMYFUNCTION("IF(G7420&lt;&gt;"""", GOOGLETRANSLATE(G7420, ""en"", ""te""),"""")"),"")</f>
        <v/>
      </c>
      <c r="I7420" s="3"/>
    </row>
    <row r="7421" customHeight="1" spans="1:9">
      <c r="A7421" s="2"/>
      <c r="B7421" s="2" t="str">
        <f>IFERROR(__xludf.DUMMYFUNCTION("IF(A7421&lt;&gt;"""", GOOGLETRANSLATE(A7421, ""en"", ""te""),"""")"),"")</f>
        <v/>
      </c>
      <c r="C7421" s="2"/>
      <c r="D7421" s="2" t="str">
        <f>IFERROR(__xludf.DUMMYFUNCTION("IF(C7421&lt;&gt;"""", GOOGLETRANSLATE(C7421, ""en"", ""te""),"""")"),"")</f>
        <v/>
      </c>
      <c r="E7421" s="2"/>
      <c r="F7421" s="2" t="str">
        <f>IFERROR(__xludf.DUMMYFUNCTION("IF(E7421&lt;&gt;"""", GOOGLETRANSLATE(E7421, ""en"", ""te""),"""")"),"")</f>
        <v/>
      </c>
      <c r="G7421" s="2"/>
      <c r="H7421" s="2" t="str">
        <f>IFERROR(__xludf.DUMMYFUNCTION("IF(G7421&lt;&gt;"""", GOOGLETRANSLATE(G7421, ""en"", ""te""),"""")"),"")</f>
        <v/>
      </c>
      <c r="I7421" s="3"/>
    </row>
    <row r="7422" customHeight="1" spans="1:9">
      <c r="A7422" s="2"/>
      <c r="B7422" s="2" t="str">
        <f>IFERROR(__xludf.DUMMYFUNCTION("IF(A7422&lt;&gt;"""", GOOGLETRANSLATE(A7422, ""en"", ""te""),"""")"),"")</f>
        <v/>
      </c>
      <c r="C7422" s="2"/>
      <c r="D7422" s="2" t="str">
        <f>IFERROR(__xludf.DUMMYFUNCTION("IF(C7422&lt;&gt;"""", GOOGLETRANSLATE(C7422, ""en"", ""te""),"""")"),"")</f>
        <v/>
      </c>
      <c r="E7422" s="2"/>
      <c r="F7422" s="2" t="str">
        <f>IFERROR(__xludf.DUMMYFUNCTION("IF(E7422&lt;&gt;"""", GOOGLETRANSLATE(E7422, ""en"", ""te""),"""")"),"")</f>
        <v/>
      </c>
      <c r="G7422" s="2"/>
      <c r="H7422" s="2" t="str">
        <f>IFERROR(__xludf.DUMMYFUNCTION("IF(G7422&lt;&gt;"""", GOOGLETRANSLATE(G7422, ""en"", ""te""),"""")"),"")</f>
        <v/>
      </c>
      <c r="I7422" s="3"/>
    </row>
    <row r="7423" customHeight="1" spans="1:9">
      <c r="A7423" s="2" t="s">
        <v>352</v>
      </c>
      <c r="B7423" s="2" t="str">
        <f>IFERROR(__xludf.DUMMYFUNCTION("IF(A7423&lt;&gt;"""", GOOGLETRANSLATE(A7423, ""en"", ""te""),"""")"),"[ 'బ్యాటింగ్ ప్రారంభించుటకు మరియు అదే మ్యాచ్ లో బౌలింగ్']")</f>
        <v>[ 'బ్యాటింగ్ ప్రారంభించుటకు మరియు అదే మ్యాచ్ లో బౌలింగ్']</v>
      </c>
      <c r="C7423" s="2"/>
      <c r="D7423" s="2" t="str">
        <f>IFERROR(__xludf.DUMMYFUNCTION("IF(C7423&lt;&gt;"""", GOOGLETRANSLATE(C7423, ""en"", ""te""),"""")"),"")</f>
        <v/>
      </c>
      <c r="E7423" s="2"/>
      <c r="F7423" s="2" t="str">
        <f>IFERROR(__xludf.DUMMYFUNCTION("IF(E7423&lt;&gt;"""", GOOGLETRANSLATE(E7423, ""en"", ""te""),"""")"),"")</f>
        <v/>
      </c>
      <c r="G7423" s="2"/>
      <c r="H7423" s="2" t="str">
        <f>IFERROR(__xludf.DUMMYFUNCTION("IF(G7423&lt;&gt;"""", GOOGLETRANSLATE(G7423, ""en"", ""te""),"""")"),"")</f>
        <v/>
      </c>
      <c r="I7423" s="3"/>
    </row>
    <row r="7424" customHeight="1" spans="1:9">
      <c r="A7424" s="2"/>
      <c r="B7424" s="2" t="str">
        <f>IFERROR(__xludf.DUMMYFUNCTION("IF(A7424&lt;&gt;"""", GOOGLETRANSLATE(A7424, ""en"", ""te""),"""")"),"")</f>
        <v/>
      </c>
      <c r="C7424" s="2"/>
      <c r="D7424" s="2" t="str">
        <f>IFERROR(__xludf.DUMMYFUNCTION("IF(C7424&lt;&gt;"""", GOOGLETRANSLATE(C7424, ""en"", ""te""),"""")"),"")</f>
        <v/>
      </c>
      <c r="E7424" s="2"/>
      <c r="F7424" s="2" t="str">
        <f>IFERROR(__xludf.DUMMYFUNCTION("IF(E7424&lt;&gt;"""", GOOGLETRANSLATE(E7424, ""en"", ""te""),"""")"),"")</f>
        <v/>
      </c>
      <c r="G7424" s="2"/>
      <c r="H7424" s="2" t="str">
        <f>IFERROR(__xludf.DUMMYFUNCTION("IF(G7424&lt;&gt;"""", GOOGLETRANSLATE(G7424, ""en"", ""te""),"""")"),"")</f>
        <v/>
      </c>
      <c r="I7424" s="3"/>
    </row>
    <row r="7425" customHeight="1" spans="1:9">
      <c r="A7425" s="2"/>
      <c r="B7425" s="2" t="str">
        <f>IFERROR(__xludf.DUMMYFUNCTION("IF(A7425&lt;&gt;"""", GOOGLETRANSLATE(A7425, ""en"", ""te""),"""")"),"")</f>
        <v/>
      </c>
      <c r="C7425" s="2"/>
      <c r="D7425" s="2" t="str">
        <f>IFERROR(__xludf.DUMMYFUNCTION("IF(C7425&lt;&gt;"""", GOOGLETRANSLATE(C7425, ""en"", ""te""),"""")"),"")</f>
        <v/>
      </c>
      <c r="E7425" s="2"/>
      <c r="F7425" s="2" t="str">
        <f>IFERROR(__xludf.DUMMYFUNCTION("IF(E7425&lt;&gt;"""", GOOGLETRANSLATE(E7425, ""en"", ""te""),"""")"),"")</f>
        <v/>
      </c>
      <c r="G7425" s="2"/>
      <c r="H7425" s="2" t="str">
        <f>IFERROR(__xludf.DUMMYFUNCTION("IF(G7425&lt;&gt;"""", GOOGLETRANSLATE(G7425, ""en"", ""te""),"""")"),"")</f>
        <v/>
      </c>
      <c r="I7425" s="3"/>
    </row>
    <row r="7426" customHeight="1" spans="1:9">
      <c r="A7426" s="2"/>
      <c r="B7426" s="2" t="str">
        <f>IFERROR(__xludf.DUMMYFUNCTION("IF(A7426&lt;&gt;"""", GOOGLETRANSLATE(A7426, ""en"", ""te""),"""")"),"")</f>
        <v/>
      </c>
      <c r="C7426" s="2"/>
      <c r="D7426" s="2" t="str">
        <f>IFERROR(__xludf.DUMMYFUNCTION("IF(C7426&lt;&gt;"""", GOOGLETRANSLATE(C7426, ""en"", ""te""),"""")"),"")</f>
        <v/>
      </c>
      <c r="E7426" s="2"/>
      <c r="F7426" s="2" t="str">
        <f>IFERROR(__xludf.DUMMYFUNCTION("IF(E7426&lt;&gt;"""", GOOGLETRANSLATE(E7426, ""en"", ""te""),"""")"),"")</f>
        <v/>
      </c>
      <c r="G7426" s="2"/>
      <c r="H7426" s="2" t="str">
        <f>IFERROR(__xludf.DUMMYFUNCTION("IF(G7426&lt;&gt;"""", GOOGLETRANSLATE(G7426, ""en"", ""te""),"""")"),"")</f>
        <v/>
      </c>
      <c r="I7426" s="3"/>
    </row>
    <row r="7427" customHeight="1" spans="1:9">
      <c r="A7427" s="2"/>
      <c r="B7427" s="2" t="str">
        <f>IFERROR(__xludf.DUMMYFUNCTION("IF(A7427&lt;&gt;"""", GOOGLETRANSLATE(A7427, ""en"", ""te""),"""")"),"")</f>
        <v/>
      </c>
      <c r="C7427" s="2"/>
      <c r="D7427" s="2" t="str">
        <f>IFERROR(__xludf.DUMMYFUNCTION("IF(C7427&lt;&gt;"""", GOOGLETRANSLATE(C7427, ""en"", ""te""),"""")"),"")</f>
        <v/>
      </c>
      <c r="E7427" s="2"/>
      <c r="F7427" s="2" t="str">
        <f>IFERROR(__xludf.DUMMYFUNCTION("IF(E7427&lt;&gt;"""", GOOGLETRANSLATE(E7427, ""en"", ""te""),"""")"),"")</f>
        <v/>
      </c>
      <c r="G7427" s="2"/>
      <c r="H7427" s="2" t="str">
        <f>IFERROR(__xludf.DUMMYFUNCTION("IF(G7427&lt;&gt;"""", GOOGLETRANSLATE(G7427, ""en"", ""te""),"""")"),"")</f>
        <v/>
      </c>
      <c r="I7427" s="3"/>
    </row>
    <row r="7428" customHeight="1" spans="1:9">
      <c r="A7428" s="2"/>
      <c r="B7428" s="2" t="str">
        <f>IFERROR(__xludf.DUMMYFUNCTION("IF(A7428&lt;&gt;"""", GOOGLETRANSLATE(A7428, ""en"", ""te""),"""")"),"")</f>
        <v/>
      </c>
      <c r="C7428" s="2"/>
      <c r="D7428" s="2" t="str">
        <f>IFERROR(__xludf.DUMMYFUNCTION("IF(C7428&lt;&gt;"""", GOOGLETRANSLATE(C7428, ""en"", ""te""),"""")"),"")</f>
        <v/>
      </c>
      <c r="E7428" s="2"/>
      <c r="F7428" s="2" t="str">
        <f>IFERROR(__xludf.DUMMYFUNCTION("IF(E7428&lt;&gt;"""", GOOGLETRANSLATE(E7428, ""en"", ""te""),"""")"),"")</f>
        <v/>
      </c>
      <c r="G7428" s="2"/>
      <c r="H7428" s="2" t="str">
        <f>IFERROR(__xludf.DUMMYFUNCTION("IF(G7428&lt;&gt;"""", GOOGLETRANSLATE(G7428, ""en"", ""te""),"""")"),"")</f>
        <v/>
      </c>
      <c r="I7428" s="3"/>
    </row>
    <row r="7429" customHeight="1" spans="1:9">
      <c r="A7429" s="2"/>
      <c r="B7429" s="2" t="str">
        <f>IFERROR(__xludf.DUMMYFUNCTION("IF(A7429&lt;&gt;"""", GOOGLETRANSLATE(A7429, ""en"", ""te""),"""")"),"")</f>
        <v/>
      </c>
      <c r="C7429" s="2"/>
      <c r="D7429" s="2" t="str">
        <f>IFERROR(__xludf.DUMMYFUNCTION("IF(C7429&lt;&gt;"""", GOOGLETRANSLATE(C7429, ""en"", ""te""),"""")"),"")</f>
        <v/>
      </c>
      <c r="E7429" s="2"/>
      <c r="F7429" s="2" t="str">
        <f>IFERROR(__xludf.DUMMYFUNCTION("IF(E7429&lt;&gt;"""", GOOGLETRANSLATE(E7429, ""en"", ""te""),"""")"),"")</f>
        <v/>
      </c>
      <c r="G7429" s="2"/>
      <c r="H7429" s="2" t="str">
        <f>IFERROR(__xludf.DUMMYFUNCTION("IF(G7429&lt;&gt;"""", GOOGLETRANSLATE(G7429, ""en"", ""te""),"""")"),"")</f>
        <v/>
      </c>
      <c r="I7429" s="3"/>
    </row>
    <row r="7430" customHeight="1" spans="1:9">
      <c r="A7430" s="2"/>
      <c r="B7430" s="2" t="str">
        <f>IFERROR(__xludf.DUMMYFUNCTION("IF(A7430&lt;&gt;"""", GOOGLETRANSLATE(A7430, ""en"", ""te""),"""")"),"")</f>
        <v/>
      </c>
      <c r="C7430" s="2"/>
      <c r="D7430" s="2" t="str">
        <f>IFERROR(__xludf.DUMMYFUNCTION("IF(C7430&lt;&gt;"""", GOOGLETRANSLATE(C7430, ""en"", ""te""),"""")"),"")</f>
        <v/>
      </c>
      <c r="E7430" s="2"/>
      <c r="F7430" s="2" t="str">
        <f>IFERROR(__xludf.DUMMYFUNCTION("IF(E7430&lt;&gt;"""", GOOGLETRANSLATE(E7430, ""en"", ""te""),"""")"),"")</f>
        <v/>
      </c>
      <c r="G7430" s="2"/>
      <c r="H7430" s="2" t="str">
        <f>IFERROR(__xludf.DUMMYFUNCTION("IF(G7430&lt;&gt;"""", GOOGLETRANSLATE(G7430, ""en"", ""te""),"""")"),"")</f>
        <v/>
      </c>
      <c r="I7430" s="3"/>
    </row>
    <row r="7431" customHeight="1" spans="1:9">
      <c r="A7431" s="2"/>
      <c r="B7431" s="2" t="str">
        <f>IFERROR(__xludf.DUMMYFUNCTION("IF(A7431&lt;&gt;"""", GOOGLETRANSLATE(A7431, ""en"", ""te""),"""")"),"")</f>
        <v/>
      </c>
      <c r="C7431" s="2"/>
      <c r="D7431" s="2" t="str">
        <f>IFERROR(__xludf.DUMMYFUNCTION("IF(C7431&lt;&gt;"""", GOOGLETRANSLATE(C7431, ""en"", ""te""),"""")"),"")</f>
        <v/>
      </c>
      <c r="E7431" s="2"/>
      <c r="F7431" s="2" t="str">
        <f>IFERROR(__xludf.DUMMYFUNCTION("IF(E7431&lt;&gt;"""", GOOGLETRANSLATE(E7431, ""en"", ""te""),"""")"),"")</f>
        <v/>
      </c>
      <c r="G7431" s="2"/>
      <c r="H7431" s="2" t="str">
        <f>IFERROR(__xludf.DUMMYFUNCTION("IF(G7431&lt;&gt;"""", GOOGLETRANSLATE(G7431, ""en"", ""te""),"""")"),"")</f>
        <v/>
      </c>
      <c r="I7431" s="3"/>
    </row>
    <row r="7432" customHeight="1" spans="1:9">
      <c r="A7432" s="2"/>
      <c r="B7432" s="2" t="str">
        <f>IFERROR(__xludf.DUMMYFUNCTION("IF(A7432&lt;&gt;"""", GOOGLETRANSLATE(A7432, ""en"", ""te""),"""")"),"")</f>
        <v/>
      </c>
      <c r="C7432" s="2"/>
      <c r="D7432" s="2" t="str">
        <f>IFERROR(__xludf.DUMMYFUNCTION("IF(C7432&lt;&gt;"""", GOOGLETRANSLATE(C7432, ""en"", ""te""),"""")"),"")</f>
        <v/>
      </c>
      <c r="E7432" s="2"/>
      <c r="F7432" s="2" t="str">
        <f>IFERROR(__xludf.DUMMYFUNCTION("IF(E7432&lt;&gt;"""", GOOGLETRANSLATE(E7432, ""en"", ""te""),"""")"),"")</f>
        <v/>
      </c>
      <c r="G7432" s="2"/>
      <c r="H7432" s="2" t="str">
        <f>IFERROR(__xludf.DUMMYFUNCTION("IF(G7432&lt;&gt;"""", GOOGLETRANSLATE(G7432, ""en"", ""te""),"""")"),"")</f>
        <v/>
      </c>
      <c r="I7432" s="3"/>
    </row>
    <row r="7433" customHeight="1" spans="1:9">
      <c r="A7433" s="2"/>
      <c r="B7433" s="2" t="str">
        <f>IFERROR(__xludf.DUMMYFUNCTION("IF(A7433&lt;&gt;"""", GOOGLETRANSLATE(A7433, ""en"", ""te""),"""")"),"")</f>
        <v/>
      </c>
      <c r="C7433" s="2"/>
      <c r="D7433" s="2" t="str">
        <f>IFERROR(__xludf.DUMMYFUNCTION("IF(C7433&lt;&gt;"""", GOOGLETRANSLATE(C7433, ""en"", ""te""),"""")"),"")</f>
        <v/>
      </c>
      <c r="E7433" s="2"/>
      <c r="F7433" s="2" t="str">
        <f>IFERROR(__xludf.DUMMYFUNCTION("IF(E7433&lt;&gt;"""", GOOGLETRANSLATE(E7433, ""en"", ""te""),"""")"),"")</f>
        <v/>
      </c>
      <c r="G7433" s="2"/>
      <c r="H7433" s="2" t="str">
        <f>IFERROR(__xludf.DUMMYFUNCTION("IF(G7433&lt;&gt;"""", GOOGLETRANSLATE(G7433, ""en"", ""te""),"""")"),"")</f>
        <v/>
      </c>
      <c r="I7433" s="3"/>
    </row>
    <row r="7434" customHeight="1" spans="1:9">
      <c r="A7434" s="2"/>
      <c r="B7434" s="2" t="str">
        <f>IFERROR(__xludf.DUMMYFUNCTION("IF(A7434&lt;&gt;"""", GOOGLETRANSLATE(A7434, ""en"", ""te""),"""")"),"")</f>
        <v/>
      </c>
      <c r="C7434" s="2"/>
      <c r="D7434" s="2" t="str">
        <f>IFERROR(__xludf.DUMMYFUNCTION("IF(C7434&lt;&gt;"""", GOOGLETRANSLATE(C7434, ""en"", ""te""),"""")"),"")</f>
        <v/>
      </c>
      <c r="E7434" s="2"/>
      <c r="F7434" s="2" t="str">
        <f>IFERROR(__xludf.DUMMYFUNCTION("IF(E7434&lt;&gt;"""", GOOGLETRANSLATE(E7434, ""en"", ""te""),"""")"),"")</f>
        <v/>
      </c>
      <c r="G7434" s="2"/>
      <c r="H7434" s="2" t="str">
        <f>IFERROR(__xludf.DUMMYFUNCTION("IF(G7434&lt;&gt;"""", GOOGLETRANSLATE(G7434, ""en"", ""te""),"""")"),"")</f>
        <v/>
      </c>
      <c r="I7434" s="3"/>
    </row>
    <row r="7435" customHeight="1" spans="1:9">
      <c r="A7435" s="2"/>
      <c r="B7435" s="2" t="str">
        <f>IFERROR(__xludf.DUMMYFUNCTION("IF(A7435&lt;&gt;"""", GOOGLETRANSLATE(A7435, ""en"", ""te""),"""")"),"")</f>
        <v/>
      </c>
      <c r="C7435" s="2"/>
      <c r="D7435" s="2" t="str">
        <f>IFERROR(__xludf.DUMMYFUNCTION("IF(C7435&lt;&gt;"""", GOOGLETRANSLATE(C7435, ""en"", ""te""),"""")"),"")</f>
        <v/>
      </c>
      <c r="E7435" s="2"/>
      <c r="F7435" s="2" t="str">
        <f>IFERROR(__xludf.DUMMYFUNCTION("IF(E7435&lt;&gt;"""", GOOGLETRANSLATE(E7435, ""en"", ""te""),"""")"),"")</f>
        <v/>
      </c>
      <c r="G7435" s="2"/>
      <c r="H7435" s="2" t="str">
        <f>IFERROR(__xludf.DUMMYFUNCTION("IF(G7435&lt;&gt;"""", GOOGLETRANSLATE(G7435, ""en"", ""te""),"""")"),"")</f>
        <v/>
      </c>
      <c r="I7435" s="3"/>
    </row>
    <row r="7436" customHeight="1" spans="1:9">
      <c r="A7436" s="2"/>
      <c r="B7436" s="2" t="str">
        <f>IFERROR(__xludf.DUMMYFUNCTION("IF(A7436&lt;&gt;"""", GOOGLETRANSLATE(A7436, ""en"", ""te""),"""")"),"")</f>
        <v/>
      </c>
      <c r="C7436" s="2"/>
      <c r="D7436" s="2" t="str">
        <f>IFERROR(__xludf.DUMMYFUNCTION("IF(C7436&lt;&gt;"""", GOOGLETRANSLATE(C7436, ""en"", ""te""),"""")"),"")</f>
        <v/>
      </c>
      <c r="E7436" s="2"/>
      <c r="F7436" s="2" t="str">
        <f>IFERROR(__xludf.DUMMYFUNCTION("IF(E7436&lt;&gt;"""", GOOGLETRANSLATE(E7436, ""en"", ""te""),"""")"),"")</f>
        <v/>
      </c>
      <c r="G7436" s="2"/>
      <c r="H7436" s="2" t="str">
        <f>IFERROR(__xludf.DUMMYFUNCTION("IF(G7436&lt;&gt;"""", GOOGLETRANSLATE(G7436, ""en"", ""te""),"""")"),"")</f>
        <v/>
      </c>
      <c r="I7436" s="3"/>
    </row>
    <row r="7437" customHeight="1" spans="1:9">
      <c r="A7437" s="2" t="s">
        <v>851</v>
      </c>
      <c r="B7437" s="2" t="str">
        <f>IFERROR(__xludf.DUMMYFUNCTION("IF(A7437&lt;&gt;"""", GOOGLETRANSLATE(A7437, ""en"", ""te""),"""")"),"[ 'తొలి మ్యాచ్లో 5 వ ఉత్తమ బొమ్మలు (11)']")</f>
        <v>[ 'తొలి మ్యాచ్లో 5 వ ఉత్తమ బొమ్మలు (11)']</v>
      </c>
      <c r="C7437" s="2" t="s">
        <v>4305</v>
      </c>
      <c r="D7437" s="2" t="str">
        <f>IFERROR(__xludf.DUMMYFUNCTION("IF(C7437&lt;&gt;"""", GOOGLETRANSLATE(C7437, ""en"", ""te""),"""")"),"[ '22 వ అరంగేట్రంలోనే ఇన్నింగ్స్ లోని బెస్ట్ ఫిగర్స్ (6)', '5 వ అరంగేట్రంలోనే మ్యాచ్లో ఉత్తమ బొమ్మలు (11)', 'పది వికెట్ల లో ఒక మ్యాచ్ పడుతుంది 29 పిన్న ఆటగాడు (22y 211d)']")</f>
        <v>[ '22 వ అరంగేట్రంలోనే ఇన్నింగ్స్ లోని బెస్ట్ ఫిగర్స్ (6)', '5 వ అరంగేట్రంలోనే మ్యాచ్లో ఉత్తమ బొమ్మలు (11)', 'పది వికెట్ల లో ఒక మ్యాచ్ పడుతుంది 29 పిన్న ఆటగాడు (22y 211d)']</v>
      </c>
      <c r="E7437" s="2"/>
      <c r="F7437" s="2" t="str">
        <f>IFERROR(__xludf.DUMMYFUNCTION("IF(E7437&lt;&gt;"""", GOOGLETRANSLATE(E7437, ""en"", ""te""),"""")"),"")</f>
        <v/>
      </c>
      <c r="G7437" s="2"/>
      <c r="H7437" s="2" t="str">
        <f>IFERROR(__xludf.DUMMYFUNCTION("IF(G7437&lt;&gt;"""", GOOGLETRANSLATE(G7437, ""en"", ""te""),"""")"),"")</f>
        <v/>
      </c>
      <c r="I7437" s="3"/>
    </row>
    <row r="7438" customHeight="1" spans="1:9">
      <c r="A7438" s="2"/>
      <c r="B7438" s="2" t="str">
        <f>IFERROR(__xludf.DUMMYFUNCTION("IF(A7438&lt;&gt;"""", GOOGLETRANSLATE(A7438, ""en"", ""te""),"""")"),"")</f>
        <v/>
      </c>
      <c r="C7438" s="2"/>
      <c r="D7438" s="2" t="str">
        <f>IFERROR(__xludf.DUMMYFUNCTION("IF(C7438&lt;&gt;"""", GOOGLETRANSLATE(C7438, ""en"", ""te""),"""")"),"")</f>
        <v/>
      </c>
      <c r="E7438" s="2"/>
      <c r="F7438" s="2" t="str">
        <f>IFERROR(__xludf.DUMMYFUNCTION("IF(E7438&lt;&gt;"""", GOOGLETRANSLATE(E7438, ""en"", ""te""),"""")"),"")</f>
        <v/>
      </c>
      <c r="G7438" s="2"/>
      <c r="H7438" s="2" t="str">
        <f>IFERROR(__xludf.DUMMYFUNCTION("IF(G7438&lt;&gt;"""", GOOGLETRANSLATE(G7438, ""en"", ""te""),"""")"),"")</f>
        <v/>
      </c>
      <c r="I7438" s="3"/>
    </row>
    <row r="7439" customHeight="1" spans="1:9">
      <c r="A7439" s="2"/>
      <c r="B7439" s="2" t="str">
        <f>IFERROR(__xludf.DUMMYFUNCTION("IF(A7439&lt;&gt;"""", GOOGLETRANSLATE(A7439, ""en"", ""te""),"""")"),"")</f>
        <v/>
      </c>
      <c r="C7439" s="2"/>
      <c r="D7439" s="2" t="str">
        <f>IFERROR(__xludf.DUMMYFUNCTION("IF(C7439&lt;&gt;"""", GOOGLETRANSLATE(C7439, ""en"", ""te""),"""")"),"")</f>
        <v/>
      </c>
      <c r="E7439" s="2"/>
      <c r="F7439" s="2" t="str">
        <f>IFERROR(__xludf.DUMMYFUNCTION("IF(E7439&lt;&gt;"""", GOOGLETRANSLATE(E7439, ""en"", ""te""),"""")"),"")</f>
        <v/>
      </c>
      <c r="G7439" s="2"/>
      <c r="H7439" s="2" t="str">
        <f>IFERROR(__xludf.DUMMYFUNCTION("IF(G7439&lt;&gt;"""", GOOGLETRANSLATE(G7439, ""en"", ""te""),"""")"),"")</f>
        <v/>
      </c>
      <c r="I7439" s="3"/>
    </row>
    <row r="7440" customHeight="1" spans="1:9">
      <c r="A7440" s="2"/>
      <c r="B7440" s="2" t="str">
        <f>IFERROR(__xludf.DUMMYFUNCTION("IF(A7440&lt;&gt;"""", GOOGLETRANSLATE(A7440, ""en"", ""te""),"""")"),"")</f>
        <v/>
      </c>
      <c r="C7440" s="2"/>
      <c r="D7440" s="2" t="str">
        <f>IFERROR(__xludf.DUMMYFUNCTION("IF(C7440&lt;&gt;"""", GOOGLETRANSLATE(C7440, ""en"", ""te""),"""")"),"")</f>
        <v/>
      </c>
      <c r="E7440" s="2"/>
      <c r="F7440" s="2" t="str">
        <f>IFERROR(__xludf.DUMMYFUNCTION("IF(E7440&lt;&gt;"""", GOOGLETRANSLATE(E7440, ""en"", ""te""),"""")"),"")</f>
        <v/>
      </c>
      <c r="G7440" s="2"/>
      <c r="H7440" s="2" t="str">
        <f>IFERROR(__xludf.DUMMYFUNCTION("IF(G7440&lt;&gt;"""", GOOGLETRANSLATE(G7440, ""en"", ""te""),"""")"),"")</f>
        <v/>
      </c>
      <c r="I7440" s="3"/>
    </row>
    <row r="7441" customHeight="1" spans="1:9">
      <c r="A7441" s="2"/>
      <c r="B7441" s="2" t="str">
        <f>IFERROR(__xludf.DUMMYFUNCTION("IF(A7441&lt;&gt;"""", GOOGLETRANSLATE(A7441, ""en"", ""te""),"""")"),"")</f>
        <v/>
      </c>
      <c r="C7441" s="2"/>
      <c r="D7441" s="2" t="str">
        <f>IFERROR(__xludf.DUMMYFUNCTION("IF(C7441&lt;&gt;"""", GOOGLETRANSLATE(C7441, ""en"", ""te""),"""")"),"")</f>
        <v/>
      </c>
      <c r="E7441" s="2"/>
      <c r="F7441" s="2" t="str">
        <f>IFERROR(__xludf.DUMMYFUNCTION("IF(E7441&lt;&gt;"""", GOOGLETRANSLATE(E7441, ""en"", ""te""),"""")"),"")</f>
        <v/>
      </c>
      <c r="G7441" s="2"/>
      <c r="H7441" s="2" t="str">
        <f>IFERROR(__xludf.DUMMYFUNCTION("IF(G7441&lt;&gt;"""", GOOGLETRANSLATE(G7441, ""en"", ""te""),"""")"),"")</f>
        <v/>
      </c>
      <c r="I7441" s="3"/>
    </row>
    <row r="7442" customHeight="1" spans="1:9">
      <c r="A7442" s="2"/>
      <c r="B7442" s="2" t="str">
        <f>IFERROR(__xludf.DUMMYFUNCTION("IF(A7442&lt;&gt;"""", GOOGLETRANSLATE(A7442, ""en"", ""te""),"""")"),"")</f>
        <v/>
      </c>
      <c r="C7442" s="2"/>
      <c r="D7442" s="2" t="str">
        <f>IFERROR(__xludf.DUMMYFUNCTION("IF(C7442&lt;&gt;"""", GOOGLETRANSLATE(C7442, ""en"", ""te""),"""")"),"")</f>
        <v/>
      </c>
      <c r="E7442" s="2"/>
      <c r="F7442" s="2" t="str">
        <f>IFERROR(__xludf.DUMMYFUNCTION("IF(E7442&lt;&gt;"""", GOOGLETRANSLATE(E7442, ""en"", ""te""),"""")"),"")</f>
        <v/>
      </c>
      <c r="G7442" s="2"/>
      <c r="H7442" s="2" t="str">
        <f>IFERROR(__xludf.DUMMYFUNCTION("IF(G7442&lt;&gt;"""", GOOGLETRANSLATE(G7442, ""en"", ""te""),"""")"),"")</f>
        <v/>
      </c>
      <c r="I7442" s="3"/>
    </row>
    <row r="7443" customHeight="1" spans="1:9">
      <c r="A7443" s="2"/>
      <c r="B7443" s="2" t="str">
        <f>IFERROR(__xludf.DUMMYFUNCTION("IF(A7443&lt;&gt;"""", GOOGLETRANSLATE(A7443, ""en"", ""te""),"""")"),"")</f>
        <v/>
      </c>
      <c r="C7443" s="2"/>
      <c r="D7443" s="2" t="str">
        <f>IFERROR(__xludf.DUMMYFUNCTION("IF(C7443&lt;&gt;"""", GOOGLETRANSLATE(C7443, ""en"", ""te""),"""")"),"")</f>
        <v/>
      </c>
      <c r="E7443" s="2"/>
      <c r="F7443" s="2" t="str">
        <f>IFERROR(__xludf.DUMMYFUNCTION("IF(E7443&lt;&gt;"""", GOOGLETRANSLATE(E7443, ""en"", ""te""),"""")"),"")</f>
        <v/>
      </c>
      <c r="G7443" s="2"/>
      <c r="H7443" s="2" t="str">
        <f>IFERROR(__xludf.DUMMYFUNCTION("IF(G7443&lt;&gt;"""", GOOGLETRANSLATE(G7443, ""en"", ""te""),"""")"),"")</f>
        <v/>
      </c>
      <c r="I7443" s="3"/>
    </row>
    <row r="7444" customHeight="1" spans="1:9">
      <c r="A7444" s="2"/>
      <c r="B7444" s="2" t="str">
        <f>IFERROR(__xludf.DUMMYFUNCTION("IF(A7444&lt;&gt;"""", GOOGLETRANSLATE(A7444, ""en"", ""te""),"""")"),"")</f>
        <v/>
      </c>
      <c r="C7444" s="2"/>
      <c r="D7444" s="2" t="str">
        <f>IFERROR(__xludf.DUMMYFUNCTION("IF(C7444&lt;&gt;"""", GOOGLETRANSLATE(C7444, ""en"", ""te""),"""")"),"")</f>
        <v/>
      </c>
      <c r="E7444" s="2"/>
      <c r="F7444" s="2" t="str">
        <f>IFERROR(__xludf.DUMMYFUNCTION("IF(E7444&lt;&gt;"""", GOOGLETRANSLATE(E7444, ""en"", ""te""),"""")"),"")</f>
        <v/>
      </c>
      <c r="G7444" s="2"/>
      <c r="H7444" s="2" t="str">
        <f>IFERROR(__xludf.DUMMYFUNCTION("IF(G7444&lt;&gt;"""", GOOGLETRANSLATE(G7444, ""en"", ""te""),"""")"),"")</f>
        <v/>
      </c>
      <c r="I7444" s="3"/>
    </row>
    <row r="7445" customHeight="1" spans="1:9">
      <c r="A7445" s="2" t="s">
        <v>4306</v>
      </c>
      <c r="B7445" s="2" t="str">
        <f>IFERROR(__xludf.DUMMYFUNCTION("IF(A7445&lt;&gt;"""", GOOGLETRANSLATE(A7445, ""en"", ""te""),"""")"),"[ '4 వ అత్యుత్తమ బౌలింగ్ ఇన్నింగ్స్ లో విశ్లేషించడం (4/3)', 'ఇన్నింగ్స్ లో 2 వ ఉత్తమ సమ్మె రేటు (4.5)']")</f>
        <v>[ '4 వ అత్యుత్తమ బౌలింగ్ ఇన్నింగ్స్ లో విశ్లేషించడం (4/3)', 'ఇన్నింగ్స్ లో 2 వ ఉత్తమ సమ్మె రేటు (4.5)']</v>
      </c>
      <c r="C7445" s="2"/>
      <c r="D7445" s="2" t="str">
        <f>IFERROR(__xludf.DUMMYFUNCTION("IF(C7445&lt;&gt;"""", GOOGLETRANSLATE(C7445, ""en"", ""te""),"""")"),"")</f>
        <v/>
      </c>
      <c r="E7445" s="2" t="s">
        <v>4307</v>
      </c>
      <c r="F7445" s="2" t="str">
        <f>IFERROR(__xludf.DUMMYFUNCTION("IF(E7445&lt;&gt;"""", GOOGLETRANSLATE(E7445, ""en"", ""te""),"""")"),"[ 'ఇన్నింగ్స్ లో 2 వ ఉత్తమ సమ్మె రేటు (4.5)', '12 వ చెత్త కెరీర్ బౌలింగ్ సరాసరి (40,66)', '8 వ చెత్త కెరీర్లో సమ్మె రేటు (69.2)' '4 వ అత్యుత్తమ బౌలింగ్ (4/3) ఇన్నింగ్స్ విశ్లేషణలలో' , '21 వ ఓల్డెస్ట్ క్రీడాకారులు (39y 255d) ']")</f>
        <v>[ 'ఇన్నింగ్స్ లో 2 వ ఉత్తమ సమ్మె రేటు (4.5)', '12 వ చెత్త కెరీర్ బౌలింగ్ సరాసరి (40,66)', '8 వ చెత్త కెరీర్లో సమ్మె రేటు (69.2)' '4 వ అత్యుత్తమ బౌలింగ్ (4/3) ఇన్నింగ్స్ విశ్లేషణలలో' , '21 వ ఓల్డెస్ట్ క్రీడాకారులు (39y 255d) ']</v>
      </c>
      <c r="G7445" s="2"/>
      <c r="H7445" s="2" t="str">
        <f>IFERROR(__xludf.DUMMYFUNCTION("IF(G7445&lt;&gt;"""", GOOGLETRANSLATE(G7445, ""en"", ""te""),"""")"),"")</f>
        <v/>
      </c>
      <c r="I7445" s="3"/>
    </row>
    <row r="7446" customHeight="1" spans="1:9">
      <c r="A7446" s="2"/>
      <c r="B7446" s="2" t="str">
        <f>IFERROR(__xludf.DUMMYFUNCTION("IF(A7446&lt;&gt;"""", GOOGLETRANSLATE(A7446, ""en"", ""te""),"""")"),"")</f>
        <v/>
      </c>
      <c r="C7446" s="2"/>
      <c r="D7446" s="2" t="str">
        <f>IFERROR(__xludf.DUMMYFUNCTION("IF(C7446&lt;&gt;"""", GOOGLETRANSLATE(C7446, ""en"", ""te""),"""")"),"")</f>
        <v/>
      </c>
      <c r="E7446" s="2"/>
      <c r="F7446" s="2" t="str">
        <f>IFERROR(__xludf.DUMMYFUNCTION("IF(E7446&lt;&gt;"""", GOOGLETRANSLATE(E7446, ""en"", ""te""),"""")"),"")</f>
        <v/>
      </c>
      <c r="G7446" s="2"/>
      <c r="H7446" s="2" t="str">
        <f>IFERROR(__xludf.DUMMYFUNCTION("IF(G7446&lt;&gt;"""", GOOGLETRANSLATE(G7446, ""en"", ""te""),"""")"),"")</f>
        <v/>
      </c>
      <c r="I7446" s="3"/>
    </row>
    <row r="7447" customHeight="1" spans="1:9">
      <c r="A7447" s="2"/>
      <c r="B7447" s="2" t="str">
        <f>IFERROR(__xludf.DUMMYFUNCTION("IF(A7447&lt;&gt;"""", GOOGLETRANSLATE(A7447, ""en"", ""te""),"""")"),"")</f>
        <v/>
      </c>
      <c r="C7447" s="2"/>
      <c r="D7447" s="2" t="str">
        <f>IFERROR(__xludf.DUMMYFUNCTION("IF(C7447&lt;&gt;"""", GOOGLETRANSLATE(C7447, ""en"", ""te""),"""")"),"")</f>
        <v/>
      </c>
      <c r="E7447" s="2"/>
      <c r="F7447" s="2" t="str">
        <f>IFERROR(__xludf.DUMMYFUNCTION("IF(E7447&lt;&gt;"""", GOOGLETRANSLATE(E7447, ""en"", ""te""),"""")"),"")</f>
        <v/>
      </c>
      <c r="G7447" s="2"/>
      <c r="H7447" s="2" t="str">
        <f>IFERROR(__xludf.DUMMYFUNCTION("IF(G7447&lt;&gt;"""", GOOGLETRANSLATE(G7447, ""en"", ""te""),"""")"),"")</f>
        <v/>
      </c>
      <c r="I7447" s="3"/>
    </row>
    <row r="7448" customHeight="1" spans="1:9">
      <c r="A7448" s="2"/>
      <c r="B7448" s="2" t="str">
        <f>IFERROR(__xludf.DUMMYFUNCTION("IF(A7448&lt;&gt;"""", GOOGLETRANSLATE(A7448, ""en"", ""te""),"""")"),"")</f>
        <v/>
      </c>
      <c r="C7448" s="2"/>
      <c r="D7448" s="2" t="str">
        <f>IFERROR(__xludf.DUMMYFUNCTION("IF(C7448&lt;&gt;"""", GOOGLETRANSLATE(C7448, ""en"", ""te""),"""")"),"")</f>
        <v/>
      </c>
      <c r="E7448" s="2"/>
      <c r="F7448" s="2" t="str">
        <f>IFERROR(__xludf.DUMMYFUNCTION("IF(E7448&lt;&gt;"""", GOOGLETRANSLATE(E7448, ""en"", ""te""),"""")"),"")</f>
        <v/>
      </c>
      <c r="G7448" s="2"/>
      <c r="H7448" s="2" t="str">
        <f>IFERROR(__xludf.DUMMYFUNCTION("IF(G7448&lt;&gt;"""", GOOGLETRANSLATE(G7448, ""en"", ""te""),"""")"),"")</f>
        <v/>
      </c>
      <c r="I7448" s="3"/>
    </row>
    <row r="7449" customHeight="1" spans="1:9">
      <c r="A7449" s="2"/>
      <c r="B7449" s="2" t="str">
        <f>IFERROR(__xludf.DUMMYFUNCTION("IF(A7449&lt;&gt;"""", GOOGLETRANSLATE(A7449, ""en"", ""te""),"""")"),"")</f>
        <v/>
      </c>
      <c r="C7449" s="2"/>
      <c r="D7449" s="2" t="str">
        <f>IFERROR(__xludf.DUMMYFUNCTION("IF(C7449&lt;&gt;"""", GOOGLETRANSLATE(C7449, ""en"", ""te""),"""")"),"")</f>
        <v/>
      </c>
      <c r="E7449" s="2"/>
      <c r="F7449" s="2" t="str">
        <f>IFERROR(__xludf.DUMMYFUNCTION("IF(E7449&lt;&gt;"""", GOOGLETRANSLATE(E7449, ""en"", ""te""),"""")"),"")</f>
        <v/>
      </c>
      <c r="G7449" s="2"/>
      <c r="H7449" s="2" t="str">
        <f>IFERROR(__xludf.DUMMYFUNCTION("IF(G7449&lt;&gt;"""", GOOGLETRANSLATE(G7449, ""en"", ""te""),"""")"),"")</f>
        <v/>
      </c>
      <c r="I7449" s="3"/>
    </row>
    <row r="7450" customHeight="1" spans="1:9">
      <c r="A7450" s="2"/>
      <c r="B7450" s="2" t="str">
        <f>IFERROR(__xludf.DUMMYFUNCTION("IF(A7450&lt;&gt;"""", GOOGLETRANSLATE(A7450, ""en"", ""te""),"""")"),"")</f>
        <v/>
      </c>
      <c r="C7450" s="2"/>
      <c r="D7450" s="2" t="str">
        <f>IFERROR(__xludf.DUMMYFUNCTION("IF(C7450&lt;&gt;"""", GOOGLETRANSLATE(C7450, ""en"", ""te""),"""")"),"")</f>
        <v/>
      </c>
      <c r="E7450" s="2"/>
      <c r="F7450" s="2" t="str">
        <f>IFERROR(__xludf.DUMMYFUNCTION("IF(E7450&lt;&gt;"""", GOOGLETRANSLATE(E7450, ""en"", ""te""),"""")"),"")</f>
        <v/>
      </c>
      <c r="G7450" s="2"/>
      <c r="H7450" s="2" t="str">
        <f>IFERROR(__xludf.DUMMYFUNCTION("IF(G7450&lt;&gt;"""", GOOGLETRANSLATE(G7450, ""en"", ""te""),"""")"),"")</f>
        <v/>
      </c>
      <c r="I7450" s="3"/>
    </row>
    <row r="7451" customHeight="1" spans="1:9">
      <c r="A7451" s="2"/>
      <c r="B7451" s="2" t="str">
        <f>IFERROR(__xludf.DUMMYFUNCTION("IF(A7451&lt;&gt;"""", GOOGLETRANSLATE(A7451, ""en"", ""te""),"""")"),"")</f>
        <v/>
      </c>
      <c r="C7451" s="2"/>
      <c r="D7451" s="2" t="str">
        <f>IFERROR(__xludf.DUMMYFUNCTION("IF(C7451&lt;&gt;"""", GOOGLETRANSLATE(C7451, ""en"", ""te""),"""")"),"")</f>
        <v/>
      </c>
      <c r="E7451" s="2"/>
      <c r="F7451" s="2" t="str">
        <f>IFERROR(__xludf.DUMMYFUNCTION("IF(E7451&lt;&gt;"""", GOOGLETRANSLATE(E7451, ""en"", ""te""),"""")"),"")</f>
        <v/>
      </c>
      <c r="G7451" s="2"/>
      <c r="H7451" s="2" t="str">
        <f>IFERROR(__xludf.DUMMYFUNCTION("IF(G7451&lt;&gt;"""", GOOGLETRANSLATE(G7451, ""en"", ""te""),"""")"),"")</f>
        <v/>
      </c>
      <c r="I7451" s="3"/>
    </row>
    <row r="7452" customHeight="1" spans="1:9">
      <c r="A7452" s="2"/>
      <c r="B7452" s="2" t="str">
        <f>IFERROR(__xludf.DUMMYFUNCTION("IF(A7452&lt;&gt;"""", GOOGLETRANSLATE(A7452, ""en"", ""te""),"""")"),"")</f>
        <v/>
      </c>
      <c r="C7452" s="2"/>
      <c r="D7452" s="2" t="str">
        <f>IFERROR(__xludf.DUMMYFUNCTION("IF(C7452&lt;&gt;"""", GOOGLETRANSLATE(C7452, ""en"", ""te""),"""")"),"")</f>
        <v/>
      </c>
      <c r="E7452" s="2"/>
      <c r="F7452" s="2" t="str">
        <f>IFERROR(__xludf.DUMMYFUNCTION("IF(E7452&lt;&gt;"""", GOOGLETRANSLATE(E7452, ""en"", ""te""),"""")"),"")</f>
        <v/>
      </c>
      <c r="G7452" s="2"/>
      <c r="H7452" s="2" t="str">
        <f>IFERROR(__xludf.DUMMYFUNCTION("IF(G7452&lt;&gt;"""", GOOGLETRANSLATE(G7452, ""en"", ""te""),"""")"),"")</f>
        <v/>
      </c>
      <c r="I7452" s="3"/>
    </row>
    <row r="7453" customHeight="1" spans="1:9">
      <c r="A7453" s="2"/>
      <c r="B7453" s="2" t="str">
        <f>IFERROR(__xludf.DUMMYFUNCTION("IF(A7453&lt;&gt;"""", GOOGLETRANSLATE(A7453, ""en"", ""te""),"""")"),"")</f>
        <v/>
      </c>
      <c r="C7453" s="2"/>
      <c r="D7453" s="2" t="str">
        <f>IFERROR(__xludf.DUMMYFUNCTION("IF(C7453&lt;&gt;"""", GOOGLETRANSLATE(C7453, ""en"", ""te""),"""")"),"")</f>
        <v/>
      </c>
      <c r="E7453" s="2" t="s">
        <v>4308</v>
      </c>
      <c r="F7453" s="2" t="str">
        <f>IFERROR(__xludf.DUMMYFUNCTION("IF(E7453&lt;&gt;"""", GOOGLETRANSLATE(E7453, ""en"", ""te""),"""")"),"[ '26 షార్టేస్ట్ నివసించారు క్రీడాకారులు (44y 308d)']")</f>
        <v>[ '26 షార్టేస్ట్ నివసించారు క్రీడాకారులు (44y 308d)']</v>
      </c>
      <c r="G7453" s="2"/>
      <c r="H7453" s="2" t="str">
        <f>IFERROR(__xludf.DUMMYFUNCTION("IF(G7453&lt;&gt;"""", GOOGLETRANSLATE(G7453, ""en"", ""te""),"""")"),"")</f>
        <v/>
      </c>
      <c r="I7453" s="3"/>
    </row>
    <row r="7454" customHeight="1" spans="1:9">
      <c r="A7454" s="2"/>
      <c r="B7454" s="2" t="str">
        <f>IFERROR(__xludf.DUMMYFUNCTION("IF(A7454&lt;&gt;"""", GOOGLETRANSLATE(A7454, ""en"", ""te""),"""")"),"")</f>
        <v/>
      </c>
      <c r="C7454" s="2"/>
      <c r="D7454" s="2" t="str">
        <f>IFERROR(__xludf.DUMMYFUNCTION("IF(C7454&lt;&gt;"""", GOOGLETRANSLATE(C7454, ""en"", ""te""),"""")"),"")</f>
        <v/>
      </c>
      <c r="E7454" s="2"/>
      <c r="F7454" s="2" t="str">
        <f>IFERROR(__xludf.DUMMYFUNCTION("IF(E7454&lt;&gt;"""", GOOGLETRANSLATE(E7454, ""en"", ""te""),"""")"),"")</f>
        <v/>
      </c>
      <c r="G7454" s="2"/>
      <c r="H7454" s="2" t="str">
        <f>IFERROR(__xludf.DUMMYFUNCTION("IF(G7454&lt;&gt;"""", GOOGLETRANSLATE(G7454, ""en"", ""te""),"""")"),"")</f>
        <v/>
      </c>
      <c r="I7454" s="3"/>
    </row>
    <row r="7455" customHeight="1" spans="1:9">
      <c r="A7455" s="2"/>
      <c r="B7455" s="2" t="str">
        <f>IFERROR(__xludf.DUMMYFUNCTION("IF(A7455&lt;&gt;"""", GOOGLETRANSLATE(A7455, ""en"", ""te""),"""")"),"")</f>
        <v/>
      </c>
      <c r="C7455" s="2"/>
      <c r="D7455" s="2" t="str">
        <f>IFERROR(__xludf.DUMMYFUNCTION("IF(C7455&lt;&gt;"""", GOOGLETRANSLATE(C7455, ""en"", ""te""),"""")"),"")</f>
        <v/>
      </c>
      <c r="E7455" s="2"/>
      <c r="F7455" s="2" t="str">
        <f>IFERROR(__xludf.DUMMYFUNCTION("IF(E7455&lt;&gt;"""", GOOGLETRANSLATE(E7455, ""en"", ""te""),"""")"),"")</f>
        <v/>
      </c>
      <c r="G7455" s="2"/>
      <c r="H7455" s="2" t="str">
        <f>IFERROR(__xludf.DUMMYFUNCTION("IF(G7455&lt;&gt;"""", GOOGLETRANSLATE(G7455, ""en"", ""te""),"""")"),"")</f>
        <v/>
      </c>
      <c r="I7455" s="3"/>
    </row>
    <row r="7456" customHeight="1" spans="1:9">
      <c r="A7456" s="2"/>
      <c r="B7456" s="2" t="str">
        <f>IFERROR(__xludf.DUMMYFUNCTION("IF(A7456&lt;&gt;"""", GOOGLETRANSLATE(A7456, ""en"", ""te""),"""")"),"")</f>
        <v/>
      </c>
      <c r="C7456" s="2"/>
      <c r="D7456" s="2" t="str">
        <f>IFERROR(__xludf.DUMMYFUNCTION("IF(C7456&lt;&gt;"""", GOOGLETRANSLATE(C7456, ""en"", ""te""),"""")"),"")</f>
        <v/>
      </c>
      <c r="E7456" s="2"/>
      <c r="F7456" s="2" t="str">
        <f>IFERROR(__xludf.DUMMYFUNCTION("IF(E7456&lt;&gt;"""", GOOGLETRANSLATE(E7456, ""en"", ""te""),"""")"),"")</f>
        <v/>
      </c>
      <c r="G7456" s="2"/>
      <c r="H7456" s="2" t="str">
        <f>IFERROR(__xludf.DUMMYFUNCTION("IF(G7456&lt;&gt;"""", GOOGLETRANSLATE(G7456, ""en"", ""te""),"""")"),"")</f>
        <v/>
      </c>
      <c r="I7456" s="3"/>
    </row>
    <row r="7457" customHeight="1" spans="1:9">
      <c r="A7457" s="2"/>
      <c r="B7457" s="2" t="str">
        <f>IFERROR(__xludf.DUMMYFUNCTION("IF(A7457&lt;&gt;"""", GOOGLETRANSLATE(A7457, ""en"", ""te""),"""")"),"")</f>
        <v/>
      </c>
      <c r="C7457" s="2" t="s">
        <v>4309</v>
      </c>
      <c r="D7457" s="2" t="str">
        <f>IFERROR(__xludf.DUMMYFUNCTION("IF(C7457&lt;&gt;"""", GOOGLETRANSLATE(C7457, ""en"", ""te""),"""")"),"[ '48 వ పిన్న క్రీడాకారులు (18y 81d)']")</f>
        <v>[ '48 వ పిన్న క్రీడాకారులు (18y 81d)']</v>
      </c>
      <c r="E7457" s="2"/>
      <c r="F7457" s="2" t="str">
        <f>IFERROR(__xludf.DUMMYFUNCTION("IF(E7457&lt;&gt;"""", GOOGLETRANSLATE(E7457, ""en"", ""te""),"""")"),"")</f>
        <v/>
      </c>
      <c r="G7457" s="2"/>
      <c r="H7457" s="2" t="str">
        <f>IFERROR(__xludf.DUMMYFUNCTION("IF(G7457&lt;&gt;"""", GOOGLETRANSLATE(G7457, ""en"", ""te""),"""")"),"")</f>
        <v/>
      </c>
      <c r="I7457" s="3"/>
    </row>
    <row r="7458" customHeight="1" spans="1:9">
      <c r="A7458" s="2"/>
      <c r="B7458" s="2" t="str">
        <f>IFERROR(__xludf.DUMMYFUNCTION("IF(A7458&lt;&gt;"""", GOOGLETRANSLATE(A7458, ""en"", ""te""),"""")"),"")</f>
        <v/>
      </c>
      <c r="C7458" s="2"/>
      <c r="D7458" s="2" t="str">
        <f>IFERROR(__xludf.DUMMYFUNCTION("IF(C7458&lt;&gt;"""", GOOGLETRANSLATE(C7458, ""en"", ""te""),"""")"),"")</f>
        <v/>
      </c>
      <c r="E7458" s="2"/>
      <c r="F7458" s="2" t="str">
        <f>IFERROR(__xludf.DUMMYFUNCTION("IF(E7458&lt;&gt;"""", GOOGLETRANSLATE(E7458, ""en"", ""te""),"""")"),"")</f>
        <v/>
      </c>
      <c r="G7458" s="2"/>
      <c r="H7458" s="2" t="str">
        <f>IFERROR(__xludf.DUMMYFUNCTION("IF(G7458&lt;&gt;"""", GOOGLETRANSLATE(G7458, ""en"", ""te""),"""")"),"")</f>
        <v/>
      </c>
      <c r="I7458" s="3"/>
    </row>
    <row r="7459" customHeight="1" spans="1:9">
      <c r="A7459" s="2"/>
      <c r="B7459" s="2" t="str">
        <f>IFERROR(__xludf.DUMMYFUNCTION("IF(A7459&lt;&gt;"""", GOOGLETRANSLATE(A7459, ""en"", ""te""),"""")"),"")</f>
        <v/>
      </c>
      <c r="C7459" s="2"/>
      <c r="D7459" s="2" t="str">
        <f>IFERROR(__xludf.DUMMYFUNCTION("IF(C7459&lt;&gt;"""", GOOGLETRANSLATE(C7459, ""en"", ""te""),"""")"),"")</f>
        <v/>
      </c>
      <c r="E7459" s="2"/>
      <c r="F7459" s="2" t="str">
        <f>IFERROR(__xludf.DUMMYFUNCTION("IF(E7459&lt;&gt;"""", GOOGLETRANSLATE(E7459, ""en"", ""te""),"""")"),"")</f>
        <v/>
      </c>
      <c r="G7459" s="2"/>
      <c r="H7459" s="2" t="str">
        <f>IFERROR(__xludf.DUMMYFUNCTION("IF(G7459&lt;&gt;"""", GOOGLETRANSLATE(G7459, ""en"", ""te""),"""")"),"")</f>
        <v/>
      </c>
      <c r="I7459" s="3"/>
    </row>
    <row r="7460" customHeight="1" spans="1:9">
      <c r="A7460" s="2"/>
      <c r="B7460" s="2" t="str">
        <f>IFERROR(__xludf.DUMMYFUNCTION("IF(A7460&lt;&gt;"""", GOOGLETRANSLATE(A7460, ""en"", ""te""),"""")"),"")</f>
        <v/>
      </c>
      <c r="C7460" s="2"/>
      <c r="D7460" s="2" t="str">
        <f>IFERROR(__xludf.DUMMYFUNCTION("IF(C7460&lt;&gt;"""", GOOGLETRANSLATE(C7460, ""en"", ""te""),"""")"),"")</f>
        <v/>
      </c>
      <c r="E7460" s="2"/>
      <c r="F7460" s="2" t="str">
        <f>IFERROR(__xludf.DUMMYFUNCTION("IF(E7460&lt;&gt;"""", GOOGLETRANSLATE(E7460, ""en"", ""te""),"""")"),"")</f>
        <v/>
      </c>
      <c r="G7460" s="2"/>
      <c r="H7460" s="2" t="str">
        <f>IFERROR(__xludf.DUMMYFUNCTION("IF(G7460&lt;&gt;"""", GOOGLETRANSLATE(G7460, ""en"", ""te""),"""")"),"")</f>
        <v/>
      </c>
      <c r="I7460" s="3"/>
    </row>
    <row r="7461" customHeight="1" spans="1:9">
      <c r="A7461" s="2"/>
      <c r="B7461" s="2" t="str">
        <f>IFERROR(__xludf.DUMMYFUNCTION("IF(A7461&lt;&gt;"""", GOOGLETRANSLATE(A7461, ""en"", ""te""),"""")"),"")</f>
        <v/>
      </c>
      <c r="C7461" s="2"/>
      <c r="D7461" s="2" t="str">
        <f>IFERROR(__xludf.DUMMYFUNCTION("IF(C7461&lt;&gt;"""", GOOGLETRANSLATE(C7461, ""en"", ""te""),"""")"),"")</f>
        <v/>
      </c>
      <c r="E7461" s="2"/>
      <c r="F7461" s="2" t="str">
        <f>IFERROR(__xludf.DUMMYFUNCTION("IF(E7461&lt;&gt;"""", GOOGLETRANSLATE(E7461, ""en"", ""te""),"""")"),"")</f>
        <v/>
      </c>
      <c r="G7461" s="2"/>
      <c r="H7461" s="2" t="str">
        <f>IFERROR(__xludf.DUMMYFUNCTION("IF(G7461&lt;&gt;"""", GOOGLETRANSLATE(G7461, ""en"", ""te""),"""")"),"")</f>
        <v/>
      </c>
      <c r="I7461" s="3"/>
    </row>
    <row r="7462" customHeight="1" spans="1:9">
      <c r="A7462" s="2"/>
      <c r="B7462" s="2" t="str">
        <f>IFERROR(__xludf.DUMMYFUNCTION("IF(A7462&lt;&gt;"""", GOOGLETRANSLATE(A7462, ""en"", ""te""),"""")"),"")</f>
        <v/>
      </c>
      <c r="C7462" s="2"/>
      <c r="D7462" s="2" t="str">
        <f>IFERROR(__xludf.DUMMYFUNCTION("IF(C7462&lt;&gt;"""", GOOGLETRANSLATE(C7462, ""en"", ""te""),"""")"),"")</f>
        <v/>
      </c>
      <c r="E7462" s="2"/>
      <c r="F7462" s="2" t="str">
        <f>IFERROR(__xludf.DUMMYFUNCTION("IF(E7462&lt;&gt;"""", GOOGLETRANSLATE(E7462, ""en"", ""te""),"""")"),"")</f>
        <v/>
      </c>
      <c r="G7462" s="2"/>
      <c r="H7462" s="2" t="str">
        <f>IFERROR(__xludf.DUMMYFUNCTION("IF(G7462&lt;&gt;"""", GOOGLETRANSLATE(G7462, ""en"", ""te""),"""")"),"")</f>
        <v/>
      </c>
      <c r="I7462" s="3"/>
    </row>
    <row r="7463" customHeight="1" spans="1:9">
      <c r="A7463" s="2" t="s">
        <v>4310</v>
      </c>
      <c r="B7463" s="2" t="str">
        <f>IFERROR(__xludf.DUMMYFUNCTION("IF(A7463&lt;&gt;"""", GOOGLETRANSLATE(A7463, ""en"", ""te""),"""")"),"[ 'ఆరవ వికెట్ (177) 5 వ అత్యధిక భాగస్వామ్యం']")</f>
        <v>[ 'ఆరవ వికెట్ (177) 5 వ అత్యధిక భాగస్వామ్యం']</v>
      </c>
      <c r="C7463" s="2"/>
      <c r="D7463" s="2" t="str">
        <f>IFERROR(__xludf.DUMMYFUNCTION("IF(C7463&lt;&gt;"""", GOOGLETRANSLATE(C7463, ""en"", ""te""),"""")"),"")</f>
        <v/>
      </c>
      <c r="E7463" s="2" t="s">
        <v>4310</v>
      </c>
      <c r="F7463" s="2" t="str">
        <f>IFERROR(__xludf.DUMMYFUNCTION("IF(E7463&lt;&gt;"""", GOOGLETRANSLATE(E7463, ""en"", ""te""),"""")"),"[ 'ఆరవ వికెట్ (177) 5 వ అత్యధిక భాగస్వామ్యం']")</f>
        <v>[ 'ఆరవ వికెట్ (177) 5 వ అత్యధిక భాగస్వామ్యం']</v>
      </c>
      <c r="G7463" s="2" t="s">
        <v>4311</v>
      </c>
      <c r="H7463" s="2" t="str">
        <f>IFERROR(__xludf.DUMMYFUNCTION("IF(G7463&lt;&gt;"""", GOOGLETRANSLATE(G7463, ""en"", ""te""),"""")"),"[ '37 వ చెత్త కెరీర్ బౌలింగ్ సరాసరి (అర్హత లేకుండా) (71.00)']")</f>
        <v>[ '37 వ చెత్త కెరీర్ బౌలింగ్ సరాసరి (అర్హత లేకుండా) (71.00)']</v>
      </c>
      <c r="I7463" s="3"/>
    </row>
    <row r="7464" customHeight="1" spans="1:9">
      <c r="A7464" s="2" t="s">
        <v>4312</v>
      </c>
      <c r="B7464" s="2" t="str">
        <f>IFERROR(__xludf.DUMMYFUNCTION("IF(A7464&lt;&gt;"""", GOOGLETRANSLATE(A7464, ""en"", ""te""),"""")"),"[ '8 వ అత్యంత బృందం వరుసగా మ్యాచ్లు (93)', '(2921) ఒకే క్రీడా న 1 వ అత్యధిక పరుగులు' 'ఒక వృత్తిలో 4 వ అత్యధిక డబుల్ సెంచరీలు (7)', '10 వ అత్యంత తొంభైల కెరీర్లో (6)' '9 వ కెరీర్ అర్ధ (84)', 'హండ్రెడ్ మరియు ఒక మ్యాచ్లో ఒక డక్' ఇన్నింగ్స్ లో 6 వ అత్యంత ఫోర్"&amp;"లు (43) ',' 8 వ అసాధారణ వికెట్లు (అవుట్ రిటైర్) ',' 9000 పరుగులు వేగంగా 5 వ కెరీర్లో (178) ',' 2 వ అత్యధిక క్యాచ్లు (205) ',' 5000 పరుగులు మరియు 50 ఫీల్డింగ్ వికెట్లు ',' నాలుగవ వికెట్కు (437) కోసం 2 వ అత్యధిక భాగస్వామ్యం ',' కెరీర్ లో 2 వ అత్యధిక మ్యాచ్"&amp;"లు (448) ',' ఒక జట్టు కెప్టెన్గా 4 వ వరుస మ్యాచ్లు (85) ',' ఒక కెప్టెన్ ద్వారా ఒక సిరీస్లో 5 వ అత్యధిక పరుగులు (548) ',' 6 వ అత్యంత అర్ధ కెరీర్లో (96) ',' 3 వ అత్యంత బాతులు కెరీర్ లో (28) ' 'కెరీర్లో 10 వ అత్యంత ఫోర్లు (1119)', 'కెరీర్ లో 1 వ అత్యధిక క్యా"&amp;"చ్లు (218)', '5000 పరుగులు మరియు 50 ఫీల్డింగ్ వికెట్లు', 'ఆరవ 2 వ అత్యధిక భాగస్వామ్యం' 6 వ 12000 పరుగులు (399) వేగంగా ' వికెట్ (218) ',' 1 వ వరుస ఇన్నింగ్స్లో (3) ',' 3 వ యాభైల్లో వరుస అన్ని టాస్ గెలిచిన (3) ',' 2 వ అత్యధిక పార్ రెండో వికెట్కు (166) కోసం"&amp;" tnership ',' కెరీర్ లో 2 వ అత్యధిక మ్యాచ్లు (652) ',' ఒక జట్టు కెప్టెన్గా 2 వ వరుస మ్యాచ్లు (100) ',' 4 వ కెరీర్ లో అత్యధిక పరుగులు (25957) ',' 6 వ అత్యంత కెరీర్లో ఒక జట్టు వ్యతిరేకంగా వందల (13) ',' 8 వ కెరీర్ తొంభైల (11) ',' 6 వ అత్యంత అర్ధ (190) ',' 5"&amp;" వ కెరీర్ (47) ',' కెరీర్లో 4 వ అత్యంత ఫోర్లు (2679 లో అత్యంత బాతులు ) ',' కెరీర్ (440 లో 1 వ అత్యధిక క్యాచ్లు) ']")</f>
        <v>[ '8 వ అత్యంత బృందం వరుసగా మ్యాచ్లు (93)', '(2921) ఒకే క్రీడా న 1 వ అత్యధిక పరుగులు' 'ఒక వృత్తిలో 4 వ అత్యధిక డబుల్ సెంచరీలు (7)', '10 వ అత్యంత తొంభైల కెరీర్లో (6)' '9 వ కెరీర్ అర్ధ (84)', 'హండ్రెడ్ మరియు ఒక మ్యాచ్లో ఒక డక్' ఇన్నింగ్స్ లో 6 వ అత్యంత ఫోర్లు (43) ',' 8 వ అసాధారణ వికెట్లు (అవుట్ రిటైర్) ',' 9000 పరుగులు వేగంగా 5 వ కెరీర్లో (178) ',' 2 వ అత్యధిక క్యాచ్లు (205) ',' 5000 పరుగులు మరియు 50 ఫీల్డింగ్ వికెట్లు ',' నాలుగవ వికెట్కు (437) కోసం 2 వ అత్యధిక భాగస్వామ్యం ',' కెరీర్ లో 2 వ అత్యధిక మ్యాచ్లు (448) ',' ఒక జట్టు కెప్టెన్గా 4 వ వరుస మ్యాచ్లు (85) ',' ఒక కెప్టెన్ ద్వారా ఒక సిరీస్లో 5 వ అత్యధిక పరుగులు (548) ',' 6 వ అత్యంత అర్ధ కెరీర్లో (96) ',' 3 వ అత్యంత బాతులు కెరీర్ లో (28) ' 'కెరీర్లో 10 వ అత్యంత ఫోర్లు (1119)', 'కెరీర్ లో 1 వ అత్యధిక క్యాచ్లు (218)', '5000 పరుగులు మరియు 50 ఫీల్డింగ్ వికెట్లు', 'ఆరవ 2 వ అత్యధిక భాగస్వామ్యం' 6 వ 12000 పరుగులు (399) వేగంగా ' వికెట్ (218) ',' 1 వ వరుస ఇన్నింగ్స్లో (3) ',' 3 వ యాభైల్లో వరుస అన్ని టాస్ గెలిచిన (3) ',' 2 వ అత్యధిక పార్ రెండో వికెట్కు (166) కోసం tnership ',' కెరీర్ లో 2 వ అత్యధిక మ్యాచ్లు (652) ',' ఒక జట్టు కెప్టెన్గా 2 వ వరుస మ్యాచ్లు (100) ',' 4 వ కెరీర్ లో అత్యధిక పరుగులు (25957) ',' 6 వ అత్యంత కెరీర్లో ఒక జట్టు వ్యతిరేకంగా వందల (13) ',' 8 వ కెరీర్ తొంభైల (11) ',' 6 వ అత్యంత అర్ధ (190) ',' 5 వ కెరీర్ (47) ',' కెరీర్లో 4 వ అత్యంత ఫోర్లు (2679 లో అత్యంత బాతులు ) ',' కెరీర్ (440 లో 1 వ అత్యధిక క్యాచ్లు) ']</v>
      </c>
      <c r="C7464" s="2" t="s">
        <v>4313</v>
      </c>
      <c r="D7464" s="2" t="str">
        <f>IFERROR(__xludf.DUMMYFUNCTION("IF(C7464&lt;&gt;"""", GOOGLETRANSLATE(C7464, ""en"", ""te""),"""")"),"[ 'కెరీర్లో 9 వ అత్యధిక పరుగులు (11814)', '4 వ ఇన్నింగ్స్ (374) అత్యధిక పరుగులు' 'ఒక మ్యాచ్లో 9 వ అత్యధిక పరుగులు (374)', '1 వ ఇన్నింగ్స్ లో అత్యధిక పరుగులు (బ్యాటింగ్ స్థానంలో ప్రకారం) (374 ) ',' 1st ఒకే మైదానంలో అత్యధిక పరుగులు (2921) ',' ఒక కెప్టెన్తో"&amp;" ఇన్నింగ్స్ లో (510) ',' 2 వ అత్యధిక పరుగులు కెప్టెన్ ద్వారా ఒక సిరీస్లో 45 వ అత్యధిక పరుగులు (374) ',' 43 వ అత్యధిక కెరీర్ బ్యాటింగ్ సగటు (49.84) ',' 6 వ అత్యధిక వందలు ఒక వృత్తిలో (34) ',' ఒక వృత్తిలో 4 వ అత్యధిక డబుల్ సెంచరీలు (7) ',' ఒక వృత్తిలో 5 వ అత"&amp;"్యధిక ట్రిపుల్ సెంచరీలు (1) ',' 19 వ అత్యధిక వందలు లో ఒక క్యాలెండర్ ఏడాది (5) ',' 15 వ ఒక జట్టు వ్యతిరేకంగా అత్యధిక వందలు (8) ',' వరుస ఇన్నింగ్స్లో 5 వ వందల (3) ',' వరుస మ్యాచ్లలో 21 వందల (3) ',' డబుల్ స్కోరు 6 వ పిన్న ఆటగాడు వందల (21y 273d) ',' 10 వ కెరీ"&amp;"ర్ లో అత్యంత తొంభైల (6) ',' 9 వ కెరీర్ అర్ధ (84) ',' 25 వ కెరీర్ లో వచ్చిన ఎక్కువ సిక్స్ (61) ',' 8 వ అత్యంత ఫోర్లు కెరీర్లో (1387) ' '6 వ ఇన్నింగ్స్ లో వచ్చిన ఎక్కువ ఫోర్లు (43)', 'ఇన్నింగ్స్ లో ఫోర్లు, సిక్సర్లు నుండి 16 వ అత్యధిక పరుగులు (178)', '15 వ"&amp;" లాంగెస్ట్ వ్యక్తిగత ఇన్నింగ్స్ (నిమిషాలు) ( 752) ',' 14 వ లాంగెస్ట్ వ్యక్తిగత ఇన్నింగ్స్ (బంతులతో) (572) ',' ఒక ఇన్నింగ్స్లో పరుగులు 47 వ అత్యధిక శాతం (56.60) ',' 8 వ అసాధారణ వికెట్లు (అవుట్ రిటైర్) ',' 27th 3000 పరుగులు వేగంగా ( 65) ',' 36 వ 7000 పరుగు"&amp;"లు (150) ',' 9 వ 4000 పరుగులు (91) ',' 34 వ 5000 పరుగులు (114) ',' 30 వ వేగంగా వేగంగా చేయడానికి 6000 పరుగులు (134) ',' 20 వ వేగంగా వేగంగా వేగవంతమైన 8000 పరుగులు (165) ',' 5 వ 9000 వేగవంతమైన పరుగులు (178) ',' 10000 పరుగులు (210) ',' కెరీర్లో 11000 పరుగుల"&amp;"ు (237) ',' 2 వ అత్యధిక క్యాచ్లు వేగంగా 7 వ 7 వేగంగా (205 ) ',' 8 వ ఒక మ్యాచ్లో అత్యధిక క్యాచ్లు (6) ',' 42 వ ఒక సిరీస్లో అత్యధిక క్యాచ్లు (10) ',' 9 వ అత్యధిక ఏ వికెట్కు పార్టనర్ షిప్ (437) ',' నాలుగవ వికెట్కు 2 వ అత్యధిక భాగస్వామ్యం (437) ',' ఆరవ వికెట్"&amp;"కు 4 వ అత్యధిక భాగస్వామ్యం (351) ',' ఏడవ వికెట్కు 27 అత్యధిక భాగస్వామ్యం (183) ',' ఎనిమిదవ వికెట్కు 12 వ అత్యధిక భాగస్వామ్యం (170) ',' 10 వ కెరీర్ లో అత్యధిక మ్యాచ్లు (149) ',' ఒక జట్టు 8 వ వరుస మ్యాచ్లు (93) ',' 10 వ అత్యంత ప్లేయర్ ఆఫ్ ది మ్యాచ్ అవార్డుల"&amp;"ు (13) ',' 44 వ అత్యంత PLA yer ఆఫ్ ది సిరీస్ అవార్డులు (3) ',' 31 అత్యధిక మ్యాచ్లు కెప్టెన్గా (38) ',' 27 వ వరుస మ్యాచ్లు ఒక జట్టు కెప్టెన్గా (28) ',' 47 వ వరుస అన్ని టాస్ గెలిచిన (3) ']")</f>
        <v>[ 'కెరీర్లో 9 వ అత్యధిక పరుగులు (11814)', '4 వ ఇన్నింగ్స్ (374) అత్యధిక పరుగులు' 'ఒక మ్యాచ్లో 9 వ అత్యధిక పరుగులు (374)', '1 వ ఇన్నింగ్స్ లో అత్యధిక పరుగులు (బ్యాటింగ్ స్థానంలో ప్రకారం) (374 ) ',' 1st ఒకే మైదానంలో అత్యధిక పరుగులు (2921) ',' ఒక కెప్టెన్తో ఇన్నింగ్స్ లో (510) ',' 2 వ అత్యధిక పరుగులు కెప్టెన్ ద్వారా ఒక సిరీస్లో 45 వ అత్యధిక పరుగులు (374) ',' 43 వ అత్యధిక కెరీర్ బ్యాటింగ్ సగటు (49.84) ',' 6 వ అత్యధిక వందలు ఒక వృత్తిలో (34) ',' ఒక వృత్తిలో 4 వ అత్యధిక డబుల్ సెంచరీలు (7) ',' ఒక వృత్తిలో 5 వ అత్యధిక ట్రిపుల్ సెంచరీలు (1) ',' 19 వ అత్యధిక వందలు లో ఒక క్యాలెండర్ ఏడాది (5) ',' 15 వ ఒక జట్టు వ్యతిరేకంగా అత్యధిక వందలు (8) ',' వరుస ఇన్నింగ్స్లో 5 వ వందల (3) ',' వరుస మ్యాచ్లలో 21 వందల (3) ',' డబుల్ స్కోరు 6 వ పిన్న ఆటగాడు వందల (21y 273d) ',' 10 వ కెరీర్ లో అత్యంత తొంభైల (6) ',' 9 వ కెరీర్ అర్ధ (84) ',' 25 వ కెరీర్ లో వచ్చిన ఎక్కువ సిక్స్ (61) ',' 8 వ అత్యంత ఫోర్లు కెరీర్లో (1387) ' '6 వ ఇన్నింగ్స్ లో వచ్చిన ఎక్కువ ఫోర్లు (43)', 'ఇన్నింగ్స్ లో ఫోర్లు, సిక్సర్లు నుండి 16 వ అత్యధిక పరుగులు (178)', '15 వ లాంగెస్ట్ వ్యక్తిగత ఇన్నింగ్స్ (నిమిషాలు) ( 752) ',' 14 వ లాంగెస్ట్ వ్యక్తిగత ఇన్నింగ్స్ (బంతులతో) (572) ',' ఒక ఇన్నింగ్స్లో పరుగులు 47 వ అత్యధిక శాతం (56.60) ',' 8 వ అసాధారణ వికెట్లు (అవుట్ రిటైర్) ',' 27th 3000 పరుగులు వేగంగా ( 65) ',' 36 వ 7000 పరుగులు (150) ',' 9 వ 4000 పరుగులు (91) ',' 34 వ 5000 పరుగులు (114) ',' 30 వ వేగంగా వేగంగా చేయడానికి 6000 పరుగులు (134) ',' 20 వ వేగంగా వేగంగా వేగవంతమైన 8000 పరుగులు (165) ',' 5 వ 9000 వేగవంతమైన పరుగులు (178) ',' 10000 పరుగులు (210) ',' కెరీర్లో 11000 పరుగులు (237) ',' 2 వ అత్యధిక క్యాచ్లు వేగంగా 7 వ 7 వేగంగా (205 ) ',' 8 వ ఒక మ్యాచ్లో అత్యధిక క్యాచ్లు (6) ',' 42 వ ఒక సిరీస్లో అత్యధిక క్యాచ్లు (10) ',' 9 వ అత్యధిక ఏ వికెట్కు పార్టనర్ షిప్ (437) ',' నాలుగవ వికెట్కు 2 వ అత్యధిక భాగస్వామ్యం (437) ',' ఆరవ వికెట్కు 4 వ అత్యధిక భాగస్వామ్యం (351) ',' ఏడవ వికెట్కు 27 అత్యధిక భాగస్వామ్యం (183) ',' ఎనిమిదవ వికెట్కు 12 వ అత్యధిక భాగస్వామ్యం (170) ',' 10 వ కెరీర్ లో అత్యధిక మ్యాచ్లు (149) ',' ఒక జట్టు 8 వ వరుస మ్యాచ్లు (93) ',' 10 వ అత్యంత ప్లేయర్ ఆఫ్ ది మ్యాచ్ అవార్డులు (13) ',' 44 వ అత్యంత PLA yer ఆఫ్ ది సిరీస్ అవార్డులు (3) ',' 31 అత్యధిక మ్యాచ్లు కెప్టెన్గా (38) ',' 27 వ వరుస మ్యాచ్లు ఒక జట్టు కెప్టెన్గా (28) ',' 47 వ వరుస అన్ని టాస్ గెలిచిన (3) ']</v>
      </c>
      <c r="E7464" s="2" t="s">
        <v>4314</v>
      </c>
      <c r="F7464" s="2" t="str">
        <f>IFERROR(__xludf.DUMMYFUNCTION("IF(E7464&lt;&gt;"""", GOOGLETRANSLATE(E7464, ""en"", ""te""),"""")"),"[ 'ఒక సిరీస్లో 14 అత్యధిక పరుగులు (548)' 'కెరీర్లో 5 వ అత్యధిక పరుగులు (12650)', '37 వ ఒక క్యాలెండర్ సంవత్సరంలో అత్యధిక పరుగులు (1260)', '15 వ ఒకే క్రీడా (1712) లో అత్యధిక పరుగులు', ఒక కెప్టెన్ ద్వారా ఒక సిరీస్లో 5 వ అత్యధిక పరుగులు (548) ',' 15 కెరీర్లో "&amp;"అత్యధిక వందలు (19) ',' 47 వ పిన్న ఆటగాడు '19 ఒక జట్టు (5) వ్యతిరేకంగా అత్యధిక వందలు' వంద (21y 241d స్కోర్ వంద (37y స్కోర్) ',' 12 వ అత్యంత వృద్ధ ఆటగాడు 271d) ',' 34 వ కెరీర్ తొంభైల (4) ',' కెరీర్ లో 6 వ అత్యంత అర్ధ (96 కెరీర్లో) ',' 3 వ అత్యంత బాతులు (28"&amp;") ', '6 వ అత్యధిక వరుస బాతులు (3)', '7000 పరుగులు 35 వ వేగవంతమైన (235)' '10 వ అత్యధిక కెరీర్ లో ఫోర్లు (1119)', '39 వ ఇన్నింగ్స్ లో వచ్చిన ఎక్కువ ఫోర్లు (19)', '8000 పరుగులు వేగంగా 31 (278) ',' 20 వ 9000 పరుగులు (307) ',' 10000 పరుగులు (333) ',' 11000 పర"&amp;"ుగులు (368) ',' 6 వ వేగవంతమైన 9 వేగవంతమైన 12000 పరుగులు (399) ',' కు 14 వేగవంతమైన వేగంగా 1 వ అత్యంత వరుస (8) ',' ఆరవ వికెట్కు 2 వ అత్యధిక భాగస్వామ్యం (218) ',' 5 వ అత్యధిక లో ఒక ఇన్నింగ్స్ లో కెరీర్ లో క్యాచ్లు (218) ',' 2 వ అత్యధిక క్యాచ్లు (4) ',' 24"&amp;" వ అత్యధిక క్యాచ్లు pa ఏడవ వికెట్కు rtnership (126 *) ఎనిమిదో వికెట్కు ',' 33 వ అత్యధిక భాగస్వామ్యం (81) ',' కెరీర్ లో 2 వ అత్యధిక మ్యాచ్లు (448) ',' ఒక జట్టు 7 వ వరుస మ్యాచ్లు (122) ',' 23 అత్యంత ప్లేయర్ ఆఫ్ ది మ్యాచ్ అవార్డులు (22) ',' 24 వ అత్యంత ప్లేయ"&amp;"ర్ ఆఫ్ ది సిరీస్ అవార్డులు (4) ',' 25 వ లాంగెస్ట్ కెరీర్లు (17y 53d) ',' 11 వ అత్యధిక మ్యాచ్లు కెప్టెన్గా (129) ' 'ఒక జట్టు కెప్టెన్గా 4 వ వరుస మ్యాచ్లు (85)']")</f>
        <v>[ 'ఒక సిరీస్లో 14 అత్యధిక పరుగులు (548)' 'కెరీర్లో 5 వ అత్యధిక పరుగులు (12650)', '37 వ ఒక క్యాలెండర్ సంవత్సరంలో అత్యధిక పరుగులు (1260)', '15 వ ఒకే క్రీడా (1712) లో అత్యధిక పరుగులు', ఒక కెప్టెన్ ద్వారా ఒక సిరీస్లో 5 వ అత్యధిక పరుగులు (548) ',' 15 కెరీర్లో అత్యధిక వందలు (19) ',' 47 వ పిన్న ఆటగాడు '19 ఒక జట్టు (5) వ్యతిరేకంగా అత్యధిక వందలు' వంద (21y 241d స్కోర్ వంద (37y స్కోర్) ',' 12 వ అత్యంత వృద్ధ ఆటగాడు 271d) ',' 34 వ కెరీర్ తొంభైల (4) ',' కెరీర్ లో 6 వ అత్యంత అర్ధ (96 కెరీర్లో) ',' 3 వ అత్యంత బాతులు (28) ', '6 వ అత్యధిక వరుస బాతులు (3)', '7000 పరుగులు 35 వ వేగవంతమైన (235)' '10 వ అత్యధిక కెరీర్ లో ఫోర్లు (1119)', '39 వ ఇన్నింగ్స్ లో వచ్చిన ఎక్కువ ఫోర్లు (19)', '8000 పరుగులు వేగంగా 31 (278) ',' 20 వ 9000 పరుగులు (307) ',' 10000 పరుగులు (333) ',' 11000 పరుగులు (368) ',' 6 వ వేగవంతమైన 9 వేగవంతమైన 12000 పరుగులు (399) ',' కు 14 వేగవంతమైన వేగంగా 1 వ అత్యంత వరుస (8) ',' ఆరవ వికెట్కు 2 వ అత్యధిక భాగస్వామ్యం (218) ',' 5 వ అత్యధిక లో ఒక ఇన్నింగ్స్ లో కెరీర్ లో క్యాచ్లు (218) ',' 2 వ అత్యధిక క్యాచ్లు (4) ',' 24 వ అత్యధిక క్యాచ్లు pa ఏడవ వికెట్కు rtnership (126 *) ఎనిమిదో వికెట్కు ',' 33 వ అత్యధిక భాగస్వామ్యం (81) ',' కెరీర్ లో 2 వ అత్యధిక మ్యాచ్లు (448) ',' ఒక జట్టు 7 వ వరుస మ్యాచ్లు (122) ',' 23 అత్యంత ప్లేయర్ ఆఫ్ ది మ్యాచ్ అవార్డులు (22) ',' 24 వ అత్యంత ప్లేయర్ ఆఫ్ ది సిరీస్ అవార్డులు (4) ',' 25 వ లాంగెస్ట్ కెరీర్లు (17y 53d) ',' 11 వ అత్యధిక మ్యాచ్లు కెప్టెన్గా (129) ' 'ఒక జట్టు కెప్టెన్గా 4 వ వరుస మ్యాచ్లు (85)']</v>
      </c>
      <c r="G7464" s="2" t="s">
        <v>4315</v>
      </c>
      <c r="H7464" s="2" t="str">
        <f>IFERROR(__xludf.DUMMYFUNCTION("IF(G7464&lt;&gt;"""", GOOGLETRANSLATE(G7464, ""en"", ""te""),"""")"),"[ '36 వ కెరీర్ లో అత్యధిక పరుగులు (1493)', '24 వ ఇన్నింగ్స్ లో అత్యధిక పరుగులు (బ్యాటింగ్ స్థానంలో ప్రకారం) (89)' పై '44 వ అత్యధిక పరుగులు' 19 పరాజయం వైపు (89) ఒక మ్యాచ్లో అత్యధిక పరుగులు ' ఒకే క్రీడా (277) ',' 30 వ అత్యధిక కెరీర్ బ్యాటింగ్ సగటు (31.76)"&amp;" ',' 26th కెరీర్ అర్ధ (10) ',' వరుస ఇన్నింగ్స్లో 3 వ యాభైల్లో (3) ',' 18 వ కెరీర్ ఫోర్లు (173) ',' 12 వ ఇన్నింగ్స్ లో వచ్చిన ఎక్కువ ఫోర్లు (12) ', '21 వ లాంగెస్ట్ వ్యక్తిగత ఇన్నింగ్స్ (బంతులతో) (64)', 'ఒక ఇన్నింగ్స్లో పరుగుల 21 అత్యధిక శాతం (60.00)', 'ఫా"&amp;"స్టెస్ట్ 24 వరకు 1000 పరుగులు ( ఏ వికెట్కు 40) ',' 10 వ అత్యధిక భాగస్వామ్యాల (166) ',' రెండవ వికెట్కు 2 వ అత్యధిక భాగస్వామ్యం (166) ',' 19 వ అత్యంత ప్లేయర్ ఆఫ్ ది మ్యాచ్ అవార్డులు (6) ',' 35 వ వంటి అత్యధిక మ్యాచ్లు కెప్టెన్ (19) ',' ఒక జట్టు కెప్టెన్గా 4 "&amp;"వ వరుస మ్యాచ్లు (85) ',' 1 వ వరుస అన్ని టాస్ గెలిచిన (3) ']")</f>
        <v>[ '36 వ కెరీర్ లో అత్యధిక పరుగులు (1493)', '24 వ ఇన్నింగ్స్ లో అత్యధిక పరుగులు (బ్యాటింగ్ స్థానంలో ప్రకారం) (89)' పై '44 వ అత్యధిక పరుగులు' 19 పరాజయం వైపు (89) ఒక మ్యాచ్లో అత్యధిక పరుగులు ' ఒకే క్రీడా (277) ',' 30 వ అత్యధిక కెరీర్ బ్యాటింగ్ సగటు (31.76) ',' 26th కెరీర్ అర్ధ (10) ',' వరుస ఇన్నింగ్స్లో 3 వ యాభైల్లో (3) ',' 18 వ కెరీర్ ఫోర్లు (173) ',' 12 వ ఇన్నింగ్స్ లో వచ్చిన ఎక్కువ ఫోర్లు (12) ', '21 వ లాంగెస్ట్ వ్యక్తిగత ఇన్నింగ్స్ (బంతులతో) (64)', 'ఒక ఇన్నింగ్స్లో పరుగుల 21 అత్యధిక శాతం (60.00)', 'ఫాస్టెస్ట్ 24 వరకు 1000 పరుగులు ( ఏ వికెట్కు 40) ',' 10 వ అత్యధిక భాగస్వామ్యాల (166) ',' రెండవ వికెట్కు 2 వ అత్యధిక భాగస్వామ్యం (166) ',' 19 వ అత్యంత ప్లేయర్ ఆఫ్ ది మ్యాచ్ అవార్డులు (6) ',' 35 వ వంటి అత్యధిక మ్యాచ్లు కెప్టెన్ (19) ',' ఒక జట్టు కెప్టెన్గా 4 వ వరుస మ్యాచ్లు (85) ',' 1 వ వరుస అన్ని టాస్ గెలిచిన (3) ']</v>
      </c>
      <c r="I7464" s="3"/>
    </row>
    <row r="7465" customHeight="1" spans="1:9">
      <c r="A7465" s="2"/>
      <c r="B7465" s="2" t="str">
        <f>IFERROR(__xludf.DUMMYFUNCTION("IF(A7465&lt;&gt;"""", GOOGLETRANSLATE(A7465, ""en"", ""te""),"""")"),"")</f>
        <v/>
      </c>
      <c r="C7465" s="2"/>
      <c r="D7465" s="2" t="str">
        <f>IFERROR(__xludf.DUMMYFUNCTION("IF(C7465&lt;&gt;"""", GOOGLETRANSLATE(C7465, ""en"", ""te""),"""")"),"")</f>
        <v/>
      </c>
      <c r="E7465" s="2"/>
      <c r="F7465" s="2" t="str">
        <f>IFERROR(__xludf.DUMMYFUNCTION("IF(E7465&lt;&gt;"""", GOOGLETRANSLATE(E7465, ""en"", ""te""),"""")"),"")</f>
        <v/>
      </c>
      <c r="G7465" s="2"/>
      <c r="H7465" s="2" t="str">
        <f>IFERROR(__xludf.DUMMYFUNCTION("IF(G7465&lt;&gt;"""", GOOGLETRANSLATE(G7465, ""en"", ""te""),"""")"),"")</f>
        <v/>
      </c>
      <c r="I7465" s="3"/>
    </row>
    <row r="7466" customHeight="1" spans="1:9">
      <c r="A7466" s="2"/>
      <c r="B7466" s="2" t="str">
        <f>IFERROR(__xludf.DUMMYFUNCTION("IF(A7466&lt;&gt;"""", GOOGLETRANSLATE(A7466, ""en"", ""te""),"""")"),"")</f>
        <v/>
      </c>
      <c r="C7466" s="2"/>
      <c r="D7466" s="2" t="str">
        <f>IFERROR(__xludf.DUMMYFUNCTION("IF(C7466&lt;&gt;"""", GOOGLETRANSLATE(C7466, ""en"", ""te""),"""")"),"")</f>
        <v/>
      </c>
      <c r="E7466" s="2" t="s">
        <v>4316</v>
      </c>
      <c r="F7466" s="2" t="str">
        <f>IFERROR(__xludf.DUMMYFUNCTION("IF(E7466&lt;&gt;"""", GOOGLETRANSLATE(E7466, ""en"", ""te""),"""")"),"[18 వ షార్టేస్ట్ నివసించారు క్రీడాకారులు (39y 279d) ']")</f>
        <v>[18 వ షార్టేస్ట్ నివసించారు క్రీడాకారులు (39y 279d) ']</v>
      </c>
      <c r="G7466" s="2"/>
      <c r="H7466" s="2" t="str">
        <f>IFERROR(__xludf.DUMMYFUNCTION("IF(G7466&lt;&gt;"""", GOOGLETRANSLATE(G7466, ""en"", ""te""),"""")"),"")</f>
        <v/>
      </c>
      <c r="I7466" s="3"/>
    </row>
    <row r="7467" customHeight="1" spans="1:9">
      <c r="A7467" s="2"/>
      <c r="B7467" s="2" t="str">
        <f>IFERROR(__xludf.DUMMYFUNCTION("IF(A7467&lt;&gt;"""", GOOGLETRANSLATE(A7467, ""en"", ""te""),"""")"),"")</f>
        <v/>
      </c>
      <c r="C7467" s="2"/>
      <c r="D7467" s="2" t="str">
        <f>IFERROR(__xludf.DUMMYFUNCTION("IF(C7467&lt;&gt;"""", GOOGLETRANSLATE(C7467, ""en"", ""te""),"""")"),"")</f>
        <v/>
      </c>
      <c r="E7467" s="2"/>
      <c r="F7467" s="2" t="str">
        <f>IFERROR(__xludf.DUMMYFUNCTION("IF(E7467&lt;&gt;"""", GOOGLETRANSLATE(E7467, ""en"", ""te""),"""")"),"")</f>
        <v/>
      </c>
      <c r="G7467" s="2"/>
      <c r="H7467" s="2" t="str">
        <f>IFERROR(__xludf.DUMMYFUNCTION("IF(G7467&lt;&gt;"""", GOOGLETRANSLATE(G7467, ""en"", ""te""),"""")"),"")</f>
        <v/>
      </c>
      <c r="I7467" s="3"/>
    </row>
    <row r="7468" customHeight="1" spans="1:9">
      <c r="A7468" s="2"/>
      <c r="B7468" s="2" t="str">
        <f>IFERROR(__xludf.DUMMYFUNCTION("IF(A7468&lt;&gt;"""", GOOGLETRANSLATE(A7468, ""en"", ""te""),"""")"),"")</f>
        <v/>
      </c>
      <c r="C7468" s="2"/>
      <c r="D7468" s="2" t="str">
        <f>IFERROR(__xludf.DUMMYFUNCTION("IF(C7468&lt;&gt;"""", GOOGLETRANSLATE(C7468, ""en"", ""te""),"""")"),"")</f>
        <v/>
      </c>
      <c r="E7468" s="2"/>
      <c r="F7468" s="2" t="str">
        <f>IFERROR(__xludf.DUMMYFUNCTION("IF(E7468&lt;&gt;"""", GOOGLETRANSLATE(E7468, ""en"", ""te""),"""")"),"")</f>
        <v/>
      </c>
      <c r="G7468" s="2"/>
      <c r="H7468" s="2" t="str">
        <f>IFERROR(__xludf.DUMMYFUNCTION("IF(G7468&lt;&gt;"""", GOOGLETRANSLATE(G7468, ""en"", ""te""),"""")"),"")</f>
        <v/>
      </c>
      <c r="I7468" s="3"/>
    </row>
    <row r="7469" customHeight="1" spans="1:9">
      <c r="A7469" s="2"/>
      <c r="B7469" s="2" t="str">
        <f>IFERROR(__xludf.DUMMYFUNCTION("IF(A7469&lt;&gt;"""", GOOGLETRANSLATE(A7469, ""en"", ""te""),"""")"),"")</f>
        <v/>
      </c>
      <c r="C7469" s="2"/>
      <c r="D7469" s="2" t="str">
        <f>IFERROR(__xludf.DUMMYFUNCTION("IF(C7469&lt;&gt;"""", GOOGLETRANSLATE(C7469, ""en"", ""te""),"""")"),"")</f>
        <v/>
      </c>
      <c r="E7469" s="2"/>
      <c r="F7469" s="2" t="str">
        <f>IFERROR(__xludf.DUMMYFUNCTION("IF(E7469&lt;&gt;"""", GOOGLETRANSLATE(E7469, ""en"", ""te""),"""")"),"")</f>
        <v/>
      </c>
      <c r="G7469" s="2"/>
      <c r="H7469" s="2" t="str">
        <f>IFERROR(__xludf.DUMMYFUNCTION("IF(G7469&lt;&gt;"""", GOOGLETRANSLATE(G7469, ""en"", ""te""),"""")"),"")</f>
        <v/>
      </c>
      <c r="I7469" s="3"/>
    </row>
    <row r="7470" customHeight="1" spans="1:9">
      <c r="A7470" s="2"/>
      <c r="B7470" s="2" t="str">
        <f>IFERROR(__xludf.DUMMYFUNCTION("IF(A7470&lt;&gt;"""", GOOGLETRANSLATE(A7470, ""en"", ""te""),"""")"),"")</f>
        <v/>
      </c>
      <c r="C7470" s="2"/>
      <c r="D7470" s="2" t="str">
        <f>IFERROR(__xludf.DUMMYFUNCTION("IF(C7470&lt;&gt;"""", GOOGLETRANSLATE(C7470, ""en"", ""te""),"""")"),"")</f>
        <v/>
      </c>
      <c r="E7470" s="2"/>
      <c r="F7470" s="2" t="str">
        <f>IFERROR(__xludf.DUMMYFUNCTION("IF(E7470&lt;&gt;"""", GOOGLETRANSLATE(E7470, ""en"", ""te""),"""")"),"")</f>
        <v/>
      </c>
      <c r="G7470" s="2"/>
      <c r="H7470" s="2" t="str">
        <f>IFERROR(__xludf.DUMMYFUNCTION("IF(G7470&lt;&gt;"""", GOOGLETRANSLATE(G7470, ""en"", ""te""),"""")"),"")</f>
        <v/>
      </c>
      <c r="I7470" s="3"/>
    </row>
    <row r="7471" customHeight="1" spans="1:9">
      <c r="A7471" s="2"/>
      <c r="B7471" s="2" t="str">
        <f>IFERROR(__xludf.DUMMYFUNCTION("IF(A7471&lt;&gt;"""", GOOGLETRANSLATE(A7471, ""en"", ""te""),"""")"),"")</f>
        <v/>
      </c>
      <c r="C7471" s="2"/>
      <c r="D7471" s="2" t="str">
        <f>IFERROR(__xludf.DUMMYFUNCTION("IF(C7471&lt;&gt;"""", GOOGLETRANSLATE(C7471, ""en"", ""te""),"""")"),"")</f>
        <v/>
      </c>
      <c r="E7471" s="2"/>
      <c r="F7471" s="2" t="str">
        <f>IFERROR(__xludf.DUMMYFUNCTION("IF(E7471&lt;&gt;"""", GOOGLETRANSLATE(E7471, ""en"", ""te""),"""")"),"")</f>
        <v/>
      </c>
      <c r="G7471" s="2"/>
      <c r="H7471" s="2" t="str">
        <f>IFERROR(__xludf.DUMMYFUNCTION("IF(G7471&lt;&gt;"""", GOOGLETRANSLATE(G7471, ""en"", ""te""),"""")"),"")</f>
        <v/>
      </c>
      <c r="I7471" s="3"/>
    </row>
    <row r="7472" customHeight="1" spans="1:9">
      <c r="A7472" s="2"/>
      <c r="B7472" s="2" t="str">
        <f>IFERROR(__xludf.DUMMYFUNCTION("IF(A7472&lt;&gt;"""", GOOGLETRANSLATE(A7472, ""en"", ""te""),"""")"),"")</f>
        <v/>
      </c>
      <c r="C7472" s="2"/>
      <c r="D7472" s="2" t="str">
        <f>IFERROR(__xludf.DUMMYFUNCTION("IF(C7472&lt;&gt;"""", GOOGLETRANSLATE(C7472, ""en"", ""te""),"""")"),"")</f>
        <v/>
      </c>
      <c r="E7472" s="2" t="s">
        <v>4317</v>
      </c>
      <c r="F7472" s="2" t="str">
        <f>IFERROR(__xludf.DUMMYFUNCTION("IF(E7472&lt;&gt;"""", GOOGLETRANSLATE(E7472, ""en"", ""te""),"""")"),"[ '33 వ చెత్త కెరీర్ బౌలింగ్ సరాసరి (48.67)', '19 చెత్త కెరీర్లో సమ్మె రేటు (67.9)']")</f>
        <v>[ '33 వ చెత్త కెరీర్ బౌలింగ్ సరాసరి (48.67)', '19 చెత్త కెరీర్లో సమ్మె రేటు (67.9)']</v>
      </c>
      <c r="G7472" s="2"/>
      <c r="H7472" s="2" t="str">
        <f>IFERROR(__xludf.DUMMYFUNCTION("IF(G7472&lt;&gt;"""", GOOGLETRANSLATE(G7472, ""en"", ""te""),"""")"),"")</f>
        <v/>
      </c>
      <c r="I7472" s="3"/>
    </row>
    <row r="7473" customHeight="1" spans="1:9">
      <c r="A7473" s="2"/>
      <c r="B7473" s="2" t="str">
        <f>IFERROR(__xludf.DUMMYFUNCTION("IF(A7473&lt;&gt;"""", GOOGLETRANSLATE(A7473, ""en"", ""te""),"""")"),"")</f>
        <v/>
      </c>
      <c r="C7473" s="2"/>
      <c r="D7473" s="2" t="str">
        <f>IFERROR(__xludf.DUMMYFUNCTION("IF(C7473&lt;&gt;"""", GOOGLETRANSLATE(C7473, ""en"", ""te""),"""")"),"")</f>
        <v/>
      </c>
      <c r="E7473" s="2"/>
      <c r="F7473" s="2" t="str">
        <f>IFERROR(__xludf.DUMMYFUNCTION("IF(E7473&lt;&gt;"""", GOOGLETRANSLATE(E7473, ""en"", ""te""),"""")"),"")</f>
        <v/>
      </c>
      <c r="G7473" s="2"/>
      <c r="H7473" s="2" t="str">
        <f>IFERROR(__xludf.DUMMYFUNCTION("IF(G7473&lt;&gt;"""", GOOGLETRANSLATE(G7473, ""en"", ""te""),"""")"),"")</f>
        <v/>
      </c>
      <c r="I7473" s="3"/>
    </row>
    <row r="7474" customHeight="1" spans="1:9">
      <c r="A7474" s="2"/>
      <c r="B7474" s="2" t="str">
        <f>IFERROR(__xludf.DUMMYFUNCTION("IF(A7474&lt;&gt;"""", GOOGLETRANSLATE(A7474, ""en"", ""te""),"""")"),"")</f>
        <v/>
      </c>
      <c r="C7474" s="2"/>
      <c r="D7474" s="2" t="str">
        <f>IFERROR(__xludf.DUMMYFUNCTION("IF(C7474&lt;&gt;"""", GOOGLETRANSLATE(C7474, ""en"", ""te""),"""")"),"")</f>
        <v/>
      </c>
      <c r="E7474" s="2"/>
      <c r="F7474" s="2" t="str">
        <f>IFERROR(__xludf.DUMMYFUNCTION("IF(E7474&lt;&gt;"""", GOOGLETRANSLATE(E7474, ""en"", ""te""),"""")"),"")</f>
        <v/>
      </c>
      <c r="G7474" s="2"/>
      <c r="H7474" s="2" t="str">
        <f>IFERROR(__xludf.DUMMYFUNCTION("IF(G7474&lt;&gt;"""", GOOGLETRANSLATE(G7474, ""en"", ""te""),"""")"),"")</f>
        <v/>
      </c>
      <c r="I7474" s="3"/>
    </row>
    <row r="7475" customHeight="1" spans="1:9">
      <c r="A7475" s="2" t="s">
        <v>4318</v>
      </c>
      <c r="B7475" s="2" t="str">
        <f>IFERROR(__xludf.DUMMYFUNCTION("IF(A7475&lt;&gt;"""", GOOGLETRANSLATE(A7475, ""en"", ""te""),"""")"),"[ '6 వ అత్యంత స్టంపింగ్లు కెరీర్లో (32)', '1 వ అత్యధిక ఇన్నింగ్స్ బై గూడా ఇవ్వకుండా మొత్తం ఒక మ్యాచ్ (9) 8 వ అత్యధిక క్యాచ్లు', '(9) ఒక మ్యాచ్లో 8 వ ఎక్కువ సార్లు అవుట్' (726 / 9D) ',' హండ్రెడ్ మరియు ఒక మ్యాచ్లో ఒక డక్ ',' 2000 పరుగులు మరియు 100 వికెట్ క"&amp;"ీపింగ్ తొలగింపులకు ']")</f>
        <v>[ '6 వ అత్యంత స్టంపింగ్లు కెరీర్లో (32)', '1 వ అత్యధిక ఇన్నింగ్స్ బై గూడా ఇవ్వకుండా మొత్తం ఒక మ్యాచ్ (9) 8 వ అత్యధిక క్యాచ్లు', '(9) ఒక మ్యాచ్లో 8 వ ఎక్కువ సార్లు అవుట్' (726 / 9D) ',' హండ్రెడ్ మరియు ఒక మ్యాచ్లో ఒక డక్ ',' 2000 పరుగులు మరియు 100 వికెట్ కీపింగ్ తొలగింపులకు ']</v>
      </c>
      <c r="C7475" s="2" t="s">
        <v>4319</v>
      </c>
      <c r="D7475" s="2" t="str">
        <f>IFERROR(__xludf.DUMMYFUNCTION("IF(C7475&lt;&gt;"""", GOOGLETRANSLATE(C7475, ""en"", ""te""),"""")"),"[ 'అత్యధిక వికెట్లు ఇన్నింగ్స్ లో 34 వ అత్యధిక పరుగులు (154 *)', 'ఏడవ వికెట్కు 12 వ అత్యధిక భాగస్వామ్యం (223 *)', '29th కెరీర్లో అత్యధిక వికెట్లు (156)', '8 వ అత్యధిక వికెట్లు ఒక మ్యాచ్లో ( 9) ',' ఒక మ్యాచ్లో కెరీర్లో 34 వ అత్యధిక క్యాచ్లు (124) ',' 8 వ అ"&amp;"త్యధిక క్యాచ్లు (9) ',' ఒక మ్యాచ్లో కెరీర్లో 6 వ అత్యంత స్టంపింగ్లు (32) ',' 12 వ అత్యంత స్టంపింగ్లు (3) ', '1 వ అత్యధిక ఇన్నింగ్స్ బై (726 / 9D) గూడా ఇవ్వకుండా మొత్తం' '18 వ వరుస (5) అత్యంత స్టంపింగ్లు', '23 వ ఇన్నింగ్స్ లో సాధించిన బైస్ (25)']")</f>
        <v>[ 'అత్యధిక వికెట్లు ఇన్నింగ్స్ లో 34 వ అత్యధిక పరుగులు (154 *)', 'ఏడవ వికెట్కు 12 వ అత్యధిక భాగస్వామ్యం (223 *)', '29th కెరీర్లో అత్యధిక వికెట్లు (156)', '8 వ అత్యధిక వికెట్లు ఒక మ్యాచ్లో ( 9) ',' ఒక మ్యాచ్లో కెరీర్లో 34 వ అత్యధిక క్యాచ్లు (124) ',' 8 వ అత్యధిక క్యాచ్లు (9) ',' ఒక మ్యాచ్లో కెరీర్లో 6 వ అత్యంత స్టంపింగ్లు (32) ',' 12 వ అత్యంత స్టంపింగ్లు (3) ', '1 వ అత్యధిక ఇన్నింగ్స్ బై (726 / 9D) గూడా ఇవ్వకుండా మొత్తం' '18 వ వరుస (5) అత్యంత స్టంపింగ్లు', '23 వ ఇన్నింగ్స్ లో సాధించిన బైస్ (25)']</v>
      </c>
      <c r="E7475" s="2"/>
      <c r="F7475" s="2" t="str">
        <f>IFERROR(__xludf.DUMMYFUNCTION("IF(E7475&lt;&gt;"""", GOOGLETRANSLATE(E7475, ""en"", ""te""),"""")"),"")</f>
        <v/>
      </c>
      <c r="G7475" s="2"/>
      <c r="H7475" s="2" t="str">
        <f>IFERROR(__xludf.DUMMYFUNCTION("IF(G7475&lt;&gt;"""", GOOGLETRANSLATE(G7475, ""en"", ""te""),"""")"),"")</f>
        <v/>
      </c>
      <c r="I7475" s="3"/>
    </row>
    <row r="7476" customHeight="1" spans="1:9">
      <c r="A7476" s="2"/>
      <c r="B7476" s="2" t="str">
        <f>IFERROR(__xludf.DUMMYFUNCTION("IF(A7476&lt;&gt;"""", GOOGLETRANSLATE(A7476, ""en"", ""te""),"""")"),"")</f>
        <v/>
      </c>
      <c r="C7476" s="2"/>
      <c r="D7476" s="2" t="str">
        <f>IFERROR(__xludf.DUMMYFUNCTION("IF(C7476&lt;&gt;"""", GOOGLETRANSLATE(C7476, ""en"", ""te""),"""")"),"")</f>
        <v/>
      </c>
      <c r="E7476" s="2"/>
      <c r="F7476" s="2" t="str">
        <f>IFERROR(__xludf.DUMMYFUNCTION("IF(E7476&lt;&gt;"""", GOOGLETRANSLATE(E7476, ""en"", ""te""),"""")"),"")</f>
        <v/>
      </c>
      <c r="G7476" s="2"/>
      <c r="H7476" s="2" t="str">
        <f>IFERROR(__xludf.DUMMYFUNCTION("IF(G7476&lt;&gt;"""", GOOGLETRANSLATE(G7476, ""en"", ""te""),"""")"),"")</f>
        <v/>
      </c>
      <c r="I7476" s="3"/>
    </row>
    <row r="7477" customHeight="1" spans="1:9">
      <c r="A7477" s="2"/>
      <c r="B7477" s="2" t="str">
        <f>IFERROR(__xludf.DUMMYFUNCTION("IF(A7477&lt;&gt;"""", GOOGLETRANSLATE(A7477, ""en"", ""te""),"""")"),"")</f>
        <v/>
      </c>
      <c r="C7477" s="2"/>
      <c r="D7477" s="2" t="str">
        <f>IFERROR(__xludf.DUMMYFUNCTION("IF(C7477&lt;&gt;"""", GOOGLETRANSLATE(C7477, ""en"", ""te""),"""")"),"")</f>
        <v/>
      </c>
      <c r="E7477" s="2"/>
      <c r="F7477" s="2" t="str">
        <f>IFERROR(__xludf.DUMMYFUNCTION("IF(E7477&lt;&gt;"""", GOOGLETRANSLATE(E7477, ""en"", ""te""),"""")"),"")</f>
        <v/>
      </c>
      <c r="G7477" s="2"/>
      <c r="H7477" s="2" t="str">
        <f>IFERROR(__xludf.DUMMYFUNCTION("IF(G7477&lt;&gt;"""", GOOGLETRANSLATE(G7477, ""en"", ""te""),"""")"),"")</f>
        <v/>
      </c>
      <c r="I7477" s="3"/>
    </row>
    <row r="7478" customHeight="1" spans="1:9">
      <c r="A7478" s="2"/>
      <c r="B7478" s="2" t="str">
        <f>IFERROR(__xludf.DUMMYFUNCTION("IF(A7478&lt;&gt;"""", GOOGLETRANSLATE(A7478, ""en"", ""te""),"""")"),"")</f>
        <v/>
      </c>
      <c r="C7478" s="2"/>
      <c r="D7478" s="2" t="str">
        <f>IFERROR(__xludf.DUMMYFUNCTION("IF(C7478&lt;&gt;"""", GOOGLETRANSLATE(C7478, ""en"", ""te""),"""")"),"")</f>
        <v/>
      </c>
      <c r="E7478" s="2"/>
      <c r="F7478" s="2" t="str">
        <f>IFERROR(__xludf.DUMMYFUNCTION("IF(E7478&lt;&gt;"""", GOOGLETRANSLATE(E7478, ""en"", ""te""),"""")"),"")</f>
        <v/>
      </c>
      <c r="G7478" s="2"/>
      <c r="H7478" s="2" t="str">
        <f>IFERROR(__xludf.DUMMYFUNCTION("IF(G7478&lt;&gt;"""", GOOGLETRANSLATE(G7478, ""en"", ""te""),"""")"),"")</f>
        <v/>
      </c>
      <c r="I7478" s="3"/>
    </row>
    <row r="7479" customHeight="1" spans="1:9">
      <c r="A7479" s="2"/>
      <c r="B7479" s="2" t="str">
        <f>IFERROR(__xludf.DUMMYFUNCTION("IF(A7479&lt;&gt;"""", GOOGLETRANSLATE(A7479, ""en"", ""te""),"""")"),"")</f>
        <v/>
      </c>
      <c r="C7479" s="2"/>
      <c r="D7479" s="2" t="str">
        <f>IFERROR(__xludf.DUMMYFUNCTION("IF(C7479&lt;&gt;"""", GOOGLETRANSLATE(C7479, ""en"", ""te""),"""")"),"")</f>
        <v/>
      </c>
      <c r="E7479" s="2"/>
      <c r="F7479" s="2" t="str">
        <f>IFERROR(__xludf.DUMMYFUNCTION("IF(E7479&lt;&gt;"""", GOOGLETRANSLATE(E7479, ""en"", ""te""),"""")"),"")</f>
        <v/>
      </c>
      <c r="G7479" s="2"/>
      <c r="H7479" s="2" t="str">
        <f>IFERROR(__xludf.DUMMYFUNCTION("IF(G7479&lt;&gt;"""", GOOGLETRANSLATE(G7479, ""en"", ""te""),"""")"),"")</f>
        <v/>
      </c>
      <c r="I7479" s="3"/>
    </row>
    <row r="7480" customHeight="1" spans="1:9">
      <c r="A7480" s="2" t="s">
        <v>4320</v>
      </c>
      <c r="B7480" s="2" t="str">
        <f>IFERROR(__xludf.DUMMYFUNCTION("IF(A7480&lt;&gt;"""", GOOGLETRANSLATE(A7480, ""en"", ""te""),"""")"),"[ '10 వ అత్యంత ఒక జట్టు కెప్టెన్గా వరుస మ్యాచ్లు (38)', 'ఇన్నింగ్స్ లో 3 వ అత్యధిక పరుగులు (బ్యాటింగ్ స్థానంలో ప్రకారం) (340)', 'ఒక వృత్తిలో 5 వ అత్యధిక ట్రిపుల్ సెంచరీలు (1)', '4 వ లాంగెస్ట్ వ్యక్తిగత ఇన్నింగ్స్ (నిమిషాలు) (799) ',' రెండవ వికెట్ బ్యాటింగ"&amp;"్ ఆరంభించిన మరియు అదే మ్యాచ్ లో బౌలింగ్ ',' 1000 పరుగులు, 50 వికెట్లు, 50 క్యాచ్లు ',' 5000 పరుగులు మరియు 50 ఫీల్డింగ్ వికెట్లు ',' 1 వ అత్యధిక భాగస్వామ్యం (576) ',' 2 వ లాంగెస్ట్ కెరీర్లు ఒక కెప్టెన్తో (21y 184d) ',' 3 వ అత్యంత ఇన్నింగ్స్ లో నడుస్తుంది ("&amp;"189) ',' 99 పరుగుల వంద (39y 212d) ',' 1st స్కోర్ 2 వ అత్యంత వృద్ధ ఆటగాడు ( 199, 299 etc) (99) ',' 6 వ అత్యధిక కెరీర్ లో అర్ధ (96) ',' 1 వ కెరీర్ బాతులు (34) ',' 2 వ కెరీర్ ఫోర్లు (1500) ',' 6 వ పరుగులు అత్యధిక శాతం ఒక ఇన్నింగ్స్లో (63.21) ',' 4 వ 13000 పర"&amp;"ుగులు (416) ',' 1 వ అత్యుత్తమ బౌలింగ్ ఇన్నింగ్స్ లో విశ్లేషించడం (1/0) ',' 6 వ కెరీర్ లో బౌల్డ్ చాలా బంతుల్లో (14874) ',' 3 వ అత్యంత వేగంగా కెరీర్లో సాధించిన పరుగులు (11871) ',' 3 వ అత్యంత స్టంప్ వికెట్లు తీసుకున్నారు (42) ',' వంద మరియు నాలుగు w ఒక ఇన్నిం"&amp;"గ్స్ లో ickets ',' 1000 పరుగులు, 50 వికెట్లు, 50 క్యాచ్లు ',' 5000 పరుగులు మరియు 50 ఫీల్డింగ్ వికెట్లు ',' 8 వ పురాతన దేశం ఆటగాళ్ళు (51y 258d) ',' వరుస ఇన్నింగ్స్లో 3 వ యాభైల్లో (3) ',' 5 వ ఒక ఇన్నింగ్స్ లో సాధించిన అత్యధిక పరుగులు (64) ',' 2 వ అత్యంత ప్"&amp;"లేయర్ ఆఫ్ ది మ్యాచ్ అవార్డులు (58) ',' 7th ఒకే మైదానంలో అత్యధిక పరుగులు (3146) ',' 3 వ అత్యంత బాతులు కెరీర్ లో (53) ' 'కెరీర్ లో 6 వ ఎక్కువ సిక్స్ (352)', '6 వ అత్యధిక వికెట్లు స్టంప్ తీసుకున్న (49)']")</f>
        <v>[ '10 వ అత్యంత ఒక జట్టు కెప్టెన్గా వరుస మ్యాచ్లు (38)', 'ఇన్నింగ్స్ లో 3 వ అత్యధిక పరుగులు (బ్యాటింగ్ స్థానంలో ప్రకారం) (340)', 'ఒక వృత్తిలో 5 వ అత్యధిక ట్రిపుల్ సెంచరీలు (1)', '4 వ లాంగెస్ట్ వ్యక్తిగత ఇన్నింగ్స్ (నిమిషాలు) (799) ',' రెండవ వికెట్ బ్యాటింగ్ ఆరంభించిన మరియు అదే మ్యాచ్ లో బౌలింగ్ ',' 1000 పరుగులు, 50 వికెట్లు, 50 క్యాచ్లు ',' 5000 పరుగులు మరియు 50 ఫీల్డింగ్ వికెట్లు ',' 1 వ అత్యధిక భాగస్వామ్యం (576) ',' 2 వ లాంగెస్ట్ కెరీర్లు ఒక కెప్టెన్తో (21y 184d) ',' 3 వ అత్యంత ఇన్నింగ్స్ లో నడుస్తుంది (189) ',' 99 పరుగుల వంద (39y 212d) ',' 1st స్కోర్ 2 వ అత్యంత వృద్ధ ఆటగాడు ( 199, 299 etc) (99) ',' 6 వ అత్యధిక కెరీర్ లో అర్ధ (96) ',' 1 వ కెరీర్ బాతులు (34) ',' 2 వ కెరీర్ ఫోర్లు (1500) ',' 6 వ పరుగులు అత్యధిక శాతం ఒక ఇన్నింగ్స్లో (63.21) ',' 4 వ 13000 పరుగులు (416) ',' 1 వ అత్యుత్తమ బౌలింగ్ ఇన్నింగ్స్ లో విశ్లేషించడం (1/0) ',' 6 వ కెరీర్ లో బౌల్డ్ చాలా బంతుల్లో (14874) ',' 3 వ అత్యంత వేగంగా కెరీర్లో సాధించిన పరుగులు (11871) ',' 3 వ అత్యంత స్టంప్ వికెట్లు తీసుకున్నారు (42) ',' వంద మరియు నాలుగు w ఒక ఇన్నింగ్స్ లో ickets ',' 1000 పరుగులు, 50 వికెట్లు, 50 క్యాచ్లు ',' 5000 పరుగులు మరియు 50 ఫీల్డింగ్ వికెట్లు ',' 8 వ పురాతన దేశం ఆటగాళ్ళు (51y 258d) ',' వరుస ఇన్నింగ్స్లో 3 వ యాభైల్లో (3) ',' 5 వ ఒక ఇన్నింగ్స్ లో సాధించిన అత్యధిక పరుగులు (64) ',' 2 వ అత్యంత ప్లేయర్ ఆఫ్ ది మ్యాచ్ అవార్డులు (58) ',' 7th ఒకే మైదానంలో అత్యధిక పరుగులు (3146) ',' 3 వ అత్యంత బాతులు కెరీర్ లో (53) ' 'కెరీర్ లో 6 వ ఎక్కువ సిక్స్ (352)', '6 వ అత్యధిక వికెట్లు స్టంప్ తీసుకున్న (49)']</v>
      </c>
      <c r="C7480" s="2" t="s">
        <v>4321</v>
      </c>
      <c r="D7480" s="2" t="str">
        <f>IFERROR(__xludf.DUMMYFUNCTION("IF(C7480&lt;&gt;"""", GOOGLETRANSLATE(C7480, ""en"", ""te""),"""")"),"[ 'ఇన్నింగ్స్ లో 7 వ అత్యధిక పరుగులు (340)', '20 వ మ్యాచ్ లో అత్యధిక పరుగులు (340)', '40 వ ఒక క్యాలెండర్ సంవత్సరంలో అత్యధిక పరుగులు (1271)', '3 వ అత్యంత ఇన్నింగ్స్ లో నడుస్తుంది (బ్యాటింగ్ స్థానం) (340) ',' 12 వ ఒకే మైదానంలో అత్యధిక పరుగులు (1542) ',' ఒక"&amp;" వృత్తిలో (3) ',' 5 వ అత్యధిక ట్రిపుల్ వందల ఒక కెరీర్లో 27 వ అత్యధిక డబుల్ సెంచరీలు (1) వరుస మ్యాచ్లలో ',' 26th యాభైల్లో (7) ',' 27 వ కెరీర్ లో వచ్చిన ఎక్కువ సిక్స్ (59) ',' 33 వ అత్యంత ఫోర్లు ఒక ఇన్నింగ్స్ లో కెరీర్లో (910) ',' 36 వ ఇన్నింగ్స్ లో వచ్చిన"&amp;" ఎక్కువ సిక్స్ (6) ',' 31 మోస్ట్ ఫోర్లు (36) ' , '4 వ లాంగెస్ట్ వ్యక్తిగత ఇన్నింగ్స్ (నిమిషాలు) (799)', '13 వ లాంగెస్ట్ వ్యక్తిగత ఇన్నింగ్స్ (బంతులతో) (578)', '36 వ అత్యధిక శాతం' 31 ఇన్నింగ్స్ (156) లో ఫోర్లు, సిక్సర్లు నుండి అత్యధిక పరుగులు ' ఒక ఇన్నింగ్"&amp;"స్లో పరుగులు (57.76) ', '21 వ ఒక కెప్టెన్తో ఒక మ్యాచ్లో ఉత్తమ బొమ్మలు (9)', 'ఏ వికెట్కు (576) కోసం 2 వ అత్యధిక భాగస్వామ్యాలు', 'వికెట్ తేడాతో 2nd అత్యధిక భాగస్వామ్యాల (2 వ)', '1st రెండవ వికెట్కు అత్యధిక భాగస్వామ్యం (576) ',' తొమ్మిదవ వికెట్కు 48 వ అత్యధిక"&amp;" భాగస్వామ్యం (101) ',' 45 వ అత్యధిక మ్యాచ్లు లో కెరీర్ (110) ',' 31 అత్యధిక మ్యాచ్లు కెప్టెన్గా (38) ',' ఒక జట్టు కెప్టెన్గా 10 వ వరుస మ్యాచ్లు (38) ',' 47 వ వరుస అన్ని టాస్ గెలిచిన (3) ']")</f>
        <v>[ 'ఇన్నింగ్స్ లో 7 వ అత్యధిక పరుగులు (340)', '20 వ మ్యాచ్ లో అత్యధిక పరుగులు (340)', '40 వ ఒక క్యాలెండర్ సంవత్సరంలో అత్యధిక పరుగులు (1271)', '3 వ అత్యంత ఇన్నింగ్స్ లో నడుస్తుంది (బ్యాటింగ్ స్థానం) (340) ',' 12 వ ఒకే మైదానంలో అత్యధిక పరుగులు (1542) ',' ఒక వృత్తిలో (3) ',' 5 వ అత్యధిక ట్రిపుల్ వందల ఒక కెరీర్లో 27 వ అత్యధిక డబుల్ సెంచరీలు (1) వరుస మ్యాచ్లలో ',' 26th యాభైల్లో (7) ',' 27 వ కెరీర్ లో వచ్చిన ఎక్కువ సిక్స్ (59) ',' 33 వ అత్యంత ఫోర్లు ఒక ఇన్నింగ్స్ లో కెరీర్లో (910) ',' 36 వ ఇన్నింగ్స్ లో వచ్చిన ఎక్కువ సిక్స్ (6) ',' 31 మోస్ట్ ఫోర్లు (36) ' , '4 వ లాంగెస్ట్ వ్యక్తిగత ఇన్నింగ్స్ (నిమిషాలు) (799)', '13 వ లాంగెస్ట్ వ్యక్తిగత ఇన్నింగ్స్ (బంతులతో) (578)', '36 వ అత్యధిక శాతం' 31 ఇన్నింగ్స్ (156) లో ఫోర్లు, సిక్సర్లు నుండి అత్యధిక పరుగులు ' ఒక ఇన్నింగ్స్లో పరుగులు (57.76) ', '21 వ ఒక కెప్టెన్తో ఒక మ్యాచ్లో ఉత్తమ బొమ్మలు (9)', 'ఏ వికెట్కు (576) కోసం 2 వ అత్యధిక భాగస్వామ్యాలు', 'వికెట్ తేడాతో 2nd అత్యధిక భాగస్వామ్యాల (2 వ)', '1st రెండవ వికెట్కు అత్యధిక భాగస్వామ్యం (576) ',' తొమ్మిదవ వికెట్కు 48 వ అత్యధిక భాగస్వామ్యం (101) ',' 45 వ అత్యధిక మ్యాచ్లు లో కెరీర్ (110) ',' 31 అత్యధిక మ్యాచ్లు కెప్టెన్గా (38) ',' ఒక జట్టు కెప్టెన్గా 10 వ వరుస మ్యాచ్లు (38) ',' 47 వ వరుస అన్ని టాస్ గెలిచిన (3) ']</v>
      </c>
      <c r="E7480" s="2" t="s">
        <v>4322</v>
      </c>
      <c r="F7480" s="2" t="str">
        <f>IFERROR(__xludf.DUMMYFUNCTION("IF(E7480&lt;&gt;"""", GOOGLETRANSLATE(E7480, ""en"", ""te""),"""")"),"[ 'కెరీర్లో 4 వ అత్యధిక పరుగులు (13430)', '14 వ ఇన్నింగ్స్ (189) అత్యధిక పరుగులు' 'వరుస 50 వ అత్యధిక పరుగులు (467)', '49 వ ఒక క్యాలెండర్ సంవత్సరంలో అత్యధిక పరుగులు (1202)', ' 12 వ అత్యంత ఇన్నింగ్స్ లో నడుస్తుంది (బ్యాటింగ్ స్థానం) (189) ',' 4 వ ఒకే మైదాన"&amp;"ంలో అత్యధిక పరుగులు (2514) ',' 22 వ కెప్టెన్ ద్వారా ఒక సిరీస్లో అత్యధిక పరుగులు (413) ',' 3 వ చాల వరకు ఒక లో నడుస్తుంది ఒక కెప్టెన్తో ఇన్నింగ్స్ (189) ',' 41 వ అత్యధిక సమ్మె ఇన్నింగ్స్ (271.42) ',' చాలా 5 వ వందలలో కెరీర్లో రేటు (28) ',' ఒక క్యాలెండర్ సంవత"&amp;"్సరంలో 11 వ అత్యధిక వందలు (5) ',' 7 వ అత్యంత ఒక జట్టు (7) ',' 35 వ అత్యధిక తొలి వంద (140) ',' 2 వ అత్యంత వృద్ధ ఆటగాడు వ్యతిరేకంగా వందల కెరీర్లో వంద (39y 212d) ',' 8 వ స్కోర్ అత్యంత తొంభైల (6) ',' 1 వ 99 పరుగుల ( 199, 299 etc) (99) ',' 6 వ కెరీర్ అర్ధ (96"&amp;") ',' వరుస ఇన్నింగ్స్లో 11 వ యాభైల్లో (5) ',' 1st చాలా బాతులు కెరీర్ లో (34) ',' 3 వ ఎక్కువ సిక్స్ వృత్తి కెరీర్లో (270) ',' 2 వ అత్యంత ఫోర్లు (1500) ',' 13 వ అత్యంత ఇన్నింగ్స్ లో ఒక ఇన్నింగ్స్ లో సిక్సర్లు (11) ',' 4 వ అత్యంత ఫోర్లు (24) ',' 28 వ ఫోర్లు"&amp;", సిక్సర్లు నుండి చాలా పరుగులు n ఇన్నింగ్స్ (110) ',' 31 లాంగెస్ట్ వ్యక్తిగత ఇన్నింగ్స్ (బంతులతో) (161) ',' ఒక ఇన్నింగ్స్లో పరుగుల 6 వ అత్యధిక శాతం (63.21) ',' 37 వ 7000 పరుగులు (238) ',' 29th వేగంగా వేగంగా 8000 పరుగులు (263) ',' 18 వ వేగంగా 9000 పరుగులు "&amp;"(291) ',' 13 వ వేగంగా చేయడానికి 10000 పరుగులు (328) ',' 12000 పరుగులు 11000 పరుగులు (354) ',' 5 వ వేగవంతమైన వేగంగా 8 వ (379) ',' 4 వ కెరీర్లో 13000 పరుగులు (416) ',' 11 వ అత్యధిక వికెట్లు వేగంగా (323) ',' 49 వ ఇన్నింగ్స్ (6/29) ',' 1 వ అత్యుత్తమ బౌలింగ్ "&amp;"ఇన్నింగ్స్ విశ్లేషణలలో ఉత్తమ బొమ్మలు (1/0 ) ',' ఒకే మైదానంలో 10 వ అత్యధిక వికెట్లు (60) ',' ఒక కెప్టెన్తో ఒక ఇన్నింగ్స్ లో 6 వ ఉత్తమ బొమ్మలు (5) ',' 14 వ ఒక ఇన్నింగ్స్ లోని బెస్ట్ ఫిగర్స్ ఉన్నప్పుడు పరాజయం వైపు (5) ',' 12 వ ఒక ఇన్నింగ్స్ లోని బెస్ట్ సమ్"&amp;"మె రేటు (6.0) ',' 44th చెత్త ఇన్నింగ్స్ లో ఆర్థిక రేటు (10.85) ',' 15 వ అత్యంత ఐదు-వికెట్ల లో-ఒక-ఇన్నింగ్స్ కెరీర్లో (4) ',' 16 వ అత్యంత నాలుగు వికెట్లు ఒక వృత్తిలో -ఇన్-ఒక-ఇన్నింగ్స్ (12) ',' 13 వ వరుస నాలుగు వికెట్లు-ఇన్-ఒక-ఇన్నింగ్స్ (2) ',' ఐదు వికెట్"&amp;"ల లో-ఒక-ఇన్నింగ్స్ (35y 108d తీసుకోవాలని 13 వ అత్యంత వృద్ధ ఆటగాడు ) ',' 6 వ కెరీర్ లో బౌల్డ్ చాలా బంతుల్లో (14874) ',' 3 వ అత్యధిక కెరీర్ లో సాధించిన పరుగులు (11871) ',' 33 వ ఇన్నింగ్స్ లో సాధించిన అత్యధిక పరుగులు (94) ',' 25 వ బౌలర్ / బ్యాట్స్ కలయికలు (8"&amp;") ' '19 బౌలర్ / ఫీల్డర్ కలయికలు (35)', '9 వ అత్యధిక వికెట్లు బౌల్డ్ తీసుకున్న (88)', '17 వ అత్యధిక వికెట్లు తీసుకున్న ఆకర్షించింది (177)', '5 వ అత్యధిక వికెట్లు ఆకర్షించింది తీసుకున్న మరియు బౌల్డ్ (18)', '7 వ అత్యంత ఒక ఫీల్డర్ చేత క్యాచ్ తీసుకోబడిన వికెట్"&amp;"ల (153) ',' 3 వ అత్యంత తీసుకోబడిన వికెట్ల స్టంప్ (42) ',' 15 వ అత్యధిక కెరీర్ లో క్యాచ్లు (123) ',' మొదటి వికెట్కు 42 వ అత్యధిక భాగస్వామ్యం (201) ',' 20 వ అత్యధిక భాగస్వామ్యం మూడో వికెట్ (213 *) కోసం ',' ఐదవ వికెట్కు 21 అత్యధిక భాగస్వామ్యం (166) ',' 3 వ అ"&amp;"త్యధిక కెరీర్ లో పోటీలు (445) ',' 17 వ వరుస బృందం (96) ',' 2 వ మోస్ట్ మ్యాచ్లు ప్లేయర్ ఆఫ్ ది మ్యాచ్ అవార్డులు (48) ',' 2 వ అత్యంత ప్లేయర్ ఆఫ్ ది సిరీస్ అవార్డులు (11) ',' 20 వ ఓల్డెస్ట్ క్రీడాకారులు (41y 363d) ',' 2 వ లాంగెస్ట్ కెరీర్లు (21y 184d) ',' 14"&amp;" వ ఎక్కువ (118) ',' ఒక జట్టు కెప్టెన్గా 17 వ వరుస మ్యాచ్లు (47) ',' 43 వ అన్ని టాస్ గెలిచి కెప్టెన్గా మ్యాచ్లు వరుస es (3) ']")</f>
        <v>[ 'కెరీర్లో 4 వ అత్యధిక పరుగులు (13430)', '14 వ ఇన్నింగ్స్ (189) అత్యధిక పరుగులు' 'వరుస 50 వ అత్యధిక పరుగులు (467)', '49 వ ఒక క్యాలెండర్ సంవత్సరంలో అత్యధిక పరుగులు (1202)', ' 12 వ అత్యంత ఇన్నింగ్స్ లో నడుస్తుంది (బ్యాటింగ్ స్థానం) (189) ',' 4 వ ఒకే మైదానంలో అత్యధిక పరుగులు (2514) ',' 22 వ కెప్టెన్ ద్వారా ఒక సిరీస్లో అత్యధిక పరుగులు (413) ',' 3 వ చాల వరకు ఒక లో నడుస్తుంది ఒక కెప్టెన్తో ఇన్నింగ్స్ (189) ',' 41 వ అత్యధిక సమ్మె ఇన్నింగ్స్ (271.42) ',' చాలా 5 వ వందలలో కెరీర్లో రేటు (28) ',' ఒక క్యాలెండర్ సంవత్సరంలో 11 వ అత్యధిక వందలు (5) ',' 7 వ అత్యంత ఒక జట్టు (7) ',' 35 వ అత్యధిక తొలి వంద (140) ',' 2 వ అత్యంత వృద్ధ ఆటగాడు వ్యతిరేకంగా వందల కెరీర్లో వంద (39y 212d) ',' 8 వ స్కోర్ అత్యంత తొంభైల (6) ',' 1 వ 99 పరుగుల ( 199, 299 etc) (99) ',' 6 వ కెరీర్ అర్ధ (96) ',' వరుస ఇన్నింగ్స్లో 11 వ యాభైల్లో (5) ',' 1st చాలా బాతులు కెరీర్ లో (34) ',' 3 వ ఎక్కువ సిక్స్ వృత్తి కెరీర్లో (270) ',' 2 వ అత్యంత ఫోర్లు (1500) ',' 13 వ అత్యంత ఇన్నింగ్స్ లో ఒక ఇన్నింగ్స్ లో సిక్సర్లు (11) ',' 4 వ అత్యంత ఫోర్లు (24) ',' 28 వ ఫోర్లు, సిక్సర్లు నుండి చాలా పరుగులు n ఇన్నింగ్స్ (110) ',' 31 లాంగెస్ట్ వ్యక్తిగత ఇన్నింగ్స్ (బంతులతో) (161) ',' ఒక ఇన్నింగ్స్లో పరుగుల 6 వ అత్యధిక శాతం (63.21) ',' 37 వ 7000 పరుగులు (238) ',' 29th వేగంగా వేగంగా 8000 పరుగులు (263) ',' 18 వ వేగంగా 9000 పరుగులు (291) ',' 13 వ వేగంగా చేయడానికి 10000 పరుగులు (328) ',' 12000 పరుగులు 11000 పరుగులు (354) ',' 5 వ వేగవంతమైన వేగంగా 8 వ (379) ',' 4 వ కెరీర్లో 13000 పరుగులు (416) ',' 11 వ అత్యధిక వికెట్లు వేగంగా (323) ',' 49 వ ఇన్నింగ్స్ (6/29) ',' 1 వ అత్యుత్తమ బౌలింగ్ ఇన్నింగ్స్ విశ్లేషణలలో ఉత్తమ బొమ్మలు (1/0 ) ',' ఒకే మైదానంలో 10 వ అత్యధిక వికెట్లు (60) ',' ఒక కెప్టెన్తో ఒక ఇన్నింగ్స్ లో 6 వ ఉత్తమ బొమ్మలు (5) ',' 14 వ ఒక ఇన్నింగ్స్ లోని బెస్ట్ ఫిగర్స్ ఉన్నప్పుడు పరాజయం వైపు (5) ',' 12 వ ఒక ఇన్నింగ్స్ లోని బెస్ట్ సమ్మె రేటు (6.0) ',' 44th చెత్త ఇన్నింగ్స్ లో ఆర్థిక రేటు (10.85) ',' 15 వ అత్యంత ఐదు-వికెట్ల లో-ఒక-ఇన్నింగ్స్ కెరీర్లో (4) ',' 16 వ అత్యంత నాలుగు వికెట్లు ఒక వృత్తిలో -ఇన్-ఒక-ఇన్నింగ్స్ (12) ',' 13 వ వరుస నాలుగు వికెట్లు-ఇన్-ఒక-ఇన్నింగ్స్ (2) ',' ఐదు వికెట్ల లో-ఒక-ఇన్నింగ్స్ (35y 108d తీసుకోవాలని 13 వ అత్యంత వృద్ధ ఆటగాడు ) ',' 6 వ కెరీర్ లో బౌల్డ్ చాలా బంతుల్లో (14874) ',' 3 వ అత్యధిక కెరీర్ లో సాధించిన పరుగులు (11871) ',' 33 వ ఇన్నింగ్స్ లో సాధించిన అత్యధిక పరుగులు (94) ',' 25 వ బౌలర్ / బ్యాట్స్ కలయికలు (8) ' '19 బౌలర్ / ఫీల్డర్ కలయికలు (35)', '9 వ అత్యధిక వికెట్లు బౌల్డ్ తీసుకున్న (88)', '17 వ అత్యధిక వికెట్లు తీసుకున్న ఆకర్షించింది (177)', '5 వ అత్యధిక వికెట్లు ఆకర్షించింది తీసుకున్న మరియు బౌల్డ్ (18)', '7 వ అత్యంత ఒక ఫీల్డర్ చేత క్యాచ్ తీసుకోబడిన వికెట్ల (153) ',' 3 వ అత్యంత తీసుకోబడిన వికెట్ల స్టంప్ (42) ',' 15 వ అత్యధిక కెరీర్ లో క్యాచ్లు (123) ',' మొదటి వికెట్కు 42 వ అత్యధిక భాగస్వామ్యం (201) ',' 20 వ అత్యధిక భాగస్వామ్యం మూడో వికెట్ (213 *) కోసం ',' ఐదవ వికెట్కు 21 అత్యధిక భాగస్వామ్యం (166) ',' 3 వ అత్యధిక కెరీర్ లో పోటీలు (445) ',' 17 వ వరుస బృందం (96) ',' 2 వ మోస్ట్ మ్యాచ్లు ప్లేయర్ ఆఫ్ ది మ్యాచ్ అవార్డులు (48) ',' 2 వ అత్యంత ప్లేయర్ ఆఫ్ ది సిరీస్ అవార్డులు (11) ',' 20 వ ఓల్డెస్ట్ క్రీడాకారులు (41y 363d) ',' 2 వ లాంగెస్ట్ కెరీర్లు (21y 184d) ',' 14 వ ఎక్కువ (118) ',' ఒక జట్టు కెప్టెన్గా 17 వ వరుస మ్యాచ్లు (47) ',' 43 వ అన్ని టాస్ గెలిచి కెప్టెన్గా మ్యాచ్లు వరుస es (3) ']</v>
      </c>
      <c r="G7480" s="2" t="s">
        <v>4323</v>
      </c>
      <c r="H7480" s="2" t="str">
        <f>IFERROR(__xludf.DUMMYFUNCTION("IF(G7480&lt;&gt;"""", GOOGLETRANSLATE(G7480, ""en"", ""te""),"""")"),"[ 'వరుస ఇన్నింగ్స్లో 3 వ యాభైల్లో (3)', '31 ఇన్నింగ్స్ లో వచ్చిన ఎక్కువ ఫోర్లు (11)', '20 వ అత్యుత్తమ బౌలింగ్ ఇన్నింగ్స్ లో విశ్లేషించడం (2/4)', 'చాలా 5 వ ఇన్నింగ్స్ లో సాధించిన (64) పరుగులు ',' 19 వ అత్యంత ప్లేయర్ ఆఫ్ ది మ్యాచ్ అవార్డులు (6) ',' 40 వ ఓల"&amp;"్డెస్ట్ క్రీడాకారులు (41y 360d) ',' 8 వ పురాతన దేశం ఆటగాళ్ళు (51y 258d) ',' 17 వ వరుస మ్యాచ్లు ఒక జట్టు కెప్టెన్గా ( 47) ']")</f>
        <v>[ 'వరుస ఇన్నింగ్స్లో 3 వ యాభైల్లో (3)', '31 ఇన్నింగ్స్ లో వచ్చిన ఎక్కువ ఫోర్లు (11)', '20 వ అత్యుత్తమ బౌలింగ్ ఇన్నింగ్స్ లో విశ్లేషించడం (2/4)', 'చాలా 5 వ ఇన్నింగ్స్ లో సాధించిన (64) పరుగులు ',' 19 వ అత్యంత ప్లేయర్ ఆఫ్ ది మ్యాచ్ అవార్డులు (6) ',' 40 వ ఓల్డెస్ట్ క్రీడాకారులు (41y 360d) ',' 8 వ పురాతన దేశం ఆటగాళ్ళు (51y 258d) ',' 17 వ వరుస మ్యాచ్లు ఒక జట్టు కెప్టెన్గా ( 47) ']</v>
      </c>
      <c r="I7480" s="3"/>
    </row>
    <row r="7481" customHeight="1" spans="1:9">
      <c r="A7481" s="2"/>
      <c r="B7481" s="2" t="str">
        <f>IFERROR(__xludf.DUMMYFUNCTION("IF(A7481&lt;&gt;"""", GOOGLETRANSLATE(A7481, ""en"", ""te""),"""")"),"")</f>
        <v/>
      </c>
      <c r="C7481" s="2"/>
      <c r="D7481" s="2" t="str">
        <f>IFERROR(__xludf.DUMMYFUNCTION("IF(C7481&lt;&gt;"""", GOOGLETRANSLATE(C7481, ""en"", ""te""),"""")"),"")</f>
        <v/>
      </c>
      <c r="E7481" s="2"/>
      <c r="F7481" s="2" t="str">
        <f>IFERROR(__xludf.DUMMYFUNCTION("IF(E7481&lt;&gt;"""", GOOGLETRANSLATE(E7481, ""en"", ""te""),"""")"),"")</f>
        <v/>
      </c>
      <c r="G7481" s="2"/>
      <c r="H7481" s="2" t="str">
        <f>IFERROR(__xludf.DUMMYFUNCTION("IF(G7481&lt;&gt;"""", GOOGLETRANSLATE(G7481, ""en"", ""te""),"""")"),"")</f>
        <v/>
      </c>
      <c r="I7481" s="3"/>
    </row>
    <row r="7482" customHeight="1" spans="1:9">
      <c r="A7482" s="2"/>
      <c r="B7482" s="2" t="str">
        <f>IFERROR(__xludf.DUMMYFUNCTION("IF(A7482&lt;&gt;"""", GOOGLETRANSLATE(A7482, ""en"", ""te""),"""")"),"")</f>
        <v/>
      </c>
      <c r="C7482" s="2"/>
      <c r="D7482" s="2" t="str">
        <f>IFERROR(__xludf.DUMMYFUNCTION("IF(C7482&lt;&gt;"""", GOOGLETRANSLATE(C7482, ""en"", ""te""),"""")"),"")</f>
        <v/>
      </c>
      <c r="E7482" s="2"/>
      <c r="F7482" s="2" t="str">
        <f>IFERROR(__xludf.DUMMYFUNCTION("IF(E7482&lt;&gt;"""", GOOGLETRANSLATE(E7482, ""en"", ""te""),"""")"),"")</f>
        <v/>
      </c>
      <c r="G7482" s="2"/>
      <c r="H7482" s="2" t="str">
        <f>IFERROR(__xludf.DUMMYFUNCTION("IF(G7482&lt;&gt;"""", GOOGLETRANSLATE(G7482, ""en"", ""te""),"""")"),"")</f>
        <v/>
      </c>
      <c r="I7482" s="3"/>
    </row>
    <row r="7483" customHeight="1" spans="1:9">
      <c r="A7483" s="2"/>
      <c r="B7483" s="2" t="str">
        <f>IFERROR(__xludf.DUMMYFUNCTION("IF(A7483&lt;&gt;"""", GOOGLETRANSLATE(A7483, ""en"", ""te""),"""")"),"")</f>
        <v/>
      </c>
      <c r="C7483" s="2"/>
      <c r="D7483" s="2" t="str">
        <f>IFERROR(__xludf.DUMMYFUNCTION("IF(C7483&lt;&gt;"""", GOOGLETRANSLATE(C7483, ""en"", ""te""),"""")"),"")</f>
        <v/>
      </c>
      <c r="E7483" s="2"/>
      <c r="F7483" s="2" t="str">
        <f>IFERROR(__xludf.DUMMYFUNCTION("IF(E7483&lt;&gt;"""", GOOGLETRANSLATE(E7483, ""en"", ""te""),"""")"),"")</f>
        <v/>
      </c>
      <c r="G7483" s="2"/>
      <c r="H7483" s="2" t="str">
        <f>IFERROR(__xludf.DUMMYFUNCTION("IF(G7483&lt;&gt;"""", GOOGLETRANSLATE(G7483, ""en"", ""te""),"""")"),"")</f>
        <v/>
      </c>
      <c r="I7483" s="3"/>
    </row>
    <row r="7484" customHeight="1" spans="1:9">
      <c r="A7484" s="2"/>
      <c r="B7484" s="2" t="str">
        <f>IFERROR(__xludf.DUMMYFUNCTION("IF(A7484&lt;&gt;"""", GOOGLETRANSLATE(A7484, ""en"", ""te""),"""")"),"")</f>
        <v/>
      </c>
      <c r="C7484" s="2"/>
      <c r="D7484" s="2" t="str">
        <f>IFERROR(__xludf.DUMMYFUNCTION("IF(C7484&lt;&gt;"""", GOOGLETRANSLATE(C7484, ""en"", ""te""),"""")"),"")</f>
        <v/>
      </c>
      <c r="E7484" s="2"/>
      <c r="F7484" s="2" t="str">
        <f>IFERROR(__xludf.DUMMYFUNCTION("IF(E7484&lt;&gt;"""", GOOGLETRANSLATE(E7484, ""en"", ""te""),"""")"),"")</f>
        <v/>
      </c>
      <c r="G7484" s="2"/>
      <c r="H7484" s="2" t="str">
        <f>IFERROR(__xludf.DUMMYFUNCTION("IF(G7484&lt;&gt;"""", GOOGLETRANSLATE(G7484, ""en"", ""te""),"""")"),"")</f>
        <v/>
      </c>
      <c r="I7484" s="3"/>
    </row>
    <row r="7485" customHeight="1" spans="1:9">
      <c r="A7485" s="2"/>
      <c r="B7485" s="2" t="str">
        <f>IFERROR(__xludf.DUMMYFUNCTION("IF(A7485&lt;&gt;"""", GOOGLETRANSLATE(A7485, ""en"", ""te""),"""")"),"")</f>
        <v/>
      </c>
      <c r="C7485" s="2"/>
      <c r="D7485" s="2" t="str">
        <f>IFERROR(__xludf.DUMMYFUNCTION("IF(C7485&lt;&gt;"""", GOOGLETRANSLATE(C7485, ""en"", ""te""),"""")"),"")</f>
        <v/>
      </c>
      <c r="E7485" s="2"/>
      <c r="F7485" s="2" t="str">
        <f>IFERROR(__xludf.DUMMYFUNCTION("IF(E7485&lt;&gt;"""", GOOGLETRANSLATE(E7485, ""en"", ""te""),"""")"),"")</f>
        <v/>
      </c>
      <c r="G7485" s="2"/>
      <c r="H7485" s="2" t="str">
        <f>IFERROR(__xludf.DUMMYFUNCTION("IF(G7485&lt;&gt;"""", GOOGLETRANSLATE(G7485, ""en"", ""te""),"""")"),"")</f>
        <v/>
      </c>
      <c r="I7485" s="3"/>
    </row>
    <row r="7486" customHeight="1" spans="1:9">
      <c r="A7486" s="2"/>
      <c r="B7486" s="2" t="str">
        <f>IFERROR(__xludf.DUMMYFUNCTION("IF(A7486&lt;&gt;"""", GOOGLETRANSLATE(A7486, ""en"", ""te""),"""")"),"")</f>
        <v/>
      </c>
      <c r="C7486" s="2"/>
      <c r="D7486" s="2" t="str">
        <f>IFERROR(__xludf.DUMMYFUNCTION("IF(C7486&lt;&gt;"""", GOOGLETRANSLATE(C7486, ""en"", ""te""),"""")"),"")</f>
        <v/>
      </c>
      <c r="E7486" s="2"/>
      <c r="F7486" s="2" t="str">
        <f>IFERROR(__xludf.DUMMYFUNCTION("IF(E7486&lt;&gt;"""", GOOGLETRANSLATE(E7486, ""en"", ""te""),"""")"),"")</f>
        <v/>
      </c>
      <c r="G7486" s="2"/>
      <c r="H7486" s="2" t="str">
        <f>IFERROR(__xludf.DUMMYFUNCTION("IF(G7486&lt;&gt;"""", GOOGLETRANSLATE(G7486, ""en"", ""te""),"""")"),"")</f>
        <v/>
      </c>
      <c r="I7486" s="3"/>
    </row>
    <row r="7487" customHeight="1" spans="1:9">
      <c r="A7487" s="2"/>
      <c r="B7487" s="2" t="str">
        <f>IFERROR(__xludf.DUMMYFUNCTION("IF(A7487&lt;&gt;"""", GOOGLETRANSLATE(A7487, ""en"", ""te""),"""")"),"")</f>
        <v/>
      </c>
      <c r="C7487" s="2"/>
      <c r="D7487" s="2" t="str">
        <f>IFERROR(__xludf.DUMMYFUNCTION("IF(C7487&lt;&gt;"""", GOOGLETRANSLATE(C7487, ""en"", ""te""),"""")"),"")</f>
        <v/>
      </c>
      <c r="E7487" s="2"/>
      <c r="F7487" s="2" t="str">
        <f>IFERROR(__xludf.DUMMYFUNCTION("IF(E7487&lt;&gt;"""", GOOGLETRANSLATE(E7487, ""en"", ""te""),"""")"),"")</f>
        <v/>
      </c>
      <c r="G7487" s="2"/>
      <c r="H7487" s="2" t="str">
        <f>IFERROR(__xludf.DUMMYFUNCTION("IF(G7487&lt;&gt;"""", GOOGLETRANSLATE(G7487, ""en"", ""te""),"""")"),"")</f>
        <v/>
      </c>
      <c r="I7487" s="3"/>
    </row>
    <row r="7488" customHeight="1" spans="1:9">
      <c r="A7488" s="2"/>
      <c r="B7488" s="2" t="str">
        <f>IFERROR(__xludf.DUMMYFUNCTION("IF(A7488&lt;&gt;"""", GOOGLETRANSLATE(A7488, ""en"", ""te""),"""")"),"")</f>
        <v/>
      </c>
      <c r="C7488" s="2"/>
      <c r="D7488" s="2" t="str">
        <f>IFERROR(__xludf.DUMMYFUNCTION("IF(C7488&lt;&gt;"""", GOOGLETRANSLATE(C7488, ""en"", ""te""),"""")"),"")</f>
        <v/>
      </c>
      <c r="E7488" s="2"/>
      <c r="F7488" s="2" t="str">
        <f>IFERROR(__xludf.DUMMYFUNCTION("IF(E7488&lt;&gt;"""", GOOGLETRANSLATE(E7488, ""en"", ""te""),"""")"),"")</f>
        <v/>
      </c>
      <c r="G7488" s="2"/>
      <c r="H7488" s="2" t="str">
        <f>IFERROR(__xludf.DUMMYFUNCTION("IF(G7488&lt;&gt;"""", GOOGLETRANSLATE(G7488, ""en"", ""te""),"""")"),"")</f>
        <v/>
      </c>
      <c r="I7488" s="3"/>
    </row>
    <row r="7489" customHeight="1" spans="1:9">
      <c r="A7489" s="2"/>
      <c r="B7489" s="2" t="str">
        <f>IFERROR(__xludf.DUMMYFUNCTION("IF(A7489&lt;&gt;"""", GOOGLETRANSLATE(A7489, ""en"", ""te""),"""")"),"")</f>
        <v/>
      </c>
      <c r="C7489" s="2"/>
      <c r="D7489" s="2" t="str">
        <f>IFERROR(__xludf.DUMMYFUNCTION("IF(C7489&lt;&gt;"""", GOOGLETRANSLATE(C7489, ""en"", ""te""),"""")"),"")</f>
        <v/>
      </c>
      <c r="E7489" s="2"/>
      <c r="F7489" s="2" t="str">
        <f>IFERROR(__xludf.DUMMYFUNCTION("IF(E7489&lt;&gt;"""", GOOGLETRANSLATE(E7489, ""en"", ""te""),"""")"),"")</f>
        <v/>
      </c>
      <c r="G7489" s="2"/>
      <c r="H7489" s="2" t="str">
        <f>IFERROR(__xludf.DUMMYFUNCTION("IF(G7489&lt;&gt;"""", GOOGLETRANSLATE(G7489, ""en"", ""te""),"""")"),"")</f>
        <v/>
      </c>
      <c r="I7489" s="3"/>
    </row>
    <row r="7490" customHeight="1" spans="1:9">
      <c r="A7490" s="2"/>
      <c r="B7490" s="2" t="str">
        <f>IFERROR(__xludf.DUMMYFUNCTION("IF(A7490&lt;&gt;"""", GOOGLETRANSLATE(A7490, ""en"", ""te""),"""")"),"")</f>
        <v/>
      </c>
      <c r="C7490" s="2"/>
      <c r="D7490" s="2" t="str">
        <f>IFERROR(__xludf.DUMMYFUNCTION("IF(C7490&lt;&gt;"""", GOOGLETRANSLATE(C7490, ""en"", ""te""),"""")"),"")</f>
        <v/>
      </c>
      <c r="E7490" s="2"/>
      <c r="F7490" s="2" t="str">
        <f>IFERROR(__xludf.DUMMYFUNCTION("IF(E7490&lt;&gt;"""", GOOGLETRANSLATE(E7490, ""en"", ""te""),"""")"),"")</f>
        <v/>
      </c>
      <c r="G7490" s="2"/>
      <c r="H7490" s="2" t="str">
        <f>IFERROR(__xludf.DUMMYFUNCTION("IF(G7490&lt;&gt;"""", GOOGLETRANSLATE(G7490, ""en"", ""te""),"""")"),"")</f>
        <v/>
      </c>
      <c r="I7490" s="3"/>
    </row>
    <row r="7491" customHeight="1" spans="1:9">
      <c r="A7491" s="2"/>
      <c r="B7491" s="2" t="str">
        <f>IFERROR(__xludf.DUMMYFUNCTION("IF(A7491&lt;&gt;"""", GOOGLETRANSLATE(A7491, ""en"", ""te""),"""")"),"")</f>
        <v/>
      </c>
      <c r="C7491" s="2"/>
      <c r="D7491" s="2" t="str">
        <f>IFERROR(__xludf.DUMMYFUNCTION("IF(C7491&lt;&gt;"""", GOOGLETRANSLATE(C7491, ""en"", ""te""),"""")"),"")</f>
        <v/>
      </c>
      <c r="E7491" s="2"/>
      <c r="F7491" s="2" t="str">
        <f>IFERROR(__xludf.DUMMYFUNCTION("IF(E7491&lt;&gt;"""", GOOGLETRANSLATE(E7491, ""en"", ""te""),"""")"),"")</f>
        <v/>
      </c>
      <c r="G7491" s="2"/>
      <c r="H7491" s="2" t="str">
        <f>IFERROR(__xludf.DUMMYFUNCTION("IF(G7491&lt;&gt;"""", GOOGLETRANSLATE(G7491, ""en"", ""te""),"""")"),"")</f>
        <v/>
      </c>
      <c r="I7491" s="3"/>
    </row>
    <row r="7492" customHeight="1" spans="1:9">
      <c r="A7492" s="2"/>
      <c r="B7492" s="2" t="str">
        <f>IFERROR(__xludf.DUMMYFUNCTION("IF(A7492&lt;&gt;"""", GOOGLETRANSLATE(A7492, ""en"", ""te""),"""")"),"")</f>
        <v/>
      </c>
      <c r="C7492" s="2"/>
      <c r="D7492" s="2" t="str">
        <f>IFERROR(__xludf.DUMMYFUNCTION("IF(C7492&lt;&gt;"""", GOOGLETRANSLATE(C7492, ""en"", ""te""),"""")"),"")</f>
        <v/>
      </c>
      <c r="E7492" s="2" t="s">
        <v>4324</v>
      </c>
      <c r="F7492" s="2" t="str">
        <f>IFERROR(__xludf.DUMMYFUNCTION("IF(E7492&lt;&gt;"""", GOOGLETRANSLATE(E7492, ""en"", ""te""),"""")"),"[ 'కెరీర్లో 27 వ అతి తక్కువ బాతులు (34.5)', 'తొమ్మిదవ వికెట్కు 25 అత్యధిక భాగస్వామ్యం (76)']")</f>
        <v>[ 'కెరీర్లో 27 వ అతి తక్కువ బాతులు (34.5)', 'తొమ్మిదవ వికెట్కు 25 అత్యధిక భాగస్వామ్యం (76)']</v>
      </c>
      <c r="G7492" s="2"/>
      <c r="H7492" s="2" t="str">
        <f>IFERROR(__xludf.DUMMYFUNCTION("IF(G7492&lt;&gt;"""", GOOGLETRANSLATE(G7492, ""en"", ""te""),"""")"),"")</f>
        <v/>
      </c>
      <c r="I7492" s="3"/>
    </row>
    <row r="7493" customHeight="1" spans="1:9">
      <c r="A7493" s="2"/>
      <c r="B7493" s="2" t="str">
        <f>IFERROR(__xludf.DUMMYFUNCTION("IF(A7493&lt;&gt;"""", GOOGLETRANSLATE(A7493, ""en"", ""te""),"""")"),"")</f>
        <v/>
      </c>
      <c r="C7493" s="2"/>
      <c r="D7493" s="2" t="str">
        <f>IFERROR(__xludf.DUMMYFUNCTION("IF(C7493&lt;&gt;"""", GOOGLETRANSLATE(C7493, ""en"", ""te""),"""")"),"")</f>
        <v/>
      </c>
      <c r="E7493" s="2"/>
      <c r="F7493" s="2" t="str">
        <f>IFERROR(__xludf.DUMMYFUNCTION("IF(E7493&lt;&gt;"""", GOOGLETRANSLATE(E7493, ""en"", ""te""),"""")"),"")</f>
        <v/>
      </c>
      <c r="G7493" s="2"/>
      <c r="H7493" s="2" t="str">
        <f>IFERROR(__xludf.DUMMYFUNCTION("IF(G7493&lt;&gt;"""", GOOGLETRANSLATE(G7493, ""en"", ""te""),"""")"),"")</f>
        <v/>
      </c>
      <c r="I7493" s="3"/>
    </row>
    <row r="7494" customHeight="1" spans="1:9">
      <c r="A7494" s="2"/>
      <c r="B7494" s="2" t="str">
        <f>IFERROR(__xludf.DUMMYFUNCTION("IF(A7494&lt;&gt;"""", GOOGLETRANSLATE(A7494, ""en"", ""te""),"""")"),"")</f>
        <v/>
      </c>
      <c r="C7494" s="2"/>
      <c r="D7494" s="2" t="str">
        <f>IFERROR(__xludf.DUMMYFUNCTION("IF(C7494&lt;&gt;"""", GOOGLETRANSLATE(C7494, ""en"", ""te""),"""")"),"")</f>
        <v/>
      </c>
      <c r="E7494" s="2"/>
      <c r="F7494" s="2" t="str">
        <f>IFERROR(__xludf.DUMMYFUNCTION("IF(E7494&lt;&gt;"""", GOOGLETRANSLATE(E7494, ""en"", ""te""),"""")"),"")</f>
        <v/>
      </c>
      <c r="G7494" s="2"/>
      <c r="H7494" s="2" t="str">
        <f>IFERROR(__xludf.DUMMYFUNCTION("IF(G7494&lt;&gt;"""", GOOGLETRANSLATE(G7494, ""en"", ""te""),"""")"),"")</f>
        <v/>
      </c>
      <c r="I7494" s="3"/>
    </row>
    <row r="7495" customHeight="1" spans="1:9">
      <c r="A7495" s="2" t="s">
        <v>3649</v>
      </c>
      <c r="B7495" s="2" t="str">
        <f>IFERROR(__xludf.DUMMYFUNCTION("IF(A7495&lt;&gt;"""", GOOGLETRANSLATE(A7495, ""en"", ""te""),"""")"),"[ '8 వ చెత్త కెరీర్ బౌలింగ్ సరాసరి (అర్హత లేకుండా) (137.00)']")</f>
        <v>[ '8 వ చెత్త కెరీర్ బౌలింగ్ సరాసరి (అర్హత లేకుండా) (137.00)']</v>
      </c>
      <c r="C7495" s="2"/>
      <c r="D7495" s="2" t="str">
        <f>IFERROR(__xludf.DUMMYFUNCTION("IF(C7495&lt;&gt;"""", GOOGLETRANSLATE(C7495, ""en"", ""te""),"""")"),"")</f>
        <v/>
      </c>
      <c r="E7495" s="2" t="s">
        <v>3649</v>
      </c>
      <c r="F7495" s="2" t="str">
        <f>IFERROR(__xludf.DUMMYFUNCTION("IF(E7495&lt;&gt;"""", GOOGLETRANSLATE(E7495, ""en"", ""te""),"""")"),"[ '8 వ చెత్త కెరీర్ బౌలింగ్ సరాసరి (అర్హత లేకుండా) (137.00)']")</f>
        <v>[ '8 వ చెత్త కెరీర్ బౌలింగ్ సరాసరి (అర్హత లేకుండా) (137.00)']</v>
      </c>
      <c r="G7495" s="2" t="s">
        <v>4325</v>
      </c>
      <c r="H7495" s="2" t="str">
        <f>IFERROR(__xludf.DUMMYFUNCTION("IF(G7495&lt;&gt;"""", GOOGLETRANSLATE(G7495, ""en"", ""te""),"""")"),"[ 'ఎనిమిదవ వికెట్కు 12 వ అత్యధిక భాగస్వామ్యం (31)']")</f>
        <v>[ 'ఎనిమిదవ వికెట్కు 12 వ అత్యధిక భాగస్వామ్యం (31)']</v>
      </c>
      <c r="I7495" s="3"/>
    </row>
    <row r="7496" customHeight="1" spans="1:9">
      <c r="A7496" s="2"/>
      <c r="B7496" s="2" t="str">
        <f>IFERROR(__xludf.DUMMYFUNCTION("IF(A7496&lt;&gt;"""", GOOGLETRANSLATE(A7496, ""en"", ""te""),"""")"),"")</f>
        <v/>
      </c>
      <c r="C7496" s="2"/>
      <c r="D7496" s="2" t="str">
        <f>IFERROR(__xludf.DUMMYFUNCTION("IF(C7496&lt;&gt;"""", GOOGLETRANSLATE(C7496, ""en"", ""te""),"""")"),"")</f>
        <v/>
      </c>
      <c r="E7496" s="2"/>
      <c r="F7496" s="2" t="str">
        <f>IFERROR(__xludf.DUMMYFUNCTION("IF(E7496&lt;&gt;"""", GOOGLETRANSLATE(E7496, ""en"", ""te""),"""")"),"")</f>
        <v/>
      </c>
      <c r="G7496" s="2"/>
      <c r="H7496" s="2" t="str">
        <f>IFERROR(__xludf.DUMMYFUNCTION("IF(G7496&lt;&gt;"""", GOOGLETRANSLATE(G7496, ""en"", ""te""),"""")"),"")</f>
        <v/>
      </c>
      <c r="I7496" s="3"/>
    </row>
    <row r="7497" customHeight="1" spans="1:9">
      <c r="A7497" s="2"/>
      <c r="B7497" s="2" t="str">
        <f>IFERROR(__xludf.DUMMYFUNCTION("IF(A7497&lt;&gt;"""", GOOGLETRANSLATE(A7497, ""en"", ""te""),"""")"),"")</f>
        <v/>
      </c>
      <c r="C7497" s="2"/>
      <c r="D7497" s="2" t="str">
        <f>IFERROR(__xludf.DUMMYFUNCTION("IF(C7497&lt;&gt;"""", GOOGLETRANSLATE(C7497, ""en"", ""te""),"""")"),"")</f>
        <v/>
      </c>
      <c r="E7497" s="2"/>
      <c r="F7497" s="2" t="str">
        <f>IFERROR(__xludf.DUMMYFUNCTION("IF(E7497&lt;&gt;"""", GOOGLETRANSLATE(E7497, ""en"", ""te""),"""")"),"")</f>
        <v/>
      </c>
      <c r="G7497" s="2"/>
      <c r="H7497" s="2" t="str">
        <f>IFERROR(__xludf.DUMMYFUNCTION("IF(G7497&lt;&gt;"""", GOOGLETRANSLATE(G7497, ""en"", ""te""),"""")"),"")</f>
        <v/>
      </c>
      <c r="I7497" s="3"/>
    </row>
    <row r="7498" customHeight="1" spans="1:9">
      <c r="A7498" s="2"/>
      <c r="B7498" s="2" t="str">
        <f>IFERROR(__xludf.DUMMYFUNCTION("IF(A7498&lt;&gt;"""", GOOGLETRANSLATE(A7498, ""en"", ""te""),"""")"),"")</f>
        <v/>
      </c>
      <c r="C7498" s="2"/>
      <c r="D7498" s="2" t="str">
        <f>IFERROR(__xludf.DUMMYFUNCTION("IF(C7498&lt;&gt;"""", GOOGLETRANSLATE(C7498, ""en"", ""te""),"""")"),"")</f>
        <v/>
      </c>
      <c r="E7498" s="2"/>
      <c r="F7498" s="2" t="str">
        <f>IFERROR(__xludf.DUMMYFUNCTION("IF(E7498&lt;&gt;"""", GOOGLETRANSLATE(E7498, ""en"", ""te""),"""")"),"")</f>
        <v/>
      </c>
      <c r="G7498" s="2"/>
      <c r="H7498" s="2" t="str">
        <f>IFERROR(__xludf.DUMMYFUNCTION("IF(G7498&lt;&gt;"""", GOOGLETRANSLATE(G7498, ""en"", ""te""),"""")"),"")</f>
        <v/>
      </c>
      <c r="I7498" s="3"/>
    </row>
    <row r="7499" customHeight="1" spans="1:9">
      <c r="A7499" s="2"/>
      <c r="B7499" s="2" t="str">
        <f>IFERROR(__xludf.DUMMYFUNCTION("IF(A7499&lt;&gt;"""", GOOGLETRANSLATE(A7499, ""en"", ""te""),"""")"),"")</f>
        <v/>
      </c>
      <c r="C7499" s="2"/>
      <c r="D7499" s="2" t="str">
        <f>IFERROR(__xludf.DUMMYFUNCTION("IF(C7499&lt;&gt;"""", GOOGLETRANSLATE(C7499, ""en"", ""te""),"""")"),"")</f>
        <v/>
      </c>
      <c r="E7499" s="2"/>
      <c r="F7499" s="2" t="str">
        <f>IFERROR(__xludf.DUMMYFUNCTION("IF(E7499&lt;&gt;"""", GOOGLETRANSLATE(E7499, ""en"", ""te""),"""")"),"")</f>
        <v/>
      </c>
      <c r="G7499" s="2"/>
      <c r="H7499" s="2" t="str">
        <f>IFERROR(__xludf.DUMMYFUNCTION("IF(G7499&lt;&gt;"""", GOOGLETRANSLATE(G7499, ""en"", ""te""),"""")"),"")</f>
        <v/>
      </c>
      <c r="I7499" s="3"/>
    </row>
    <row r="7500" customHeight="1" spans="1:9">
      <c r="A7500" s="2"/>
      <c r="B7500" s="2" t="str">
        <f>IFERROR(__xludf.DUMMYFUNCTION("IF(A7500&lt;&gt;"""", GOOGLETRANSLATE(A7500, ""en"", ""te""),"""")"),"")</f>
        <v/>
      </c>
      <c r="C7500" s="2"/>
      <c r="D7500" s="2" t="str">
        <f>IFERROR(__xludf.DUMMYFUNCTION("IF(C7500&lt;&gt;"""", GOOGLETRANSLATE(C7500, ""en"", ""te""),"""")"),"")</f>
        <v/>
      </c>
      <c r="E7500" s="2"/>
      <c r="F7500" s="2" t="str">
        <f>IFERROR(__xludf.DUMMYFUNCTION("IF(E7500&lt;&gt;"""", GOOGLETRANSLATE(E7500, ""en"", ""te""),"""")"),"")</f>
        <v/>
      </c>
      <c r="G7500" s="2"/>
      <c r="H7500" s="2" t="str">
        <f>IFERROR(__xludf.DUMMYFUNCTION("IF(G7500&lt;&gt;"""", GOOGLETRANSLATE(G7500, ""en"", ""te""),"""")"),"")</f>
        <v/>
      </c>
      <c r="I7500" s="3"/>
    </row>
    <row r="7501" customHeight="1" spans="1:9">
      <c r="A7501" s="2"/>
      <c r="B7501" s="2" t="str">
        <f>IFERROR(__xludf.DUMMYFUNCTION("IF(A7501&lt;&gt;"""", GOOGLETRANSLATE(A7501, ""en"", ""te""),"""")"),"")</f>
        <v/>
      </c>
      <c r="C7501" s="2"/>
      <c r="D7501" s="2" t="str">
        <f>IFERROR(__xludf.DUMMYFUNCTION("IF(C7501&lt;&gt;"""", GOOGLETRANSLATE(C7501, ""en"", ""te""),"""")"),"")</f>
        <v/>
      </c>
      <c r="E7501" s="2"/>
      <c r="F7501" s="2" t="str">
        <f>IFERROR(__xludf.DUMMYFUNCTION("IF(E7501&lt;&gt;"""", GOOGLETRANSLATE(E7501, ""en"", ""te""),"""")"),"")</f>
        <v/>
      </c>
      <c r="G7501" s="2"/>
      <c r="H7501" s="2" t="str">
        <f>IFERROR(__xludf.DUMMYFUNCTION("IF(G7501&lt;&gt;"""", GOOGLETRANSLATE(G7501, ""en"", ""te""),"""")"),"")</f>
        <v/>
      </c>
      <c r="I7501" s="3"/>
    </row>
    <row r="7502" customHeight="1" spans="1:9">
      <c r="A7502" s="2"/>
      <c r="B7502" s="2" t="str">
        <f>IFERROR(__xludf.DUMMYFUNCTION("IF(A7502&lt;&gt;"""", GOOGLETRANSLATE(A7502, ""en"", ""te""),"""")"),"")</f>
        <v/>
      </c>
      <c r="C7502" s="2"/>
      <c r="D7502" s="2" t="str">
        <f>IFERROR(__xludf.DUMMYFUNCTION("IF(C7502&lt;&gt;"""", GOOGLETRANSLATE(C7502, ""en"", ""te""),"""")"),"")</f>
        <v/>
      </c>
      <c r="E7502" s="2"/>
      <c r="F7502" s="2" t="str">
        <f>IFERROR(__xludf.DUMMYFUNCTION("IF(E7502&lt;&gt;"""", GOOGLETRANSLATE(E7502, ""en"", ""te""),"""")"),"")</f>
        <v/>
      </c>
      <c r="G7502" s="2"/>
      <c r="H7502" s="2" t="str">
        <f>IFERROR(__xludf.DUMMYFUNCTION("IF(G7502&lt;&gt;"""", GOOGLETRANSLATE(G7502, ""en"", ""te""),"""")"),"")</f>
        <v/>
      </c>
      <c r="I7502" s="3"/>
    </row>
    <row r="7503" customHeight="1" spans="1:9">
      <c r="A7503" s="2"/>
      <c r="B7503" s="2" t="str">
        <f>IFERROR(__xludf.DUMMYFUNCTION("IF(A7503&lt;&gt;"""", GOOGLETRANSLATE(A7503, ""en"", ""te""),"""")"),"")</f>
        <v/>
      </c>
      <c r="C7503" s="2"/>
      <c r="D7503" s="2" t="str">
        <f>IFERROR(__xludf.DUMMYFUNCTION("IF(C7503&lt;&gt;"""", GOOGLETRANSLATE(C7503, ""en"", ""te""),"""")"),"")</f>
        <v/>
      </c>
      <c r="E7503" s="2"/>
      <c r="F7503" s="2" t="str">
        <f>IFERROR(__xludf.DUMMYFUNCTION("IF(E7503&lt;&gt;"""", GOOGLETRANSLATE(E7503, ""en"", ""te""),"""")"),"")</f>
        <v/>
      </c>
      <c r="G7503" s="2"/>
      <c r="H7503" s="2" t="str">
        <f>IFERROR(__xludf.DUMMYFUNCTION("IF(G7503&lt;&gt;"""", GOOGLETRANSLATE(G7503, ""en"", ""te""),"""")"),"")</f>
        <v/>
      </c>
      <c r="I7503" s="3"/>
    </row>
    <row r="7504" customHeight="1" spans="1:9">
      <c r="A7504" s="2" t="s">
        <v>4326</v>
      </c>
      <c r="B7504" s="2" t="str">
        <f>IFERROR(__xludf.DUMMYFUNCTION("IF(A7504&lt;&gt;"""", GOOGLETRANSLATE(A7504, ""en"", ""te""),"""")"),"[ '9 వ చెత్త కెరీర్లో ఆర్థిక రేటు (3.77)']")</f>
        <v>[ '9 వ చెత్త కెరీర్లో ఆర్థిక రేటు (3.77)']</v>
      </c>
      <c r="C7504" s="2" t="s">
        <v>4327</v>
      </c>
      <c r="D7504" s="2" t="str">
        <f>IFERROR(__xludf.DUMMYFUNCTION("IF(C7504&lt;&gt;"""", GOOGLETRANSLATE(C7504, ""en"", ""te""),"""")"),"[ '9 వ చెత్త కెరీర్లో ఆర్థిక రేటు (3.77)', 'ఐదు వికెట్ల లో-ఒక-ఇన్నింగ్స్ తీసుకోవాలని 29 పిన్న వయస్కుడిగా నిలిచాడు (19y 324d)']")</f>
        <v>[ '9 వ చెత్త కెరీర్లో ఆర్థిక రేటు (3.77)', 'ఐదు వికెట్ల లో-ఒక-ఇన్నింగ్స్ తీసుకోవాలని 29 పిన్న వయస్కుడిగా నిలిచాడు (19y 324d)']</v>
      </c>
      <c r="E7504" s="2"/>
      <c r="F7504" s="2" t="str">
        <f>IFERROR(__xludf.DUMMYFUNCTION("IF(E7504&lt;&gt;"""", GOOGLETRANSLATE(E7504, ""en"", ""te""),"""")"),"")</f>
        <v/>
      </c>
      <c r="G7504" s="2"/>
      <c r="H7504" s="2" t="str">
        <f>IFERROR(__xludf.DUMMYFUNCTION("IF(G7504&lt;&gt;"""", GOOGLETRANSLATE(G7504, ""en"", ""te""),"""")"),"")</f>
        <v/>
      </c>
      <c r="I7504" s="3"/>
    </row>
    <row r="7505" customHeight="1" spans="1:9">
      <c r="A7505" s="2"/>
      <c r="B7505" s="2" t="str">
        <f>IFERROR(__xludf.DUMMYFUNCTION("IF(A7505&lt;&gt;"""", GOOGLETRANSLATE(A7505, ""en"", ""te""),"""")"),"")</f>
        <v/>
      </c>
      <c r="C7505" s="2"/>
      <c r="D7505" s="2" t="str">
        <f>IFERROR(__xludf.DUMMYFUNCTION("IF(C7505&lt;&gt;"""", GOOGLETRANSLATE(C7505, ""en"", ""te""),"""")"),"")</f>
        <v/>
      </c>
      <c r="E7505" s="2"/>
      <c r="F7505" s="2" t="str">
        <f>IFERROR(__xludf.DUMMYFUNCTION("IF(E7505&lt;&gt;"""", GOOGLETRANSLATE(E7505, ""en"", ""te""),"""")"),"")</f>
        <v/>
      </c>
      <c r="G7505" s="2"/>
      <c r="H7505" s="2" t="str">
        <f>IFERROR(__xludf.DUMMYFUNCTION("IF(G7505&lt;&gt;"""", GOOGLETRANSLATE(G7505, ""en"", ""te""),"""")"),"")</f>
        <v/>
      </c>
      <c r="I7505" s="3"/>
    </row>
    <row r="7506" customHeight="1" spans="1:9">
      <c r="A7506" s="2" t="s">
        <v>4328</v>
      </c>
      <c r="B7506" s="2" t="str">
        <f>IFERROR(__xludf.DUMMYFUNCTION("IF(A7506&lt;&gt;"""", GOOGLETRANSLATE(A7506, ""en"", ""te""),"""")"),"[ '1st వరుస బాతులు (3)', '7 వ చెత్త కెరీర్లో సమ్మె రేటు (29.7)']")</f>
        <v>[ '1st వరుస బాతులు (3)', '7 వ చెత్త కెరీర్లో సమ్మె రేటు (29.7)']</v>
      </c>
      <c r="C7506" s="2"/>
      <c r="D7506" s="2" t="str">
        <f>IFERROR(__xludf.DUMMYFUNCTION("IF(C7506&lt;&gt;"""", GOOGLETRANSLATE(C7506, ""en"", ""te""),"""")"),"")</f>
        <v/>
      </c>
      <c r="E7506" s="2" t="s">
        <v>4329</v>
      </c>
      <c r="F7506" s="2" t="str">
        <f>IFERROR(__xludf.DUMMYFUNCTION("IF(E7506&lt;&gt;"""", GOOGLETRANSLATE(E7506, ""en"", ""te""),"""")"),"[ '11 వ ఇన్నింగ్స్ లో అత్యధిక పరుగులు (బ్యాటింగ్ స్థానంలో ప్రకారం) (17)', '11 వ ఒక ఇన్నింగ్స్ లోని బెస్ట్ ఫిగర్స్ ఉన్నప్పుడు పరాజయం వైపు (4)', '15 వ ఉత్తమ తొలి ఇన్నింగ్స్లో గణాంకాలు (3)']")</f>
        <v>[ '11 వ ఇన్నింగ్స్ లో అత్యధిక పరుగులు (బ్యాటింగ్ స్థానంలో ప్రకారం) (17)', '11 వ ఒక ఇన్నింగ్స్ లోని బెస్ట్ ఫిగర్స్ ఉన్నప్పుడు పరాజయం వైపు (4)', '15 వ ఉత్తమ తొలి ఇన్నింగ్స్లో గణాంకాలు (3)']</v>
      </c>
      <c r="G7506" s="2" t="s">
        <v>4330</v>
      </c>
      <c r="H7506" s="2" t="str">
        <f>IFERROR(__xludf.DUMMYFUNCTION("IF(G7506&lt;&gt;"""", GOOGLETRANSLATE(G7506, ""en"", ""te""),"""")"),"[ '1st వరుస బాతులు (3)', '7 వ చెత్త కెరీర్ సగటు (30.83) బౌలింగ్', '22 వ చెత్త కెరీర్లో ఆర్థిక రేటు (6.21)', '7 వ చెత్త కెరీర్లో సమ్మె రేటు (29.7)', '27 వ మోస్ట్ రన్స్ సాధించిన ఇన్నింగ్స్ (48) ',' 12 వ ఇన్నింగ్స్ లో వచ్చిన ఎక్కువ పనికత్తెలయొద్ద (2) ']")</f>
        <v>[ '1st వరుస బాతులు (3)', '7 వ చెత్త కెరీర్ సగటు (30.83) బౌలింగ్', '22 వ చెత్త కెరీర్లో ఆర్థిక రేటు (6.21)', '7 వ చెత్త కెరీర్లో సమ్మె రేటు (29.7)', '27 వ మోస్ట్ రన్స్ సాధించిన ఇన్నింగ్స్ (48) ',' 12 వ ఇన్నింగ్స్ లో వచ్చిన ఎక్కువ పనికత్తెలయొద్ద (2) ']</v>
      </c>
      <c r="I7506" s="3"/>
    </row>
    <row r="7507" customHeight="1" spans="1:9">
      <c r="A7507" s="2"/>
      <c r="B7507" s="2" t="str">
        <f>IFERROR(__xludf.DUMMYFUNCTION("IF(A7507&lt;&gt;"""", GOOGLETRANSLATE(A7507, ""en"", ""te""),"""")"),"")</f>
        <v/>
      </c>
      <c r="C7507" s="2"/>
      <c r="D7507" s="2" t="str">
        <f>IFERROR(__xludf.DUMMYFUNCTION("IF(C7507&lt;&gt;"""", GOOGLETRANSLATE(C7507, ""en"", ""te""),"""")"),"")</f>
        <v/>
      </c>
      <c r="E7507" s="2"/>
      <c r="F7507" s="2" t="str">
        <f>IFERROR(__xludf.DUMMYFUNCTION("IF(E7507&lt;&gt;"""", GOOGLETRANSLATE(E7507, ""en"", ""te""),"""")"),"")</f>
        <v/>
      </c>
      <c r="G7507" s="2"/>
      <c r="H7507" s="2" t="str">
        <f>IFERROR(__xludf.DUMMYFUNCTION("IF(G7507&lt;&gt;"""", GOOGLETRANSLATE(G7507, ""en"", ""te""),"""")"),"")</f>
        <v/>
      </c>
      <c r="I7507" s="3"/>
    </row>
    <row r="7508" customHeight="1" spans="1:9">
      <c r="A7508" s="2"/>
      <c r="B7508" s="2" t="str">
        <f>IFERROR(__xludf.DUMMYFUNCTION("IF(A7508&lt;&gt;"""", GOOGLETRANSLATE(A7508, ""en"", ""te""),"""")"),"")</f>
        <v/>
      </c>
      <c r="C7508" s="2"/>
      <c r="D7508" s="2" t="str">
        <f>IFERROR(__xludf.DUMMYFUNCTION("IF(C7508&lt;&gt;"""", GOOGLETRANSLATE(C7508, ""en"", ""te""),"""")"),"")</f>
        <v/>
      </c>
      <c r="E7508" s="2"/>
      <c r="F7508" s="2" t="str">
        <f>IFERROR(__xludf.DUMMYFUNCTION("IF(E7508&lt;&gt;"""", GOOGLETRANSLATE(E7508, ""en"", ""te""),"""")"),"")</f>
        <v/>
      </c>
      <c r="G7508" s="2"/>
      <c r="H7508" s="2" t="str">
        <f>IFERROR(__xludf.DUMMYFUNCTION("IF(G7508&lt;&gt;"""", GOOGLETRANSLATE(G7508, ""en"", ""te""),"""")"),"")</f>
        <v/>
      </c>
      <c r="I7508" s="3"/>
    </row>
    <row r="7509" customHeight="1" spans="1:9">
      <c r="A7509" s="2"/>
      <c r="B7509" s="2" t="str">
        <f>IFERROR(__xludf.DUMMYFUNCTION("IF(A7509&lt;&gt;"""", GOOGLETRANSLATE(A7509, ""en"", ""te""),"""")"),"")</f>
        <v/>
      </c>
      <c r="C7509" s="2"/>
      <c r="D7509" s="2" t="str">
        <f>IFERROR(__xludf.DUMMYFUNCTION("IF(C7509&lt;&gt;"""", GOOGLETRANSLATE(C7509, ""en"", ""te""),"""")"),"")</f>
        <v/>
      </c>
      <c r="E7509" s="2"/>
      <c r="F7509" s="2" t="str">
        <f>IFERROR(__xludf.DUMMYFUNCTION("IF(E7509&lt;&gt;"""", GOOGLETRANSLATE(E7509, ""en"", ""te""),"""")"),"")</f>
        <v/>
      </c>
      <c r="G7509" s="2"/>
      <c r="H7509" s="2" t="str">
        <f>IFERROR(__xludf.DUMMYFUNCTION("IF(G7509&lt;&gt;"""", GOOGLETRANSLATE(G7509, ""en"", ""te""),"""")"),"")</f>
        <v/>
      </c>
      <c r="I7509" s="3"/>
    </row>
    <row r="7510" customHeight="1" spans="1:9">
      <c r="A7510" s="2"/>
      <c r="B7510" s="2" t="str">
        <f>IFERROR(__xludf.DUMMYFUNCTION("IF(A7510&lt;&gt;"""", GOOGLETRANSLATE(A7510, ""en"", ""te""),"""")"),"")</f>
        <v/>
      </c>
      <c r="C7510" s="2"/>
      <c r="D7510" s="2" t="str">
        <f>IFERROR(__xludf.DUMMYFUNCTION("IF(C7510&lt;&gt;"""", GOOGLETRANSLATE(C7510, ""en"", ""te""),"""")"),"")</f>
        <v/>
      </c>
      <c r="E7510" s="2"/>
      <c r="F7510" s="2" t="str">
        <f>IFERROR(__xludf.DUMMYFUNCTION("IF(E7510&lt;&gt;"""", GOOGLETRANSLATE(E7510, ""en"", ""te""),"""")"),"")</f>
        <v/>
      </c>
      <c r="G7510" s="2"/>
      <c r="H7510" s="2" t="str">
        <f>IFERROR(__xludf.DUMMYFUNCTION("IF(G7510&lt;&gt;"""", GOOGLETRANSLATE(G7510, ""en"", ""te""),"""")"),"")</f>
        <v/>
      </c>
      <c r="I7510" s="3"/>
    </row>
    <row r="7511" customHeight="1" spans="1:9">
      <c r="A7511" s="2"/>
      <c r="B7511" s="2" t="str">
        <f>IFERROR(__xludf.DUMMYFUNCTION("IF(A7511&lt;&gt;"""", GOOGLETRANSLATE(A7511, ""en"", ""te""),"""")"),"")</f>
        <v/>
      </c>
      <c r="C7511" s="2"/>
      <c r="D7511" s="2" t="str">
        <f>IFERROR(__xludf.DUMMYFUNCTION("IF(C7511&lt;&gt;"""", GOOGLETRANSLATE(C7511, ""en"", ""te""),"""")"),"")</f>
        <v/>
      </c>
      <c r="E7511" s="2"/>
      <c r="F7511" s="2" t="str">
        <f>IFERROR(__xludf.DUMMYFUNCTION("IF(E7511&lt;&gt;"""", GOOGLETRANSLATE(E7511, ""en"", ""te""),"""")"),"")</f>
        <v/>
      </c>
      <c r="G7511" s="2"/>
      <c r="H7511" s="2" t="str">
        <f>IFERROR(__xludf.DUMMYFUNCTION("IF(G7511&lt;&gt;"""", GOOGLETRANSLATE(G7511, ""en"", ""te""),"""")"),"")</f>
        <v/>
      </c>
      <c r="I7511" s="3"/>
    </row>
    <row r="7512" customHeight="1" spans="1:9">
      <c r="A7512" s="2"/>
      <c r="B7512" s="2" t="str">
        <f>IFERROR(__xludf.DUMMYFUNCTION("IF(A7512&lt;&gt;"""", GOOGLETRANSLATE(A7512, ""en"", ""te""),"""")"),"")</f>
        <v/>
      </c>
      <c r="C7512" s="2"/>
      <c r="D7512" s="2" t="str">
        <f>IFERROR(__xludf.DUMMYFUNCTION("IF(C7512&lt;&gt;"""", GOOGLETRANSLATE(C7512, ""en"", ""te""),"""")"),"")</f>
        <v/>
      </c>
      <c r="E7512" s="2"/>
      <c r="F7512" s="2" t="str">
        <f>IFERROR(__xludf.DUMMYFUNCTION("IF(E7512&lt;&gt;"""", GOOGLETRANSLATE(E7512, ""en"", ""te""),"""")"),"")</f>
        <v/>
      </c>
      <c r="G7512" s="2"/>
      <c r="H7512" s="2" t="str">
        <f>IFERROR(__xludf.DUMMYFUNCTION("IF(G7512&lt;&gt;"""", GOOGLETRANSLATE(G7512, ""en"", ""te""),"""")"),"")</f>
        <v/>
      </c>
      <c r="I7512" s="3"/>
    </row>
    <row r="7513" customHeight="1" spans="1:9">
      <c r="A7513" s="2"/>
      <c r="B7513" s="2" t="str">
        <f>IFERROR(__xludf.DUMMYFUNCTION("IF(A7513&lt;&gt;"""", GOOGLETRANSLATE(A7513, ""en"", ""te""),"""")"),"")</f>
        <v/>
      </c>
      <c r="C7513" s="2"/>
      <c r="D7513" s="2" t="str">
        <f>IFERROR(__xludf.DUMMYFUNCTION("IF(C7513&lt;&gt;"""", GOOGLETRANSLATE(C7513, ""en"", ""te""),"""")"),"")</f>
        <v/>
      </c>
      <c r="E7513" s="2"/>
      <c r="F7513" s="2" t="str">
        <f>IFERROR(__xludf.DUMMYFUNCTION("IF(E7513&lt;&gt;"""", GOOGLETRANSLATE(E7513, ""en"", ""te""),"""")"),"")</f>
        <v/>
      </c>
      <c r="G7513" s="2"/>
      <c r="H7513" s="2" t="str">
        <f>IFERROR(__xludf.DUMMYFUNCTION("IF(G7513&lt;&gt;"""", GOOGLETRANSLATE(G7513, ""en"", ""te""),"""")"),"")</f>
        <v/>
      </c>
      <c r="I7513" s="3"/>
    </row>
    <row r="7514" customHeight="1" spans="1:9">
      <c r="A7514" s="2"/>
      <c r="B7514" s="2" t="str">
        <f>IFERROR(__xludf.DUMMYFUNCTION("IF(A7514&lt;&gt;"""", GOOGLETRANSLATE(A7514, ""en"", ""te""),"""")"),"")</f>
        <v/>
      </c>
      <c r="C7514" s="2"/>
      <c r="D7514" s="2" t="str">
        <f>IFERROR(__xludf.DUMMYFUNCTION("IF(C7514&lt;&gt;"""", GOOGLETRANSLATE(C7514, ""en"", ""te""),"""")"),"")</f>
        <v/>
      </c>
      <c r="E7514" s="2"/>
      <c r="F7514" s="2" t="str">
        <f>IFERROR(__xludf.DUMMYFUNCTION("IF(E7514&lt;&gt;"""", GOOGLETRANSLATE(E7514, ""en"", ""te""),"""")"),"")</f>
        <v/>
      </c>
      <c r="G7514" s="2"/>
      <c r="H7514" s="2" t="str">
        <f>IFERROR(__xludf.DUMMYFUNCTION("IF(G7514&lt;&gt;"""", GOOGLETRANSLATE(G7514, ""en"", ""te""),"""")"),"")</f>
        <v/>
      </c>
      <c r="I7514" s="3"/>
    </row>
    <row r="7515" customHeight="1" spans="1:9">
      <c r="A7515" s="2"/>
      <c r="B7515" s="2" t="str">
        <f>IFERROR(__xludf.DUMMYFUNCTION("IF(A7515&lt;&gt;"""", GOOGLETRANSLATE(A7515, ""en"", ""te""),"""")"),"")</f>
        <v/>
      </c>
      <c r="C7515" s="2"/>
      <c r="D7515" s="2" t="str">
        <f>IFERROR(__xludf.DUMMYFUNCTION("IF(C7515&lt;&gt;"""", GOOGLETRANSLATE(C7515, ""en"", ""te""),"""")"),"")</f>
        <v/>
      </c>
      <c r="E7515" s="2"/>
      <c r="F7515" s="2" t="str">
        <f>IFERROR(__xludf.DUMMYFUNCTION("IF(E7515&lt;&gt;"""", GOOGLETRANSLATE(E7515, ""en"", ""te""),"""")"),"")</f>
        <v/>
      </c>
      <c r="G7515" s="2"/>
      <c r="H7515" s="2" t="str">
        <f>IFERROR(__xludf.DUMMYFUNCTION("IF(G7515&lt;&gt;"""", GOOGLETRANSLATE(G7515, ""en"", ""te""),"""")"),"")</f>
        <v/>
      </c>
      <c r="I7515" s="3"/>
    </row>
    <row r="7516" customHeight="1" spans="1:9">
      <c r="A7516" s="2"/>
      <c r="B7516" s="2" t="str">
        <f>IFERROR(__xludf.DUMMYFUNCTION("IF(A7516&lt;&gt;"""", GOOGLETRANSLATE(A7516, ""en"", ""te""),"""")"),"")</f>
        <v/>
      </c>
      <c r="C7516" s="2"/>
      <c r="D7516" s="2" t="str">
        <f>IFERROR(__xludf.DUMMYFUNCTION("IF(C7516&lt;&gt;"""", GOOGLETRANSLATE(C7516, ""en"", ""te""),"""")"),"")</f>
        <v/>
      </c>
      <c r="E7516" s="2"/>
      <c r="F7516" s="2" t="str">
        <f>IFERROR(__xludf.DUMMYFUNCTION("IF(E7516&lt;&gt;"""", GOOGLETRANSLATE(E7516, ""en"", ""te""),"""")"),"")</f>
        <v/>
      </c>
      <c r="G7516" s="2"/>
      <c r="H7516" s="2" t="str">
        <f>IFERROR(__xludf.DUMMYFUNCTION("IF(G7516&lt;&gt;"""", GOOGLETRANSLATE(G7516, ""en"", ""te""),"""")"),"")</f>
        <v/>
      </c>
      <c r="I7516" s="3"/>
    </row>
    <row r="7517" customHeight="1" spans="1:9">
      <c r="A7517" s="2"/>
      <c r="B7517" s="2" t="str">
        <f>IFERROR(__xludf.DUMMYFUNCTION("IF(A7517&lt;&gt;"""", GOOGLETRANSLATE(A7517, ""en"", ""te""),"""")"),"")</f>
        <v/>
      </c>
      <c r="C7517" s="2"/>
      <c r="D7517" s="2" t="str">
        <f>IFERROR(__xludf.DUMMYFUNCTION("IF(C7517&lt;&gt;"""", GOOGLETRANSLATE(C7517, ""en"", ""te""),"""")"),"")</f>
        <v/>
      </c>
      <c r="E7517" s="2"/>
      <c r="F7517" s="2" t="str">
        <f>IFERROR(__xludf.DUMMYFUNCTION("IF(E7517&lt;&gt;"""", GOOGLETRANSLATE(E7517, ""en"", ""te""),"""")"),"")</f>
        <v/>
      </c>
      <c r="G7517" s="2"/>
      <c r="H7517" s="2" t="str">
        <f>IFERROR(__xludf.DUMMYFUNCTION("IF(G7517&lt;&gt;"""", GOOGLETRANSLATE(G7517, ""en"", ""te""),"""")"),"")</f>
        <v/>
      </c>
      <c r="I7517" s="3"/>
    </row>
    <row r="7518" customHeight="1" spans="1:9">
      <c r="A7518" s="2"/>
      <c r="B7518" s="2" t="str">
        <f>IFERROR(__xludf.DUMMYFUNCTION("IF(A7518&lt;&gt;"""", GOOGLETRANSLATE(A7518, ""en"", ""te""),"""")"),"")</f>
        <v/>
      </c>
      <c r="C7518" s="2"/>
      <c r="D7518" s="2" t="str">
        <f>IFERROR(__xludf.DUMMYFUNCTION("IF(C7518&lt;&gt;"""", GOOGLETRANSLATE(C7518, ""en"", ""te""),"""")"),"")</f>
        <v/>
      </c>
      <c r="E7518" s="2"/>
      <c r="F7518" s="2" t="str">
        <f>IFERROR(__xludf.DUMMYFUNCTION("IF(E7518&lt;&gt;"""", GOOGLETRANSLATE(E7518, ""en"", ""te""),"""")"),"")</f>
        <v/>
      </c>
      <c r="G7518" s="2"/>
      <c r="H7518" s="2" t="str">
        <f>IFERROR(__xludf.DUMMYFUNCTION("IF(G7518&lt;&gt;"""", GOOGLETRANSLATE(G7518, ""en"", ""te""),"""")"),"")</f>
        <v/>
      </c>
      <c r="I7518" s="3"/>
    </row>
    <row r="7519" customHeight="1" spans="1:9">
      <c r="A7519" s="2"/>
      <c r="B7519" s="2" t="str">
        <f>IFERROR(__xludf.DUMMYFUNCTION("IF(A7519&lt;&gt;"""", GOOGLETRANSLATE(A7519, ""en"", ""te""),"""")"),"")</f>
        <v/>
      </c>
      <c r="C7519" s="2"/>
      <c r="D7519" s="2" t="str">
        <f>IFERROR(__xludf.DUMMYFUNCTION("IF(C7519&lt;&gt;"""", GOOGLETRANSLATE(C7519, ""en"", ""te""),"""")"),"")</f>
        <v/>
      </c>
      <c r="E7519" s="2"/>
      <c r="F7519" s="2" t="str">
        <f>IFERROR(__xludf.DUMMYFUNCTION("IF(E7519&lt;&gt;"""", GOOGLETRANSLATE(E7519, ""en"", ""te""),"""")"),"")</f>
        <v/>
      </c>
      <c r="G7519" s="2"/>
      <c r="H7519" s="2" t="str">
        <f>IFERROR(__xludf.DUMMYFUNCTION("IF(G7519&lt;&gt;"""", GOOGLETRANSLATE(G7519, ""en"", ""te""),"""")"),"")</f>
        <v/>
      </c>
      <c r="I7519" s="3"/>
    </row>
    <row r="7520" customHeight="1" spans="1:9">
      <c r="A7520" s="2"/>
      <c r="B7520" s="2" t="str">
        <f>IFERROR(__xludf.DUMMYFUNCTION("IF(A7520&lt;&gt;"""", GOOGLETRANSLATE(A7520, ""en"", ""te""),"""")"),"")</f>
        <v/>
      </c>
      <c r="C7520" s="2"/>
      <c r="D7520" s="2" t="str">
        <f>IFERROR(__xludf.DUMMYFUNCTION("IF(C7520&lt;&gt;"""", GOOGLETRANSLATE(C7520, ""en"", ""te""),"""")"),"")</f>
        <v/>
      </c>
      <c r="E7520" s="2"/>
      <c r="F7520" s="2" t="str">
        <f>IFERROR(__xludf.DUMMYFUNCTION("IF(E7520&lt;&gt;"""", GOOGLETRANSLATE(E7520, ""en"", ""te""),"""")"),"")</f>
        <v/>
      </c>
      <c r="G7520" s="2"/>
      <c r="H7520" s="2" t="str">
        <f>IFERROR(__xludf.DUMMYFUNCTION("IF(G7520&lt;&gt;"""", GOOGLETRANSLATE(G7520, ""en"", ""te""),"""")"),"")</f>
        <v/>
      </c>
      <c r="I7520" s="3"/>
    </row>
    <row r="7521" customHeight="1" spans="1:9">
      <c r="A7521" s="2"/>
      <c r="B7521" s="2" t="str">
        <f>IFERROR(__xludf.DUMMYFUNCTION("IF(A7521&lt;&gt;"""", GOOGLETRANSLATE(A7521, ""en"", ""te""),"""")"),"")</f>
        <v/>
      </c>
      <c r="C7521" s="2"/>
      <c r="D7521" s="2" t="str">
        <f>IFERROR(__xludf.DUMMYFUNCTION("IF(C7521&lt;&gt;"""", GOOGLETRANSLATE(C7521, ""en"", ""te""),"""")"),"")</f>
        <v/>
      </c>
      <c r="E7521" s="2"/>
      <c r="F7521" s="2" t="str">
        <f>IFERROR(__xludf.DUMMYFUNCTION("IF(E7521&lt;&gt;"""", GOOGLETRANSLATE(E7521, ""en"", ""te""),"""")"),"")</f>
        <v/>
      </c>
      <c r="G7521" s="2"/>
      <c r="H7521" s="2" t="str">
        <f>IFERROR(__xludf.DUMMYFUNCTION("IF(G7521&lt;&gt;"""", GOOGLETRANSLATE(G7521, ""en"", ""te""),"""")"),"")</f>
        <v/>
      </c>
      <c r="I7521" s="3"/>
    </row>
    <row r="7522" customHeight="1" spans="1:9">
      <c r="A7522" s="2"/>
      <c r="B7522" s="2" t="str">
        <f>IFERROR(__xludf.DUMMYFUNCTION("IF(A7522&lt;&gt;"""", GOOGLETRANSLATE(A7522, ""en"", ""te""),"""")"),"")</f>
        <v/>
      </c>
      <c r="C7522" s="2"/>
      <c r="D7522" s="2" t="str">
        <f>IFERROR(__xludf.DUMMYFUNCTION("IF(C7522&lt;&gt;"""", GOOGLETRANSLATE(C7522, ""en"", ""te""),"""")"),"")</f>
        <v/>
      </c>
      <c r="E7522" s="2"/>
      <c r="F7522" s="2" t="str">
        <f>IFERROR(__xludf.DUMMYFUNCTION("IF(E7522&lt;&gt;"""", GOOGLETRANSLATE(E7522, ""en"", ""te""),"""")"),"")</f>
        <v/>
      </c>
      <c r="G7522" s="2"/>
      <c r="H7522" s="2" t="str">
        <f>IFERROR(__xludf.DUMMYFUNCTION("IF(G7522&lt;&gt;"""", GOOGLETRANSLATE(G7522, ""en"", ""te""),"""")"),"")</f>
        <v/>
      </c>
      <c r="I7522" s="3"/>
    </row>
    <row r="7523" customHeight="1" spans="1:9">
      <c r="A7523" s="2"/>
      <c r="B7523" s="2" t="str">
        <f>IFERROR(__xludf.DUMMYFUNCTION("IF(A7523&lt;&gt;"""", GOOGLETRANSLATE(A7523, ""en"", ""te""),"""")"),"")</f>
        <v/>
      </c>
      <c r="C7523" s="2"/>
      <c r="D7523" s="2" t="str">
        <f>IFERROR(__xludf.DUMMYFUNCTION("IF(C7523&lt;&gt;"""", GOOGLETRANSLATE(C7523, ""en"", ""te""),"""")"),"")</f>
        <v/>
      </c>
      <c r="E7523" s="2"/>
      <c r="F7523" s="2" t="str">
        <f>IFERROR(__xludf.DUMMYFUNCTION("IF(E7523&lt;&gt;"""", GOOGLETRANSLATE(E7523, ""en"", ""te""),"""")"),"")</f>
        <v/>
      </c>
      <c r="G7523" s="2"/>
      <c r="H7523" s="2" t="str">
        <f>IFERROR(__xludf.DUMMYFUNCTION("IF(G7523&lt;&gt;"""", GOOGLETRANSLATE(G7523, ""en"", ""te""),"""")"),"")</f>
        <v/>
      </c>
      <c r="I7523" s="3"/>
    </row>
    <row r="7524" customHeight="1" spans="1:9">
      <c r="A7524" s="2"/>
      <c r="B7524" s="2" t="str">
        <f>IFERROR(__xludf.DUMMYFUNCTION("IF(A7524&lt;&gt;"""", GOOGLETRANSLATE(A7524, ""en"", ""te""),"""")"),"")</f>
        <v/>
      </c>
      <c r="C7524" s="2"/>
      <c r="D7524" s="2" t="str">
        <f>IFERROR(__xludf.DUMMYFUNCTION("IF(C7524&lt;&gt;"""", GOOGLETRANSLATE(C7524, ""en"", ""te""),"""")"),"")</f>
        <v/>
      </c>
      <c r="E7524" s="2"/>
      <c r="F7524" s="2" t="str">
        <f>IFERROR(__xludf.DUMMYFUNCTION("IF(E7524&lt;&gt;"""", GOOGLETRANSLATE(E7524, ""en"", ""te""),"""")"),"")</f>
        <v/>
      </c>
      <c r="G7524" s="2"/>
      <c r="H7524" s="2" t="str">
        <f>IFERROR(__xludf.DUMMYFUNCTION("IF(G7524&lt;&gt;"""", GOOGLETRANSLATE(G7524, ""en"", ""te""),"""")"),"")</f>
        <v/>
      </c>
      <c r="I7524" s="3"/>
    </row>
    <row r="7525" customHeight="1" spans="1:9">
      <c r="A7525" s="2" t="s">
        <v>4331</v>
      </c>
      <c r="B7525" s="2" t="str">
        <f>IFERROR(__xludf.DUMMYFUNCTION("IF(A7525&lt;&gt;"""", GOOGLETRANSLATE(A7525, ""en"", ""te""),"""")"),"[ '7th లేవు కెరీర్లో బాతులు (38)', 'వంద (2745) లేకుండా ఒక వృత్తిలో 7 వ అత్యధిక పరుగులు']")</f>
        <v>[ '7th లేవు కెరీర్లో బాతులు (38)', 'వంద (2745) లేకుండా ఒక వృత్తిలో 7 వ అత్యధిక పరుగులు']</v>
      </c>
      <c r="C7525" s="2"/>
      <c r="D7525" s="2" t="str">
        <f>IFERROR(__xludf.DUMMYFUNCTION("IF(C7525&lt;&gt;"""", GOOGLETRANSLATE(C7525, ""en"", ""te""),"""")"),"")</f>
        <v/>
      </c>
      <c r="E7525" s="2" t="s">
        <v>4332</v>
      </c>
      <c r="F7525" s="2" t="str">
        <f>IFERROR(__xludf.DUMMYFUNCTION("IF(E7525&lt;&gt;"""", GOOGLETRANSLATE(E7525, ""en"", ""te""),"""")"),"[ 'వంద (1624) లేకుండా ఒక వృత్తిలో 36 వ అత్యధిక పరుగులు', 'ఇన్నింగ్స్ (బ్యాటింగ్ స్థానం) (95) 22 వ అత్యధిక పరుగులు' '42 వ చెత్త కెరీర్ (అర్హత లేకుండా) సగటు బౌలింగ్ (112.50)']")</f>
        <v>[ 'వంద (1624) లేకుండా ఒక వృత్తిలో 36 వ అత్యధిక పరుగులు', 'ఇన్నింగ్స్ (బ్యాటింగ్ స్థానం) (95) 22 వ అత్యధిక పరుగులు' '42 వ చెత్త కెరీర్ (అర్హత లేకుండా) సగటు బౌలింగ్ (112.50)']</v>
      </c>
      <c r="G7525" s="2" t="s">
        <v>4333</v>
      </c>
      <c r="H7525" s="2" t="str">
        <f>IFERROR(__xludf.DUMMYFUNCTION("IF(G7525&lt;&gt;"""", GOOGLETRANSLATE(G7525, ""en"", ""te""),"""")"),"[ '19 ఇన్నింగ్స్ లో అత్యధిక పరుగులు (బ్యాటింగ్ స్థానంలో ప్రకారం) (48 *)', 'కెరీర్ లో 7 వ లేవు బాతులు (38)', '28th వరుస ఇన్నింగ్స్లో డకౌట్ లేకుండా (38 *)', '15 వ ఒక లో అత్యధిక క్యాచ్లు ఇన్నింగ్స్ (3) ']")</f>
        <v>[ '19 ఇన్నింగ్స్ లో అత్యధిక పరుగులు (బ్యాటింగ్ స్థానంలో ప్రకారం) (48 *)', 'కెరీర్ లో 7 వ లేవు బాతులు (38)', '28th వరుస ఇన్నింగ్స్లో డకౌట్ లేకుండా (38 *)', '15 వ ఒక లో అత్యధిక క్యాచ్లు ఇన్నింగ్స్ (3) ']</v>
      </c>
      <c r="I7525" s="3"/>
    </row>
    <row r="7526" customHeight="1" spans="1:9">
      <c r="A7526" s="2" t="s">
        <v>4334</v>
      </c>
      <c r="B7526" s="2" t="str">
        <f>IFERROR(__xludf.DUMMYFUNCTION("IF(A7526&lt;&gt;"""", GOOGLETRANSLATE(A7526, ""en"", ""te""),"""")"),"[ 'ఇన్నింగ్స్ లో 1 వ అత్యంత స్టంపింగ్లు (3)', 'హండ్రెడ్ తొలి (132 *)', '1 వ 99 (199, 299 etc) కొట్టివేయబడింది' ఇన్నింగ్స్ (3) 4 వ అత్యంత స్టంపింగ్లు '(99) ',' 6 వ ఒక సిరీస్లో అత్యధిక బాతులు (3) ',' 200 పరుగులు మరియు ఒక సిరీస్లో 10 వికెట్కీపింగ్ తొలగింపులక"&amp;"ు ',' కెరీర్ (101) లో 3 వ అత్యంత స్టంపింగ్లు ']")</f>
        <v>[ 'ఇన్నింగ్స్ లో 1 వ అత్యంత స్టంపింగ్లు (3)', 'హండ్రెడ్ తొలి (132 *)', '1 వ 99 (199, 299 etc) కొట్టివేయబడింది' ఇన్నింగ్స్ (3) 4 వ అత్యంత స్టంపింగ్లు '(99) ',' 6 వ ఒక సిరీస్లో అత్యధిక బాతులు (3) ',' 200 పరుగులు మరియు ఒక సిరీస్లో 10 వికెట్కీపింగ్ తొలగింపులకు ',' కెరీర్ (101) లో 3 వ అత్యంత స్టంపింగ్లు ']</v>
      </c>
      <c r="C7526" s="2" t="s">
        <v>4335</v>
      </c>
      <c r="D7526" s="2" t="str">
        <f>IFERROR(__xludf.DUMMYFUNCTION("IF(C7526&lt;&gt;"""", GOOGLETRANSLATE(C7526, ""en"", ""te""),"""")"),"[40 వ కెరీర్ లో అత్యధిక వికెట్లు (119) ',' 45 వ కెరీర్ లో అత్యధిక క్యాచ్లు (93) ',' 9 వ కెరీర్ స్టంపింగ్లు (26) ',' 4 వ అత్యంత ఇన్నింగ్స్ లో స్టంపింగ్లు (3) ',' 12 వ అత్యంత స్టంపింగ్లు ఒక మ్యాచ్లో (3) ',' 24 వ అత్యధిక ఇన్నింగ్స్ బై గూడా ఇవ్వకుండా మొత్తం "&amp;"(586 / 7D) ']")</f>
        <v>[40 వ కెరీర్ లో అత్యధిక వికెట్లు (119) ',' 45 వ కెరీర్ లో అత్యధిక క్యాచ్లు (93) ',' 9 వ కెరీర్ స్టంపింగ్లు (26) ',' 4 వ అత్యంత ఇన్నింగ్స్ లో స్టంపింగ్లు (3) ',' 12 వ అత్యంత స్టంపింగ్లు ఒక మ్యాచ్లో (3) ',' 24 వ అత్యధిక ఇన్నింగ్స్ బై గూడా ఇవ్వకుండా మొత్తం (586 / 7D) ']</v>
      </c>
      <c r="E7526" s="2" t="s">
        <v>4336</v>
      </c>
      <c r="F7526" s="2" t="str">
        <f>IFERROR(__xludf.DUMMYFUNCTION("IF(E7526&lt;&gt;"""", GOOGLETRANSLATE(E7526, ""en"", ""te""),"""")"),"[ '43 వ అత్యధిక వికెట్లు ఒక సిరీస్లో అత్యధిక పరుగులు (308)', 'కెరీర్లో 9 వ అత్యంత బాతులు (24)', '6 వ చాలా బాతులు' 1st 99 (199, 299 etc) (99) అవుటయ్యాడు ' సిరీస్ (3) ',' 25 వ ఇన్నింగ్స్ లో వచ్చిన ఎక్కువ ఫోర్లు (20) ',' 11 వ కెరీర్ లో అత్యధిక వికెట్లు (206)"&amp;" ',' 16 వ ఇన్నింగ్స్ లో అత్యధిక వికెట్లు (5) ',' 20 వ కెరీర్ లో అత్యధిక క్యాచ్లు (131) ',' కెరీర్ లో 3 వ అత్యంత స్టంపింగ్లు (75) ',' 1 వ ఇన్నింగ్స్ (3) ',' 2 వ అత్యంత స్టంపింగ్లు అత్యంత స్టంపింగ్లు వరుస (6) లో ']")</f>
        <v>[ '43 వ అత్యధిక వికెట్లు ఒక సిరీస్లో అత్యధిక పరుగులు (308)', 'కెరీర్లో 9 వ అత్యంత బాతులు (24)', '6 వ చాలా బాతులు' 1st 99 (199, 299 etc) (99) అవుటయ్యాడు ' సిరీస్ (3) ',' 25 వ ఇన్నింగ్స్ లో వచ్చిన ఎక్కువ ఫోర్లు (20) ',' 11 వ కెరీర్ లో అత్యధిక వికెట్లు (206) ',' 16 వ ఇన్నింగ్స్ లో అత్యధిక వికెట్లు (5) ',' 20 వ కెరీర్ లో అత్యధిక క్యాచ్లు (131) ',' కెరీర్ లో 3 వ అత్యంత స్టంపింగ్లు (75) ',' 1 వ ఇన్నింగ్స్ (3) ',' 2 వ అత్యంత స్టంపింగ్లు అత్యంత స్టంపింగ్లు వరుస (6) లో ']</v>
      </c>
      <c r="G7526" s="2"/>
      <c r="H7526" s="2" t="str">
        <f>IFERROR(__xludf.DUMMYFUNCTION("IF(G7526&lt;&gt;"""", GOOGLETRANSLATE(G7526, ""en"", ""te""),"""")"),"")</f>
        <v/>
      </c>
      <c r="I7526" s="3"/>
    </row>
    <row r="7527" customHeight="1" spans="1:9">
      <c r="A7527" s="2" t="s">
        <v>4337</v>
      </c>
      <c r="B7527" s="2" t="str">
        <f>IFERROR(__xludf.DUMMYFUNCTION("IF(A7527&lt;&gt;"""", GOOGLETRANSLATE(A7527, ""en"", ""te""),"""")"),"[ 'హండ్రెడ్ మరియు ఒక మ్యాచ్లో ఒక డక్' 'ఒక ఇన్నింగ్స్లో ద్వారా బ్యాట్ నిదర్శన (158 *)', '5000 పరుగులు మరియు 50 ఫీల్డింగ్ వికెట్లు', 'ఒక ఇన్నింగ్స్లో ద్వారా వాహక బ్యాటింగ్ (52 *)']")</f>
        <v>[ 'హండ్రెడ్ మరియు ఒక మ్యాచ్లో ఒక డక్' 'ఒక ఇన్నింగ్స్లో ద్వారా బ్యాట్ నిదర్శన (158 *)', '5000 పరుగులు మరియు 50 ఫీల్డింగ్ వికెట్లు', 'ఒక ఇన్నింగ్స్లో ద్వారా వాహక బ్యాటింగ్ (52 *)']</v>
      </c>
      <c r="C7527" s="2" t="s">
        <v>4338</v>
      </c>
      <c r="D7527" s="2" t="str">
        <f>IFERROR(__xludf.DUMMYFUNCTION("IF(C7527&lt;&gt;"""", GOOGLETRANSLATE(C7527, ""en"", ""te""),"""")"),"[ '25 లాంగెస్ట్ వ్యక్తిగత ఇన్నింగ్స్ (నిమిషాలు) (698)' ఏ వికెట్కు, '49 వ అత్యధిక భాగస్వామ్యాల (345' గత మ్యాచ్ (118) లో 49 వ హండ్రెడ్ ',' 22 వ అత్యంత కెప్టెన్ (244) ద్వారా ఇన్నింగ్స్ లో పరుగులు ' ) ',' నాలుగవ వికెట్కు 12 వ అత్యధిక భాగస్వామ్యం (345) ',' 24 "&amp;"వ అత్యంత ప్లేయర్ ఆఫ్ ది సిరీస్ అవార్డులు (4) ']")</f>
        <v>[ '25 లాంగెస్ట్ వ్యక్తిగత ఇన్నింగ్స్ (నిమిషాలు) (698)' ఏ వికెట్కు, '49 వ అత్యధిక భాగస్వామ్యాల (345' గత మ్యాచ్ (118) లో 49 వ హండ్రెడ్ ',' 22 వ అత్యంత కెప్టెన్ (244) ద్వారా ఇన్నింగ్స్ లో పరుగులు ' ) ',' నాలుగవ వికెట్కు 12 వ అత్యధిక భాగస్వామ్యం (345) ',' 24 వ అత్యంత ప్లేయర్ ఆఫ్ ది సిరీస్ అవార్డులు (4) ']</v>
      </c>
      <c r="E7527" s="2"/>
      <c r="F7527" s="2" t="str">
        <f>IFERROR(__xludf.DUMMYFUNCTION("IF(E7527&lt;&gt;"""", GOOGLETRANSLATE(E7527, ""en"", ""te""),"""")"),"")</f>
        <v/>
      </c>
      <c r="G7527" s="2"/>
      <c r="H7527" s="2" t="str">
        <f>IFERROR(__xludf.DUMMYFUNCTION("IF(G7527&lt;&gt;"""", GOOGLETRANSLATE(G7527, ""en"", ""te""),"""")"),"")</f>
        <v/>
      </c>
      <c r="I7527" s="3"/>
    </row>
    <row r="7528" customHeight="1" spans="1:9">
      <c r="A7528" s="2"/>
      <c r="B7528" s="2" t="str">
        <f>IFERROR(__xludf.DUMMYFUNCTION("IF(A7528&lt;&gt;"""", GOOGLETRANSLATE(A7528, ""en"", ""te""),"""")"),"")</f>
        <v/>
      </c>
      <c r="C7528" s="2"/>
      <c r="D7528" s="2" t="str">
        <f>IFERROR(__xludf.DUMMYFUNCTION("IF(C7528&lt;&gt;"""", GOOGLETRANSLATE(C7528, ""en"", ""te""),"""")"),"")</f>
        <v/>
      </c>
      <c r="E7528" s="2"/>
      <c r="F7528" s="2" t="str">
        <f>IFERROR(__xludf.DUMMYFUNCTION("IF(E7528&lt;&gt;"""", GOOGLETRANSLATE(E7528, ""en"", ""te""),"""")"),"")</f>
        <v/>
      </c>
      <c r="G7528" s="2"/>
      <c r="H7528" s="2" t="str">
        <f>IFERROR(__xludf.DUMMYFUNCTION("IF(G7528&lt;&gt;"""", GOOGLETRANSLATE(G7528, ""en"", ""te""),"""")"),"")</f>
        <v/>
      </c>
      <c r="I7528" s="3"/>
    </row>
    <row r="7529" customHeight="1" spans="1:9">
      <c r="A7529" s="2"/>
      <c r="B7529" s="2" t="str">
        <f>IFERROR(__xludf.DUMMYFUNCTION("IF(A7529&lt;&gt;"""", GOOGLETRANSLATE(A7529, ""en"", ""te""),"""")"),"")</f>
        <v/>
      </c>
      <c r="C7529" s="2"/>
      <c r="D7529" s="2" t="str">
        <f>IFERROR(__xludf.DUMMYFUNCTION("IF(C7529&lt;&gt;"""", GOOGLETRANSLATE(C7529, ""en"", ""te""),"""")"),"")</f>
        <v/>
      </c>
      <c r="E7529" s="2"/>
      <c r="F7529" s="2" t="str">
        <f>IFERROR(__xludf.DUMMYFUNCTION("IF(E7529&lt;&gt;"""", GOOGLETRANSLATE(E7529, ""en"", ""te""),"""")"),"")</f>
        <v/>
      </c>
      <c r="G7529" s="2"/>
      <c r="H7529" s="2" t="str">
        <f>IFERROR(__xludf.DUMMYFUNCTION("IF(G7529&lt;&gt;"""", GOOGLETRANSLATE(G7529, ""en"", ""te""),"""")"),"")</f>
        <v/>
      </c>
      <c r="I7529" s="3"/>
    </row>
    <row r="7530" customHeight="1" spans="1:9">
      <c r="A7530" s="2"/>
      <c r="B7530" s="2" t="str">
        <f>IFERROR(__xludf.DUMMYFUNCTION("IF(A7530&lt;&gt;"""", GOOGLETRANSLATE(A7530, ""en"", ""te""),"""")"),"")</f>
        <v/>
      </c>
      <c r="C7530" s="2"/>
      <c r="D7530" s="2" t="str">
        <f>IFERROR(__xludf.DUMMYFUNCTION("IF(C7530&lt;&gt;"""", GOOGLETRANSLATE(C7530, ""en"", ""te""),"""")"),"")</f>
        <v/>
      </c>
      <c r="E7530" s="2"/>
      <c r="F7530" s="2" t="str">
        <f>IFERROR(__xludf.DUMMYFUNCTION("IF(E7530&lt;&gt;"""", GOOGLETRANSLATE(E7530, ""en"", ""te""),"""")"),"")</f>
        <v/>
      </c>
      <c r="G7530" s="2"/>
      <c r="H7530" s="2" t="str">
        <f>IFERROR(__xludf.DUMMYFUNCTION("IF(G7530&lt;&gt;"""", GOOGLETRANSLATE(G7530, ""en"", ""te""),"""")"),"")</f>
        <v/>
      </c>
      <c r="I7530" s="3"/>
    </row>
    <row r="7531" customHeight="1" spans="1:9">
      <c r="A7531" s="2"/>
      <c r="B7531" s="2" t="str">
        <f>IFERROR(__xludf.DUMMYFUNCTION("IF(A7531&lt;&gt;"""", GOOGLETRANSLATE(A7531, ""en"", ""te""),"""")"),"")</f>
        <v/>
      </c>
      <c r="C7531" s="2"/>
      <c r="D7531" s="2" t="str">
        <f>IFERROR(__xludf.DUMMYFUNCTION("IF(C7531&lt;&gt;"""", GOOGLETRANSLATE(C7531, ""en"", ""te""),"""")"),"")</f>
        <v/>
      </c>
      <c r="E7531" s="2"/>
      <c r="F7531" s="2" t="str">
        <f>IFERROR(__xludf.DUMMYFUNCTION("IF(E7531&lt;&gt;"""", GOOGLETRANSLATE(E7531, ""en"", ""te""),"""")"),"")</f>
        <v/>
      </c>
      <c r="G7531" s="2"/>
      <c r="H7531" s="2" t="str">
        <f>IFERROR(__xludf.DUMMYFUNCTION("IF(G7531&lt;&gt;"""", GOOGLETRANSLATE(G7531, ""en"", ""te""),"""")"),"")</f>
        <v/>
      </c>
      <c r="I7531" s="3"/>
    </row>
    <row r="7532" customHeight="1" spans="1:9">
      <c r="A7532" s="2"/>
      <c r="B7532" s="2" t="str">
        <f>IFERROR(__xludf.DUMMYFUNCTION("IF(A7532&lt;&gt;"""", GOOGLETRANSLATE(A7532, ""en"", ""te""),"""")"),"")</f>
        <v/>
      </c>
      <c r="C7532" s="2" t="s">
        <v>4339</v>
      </c>
      <c r="D7532" s="2" t="str">
        <f>IFERROR(__xludf.DUMMYFUNCTION("IF(C7532&lt;&gt;"""", GOOGLETRANSLATE(C7532, ""en"", ""te""),"""")"),"[ '35 వ అత్యంత బంతుల్లో ఇన్నింగ్స్ లో బౌల్డ్ (438)', '14 వ అత్యధిక పరుగులు ఇన్నింగ్స్ లో సాధించిన (222)']")</f>
        <v>[ '35 వ అత్యంత బంతుల్లో ఇన్నింగ్స్ లో బౌల్డ్ (438)', '14 వ అత్యధిక పరుగులు ఇన్నింగ్స్ లో సాధించిన (222)']</v>
      </c>
      <c r="E7532" s="2" t="s">
        <v>502</v>
      </c>
      <c r="F7532" s="2" t="str">
        <f>IFERROR(__xludf.DUMMYFUNCTION("IF(E7532&lt;&gt;"""", GOOGLETRANSLATE(E7532, ""en"", ""te""),"""")"),"[ '14 వ ఒక ఇన్నింగ్స్ లోని బెస్ట్ ఫిగర్స్ ఉన్నప్పుడు పరాజయం వైపు (5)']")</f>
        <v>[ '14 వ ఒక ఇన్నింగ్స్ లోని బెస్ట్ ఫిగర్స్ ఉన్నప్పుడు పరాజయం వైపు (5)']</v>
      </c>
      <c r="G7532" s="2"/>
      <c r="H7532" s="2" t="str">
        <f>IFERROR(__xludf.DUMMYFUNCTION("IF(G7532&lt;&gt;"""", GOOGLETRANSLATE(G7532, ""en"", ""te""),"""")"),"")</f>
        <v/>
      </c>
      <c r="I7532" s="3"/>
    </row>
    <row r="7533" customHeight="1" spans="1:9">
      <c r="A7533" s="2"/>
      <c r="B7533" s="2" t="str">
        <f>IFERROR(__xludf.DUMMYFUNCTION("IF(A7533&lt;&gt;"""", GOOGLETRANSLATE(A7533, ""en"", ""te""),"""")"),"")</f>
        <v/>
      </c>
      <c r="C7533" s="2"/>
      <c r="D7533" s="2" t="str">
        <f>IFERROR(__xludf.DUMMYFUNCTION("IF(C7533&lt;&gt;"""", GOOGLETRANSLATE(C7533, ""en"", ""te""),"""")"),"")</f>
        <v/>
      </c>
      <c r="E7533" s="2"/>
      <c r="F7533" s="2" t="str">
        <f>IFERROR(__xludf.DUMMYFUNCTION("IF(E7533&lt;&gt;"""", GOOGLETRANSLATE(E7533, ""en"", ""te""),"""")"),"")</f>
        <v/>
      </c>
      <c r="G7533" s="2"/>
      <c r="H7533" s="2" t="str">
        <f>IFERROR(__xludf.DUMMYFUNCTION("IF(G7533&lt;&gt;"""", GOOGLETRANSLATE(G7533, ""en"", ""te""),"""")"),"")</f>
        <v/>
      </c>
      <c r="I7533" s="3"/>
    </row>
    <row r="7534" customHeight="1" spans="1:9">
      <c r="A7534" s="2"/>
      <c r="B7534" s="2" t="str">
        <f>IFERROR(__xludf.DUMMYFUNCTION("IF(A7534&lt;&gt;"""", GOOGLETRANSLATE(A7534, ""en"", ""te""),"""")"),"")</f>
        <v/>
      </c>
      <c r="C7534" s="2"/>
      <c r="D7534" s="2" t="str">
        <f>IFERROR(__xludf.DUMMYFUNCTION("IF(C7534&lt;&gt;"""", GOOGLETRANSLATE(C7534, ""en"", ""te""),"""")"),"")</f>
        <v/>
      </c>
      <c r="E7534" s="2"/>
      <c r="F7534" s="2" t="str">
        <f>IFERROR(__xludf.DUMMYFUNCTION("IF(E7534&lt;&gt;"""", GOOGLETRANSLATE(E7534, ""en"", ""te""),"""")"),"")</f>
        <v/>
      </c>
      <c r="G7534" s="2"/>
      <c r="H7534" s="2" t="str">
        <f>IFERROR(__xludf.DUMMYFUNCTION("IF(G7534&lt;&gt;"""", GOOGLETRANSLATE(G7534, ""en"", ""te""),"""")"),"")</f>
        <v/>
      </c>
      <c r="I7534" s="3"/>
    </row>
    <row r="7535" customHeight="1" spans="1:9">
      <c r="A7535" s="2"/>
      <c r="B7535" s="2" t="str">
        <f>IFERROR(__xludf.DUMMYFUNCTION("IF(A7535&lt;&gt;"""", GOOGLETRANSLATE(A7535, ""en"", ""te""),"""")"),"")</f>
        <v/>
      </c>
      <c r="C7535" s="2"/>
      <c r="D7535" s="2" t="str">
        <f>IFERROR(__xludf.DUMMYFUNCTION("IF(C7535&lt;&gt;"""", GOOGLETRANSLATE(C7535, ""en"", ""te""),"""")"),"")</f>
        <v/>
      </c>
      <c r="E7535" s="2"/>
      <c r="F7535" s="2" t="str">
        <f>IFERROR(__xludf.DUMMYFUNCTION("IF(E7535&lt;&gt;"""", GOOGLETRANSLATE(E7535, ""en"", ""te""),"""")"),"")</f>
        <v/>
      </c>
      <c r="G7535" s="2"/>
      <c r="H7535" s="2" t="str">
        <f>IFERROR(__xludf.DUMMYFUNCTION("IF(G7535&lt;&gt;"""", GOOGLETRANSLATE(G7535, ""en"", ""te""),"""")"),"")</f>
        <v/>
      </c>
      <c r="I7535" s="3"/>
    </row>
    <row r="7536" customHeight="1" spans="1:9">
      <c r="A7536" s="2" t="s">
        <v>4340</v>
      </c>
      <c r="B7536" s="2" t="str">
        <f>IFERROR(__xludf.DUMMYFUNCTION("IF(A7536&lt;&gt;"""", GOOGLETRANSLATE(A7536, ""en"", ""te""),"""")"),"[ '(4) ఒక సిరీస్లో 4 చాలా బాతులు' 'ఇన్నింగ్స్ లో 4 వ అత్యధిక క్యాచ్లు (3)', 'ఇన్నింగ్స్ లో 3 వ చెత్త ఆర్థిక రేటు (23.50)']")</f>
        <v>[ '(4) ఒక సిరీస్లో 4 చాలా బాతులు' 'ఇన్నింగ్స్ లో 4 వ అత్యధిక క్యాచ్లు (3)', 'ఇన్నింగ్స్ లో 3 వ చెత్త ఆర్థిక రేటు (23.50)']</v>
      </c>
      <c r="C7536" s="2"/>
      <c r="D7536" s="2" t="str">
        <f>IFERROR(__xludf.DUMMYFUNCTION("IF(C7536&lt;&gt;"""", GOOGLETRANSLATE(C7536, ""en"", ""te""),"""")"),"")</f>
        <v/>
      </c>
      <c r="E7536" s="2" t="s">
        <v>4341</v>
      </c>
      <c r="F7536" s="2" t="str">
        <f>IFERROR(__xludf.DUMMYFUNCTION("IF(E7536&lt;&gt;"""", GOOGLETRANSLATE(E7536, ""en"", ""te""),"""")"),"[ 'ఇన్నింగ్స్ (3) 4 వ అత్యధిక క్యాచ్లు', '(4) ఒక సిరీస్లో 4 చాలా బాతులు' 'వరుస 16 వ అత్యధిక క్యాచ్లు (9)']")</f>
        <v>[ 'ఇన్నింగ్స్ (3) 4 వ అత్యధిక క్యాచ్లు', '(4) ఒక సిరీస్లో 4 చాలా బాతులు' 'వరుస 16 వ అత్యధిక క్యాచ్లు (9)']</v>
      </c>
      <c r="G7536" s="2" t="s">
        <v>4342</v>
      </c>
      <c r="H7536" s="2" t="str">
        <f>IFERROR(__xludf.DUMMYFUNCTION("IF(G7536&lt;&gt;"""", GOOGLETRANSLATE(G7536, ""en"", ""te""),"""")"),"[ '17 వ ఇన్నింగ్స్ లో అత్యధిక పరుగులు (బ్యాటింగ్ స్థానంలో ప్రకారం) (17)', '34 వ కెరీర్ బాతులు (5)', 'ఇన్నింగ్స్ లో 3 వ చెత్త ఆర్థిక రేటు (23.50)', '29 వ అత్యధిక పరుగులు ఇన్నింగ్స్ లో సాధించిన (47) ']")</f>
        <v>[ '17 వ ఇన్నింగ్స్ లో అత్యధిక పరుగులు (బ్యాటింగ్ స్థానంలో ప్రకారం) (17)', '34 వ కెరీర్ బాతులు (5)', 'ఇన్నింగ్స్ లో 3 వ చెత్త ఆర్థిక రేటు (23.50)', '29 వ అత్యధిక పరుగులు ఇన్నింగ్స్ లో సాధించిన (47) ']</v>
      </c>
      <c r="I7536" s="3"/>
    </row>
    <row r="7537" customHeight="1" spans="1:9">
      <c r="A7537" s="2"/>
      <c r="B7537" s="2" t="str">
        <f>IFERROR(__xludf.DUMMYFUNCTION("IF(A7537&lt;&gt;"""", GOOGLETRANSLATE(A7537, ""en"", ""te""),"""")"),"")</f>
        <v/>
      </c>
      <c r="C7537" s="2"/>
      <c r="D7537" s="2" t="str">
        <f>IFERROR(__xludf.DUMMYFUNCTION("IF(C7537&lt;&gt;"""", GOOGLETRANSLATE(C7537, ""en"", ""te""),"""")"),"")</f>
        <v/>
      </c>
      <c r="E7537" s="2"/>
      <c r="F7537" s="2" t="str">
        <f>IFERROR(__xludf.DUMMYFUNCTION("IF(E7537&lt;&gt;"""", GOOGLETRANSLATE(E7537, ""en"", ""te""),"""")"),"")</f>
        <v/>
      </c>
      <c r="G7537" s="2"/>
      <c r="H7537" s="2" t="str">
        <f>IFERROR(__xludf.DUMMYFUNCTION("IF(G7537&lt;&gt;"""", GOOGLETRANSLATE(G7537, ""en"", ""te""),"""")"),"")</f>
        <v/>
      </c>
      <c r="I7537" s="3"/>
    </row>
    <row r="7538" customHeight="1" spans="1:9">
      <c r="A7538" s="2"/>
      <c r="B7538" s="2" t="str">
        <f>IFERROR(__xludf.DUMMYFUNCTION("IF(A7538&lt;&gt;"""", GOOGLETRANSLATE(A7538, ""en"", ""te""),"""")"),"")</f>
        <v/>
      </c>
      <c r="C7538" s="2"/>
      <c r="D7538" s="2" t="str">
        <f>IFERROR(__xludf.DUMMYFUNCTION("IF(C7538&lt;&gt;"""", GOOGLETRANSLATE(C7538, ""en"", ""te""),"""")"),"")</f>
        <v/>
      </c>
      <c r="E7538" s="2"/>
      <c r="F7538" s="2" t="str">
        <f>IFERROR(__xludf.DUMMYFUNCTION("IF(E7538&lt;&gt;"""", GOOGLETRANSLATE(E7538, ""en"", ""te""),"""")"),"")</f>
        <v/>
      </c>
      <c r="G7538" s="2"/>
      <c r="H7538" s="2" t="str">
        <f>IFERROR(__xludf.DUMMYFUNCTION("IF(G7538&lt;&gt;"""", GOOGLETRANSLATE(G7538, ""en"", ""te""),"""")"),"")</f>
        <v/>
      </c>
      <c r="I7538" s="3"/>
    </row>
    <row r="7539" customHeight="1" spans="1:9">
      <c r="A7539" s="2"/>
      <c r="B7539" s="2" t="str">
        <f>IFERROR(__xludf.DUMMYFUNCTION("IF(A7539&lt;&gt;"""", GOOGLETRANSLATE(A7539, ""en"", ""te""),"""")"),"")</f>
        <v/>
      </c>
      <c r="C7539" s="2"/>
      <c r="D7539" s="2" t="str">
        <f>IFERROR(__xludf.DUMMYFUNCTION("IF(C7539&lt;&gt;"""", GOOGLETRANSLATE(C7539, ""en"", ""te""),"""")"),"")</f>
        <v/>
      </c>
      <c r="E7539" s="2"/>
      <c r="F7539" s="2" t="str">
        <f>IFERROR(__xludf.DUMMYFUNCTION("IF(E7539&lt;&gt;"""", GOOGLETRANSLATE(E7539, ""en"", ""te""),"""")"),"")</f>
        <v/>
      </c>
      <c r="G7539" s="2"/>
      <c r="H7539" s="2" t="str">
        <f>IFERROR(__xludf.DUMMYFUNCTION("IF(G7539&lt;&gt;"""", GOOGLETRANSLATE(G7539, ""en"", ""te""),"""")"),"")</f>
        <v/>
      </c>
      <c r="I7539" s="3"/>
    </row>
    <row r="7540" customHeight="1" spans="1:9">
      <c r="A7540" s="2"/>
      <c r="B7540" s="2" t="str">
        <f>IFERROR(__xludf.DUMMYFUNCTION("IF(A7540&lt;&gt;"""", GOOGLETRANSLATE(A7540, ""en"", ""te""),"""")"),"")</f>
        <v/>
      </c>
      <c r="C7540" s="2"/>
      <c r="D7540" s="2" t="str">
        <f>IFERROR(__xludf.DUMMYFUNCTION("IF(C7540&lt;&gt;"""", GOOGLETRANSLATE(C7540, ""en"", ""te""),"""")"),"")</f>
        <v/>
      </c>
      <c r="E7540" s="2"/>
      <c r="F7540" s="2" t="str">
        <f>IFERROR(__xludf.DUMMYFUNCTION("IF(E7540&lt;&gt;"""", GOOGLETRANSLATE(E7540, ""en"", ""te""),"""")"),"")</f>
        <v/>
      </c>
      <c r="G7540" s="2"/>
      <c r="H7540" s="2" t="str">
        <f>IFERROR(__xludf.DUMMYFUNCTION("IF(G7540&lt;&gt;"""", GOOGLETRANSLATE(G7540, ""en"", ""te""),"""")"),"")</f>
        <v/>
      </c>
      <c r="I7540" s="3"/>
    </row>
    <row r="7541" customHeight="1" spans="1:9">
      <c r="A7541" s="2"/>
      <c r="B7541" s="2" t="str">
        <f>IFERROR(__xludf.DUMMYFUNCTION("IF(A7541&lt;&gt;"""", GOOGLETRANSLATE(A7541, ""en"", ""te""),"""")"),"")</f>
        <v/>
      </c>
      <c r="C7541" s="2"/>
      <c r="D7541" s="2" t="str">
        <f>IFERROR(__xludf.DUMMYFUNCTION("IF(C7541&lt;&gt;"""", GOOGLETRANSLATE(C7541, ""en"", ""te""),"""")"),"")</f>
        <v/>
      </c>
      <c r="E7541" s="2"/>
      <c r="F7541" s="2" t="str">
        <f>IFERROR(__xludf.DUMMYFUNCTION("IF(E7541&lt;&gt;"""", GOOGLETRANSLATE(E7541, ""en"", ""te""),"""")"),"")</f>
        <v/>
      </c>
      <c r="G7541" s="2"/>
      <c r="H7541" s="2" t="str">
        <f>IFERROR(__xludf.DUMMYFUNCTION("IF(G7541&lt;&gt;"""", GOOGLETRANSLATE(G7541, ""en"", ""te""),"""")"),"")</f>
        <v/>
      </c>
      <c r="I7541" s="3"/>
    </row>
    <row r="7542" customHeight="1" spans="1:9">
      <c r="A7542" s="2"/>
      <c r="B7542" s="2" t="str">
        <f>IFERROR(__xludf.DUMMYFUNCTION("IF(A7542&lt;&gt;"""", GOOGLETRANSLATE(A7542, ""en"", ""te""),"""")"),"")</f>
        <v/>
      </c>
      <c r="C7542" s="2"/>
      <c r="D7542" s="2" t="str">
        <f>IFERROR(__xludf.DUMMYFUNCTION("IF(C7542&lt;&gt;"""", GOOGLETRANSLATE(C7542, ""en"", ""te""),"""")"),"")</f>
        <v/>
      </c>
      <c r="E7542" s="2"/>
      <c r="F7542" s="2" t="str">
        <f>IFERROR(__xludf.DUMMYFUNCTION("IF(E7542&lt;&gt;"""", GOOGLETRANSLATE(E7542, ""en"", ""te""),"""")"),"")</f>
        <v/>
      </c>
      <c r="G7542" s="2"/>
      <c r="H7542" s="2" t="str">
        <f>IFERROR(__xludf.DUMMYFUNCTION("IF(G7542&lt;&gt;"""", GOOGLETRANSLATE(G7542, ""en"", ""te""),"""")"),"")</f>
        <v/>
      </c>
      <c r="I7542" s="3"/>
    </row>
    <row r="7543" customHeight="1" spans="1:9">
      <c r="A7543" s="2"/>
      <c r="B7543" s="2" t="str">
        <f>IFERROR(__xludf.DUMMYFUNCTION("IF(A7543&lt;&gt;"""", GOOGLETRANSLATE(A7543, ""en"", ""te""),"""")"),"")</f>
        <v/>
      </c>
      <c r="C7543" s="2"/>
      <c r="D7543" s="2" t="str">
        <f>IFERROR(__xludf.DUMMYFUNCTION("IF(C7543&lt;&gt;"""", GOOGLETRANSLATE(C7543, ""en"", ""te""),"""")"),"")</f>
        <v/>
      </c>
      <c r="E7543" s="2"/>
      <c r="F7543" s="2" t="str">
        <f>IFERROR(__xludf.DUMMYFUNCTION("IF(E7543&lt;&gt;"""", GOOGLETRANSLATE(E7543, ""en"", ""te""),"""")"),"")</f>
        <v/>
      </c>
      <c r="G7543" s="2"/>
      <c r="H7543" s="2" t="str">
        <f>IFERROR(__xludf.DUMMYFUNCTION("IF(G7543&lt;&gt;"""", GOOGLETRANSLATE(G7543, ""en"", ""te""),"""")"),"")</f>
        <v/>
      </c>
      <c r="I7543" s="3"/>
    </row>
    <row r="7544" customHeight="1" spans="1:9">
      <c r="A7544" s="2"/>
      <c r="B7544" s="2" t="str">
        <f>IFERROR(__xludf.DUMMYFUNCTION("IF(A7544&lt;&gt;"""", GOOGLETRANSLATE(A7544, ""en"", ""te""),"""")"),"")</f>
        <v/>
      </c>
      <c r="C7544" s="2"/>
      <c r="D7544" s="2" t="str">
        <f>IFERROR(__xludf.DUMMYFUNCTION("IF(C7544&lt;&gt;"""", GOOGLETRANSLATE(C7544, ""en"", ""te""),"""")"),"")</f>
        <v/>
      </c>
      <c r="E7544" s="2"/>
      <c r="F7544" s="2" t="str">
        <f>IFERROR(__xludf.DUMMYFUNCTION("IF(E7544&lt;&gt;"""", GOOGLETRANSLATE(E7544, ""en"", ""te""),"""")"),"")</f>
        <v/>
      </c>
      <c r="G7544" s="2"/>
      <c r="H7544" s="2" t="str">
        <f>IFERROR(__xludf.DUMMYFUNCTION("IF(G7544&lt;&gt;"""", GOOGLETRANSLATE(G7544, ""en"", ""te""),"""")"),"")</f>
        <v/>
      </c>
      <c r="I7544" s="3"/>
    </row>
    <row r="7545" customHeight="1" spans="1:9">
      <c r="A7545" s="2" t="s">
        <v>4343</v>
      </c>
      <c r="B7545" s="2" t="str">
        <f>IFERROR(__xludf.DUMMYFUNCTION("IF(A7545&lt;&gt;"""", GOOGLETRANSLATE(A7545, ""en"", ""te""),"""")"),"[ 'ఒక సిరీస్లో 6 వ అత్యంత బాతులు (3)', '1000 పరుగులు మరియు 100 వికెట్లు', '1 వ అత్యుత్తమ బౌలింగ్ ఇన్నింగ్స్ లో విశ్లేషించడం (1/0)', ​​'9 వ కెరీర్ లో బౌల్డ్ చాలా బంతుల్లో (1231)', '1st ఒక ఇన్నింగ్స్ లో చాలా పనికత్తెలయొద్ద (2) ',' 10 వ అత్యధిక వికెట్లు తీసు"&amp;"కున్న ఆకర్షించింది (46) ']")</f>
        <v>[ 'ఒక సిరీస్లో 6 వ అత్యంత బాతులు (3)', '1000 పరుగులు మరియు 100 వికెట్లు', '1 వ అత్యుత్తమ బౌలింగ్ ఇన్నింగ్స్ లో విశ్లేషించడం (1/0)', ​​'9 వ కెరీర్ లో బౌల్డ్ చాలా బంతుల్లో (1231)', '1st ఒక ఇన్నింగ్స్ లో చాలా పనికత్తెలయొద్ద (2) ',' 10 వ అత్యధిక వికెట్లు తీసుకున్న ఆకర్షించింది (46) ']</v>
      </c>
      <c r="C7545" s="2"/>
      <c r="D7545" s="2" t="str">
        <f>IFERROR(__xludf.DUMMYFUNCTION("IF(C7545&lt;&gt;"""", GOOGLETRANSLATE(C7545, ""en"", ""te""),"""")"),"")</f>
        <v/>
      </c>
      <c r="E7545" s="2" t="s">
        <v>4344</v>
      </c>
      <c r="F7545" s="2" t="str">
        <f>IFERROR(__xludf.DUMMYFUNCTION("IF(E7545&lt;&gt;"""", GOOGLETRANSLATE(E7545, ""en"", ""te""),"""")"),"[ '48 వ అత్యంత వంద (1327) లేకుండా ఒక వృత్తిలో పరుగులు' 'ఒక సిరీస్లో 6 వ అత్యంత బాతులు (3)', '38 వ కెరీర్ లో అత్యధిక వికెట్లు (199)', ఒక ఇన్నింగ్స్ లో '48 వ బెస్ట్ ఆర్థిక రేటు (1.00) ',' తొలి తీసుకోవాలని 44 వ అత్యంత వృద్ధ ఆటగాడు ఐదు వికెట్ల లో-ఒక-ఇన్నింగ్స"&amp;"్ (30y 180d) ',' 36 వ కెరీర్ (8263) లో బౌల్డ్ చాలా బంతుల్లో ',' 31 కెరీర్ (6751) లో సాధించిన అత్యధిక పరుగులు ',' 25 బౌలర్ / బ్యాట్స్ కలయికలు (8) ',' 15 వ బౌలర్ / ఫీల్డర్ కలయికలు (36) ',' 46 వ అత్యధిక వికెట్లు తీసుకున్న బౌల్డ్ (45) ',' 34 వ అత్యధిక వికెట్ల"&amp;"ు ఒక వికెట్ కీపర్ చే కాట్ తీసుకున్న (40) ',' 16 వ అత్యధిక వికెట్లు తీసుకున్న ఎల్బిడబ్ల్యు (46) ']")</f>
        <v>[ '48 వ అత్యంత వంద (1327) లేకుండా ఒక వృత్తిలో పరుగులు' 'ఒక సిరీస్లో 6 వ అత్యంత బాతులు (3)', '38 వ కెరీర్ లో అత్యధిక వికెట్లు (199)', ఒక ఇన్నింగ్స్ లో '48 వ బెస్ట్ ఆర్థిక రేటు (1.00) ',' తొలి తీసుకోవాలని 44 వ అత్యంత వృద్ధ ఆటగాడు ఐదు వికెట్ల లో-ఒక-ఇన్నింగ్స్ (30y 180d) ',' 36 వ కెరీర్ (8263) లో బౌల్డ్ చాలా బంతుల్లో ',' 31 కెరీర్ (6751) లో సాధించిన అత్యధిక పరుగులు ',' 25 బౌలర్ / బ్యాట్స్ కలయికలు (8) ',' 15 వ బౌలర్ / ఫీల్డర్ కలయికలు (36) ',' 46 వ అత్యధిక వికెట్లు తీసుకున్న బౌల్డ్ (45) ',' 34 వ అత్యధిక వికెట్లు ఒక వికెట్ కీపర్ చే కాట్ తీసుకున్న (40) ',' 16 వ అత్యధిక వికెట్లు తీసుకున్న ఎల్బిడబ్ల్యు (46) ']</v>
      </c>
      <c r="G7545" s="2" t="s">
        <v>4345</v>
      </c>
      <c r="H7545" s="2" t="str">
        <f>IFERROR(__xludf.DUMMYFUNCTION("IF(G7545&lt;&gt;"""", GOOGLETRANSLATE(G7545, ""en"", ""te""),"""")"),"[ '35 వ ఇన్నింగ్స్ లో అత్యధిక పరుగులు (బ్యాటింగ్ స్థానంలో ప్రకారం) (31)', '12 వ కెరీర్ లో అత్యధిక వికెట్లు (66)', '1 వ అత్యుత్తమ బౌలింగ్ ఇన్నింగ్స్ లో విశ్లేషించడం (1/0)', ​​'8 వ ఒక ఉత్తమ బొమ్మలు ఇన్నింగ్స్ పరాజయం వైపు (4) ',' 16 వ అత్యంత నాలుగు వికెట్లు"&amp;"-ఇన్-ఒక-ఇన్నింగ్స్ కెరీర్లో (2) ',' కెరీర్ (1231) లో బౌల్డ్ 9 వ అత్యంత బంతుల్లో ',' 12 వ అత్యధిక పరుగులు కెరీర్లో సాధించిన ఉన్నప్పుడు (1530) ',' 17 వ బౌలర్ / బ్యాట్స్ కలయికలు (3) ',' 26th బౌలర్ / ఫీల్డర్ కలయికలు (7) ',' 27 వ అత్యధిక వికెట్లు తీసుకున్న బౌల"&amp;"్డ్ (13) ',' 10 వ అత్యధిక వికెట్లు తీసుకున్న ఆకర్షించింది (46) ',' 11 వ అత్యంత ఫీల్డర్ చేత క్యాచ్ తీసుకున్న వికెట్ల (38) ',' 13 వ అత్యధిక వికెట్లు ఒక వికెట్ కీపర్ చే కాట్ తీసుకోకూడదు (8) ',' 14 వ అత్యధిక వికెట్లు తీసుకున్న ఎల్బిడబ్ల్యు (7) ',' 50 వికెట్లు"&amp;" వేగంగా 26 (45) ',' కెరీర్లో 2 వ అత్యంత పనికత్తెలయొద్ద (6) ',' 1 వ ఇన్నింగ్స్ లో వచ్చిన ఎక్కువ పనికత్తెలయొద్ద (2) ']")</f>
        <v>[ '35 వ ఇన్నింగ్స్ లో అత్యధిక పరుగులు (బ్యాటింగ్ స్థానంలో ప్రకారం) (31)', '12 వ కెరీర్ లో అత్యధిక వికెట్లు (66)', '1 వ అత్యుత్తమ బౌలింగ్ ఇన్నింగ్స్ లో విశ్లేషించడం (1/0)', ​​'8 వ ఒక ఉత్తమ బొమ్మలు ఇన్నింగ్స్ పరాజయం వైపు (4) ',' 16 వ అత్యంత నాలుగు వికెట్లు-ఇన్-ఒక-ఇన్నింగ్స్ కెరీర్లో (2) ',' కెరీర్ (1231) లో బౌల్డ్ 9 వ అత్యంత బంతుల్లో ',' 12 వ అత్యధిక పరుగులు కెరీర్లో సాధించిన ఉన్నప్పుడు (1530) ',' 17 వ బౌలర్ / బ్యాట్స్ కలయికలు (3) ',' 26th బౌలర్ / ఫీల్డర్ కలయికలు (7) ',' 27 వ అత్యధిక వికెట్లు తీసుకున్న బౌల్డ్ (13) ',' 10 వ అత్యధిక వికెట్లు తీసుకున్న ఆకర్షించింది (46) ',' 11 వ అత్యంత ఫీల్డర్ చేత క్యాచ్ తీసుకున్న వికెట్ల (38) ',' 13 వ అత్యధిక వికెట్లు ఒక వికెట్ కీపర్ చే కాట్ తీసుకోకూడదు (8) ',' 14 వ అత్యధిక వికెట్లు తీసుకున్న ఎల్బిడబ్ల్యు (7) ',' 50 వికెట్లు వేగంగా 26 (45) ',' కెరీర్లో 2 వ అత్యంత పనికత్తెలయొద్ద (6) ',' 1 వ ఇన్నింగ్స్ లో వచ్చిన ఎక్కువ పనికత్తెలయొద్ద (2) ']</v>
      </c>
      <c r="I7545" s="3"/>
    </row>
    <row r="7546" customHeight="1" spans="1:9">
      <c r="A7546" s="2"/>
      <c r="B7546" s="2" t="str">
        <f>IFERROR(__xludf.DUMMYFUNCTION("IF(A7546&lt;&gt;"""", GOOGLETRANSLATE(A7546, ""en"", ""te""),"""")"),"")</f>
        <v/>
      </c>
      <c r="C7546" s="2"/>
      <c r="D7546" s="2" t="str">
        <f>IFERROR(__xludf.DUMMYFUNCTION("IF(C7546&lt;&gt;"""", GOOGLETRANSLATE(C7546, ""en"", ""te""),"""")"),"")</f>
        <v/>
      </c>
      <c r="E7546" s="2"/>
      <c r="F7546" s="2" t="str">
        <f>IFERROR(__xludf.DUMMYFUNCTION("IF(E7546&lt;&gt;"""", GOOGLETRANSLATE(E7546, ""en"", ""te""),"""")"),"")</f>
        <v/>
      </c>
      <c r="G7546" s="2"/>
      <c r="H7546" s="2" t="str">
        <f>IFERROR(__xludf.DUMMYFUNCTION("IF(G7546&lt;&gt;"""", GOOGLETRANSLATE(G7546, ""en"", ""te""),"""")"),"")</f>
        <v/>
      </c>
      <c r="I7546" s="3"/>
    </row>
    <row r="7547" customHeight="1" spans="1:9">
      <c r="A7547" s="2"/>
      <c r="B7547" s="2" t="str">
        <f>IFERROR(__xludf.DUMMYFUNCTION("IF(A7547&lt;&gt;"""", GOOGLETRANSLATE(A7547, ""en"", ""te""),"""")"),"")</f>
        <v/>
      </c>
      <c r="C7547" s="2"/>
      <c r="D7547" s="2" t="str">
        <f>IFERROR(__xludf.DUMMYFUNCTION("IF(C7547&lt;&gt;"""", GOOGLETRANSLATE(C7547, ""en"", ""te""),"""")"),"")</f>
        <v/>
      </c>
      <c r="E7547" s="2"/>
      <c r="F7547" s="2" t="str">
        <f>IFERROR(__xludf.DUMMYFUNCTION("IF(E7547&lt;&gt;"""", GOOGLETRANSLATE(E7547, ""en"", ""te""),"""")"),"")</f>
        <v/>
      </c>
      <c r="G7547" s="2"/>
      <c r="H7547" s="2" t="str">
        <f>IFERROR(__xludf.DUMMYFUNCTION("IF(G7547&lt;&gt;"""", GOOGLETRANSLATE(G7547, ""en"", ""te""),"""")"),"")</f>
        <v/>
      </c>
      <c r="I7547" s="3"/>
    </row>
    <row r="7548" customHeight="1" spans="1:9">
      <c r="A7548" s="2"/>
      <c r="B7548" s="2" t="str">
        <f>IFERROR(__xludf.DUMMYFUNCTION("IF(A7548&lt;&gt;"""", GOOGLETRANSLATE(A7548, ""en"", ""te""),"""")"),"")</f>
        <v/>
      </c>
      <c r="C7548" s="2"/>
      <c r="D7548" s="2" t="str">
        <f>IFERROR(__xludf.DUMMYFUNCTION("IF(C7548&lt;&gt;"""", GOOGLETRANSLATE(C7548, ""en"", ""te""),"""")"),"")</f>
        <v/>
      </c>
      <c r="E7548" s="2" t="s">
        <v>4346</v>
      </c>
      <c r="F7548" s="2" t="str">
        <f>IFERROR(__xludf.DUMMYFUNCTION("IF(E7548&lt;&gt;"""", GOOGLETRANSLATE(E7548, ""en"", ""te""),"""")"),"[ 'తొమ్మిదవ వికెట్కు 35 వ అత్యధిక భాగస్వామ్యం (71)']")</f>
        <v>[ 'తొమ్మిదవ వికెట్కు 35 వ అత్యధిక భాగస్వామ్యం (71)']</v>
      </c>
      <c r="G7548" s="2"/>
      <c r="H7548" s="2" t="str">
        <f>IFERROR(__xludf.DUMMYFUNCTION("IF(G7548&lt;&gt;"""", GOOGLETRANSLATE(G7548, ""en"", ""te""),"""")"),"")</f>
        <v/>
      </c>
      <c r="I7548" s="3"/>
    </row>
    <row r="7549" customHeight="1" spans="1:9">
      <c r="A7549" s="2"/>
      <c r="B7549" s="2" t="str">
        <f>IFERROR(__xludf.DUMMYFUNCTION("IF(A7549&lt;&gt;"""", GOOGLETRANSLATE(A7549, ""en"", ""te""),"""")"),"")</f>
        <v/>
      </c>
      <c r="C7549" s="2"/>
      <c r="D7549" s="2" t="str">
        <f>IFERROR(__xludf.DUMMYFUNCTION("IF(C7549&lt;&gt;"""", GOOGLETRANSLATE(C7549, ""en"", ""te""),"""")"),"")</f>
        <v/>
      </c>
      <c r="E7549" s="2" t="s">
        <v>4347</v>
      </c>
      <c r="F7549" s="2" t="str">
        <f>IFERROR(__xludf.DUMMYFUNCTION("IF(E7549&lt;&gt;"""", GOOGLETRANSLATE(E7549, ""en"", ""te""),"""")"),"[ 'ప్రదర్శనల మధ్య 39 వ లాంగెస్ట్ వ్యవధిలో (6y 244d)']")</f>
        <v>[ 'ప్రదర్శనల మధ్య 39 వ లాంగెస్ట్ వ్యవధిలో (6y 244d)']</v>
      </c>
      <c r="G7549" s="2"/>
      <c r="H7549" s="2" t="str">
        <f>IFERROR(__xludf.DUMMYFUNCTION("IF(G7549&lt;&gt;"""", GOOGLETRANSLATE(G7549, ""en"", ""te""),"""")"),"")</f>
        <v/>
      </c>
      <c r="I7549" s="3"/>
    </row>
    <row r="7550" customHeight="1" spans="1:9">
      <c r="A7550" s="2" t="s">
        <v>4279</v>
      </c>
      <c r="B7550" s="2" t="str">
        <f>IFERROR(__xludf.DUMMYFUNCTION("IF(A7550&lt;&gt;"""", GOOGLETRANSLATE(A7550, ""en"", ""te""),"""")"),"[ 'తొలి ఇన్నింగ్స్లో 3 వ ఉత్తమ బొమ్మలు (5)']")</f>
        <v>[ 'తొలి ఇన్నింగ్స్లో 3 వ ఉత్తమ బొమ్మలు (5)']</v>
      </c>
      <c r="C7550" s="2"/>
      <c r="D7550" s="2" t="str">
        <f>IFERROR(__xludf.DUMMYFUNCTION("IF(C7550&lt;&gt;"""", GOOGLETRANSLATE(C7550, ""en"", ""te""),"""")"),"")</f>
        <v/>
      </c>
      <c r="E7550" s="2" t="s">
        <v>4348</v>
      </c>
      <c r="F7550" s="2" t="str">
        <f>IFERROR(__xludf.DUMMYFUNCTION("IF(E7550&lt;&gt;"""", GOOGLETRANSLATE(E7550, ""en"", ""te""),"""")"),"[ 'తొలి ఇన్నింగ్స్లో 3 వ ఉత్తమ బొమ్మలు (5)', 'ఐదు వికెట్ల లో-ఒక-ఇన్నింగ్స్ పడుతుంది 30 వ పిన్న ఆటగాడు (21y 233d)']")</f>
        <v>[ 'తొలి ఇన్నింగ్స్లో 3 వ ఉత్తమ బొమ్మలు (5)', 'ఐదు వికెట్ల లో-ఒక-ఇన్నింగ్స్ పడుతుంది 30 వ పిన్న ఆటగాడు (21y 233d)']</v>
      </c>
      <c r="G7550" s="2"/>
      <c r="H7550" s="2" t="str">
        <f>IFERROR(__xludf.DUMMYFUNCTION("IF(G7550&lt;&gt;"""", GOOGLETRANSLATE(G7550, ""en"", ""te""),"""")"),"")</f>
        <v/>
      </c>
      <c r="I7550" s="3"/>
    </row>
    <row r="7551" customHeight="1" spans="1:9">
      <c r="A7551" s="2" t="s">
        <v>4349</v>
      </c>
      <c r="B7551" s="2" t="str">
        <f>IFERROR(__xludf.DUMMYFUNCTION("IF(A7551&lt;&gt;"""", GOOGLETRANSLATE(A7551, ""en"", ""te""),"""")"),"[ '8 వ చెత్త ఆర్థిక వ్యవస్థ ఇన్నింగ్స్లో రేటు (7.22)']")</f>
        <v>[ '8 వ చెత్త ఆర్థిక వ్యవస్థ ఇన్నింగ్స్లో రేటు (7.22)']</v>
      </c>
      <c r="C7551" s="2" t="s">
        <v>4349</v>
      </c>
      <c r="D7551" s="2" t="str">
        <f>IFERROR(__xludf.DUMMYFUNCTION("IF(C7551&lt;&gt;"""", GOOGLETRANSLATE(C7551, ""en"", ""te""),"""")"),"[ '8 వ చెత్త ఆర్థిక వ్యవస్థ ఇన్నింగ్స్లో రేటు (7.22)']")</f>
        <v>[ '8 వ చెత్త ఆర్థిక వ్యవస్థ ఇన్నింగ్స్లో రేటు (7.22)']</v>
      </c>
      <c r="E7551" s="2"/>
      <c r="F7551" s="2" t="str">
        <f>IFERROR(__xludf.DUMMYFUNCTION("IF(E7551&lt;&gt;"""", GOOGLETRANSLATE(E7551, ""en"", ""te""),"""")"),"")</f>
        <v/>
      </c>
      <c r="G7551" s="2"/>
      <c r="H7551" s="2" t="str">
        <f>IFERROR(__xludf.DUMMYFUNCTION("IF(G7551&lt;&gt;"""", GOOGLETRANSLATE(G7551, ""en"", ""te""),"""")"),"")</f>
        <v/>
      </c>
      <c r="I7551" s="3"/>
    </row>
    <row r="7552" customHeight="1" spans="1:9">
      <c r="A7552" s="2"/>
      <c r="B7552" s="2" t="str">
        <f>IFERROR(__xludf.DUMMYFUNCTION("IF(A7552&lt;&gt;"""", GOOGLETRANSLATE(A7552, ""en"", ""te""),"""")"),"")</f>
        <v/>
      </c>
      <c r="C7552" s="2"/>
      <c r="D7552" s="2" t="str">
        <f>IFERROR(__xludf.DUMMYFUNCTION("IF(C7552&lt;&gt;"""", GOOGLETRANSLATE(C7552, ""en"", ""te""),"""")"),"")</f>
        <v/>
      </c>
      <c r="E7552" s="2"/>
      <c r="F7552" s="2" t="str">
        <f>IFERROR(__xludf.DUMMYFUNCTION("IF(E7552&lt;&gt;"""", GOOGLETRANSLATE(E7552, ""en"", ""te""),"""")"),"")</f>
        <v/>
      </c>
      <c r="G7552" s="2"/>
      <c r="H7552" s="2" t="str">
        <f>IFERROR(__xludf.DUMMYFUNCTION("IF(G7552&lt;&gt;"""", GOOGLETRANSLATE(G7552, ""en"", ""te""),"""")"),"")</f>
        <v/>
      </c>
      <c r="I7552" s="3"/>
    </row>
    <row r="7553" customHeight="1" spans="1:9">
      <c r="A7553" s="2"/>
      <c r="B7553" s="2" t="str">
        <f>IFERROR(__xludf.DUMMYFUNCTION("IF(A7553&lt;&gt;"""", GOOGLETRANSLATE(A7553, ""en"", ""te""),"""")"),"")</f>
        <v/>
      </c>
      <c r="C7553" s="2"/>
      <c r="D7553" s="2" t="str">
        <f>IFERROR(__xludf.DUMMYFUNCTION("IF(C7553&lt;&gt;"""", GOOGLETRANSLATE(C7553, ""en"", ""te""),"""")"),"")</f>
        <v/>
      </c>
      <c r="E7553" s="2"/>
      <c r="F7553" s="2" t="str">
        <f>IFERROR(__xludf.DUMMYFUNCTION("IF(E7553&lt;&gt;"""", GOOGLETRANSLATE(E7553, ""en"", ""te""),"""")"),"")</f>
        <v/>
      </c>
      <c r="G7553" s="2"/>
      <c r="H7553" s="2" t="str">
        <f>IFERROR(__xludf.DUMMYFUNCTION("IF(G7553&lt;&gt;"""", GOOGLETRANSLATE(G7553, ""en"", ""te""),"""")"),"")</f>
        <v/>
      </c>
      <c r="I7553" s="3"/>
    </row>
    <row r="7554" customHeight="1" spans="1:9">
      <c r="A7554" s="2"/>
      <c r="B7554" s="2" t="str">
        <f>IFERROR(__xludf.DUMMYFUNCTION("IF(A7554&lt;&gt;"""", GOOGLETRANSLATE(A7554, ""en"", ""te""),"""")"),"")</f>
        <v/>
      </c>
      <c r="C7554" s="2"/>
      <c r="D7554" s="2" t="str">
        <f>IFERROR(__xludf.DUMMYFUNCTION("IF(C7554&lt;&gt;"""", GOOGLETRANSLATE(C7554, ""en"", ""te""),"""")"),"")</f>
        <v/>
      </c>
      <c r="E7554" s="2"/>
      <c r="F7554" s="2" t="str">
        <f>IFERROR(__xludf.DUMMYFUNCTION("IF(E7554&lt;&gt;"""", GOOGLETRANSLATE(E7554, ""en"", ""te""),"""")"),"")</f>
        <v/>
      </c>
      <c r="G7554" s="2"/>
      <c r="H7554" s="2" t="str">
        <f>IFERROR(__xludf.DUMMYFUNCTION("IF(G7554&lt;&gt;"""", GOOGLETRANSLATE(G7554, ""en"", ""te""),"""")"),"")</f>
        <v/>
      </c>
      <c r="I7554" s="3"/>
    </row>
    <row r="7555" customHeight="1" spans="1:9">
      <c r="A7555" s="2"/>
      <c r="B7555" s="2" t="str">
        <f>IFERROR(__xludf.DUMMYFUNCTION("IF(A7555&lt;&gt;"""", GOOGLETRANSLATE(A7555, ""en"", ""te""),"""")"),"")</f>
        <v/>
      </c>
      <c r="C7555" s="2"/>
      <c r="D7555" s="2" t="str">
        <f>IFERROR(__xludf.DUMMYFUNCTION("IF(C7555&lt;&gt;"""", GOOGLETRANSLATE(C7555, ""en"", ""te""),"""")"),"")</f>
        <v/>
      </c>
      <c r="E7555" s="2"/>
      <c r="F7555" s="2" t="str">
        <f>IFERROR(__xludf.DUMMYFUNCTION("IF(E7555&lt;&gt;"""", GOOGLETRANSLATE(E7555, ""en"", ""te""),"""")"),"")</f>
        <v/>
      </c>
      <c r="G7555" s="2"/>
      <c r="H7555" s="2" t="str">
        <f>IFERROR(__xludf.DUMMYFUNCTION("IF(G7555&lt;&gt;"""", GOOGLETRANSLATE(G7555, ""en"", ""te""),"""")"),"")</f>
        <v/>
      </c>
      <c r="I7555" s="3"/>
    </row>
    <row r="7556" customHeight="1" spans="1:9">
      <c r="A7556" s="2" t="s">
        <v>4350</v>
      </c>
      <c r="B7556" s="2" t="str">
        <f>IFERROR(__xludf.DUMMYFUNCTION("IF(A7556&lt;&gt;"""", GOOGLETRANSLATE(A7556, ""en"", ""te""),"""")"),"[ '1st ఇన్నింగ్స్ లో అత్యధిక పరుగులు (బ్యాటింగ్ స్థానంలో ప్రకారం) (44)', '5 వ ఒక ఇన్నింగ్స్ లోని బెస్ట్ ఫిగర్స్ ఉన్నప్పుడు పరాజయం వైపు (4)', 'ఎనిమిదవ వికెట్కు 3 వ అత్యధిక భాగస్వామ్యం (39)']")</f>
        <v>[ '1st ఇన్నింగ్స్ లో అత్యధిక పరుగులు (బ్యాటింగ్ స్థానంలో ప్రకారం) (44)', '5 వ ఒక ఇన్నింగ్స్ లోని బెస్ట్ ఫిగర్స్ ఉన్నప్పుడు పరాజయం వైపు (4)', 'ఎనిమిదవ వికెట్కు 3 వ అత్యధిక భాగస్వామ్యం (39)']</v>
      </c>
      <c r="C7556" s="2"/>
      <c r="D7556" s="2" t="str">
        <f>IFERROR(__xludf.DUMMYFUNCTION("IF(C7556&lt;&gt;"""", GOOGLETRANSLATE(C7556, ""en"", ""te""),"""")"),"")</f>
        <v/>
      </c>
      <c r="E7556" s="2" t="s">
        <v>4351</v>
      </c>
      <c r="F7556" s="2" t="str">
        <f>IFERROR(__xludf.DUMMYFUNCTION("IF(E7556&lt;&gt;"""", GOOGLETRANSLATE(E7556, ""en"", ""te""),"""")"),"[ 'వంద (1219) లేకుండా ఒక వృత్తిలో 19 అత్యధిక పరుగులు' 'అతని 15 వ అత్యంత బాతులు (10)', '29th చెత్త కెరీర్లో ఆర్థిక రేటు (4.27)', 'ఇన్నింగ్స్ లో 20 వ చెత్త ఆర్థిక రేటు (9.00)' 'ఎనిమిదవ వికెట్కు 28 అత్యధిక భాగస్వామ్యం (47)', '50 వ కెరీర్ లో అత్యధిక మ్యాచ్లు "&amp;"(89)', 'కెప్టెన్సీ ప్రవేశం (30y 346d) పై 25 ఓల్డెస్ట్ కెప్టెన్లు']")</f>
        <v>[ 'వంద (1219) లేకుండా ఒక వృత్తిలో 19 అత్యధిక పరుగులు' 'అతని 15 వ అత్యంత బాతులు (10)', '29th చెత్త కెరీర్లో ఆర్థిక రేటు (4.27)', 'ఇన్నింగ్స్ లో 20 వ చెత్త ఆర్థిక రేటు (9.00)' 'ఎనిమిదవ వికెట్కు 28 అత్యధిక భాగస్వామ్యం (47)', '50 వ కెరీర్ లో అత్యధిక మ్యాచ్లు (89)', 'కెప్టెన్సీ ప్రవేశం (30y 346d) పై 25 ఓల్డెస్ట్ కెప్టెన్లు']</v>
      </c>
      <c r="G7556" s="2" t="s">
        <v>4352</v>
      </c>
      <c r="H7556" s="2" t="str">
        <f>IFERROR(__xludf.DUMMYFUNCTION("IF(G7556&lt;&gt;"""", GOOGLETRANSLATE(G7556, ""en"", ""te""),"""")"),"[ 'ఇన్నింగ్స్ లో 1 వ అత్యధిక పరుగులు (బ్యాటింగ్ స్థానంలో ప్రకారం) (44)', '11 వ కెరీర్ బాతులు (7)', 'ఒకే మైదానంలో 19 వ అత్యధిక వికెట్లు (10)', '5 వ ఉత్తమ ఇన్నింగ్స్ ఉన్నప్పుడు గణాంకాలు పరాజయం వైపు (4) ',' 39 వ ఉత్తమ కెరీర్ బౌలింగ్ సరాసరి (19.77) ',' 39 వ"&amp;" ఉత్తమ కెరీర్ సమ్మె రేటు (20.3) ',' 12 వ అరంగేట్రంలోనే ఇన్నింగ్స్ లోని బెస్ట్ ఫిగర్స్ (3) ',' 24 వ అత్యధిక వికెట్లు తీసుకున్న బౌల్డ్ (15) ',' ఏడవ వికెట్కు 22 అత్యధిక భాగస్వామ్యం (39) ',' ఎనిమిదవ వికెట్కు 3 వ అత్యధిక భాగస్వామ్యం (39) ']")</f>
        <v>[ 'ఇన్నింగ్స్ లో 1 వ అత్యధిక పరుగులు (బ్యాటింగ్ స్థానంలో ప్రకారం) (44)', '11 వ కెరీర్ బాతులు (7)', 'ఒకే మైదానంలో 19 వ అత్యధిక వికెట్లు (10)', '5 వ ఉత్తమ ఇన్నింగ్స్ ఉన్నప్పుడు గణాంకాలు పరాజయం వైపు (4) ',' 39 వ ఉత్తమ కెరీర్ బౌలింగ్ సరాసరి (19.77) ',' 39 వ ఉత్తమ కెరీర్ సమ్మె రేటు (20.3) ',' 12 వ అరంగేట్రంలోనే ఇన్నింగ్స్ లోని బెస్ట్ ఫిగర్స్ (3) ',' 24 వ అత్యధిక వికెట్లు తీసుకున్న బౌల్డ్ (15) ',' ఏడవ వికెట్కు 22 అత్యధిక భాగస్వామ్యం (39) ',' ఎనిమిదవ వికెట్కు 3 వ అత్యధిక భాగస్వామ్యం (39) ']</v>
      </c>
      <c r="I7556" s="3"/>
    </row>
    <row r="7557" customHeight="1" spans="1:9">
      <c r="A7557" s="2" t="s">
        <v>4353</v>
      </c>
      <c r="B7557" s="2" t="str">
        <f>IFERROR(__xludf.DUMMYFUNCTION("IF(A7557&lt;&gt;"""", GOOGLETRANSLATE(A7557, ""en"", ""te""),"""")"),"[ 'అత్యధిక వికెట్లు ఇన్నింగ్స్ లో 9 వ అత్యధిక పరుగులు (201 *)', 'హండ్రెడ్ తొలి (201 *)', '8 వ లాంగెస్ట్ వ్యక్తిగత ఇన్నింగ్స్ (నిమిషాలు) (777)']")</f>
        <v>[ 'అత్యధిక వికెట్లు ఇన్నింగ్స్ లో 9 వ అత్యధిక పరుగులు (201 *)', 'హండ్రెడ్ తొలి (201 *)', '8 వ లాంగెస్ట్ వ్యక్తిగత ఇన్నింగ్స్ (నిమిషాలు) (777)']</v>
      </c>
      <c r="C7557" s="2" t="s">
        <v>4354</v>
      </c>
      <c r="D7557" s="2" t="str">
        <f>IFERROR(__xludf.DUMMYFUNCTION("IF(C7557&lt;&gt;"""", GOOGLETRANSLATE(C7557, ""en"", ""te""),"""")"),"[ 'అత్యధిక వికెట్లు ఇన్నింగ్స్ లో 9 వ అత్యధిక పరుగులు (201 *)', '10th తొలి మ్యాచ్లో అత్యధిక పరుగులు (201)', '33 వ అత్యధిక తొలి వంద (201 *)', '8 వ లాంగెస్ట్ వ్యక్తిగత ఇన్నింగ్స్ (నిమిషాలు) ( 777) ',' 23 వ లాంగెస్ట్ వ్యక్తిగత ఇన్నింగ్స్ (బంతులతో) (548) ']")</f>
        <v>[ 'అత్యధిక వికెట్లు ఇన్నింగ్స్ లో 9 వ అత్యధిక పరుగులు (201 *)', '10th తొలి మ్యాచ్లో అత్యధిక పరుగులు (201)', '33 వ అత్యధిక తొలి వంద (201 *)', '8 వ లాంగెస్ట్ వ్యక్తిగత ఇన్నింగ్స్ (నిమిషాలు) ( 777) ',' 23 వ లాంగెస్ట్ వ్యక్తిగత ఇన్నింగ్స్ (బంతులతో) (548) ']</v>
      </c>
      <c r="E7557" s="2"/>
      <c r="F7557" s="2" t="str">
        <f>IFERROR(__xludf.DUMMYFUNCTION("IF(E7557&lt;&gt;"""", GOOGLETRANSLATE(E7557, ""en"", ""te""),"""")"),"")</f>
        <v/>
      </c>
      <c r="G7557" s="2"/>
      <c r="H7557" s="2" t="str">
        <f>IFERROR(__xludf.DUMMYFUNCTION("IF(G7557&lt;&gt;"""", GOOGLETRANSLATE(G7557, ""en"", ""te""),"""")"),"")</f>
        <v/>
      </c>
      <c r="I7557" s="3"/>
    </row>
    <row r="7558" customHeight="1" spans="1:9">
      <c r="A7558" s="2" t="s">
        <v>920</v>
      </c>
      <c r="B7558" s="2" t="str">
        <f>IFERROR(__xludf.DUMMYFUNCTION("IF(A7558&lt;&gt;"""", GOOGLETRANSLATE(A7558, ""en"", ""te""),"""")"),"[ 'ఇన్నింగ్స్ లో 4 వ అత్యధిక క్యాచ్లు (3)', 'బ్యాటింగ్ తెరవడం మరియు అదే మ్యాచ్ లో బౌలింగ్']")</f>
        <v>[ 'ఇన్నింగ్స్ లో 4 వ అత్యధిక క్యాచ్లు (3)', 'బ్యాటింగ్ తెరవడం మరియు అదే మ్యాచ్ లో బౌలింగ్']</v>
      </c>
      <c r="C7558" s="2"/>
      <c r="D7558" s="2" t="str">
        <f>IFERROR(__xludf.DUMMYFUNCTION("IF(C7558&lt;&gt;"""", GOOGLETRANSLATE(C7558, ""en"", ""te""),"""")"),"")</f>
        <v/>
      </c>
      <c r="E7558" s="2" t="s">
        <v>4355</v>
      </c>
      <c r="F7558" s="2" t="str">
        <f>IFERROR(__xludf.DUMMYFUNCTION("IF(E7558&lt;&gt;"""", GOOGLETRANSLATE(E7558, ""en"", ""te""),"""")"),"[ '28 మోస్ట్ వంద లేకుండా కెరీర్లో పరుగులు (1083)', '21 వ కెరీర్ బాతులు (9) ',' 34 వ చెత్త కెరీర్ బౌలింగ్ సరాసరి (33.11) ',' ఇన్నింగ్స్ లో 4 వ అత్యధిక క్యాచ్లు (3) ', '47 వ ఒక సిరీస్లో అత్యధిక క్యాచ్లు (6)', 'తొమ్మిదవ వికెట్కు 22 అత్యధిక భాగస్వామ్యం (39)',"&amp;" 'పదవ వికెట్కు 13 వ అత్యధిక భాగస్వామ్యం (37 *)', '40 వ లాంగెస్ట్ కెరీర్లు (13y 333d)']")</f>
        <v>[ '28 మోస్ట్ వంద లేకుండా కెరీర్లో పరుగులు (1083)', '21 వ కెరీర్ బాతులు (9) ',' 34 వ చెత్త కెరీర్ బౌలింగ్ సరాసరి (33.11) ',' ఇన్నింగ్స్ లో 4 వ అత్యధిక క్యాచ్లు (3) ', '47 వ ఒక సిరీస్లో అత్యధిక క్యాచ్లు (6)', 'తొమ్మిదవ వికెట్కు 22 అత్యధిక భాగస్వామ్యం (39)', 'పదవ వికెట్కు 13 వ అత్యధిక భాగస్వామ్యం (37 *)', '40 వ లాంగెస్ట్ కెరీర్లు (13y 333d)']</v>
      </c>
      <c r="G7558" s="2" t="s">
        <v>4356</v>
      </c>
      <c r="H7558" s="2" t="str">
        <f>IFERROR(__xludf.DUMMYFUNCTION("IF(G7558&lt;&gt;"""", GOOGLETRANSLATE(G7558, ""en"", ""te""),"""")"),"[ '44 వ చెత్త కెరీర్ బౌలింగ్ సరాసరి (అర్హత లేకుండా) (61.00)']")</f>
        <v>[ '44 వ చెత్త కెరీర్ బౌలింగ్ సరాసరి (అర్హత లేకుండా) (61.00)']</v>
      </c>
      <c r="I7558" s="3"/>
    </row>
    <row r="7559" customHeight="1" spans="1:9">
      <c r="A7559" s="2"/>
      <c r="B7559" s="2" t="str">
        <f>IFERROR(__xludf.DUMMYFUNCTION("IF(A7559&lt;&gt;"""", GOOGLETRANSLATE(A7559, ""en"", ""te""),"""")"),"")</f>
        <v/>
      </c>
      <c r="C7559" s="2" t="s">
        <v>4357</v>
      </c>
      <c r="D7559" s="2" t="str">
        <f>IFERROR(__xludf.DUMMYFUNCTION("IF(C7559&lt;&gt;"""", GOOGLETRANSLATE(C7559, ""en"", ""te""),"""")"),"[ '36 వ చెత్త కెరీర్ బౌలింగ్ సరాసరి (అర్హత లేకుండా) (148.00)']")</f>
        <v>[ '36 వ చెత్త కెరీర్ బౌలింగ్ సరాసరి (అర్హత లేకుండా) (148.00)']</v>
      </c>
      <c r="E7559" s="2"/>
      <c r="F7559" s="2" t="str">
        <f>IFERROR(__xludf.DUMMYFUNCTION("IF(E7559&lt;&gt;"""", GOOGLETRANSLATE(E7559, ""en"", ""te""),"""")"),"")</f>
        <v/>
      </c>
      <c r="G7559" s="2"/>
      <c r="H7559" s="2" t="str">
        <f>IFERROR(__xludf.DUMMYFUNCTION("IF(G7559&lt;&gt;"""", GOOGLETRANSLATE(G7559, ""en"", ""te""),"""")"),"")</f>
        <v/>
      </c>
      <c r="I7559" s="3"/>
    </row>
    <row r="7560" customHeight="1" spans="1:9">
      <c r="A7560" s="2"/>
      <c r="B7560" s="2" t="str">
        <f>IFERROR(__xludf.DUMMYFUNCTION("IF(A7560&lt;&gt;"""", GOOGLETRANSLATE(A7560, ""en"", ""te""),"""")"),"")</f>
        <v/>
      </c>
      <c r="C7560" s="2"/>
      <c r="D7560" s="2" t="str">
        <f>IFERROR(__xludf.DUMMYFUNCTION("IF(C7560&lt;&gt;"""", GOOGLETRANSLATE(C7560, ""en"", ""te""),"""")"),"")</f>
        <v/>
      </c>
      <c r="E7560" s="2"/>
      <c r="F7560" s="2" t="str">
        <f>IFERROR(__xludf.DUMMYFUNCTION("IF(E7560&lt;&gt;"""", GOOGLETRANSLATE(E7560, ""en"", ""te""),"""")"),"")</f>
        <v/>
      </c>
      <c r="G7560" s="2"/>
      <c r="H7560" s="2" t="str">
        <f>IFERROR(__xludf.DUMMYFUNCTION("IF(G7560&lt;&gt;"""", GOOGLETRANSLATE(G7560, ""en"", ""te""),"""")"),"")</f>
        <v/>
      </c>
      <c r="I7560" s="3"/>
    </row>
    <row r="7561" customHeight="1" spans="1:9">
      <c r="A7561" s="2"/>
      <c r="B7561" s="2" t="str">
        <f>IFERROR(__xludf.DUMMYFUNCTION("IF(A7561&lt;&gt;"""", GOOGLETRANSLATE(A7561, ""en"", ""te""),"""")"),"")</f>
        <v/>
      </c>
      <c r="C7561" s="2"/>
      <c r="D7561" s="2" t="str">
        <f>IFERROR(__xludf.DUMMYFUNCTION("IF(C7561&lt;&gt;"""", GOOGLETRANSLATE(C7561, ""en"", ""te""),"""")"),"")</f>
        <v/>
      </c>
      <c r="E7561" s="2"/>
      <c r="F7561" s="2" t="str">
        <f>IFERROR(__xludf.DUMMYFUNCTION("IF(E7561&lt;&gt;"""", GOOGLETRANSLATE(E7561, ""en"", ""te""),"""")"),"")</f>
        <v/>
      </c>
      <c r="G7561" s="2"/>
      <c r="H7561" s="2" t="str">
        <f>IFERROR(__xludf.DUMMYFUNCTION("IF(G7561&lt;&gt;"""", GOOGLETRANSLATE(G7561, ""en"", ""te""),"""")"),"")</f>
        <v/>
      </c>
      <c r="I7561" s="3"/>
    </row>
    <row r="7562" customHeight="1" spans="1:9">
      <c r="A7562" s="2"/>
      <c r="B7562" s="2" t="str">
        <f>IFERROR(__xludf.DUMMYFUNCTION("IF(A7562&lt;&gt;"""", GOOGLETRANSLATE(A7562, ""en"", ""te""),"""")"),"")</f>
        <v/>
      </c>
      <c r="C7562" s="2"/>
      <c r="D7562" s="2" t="str">
        <f>IFERROR(__xludf.DUMMYFUNCTION("IF(C7562&lt;&gt;"""", GOOGLETRANSLATE(C7562, ""en"", ""te""),"""")"),"")</f>
        <v/>
      </c>
      <c r="E7562" s="2"/>
      <c r="F7562" s="2" t="str">
        <f>IFERROR(__xludf.DUMMYFUNCTION("IF(E7562&lt;&gt;"""", GOOGLETRANSLATE(E7562, ""en"", ""te""),"""")"),"")</f>
        <v/>
      </c>
      <c r="G7562" s="2"/>
      <c r="H7562" s="2" t="str">
        <f>IFERROR(__xludf.DUMMYFUNCTION("IF(G7562&lt;&gt;"""", GOOGLETRANSLATE(G7562, ""en"", ""te""),"""")"),"")</f>
        <v/>
      </c>
      <c r="I7562" s="3"/>
    </row>
    <row r="7563" customHeight="1" spans="1:9">
      <c r="A7563" s="2"/>
      <c r="B7563" s="2" t="str">
        <f>IFERROR(__xludf.DUMMYFUNCTION("IF(A7563&lt;&gt;"""", GOOGLETRANSLATE(A7563, ""en"", ""te""),"""")"),"")</f>
        <v/>
      </c>
      <c r="C7563" s="2"/>
      <c r="D7563" s="2" t="str">
        <f>IFERROR(__xludf.DUMMYFUNCTION("IF(C7563&lt;&gt;"""", GOOGLETRANSLATE(C7563, ""en"", ""te""),"""")"),"")</f>
        <v/>
      </c>
      <c r="E7563" s="2"/>
      <c r="F7563" s="2" t="str">
        <f>IFERROR(__xludf.DUMMYFUNCTION("IF(E7563&lt;&gt;"""", GOOGLETRANSLATE(E7563, ""en"", ""te""),"""")"),"")</f>
        <v/>
      </c>
      <c r="G7563" s="2"/>
      <c r="H7563" s="2" t="str">
        <f>IFERROR(__xludf.DUMMYFUNCTION("IF(G7563&lt;&gt;"""", GOOGLETRANSLATE(G7563, ""en"", ""te""),"""")"),"")</f>
        <v/>
      </c>
      <c r="I7563" s="3"/>
    </row>
    <row r="7564" customHeight="1" spans="1:9">
      <c r="A7564" s="2"/>
      <c r="B7564" s="2" t="str">
        <f>IFERROR(__xludf.DUMMYFUNCTION("IF(A7564&lt;&gt;"""", GOOGLETRANSLATE(A7564, ""en"", ""te""),"""")"),"")</f>
        <v/>
      </c>
      <c r="C7564" s="2"/>
      <c r="D7564" s="2" t="str">
        <f>IFERROR(__xludf.DUMMYFUNCTION("IF(C7564&lt;&gt;"""", GOOGLETRANSLATE(C7564, ""en"", ""te""),"""")"),"")</f>
        <v/>
      </c>
      <c r="E7564" s="2"/>
      <c r="F7564" s="2" t="str">
        <f>IFERROR(__xludf.DUMMYFUNCTION("IF(E7564&lt;&gt;"""", GOOGLETRANSLATE(E7564, ""en"", ""te""),"""")"),"")</f>
        <v/>
      </c>
      <c r="G7564" s="2"/>
      <c r="H7564" s="2" t="str">
        <f>IFERROR(__xludf.DUMMYFUNCTION("IF(G7564&lt;&gt;"""", GOOGLETRANSLATE(G7564, ""en"", ""te""),"""")"),"")</f>
        <v/>
      </c>
      <c r="I7564" s="3"/>
    </row>
    <row r="7565" customHeight="1" spans="1:9">
      <c r="A7565" s="2"/>
      <c r="B7565" s="2" t="str">
        <f>IFERROR(__xludf.DUMMYFUNCTION("IF(A7565&lt;&gt;"""", GOOGLETRANSLATE(A7565, ""en"", ""te""),"""")"),"")</f>
        <v/>
      </c>
      <c r="C7565" s="2"/>
      <c r="D7565" s="2" t="str">
        <f>IFERROR(__xludf.DUMMYFUNCTION("IF(C7565&lt;&gt;"""", GOOGLETRANSLATE(C7565, ""en"", ""te""),"""")"),"")</f>
        <v/>
      </c>
      <c r="E7565" s="2"/>
      <c r="F7565" s="2" t="str">
        <f>IFERROR(__xludf.DUMMYFUNCTION("IF(E7565&lt;&gt;"""", GOOGLETRANSLATE(E7565, ""en"", ""te""),"""")"),"")</f>
        <v/>
      </c>
      <c r="G7565" s="2"/>
      <c r="H7565" s="2" t="str">
        <f>IFERROR(__xludf.DUMMYFUNCTION("IF(G7565&lt;&gt;"""", GOOGLETRANSLATE(G7565, ""en"", ""te""),"""")"),"")</f>
        <v/>
      </c>
      <c r="I7565" s="3"/>
    </row>
    <row r="7566" customHeight="1" spans="1:9">
      <c r="A7566" s="2"/>
      <c r="B7566" s="2" t="str">
        <f>IFERROR(__xludf.DUMMYFUNCTION("IF(A7566&lt;&gt;"""", GOOGLETRANSLATE(A7566, ""en"", ""te""),"""")"),"")</f>
        <v/>
      </c>
      <c r="C7566" s="2"/>
      <c r="D7566" s="2" t="str">
        <f>IFERROR(__xludf.DUMMYFUNCTION("IF(C7566&lt;&gt;"""", GOOGLETRANSLATE(C7566, ""en"", ""te""),"""")"),"")</f>
        <v/>
      </c>
      <c r="E7566" s="2"/>
      <c r="F7566" s="2" t="str">
        <f>IFERROR(__xludf.DUMMYFUNCTION("IF(E7566&lt;&gt;"""", GOOGLETRANSLATE(E7566, ""en"", ""te""),"""")"),"")</f>
        <v/>
      </c>
      <c r="G7566" s="2"/>
      <c r="H7566" s="2" t="str">
        <f>IFERROR(__xludf.DUMMYFUNCTION("IF(G7566&lt;&gt;"""", GOOGLETRANSLATE(G7566, ""en"", ""te""),"""")"),"")</f>
        <v/>
      </c>
      <c r="I7566" s="3"/>
    </row>
    <row r="7567" customHeight="1" spans="1:9">
      <c r="A7567" s="2"/>
      <c r="B7567" s="2" t="str">
        <f>IFERROR(__xludf.DUMMYFUNCTION("IF(A7567&lt;&gt;"""", GOOGLETRANSLATE(A7567, ""en"", ""te""),"""")"),"")</f>
        <v/>
      </c>
      <c r="C7567" s="2"/>
      <c r="D7567" s="2" t="str">
        <f>IFERROR(__xludf.DUMMYFUNCTION("IF(C7567&lt;&gt;"""", GOOGLETRANSLATE(C7567, ""en"", ""te""),"""")"),"")</f>
        <v/>
      </c>
      <c r="E7567" s="2"/>
      <c r="F7567" s="2" t="str">
        <f>IFERROR(__xludf.DUMMYFUNCTION("IF(E7567&lt;&gt;"""", GOOGLETRANSLATE(E7567, ""en"", ""te""),"""")"),"")</f>
        <v/>
      </c>
      <c r="G7567" s="2"/>
      <c r="H7567" s="2" t="str">
        <f>IFERROR(__xludf.DUMMYFUNCTION("IF(G7567&lt;&gt;"""", GOOGLETRANSLATE(G7567, ""en"", ""te""),"""")"),"")</f>
        <v/>
      </c>
      <c r="I7567" s="3"/>
    </row>
    <row r="7568" customHeight="1" spans="1:9">
      <c r="A7568" s="2"/>
      <c r="B7568" s="2" t="str">
        <f>IFERROR(__xludf.DUMMYFUNCTION("IF(A7568&lt;&gt;"""", GOOGLETRANSLATE(A7568, ""en"", ""te""),"""")"),"")</f>
        <v/>
      </c>
      <c r="C7568" s="2"/>
      <c r="D7568" s="2" t="str">
        <f>IFERROR(__xludf.DUMMYFUNCTION("IF(C7568&lt;&gt;"""", GOOGLETRANSLATE(C7568, ""en"", ""te""),"""")"),"")</f>
        <v/>
      </c>
      <c r="E7568" s="2"/>
      <c r="F7568" s="2" t="str">
        <f>IFERROR(__xludf.DUMMYFUNCTION("IF(E7568&lt;&gt;"""", GOOGLETRANSLATE(E7568, ""en"", ""te""),"""")"),"")</f>
        <v/>
      </c>
      <c r="G7568" s="2"/>
      <c r="H7568" s="2" t="str">
        <f>IFERROR(__xludf.DUMMYFUNCTION("IF(G7568&lt;&gt;"""", GOOGLETRANSLATE(G7568, ""en"", ""te""),"""")"),"")</f>
        <v/>
      </c>
      <c r="I7568" s="3"/>
    </row>
    <row r="7569" customHeight="1" spans="1:9">
      <c r="A7569" s="2"/>
      <c r="B7569" s="2" t="str">
        <f>IFERROR(__xludf.DUMMYFUNCTION("IF(A7569&lt;&gt;"""", GOOGLETRANSLATE(A7569, ""en"", ""te""),"""")"),"")</f>
        <v/>
      </c>
      <c r="C7569" s="2"/>
      <c r="D7569" s="2" t="str">
        <f>IFERROR(__xludf.DUMMYFUNCTION("IF(C7569&lt;&gt;"""", GOOGLETRANSLATE(C7569, ""en"", ""te""),"""")"),"")</f>
        <v/>
      </c>
      <c r="E7569" s="2"/>
      <c r="F7569" s="2" t="str">
        <f>IFERROR(__xludf.DUMMYFUNCTION("IF(E7569&lt;&gt;"""", GOOGLETRANSLATE(E7569, ""en"", ""te""),"""")"),"")</f>
        <v/>
      </c>
      <c r="G7569" s="2"/>
      <c r="H7569" s="2" t="str">
        <f>IFERROR(__xludf.DUMMYFUNCTION("IF(G7569&lt;&gt;"""", GOOGLETRANSLATE(G7569, ""en"", ""te""),"""")"),"")</f>
        <v/>
      </c>
      <c r="I7569" s="3"/>
    </row>
    <row r="7570" customHeight="1" spans="1:9">
      <c r="A7570" s="2" t="s">
        <v>4358</v>
      </c>
      <c r="B7570" s="2" t="str">
        <f>IFERROR(__xludf.DUMMYFUNCTION("IF(A7570&lt;&gt;"""", GOOGLETRANSLATE(A7570, ""en"", ""te""),"""")"),"[ '8 వ అత్యంత ఒక మ్యాచ్ రిఫరీ (40) గా పేర్కొంటే']")</f>
        <v>[ '8 వ అత్యంత ఒక మ్యాచ్ రిఫరీ (40) గా పేర్కొంటే']</v>
      </c>
      <c r="C7570" s="2"/>
      <c r="D7570" s="2" t="str">
        <f>IFERROR(__xludf.DUMMYFUNCTION("IF(C7570&lt;&gt;"""", GOOGLETRANSLATE(C7570, ""en"", ""te""),"""")"),"")</f>
        <v/>
      </c>
      <c r="E7570" s="2" t="s">
        <v>4359</v>
      </c>
      <c r="F7570" s="2" t="str">
        <f>IFERROR(__xludf.DUMMYFUNCTION("IF(E7570&lt;&gt;"""", GOOGLETRANSLATE(E7570, ""en"", ""te""),"""")"),"[ '14 వ ఒక ఇన్నింగ్స్ లోని బెస్ట్ ఫిగర్స్ ఉన్నప్పుడు పరాజయం వైపు (5)', 22 ఒక మ్యాచ్ రిఫరీ గా అత్యధిక మ్యాచ్లు 'అయిదు వికెట్లు-ఇన్-ఒక-ఇన్నింగ్స్ (22y 222d) పడుతుంది 46 వ పిన్న ఆటగాడు', '(41) ']")</f>
        <v>[ '14 వ ఒక ఇన్నింగ్స్ లోని బెస్ట్ ఫిగర్స్ ఉన్నప్పుడు పరాజయం వైపు (5)', 22 ఒక మ్యాచ్ రిఫరీ గా అత్యధిక మ్యాచ్లు 'అయిదు వికెట్లు-ఇన్-ఒక-ఇన్నింగ్స్ (22y 222d) పడుతుంది 46 వ పిన్న ఆటగాడు', '(41) ']</v>
      </c>
      <c r="G7570" s="2" t="s">
        <v>4358</v>
      </c>
      <c r="H7570" s="2" t="str">
        <f>IFERROR(__xludf.DUMMYFUNCTION("IF(G7570&lt;&gt;"""", GOOGLETRANSLATE(G7570, ""en"", ""te""),"""")"),"[ '8 వ అత్యంత ఒక మ్యాచ్ రిఫరీ (40) గా పేర్కొంటే']")</f>
        <v>[ '8 వ అత్యంత ఒక మ్యాచ్ రిఫరీ (40) గా పేర్కొంటే']</v>
      </c>
      <c r="I7570" s="3"/>
    </row>
    <row r="7571" customHeight="1" spans="1:9">
      <c r="A7571" s="2"/>
      <c r="B7571" s="2" t="str">
        <f>IFERROR(__xludf.DUMMYFUNCTION("IF(A7571&lt;&gt;"""", GOOGLETRANSLATE(A7571, ""en"", ""te""),"""")"),"")</f>
        <v/>
      </c>
      <c r="C7571" s="2"/>
      <c r="D7571" s="2" t="str">
        <f>IFERROR(__xludf.DUMMYFUNCTION("IF(C7571&lt;&gt;"""", GOOGLETRANSLATE(C7571, ""en"", ""te""),"""")"),"")</f>
        <v/>
      </c>
      <c r="E7571" s="2"/>
      <c r="F7571" s="2" t="str">
        <f>IFERROR(__xludf.DUMMYFUNCTION("IF(E7571&lt;&gt;"""", GOOGLETRANSLATE(E7571, ""en"", ""te""),"""")"),"")</f>
        <v/>
      </c>
      <c r="G7571" s="2"/>
      <c r="H7571" s="2" t="str">
        <f>IFERROR(__xludf.DUMMYFUNCTION("IF(G7571&lt;&gt;"""", GOOGLETRANSLATE(G7571, ""en"", ""te""),"""")"),"")</f>
        <v/>
      </c>
      <c r="I7571" s="3"/>
    </row>
    <row r="7572" customHeight="1" spans="1:9">
      <c r="A7572" s="2"/>
      <c r="B7572" s="2" t="str">
        <f>IFERROR(__xludf.DUMMYFUNCTION("IF(A7572&lt;&gt;"""", GOOGLETRANSLATE(A7572, ""en"", ""te""),"""")"),"")</f>
        <v/>
      </c>
      <c r="C7572" s="2"/>
      <c r="D7572" s="2" t="str">
        <f>IFERROR(__xludf.DUMMYFUNCTION("IF(C7572&lt;&gt;"""", GOOGLETRANSLATE(C7572, ""en"", ""te""),"""")"),"")</f>
        <v/>
      </c>
      <c r="E7572" s="2"/>
      <c r="F7572" s="2" t="str">
        <f>IFERROR(__xludf.DUMMYFUNCTION("IF(E7572&lt;&gt;"""", GOOGLETRANSLATE(E7572, ""en"", ""te""),"""")"),"")</f>
        <v/>
      </c>
      <c r="G7572" s="2"/>
      <c r="H7572" s="2" t="str">
        <f>IFERROR(__xludf.DUMMYFUNCTION("IF(G7572&lt;&gt;"""", GOOGLETRANSLATE(G7572, ""en"", ""te""),"""")"),"")</f>
        <v/>
      </c>
      <c r="I7572" s="3"/>
    </row>
    <row r="7573" customHeight="1" spans="1:9">
      <c r="A7573" s="2"/>
      <c r="B7573" s="2" t="str">
        <f>IFERROR(__xludf.DUMMYFUNCTION("IF(A7573&lt;&gt;"""", GOOGLETRANSLATE(A7573, ""en"", ""te""),"""")"),"")</f>
        <v/>
      </c>
      <c r="C7573" s="2"/>
      <c r="D7573" s="2" t="str">
        <f>IFERROR(__xludf.DUMMYFUNCTION("IF(C7573&lt;&gt;"""", GOOGLETRANSLATE(C7573, ""en"", ""te""),"""")"),"")</f>
        <v/>
      </c>
      <c r="E7573" s="2"/>
      <c r="F7573" s="2" t="str">
        <f>IFERROR(__xludf.DUMMYFUNCTION("IF(E7573&lt;&gt;"""", GOOGLETRANSLATE(E7573, ""en"", ""te""),"""")"),"")</f>
        <v/>
      </c>
      <c r="G7573" s="2"/>
      <c r="H7573" s="2" t="str">
        <f>IFERROR(__xludf.DUMMYFUNCTION("IF(G7573&lt;&gt;"""", GOOGLETRANSLATE(G7573, ""en"", ""te""),"""")"),"")</f>
        <v/>
      </c>
      <c r="I7573" s="3"/>
    </row>
    <row r="7574" customHeight="1" spans="1:9">
      <c r="A7574" s="2"/>
      <c r="B7574" s="2" t="str">
        <f>IFERROR(__xludf.DUMMYFUNCTION("IF(A7574&lt;&gt;"""", GOOGLETRANSLATE(A7574, ""en"", ""te""),"""")"),"")</f>
        <v/>
      </c>
      <c r="C7574" s="2"/>
      <c r="D7574" s="2" t="str">
        <f>IFERROR(__xludf.DUMMYFUNCTION("IF(C7574&lt;&gt;"""", GOOGLETRANSLATE(C7574, ""en"", ""te""),"""")"),"")</f>
        <v/>
      </c>
      <c r="E7574" s="2"/>
      <c r="F7574" s="2" t="str">
        <f>IFERROR(__xludf.DUMMYFUNCTION("IF(E7574&lt;&gt;"""", GOOGLETRANSLATE(E7574, ""en"", ""te""),"""")"),"")</f>
        <v/>
      </c>
      <c r="G7574" s="2"/>
      <c r="H7574" s="2" t="str">
        <f>IFERROR(__xludf.DUMMYFUNCTION("IF(G7574&lt;&gt;"""", GOOGLETRANSLATE(G7574, ""en"", ""te""),"""")"),"")</f>
        <v/>
      </c>
      <c r="I7574" s="3"/>
    </row>
    <row r="7575" customHeight="1" spans="1:9">
      <c r="A7575" s="2"/>
      <c r="B7575" s="2" t="str">
        <f>IFERROR(__xludf.DUMMYFUNCTION("IF(A7575&lt;&gt;"""", GOOGLETRANSLATE(A7575, ""en"", ""te""),"""")"),"")</f>
        <v/>
      </c>
      <c r="C7575" s="2"/>
      <c r="D7575" s="2" t="str">
        <f>IFERROR(__xludf.DUMMYFUNCTION("IF(C7575&lt;&gt;"""", GOOGLETRANSLATE(C7575, ""en"", ""te""),"""")"),"")</f>
        <v/>
      </c>
      <c r="E7575" s="2" t="s">
        <v>4360</v>
      </c>
      <c r="F7575" s="2" t="str">
        <f>IFERROR(__xludf.DUMMYFUNCTION("IF(E7575&lt;&gt;"""", GOOGLETRANSLATE(E7575, ""en"", ""te""),"""")"),"[ '34 వ ఉత్తమ కెరీర్ బౌలింగ్ సరాసరి (23.38)']")</f>
        <v>[ '34 వ ఉత్తమ కెరీర్ బౌలింగ్ సరాసరి (23.38)']</v>
      </c>
      <c r="G7575" s="2"/>
      <c r="H7575" s="2" t="str">
        <f>IFERROR(__xludf.DUMMYFUNCTION("IF(G7575&lt;&gt;"""", GOOGLETRANSLATE(G7575, ""en"", ""te""),"""")"),"")</f>
        <v/>
      </c>
      <c r="I7575" s="3"/>
    </row>
    <row r="7576" customHeight="1" spans="1:9">
      <c r="A7576" s="2"/>
      <c r="B7576" s="2" t="str">
        <f>IFERROR(__xludf.DUMMYFUNCTION("IF(A7576&lt;&gt;"""", GOOGLETRANSLATE(A7576, ""en"", ""te""),"""")"),"")</f>
        <v/>
      </c>
      <c r="C7576" s="2"/>
      <c r="D7576" s="2" t="str">
        <f>IFERROR(__xludf.DUMMYFUNCTION("IF(C7576&lt;&gt;"""", GOOGLETRANSLATE(C7576, ""en"", ""te""),"""")"),"")</f>
        <v/>
      </c>
      <c r="E7576" s="2"/>
      <c r="F7576" s="2" t="str">
        <f>IFERROR(__xludf.DUMMYFUNCTION("IF(E7576&lt;&gt;"""", GOOGLETRANSLATE(E7576, ""en"", ""te""),"""")"),"")</f>
        <v/>
      </c>
      <c r="G7576" s="2"/>
      <c r="H7576" s="2" t="str">
        <f>IFERROR(__xludf.DUMMYFUNCTION("IF(G7576&lt;&gt;"""", GOOGLETRANSLATE(G7576, ""en"", ""te""),"""")"),"")</f>
        <v/>
      </c>
      <c r="I7576" s="3"/>
    </row>
    <row r="7577" customHeight="1" spans="1:9">
      <c r="A7577" s="2"/>
      <c r="B7577" s="2" t="str">
        <f>IFERROR(__xludf.DUMMYFUNCTION("IF(A7577&lt;&gt;"""", GOOGLETRANSLATE(A7577, ""en"", ""te""),"""")"),"")</f>
        <v/>
      </c>
      <c r="C7577" s="2"/>
      <c r="D7577" s="2" t="str">
        <f>IFERROR(__xludf.DUMMYFUNCTION("IF(C7577&lt;&gt;"""", GOOGLETRANSLATE(C7577, ""en"", ""te""),"""")"),"")</f>
        <v/>
      </c>
      <c r="E7577" s="2"/>
      <c r="F7577" s="2" t="str">
        <f>IFERROR(__xludf.DUMMYFUNCTION("IF(E7577&lt;&gt;"""", GOOGLETRANSLATE(E7577, ""en"", ""te""),"""")"),"")</f>
        <v/>
      </c>
      <c r="G7577" s="2"/>
      <c r="H7577" s="2" t="str">
        <f>IFERROR(__xludf.DUMMYFUNCTION("IF(G7577&lt;&gt;"""", GOOGLETRANSLATE(G7577, ""en"", ""te""),"""")"),"")</f>
        <v/>
      </c>
      <c r="I7577" s="3"/>
    </row>
    <row r="7578" customHeight="1" spans="1:9">
      <c r="A7578" s="2"/>
      <c r="B7578" s="2" t="str">
        <f>IFERROR(__xludf.DUMMYFUNCTION("IF(A7578&lt;&gt;"""", GOOGLETRANSLATE(A7578, ""en"", ""te""),"""")"),"")</f>
        <v/>
      </c>
      <c r="C7578" s="2"/>
      <c r="D7578" s="2" t="str">
        <f>IFERROR(__xludf.DUMMYFUNCTION("IF(C7578&lt;&gt;"""", GOOGLETRANSLATE(C7578, ""en"", ""te""),"""")"),"")</f>
        <v/>
      </c>
      <c r="E7578" s="2"/>
      <c r="F7578" s="2" t="str">
        <f>IFERROR(__xludf.DUMMYFUNCTION("IF(E7578&lt;&gt;"""", GOOGLETRANSLATE(E7578, ""en"", ""te""),"""")"),"")</f>
        <v/>
      </c>
      <c r="G7578" s="2"/>
      <c r="H7578" s="2" t="str">
        <f>IFERROR(__xludf.DUMMYFUNCTION("IF(G7578&lt;&gt;"""", GOOGLETRANSLATE(G7578, ""en"", ""te""),"""")"),"")</f>
        <v/>
      </c>
      <c r="I7578" s="3"/>
    </row>
    <row r="7579" customHeight="1" spans="1:9">
      <c r="A7579" s="2"/>
      <c r="B7579" s="2" t="str">
        <f>IFERROR(__xludf.DUMMYFUNCTION("IF(A7579&lt;&gt;"""", GOOGLETRANSLATE(A7579, ""en"", ""te""),"""")"),"")</f>
        <v/>
      </c>
      <c r="C7579" s="2"/>
      <c r="D7579" s="2" t="str">
        <f>IFERROR(__xludf.DUMMYFUNCTION("IF(C7579&lt;&gt;"""", GOOGLETRANSLATE(C7579, ""en"", ""te""),"""")"),"")</f>
        <v/>
      </c>
      <c r="E7579" s="2"/>
      <c r="F7579" s="2" t="str">
        <f>IFERROR(__xludf.DUMMYFUNCTION("IF(E7579&lt;&gt;"""", GOOGLETRANSLATE(E7579, ""en"", ""te""),"""")"),"")</f>
        <v/>
      </c>
      <c r="G7579" s="2"/>
      <c r="H7579" s="2" t="str">
        <f>IFERROR(__xludf.DUMMYFUNCTION("IF(G7579&lt;&gt;"""", GOOGLETRANSLATE(G7579, ""en"", ""te""),"""")"),"")</f>
        <v/>
      </c>
      <c r="I7579" s="3"/>
    </row>
    <row r="7580" customHeight="1" spans="1:9">
      <c r="A7580" s="2"/>
      <c r="B7580" s="2" t="str">
        <f>IFERROR(__xludf.DUMMYFUNCTION("IF(A7580&lt;&gt;"""", GOOGLETRANSLATE(A7580, ""en"", ""te""),"""")"),"")</f>
        <v/>
      </c>
      <c r="C7580" s="2"/>
      <c r="D7580" s="2" t="str">
        <f>IFERROR(__xludf.DUMMYFUNCTION("IF(C7580&lt;&gt;"""", GOOGLETRANSLATE(C7580, ""en"", ""te""),"""")"),"")</f>
        <v/>
      </c>
      <c r="E7580" s="2"/>
      <c r="F7580" s="2" t="str">
        <f>IFERROR(__xludf.DUMMYFUNCTION("IF(E7580&lt;&gt;"""", GOOGLETRANSLATE(E7580, ""en"", ""te""),"""")"),"")</f>
        <v/>
      </c>
      <c r="G7580" s="2"/>
      <c r="H7580" s="2" t="str">
        <f>IFERROR(__xludf.DUMMYFUNCTION("IF(G7580&lt;&gt;"""", GOOGLETRANSLATE(G7580, ""en"", ""te""),"""")"),"")</f>
        <v/>
      </c>
      <c r="I7580" s="3"/>
    </row>
    <row r="7581" customHeight="1" spans="1:9">
      <c r="A7581" s="2"/>
      <c r="B7581" s="2" t="str">
        <f>IFERROR(__xludf.DUMMYFUNCTION("IF(A7581&lt;&gt;"""", GOOGLETRANSLATE(A7581, ""en"", ""te""),"""")"),"")</f>
        <v/>
      </c>
      <c r="C7581" s="2"/>
      <c r="D7581" s="2" t="str">
        <f>IFERROR(__xludf.DUMMYFUNCTION("IF(C7581&lt;&gt;"""", GOOGLETRANSLATE(C7581, ""en"", ""te""),"""")"),"")</f>
        <v/>
      </c>
      <c r="E7581" s="2"/>
      <c r="F7581" s="2" t="str">
        <f>IFERROR(__xludf.DUMMYFUNCTION("IF(E7581&lt;&gt;"""", GOOGLETRANSLATE(E7581, ""en"", ""te""),"""")"),"")</f>
        <v/>
      </c>
      <c r="G7581" s="2"/>
      <c r="H7581" s="2" t="str">
        <f>IFERROR(__xludf.DUMMYFUNCTION("IF(G7581&lt;&gt;"""", GOOGLETRANSLATE(G7581, ""en"", ""te""),"""")"),"")</f>
        <v/>
      </c>
      <c r="I7581" s="3"/>
    </row>
    <row r="7582" customHeight="1" spans="1:9">
      <c r="A7582" s="2"/>
      <c r="B7582" s="2" t="str">
        <f>IFERROR(__xludf.DUMMYFUNCTION("IF(A7582&lt;&gt;"""", GOOGLETRANSLATE(A7582, ""en"", ""te""),"""")"),"")</f>
        <v/>
      </c>
      <c r="C7582" s="2"/>
      <c r="D7582" s="2" t="str">
        <f>IFERROR(__xludf.DUMMYFUNCTION("IF(C7582&lt;&gt;"""", GOOGLETRANSLATE(C7582, ""en"", ""te""),"""")"),"")</f>
        <v/>
      </c>
      <c r="E7582" s="2"/>
      <c r="F7582" s="2" t="str">
        <f>IFERROR(__xludf.DUMMYFUNCTION("IF(E7582&lt;&gt;"""", GOOGLETRANSLATE(E7582, ""en"", ""te""),"""")"),"")</f>
        <v/>
      </c>
      <c r="G7582" s="2"/>
      <c r="H7582" s="2" t="str">
        <f>IFERROR(__xludf.DUMMYFUNCTION("IF(G7582&lt;&gt;"""", GOOGLETRANSLATE(G7582, ""en"", ""te""),"""")"),"")</f>
        <v/>
      </c>
      <c r="I7582" s="3"/>
    </row>
    <row r="7583" customHeight="1" spans="1:9">
      <c r="A7583" s="2"/>
      <c r="B7583" s="2" t="str">
        <f>IFERROR(__xludf.DUMMYFUNCTION("IF(A7583&lt;&gt;"""", GOOGLETRANSLATE(A7583, ""en"", ""te""),"""")"),"")</f>
        <v/>
      </c>
      <c r="C7583" s="2"/>
      <c r="D7583" s="2" t="str">
        <f>IFERROR(__xludf.DUMMYFUNCTION("IF(C7583&lt;&gt;"""", GOOGLETRANSLATE(C7583, ""en"", ""te""),"""")"),"")</f>
        <v/>
      </c>
      <c r="E7583" s="2"/>
      <c r="F7583" s="2" t="str">
        <f>IFERROR(__xludf.DUMMYFUNCTION("IF(E7583&lt;&gt;"""", GOOGLETRANSLATE(E7583, ""en"", ""te""),"""")"),"")</f>
        <v/>
      </c>
      <c r="G7583" s="2"/>
      <c r="H7583" s="2" t="str">
        <f>IFERROR(__xludf.DUMMYFUNCTION("IF(G7583&lt;&gt;"""", GOOGLETRANSLATE(G7583, ""en"", ""te""),"""")"),"")</f>
        <v/>
      </c>
      <c r="I7583" s="3"/>
    </row>
    <row r="7584" customHeight="1" spans="1:9">
      <c r="A7584" s="2"/>
      <c r="B7584" s="2" t="str">
        <f>IFERROR(__xludf.DUMMYFUNCTION("IF(A7584&lt;&gt;"""", GOOGLETRANSLATE(A7584, ""en"", ""te""),"""")"),"")</f>
        <v/>
      </c>
      <c r="C7584" s="2"/>
      <c r="D7584" s="2" t="str">
        <f>IFERROR(__xludf.DUMMYFUNCTION("IF(C7584&lt;&gt;"""", GOOGLETRANSLATE(C7584, ""en"", ""te""),"""")"),"")</f>
        <v/>
      </c>
      <c r="E7584" s="2" t="s">
        <v>1040</v>
      </c>
      <c r="F7584" s="2" t="str">
        <f>IFERROR(__xludf.DUMMYFUNCTION("IF(E7584&lt;&gt;"""", GOOGLETRANSLATE(E7584, ""en"", ""te""),"""")"),"[ '44 వ వరుస మ్యాచ్లు ప్రదర్శనల మధ్య (30) జట్టుకు దూరమయ్యాడు']")</f>
        <v>[ '44 వ వరుస మ్యాచ్లు ప్రదర్శనల మధ్య (30) జట్టుకు దూరమయ్యాడు']</v>
      </c>
      <c r="G7584" s="2"/>
      <c r="H7584" s="2" t="str">
        <f>IFERROR(__xludf.DUMMYFUNCTION("IF(G7584&lt;&gt;"""", GOOGLETRANSLATE(G7584, ""en"", ""te""),"""")"),"")</f>
        <v/>
      </c>
      <c r="I7584" s="3"/>
    </row>
    <row r="7585" customHeight="1" spans="1:9">
      <c r="A7585" s="2"/>
      <c r="B7585" s="2" t="str">
        <f>IFERROR(__xludf.DUMMYFUNCTION("IF(A7585&lt;&gt;"""", GOOGLETRANSLATE(A7585, ""en"", ""te""),"""")"),"")</f>
        <v/>
      </c>
      <c r="C7585" s="2"/>
      <c r="D7585" s="2" t="str">
        <f>IFERROR(__xludf.DUMMYFUNCTION("IF(C7585&lt;&gt;"""", GOOGLETRANSLATE(C7585, ""en"", ""te""),"""")"),"")</f>
        <v/>
      </c>
      <c r="E7585" s="2"/>
      <c r="F7585" s="2" t="str">
        <f>IFERROR(__xludf.DUMMYFUNCTION("IF(E7585&lt;&gt;"""", GOOGLETRANSLATE(E7585, ""en"", ""te""),"""")"),"")</f>
        <v/>
      </c>
      <c r="G7585" s="2"/>
      <c r="H7585" s="2" t="str">
        <f>IFERROR(__xludf.DUMMYFUNCTION("IF(G7585&lt;&gt;"""", GOOGLETRANSLATE(G7585, ""en"", ""te""),"""")"),"")</f>
        <v/>
      </c>
      <c r="I7585" s="3"/>
    </row>
    <row r="7586" customHeight="1" spans="1:9">
      <c r="A7586" s="2"/>
      <c r="B7586" s="2" t="str">
        <f>IFERROR(__xludf.DUMMYFUNCTION("IF(A7586&lt;&gt;"""", GOOGLETRANSLATE(A7586, ""en"", ""te""),"""")"),"")</f>
        <v/>
      </c>
      <c r="C7586" s="2"/>
      <c r="D7586" s="2" t="str">
        <f>IFERROR(__xludf.DUMMYFUNCTION("IF(C7586&lt;&gt;"""", GOOGLETRANSLATE(C7586, ""en"", ""te""),"""")"),"")</f>
        <v/>
      </c>
      <c r="E7586" s="2"/>
      <c r="F7586" s="2" t="str">
        <f>IFERROR(__xludf.DUMMYFUNCTION("IF(E7586&lt;&gt;"""", GOOGLETRANSLATE(E7586, ""en"", ""te""),"""")"),"")</f>
        <v/>
      </c>
      <c r="G7586" s="2"/>
      <c r="H7586" s="2" t="str">
        <f>IFERROR(__xludf.DUMMYFUNCTION("IF(G7586&lt;&gt;"""", GOOGLETRANSLATE(G7586, ""en"", ""te""),"""")"),"")</f>
        <v/>
      </c>
      <c r="I7586" s="3"/>
    </row>
    <row r="7587" customHeight="1" spans="1:9">
      <c r="A7587" s="2"/>
      <c r="B7587" s="2" t="str">
        <f>IFERROR(__xludf.DUMMYFUNCTION("IF(A7587&lt;&gt;"""", GOOGLETRANSLATE(A7587, ""en"", ""te""),"""")"),"")</f>
        <v/>
      </c>
      <c r="C7587" s="2"/>
      <c r="D7587" s="2" t="str">
        <f>IFERROR(__xludf.DUMMYFUNCTION("IF(C7587&lt;&gt;"""", GOOGLETRANSLATE(C7587, ""en"", ""te""),"""")"),"")</f>
        <v/>
      </c>
      <c r="E7587" s="2"/>
      <c r="F7587" s="2" t="str">
        <f>IFERROR(__xludf.DUMMYFUNCTION("IF(E7587&lt;&gt;"""", GOOGLETRANSLATE(E7587, ""en"", ""te""),"""")"),"")</f>
        <v/>
      </c>
      <c r="G7587" s="2"/>
      <c r="H7587" s="2" t="str">
        <f>IFERROR(__xludf.DUMMYFUNCTION("IF(G7587&lt;&gt;"""", GOOGLETRANSLATE(G7587, ""en"", ""te""),"""")"),"")</f>
        <v/>
      </c>
      <c r="I7587" s="3"/>
    </row>
    <row r="7588" customHeight="1" spans="1:9">
      <c r="A7588" s="2"/>
      <c r="B7588" s="2" t="str">
        <f>IFERROR(__xludf.DUMMYFUNCTION("IF(A7588&lt;&gt;"""", GOOGLETRANSLATE(A7588, ""en"", ""te""),"""")"),"")</f>
        <v/>
      </c>
      <c r="C7588" s="2"/>
      <c r="D7588" s="2" t="str">
        <f>IFERROR(__xludf.DUMMYFUNCTION("IF(C7588&lt;&gt;"""", GOOGLETRANSLATE(C7588, ""en"", ""te""),"""")"),"")</f>
        <v/>
      </c>
      <c r="E7588" s="2"/>
      <c r="F7588" s="2" t="str">
        <f>IFERROR(__xludf.DUMMYFUNCTION("IF(E7588&lt;&gt;"""", GOOGLETRANSLATE(E7588, ""en"", ""te""),"""")"),"")</f>
        <v/>
      </c>
      <c r="G7588" s="2"/>
      <c r="H7588" s="2" t="str">
        <f>IFERROR(__xludf.DUMMYFUNCTION("IF(G7588&lt;&gt;"""", GOOGLETRANSLATE(G7588, ""en"", ""te""),"""")"),"")</f>
        <v/>
      </c>
      <c r="I7588" s="3"/>
    </row>
    <row r="7589" customHeight="1" spans="1:9">
      <c r="A7589" s="2"/>
      <c r="B7589" s="2" t="str">
        <f>IFERROR(__xludf.DUMMYFUNCTION("IF(A7589&lt;&gt;"""", GOOGLETRANSLATE(A7589, ""en"", ""te""),"""")"),"")</f>
        <v/>
      </c>
      <c r="C7589" s="2" t="s">
        <v>4361</v>
      </c>
      <c r="D7589" s="2" t="str">
        <f>IFERROR(__xludf.DUMMYFUNCTION("IF(C7589&lt;&gt;"""", GOOGLETRANSLATE(C7589, ""en"", ""te""),"""")"),"[ '27 కెరీర్ బాతులు (19)', 'ఇన్నింగ్స్ లో 31 చెత్త ఆర్థిక రేటు (6.58)']")</f>
        <v>[ '27 కెరీర్ బాతులు (19)', 'ఇన్నింగ్స్ లో 31 చెత్త ఆర్థిక రేటు (6.58)']</v>
      </c>
      <c r="E7589" s="2" t="s">
        <v>3828</v>
      </c>
      <c r="F7589" s="2" t="str">
        <f>IFERROR(__xludf.DUMMYFUNCTION("IF(E7589&lt;&gt;"""", GOOGLETRANSLATE(E7589, ""en"", ""te""),"""")"),"[ '36 వ అత్యధిక పరుగులు ఇన్నింగ్స్ (93) లో సాధించిన]")</f>
        <v>[ '36 వ అత్యధిక పరుగులు ఇన్నింగ్స్ (93) లో సాధించిన]</v>
      </c>
      <c r="G7589" s="2"/>
      <c r="H7589" s="2" t="str">
        <f>IFERROR(__xludf.DUMMYFUNCTION("IF(G7589&lt;&gt;"""", GOOGLETRANSLATE(G7589, ""en"", ""te""),"""")"),"")</f>
        <v/>
      </c>
      <c r="I7589" s="3"/>
    </row>
    <row r="7590" customHeight="1" spans="1:9">
      <c r="A7590" s="2"/>
      <c r="B7590" s="2" t="str">
        <f>IFERROR(__xludf.DUMMYFUNCTION("IF(A7590&lt;&gt;"""", GOOGLETRANSLATE(A7590, ""en"", ""te""),"""")"),"")</f>
        <v/>
      </c>
      <c r="C7590" s="2" t="s">
        <v>4362</v>
      </c>
      <c r="D7590" s="2" t="str">
        <f>IFERROR(__xludf.DUMMYFUNCTION("IF(C7590&lt;&gt;"""", GOOGLETRANSLATE(C7590, ""en"", ""te""),"""")"),"[ '29 వరుస మ్యాచ్లు ప్రదర్శనల మధ్య (62) జట్టు తప్పిన']")</f>
        <v>[ '29 వరుస మ్యాచ్లు ప్రదర్శనల మధ్య (62) జట్టు తప్పిన']</v>
      </c>
      <c r="E7590" s="2"/>
      <c r="F7590" s="2" t="str">
        <f>IFERROR(__xludf.DUMMYFUNCTION("IF(E7590&lt;&gt;"""", GOOGLETRANSLATE(E7590, ""en"", ""te""),"""")"),"")</f>
        <v/>
      </c>
      <c r="G7590" s="2"/>
      <c r="H7590" s="2" t="str">
        <f>IFERROR(__xludf.DUMMYFUNCTION("IF(G7590&lt;&gt;"""", GOOGLETRANSLATE(G7590, ""en"", ""te""),"""")"),"")</f>
        <v/>
      </c>
      <c r="I7590" s="3"/>
    </row>
    <row r="7591" customHeight="1" spans="1:9">
      <c r="A7591" s="2"/>
      <c r="B7591" s="2" t="str">
        <f>IFERROR(__xludf.DUMMYFUNCTION("IF(A7591&lt;&gt;"""", GOOGLETRANSLATE(A7591, ""en"", ""te""),"""")"),"")</f>
        <v/>
      </c>
      <c r="C7591" s="2"/>
      <c r="D7591" s="2" t="str">
        <f>IFERROR(__xludf.DUMMYFUNCTION("IF(C7591&lt;&gt;"""", GOOGLETRANSLATE(C7591, ""en"", ""te""),"""")"),"")</f>
        <v/>
      </c>
      <c r="E7591" s="2"/>
      <c r="F7591" s="2" t="str">
        <f>IFERROR(__xludf.DUMMYFUNCTION("IF(E7591&lt;&gt;"""", GOOGLETRANSLATE(E7591, ""en"", ""te""),"""")"),"")</f>
        <v/>
      </c>
      <c r="G7591" s="2"/>
      <c r="H7591" s="2" t="str">
        <f>IFERROR(__xludf.DUMMYFUNCTION("IF(G7591&lt;&gt;"""", GOOGLETRANSLATE(G7591, ""en"", ""te""),"""")"),"")</f>
        <v/>
      </c>
      <c r="I7591" s="3"/>
    </row>
    <row r="7592" customHeight="1" spans="1:9">
      <c r="A7592" s="2"/>
      <c r="B7592" s="2" t="str">
        <f>IFERROR(__xludf.DUMMYFUNCTION("IF(A7592&lt;&gt;"""", GOOGLETRANSLATE(A7592, ""en"", ""te""),"""")"),"")</f>
        <v/>
      </c>
      <c r="C7592" s="2"/>
      <c r="D7592" s="2" t="str">
        <f>IFERROR(__xludf.DUMMYFUNCTION("IF(C7592&lt;&gt;"""", GOOGLETRANSLATE(C7592, ""en"", ""te""),"""")"),"")</f>
        <v/>
      </c>
      <c r="E7592" s="2"/>
      <c r="F7592" s="2" t="str">
        <f>IFERROR(__xludf.DUMMYFUNCTION("IF(E7592&lt;&gt;"""", GOOGLETRANSLATE(E7592, ""en"", ""te""),"""")"),"")</f>
        <v/>
      </c>
      <c r="G7592" s="2"/>
      <c r="H7592" s="2" t="str">
        <f>IFERROR(__xludf.DUMMYFUNCTION("IF(G7592&lt;&gt;"""", GOOGLETRANSLATE(G7592, ""en"", ""te""),"""")"),"")</f>
        <v/>
      </c>
      <c r="I7592" s="3"/>
    </row>
    <row r="7593" customHeight="1" spans="1:9">
      <c r="A7593" s="2"/>
      <c r="B7593" s="2" t="str">
        <f>IFERROR(__xludf.DUMMYFUNCTION("IF(A7593&lt;&gt;"""", GOOGLETRANSLATE(A7593, ""en"", ""te""),"""")"),"")</f>
        <v/>
      </c>
      <c r="C7593" s="2"/>
      <c r="D7593" s="2" t="str">
        <f>IFERROR(__xludf.DUMMYFUNCTION("IF(C7593&lt;&gt;"""", GOOGLETRANSLATE(C7593, ""en"", ""te""),"""")"),"")</f>
        <v/>
      </c>
      <c r="E7593" s="2"/>
      <c r="F7593" s="2" t="str">
        <f>IFERROR(__xludf.DUMMYFUNCTION("IF(E7593&lt;&gt;"""", GOOGLETRANSLATE(E7593, ""en"", ""te""),"""")"),"")</f>
        <v/>
      </c>
      <c r="G7593" s="2"/>
      <c r="H7593" s="2" t="str">
        <f>IFERROR(__xludf.DUMMYFUNCTION("IF(G7593&lt;&gt;"""", GOOGLETRANSLATE(G7593, ""en"", ""te""),"""")"),"")</f>
        <v/>
      </c>
      <c r="I7593" s="3"/>
    </row>
    <row r="7594" customHeight="1" spans="1:9">
      <c r="A7594" s="2"/>
      <c r="B7594" s="2" t="str">
        <f>IFERROR(__xludf.DUMMYFUNCTION("IF(A7594&lt;&gt;"""", GOOGLETRANSLATE(A7594, ""en"", ""te""),"""")"),"")</f>
        <v/>
      </c>
      <c r="C7594" s="2"/>
      <c r="D7594" s="2" t="str">
        <f>IFERROR(__xludf.DUMMYFUNCTION("IF(C7594&lt;&gt;"""", GOOGLETRANSLATE(C7594, ""en"", ""te""),"""")"),"")</f>
        <v/>
      </c>
      <c r="E7594" s="2"/>
      <c r="F7594" s="2" t="str">
        <f>IFERROR(__xludf.DUMMYFUNCTION("IF(E7594&lt;&gt;"""", GOOGLETRANSLATE(E7594, ""en"", ""te""),"""")"),"")</f>
        <v/>
      </c>
      <c r="G7594" s="2"/>
      <c r="H7594" s="2" t="str">
        <f>IFERROR(__xludf.DUMMYFUNCTION("IF(G7594&lt;&gt;"""", GOOGLETRANSLATE(G7594, ""en"", ""te""),"""")"),"")</f>
        <v/>
      </c>
      <c r="I7594" s="3"/>
    </row>
    <row r="7595" customHeight="1" spans="1:9">
      <c r="A7595" s="2"/>
      <c r="B7595" s="2" t="str">
        <f>IFERROR(__xludf.DUMMYFUNCTION("IF(A7595&lt;&gt;"""", GOOGLETRANSLATE(A7595, ""en"", ""te""),"""")"),"")</f>
        <v/>
      </c>
      <c r="C7595" s="2"/>
      <c r="D7595" s="2" t="str">
        <f>IFERROR(__xludf.DUMMYFUNCTION("IF(C7595&lt;&gt;"""", GOOGLETRANSLATE(C7595, ""en"", ""te""),"""")"),"")</f>
        <v/>
      </c>
      <c r="E7595" s="2"/>
      <c r="F7595" s="2" t="str">
        <f>IFERROR(__xludf.DUMMYFUNCTION("IF(E7595&lt;&gt;"""", GOOGLETRANSLATE(E7595, ""en"", ""te""),"""")"),"")</f>
        <v/>
      </c>
      <c r="G7595" s="2"/>
      <c r="H7595" s="2" t="str">
        <f>IFERROR(__xludf.DUMMYFUNCTION("IF(G7595&lt;&gt;"""", GOOGLETRANSLATE(G7595, ""en"", ""te""),"""")"),"")</f>
        <v/>
      </c>
      <c r="I7595" s="3"/>
    </row>
    <row r="7596" customHeight="1" spans="1:9">
      <c r="A7596" s="2" t="s">
        <v>4363</v>
      </c>
      <c r="B7596" s="2" t="str">
        <f>IFERROR(__xludf.DUMMYFUNCTION("IF(A7596&lt;&gt;"""", GOOGLETRANSLATE(A7596, ""en"", ""te""),"""")"),"[ '1st అత్యంత ప్లేయర్ ఆఫ్ ది సిరీస్ అవార్డులు (11)', 'ఇన్నింగ్స్ లో 4 వ అత్యధిక స్ట్రైక్ రేట్ (263.63)', 'కెరీర్ లో 2 వ పెద్ద జతల (4)', '1st ఒకే మైదానంలో అత్యధిక వికెట్లు ( 166) ',' 1 వ వరుస పది వికెట్లు లో ఒక మ్యాచ్ (4) ',' 1st కెరీర్లో బౌల్డ్ చాలా బంత"&amp;"ుల్లో (44039) ',' 2 వ అత్యధిక కెరీర్ లో సాధించిన పరుగులు (18180) ',' 1 వ అత్యధిక వికెట్లు తీసుకున్న స్టంప్ (47) ',' ఒక మ్యాచ్ లో మొత్తం పదకొండు బ్యాట్స్ తోసిపుచ్చిన ',' ఫాస్టెస్ట్ 800 వికెట్లు (133) ',' 1000 పరుగులు మరియు 100 వికెట్లు ',' 1000 పరుగులు, 50"&amp;" వికెట్లు, 50 క్యాచ్లు చేయడానికి 1st ',' 9 వ అత్యంత కెరీర్లో మ్యాచ్లు (350) ',' 6 వ అత్యధిక వరుస బాతులు (3) ',' 1 వ అత్యధిక వికెట్లు కెరీర్లో (534) ',' 2 వ అత్యంత నాలుగు వికెట్లు-ఇన్-ఒక-ఇన్నింగ్స్ కెరీర్లో (25) ',' కెరీర్లో బౌల్డ్ 1st చాలా బంతుల్లో (18811"&amp;") ',' 2 వ అత్యధిక కెరీర్ (12326) లో ఇవ్వబడిన పరుగులలో ',' 1 వ అత్యధిక వికెట్లు స్టంప్ (56) ',' 1st వేగవంతమైన 500 వికెట్లు (324) ',' 9 వ అత్యంత క్యాచ్లు తీసుకున్న కెరీర్ (130) ',' 7 వ అత్యంత ప్లేయర్ ఆఫ్ ది సిరీస్ అవార్డులు (11) ',' 1st చాలా బాతులు కెరీర్ "&amp;"లో (59) ',' 1st ఒక క్యాలెండర్ సంవత్సరంలో అత్యధిక వికెట్లు (136) ',' 1st చాలా సహ nsecutive నాలుగు వికెట్లు-ఇన్-ఒక-ఇన్నింగ్స్ (8) ',' 1st చాలా బంతుల్లో కెరీర్లో బౌల్డ్ (63132) ',' 1st కెరీర్లో సాధించిన అత్యధిక పరుగులు (30803) ',' 1 వ అత్యధిక వికెట్లు తీసుకు"&amp;"న్న స్టంప్ (104) ']")</f>
        <v>[ '1st అత్యంత ప్లేయర్ ఆఫ్ ది సిరీస్ అవార్డులు (11)', 'ఇన్నింగ్స్ లో 4 వ అత్యధిక స్ట్రైక్ రేట్ (263.63)', 'కెరీర్ లో 2 వ పెద్ద జతల (4)', '1st ఒకే మైదానంలో అత్యధిక వికెట్లు ( 166) ',' 1 వ వరుస పది వికెట్లు లో ఒక మ్యాచ్ (4) ',' 1st కెరీర్లో బౌల్డ్ చాలా బంతుల్లో (44039) ',' 2 వ అత్యధిక కెరీర్ లో సాధించిన పరుగులు (18180) ',' 1 వ అత్యధిక వికెట్లు తీసుకున్న స్టంప్ (47) ',' ఒక మ్యాచ్ లో మొత్తం పదకొండు బ్యాట్స్ తోసిపుచ్చిన ',' ఫాస్టెస్ట్ 800 వికెట్లు (133) ',' 1000 పరుగులు మరియు 100 వికెట్లు ',' 1000 పరుగులు, 50 వికెట్లు, 50 క్యాచ్లు చేయడానికి 1st ',' 9 వ అత్యంత కెరీర్లో మ్యాచ్లు (350) ',' 6 వ అత్యధిక వరుస బాతులు (3) ',' 1 వ అత్యధిక వికెట్లు కెరీర్లో (534) ',' 2 వ అత్యంత నాలుగు వికెట్లు-ఇన్-ఒక-ఇన్నింగ్స్ కెరీర్లో (25) ',' కెరీర్లో బౌల్డ్ 1st చాలా బంతుల్లో (18811) ',' 2 వ అత్యధిక కెరీర్ (12326) లో ఇవ్వబడిన పరుగులలో ',' 1 వ అత్యధిక వికెట్లు స్టంప్ (56) ',' 1st వేగవంతమైన 500 వికెట్లు (324) ',' 9 వ అత్యంత క్యాచ్లు తీసుకున్న కెరీర్ (130) ',' 7 వ అత్యంత ప్లేయర్ ఆఫ్ ది సిరీస్ అవార్డులు (11) ',' 1st చాలా బాతులు కెరీర్ లో (59) ',' 1st ఒక క్యాలెండర్ సంవత్సరంలో అత్యధిక వికెట్లు (136) ',' 1st చాలా సహ nsecutive నాలుగు వికెట్లు-ఇన్-ఒక-ఇన్నింగ్స్ (8) ',' 1st చాలా బంతుల్లో కెరీర్లో బౌల్డ్ (63132) ',' 1st కెరీర్లో సాధించిన అత్యధిక పరుగులు (30803) ',' 1 వ అత్యధిక వికెట్లు తీసుకున్న స్టంప్ (104) ']</v>
      </c>
      <c r="C7596" s="2" t="s">
        <v>4364</v>
      </c>
      <c r="D7596" s="2" t="str">
        <f>IFERROR(__xludf.DUMMYFUNCTION("IF(C7596&lt;&gt;"""", GOOGLETRANSLATE(C7596, ""en"", ""te""),"""")"),"[ '4 వ అత్యధిక సమ్మె ఇన్నింగ్స్ లో రేటు (263.63)' '28 వ అతి వంద (1261) లేకుండా ఒక వృత్తిలో పరుగులు', 'కెరీర్ లో 6 వ అత్యంత బాతులు (33)', 'కెరీర్ (4) 2 వ అత్యంత జతల' 'కెరీర్లో 1st అత్యధిక వికెట్లు (800)', 'ఒక మ్యాచ్లో 3 వ ఉత్తమ బొమ్మలు (16)' '5 వ ఉత్తమ ఇన్"&amp;"నింగ్స్ లో సంఖ్యలు (9/51)', 'ఒక క్యాలెండర్ సంవత్సరంలో 2 వ అత్యధిక వికెట్లు (90)' '3 వ అత్యుత్తమ బౌలింగ్ ఇన్నింగ్స్ లో విశ్లేషించడం (9/51)', '1st ఒకే మైదానంలో అత్యధిక వికెట్లు (166)', '24th ఒక ఇన్నింగ్స్ లోని బెస్ట్ ఫిగర్స్ ఉన్నప్పుడు పరాజయం వైపు (7)', '"&amp;"15 వ బెస్ట్ ఫిగర్స్ పరాజయం వైపు ఒక మ్యాచ్ను లో (11) ',' 46 వ ఉత్తమ కెరీర్ బౌలింగ్ సరాసరి (22.72) ',' 28th ఉత్తమ సమ్మె ఇన్నింగ్స్ లో రేటు (8.0) ',' ఇన్నింగ్స్ లో 16 వ చెత్త సమ్మె రేటు (390.0) ', '1 వ అత్యంత ఐదు-వికెట్ల లో-ఒక-ఇన్నింగ్స్ కెరీర్లో (67)', '1 "&amp;"వ అత్యంత పది వికెట్లు లో ఒక మ్యాచ్ ఒక వృత్తిలో (22)', '5 వ అత్యధిక వరుస ఐదు వికెట్ల తేడాతో in- ఒక-ఇన్నింగ్స్ (4) ',' 1 వ వరుస పది వికెట్లు లో ఒక మ్యాచ్ (4) ',' ఐదు వికెట్ల లో-ఒక-ఇన్నింగ్స్ (38y 92d) తీసుకోవాలని 25 అత్యంత వృద్ధ ఆటగాడు ',' 13 వ ఓల్డెస్ట్ టే"&amp;"క్ t ఆటగాడు en-వికెట్లు లో ఒక మ్యాచ్ (36y 253d) ',' కెరీర్ లో బౌల్డ్ 1st చాలా బంతుల్లో (44039) ',' 23 వ ఇన్నింగ్స్ లో బౌల్డ్ చాలా బంతుల్లో (450) ',' 13 వ అత్యంత బంతుల్లో ఒక మ్యాచ్లో బౌల్డ్ (683 ) ',' 2 వ అత్యధిక కెరీర్ లో (సమ్మతించాడు 18180) ',' 12 వ ఇన్న"&amp;"ింగ్స్ లో సాధించిన అత్యధిక పరుగులు పరుగులు (224) ',' 18 వ బౌలర్ / బ్యాటర్ కలయికలు (12) ',' 6 వ బౌలర్ / ఫీల్డర్ కలయికలు (77) ', 'తీసిన 1st అత్యధిక వికెట్లు బౌల్డ్ (167)', '1 వ అత్యధిక వికెట్లు తీసుకున్న ఆకర్షించింది (435)', '1 వ అత్యధిక వికెట్లు తీసుకున్న "&amp;"క్యాచ్ మరియు బౌల్డ్ (35)', '1 వ అత్యధిక వికెట్లు ఒక ఫీల్డర్ చేత క్యాచ్ తీసుకున్న (388)', ' 2 వ అత్యంత ఎల్బిడబ్ల్యు తీసుకోబడిన వికెట్ల (150) ',' 1 వ అత్యధిక వికెట్లు స్టంప్ (47) ',' 36 వ వేగంగా 150 వికెట్లు (36) 200 వికెట్లు (42) ',' 5 వ 250 వికెట్లు వేగంగ"&amp;"ా చేయడానికి ',' 9 వ వేగవంతమైన (తీసుకోవాలి 51) ',' 3 వ 300 వికెట్లు (వేగంగా 58) ',' 1st 350 వికెట్లు (వేగంగా 66) ',' 1st 400 వికెట్లు (వేగంగా 72) ',' 1st 450 వికెట్లు (80) ',' 1st వేగంగా వేగవంతమైన 500 వికెట్లు (87) ',' 1st 600 వికెట్లు వేగంగా (101) ',' ఫ"&amp;"ాస్టెస్ట్ 700 వికెట్లు (113) ',' 750 వికెట్లు (122) ',' 1st 800 ఫాస్టెస్ట్ చేయడానికి 1st వేగంగా చేయడానికి 1st వికెట్లు (133) ',' 16 వ కెరీర్ లో అత్యధిక మ్యాచ్లు (133) ',' 2 వ అత్యంత ప్లేయర్ ఆఫ్ ది మ్యాచ్ అవార్డులు (19) ',' 1 వ అత్యంత ప్లేయర్ ఆఫ్ ది సిరీస్"&amp;" అవార్డులు (11) ',' 49 వ లాంగెస్ట్ కెరీర్లు (17y 328d) ']")</f>
        <v>[ '4 వ అత్యధిక సమ్మె ఇన్నింగ్స్ లో రేటు (263.63)' '28 వ అతి వంద (1261) లేకుండా ఒక వృత్తిలో పరుగులు', 'కెరీర్ లో 6 వ అత్యంత బాతులు (33)', 'కెరీర్ (4) 2 వ అత్యంత జతల' 'కెరీర్లో 1st అత్యధిక వికెట్లు (800)', 'ఒక మ్యాచ్లో 3 వ ఉత్తమ బొమ్మలు (16)' '5 వ ఉత్తమ ఇన్నింగ్స్ లో సంఖ్యలు (9/51)', 'ఒక క్యాలెండర్ సంవత్సరంలో 2 వ అత్యధిక వికెట్లు (90)' '3 వ అత్యుత్తమ బౌలింగ్ ఇన్నింగ్స్ లో విశ్లేషించడం (9/51)', '1st ఒకే మైదానంలో అత్యధిక వికెట్లు (166)', '24th ఒక ఇన్నింగ్స్ లోని బెస్ట్ ఫిగర్స్ ఉన్నప్పుడు పరాజయం వైపు (7)', '15 వ బెస్ట్ ఫిగర్స్ పరాజయం వైపు ఒక మ్యాచ్ను లో (11) ',' 46 వ ఉత్తమ కెరీర్ బౌలింగ్ సరాసరి (22.72) ',' 28th ఉత్తమ సమ్మె ఇన్నింగ్స్ లో రేటు (8.0) ',' ఇన్నింగ్స్ లో 16 వ చెత్త సమ్మె రేటు (390.0) ', '1 వ అత్యంత ఐదు-వికెట్ల లో-ఒక-ఇన్నింగ్స్ కెరీర్లో (67)', '1 వ అత్యంత పది వికెట్లు లో ఒక మ్యాచ్ ఒక వృత్తిలో (22)', '5 వ అత్యధిక వరుస ఐదు వికెట్ల తేడాతో in- ఒక-ఇన్నింగ్స్ (4) ',' 1 వ వరుస పది వికెట్లు లో ఒక మ్యాచ్ (4) ',' ఐదు వికెట్ల లో-ఒక-ఇన్నింగ్స్ (38y 92d) తీసుకోవాలని 25 అత్యంత వృద్ధ ఆటగాడు ',' 13 వ ఓల్డెస్ట్ టేక్ t ఆటగాడు en-వికెట్లు లో ఒక మ్యాచ్ (36y 253d) ',' కెరీర్ లో బౌల్డ్ 1st చాలా బంతుల్లో (44039) ',' 23 వ ఇన్నింగ్స్ లో బౌల్డ్ చాలా బంతుల్లో (450) ',' 13 వ అత్యంత బంతుల్లో ఒక మ్యాచ్లో బౌల్డ్ (683 ) ',' 2 వ అత్యధిక కెరీర్ లో (సమ్మతించాడు 18180) ',' 12 వ ఇన్నింగ్స్ లో సాధించిన అత్యధిక పరుగులు పరుగులు (224) ',' 18 వ బౌలర్ / బ్యాటర్ కలయికలు (12) ',' 6 వ బౌలర్ / ఫీల్డర్ కలయికలు (77) ', 'తీసిన 1st అత్యధిక వికెట్లు బౌల్డ్ (167)', '1 వ అత్యధిక వికెట్లు తీసుకున్న ఆకర్షించింది (435)', '1 వ అత్యధిక వికెట్లు తీసుకున్న క్యాచ్ మరియు బౌల్డ్ (35)', '1 వ అత్యధిక వికెట్లు ఒక ఫీల్డర్ చేత క్యాచ్ తీసుకున్న (388)', ' 2 వ అత్యంత ఎల్బిడబ్ల్యు తీసుకోబడిన వికెట్ల (150) ',' 1 వ అత్యధిక వికెట్లు స్టంప్ (47) ',' 36 వ వేగంగా 150 వికెట్లు (36) 200 వికెట్లు (42) ',' 5 వ 250 వికెట్లు వేగంగా చేయడానికి ',' 9 వ వేగవంతమైన (తీసుకోవాలి 51) ',' 3 వ 300 వికెట్లు (వేగంగా 58) ',' 1st 350 వికెట్లు (వేగంగా 66) ',' 1st 400 వికెట్లు (వేగంగా 72) ',' 1st 450 వికెట్లు (80) ',' 1st వేగంగా వేగవంతమైన 500 వికెట్లు (87) ',' 1st 600 వికెట్లు వేగంగా (101) ',' ఫాస్టెస్ట్ 700 వికెట్లు (113) ',' 750 వికెట్లు (122) ',' 1st 800 ఫాస్టెస్ట్ చేయడానికి 1st వేగంగా చేయడానికి 1st వికెట్లు (133) ',' 16 వ కెరీర్ లో అత్యధిక మ్యాచ్లు (133) ',' 2 వ అత్యంత ప్లేయర్ ఆఫ్ ది మ్యాచ్ అవార్డులు (19) ',' 1 వ అత్యంత ప్లేయర్ ఆఫ్ ది సిరీస్ అవార్డులు (11) ',' 49 వ లాంగెస్ట్ కెరీర్లు (17y 328d) ']</v>
      </c>
      <c r="E7596" s="2" t="s">
        <v>4365</v>
      </c>
      <c r="F7596" s="2" t="str">
        <f>IFERROR(__xludf.DUMMYFUNCTION("IF(E7596&lt;&gt;"""", GOOGLETRANSLATE(E7596, ""en"", ""te""),"""")"),"[ 'కెరీర్లో 6 వ అత్యంత బాతులు (25)', '6 వ అత్యధిక వరుస బాతులు (3)', '1st కెరీర్లో అత్యధిక వికెట్లు (534)', '6 వ ఉత్తమ గణాంకాలు ఇన్నింగ్స్ లో (7/30)', '6 వ అత్యంత వరుస వికెట్లు (23) ',' 10th ఒక క్యాలెండర్ సంవత్సరంలో అత్యధిక వికెట్లు (56) ',' 3 వ అత్యుత్తమ "&amp;"బౌలింగ్ ఒకే నేలపై ఒక ఇన్నింగ్స్ (2/1) ',' 5 వ అత్యధిక వికెట్లు విశ్లేషణలలో (82) ', '14 వ ఒక ఇన్నింగ్స్ లోని బెస్ట్ ఫిగర్స్ ఉన్నప్పుడు పరాజయం వైపు (5) న', '27 వ ఉత్తమ కెరీర్ బౌలింగ్ సరాసరి (23.08)', '45 వ ఉత్తమ కెరీర్ ఆర్థిక రేటు (3.93)', ఒక ఇన్నింగ్స్ ల"&amp;"ో '36 వ ఉత్తమ ఆర్థిక రేటు (0.90) ',' ఇన్నింగ్స్ లో 12 వ ఉత్తమ సమ్మె రేటు (6.0) ',' 2 వ అత్యంత ఐదు-వికెట్ల లో-ఒక-ఇన్నింగ్స్ కెరీర్లో (10) ',' 2 వ అత్యంత నాలుగు వికెట్లు-ఇన్-ఒక-ఇన్నింగ్స్ కెరీర్లో (25) ',' 13 వ వరుస నాలుగు వికెట్లు-ఇన్-ఒక-ఇన్నింగ్స్ (2) ','"&amp;" ఐదు వికెట్ల లో-ఒక-ఇన్నింగ్స్ (36y 227d) 1 స్టంప్ లో బౌల్డ్ చాలా బంతుల్లో తీసుకోవాలని 8 వ అత్యంత వృద్ధ ఆటగాడు ',' కెరీర్ (18811) ',' 2 వ అత్యధిక కెరీర్ లో సాధించిన పరుగులు (12326) ',' 14 వ ఇన్నింగ్స్ లో సాధించిన అత్యధిక పరుగులు (99) ',' 25 వ బౌలర్ / బ్యాట"&amp;"్స్ కలయికలు (8) ',' 5 వ బౌలర్ / ఫీల్డర్ combina tions (49) ',' 3 వ అత్యంత బౌల్డ్ వికెట్లు తీసుకున్నారు (122) ',' 1 వ అత్యధిక వికెట్లు తీసుకున్న ఆకర్షించింది (290) ',' 1 వ అత్యధిక వికెట్లు ఆకర్షించింది తీసుకున్న మరియు బౌల్డ్ (35) ',' 1 వ అత్యధిక వికెట్లు ఒ"&amp;"క ఫీల్డర్ చేత క్యాచ్ తీసుకున్న (246) ',' 26th అత్యధిక వికెట్లు ఒక వికెట్ కీపర్ చే కాట్ తీసుకోకూడదు (44) ',' 5 వ అత్యధిక వికెట్లు తీసుకున్న ఎల్బిడబ్ల్యు (65) ',' 1 వ అత్యధిక వికెట్లు స్టంప్ (56) ',' ఫాస్టెస్ట్ 32 వ 150 వికెట్లు తీసుకున్న (110) ',' 20th 200"&amp;" వికెట్లు (147) ',' 11 వ వేగంగా 250 వికెట్లు (174) ',' 4 వ వేగంగా 300 వికెట్లు (202) ',' 350 వికెట్లు (229) కు 3 వ అత్యంత వేగంగా ',' 2 వ వేగవంతమైన వేగంగా 400 వికెట్లు (263) ',' 1st 450 వికెట్లు వేగంగా (295) ',' ఫాస్టెస్ట్ 500 వికెట్లు కెరీర్లో (324) ',' "&amp;"9 వ అత్యధిక క్యాచ్లు కు 1 వ (130) ',' 9 వ కెరీర్లో అత్యధిక మ్యాచ్లు (350) ' '19 లాంగెస్ట్ కెరీర్లు (17y 233d)']")</f>
        <v>[ 'కెరీర్లో 6 వ అత్యంత బాతులు (25)', '6 వ అత్యధిక వరుస బాతులు (3)', '1st కెరీర్లో అత్యధిక వికెట్లు (534)', '6 వ ఉత్తమ గణాంకాలు ఇన్నింగ్స్ లో (7/30)', '6 వ అత్యంత వరుస వికెట్లు (23) ',' 10th ఒక క్యాలెండర్ సంవత్సరంలో అత్యధిక వికెట్లు (56) ',' 3 వ అత్యుత్తమ బౌలింగ్ ఒకే నేలపై ఒక ఇన్నింగ్స్ (2/1) ',' 5 వ అత్యధిక వికెట్లు విశ్లేషణలలో (82) ', '14 వ ఒక ఇన్నింగ్స్ లోని బెస్ట్ ఫిగర్స్ ఉన్నప్పుడు పరాజయం వైపు (5) న', '27 వ ఉత్తమ కెరీర్ బౌలింగ్ సరాసరి (23.08)', '45 వ ఉత్తమ కెరీర్ ఆర్థిక రేటు (3.93)', ఒక ఇన్నింగ్స్ లో '36 వ ఉత్తమ ఆర్థిక రేటు (0.90) ',' ఇన్నింగ్స్ లో 12 వ ఉత్తమ సమ్మె రేటు (6.0) ',' 2 వ అత్యంత ఐదు-వికెట్ల లో-ఒక-ఇన్నింగ్స్ కెరీర్లో (10) ',' 2 వ అత్యంత నాలుగు వికెట్లు-ఇన్-ఒక-ఇన్నింగ్స్ కెరీర్లో (25) ',' 13 వ వరుస నాలుగు వికెట్లు-ఇన్-ఒక-ఇన్నింగ్స్ (2) ',' ఐదు వికెట్ల లో-ఒక-ఇన్నింగ్స్ (36y 227d) 1 స్టంప్ లో బౌల్డ్ చాలా బంతుల్లో తీసుకోవాలని 8 వ అత్యంత వృద్ధ ఆటగాడు ',' కెరీర్ (18811) ',' 2 వ అత్యధిక కెరీర్ లో సాధించిన పరుగులు (12326) ',' 14 వ ఇన్నింగ్స్ లో సాధించిన అత్యధిక పరుగులు (99) ',' 25 వ బౌలర్ / బ్యాట్స్ కలయికలు (8) ',' 5 వ బౌలర్ / ఫీల్డర్ combina tions (49) ',' 3 వ అత్యంత బౌల్డ్ వికెట్లు తీసుకున్నారు (122) ',' 1 వ అత్యధిక వికెట్లు తీసుకున్న ఆకర్షించింది (290) ',' 1 వ అత్యధిక వికెట్లు ఆకర్షించింది తీసుకున్న మరియు బౌల్డ్ (35) ',' 1 వ అత్యధిక వికెట్లు ఒక ఫీల్డర్ చేత క్యాచ్ తీసుకున్న (246) ',' 26th అత్యధిక వికెట్లు ఒక వికెట్ కీపర్ చే కాట్ తీసుకోకూడదు (44) ',' 5 వ అత్యధిక వికెట్లు తీసుకున్న ఎల్బిడబ్ల్యు (65) ',' 1 వ అత్యధిక వికెట్లు స్టంప్ (56) ',' ఫాస్టెస్ట్ 32 వ 150 వికెట్లు తీసుకున్న (110) ',' 20th 200 వికెట్లు (147) ',' 11 వ వేగంగా 250 వికెట్లు (174) ',' 4 వ వేగంగా 300 వికెట్లు (202) ',' 350 వికెట్లు (229) కు 3 వ అత్యంత వేగంగా ',' 2 వ వేగవంతమైన వేగంగా 400 వికెట్లు (263) ',' 1st 450 వికెట్లు వేగంగా (295) ',' ఫాస్టెస్ట్ 500 వికెట్లు కెరీర్లో (324) ',' 9 వ అత్యధిక క్యాచ్లు కు 1 వ (130) ',' 9 వ కెరీర్లో అత్యధిక మ్యాచ్లు (350) ' '19 లాంగెస్ట్ కెరీర్లు (17y 233d)']</v>
      </c>
      <c r="G7596" s="2" t="s">
        <v>4366</v>
      </c>
      <c r="H7596" s="2" t="str">
        <f>IFERROR(__xludf.DUMMYFUNCTION("IF(G7596&lt;&gt;"""", GOOGLETRANSLATE(G7596, ""en"", ""te""),"""")"),"[ '35 వ పురాతన దేశం ఆటగాళ్ళు (48y 332d)']")</f>
        <v>[ '35 వ పురాతన దేశం ఆటగాళ్ళు (48y 332d)']</v>
      </c>
      <c r="I7596" s="3"/>
    </row>
    <row r="7597" customHeight="1" spans="1:9">
      <c r="A7597" s="2"/>
      <c r="B7597" s="2" t="str">
        <f>IFERROR(__xludf.DUMMYFUNCTION("IF(A7597&lt;&gt;"""", GOOGLETRANSLATE(A7597, ""en"", ""te""),"""")"),"")</f>
        <v/>
      </c>
      <c r="C7597" s="2"/>
      <c r="D7597" s="2" t="str">
        <f>IFERROR(__xludf.DUMMYFUNCTION("IF(C7597&lt;&gt;"""", GOOGLETRANSLATE(C7597, ""en"", ""te""),"""")"),"")</f>
        <v/>
      </c>
      <c r="E7597" s="2"/>
      <c r="F7597" s="2" t="str">
        <f>IFERROR(__xludf.DUMMYFUNCTION("IF(E7597&lt;&gt;"""", GOOGLETRANSLATE(E7597, ""en"", ""te""),"""")"),"")</f>
        <v/>
      </c>
      <c r="G7597" s="2"/>
      <c r="H7597" s="2" t="str">
        <f>IFERROR(__xludf.DUMMYFUNCTION("IF(G7597&lt;&gt;"""", GOOGLETRANSLATE(G7597, ""en"", ""te""),"""")"),"")</f>
        <v/>
      </c>
      <c r="I7597" s="3"/>
    </row>
    <row r="7598" customHeight="1" spans="1:9">
      <c r="A7598" s="2"/>
      <c r="B7598" s="2" t="str">
        <f>IFERROR(__xludf.DUMMYFUNCTION("IF(A7598&lt;&gt;"""", GOOGLETRANSLATE(A7598, ""en"", ""te""),"""")"),"")</f>
        <v/>
      </c>
      <c r="C7598" s="2"/>
      <c r="D7598" s="2" t="str">
        <f>IFERROR(__xludf.DUMMYFUNCTION("IF(C7598&lt;&gt;"""", GOOGLETRANSLATE(C7598, ""en"", ""te""),"""")"),"")</f>
        <v/>
      </c>
      <c r="E7598" s="2"/>
      <c r="F7598" s="2" t="str">
        <f>IFERROR(__xludf.DUMMYFUNCTION("IF(E7598&lt;&gt;"""", GOOGLETRANSLATE(E7598, ""en"", ""te""),"""")"),"")</f>
        <v/>
      </c>
      <c r="G7598" s="2"/>
      <c r="H7598" s="2" t="str">
        <f>IFERROR(__xludf.DUMMYFUNCTION("IF(G7598&lt;&gt;"""", GOOGLETRANSLATE(G7598, ""en"", ""te""),"""")"),"")</f>
        <v/>
      </c>
      <c r="I7598" s="3"/>
    </row>
    <row r="7599" customHeight="1" spans="1:9">
      <c r="A7599" s="2"/>
      <c r="B7599" s="2" t="str">
        <f>IFERROR(__xludf.DUMMYFUNCTION("IF(A7599&lt;&gt;"""", GOOGLETRANSLATE(A7599, ""en"", ""te""),"""")"),"")</f>
        <v/>
      </c>
      <c r="C7599" s="2"/>
      <c r="D7599" s="2" t="str">
        <f>IFERROR(__xludf.DUMMYFUNCTION("IF(C7599&lt;&gt;"""", GOOGLETRANSLATE(C7599, ""en"", ""te""),"""")"),"")</f>
        <v/>
      </c>
      <c r="E7599" s="2"/>
      <c r="F7599" s="2" t="str">
        <f>IFERROR(__xludf.DUMMYFUNCTION("IF(E7599&lt;&gt;"""", GOOGLETRANSLATE(E7599, ""en"", ""te""),"""")"),"")</f>
        <v/>
      </c>
      <c r="G7599" s="2"/>
      <c r="H7599" s="2" t="str">
        <f>IFERROR(__xludf.DUMMYFUNCTION("IF(G7599&lt;&gt;"""", GOOGLETRANSLATE(G7599, ""en"", ""te""),"""")"),"")</f>
        <v/>
      </c>
      <c r="I7599" s="3"/>
    </row>
    <row r="7600" customHeight="1" spans="1:9">
      <c r="A7600" s="2"/>
      <c r="B7600" s="2" t="str">
        <f>IFERROR(__xludf.DUMMYFUNCTION("IF(A7600&lt;&gt;"""", GOOGLETRANSLATE(A7600, ""en"", ""te""),"""")"),"")</f>
        <v/>
      </c>
      <c r="C7600" s="2"/>
      <c r="D7600" s="2" t="str">
        <f>IFERROR(__xludf.DUMMYFUNCTION("IF(C7600&lt;&gt;"""", GOOGLETRANSLATE(C7600, ""en"", ""te""),"""")"),"")</f>
        <v/>
      </c>
      <c r="E7600" s="2"/>
      <c r="F7600" s="2" t="str">
        <f>IFERROR(__xludf.DUMMYFUNCTION("IF(E7600&lt;&gt;"""", GOOGLETRANSLATE(E7600, ""en"", ""te""),"""")"),"")</f>
        <v/>
      </c>
      <c r="G7600" s="2" t="s">
        <v>4367</v>
      </c>
      <c r="H7600" s="2" t="str">
        <f>IFERROR(__xludf.DUMMYFUNCTION("IF(G7600&lt;&gt;"""", GOOGLETRANSLATE(G7600, ""en"", ""te""),"""")"),"[ '30 వ పరాజయం వైపు ఒక మ్యాచ్లో అత్యధిక పరుగులు (63 *)']")</f>
        <v>[ '30 వ పరాజయం వైపు ఒక మ్యాచ్లో అత్యధిక పరుగులు (63 *)']</v>
      </c>
      <c r="I7600" s="3"/>
    </row>
    <row r="7601" customHeight="1" spans="1:9">
      <c r="A7601" s="2"/>
      <c r="B7601" s="2" t="str">
        <f>IFERROR(__xludf.DUMMYFUNCTION("IF(A7601&lt;&gt;"""", GOOGLETRANSLATE(A7601, ""en"", ""te""),"""")"),"")</f>
        <v/>
      </c>
      <c r="C7601" s="2"/>
      <c r="D7601" s="2" t="str">
        <f>IFERROR(__xludf.DUMMYFUNCTION("IF(C7601&lt;&gt;"""", GOOGLETRANSLATE(C7601, ""en"", ""te""),"""")"),"")</f>
        <v/>
      </c>
      <c r="E7601" s="2"/>
      <c r="F7601" s="2" t="str">
        <f>IFERROR(__xludf.DUMMYFUNCTION("IF(E7601&lt;&gt;"""", GOOGLETRANSLATE(E7601, ""en"", ""te""),"""")"),"")</f>
        <v/>
      </c>
      <c r="G7601" s="2"/>
      <c r="H7601" s="2" t="str">
        <f>IFERROR(__xludf.DUMMYFUNCTION("IF(G7601&lt;&gt;"""", GOOGLETRANSLATE(G7601, ""en"", ""te""),"""")"),"")</f>
        <v/>
      </c>
      <c r="I7601" s="3"/>
    </row>
    <row r="7602" customHeight="1" spans="1:9">
      <c r="A7602" s="2"/>
      <c r="B7602" s="2" t="str">
        <f>IFERROR(__xludf.DUMMYFUNCTION("IF(A7602&lt;&gt;"""", GOOGLETRANSLATE(A7602, ""en"", ""te""),"""")"),"")</f>
        <v/>
      </c>
      <c r="C7602" s="2"/>
      <c r="D7602" s="2" t="str">
        <f>IFERROR(__xludf.DUMMYFUNCTION("IF(C7602&lt;&gt;"""", GOOGLETRANSLATE(C7602, ""en"", ""te""),"""")"),"")</f>
        <v/>
      </c>
      <c r="E7602" s="2"/>
      <c r="F7602" s="2" t="str">
        <f>IFERROR(__xludf.DUMMYFUNCTION("IF(E7602&lt;&gt;"""", GOOGLETRANSLATE(E7602, ""en"", ""te""),"""")"),"")</f>
        <v/>
      </c>
      <c r="G7602" s="2"/>
      <c r="H7602" s="2" t="str">
        <f>IFERROR(__xludf.DUMMYFUNCTION("IF(G7602&lt;&gt;"""", GOOGLETRANSLATE(G7602, ""en"", ""te""),"""")"),"")</f>
        <v/>
      </c>
      <c r="I7602" s="3"/>
    </row>
    <row r="7603" customHeight="1" spans="1:9">
      <c r="A7603" s="2"/>
      <c r="B7603" s="2" t="str">
        <f>IFERROR(__xludf.DUMMYFUNCTION("IF(A7603&lt;&gt;"""", GOOGLETRANSLATE(A7603, ""en"", ""te""),"""")"),"")</f>
        <v/>
      </c>
      <c r="C7603" s="2"/>
      <c r="D7603" s="2" t="str">
        <f>IFERROR(__xludf.DUMMYFUNCTION("IF(C7603&lt;&gt;"""", GOOGLETRANSLATE(C7603, ""en"", ""te""),"""")"),"")</f>
        <v/>
      </c>
      <c r="E7603" s="2"/>
      <c r="F7603" s="2" t="str">
        <f>IFERROR(__xludf.DUMMYFUNCTION("IF(E7603&lt;&gt;"""", GOOGLETRANSLATE(E7603, ""en"", ""te""),"""")"),"")</f>
        <v/>
      </c>
      <c r="G7603" s="2"/>
      <c r="H7603" s="2" t="str">
        <f>IFERROR(__xludf.DUMMYFUNCTION("IF(G7603&lt;&gt;"""", GOOGLETRANSLATE(G7603, ""en"", ""te""),"""")"),"")</f>
        <v/>
      </c>
      <c r="I7603" s="3"/>
    </row>
    <row r="7604" customHeight="1" spans="1:9">
      <c r="A7604" s="2"/>
      <c r="B7604" s="2" t="str">
        <f>IFERROR(__xludf.DUMMYFUNCTION("IF(A7604&lt;&gt;"""", GOOGLETRANSLATE(A7604, ""en"", ""te""),"""")"),"")</f>
        <v/>
      </c>
      <c r="C7604" s="2"/>
      <c r="D7604" s="2" t="str">
        <f>IFERROR(__xludf.DUMMYFUNCTION("IF(C7604&lt;&gt;"""", GOOGLETRANSLATE(C7604, ""en"", ""te""),"""")"),"")</f>
        <v/>
      </c>
      <c r="E7604" s="2"/>
      <c r="F7604" s="2" t="str">
        <f>IFERROR(__xludf.DUMMYFUNCTION("IF(E7604&lt;&gt;"""", GOOGLETRANSLATE(E7604, ""en"", ""te""),"""")"),"")</f>
        <v/>
      </c>
      <c r="G7604" s="2"/>
      <c r="H7604" s="2" t="str">
        <f>IFERROR(__xludf.DUMMYFUNCTION("IF(G7604&lt;&gt;"""", GOOGLETRANSLATE(G7604, ""en"", ""te""),"""")"),"")</f>
        <v/>
      </c>
      <c r="I7604" s="3"/>
    </row>
    <row r="7605" customHeight="1" spans="1:9">
      <c r="A7605" s="2"/>
      <c r="B7605" s="2" t="str">
        <f>IFERROR(__xludf.DUMMYFUNCTION("IF(A7605&lt;&gt;"""", GOOGLETRANSLATE(A7605, ""en"", ""te""),"""")"),"")</f>
        <v/>
      </c>
      <c r="C7605" s="2"/>
      <c r="D7605" s="2" t="str">
        <f>IFERROR(__xludf.DUMMYFUNCTION("IF(C7605&lt;&gt;"""", GOOGLETRANSLATE(C7605, ""en"", ""te""),"""")"),"")</f>
        <v/>
      </c>
      <c r="E7605" s="2"/>
      <c r="F7605" s="2" t="str">
        <f>IFERROR(__xludf.DUMMYFUNCTION("IF(E7605&lt;&gt;"""", GOOGLETRANSLATE(E7605, ""en"", ""te""),"""")"),"")</f>
        <v/>
      </c>
      <c r="G7605" s="2"/>
      <c r="H7605" s="2" t="str">
        <f>IFERROR(__xludf.DUMMYFUNCTION("IF(G7605&lt;&gt;"""", GOOGLETRANSLATE(G7605, ""en"", ""te""),"""")"),"")</f>
        <v/>
      </c>
      <c r="I7605" s="3"/>
    </row>
    <row r="7606" customHeight="1" spans="1:9">
      <c r="A7606" s="2"/>
      <c r="B7606" s="2" t="str">
        <f>IFERROR(__xludf.DUMMYFUNCTION("IF(A7606&lt;&gt;"""", GOOGLETRANSLATE(A7606, ""en"", ""te""),"""")"),"")</f>
        <v/>
      </c>
      <c r="C7606" s="2"/>
      <c r="D7606" s="2" t="str">
        <f>IFERROR(__xludf.DUMMYFUNCTION("IF(C7606&lt;&gt;"""", GOOGLETRANSLATE(C7606, ""en"", ""te""),"""")"),"")</f>
        <v/>
      </c>
      <c r="E7606" s="2"/>
      <c r="F7606" s="2" t="str">
        <f>IFERROR(__xludf.DUMMYFUNCTION("IF(E7606&lt;&gt;"""", GOOGLETRANSLATE(E7606, ""en"", ""te""),"""")"),"")</f>
        <v/>
      </c>
      <c r="G7606" s="2"/>
      <c r="H7606" s="2" t="str">
        <f>IFERROR(__xludf.DUMMYFUNCTION("IF(G7606&lt;&gt;"""", GOOGLETRANSLATE(G7606, ""en"", ""te""),"""")"),"")</f>
        <v/>
      </c>
      <c r="I7606" s="3"/>
    </row>
    <row r="7607" customHeight="1" spans="1:9">
      <c r="A7607" s="2"/>
      <c r="B7607" s="2" t="str">
        <f>IFERROR(__xludf.DUMMYFUNCTION("IF(A7607&lt;&gt;"""", GOOGLETRANSLATE(A7607, ""en"", ""te""),"""")"),"")</f>
        <v/>
      </c>
      <c r="C7607" s="2"/>
      <c r="D7607" s="2" t="str">
        <f>IFERROR(__xludf.DUMMYFUNCTION("IF(C7607&lt;&gt;"""", GOOGLETRANSLATE(C7607, ""en"", ""te""),"""")"),"")</f>
        <v/>
      </c>
      <c r="E7607" s="2"/>
      <c r="F7607" s="2" t="str">
        <f>IFERROR(__xludf.DUMMYFUNCTION("IF(E7607&lt;&gt;"""", GOOGLETRANSLATE(E7607, ""en"", ""te""),"""")"),"")</f>
        <v/>
      </c>
      <c r="G7607" s="2"/>
      <c r="H7607" s="2" t="str">
        <f>IFERROR(__xludf.DUMMYFUNCTION("IF(G7607&lt;&gt;"""", GOOGLETRANSLATE(G7607, ""en"", ""te""),"""")"),"")</f>
        <v/>
      </c>
      <c r="I7607" s="3"/>
    </row>
    <row r="7608" customHeight="1" spans="1:9">
      <c r="A7608" s="2"/>
      <c r="B7608" s="2" t="str">
        <f>IFERROR(__xludf.DUMMYFUNCTION("IF(A7608&lt;&gt;"""", GOOGLETRANSLATE(A7608, ""en"", ""te""),"""")"),"")</f>
        <v/>
      </c>
      <c r="C7608" s="2"/>
      <c r="D7608" s="2" t="str">
        <f>IFERROR(__xludf.DUMMYFUNCTION("IF(C7608&lt;&gt;"""", GOOGLETRANSLATE(C7608, ""en"", ""te""),"""")"),"")</f>
        <v/>
      </c>
      <c r="E7608" s="2"/>
      <c r="F7608" s="2" t="str">
        <f>IFERROR(__xludf.DUMMYFUNCTION("IF(E7608&lt;&gt;"""", GOOGLETRANSLATE(E7608, ""en"", ""te""),"""")"),"")</f>
        <v/>
      </c>
      <c r="G7608" s="2"/>
      <c r="H7608" s="2" t="str">
        <f>IFERROR(__xludf.DUMMYFUNCTION("IF(G7608&lt;&gt;"""", GOOGLETRANSLATE(G7608, ""en"", ""te""),"""")"),"")</f>
        <v/>
      </c>
      <c r="I7608" s="3"/>
    </row>
    <row r="7609" customHeight="1" spans="1:9">
      <c r="A7609" s="2"/>
      <c r="B7609" s="2" t="str">
        <f>IFERROR(__xludf.DUMMYFUNCTION("IF(A7609&lt;&gt;"""", GOOGLETRANSLATE(A7609, ""en"", ""te""),"""")"),"")</f>
        <v/>
      </c>
      <c r="C7609" s="2"/>
      <c r="D7609" s="2" t="str">
        <f>IFERROR(__xludf.DUMMYFUNCTION("IF(C7609&lt;&gt;"""", GOOGLETRANSLATE(C7609, ""en"", ""te""),"""")"),"")</f>
        <v/>
      </c>
      <c r="E7609" s="2"/>
      <c r="F7609" s="2" t="str">
        <f>IFERROR(__xludf.DUMMYFUNCTION("IF(E7609&lt;&gt;"""", GOOGLETRANSLATE(E7609, ""en"", ""te""),"""")"),"")</f>
        <v/>
      </c>
      <c r="G7609" s="2"/>
      <c r="H7609" s="2" t="str">
        <f>IFERROR(__xludf.DUMMYFUNCTION("IF(G7609&lt;&gt;"""", GOOGLETRANSLATE(G7609, ""en"", ""te""),"""")"),"")</f>
        <v/>
      </c>
      <c r="I7609" s="3"/>
    </row>
    <row r="7610" customHeight="1" spans="1:9">
      <c r="A7610" s="2"/>
      <c r="B7610" s="2" t="str">
        <f>IFERROR(__xludf.DUMMYFUNCTION("IF(A7610&lt;&gt;"""", GOOGLETRANSLATE(A7610, ""en"", ""te""),"""")"),"")</f>
        <v/>
      </c>
      <c r="C7610" s="2"/>
      <c r="D7610" s="2" t="str">
        <f>IFERROR(__xludf.DUMMYFUNCTION("IF(C7610&lt;&gt;"""", GOOGLETRANSLATE(C7610, ""en"", ""te""),"""")"),"")</f>
        <v/>
      </c>
      <c r="E7610" s="2"/>
      <c r="F7610" s="2" t="str">
        <f>IFERROR(__xludf.DUMMYFUNCTION("IF(E7610&lt;&gt;"""", GOOGLETRANSLATE(E7610, ""en"", ""te""),"""")"),"")</f>
        <v/>
      </c>
      <c r="G7610" s="2"/>
      <c r="H7610" s="2" t="str">
        <f>IFERROR(__xludf.DUMMYFUNCTION("IF(G7610&lt;&gt;"""", GOOGLETRANSLATE(G7610, ""en"", ""te""),"""")"),"")</f>
        <v/>
      </c>
      <c r="I7610" s="3"/>
    </row>
    <row r="7611" customHeight="1" spans="1:9">
      <c r="A7611" s="2"/>
      <c r="B7611" s="2" t="str">
        <f>IFERROR(__xludf.DUMMYFUNCTION("IF(A7611&lt;&gt;"""", GOOGLETRANSLATE(A7611, ""en"", ""te""),"""")"),"")</f>
        <v/>
      </c>
      <c r="C7611" s="2"/>
      <c r="D7611" s="2" t="str">
        <f>IFERROR(__xludf.DUMMYFUNCTION("IF(C7611&lt;&gt;"""", GOOGLETRANSLATE(C7611, ""en"", ""te""),"""")"),"")</f>
        <v/>
      </c>
      <c r="E7611" s="2"/>
      <c r="F7611" s="2" t="str">
        <f>IFERROR(__xludf.DUMMYFUNCTION("IF(E7611&lt;&gt;"""", GOOGLETRANSLATE(E7611, ""en"", ""te""),"""")"),"")</f>
        <v/>
      </c>
      <c r="G7611" s="2"/>
      <c r="H7611" s="2" t="str">
        <f>IFERROR(__xludf.DUMMYFUNCTION("IF(G7611&lt;&gt;"""", GOOGLETRANSLATE(G7611, ""en"", ""te""),"""")"),"")</f>
        <v/>
      </c>
      <c r="I7611" s="3"/>
    </row>
    <row r="7612" customHeight="1" spans="1:9">
      <c r="A7612" s="2"/>
      <c r="B7612" s="2" t="str">
        <f>IFERROR(__xludf.DUMMYFUNCTION("IF(A7612&lt;&gt;"""", GOOGLETRANSLATE(A7612, ""en"", ""te""),"""")"),"")</f>
        <v/>
      </c>
      <c r="C7612" s="2"/>
      <c r="D7612" s="2" t="str">
        <f>IFERROR(__xludf.DUMMYFUNCTION("IF(C7612&lt;&gt;"""", GOOGLETRANSLATE(C7612, ""en"", ""te""),"""")"),"")</f>
        <v/>
      </c>
      <c r="E7612" s="2"/>
      <c r="F7612" s="2" t="str">
        <f>IFERROR(__xludf.DUMMYFUNCTION("IF(E7612&lt;&gt;"""", GOOGLETRANSLATE(E7612, ""en"", ""te""),"""")"),"")</f>
        <v/>
      </c>
      <c r="G7612" s="2" t="s">
        <v>4368</v>
      </c>
      <c r="H7612" s="2" t="str">
        <f>IFERROR(__xludf.DUMMYFUNCTION("IF(G7612&lt;&gt;"""", GOOGLETRANSLATE(G7612, ""en"", ""te""),"""")"),"[ 'తొమ్మిదవ వికెట్కు 13 వ అత్యధిక భాగస్వామ్యం (25 *)']")</f>
        <v>[ 'తొమ్మిదవ వికెట్కు 13 వ అత్యధిక భాగస్వామ్యం (25 *)']</v>
      </c>
      <c r="I7612" s="3"/>
    </row>
    <row r="7613" customHeight="1" spans="1:9">
      <c r="A7613" s="2"/>
      <c r="B7613" s="2" t="str">
        <f>IFERROR(__xludf.DUMMYFUNCTION("IF(A7613&lt;&gt;"""", GOOGLETRANSLATE(A7613, ""en"", ""te""),"""")"),"")</f>
        <v/>
      </c>
      <c r="C7613" s="2"/>
      <c r="D7613" s="2" t="str">
        <f>IFERROR(__xludf.DUMMYFUNCTION("IF(C7613&lt;&gt;"""", GOOGLETRANSLATE(C7613, ""en"", ""te""),"""")"),"")</f>
        <v/>
      </c>
      <c r="E7613" s="2"/>
      <c r="F7613" s="2" t="str">
        <f>IFERROR(__xludf.DUMMYFUNCTION("IF(E7613&lt;&gt;"""", GOOGLETRANSLATE(E7613, ""en"", ""te""),"""")"),"")</f>
        <v/>
      </c>
      <c r="G7613" s="2"/>
      <c r="H7613" s="2" t="str">
        <f>IFERROR(__xludf.DUMMYFUNCTION("IF(G7613&lt;&gt;"""", GOOGLETRANSLATE(G7613, ""en"", ""te""),"""")"),"")</f>
        <v/>
      </c>
      <c r="I7613" s="3"/>
    </row>
    <row r="7614" customHeight="1" spans="1:9">
      <c r="A7614" s="2"/>
      <c r="B7614" s="2" t="str">
        <f>IFERROR(__xludf.DUMMYFUNCTION("IF(A7614&lt;&gt;"""", GOOGLETRANSLATE(A7614, ""en"", ""te""),"""")"),"")</f>
        <v/>
      </c>
      <c r="C7614" s="2"/>
      <c r="D7614" s="2" t="str">
        <f>IFERROR(__xludf.DUMMYFUNCTION("IF(C7614&lt;&gt;"""", GOOGLETRANSLATE(C7614, ""en"", ""te""),"""")"),"")</f>
        <v/>
      </c>
      <c r="E7614" s="2"/>
      <c r="F7614" s="2" t="str">
        <f>IFERROR(__xludf.DUMMYFUNCTION("IF(E7614&lt;&gt;"""", GOOGLETRANSLATE(E7614, ""en"", ""te""),"""")"),"")</f>
        <v/>
      </c>
      <c r="G7614" s="2"/>
      <c r="H7614" s="2" t="str">
        <f>IFERROR(__xludf.DUMMYFUNCTION("IF(G7614&lt;&gt;"""", GOOGLETRANSLATE(G7614, ""en"", ""te""),"""")"),"")</f>
        <v/>
      </c>
      <c r="I7614" s="3"/>
    </row>
    <row r="7615" customHeight="1" spans="1:9">
      <c r="A7615" s="2"/>
      <c r="B7615" s="2" t="str">
        <f>IFERROR(__xludf.DUMMYFUNCTION("IF(A7615&lt;&gt;"""", GOOGLETRANSLATE(A7615, ""en"", ""te""),"""")"),"")</f>
        <v/>
      </c>
      <c r="C7615" s="2"/>
      <c r="D7615" s="2" t="str">
        <f>IFERROR(__xludf.DUMMYFUNCTION("IF(C7615&lt;&gt;"""", GOOGLETRANSLATE(C7615, ""en"", ""te""),"""")"),"")</f>
        <v/>
      </c>
      <c r="E7615" s="2"/>
      <c r="F7615" s="2" t="str">
        <f>IFERROR(__xludf.DUMMYFUNCTION("IF(E7615&lt;&gt;"""", GOOGLETRANSLATE(E7615, ""en"", ""te""),"""")"),"")</f>
        <v/>
      </c>
      <c r="G7615" s="2"/>
      <c r="H7615" s="2" t="str">
        <f>IFERROR(__xludf.DUMMYFUNCTION("IF(G7615&lt;&gt;"""", GOOGLETRANSLATE(G7615, ""en"", ""te""),"""")"),"")</f>
        <v/>
      </c>
      <c r="I7615" s="3"/>
    </row>
    <row r="7616" customHeight="1" spans="1:9">
      <c r="A7616" s="2"/>
      <c r="B7616" s="2" t="str">
        <f>IFERROR(__xludf.DUMMYFUNCTION("IF(A7616&lt;&gt;"""", GOOGLETRANSLATE(A7616, ""en"", ""te""),"""")"),"")</f>
        <v/>
      </c>
      <c r="C7616" s="2"/>
      <c r="D7616" s="2" t="str">
        <f>IFERROR(__xludf.DUMMYFUNCTION("IF(C7616&lt;&gt;"""", GOOGLETRANSLATE(C7616, ""en"", ""te""),"""")"),"")</f>
        <v/>
      </c>
      <c r="E7616" s="2"/>
      <c r="F7616" s="2" t="str">
        <f>IFERROR(__xludf.DUMMYFUNCTION("IF(E7616&lt;&gt;"""", GOOGLETRANSLATE(E7616, ""en"", ""te""),"""")"),"")</f>
        <v/>
      </c>
      <c r="G7616" s="2"/>
      <c r="H7616" s="2" t="str">
        <f>IFERROR(__xludf.DUMMYFUNCTION("IF(G7616&lt;&gt;"""", GOOGLETRANSLATE(G7616, ""en"", ""te""),"""")"),"")</f>
        <v/>
      </c>
      <c r="I7616" s="3"/>
    </row>
    <row r="7617" customHeight="1" spans="1:9">
      <c r="A7617" s="2"/>
      <c r="B7617" s="2" t="str">
        <f>IFERROR(__xludf.DUMMYFUNCTION("IF(A7617&lt;&gt;"""", GOOGLETRANSLATE(A7617, ""en"", ""te""),"""")"),"")</f>
        <v/>
      </c>
      <c r="C7617" s="2"/>
      <c r="D7617" s="2" t="str">
        <f>IFERROR(__xludf.DUMMYFUNCTION("IF(C7617&lt;&gt;"""", GOOGLETRANSLATE(C7617, ""en"", ""te""),"""")"),"")</f>
        <v/>
      </c>
      <c r="E7617" s="2"/>
      <c r="F7617" s="2" t="str">
        <f>IFERROR(__xludf.DUMMYFUNCTION("IF(E7617&lt;&gt;"""", GOOGLETRANSLATE(E7617, ""en"", ""te""),"""")"),"")</f>
        <v/>
      </c>
      <c r="G7617" s="2"/>
      <c r="H7617" s="2" t="str">
        <f>IFERROR(__xludf.DUMMYFUNCTION("IF(G7617&lt;&gt;"""", GOOGLETRANSLATE(G7617, ""en"", ""te""),"""")"),"")</f>
        <v/>
      </c>
      <c r="I7617" s="3"/>
    </row>
    <row r="7618" customHeight="1" spans="1:9">
      <c r="A7618" s="2"/>
      <c r="B7618" s="2" t="str">
        <f>IFERROR(__xludf.DUMMYFUNCTION("IF(A7618&lt;&gt;"""", GOOGLETRANSLATE(A7618, ""en"", ""te""),"""")"),"")</f>
        <v/>
      </c>
      <c r="C7618" s="2"/>
      <c r="D7618" s="2" t="str">
        <f>IFERROR(__xludf.DUMMYFUNCTION("IF(C7618&lt;&gt;"""", GOOGLETRANSLATE(C7618, ""en"", ""te""),"""")"),"")</f>
        <v/>
      </c>
      <c r="E7618" s="2"/>
      <c r="F7618" s="2" t="str">
        <f>IFERROR(__xludf.DUMMYFUNCTION("IF(E7618&lt;&gt;"""", GOOGLETRANSLATE(E7618, ""en"", ""te""),"""")"),"")</f>
        <v/>
      </c>
      <c r="G7618" s="2"/>
      <c r="H7618" s="2" t="str">
        <f>IFERROR(__xludf.DUMMYFUNCTION("IF(G7618&lt;&gt;"""", GOOGLETRANSLATE(G7618, ""en"", ""te""),"""")"),"")</f>
        <v/>
      </c>
      <c r="I7618" s="3"/>
    </row>
    <row r="7619" customHeight="1" spans="1:9">
      <c r="A7619" s="2"/>
      <c r="B7619" s="2" t="str">
        <f>IFERROR(__xludf.DUMMYFUNCTION("IF(A7619&lt;&gt;"""", GOOGLETRANSLATE(A7619, ""en"", ""te""),"""")"),"")</f>
        <v/>
      </c>
      <c r="C7619" s="2"/>
      <c r="D7619" s="2" t="str">
        <f>IFERROR(__xludf.DUMMYFUNCTION("IF(C7619&lt;&gt;"""", GOOGLETRANSLATE(C7619, ""en"", ""te""),"""")"),"")</f>
        <v/>
      </c>
      <c r="E7619" s="2"/>
      <c r="F7619" s="2" t="str">
        <f>IFERROR(__xludf.DUMMYFUNCTION("IF(E7619&lt;&gt;"""", GOOGLETRANSLATE(E7619, ""en"", ""te""),"""")"),"")</f>
        <v/>
      </c>
      <c r="G7619" s="2"/>
      <c r="H7619" s="2" t="str">
        <f>IFERROR(__xludf.DUMMYFUNCTION("IF(G7619&lt;&gt;"""", GOOGLETRANSLATE(G7619, ""en"", ""te""),"""")"),"")</f>
        <v/>
      </c>
      <c r="I7619" s="3"/>
    </row>
    <row r="7620" customHeight="1" spans="1:9">
      <c r="A7620" s="2"/>
      <c r="B7620" s="2" t="str">
        <f>IFERROR(__xludf.DUMMYFUNCTION("IF(A7620&lt;&gt;"""", GOOGLETRANSLATE(A7620, ""en"", ""te""),"""")"),"")</f>
        <v/>
      </c>
      <c r="C7620" s="2"/>
      <c r="D7620" s="2" t="str">
        <f>IFERROR(__xludf.DUMMYFUNCTION("IF(C7620&lt;&gt;"""", GOOGLETRANSLATE(C7620, ""en"", ""te""),"""")"),"")</f>
        <v/>
      </c>
      <c r="E7620" s="2"/>
      <c r="F7620" s="2" t="str">
        <f>IFERROR(__xludf.DUMMYFUNCTION("IF(E7620&lt;&gt;"""", GOOGLETRANSLATE(E7620, ""en"", ""te""),"""")"),"")</f>
        <v/>
      </c>
      <c r="G7620" s="2"/>
      <c r="H7620" s="2" t="str">
        <f>IFERROR(__xludf.DUMMYFUNCTION("IF(G7620&lt;&gt;"""", GOOGLETRANSLATE(G7620, ""en"", ""te""),"""")"),"")</f>
        <v/>
      </c>
      <c r="I7620" s="3"/>
    </row>
    <row r="7621" customHeight="1" spans="1:9">
      <c r="A7621" s="2"/>
      <c r="B7621" s="2" t="str">
        <f>IFERROR(__xludf.DUMMYFUNCTION("IF(A7621&lt;&gt;"""", GOOGLETRANSLATE(A7621, ""en"", ""te""),"""")"),"")</f>
        <v/>
      </c>
      <c r="C7621" s="2"/>
      <c r="D7621" s="2" t="str">
        <f>IFERROR(__xludf.DUMMYFUNCTION("IF(C7621&lt;&gt;"""", GOOGLETRANSLATE(C7621, ""en"", ""te""),"""")"),"")</f>
        <v/>
      </c>
      <c r="E7621" s="2"/>
      <c r="F7621" s="2" t="str">
        <f>IFERROR(__xludf.DUMMYFUNCTION("IF(E7621&lt;&gt;"""", GOOGLETRANSLATE(E7621, ""en"", ""te""),"""")"),"")</f>
        <v/>
      </c>
      <c r="G7621" s="2"/>
      <c r="H7621" s="2" t="str">
        <f>IFERROR(__xludf.DUMMYFUNCTION("IF(G7621&lt;&gt;"""", GOOGLETRANSLATE(G7621, ""en"", ""te""),"""")"),"")</f>
        <v/>
      </c>
      <c r="I7621" s="3"/>
    </row>
    <row r="7622" customHeight="1" spans="1:9">
      <c r="A7622" s="2" t="s">
        <v>4369</v>
      </c>
      <c r="B7622" s="2" t="str">
        <f>IFERROR(__xludf.DUMMYFUNCTION("IF(A7622&lt;&gt;"""", GOOGLETRANSLATE(A7622, ""en"", ""te""),"""")"),"[ 'హండ్రెడ్ మరియు ఒక మ్యాచ్లో తొంభై', 'కెరీర్ లో 1 వ అతి తక్కువ బాతులు (80.5)', '5000 పరుగులు మరియు 50 ఫీల్డింగ్ వికెట్లు', '7 వ ఇన్నింగ్స్ లో అత్యధిక పరుగులు (బ్యాటింగ్ స్థానంలో ప్రకారం) (139 *)', ' 1000 పరుగులు మరియు 100 వికెట్లు ',' 1000 పరుగులు, 50 వ"&amp;"ికెట్లు, 50 క్యాచ్లు ',' 5000 పరుగులు మరియు 50 ఫీల్డింగ్ వికెట్లు ',' తొమ్మిదవ వికెట్ (132) 1 వ అత్యధిక భాగస్వామ్యం ',' 4 వ వరుస మ్యాచ్లు జట్టు (55 ) ',' 9 వ ఇన్నింగ్స్ లో అత్యధిక పరుగులు (బ్యాటింగ్ స్థానంలో ప్రకారం) (81 *) ',' మొదటి డక్ ముందు 2 వ అత్యంత "&amp;"ఇన్నింగ్స్ (56) ',' 8 వ చెత్త కెరీర్లో సమ్మె రేటు (27.0) ',' 10 వ అత్యధిక కెరీర్ లో పనికత్తెలయొద్ద (4) ',' ఒక క్యాలెండర్ సంవత్సరంలో 6 వ అత్యధిక పరుగులు (2687) ']")</f>
        <v>[ 'హండ్రెడ్ మరియు ఒక మ్యాచ్లో తొంభై', 'కెరీర్ లో 1 వ అతి తక్కువ బాతులు (80.5)', '5000 పరుగులు మరియు 50 ఫీల్డింగ్ వికెట్లు', '7 వ ఇన్నింగ్స్ లో అత్యధిక పరుగులు (బ్యాటింగ్ స్థానంలో ప్రకారం) (139 *)', ' 1000 పరుగులు మరియు 100 వికెట్లు ',' 1000 పరుగులు, 50 వికెట్లు, 50 క్యాచ్లు ',' 5000 పరుగులు మరియు 50 ఫీల్డింగ్ వికెట్లు ',' తొమ్మిదవ వికెట్ (132) 1 వ అత్యధిక భాగస్వామ్యం ',' 4 వ వరుస మ్యాచ్లు జట్టు (55 ) ',' 9 వ ఇన్నింగ్స్ లో అత్యధిక పరుగులు (బ్యాటింగ్ స్థానంలో ప్రకారం) (81 *) ',' మొదటి డక్ ముందు 2 వ అత్యంత ఇన్నింగ్స్ (56) ',' 8 వ చెత్త కెరీర్లో సమ్మె రేటు (27.0) ',' 10 వ అత్యధిక కెరీర్ లో పనికత్తెలయొద్ద (4) ',' ఒక క్యాలెండర్ సంవత్సరంలో 6 వ అత్యధిక పరుగులు (2687) ']</v>
      </c>
      <c r="C7622" s="2" t="s">
        <v>4370</v>
      </c>
      <c r="D7622" s="2" t="str">
        <f>IFERROR(__xludf.DUMMYFUNCTION("IF(C7622&lt;&gt;"""", GOOGLETRANSLATE(C7622, ""en"", ""te""),"""")"),"[ '33 వ అత్యంత ఒక క్యాలెండర్ సంవత్సరంలో పరుగులు (1317)', 'ఒకే మైదానంలో 18 వ అత్యధిక పరుగులు (1457)', 'ఇన్నింగ్స్ లో 27 అత్యధిక స్ట్రైక్ రేట్ (192.30)', '20 వ అత్యధిక కెరీర్ (5) తొంభైల' '30 వ అత్యంత ఇన్నింగ్స్ తొలి డక్ ముందు (36)', 'ఒక డక్ లేకుండా 7 వ అ"&amp;"త్యధిక వరుస ఇన్నింగ్స్ (83)', '1 వ అతి తక్కువ బాతులు కెరీర్ లో (80.5)', '23 వ ఎక్కువ సిక్స్ కెరీర్లో (63)', '31 చెత్త కెరీర్ బౌలింగ్ సరాసరి (53.51) ',' 30 వ చెత్త కెరీర్లో సమ్మె రేటు (119.0) ',' ఎనిమిదవ వికెట్కు 22 అత్యధిక భాగస్వామ్యం (149) ',' 44 వ అత్యం"&amp;"త ప్లేయర్ ఆఫ్ ది సిరీస్ అవార్డులు (3) ',' 36 వ అత్యంత కెప్టెన్గా పోటీలు (34) ',' 18 వ వరుస మ్యాచ్లు ఒక జట్టు కెప్టెన్గా (31) ',' 45 వ పిన్న కాప్టెన్ (25y 279d) ']")</f>
        <v>[ '33 వ అత్యంత ఒక క్యాలెండర్ సంవత్సరంలో పరుగులు (1317)', 'ఒకే మైదానంలో 18 వ అత్యధిక పరుగులు (1457)', 'ఇన్నింగ్స్ లో 27 అత్యధిక స్ట్రైక్ రేట్ (192.30)', '20 వ అత్యధిక కెరీర్ (5) తొంభైల' '30 వ అత్యంత ఇన్నింగ్స్ తొలి డక్ ముందు (36)', 'ఒక డక్ లేకుండా 7 వ అత్యధిక వరుస ఇన్నింగ్స్ (83)', '1 వ అతి తక్కువ బాతులు కెరీర్ లో (80.5)', '23 వ ఎక్కువ సిక్స్ కెరీర్లో (63)', '31 చెత్త కెరీర్ బౌలింగ్ సరాసరి (53.51) ',' 30 వ చెత్త కెరీర్లో సమ్మె రేటు (119.0) ',' ఎనిమిదవ వికెట్కు 22 అత్యధిక భాగస్వామ్యం (149) ',' 44 వ అత్యంత ప్లేయర్ ఆఫ్ ది సిరీస్ అవార్డులు (3) ',' 36 వ అత్యంత కెప్టెన్గా పోటీలు (34) ',' 18 వ వరుస మ్యాచ్లు ఒక జట్టు కెప్టెన్గా (31) ',' 45 వ పిన్న కాప్టెన్ (25y 279d) ']</v>
      </c>
      <c r="E7622" s="2" t="s">
        <v>4371</v>
      </c>
      <c r="F7622" s="2" t="str">
        <f>IFERROR(__xludf.DUMMYFUNCTION("IF(E7622&lt;&gt;"""", GOOGLETRANSLATE(E7622, ""en"", ""te""),"""")"),"[ '39 వ ఒక క్యాలెండర్ సంవత్సరంలో అత్యధిక పరుగులు (1244)', 'ఇన్నింగ్స్ లో 7 వ అత్యధిక పరుగులు (బ్యాటింగ్ స్థానంలో ప్రకారం) (139 *)', '40 వ పరాజయం వైపు ఒక మ్యాచ్లో అత్యధిక పరుగులు (139 *)', ' 45 వ చాల వరకు ఒక సిరీస్లో ఒక కెప్టెన్తో పరుగులు (339) ',' ఒక కెప"&amp;"్టెన్తో ఇన్నింగ్స్ లో 30 వ అత్యధిక పరుగులు (139 *) ',' 38 వ అత్యధిక తొలి వంద (139 *) ',' 34 వ కెరీర్ తొంభైల (4) ',' 45 వ అత్యధిక కెరీర్ లో కెరీర్ లో ఒక ఇన్నింగ్స్ లో ఒక ఇన్నింగ్స్ లో బాతులు (15) ',' 46 వ ఎక్కువ సిక్స్ (89) ',' 22 వ ఎక్కువ సిక్స్ (10) ','"&amp;" 26 'బెస్ట్ ఫిగర్స్ (6/20)', '14 వ అత్యుత్తమ ఇన్నింగ్స్ లో బౌలింగ్ విశ్లేషణలు (6/20)', 'ఒక కెప్టెన్తో ఒక ఇన్నింగ్స్ లో 26 వ బెస్ట్ ఫిగర్స్ (4)', '48 వ బెస్ట్ ఆర్థిక వ్యవస్థ ఇన్నింగ్స్లో రేటు (1.00)', '12 వ ఉత్తమ సమ్మె ఒక రేటు తొమ్మిదవ వికెట్కు ఇన్నింగ్స్ "&amp;"(6.0) ',' ఐదు వికెట్ల లో-ఒక-ఇన్నింగ్స్ 9 వ అత్యధిక భాగస్వామ్యాలు వికెట్ తేడాతో పడుతుంది 39 వ పిన్న ఆటగాడు (22y 102d) ',' (9) ',' 1 వ అత్యధిక భాగస్వామ్యం (132) ' , '17 వ అత్యధిక మ్యాచ్లు కెప్టెన్గా (106)', ఒక జట్టు కెప్టెన్గా '17 వ వరుస మ్యాచ్లు (47' పదవ వ"&amp;"ికెట్ను (46) కోసం 49 వ అత్యధిక భాగస్వామ్యం ' ) ',' 44th పిన్న కాప్టెన్ (25y 63d) ']")</f>
        <v>[ '39 వ ఒక క్యాలెండర్ సంవత్సరంలో అత్యధిక పరుగులు (1244)', 'ఇన్నింగ్స్ లో 7 వ అత్యధిక పరుగులు (బ్యాటింగ్ స్థానంలో ప్రకారం) (139 *)', '40 వ పరాజయం వైపు ఒక మ్యాచ్లో అత్యధిక పరుగులు (139 *)', ' 45 వ చాల వరకు ఒక సిరీస్లో ఒక కెప్టెన్తో పరుగులు (339) ',' ఒక కెప్టెన్తో ఇన్నింగ్స్ లో 30 వ అత్యధిక పరుగులు (139 *) ',' 38 వ అత్యధిక తొలి వంద (139 *) ',' 34 వ కెరీర్ తొంభైల (4) ',' 45 వ అత్యధిక కెరీర్ లో కెరీర్ లో ఒక ఇన్నింగ్స్ లో ఒక ఇన్నింగ్స్ లో బాతులు (15) ',' 46 వ ఎక్కువ సిక్స్ (89) ',' 22 వ ఎక్కువ సిక్స్ (10) ',' 26 'బెస్ట్ ఫిగర్స్ (6/20)', '14 వ అత్యుత్తమ ఇన్నింగ్స్ లో బౌలింగ్ విశ్లేషణలు (6/20)', 'ఒక కెప్టెన్తో ఒక ఇన్నింగ్స్ లో 26 వ బెస్ట్ ఫిగర్స్ (4)', '48 వ బెస్ట్ ఆర్థిక వ్యవస్థ ఇన్నింగ్స్లో రేటు (1.00)', '12 వ ఉత్తమ సమ్మె ఒక రేటు తొమ్మిదవ వికెట్కు ఇన్నింగ్స్ (6.0) ',' ఐదు వికెట్ల లో-ఒక-ఇన్నింగ్స్ 9 వ అత్యధిక భాగస్వామ్యాలు వికెట్ తేడాతో పడుతుంది 39 వ పిన్న ఆటగాడు (22y 102d) ',' (9) ',' 1 వ అత్యధిక భాగస్వామ్యం (132) ' , '17 వ అత్యధిక మ్యాచ్లు కెప్టెన్గా (106)', ఒక జట్టు కెప్టెన్గా '17 వ వరుస మ్యాచ్లు (47' పదవ వికెట్ను (46) కోసం 49 వ అత్యధిక భాగస్వామ్యం ' ) ',' 44th పిన్న కాప్టెన్ (25y 63d) ']</v>
      </c>
      <c r="G7622" s="2" t="s">
        <v>4372</v>
      </c>
      <c r="H7622" s="2" t="str">
        <f>IFERROR(__xludf.DUMMYFUNCTION("IF(G7622&lt;&gt;"""", GOOGLETRANSLATE(G7622, ""en"", ""te""),"""")"),"[ 'ఇన్నింగ్స్ లో 9 వ అత్యధిక పరుగులు (బ్యాటింగ్ స్థానంలో ప్రకారం) (81 *)', '35 వ పరాజయం వైపు (81 *) ఒక మ్యాచ్లో అత్యధిక పరుగులు', 'ఇన్నింగ్స్ లో 37 వ అత్యధిక స్ట్రైక్ రేట్ (284.61)', ' 2 వ అత్యంత ఇన్నింగ్స్ ముందు మొదటి డక్ (56) ',' 9 వ వరుస ఒక డక్ లేకుం"&amp;"డా ఇన్నింగ్స్ కెరీర్లో (56) ',' 7 వ అతి తక్కువ బాతులు (63) ',' 39 వ ఒక ఇన్నింగ్స్లో పరుగుల అత్యధిక శాతం (57.04) ', '43 వ ఉత్తమ కెరీర్ ఆర్థిక రేటు (6.99)', '14 వ చెత్త కెరీర్ బౌలింగ్ సరాసరి (31.57)', '8 వ చెత్త కెరీర్లో సమ్మె రేటు (27.0)', '31 కెరీర్లో బౌల"&amp;"్డ్ చాలా బంతుల్లో (1029)', '28th అత్యధిక పరుగులు సాధించిన కెరీర్లో (1200) ',' 48 వ అత్యధిక వికెట్లు బౌల్డ్ (10) ',' 32 వ అత్యధిక వికెట్లు తీసుకున్న ఎల్బిడబ్ల్యు తీసుకున్న (5) ',' 44 వ కెరీర్ లో అత్యధిక క్యాచ్లు (24) ',' ఐదవ వికెట్కు 19 అత్యధిక భాగస్వామ్యం"&amp;" (80 ) ',' ఎనిమిదవ వికెట్ (39 *) ',' తొమ్మిదవ వికెట్కు 13 వ అత్యధిక భాగస్వామ్యం (39 *) 28 అత్యధిక భాగస్వామ్యం ',' 25 వ కెరీర్ లో అత్యధిక మ్యాచ్లు (78) ',' 4 వ అత్యధిక వరుస జట్టు మ్యాచ్లు (55) ',' 42 వ లాంగెస్ట్ కెరీర్లు (11y 272d) ',' 50 వ కెప్టెన్గా అత్య"&amp;"ధిక మ్యాచ్లు (16) ',' 31 పిన్న కాప్టెన్ (25y 1D) ',' ఒక జట్టు కెప్టెన్గా 17 వ వరుస మ్యాచ్లు (47) ',' 10 వ కెరీర్ (4) అత్యంత పనికత్తెలయొద్ద ']")</f>
        <v>[ 'ఇన్నింగ్స్ లో 9 వ అత్యధిక పరుగులు (బ్యాటింగ్ స్థానంలో ప్రకారం) (81 *)', '35 వ పరాజయం వైపు (81 *) ఒక మ్యాచ్లో అత్యధిక పరుగులు', 'ఇన్నింగ్స్ లో 37 వ అత్యధిక స్ట్రైక్ రేట్ (284.61)', ' 2 వ అత్యంత ఇన్నింగ్స్ ముందు మొదటి డక్ (56) ',' 9 వ వరుస ఒక డక్ లేకుండా ఇన్నింగ్స్ కెరీర్లో (56) ',' 7 వ అతి తక్కువ బాతులు (63) ',' 39 వ ఒక ఇన్నింగ్స్లో పరుగుల అత్యధిక శాతం (57.04) ', '43 వ ఉత్తమ కెరీర్ ఆర్థిక రేటు (6.99)', '14 వ చెత్త కెరీర్ బౌలింగ్ సరాసరి (31.57)', '8 వ చెత్త కెరీర్లో సమ్మె రేటు (27.0)', '31 కెరీర్లో బౌల్డ్ చాలా బంతుల్లో (1029)', '28th అత్యధిక పరుగులు సాధించిన కెరీర్లో (1200) ',' 48 వ అత్యధిక వికెట్లు బౌల్డ్ (10) ',' 32 వ అత్యధిక వికెట్లు తీసుకున్న ఎల్బిడబ్ల్యు తీసుకున్న (5) ',' 44 వ కెరీర్ లో అత్యధిక క్యాచ్లు (24) ',' ఐదవ వికెట్కు 19 అత్యధిక భాగస్వామ్యం (80 ) ',' ఎనిమిదవ వికెట్ (39 *) ',' తొమ్మిదవ వికెట్కు 13 వ అత్యధిక భాగస్వామ్యం (39 *) 28 అత్యధిక భాగస్వామ్యం ',' 25 వ కెరీర్ లో అత్యధిక మ్యాచ్లు (78) ',' 4 వ అత్యధిక వరుస జట్టు మ్యాచ్లు (55) ',' 42 వ లాంగెస్ట్ కెరీర్లు (11y 272d) ',' 50 వ కెప్టెన్గా అత్యధిక మ్యాచ్లు (16) ',' 31 పిన్న కాప్టెన్ (25y 1D) ',' ఒక జట్టు కెప్టెన్గా 17 వ వరుస మ్యాచ్లు (47) ',' 10 వ కెరీర్ (4) అత్యంత పనికత్తెలయొద్ద ']</v>
      </c>
      <c r="I7622" s="3"/>
    </row>
    <row r="7623" customHeight="1" spans="1:9">
      <c r="A7623" s="2"/>
      <c r="B7623" s="2" t="str">
        <f>IFERROR(__xludf.DUMMYFUNCTION("IF(A7623&lt;&gt;"""", GOOGLETRANSLATE(A7623, ""en"", ""te""),"""")"),"")</f>
        <v/>
      </c>
      <c r="C7623" s="2"/>
      <c r="D7623" s="2" t="str">
        <f>IFERROR(__xludf.DUMMYFUNCTION("IF(C7623&lt;&gt;"""", GOOGLETRANSLATE(C7623, ""en"", ""te""),"""")"),"")</f>
        <v/>
      </c>
      <c r="E7623" s="2" t="s">
        <v>4373</v>
      </c>
      <c r="F7623" s="2" t="str">
        <f>IFERROR(__xludf.DUMMYFUNCTION("IF(E7623&lt;&gt;"""", GOOGLETRANSLATE(E7623, ""en"", ""te""),"""")"),"[ '17 వ ఉత్తమ కెరీర్ బౌలింగ్ సరాసరి (అర్హత లేకుండా) (8.66)']")</f>
        <v>[ '17 వ ఉత్తమ కెరీర్ బౌలింగ్ సరాసరి (అర్హత లేకుండా) (8.66)']</v>
      </c>
      <c r="G7623" s="2"/>
      <c r="H7623" s="2" t="str">
        <f>IFERROR(__xludf.DUMMYFUNCTION("IF(G7623&lt;&gt;"""", GOOGLETRANSLATE(G7623, ""en"", ""te""),"""")"),"")</f>
        <v/>
      </c>
      <c r="I7623" s="3"/>
    </row>
    <row r="7624" customHeight="1" spans="1:9">
      <c r="A7624" s="2" t="s">
        <v>4374</v>
      </c>
      <c r="B7624" s="2" t="str">
        <f>IFERROR(__xludf.DUMMYFUNCTION("IF(A7624&lt;&gt;"""", GOOGLETRANSLATE(A7624, ""en"", ""te""),"""")"),"[ '9 వ చెత్త కెరీర్ బౌలింగ్ సరాసరి (65.24)', '1000 పరుగులు మరియు 100 వికెట్లు', 'ఇన్నింగ్స్ (3/3) 3 వ అత్యుత్తమ బౌలింగ్ విశ్లేషణ నిర్వహిస్తారు' '6 వ వరుస మ్యాచ్లు ప్రదర్శనల మధ్య బృందం (72) కోసం తప్పిన' ]")</f>
        <v>[ '9 వ చెత్త కెరీర్ బౌలింగ్ సరాసరి (65.24)', '1000 పరుగులు మరియు 100 వికెట్లు', 'ఇన్నింగ్స్ (3/3) 3 వ అత్యుత్తమ బౌలింగ్ విశ్లేషణ నిర్వహిస్తారు' '6 వ వరుస మ్యాచ్లు ప్రదర్శనల మధ్య బృందం (72) కోసం తప్పిన' ]</v>
      </c>
      <c r="C7624" s="2" t="s">
        <v>4375</v>
      </c>
      <c r="D7624" s="2" t="str">
        <f>IFERROR(__xludf.DUMMYFUNCTION("IF(C7624&lt;&gt;"""", GOOGLETRANSLATE(C7624, ""en"", ""te""),"""")"),"[ 'మొదటి డక్ ముందు 42 వ అత్యంత ఇన్నింగ్స్ (32)', 'సగటు (65.24) బౌలింగ్ 9 చెత్త జీవితం' '31 చెత్త కెరీర్లో సమ్మె రేటు (117.6)']")</f>
        <v>[ 'మొదటి డక్ ముందు 42 వ అత్యంత ఇన్నింగ్స్ (32)', 'సగటు (65.24) బౌలింగ్ 9 చెత్త జీవితం' '31 చెత్త కెరీర్లో సమ్మె రేటు (117.6)']</v>
      </c>
      <c r="E7624" s="2" t="s">
        <v>4376</v>
      </c>
      <c r="F7624" s="2" t="str">
        <f>IFERROR(__xludf.DUMMYFUNCTION("IF(E7624&lt;&gt;"""", GOOGLETRANSLATE(E7624, ""en"", ""te""),"""")"),"[ '13 వ అత్యధిక ఇన్నింగ్స్ లో సమ్మె రేటు (300.00)', '16 వ ఇన్నింగ్స్ లో బెస్ట్ ఫిగర్స్ (6/14)', ఒక '36 వ ఉత్తమ ఆర్థిక రేటు' 3 వ అత్యుత్తమ బౌలింగ్ ఇన్నింగ్స్ (3/3) విశ్లేషణలలో ' ఇన్నింగ్స్ (0.90) ',' 43 వ అత్యంత ఐదు-వికెట్ల లో-ఒక-ఇన్నింగ్స్ కెరీర్లో (2) ',"&amp;"' ఐదు వికెట్ల లో-ఒక-ఇన్నింగ్స్ తీసుకోవాలని 36 వ పిన్న వయస్కుడిగా నిలిచాడు (22y 37d) ',' 15 వ బౌలర్ / ఫీల్డర్ కలయికలు (36) ']")</f>
        <v>[ '13 వ అత్యధిక ఇన్నింగ్స్ లో సమ్మె రేటు (300.00)', '16 వ ఇన్నింగ్స్ లో బెస్ట్ ఫిగర్స్ (6/14)', ఒక '36 వ ఉత్తమ ఆర్థిక రేటు' 3 వ అత్యుత్తమ బౌలింగ్ ఇన్నింగ్స్ (3/3) విశ్లేషణలలో ' ఇన్నింగ్స్ (0.90) ',' 43 వ అత్యంత ఐదు-వికెట్ల లో-ఒక-ఇన్నింగ్స్ కెరీర్లో (2) ',' ఐదు వికెట్ల లో-ఒక-ఇన్నింగ్స్ తీసుకోవాలని 36 వ పిన్న వయస్కుడిగా నిలిచాడు (22y 37d) ',' 15 వ బౌలర్ / ఫీల్డర్ కలయికలు (36) ']</v>
      </c>
      <c r="G7624" s="2" t="s">
        <v>4377</v>
      </c>
      <c r="H7624" s="2" t="str">
        <f>IFERROR(__xludf.DUMMYFUNCTION("IF(G7624&lt;&gt;"""", GOOGLETRANSLATE(G7624, ""en"", ""te""),"""")"),"[ '6 వ వరుస మ్యాచ్లు ఆడి మధ్య జట్టుకు దూరమయ్యాడు (72)', 'ప్రదర్శనలు (7y 266d) మధ్య 10 వ లాంగెస్ట్ వ్యవధిలో']")</f>
        <v>[ '6 వ వరుస మ్యాచ్లు ఆడి మధ్య జట్టుకు దూరమయ్యాడు (72)', 'ప్రదర్శనలు (7y 266d) మధ్య 10 వ లాంగెస్ట్ వ్యవధిలో']</v>
      </c>
      <c r="I7624" s="3"/>
    </row>
    <row r="7625" customHeight="1" spans="1:9">
      <c r="A7625" s="2"/>
      <c r="B7625" s="2" t="str">
        <f>IFERROR(__xludf.DUMMYFUNCTION("IF(A7625&lt;&gt;"""", GOOGLETRANSLATE(A7625, ""en"", ""te""),"""")"),"")</f>
        <v/>
      </c>
      <c r="C7625" s="2"/>
      <c r="D7625" s="2" t="str">
        <f>IFERROR(__xludf.DUMMYFUNCTION("IF(C7625&lt;&gt;"""", GOOGLETRANSLATE(C7625, ""en"", ""te""),"""")"),"")</f>
        <v/>
      </c>
      <c r="E7625" s="2"/>
      <c r="F7625" s="2" t="str">
        <f>IFERROR(__xludf.DUMMYFUNCTION("IF(E7625&lt;&gt;"""", GOOGLETRANSLATE(E7625, ""en"", ""te""),"""")"),"")</f>
        <v/>
      </c>
      <c r="G7625" s="2"/>
      <c r="H7625" s="2" t="str">
        <f>IFERROR(__xludf.DUMMYFUNCTION("IF(G7625&lt;&gt;"""", GOOGLETRANSLATE(G7625, ""en"", ""te""),"""")"),"")</f>
        <v/>
      </c>
      <c r="I7625" s="3"/>
    </row>
    <row r="7626" customHeight="1" spans="1:9">
      <c r="A7626" s="2"/>
      <c r="B7626" s="2" t="str">
        <f>IFERROR(__xludf.DUMMYFUNCTION("IF(A7626&lt;&gt;"""", GOOGLETRANSLATE(A7626, ""en"", ""te""),"""")"),"")</f>
        <v/>
      </c>
      <c r="C7626" s="2"/>
      <c r="D7626" s="2" t="str">
        <f>IFERROR(__xludf.DUMMYFUNCTION("IF(C7626&lt;&gt;"""", GOOGLETRANSLATE(C7626, ""en"", ""te""),"""")"),"")</f>
        <v/>
      </c>
      <c r="E7626" s="2"/>
      <c r="F7626" s="2" t="str">
        <f>IFERROR(__xludf.DUMMYFUNCTION("IF(E7626&lt;&gt;"""", GOOGLETRANSLATE(E7626, ""en"", ""te""),"""")"),"")</f>
        <v/>
      </c>
      <c r="G7626" s="2"/>
      <c r="H7626" s="2" t="str">
        <f>IFERROR(__xludf.DUMMYFUNCTION("IF(G7626&lt;&gt;"""", GOOGLETRANSLATE(G7626, ""en"", ""te""),"""")"),"")</f>
        <v/>
      </c>
      <c r="I7626" s="3"/>
    </row>
    <row r="7627" customHeight="1" spans="1:9">
      <c r="A7627" s="2"/>
      <c r="B7627" s="2" t="str">
        <f>IFERROR(__xludf.DUMMYFUNCTION("IF(A7627&lt;&gt;"""", GOOGLETRANSLATE(A7627, ""en"", ""te""),"""")"),"")</f>
        <v/>
      </c>
      <c r="C7627" s="2"/>
      <c r="D7627" s="2" t="str">
        <f>IFERROR(__xludf.DUMMYFUNCTION("IF(C7627&lt;&gt;"""", GOOGLETRANSLATE(C7627, ""en"", ""te""),"""")"),"")</f>
        <v/>
      </c>
      <c r="E7627" s="2"/>
      <c r="F7627" s="2" t="str">
        <f>IFERROR(__xludf.DUMMYFUNCTION("IF(E7627&lt;&gt;"""", GOOGLETRANSLATE(E7627, ""en"", ""te""),"""")"),"")</f>
        <v/>
      </c>
      <c r="G7627" s="2"/>
      <c r="H7627" s="2" t="str">
        <f>IFERROR(__xludf.DUMMYFUNCTION("IF(G7627&lt;&gt;"""", GOOGLETRANSLATE(G7627, ""en"", ""te""),"""")"),"")</f>
        <v/>
      </c>
      <c r="I7627" s="3"/>
    </row>
    <row r="7628" customHeight="1" spans="1:9">
      <c r="A7628" s="2" t="s">
        <v>4378</v>
      </c>
      <c r="B7628" s="2" t="str">
        <f>IFERROR(__xludf.DUMMYFUNCTION("IF(A7628&lt;&gt;"""", GOOGLETRANSLATE(A7628, ""en"", ""te""),"""")"),"[ '4 వ అత్యధిక వరుస బాతులు (4)', 'ఇన్నింగ్స్ లో 9 వ అత్యధిక స్ట్రైక్ రేట్ (311.11)', '6 వ అత్యధిక వరుస బాతులు (3)']")</f>
        <v>[ '4 వ అత్యధిక వరుస బాతులు (4)', 'ఇన్నింగ్స్ లో 9 వ అత్యధిక స్ట్రైక్ రేట్ (311.11)', '6 వ అత్యధిక వరుస బాతులు (3)']</v>
      </c>
      <c r="C7628" s="2" t="s">
        <v>4379</v>
      </c>
      <c r="D7628" s="2" t="str">
        <f>IFERROR(__xludf.DUMMYFUNCTION("IF(C7628&lt;&gt;"""", GOOGLETRANSLATE(C7628, ""en"", ""te""),"""")"),"[ '4 వ అత్యధిక వరుస బాతులు (4)', 'రెండవ వికెట్కు 16 అత్యధిక భాగస్వామ్యం (308)', 'నాలుగవ వికెట్కు 28 అత్యధిక భాగస్వామ్యం (274 *)']")</f>
        <v>[ '4 వ అత్యధిక వరుస బాతులు (4)', 'రెండవ వికెట్కు 16 అత్యధిక భాగస్వామ్యం (308)', 'నాలుగవ వికెట్కు 28 అత్యధిక భాగస్వామ్యం (274 *)']</v>
      </c>
      <c r="E7628" s="2" t="s">
        <v>4380</v>
      </c>
      <c r="F7628" s="2" t="str">
        <f>IFERROR(__xludf.DUMMYFUNCTION("IF(E7628&lt;&gt;"""", GOOGLETRANSLATE(E7628, ""en"", ""te""),"""")"),"[ 'ఇన్నింగ్స్ లో 9 వ అత్యధిక స్ట్రైక్ రేట్ (311.11)', '6 వ అత్యధిక వరుస బాతులు (3)', '36 వ 1000 పరుగులు (28) వేగంగా']")</f>
        <v>[ 'ఇన్నింగ్స్ లో 9 వ అత్యధిక స్ట్రైక్ రేట్ (311.11)', '6 వ అత్యధిక వరుస బాతులు (3)', '36 వ 1000 పరుగులు (28) వేగంగా']</v>
      </c>
      <c r="G7628" s="2" t="s">
        <v>4381</v>
      </c>
      <c r="H7628" s="2" t="str">
        <f>IFERROR(__xludf.DUMMYFUNCTION("IF(G7628&lt;&gt;"""", GOOGLETRANSLATE(G7628, ""en"", ""te""),"""")"),"[ '43 వ పరాజయం వైపు ఒక మ్యాచ్లో అత్యధిక పరుగులు (79)', '40 వ అత్యంత ఇన్నింగ్స్ తొలి డక్ ముందు (17)']")</f>
        <v>[ '43 వ పరాజయం వైపు ఒక మ్యాచ్లో అత్యధిక పరుగులు (79)', '40 వ అత్యంత ఇన్నింగ్స్ తొలి డక్ ముందు (17)']</v>
      </c>
      <c r="I7628" s="3"/>
    </row>
    <row r="7629" customHeight="1" spans="1:9">
      <c r="A7629" s="2"/>
      <c r="B7629" s="2" t="str">
        <f>IFERROR(__xludf.DUMMYFUNCTION("IF(A7629&lt;&gt;"""", GOOGLETRANSLATE(A7629, ""en"", ""te""),"""")"),"")</f>
        <v/>
      </c>
      <c r="C7629" s="2"/>
      <c r="D7629" s="2" t="str">
        <f>IFERROR(__xludf.DUMMYFUNCTION("IF(C7629&lt;&gt;"""", GOOGLETRANSLATE(C7629, ""en"", ""te""),"""")"),"")</f>
        <v/>
      </c>
      <c r="E7629" s="2"/>
      <c r="F7629" s="2" t="str">
        <f>IFERROR(__xludf.DUMMYFUNCTION("IF(E7629&lt;&gt;"""", GOOGLETRANSLATE(E7629, ""en"", ""te""),"""")"),"")</f>
        <v/>
      </c>
      <c r="G7629" s="2"/>
      <c r="H7629" s="2" t="str">
        <f>IFERROR(__xludf.DUMMYFUNCTION("IF(G7629&lt;&gt;"""", GOOGLETRANSLATE(G7629, ""en"", ""te""),"""")"),"")</f>
        <v/>
      </c>
      <c r="I7629" s="3"/>
    </row>
    <row r="7630" customHeight="1" spans="1:9">
      <c r="A7630" s="2"/>
      <c r="B7630" s="2" t="str">
        <f>IFERROR(__xludf.DUMMYFUNCTION("IF(A7630&lt;&gt;"""", GOOGLETRANSLATE(A7630, ""en"", ""te""),"""")"),"")</f>
        <v/>
      </c>
      <c r="C7630" s="2"/>
      <c r="D7630" s="2" t="str">
        <f>IFERROR(__xludf.DUMMYFUNCTION("IF(C7630&lt;&gt;"""", GOOGLETRANSLATE(C7630, ""en"", ""te""),"""")"),"")</f>
        <v/>
      </c>
      <c r="E7630" s="2"/>
      <c r="F7630" s="2" t="str">
        <f>IFERROR(__xludf.DUMMYFUNCTION("IF(E7630&lt;&gt;"""", GOOGLETRANSLATE(E7630, ""en"", ""te""),"""")"),"")</f>
        <v/>
      </c>
      <c r="G7630" s="2"/>
      <c r="H7630" s="2" t="str">
        <f>IFERROR(__xludf.DUMMYFUNCTION("IF(G7630&lt;&gt;"""", GOOGLETRANSLATE(G7630, ""en"", ""te""),"""")"),"")</f>
        <v/>
      </c>
      <c r="I7630" s="3"/>
    </row>
    <row r="7631" customHeight="1" spans="1:9">
      <c r="A7631" s="2"/>
      <c r="B7631" s="2" t="str">
        <f>IFERROR(__xludf.DUMMYFUNCTION("IF(A7631&lt;&gt;"""", GOOGLETRANSLATE(A7631, ""en"", ""te""),"""")"),"")</f>
        <v/>
      </c>
      <c r="C7631" s="2"/>
      <c r="D7631" s="2" t="str">
        <f>IFERROR(__xludf.DUMMYFUNCTION("IF(C7631&lt;&gt;"""", GOOGLETRANSLATE(C7631, ""en"", ""te""),"""")"),"")</f>
        <v/>
      </c>
      <c r="E7631" s="2"/>
      <c r="F7631" s="2" t="str">
        <f>IFERROR(__xludf.DUMMYFUNCTION("IF(E7631&lt;&gt;"""", GOOGLETRANSLATE(E7631, ""en"", ""te""),"""")"),"")</f>
        <v/>
      </c>
      <c r="G7631" s="2"/>
      <c r="H7631" s="2" t="str">
        <f>IFERROR(__xludf.DUMMYFUNCTION("IF(G7631&lt;&gt;"""", GOOGLETRANSLATE(G7631, ""en"", ""te""),"""")"),"")</f>
        <v/>
      </c>
      <c r="I7631" s="3"/>
    </row>
    <row r="7632" customHeight="1" spans="1:9">
      <c r="A7632" s="2"/>
      <c r="B7632" s="2" t="str">
        <f>IFERROR(__xludf.DUMMYFUNCTION("IF(A7632&lt;&gt;"""", GOOGLETRANSLATE(A7632, ""en"", ""te""),"""")"),"")</f>
        <v/>
      </c>
      <c r="C7632" s="2"/>
      <c r="D7632" s="2" t="str">
        <f>IFERROR(__xludf.DUMMYFUNCTION("IF(C7632&lt;&gt;"""", GOOGLETRANSLATE(C7632, ""en"", ""te""),"""")"),"")</f>
        <v/>
      </c>
      <c r="E7632" s="2"/>
      <c r="F7632" s="2" t="str">
        <f>IFERROR(__xludf.DUMMYFUNCTION("IF(E7632&lt;&gt;"""", GOOGLETRANSLATE(E7632, ""en"", ""te""),"""")"),"")</f>
        <v/>
      </c>
      <c r="G7632" s="2"/>
      <c r="H7632" s="2" t="str">
        <f>IFERROR(__xludf.DUMMYFUNCTION("IF(G7632&lt;&gt;"""", GOOGLETRANSLATE(G7632, ""en"", ""te""),"""")"),"")</f>
        <v/>
      </c>
      <c r="I7632" s="3"/>
    </row>
    <row r="7633" customHeight="1" spans="1:9">
      <c r="A7633" s="2" t="s">
        <v>4382</v>
      </c>
      <c r="B7633" s="2" t="str">
        <f>IFERROR(__xludf.DUMMYFUNCTION("IF(A7633&lt;&gt;"""", GOOGLETRANSLATE(A7633, ""en"", ""te""),"""")"),"[ '1st చాలా ఒక మ్యాచ్ రిఫరీ (199) వంటి ఆటలకు]")</f>
        <v>[ '1st చాలా ఒక మ్యాచ్ రిఫరీ (199) వంటి ఆటలకు]</v>
      </c>
      <c r="C7633" s="2" t="s">
        <v>4382</v>
      </c>
      <c r="D7633" s="2" t="str">
        <f>IFERROR(__xludf.DUMMYFUNCTION("IF(C7633&lt;&gt;"""", GOOGLETRANSLATE(C7633, ""en"", ""te""),"""")"),"[ '1st చాలా ఒక మ్యాచ్ రిఫరీ (199) వంటి ఆటలకు]")</f>
        <v>[ '1st చాలా ఒక మ్యాచ్ రిఫరీ (199) వంటి ఆటలకు]</v>
      </c>
      <c r="E7633" s="2" t="s">
        <v>4383</v>
      </c>
      <c r="F7633" s="2" t="str">
        <f>IFERROR(__xludf.DUMMYFUNCTION("IF(E7633&lt;&gt;"""", GOOGLETRANSLATE(E7633, ""en"", ""te""),"""")"),"[ '1st చాలా ఒక మ్యాచ్ రిఫరీ (363) వంటి ఆటలకు]")</f>
        <v>[ '1st చాలా ఒక మ్యాచ్ రిఫరీ (363) వంటి ఆటలకు]</v>
      </c>
      <c r="G7633" s="2" t="s">
        <v>4384</v>
      </c>
      <c r="H7633" s="2" t="str">
        <f>IFERROR(__xludf.DUMMYFUNCTION("IF(G7633&lt;&gt;"""", GOOGLETRANSLATE(G7633, ""en"", ""te""),"""")"),"[ '3 వ భాగం ఒక మ్యాచ్ రిఫరీ (107) వంటి ఆటలకు]")</f>
        <v>[ '3 వ భాగం ఒక మ్యాచ్ రిఫరీ (107) వంటి ఆటలకు]</v>
      </c>
      <c r="I7633" s="3"/>
    </row>
    <row r="7634" customHeight="1" spans="1:9">
      <c r="A7634" s="2" t="s">
        <v>4385</v>
      </c>
      <c r="B7634" s="2" t="str">
        <f>IFERROR(__xludf.DUMMYFUNCTION("IF(A7634&lt;&gt;"""", GOOGLETRANSLATE(A7634, ""en"", ""te""),"""")"),"[ 'హండ్రెడ్ ఒక మ్యాచ్లో ప్రతి ఇన్నింగ్స్లో', 'హండ్రెడ్ మరియు ఒక మ్యాచ్లో తొంభై', '9 వ వరుస అన్ని టాస్ గెలిచిన (3)']")</f>
        <v>[ 'హండ్రెడ్ ఒక మ్యాచ్లో ప్రతి ఇన్నింగ్స్లో', 'హండ్రెడ్ మరియు ఒక మ్యాచ్లో తొంభై', '9 వ వరుస అన్ని టాస్ గెలిచిన (3)']</v>
      </c>
      <c r="C7634" s="2" t="s">
        <v>4386</v>
      </c>
      <c r="D7634" s="2" t="str">
        <f>IFERROR(__xludf.DUMMYFUNCTION("IF(C7634&lt;&gt;"""", GOOGLETRANSLATE(C7634, ""en"", ""te""),"""")"),"[ '33 వ వరుస (3) లో అన్ని టాస్ గెలిచి']")</f>
        <v>[ '33 వ వరుస (3) లో అన్ని టాస్ గెలిచి']</v>
      </c>
      <c r="E7634" s="2" t="s">
        <v>4387</v>
      </c>
      <c r="F7634" s="2" t="str">
        <f>IFERROR(__xludf.DUMMYFUNCTION("IF(E7634&lt;&gt;"""", GOOGLETRANSLATE(E7634, ""en"", ""te""),"""")"),"[ '39 వ అత్యంత వంద (1527) లేకుండా ఒక వృత్తిలో పరుగులు' '48 వ కెప్టెన్గా అత్యధిక మ్యాచ్లు (61)', 'ఒక జట్టు కెప్టెన్గా 9 వ వరుస మ్యాచ్లు (60)', '9 వ వరుస అన్ని టాస్ గెలిచి (3) ']")</f>
        <v>[ '39 వ అత్యంత వంద (1527) లేకుండా ఒక వృత్తిలో పరుగులు' '48 వ కెప్టెన్గా అత్యధిక మ్యాచ్లు (61)', 'ఒక జట్టు కెప్టెన్గా 9 వ వరుస మ్యాచ్లు (60)', '9 వ వరుస అన్ని టాస్ గెలిచి (3) ']</v>
      </c>
      <c r="G7634" s="2" t="s">
        <v>4388</v>
      </c>
      <c r="H7634" s="2" t="str">
        <f>IFERROR(__xludf.DUMMYFUNCTION("IF(G7634&lt;&gt;"""", GOOGLETRANSLATE(G7634, ""en"", ""te""),"""")"),"[ 'బృందం (60) కెప్టెన్ గా 9 వ వరుస మ్యాచ్లు']")</f>
        <v>[ 'బృందం (60) కెప్టెన్ గా 9 వ వరుస మ్యాచ్లు']</v>
      </c>
      <c r="I7634" s="3"/>
    </row>
    <row r="7635" customHeight="1" spans="1:9">
      <c r="A7635" s="2"/>
      <c r="B7635" s="2" t="str">
        <f>IFERROR(__xludf.DUMMYFUNCTION("IF(A7635&lt;&gt;"""", GOOGLETRANSLATE(A7635, ""en"", ""te""),"""")"),"")</f>
        <v/>
      </c>
      <c r="C7635" s="2"/>
      <c r="D7635" s="2" t="str">
        <f>IFERROR(__xludf.DUMMYFUNCTION("IF(C7635&lt;&gt;"""", GOOGLETRANSLATE(C7635, ""en"", ""te""),"""")"),"")</f>
        <v/>
      </c>
      <c r="E7635" s="2"/>
      <c r="F7635" s="2" t="str">
        <f>IFERROR(__xludf.DUMMYFUNCTION("IF(E7635&lt;&gt;"""", GOOGLETRANSLATE(E7635, ""en"", ""te""),"""")"),"")</f>
        <v/>
      </c>
      <c r="G7635" s="2"/>
      <c r="H7635" s="2" t="str">
        <f>IFERROR(__xludf.DUMMYFUNCTION("IF(G7635&lt;&gt;"""", GOOGLETRANSLATE(G7635, ""en"", ""te""),"""")"),"")</f>
        <v/>
      </c>
      <c r="I7635" s="3"/>
    </row>
    <row r="7636" customHeight="1" spans="1:9">
      <c r="A7636" s="2"/>
      <c r="B7636" s="2" t="str">
        <f>IFERROR(__xludf.DUMMYFUNCTION("IF(A7636&lt;&gt;"""", GOOGLETRANSLATE(A7636, ""en"", ""te""),"""")"),"")</f>
        <v/>
      </c>
      <c r="C7636" s="2"/>
      <c r="D7636" s="2" t="str">
        <f>IFERROR(__xludf.DUMMYFUNCTION("IF(C7636&lt;&gt;"""", GOOGLETRANSLATE(C7636, ""en"", ""te""),"""")"),"")</f>
        <v/>
      </c>
      <c r="E7636" s="2"/>
      <c r="F7636" s="2" t="str">
        <f>IFERROR(__xludf.DUMMYFUNCTION("IF(E7636&lt;&gt;"""", GOOGLETRANSLATE(E7636, ""en"", ""te""),"""")"),"")</f>
        <v/>
      </c>
      <c r="G7636" s="2"/>
      <c r="H7636" s="2" t="str">
        <f>IFERROR(__xludf.DUMMYFUNCTION("IF(G7636&lt;&gt;"""", GOOGLETRANSLATE(G7636, ""en"", ""te""),"""")"),"")</f>
        <v/>
      </c>
      <c r="I7636" s="3"/>
    </row>
    <row r="7637" customHeight="1" spans="1:9">
      <c r="A7637" s="2" t="s">
        <v>248</v>
      </c>
      <c r="B7637" s="2" t="str">
        <f>IFERROR(__xludf.DUMMYFUNCTION("IF(A7637&lt;&gt;"""", GOOGLETRANSLATE(A7637, ""en"", ""te""),"""")"),"[ '1st అత్యధిక వికెట్లు తీసిన హిట్ వికెట్ (1)']")</f>
        <v>[ '1st అత్యధిక వికెట్లు తీసిన హిట్ వికెట్ (1)']</v>
      </c>
      <c r="C7637" s="2"/>
      <c r="D7637" s="2" t="str">
        <f>IFERROR(__xludf.DUMMYFUNCTION("IF(C7637&lt;&gt;"""", GOOGLETRANSLATE(C7637, ""en"", ""te""),"""")"),"")</f>
        <v/>
      </c>
      <c r="E7637" s="2"/>
      <c r="F7637" s="2" t="str">
        <f>IFERROR(__xludf.DUMMYFUNCTION("IF(E7637&lt;&gt;"""", GOOGLETRANSLATE(E7637, ""en"", ""te""),"""")"),"")</f>
        <v/>
      </c>
      <c r="G7637" s="2" t="s">
        <v>4389</v>
      </c>
      <c r="H7637" s="2" t="str">
        <f>IFERROR(__xludf.DUMMYFUNCTION("IF(G7637&lt;&gt;"""", GOOGLETRANSLATE(G7637, ""en"", ""te""),"""")"),"[ '1st అత్యధిక వికెట్లు తీసిన హిట్ వికెట్ (1)', '20 వ వరుస మ్యాచ్లు ప్రదర్శనల మధ్య బృందం (49) కోసం తప్పిన']")</f>
        <v>[ '1st అత్యధిక వికెట్లు తీసిన హిట్ వికెట్ (1)', '20 వ వరుస మ్యాచ్లు ప్రదర్శనల మధ్య బృందం (49) కోసం తప్పిన']</v>
      </c>
      <c r="I7637" s="3"/>
    </row>
    <row r="7638" customHeight="1" spans="1:9">
      <c r="A7638" s="2"/>
      <c r="B7638" s="2" t="str">
        <f>IFERROR(__xludf.DUMMYFUNCTION("IF(A7638&lt;&gt;"""", GOOGLETRANSLATE(A7638, ""en"", ""te""),"""")"),"")</f>
        <v/>
      </c>
      <c r="C7638" s="2"/>
      <c r="D7638" s="2" t="str">
        <f>IFERROR(__xludf.DUMMYFUNCTION("IF(C7638&lt;&gt;"""", GOOGLETRANSLATE(C7638, ""en"", ""te""),"""")"),"")</f>
        <v/>
      </c>
      <c r="E7638" s="2"/>
      <c r="F7638" s="2" t="str">
        <f>IFERROR(__xludf.DUMMYFUNCTION("IF(E7638&lt;&gt;"""", GOOGLETRANSLATE(E7638, ""en"", ""te""),"""")"),"")</f>
        <v/>
      </c>
      <c r="G7638" s="2"/>
      <c r="H7638" s="2" t="str">
        <f>IFERROR(__xludf.DUMMYFUNCTION("IF(G7638&lt;&gt;"""", GOOGLETRANSLATE(G7638, ""en"", ""te""),"""")"),"")</f>
        <v/>
      </c>
      <c r="I7638" s="3"/>
    </row>
    <row r="7639" customHeight="1" spans="1:9">
      <c r="A7639" s="2" t="s">
        <v>4390</v>
      </c>
      <c r="B7639" s="2" t="str">
        <f>IFERROR(__xludf.DUMMYFUNCTION("IF(A7639&lt;&gt;"""", GOOGLETRANSLATE(A7639, ""en"", ""te""),"""")"),"[ 'మొదటి డక్ (26) ముందు 9 వ అత్యంత ఇన్నింగ్స్]")</f>
        <v>[ 'మొదటి డక్ (26) ముందు 9 వ అత్యంత ఇన్నింగ్స్]</v>
      </c>
      <c r="C7639" s="2"/>
      <c r="D7639" s="2" t="str">
        <f>IFERROR(__xludf.DUMMYFUNCTION("IF(C7639&lt;&gt;"""", GOOGLETRANSLATE(C7639, ""en"", ""te""),"""")"),"")</f>
        <v/>
      </c>
      <c r="E7639" s="2"/>
      <c r="F7639" s="2" t="str">
        <f>IFERROR(__xludf.DUMMYFUNCTION("IF(E7639&lt;&gt;"""", GOOGLETRANSLATE(E7639, ""en"", ""te""),"""")"),"")</f>
        <v/>
      </c>
      <c r="G7639" s="2" t="s">
        <v>4391</v>
      </c>
      <c r="H7639" s="2" t="str">
        <f>IFERROR(__xludf.DUMMYFUNCTION("IF(G7639&lt;&gt;"""", GOOGLETRANSLATE(G7639, ""en"", ""te""),"""")"),"[ 'మొదటి డక్ (26) ముందు 9 వ అత్యంత ఇన్నింగ్స్' '34 వ కెరీర్ బాతులు (5)']")</f>
        <v>[ 'మొదటి డక్ (26) ముందు 9 వ అత్యంత ఇన్నింగ్స్' '34 వ కెరీర్ బాతులు (5)']</v>
      </c>
      <c r="I7639" s="3"/>
    </row>
    <row r="7640" customHeight="1" spans="1:9">
      <c r="A7640" s="2"/>
      <c r="B7640" s="2" t="str">
        <f>IFERROR(__xludf.DUMMYFUNCTION("IF(A7640&lt;&gt;"""", GOOGLETRANSLATE(A7640, ""en"", ""te""),"""")"),"")</f>
        <v/>
      </c>
      <c r="C7640" s="2"/>
      <c r="D7640" s="2" t="str">
        <f>IFERROR(__xludf.DUMMYFUNCTION("IF(C7640&lt;&gt;"""", GOOGLETRANSLATE(C7640, ""en"", ""te""),"""")"),"")</f>
        <v/>
      </c>
      <c r="E7640" s="2"/>
      <c r="F7640" s="2" t="str">
        <f>IFERROR(__xludf.DUMMYFUNCTION("IF(E7640&lt;&gt;"""", GOOGLETRANSLATE(E7640, ""en"", ""te""),"""")"),"")</f>
        <v/>
      </c>
      <c r="G7640" s="2"/>
      <c r="H7640" s="2" t="str">
        <f>IFERROR(__xludf.DUMMYFUNCTION("IF(G7640&lt;&gt;"""", GOOGLETRANSLATE(G7640, ""en"", ""te""),"""")"),"")</f>
        <v/>
      </c>
      <c r="I7640" s="3"/>
    </row>
    <row r="7641" customHeight="1" spans="1:9">
      <c r="A7641" s="2"/>
      <c r="B7641" s="2" t="str">
        <f>IFERROR(__xludf.DUMMYFUNCTION("IF(A7641&lt;&gt;"""", GOOGLETRANSLATE(A7641, ""en"", ""te""),"""")"),"")</f>
        <v/>
      </c>
      <c r="C7641" s="2"/>
      <c r="D7641" s="2" t="str">
        <f>IFERROR(__xludf.DUMMYFUNCTION("IF(C7641&lt;&gt;"""", GOOGLETRANSLATE(C7641, ""en"", ""te""),"""")"),"")</f>
        <v/>
      </c>
      <c r="E7641" s="2"/>
      <c r="F7641" s="2" t="str">
        <f>IFERROR(__xludf.DUMMYFUNCTION("IF(E7641&lt;&gt;"""", GOOGLETRANSLATE(E7641, ""en"", ""te""),"""")"),"")</f>
        <v/>
      </c>
      <c r="G7641" s="2"/>
      <c r="H7641" s="2" t="str">
        <f>IFERROR(__xludf.DUMMYFUNCTION("IF(G7641&lt;&gt;"""", GOOGLETRANSLATE(G7641, ""en"", ""te""),"""")"),"")</f>
        <v/>
      </c>
      <c r="I7641" s="3"/>
    </row>
    <row r="7642" customHeight="1" spans="1:9">
      <c r="A7642" s="2"/>
      <c r="B7642" s="2" t="str">
        <f>IFERROR(__xludf.DUMMYFUNCTION("IF(A7642&lt;&gt;"""", GOOGLETRANSLATE(A7642, ""en"", ""te""),"""")"),"")</f>
        <v/>
      </c>
      <c r="C7642" s="2"/>
      <c r="D7642" s="2" t="str">
        <f>IFERROR(__xludf.DUMMYFUNCTION("IF(C7642&lt;&gt;"""", GOOGLETRANSLATE(C7642, ""en"", ""te""),"""")"),"")</f>
        <v/>
      </c>
      <c r="E7642" s="2"/>
      <c r="F7642" s="2" t="str">
        <f>IFERROR(__xludf.DUMMYFUNCTION("IF(E7642&lt;&gt;"""", GOOGLETRANSLATE(E7642, ""en"", ""te""),"""")"),"")</f>
        <v/>
      </c>
      <c r="G7642" s="2"/>
      <c r="H7642" s="2" t="str">
        <f>IFERROR(__xludf.DUMMYFUNCTION("IF(G7642&lt;&gt;"""", GOOGLETRANSLATE(G7642, ""en"", ""te""),"""")"),"")</f>
        <v/>
      </c>
      <c r="I7642" s="3"/>
    </row>
    <row r="7643" customHeight="1" spans="1:9">
      <c r="A7643" s="2" t="s">
        <v>4392</v>
      </c>
      <c r="B7643" s="2" t="str">
        <f>IFERROR(__xludf.DUMMYFUNCTION("IF(A7643&lt;&gt;"""", GOOGLETRANSLATE(A7643, ""en"", ""te""),"""")"),"[ 'చాలా 5 వ ఒక మ్యాచ్ రిఫరీ గా పోటీలు (61)', '5000 పరుగులు మరియు 50 ఫీల్డింగ్ వికెట్లు', '10th ఒక మ్యాచ్ రిఫరీ (35) గా అత్యధిక మ్యాచ్లు']")</f>
        <v>[ 'చాలా 5 వ ఒక మ్యాచ్ రిఫరీ గా పోటీలు (61)', '5000 పరుగులు మరియు 50 ఫీల్డింగ్ వికెట్లు', '10th ఒక మ్యాచ్ రిఫరీ (35) గా అత్యధిక మ్యాచ్లు']</v>
      </c>
      <c r="C7643" s="2" t="s">
        <v>4393</v>
      </c>
      <c r="D7643" s="2" t="str">
        <f>IFERROR(__xludf.DUMMYFUNCTION("IF(C7643&lt;&gt;"""", GOOGLETRANSLATE(C7643, ""en"", ""te""),"""")"),"ఒక మ్యాచ్ రిఫరీ గా [ 'వరుస మ్యాచ్లలో 26 యాభైల్లో (7)', '14 వ లాంగెస్ట్ వ్యక్తిగత ఇన్నింగ్స్ (నిమిషాలు) (753)', '18 వ లాంగెస్ట్ వ్యక్తిగత ఇన్నింగ్స్ (బంతులతో) (561)', '5 వ అత్యధిక మ్యాచ్లు (61 ) ']")</f>
        <v>ఒక మ్యాచ్ రిఫరీ గా [ 'వరుస మ్యాచ్లలో 26 యాభైల్లో (7)', '14 వ లాంగెస్ట్ వ్యక్తిగత ఇన్నింగ్స్ (నిమిషాలు) (753)', '18 వ లాంగెస్ట్ వ్యక్తిగత ఇన్నింగ్స్ (బంతులతో) (561)', '5 వ అత్యధిక మ్యాచ్లు (61 ) ']</v>
      </c>
      <c r="E7643" s="2" t="s">
        <v>4394</v>
      </c>
      <c r="F7643" s="2" t="str">
        <f>IFERROR(__xludf.DUMMYFUNCTION("IF(E7643&lt;&gt;"""", GOOGLETRANSLATE(E7643, ""en"", ""te""),"""")"),"[ '46 వ ఒకే మైదానంలో అత్యధిక పరుగులు (1015)', 'కెరీర్లో 21 వ అత్యధిక క్యాచ్లు (109)' 'కెరీర్లో 45 వ అత్యంత బాతులు (15)', 'నాలుగవ వికెట్కు 35 వ అత్యధిక భాగస్వామ్యం (171 *)', 'చాలా 5 వ ఒక మ్యాచ్ రిఫరీ (222) వంటి ఆటలకు]")</f>
        <v>[ '46 వ ఒకే మైదానంలో అత్యధిక పరుగులు (1015)', 'కెరీర్లో 21 వ అత్యధిక క్యాచ్లు (109)' 'కెరీర్లో 45 వ అత్యంత బాతులు (15)', 'నాలుగవ వికెట్కు 35 వ అత్యధిక భాగస్వామ్యం (171 *)', 'చాలా 5 వ ఒక మ్యాచ్ రిఫరీ (222) వంటి ఆటలకు]</v>
      </c>
      <c r="G7643" s="2" t="s">
        <v>4395</v>
      </c>
      <c r="H7643" s="2" t="str">
        <f>IFERROR(__xludf.DUMMYFUNCTION("IF(G7643&lt;&gt;"""", GOOGLETRANSLATE(G7643, ""en"", ""te""),"""")"),"[ '10 వ ఒక మ్యాచ్ రిఫరీ గా అత్యధిక మ్యాచ్లు (35)']")</f>
        <v>[ '10 వ ఒక మ్యాచ్ రిఫరీ గా అత్యధిక మ్యాచ్లు (35)']</v>
      </c>
      <c r="I7643" s="3"/>
    </row>
    <row r="7644" customHeight="1" spans="1:9">
      <c r="A7644" s="2"/>
      <c r="B7644" s="2" t="str">
        <f>IFERROR(__xludf.DUMMYFUNCTION("IF(A7644&lt;&gt;"""", GOOGLETRANSLATE(A7644, ""en"", ""te""),"""")"),"")</f>
        <v/>
      </c>
      <c r="C7644" s="2"/>
      <c r="D7644" s="2" t="str">
        <f>IFERROR(__xludf.DUMMYFUNCTION("IF(C7644&lt;&gt;"""", GOOGLETRANSLATE(C7644, ""en"", ""te""),"""")"),"")</f>
        <v/>
      </c>
      <c r="E7644" s="2"/>
      <c r="F7644" s="2" t="str">
        <f>IFERROR(__xludf.DUMMYFUNCTION("IF(E7644&lt;&gt;"""", GOOGLETRANSLATE(E7644, ""en"", ""te""),"""")"),"")</f>
        <v/>
      </c>
      <c r="G7644" s="2"/>
      <c r="H7644" s="2" t="str">
        <f>IFERROR(__xludf.DUMMYFUNCTION("IF(G7644&lt;&gt;"""", GOOGLETRANSLATE(G7644, ""en"", ""te""),"""")"),"")</f>
        <v/>
      </c>
      <c r="I7644" s="3"/>
    </row>
    <row r="7645" customHeight="1" spans="1:9">
      <c r="A7645" s="2"/>
      <c r="B7645" s="2" t="str">
        <f>IFERROR(__xludf.DUMMYFUNCTION("IF(A7645&lt;&gt;"""", GOOGLETRANSLATE(A7645, ""en"", ""te""),"""")"),"")</f>
        <v/>
      </c>
      <c r="C7645" s="2"/>
      <c r="D7645" s="2" t="str">
        <f>IFERROR(__xludf.DUMMYFUNCTION("IF(C7645&lt;&gt;"""", GOOGLETRANSLATE(C7645, ""en"", ""te""),"""")"),"")</f>
        <v/>
      </c>
      <c r="E7645" s="2"/>
      <c r="F7645" s="2" t="str">
        <f>IFERROR(__xludf.DUMMYFUNCTION("IF(E7645&lt;&gt;"""", GOOGLETRANSLATE(E7645, ""en"", ""te""),"""")"),"")</f>
        <v/>
      </c>
      <c r="G7645" s="2"/>
      <c r="H7645" s="2" t="str">
        <f>IFERROR(__xludf.DUMMYFUNCTION("IF(G7645&lt;&gt;"""", GOOGLETRANSLATE(G7645, ""en"", ""te""),"""")"),"")</f>
        <v/>
      </c>
      <c r="I7645" s="3"/>
    </row>
    <row r="7646" customHeight="1" spans="1:9">
      <c r="A7646" s="2"/>
      <c r="B7646" s="2" t="str">
        <f>IFERROR(__xludf.DUMMYFUNCTION("IF(A7646&lt;&gt;"""", GOOGLETRANSLATE(A7646, ""en"", ""te""),"""")"),"")</f>
        <v/>
      </c>
      <c r="C7646" s="2"/>
      <c r="D7646" s="2" t="str">
        <f>IFERROR(__xludf.DUMMYFUNCTION("IF(C7646&lt;&gt;"""", GOOGLETRANSLATE(C7646, ""en"", ""te""),"""")"),"")</f>
        <v/>
      </c>
      <c r="E7646" s="2"/>
      <c r="F7646" s="2" t="str">
        <f>IFERROR(__xludf.DUMMYFUNCTION("IF(E7646&lt;&gt;"""", GOOGLETRANSLATE(E7646, ""en"", ""te""),"""")"),"")</f>
        <v/>
      </c>
      <c r="G7646" s="2"/>
      <c r="H7646" s="2" t="str">
        <f>IFERROR(__xludf.DUMMYFUNCTION("IF(G7646&lt;&gt;"""", GOOGLETRANSLATE(G7646, ""en"", ""te""),"""")"),"")</f>
        <v/>
      </c>
      <c r="I7646" s="3"/>
    </row>
    <row r="7647" customHeight="1" spans="1:9">
      <c r="A7647" s="2"/>
      <c r="B7647" s="2" t="str">
        <f>IFERROR(__xludf.DUMMYFUNCTION("IF(A7647&lt;&gt;"""", GOOGLETRANSLATE(A7647, ""en"", ""te""),"""")"),"")</f>
        <v/>
      </c>
      <c r="C7647" s="2"/>
      <c r="D7647" s="2" t="str">
        <f>IFERROR(__xludf.DUMMYFUNCTION("IF(C7647&lt;&gt;"""", GOOGLETRANSLATE(C7647, ""en"", ""te""),"""")"),"")</f>
        <v/>
      </c>
      <c r="E7647" s="2"/>
      <c r="F7647" s="2" t="str">
        <f>IFERROR(__xludf.DUMMYFUNCTION("IF(E7647&lt;&gt;"""", GOOGLETRANSLATE(E7647, ""en"", ""te""),"""")"),"")</f>
        <v/>
      </c>
      <c r="G7647" s="2"/>
      <c r="H7647" s="2" t="str">
        <f>IFERROR(__xludf.DUMMYFUNCTION("IF(G7647&lt;&gt;"""", GOOGLETRANSLATE(G7647, ""en"", ""te""),"""")"),"")</f>
        <v/>
      </c>
      <c r="I7647" s="3"/>
    </row>
    <row r="7648" customHeight="1" spans="1:9">
      <c r="A7648" s="2"/>
      <c r="B7648" s="2" t="str">
        <f>IFERROR(__xludf.DUMMYFUNCTION("IF(A7648&lt;&gt;"""", GOOGLETRANSLATE(A7648, ""en"", ""te""),"""")"),"")</f>
        <v/>
      </c>
      <c r="C7648" s="2"/>
      <c r="D7648" s="2" t="str">
        <f>IFERROR(__xludf.DUMMYFUNCTION("IF(C7648&lt;&gt;"""", GOOGLETRANSLATE(C7648, ""en"", ""te""),"""")"),"")</f>
        <v/>
      </c>
      <c r="E7648" s="2"/>
      <c r="F7648" s="2" t="str">
        <f>IFERROR(__xludf.DUMMYFUNCTION("IF(E7648&lt;&gt;"""", GOOGLETRANSLATE(E7648, ""en"", ""te""),"""")"),"")</f>
        <v/>
      </c>
      <c r="G7648" s="2"/>
      <c r="H7648" s="2" t="str">
        <f>IFERROR(__xludf.DUMMYFUNCTION("IF(G7648&lt;&gt;"""", GOOGLETRANSLATE(G7648, ""en"", ""te""),"""")"),"")</f>
        <v/>
      </c>
      <c r="I7648" s="3"/>
    </row>
    <row r="7649" customHeight="1" spans="1:9">
      <c r="A7649" s="2"/>
      <c r="B7649" s="2" t="str">
        <f>IFERROR(__xludf.DUMMYFUNCTION("IF(A7649&lt;&gt;"""", GOOGLETRANSLATE(A7649, ""en"", ""te""),"""")"),"")</f>
        <v/>
      </c>
      <c r="C7649" s="2"/>
      <c r="D7649" s="2" t="str">
        <f>IFERROR(__xludf.DUMMYFUNCTION("IF(C7649&lt;&gt;"""", GOOGLETRANSLATE(C7649, ""en"", ""te""),"""")"),"")</f>
        <v/>
      </c>
      <c r="E7649" s="2"/>
      <c r="F7649" s="2" t="str">
        <f>IFERROR(__xludf.DUMMYFUNCTION("IF(E7649&lt;&gt;"""", GOOGLETRANSLATE(E7649, ""en"", ""te""),"""")"),"")</f>
        <v/>
      </c>
      <c r="G7649" s="2"/>
      <c r="H7649" s="2" t="str">
        <f>IFERROR(__xludf.DUMMYFUNCTION("IF(G7649&lt;&gt;"""", GOOGLETRANSLATE(G7649, ""en"", ""te""),"""")"),"")</f>
        <v/>
      </c>
      <c r="I7649" s="3"/>
    </row>
    <row r="7650" customHeight="1" spans="1:9">
      <c r="A7650" s="2"/>
      <c r="B7650" s="2" t="str">
        <f>IFERROR(__xludf.DUMMYFUNCTION("IF(A7650&lt;&gt;"""", GOOGLETRANSLATE(A7650, ""en"", ""te""),"""")"),"")</f>
        <v/>
      </c>
      <c r="C7650" s="2"/>
      <c r="D7650" s="2" t="str">
        <f>IFERROR(__xludf.DUMMYFUNCTION("IF(C7650&lt;&gt;"""", GOOGLETRANSLATE(C7650, ""en"", ""te""),"""")"),"")</f>
        <v/>
      </c>
      <c r="E7650" s="2"/>
      <c r="F7650" s="2" t="str">
        <f>IFERROR(__xludf.DUMMYFUNCTION("IF(E7650&lt;&gt;"""", GOOGLETRANSLATE(E7650, ""en"", ""te""),"""")"),"")</f>
        <v/>
      </c>
      <c r="G7650" s="2"/>
      <c r="H7650" s="2" t="str">
        <f>IFERROR(__xludf.DUMMYFUNCTION("IF(G7650&lt;&gt;"""", GOOGLETRANSLATE(G7650, ""en"", ""te""),"""")"),"")</f>
        <v/>
      </c>
      <c r="I7650" s="3"/>
    </row>
    <row r="7651" customHeight="1" spans="1:9">
      <c r="A7651" s="2"/>
      <c r="B7651" s="2" t="str">
        <f>IFERROR(__xludf.DUMMYFUNCTION("IF(A7651&lt;&gt;"""", GOOGLETRANSLATE(A7651, ""en"", ""te""),"""")"),"")</f>
        <v/>
      </c>
      <c r="C7651" s="2"/>
      <c r="D7651" s="2" t="str">
        <f>IFERROR(__xludf.DUMMYFUNCTION("IF(C7651&lt;&gt;"""", GOOGLETRANSLATE(C7651, ""en"", ""te""),"""")"),"")</f>
        <v/>
      </c>
      <c r="E7651" s="2"/>
      <c r="F7651" s="2" t="str">
        <f>IFERROR(__xludf.DUMMYFUNCTION("IF(E7651&lt;&gt;"""", GOOGLETRANSLATE(E7651, ""en"", ""te""),"""")"),"")</f>
        <v/>
      </c>
      <c r="G7651" s="2"/>
      <c r="H7651" s="2" t="str">
        <f>IFERROR(__xludf.DUMMYFUNCTION("IF(G7651&lt;&gt;"""", GOOGLETRANSLATE(G7651, ""en"", ""te""),"""")"),"")</f>
        <v/>
      </c>
      <c r="I7651" s="3"/>
    </row>
    <row r="7652" customHeight="1" spans="1:9">
      <c r="A7652" s="2"/>
      <c r="B7652" s="2" t="str">
        <f>IFERROR(__xludf.DUMMYFUNCTION("IF(A7652&lt;&gt;"""", GOOGLETRANSLATE(A7652, ""en"", ""te""),"""")"),"")</f>
        <v/>
      </c>
      <c r="C7652" s="2"/>
      <c r="D7652" s="2" t="str">
        <f>IFERROR(__xludf.DUMMYFUNCTION("IF(C7652&lt;&gt;"""", GOOGLETRANSLATE(C7652, ""en"", ""te""),"""")"),"")</f>
        <v/>
      </c>
      <c r="E7652" s="2"/>
      <c r="F7652" s="2" t="str">
        <f>IFERROR(__xludf.DUMMYFUNCTION("IF(E7652&lt;&gt;"""", GOOGLETRANSLATE(E7652, ""en"", ""te""),"""")"),"")</f>
        <v/>
      </c>
      <c r="G7652" s="2"/>
      <c r="H7652" s="2" t="str">
        <f>IFERROR(__xludf.DUMMYFUNCTION("IF(G7652&lt;&gt;"""", GOOGLETRANSLATE(G7652, ""en"", ""te""),"""")"),"")</f>
        <v/>
      </c>
      <c r="I7652" s="3"/>
    </row>
    <row r="7653" customHeight="1" spans="1:9">
      <c r="A7653" s="2"/>
      <c r="B7653" s="2" t="str">
        <f>IFERROR(__xludf.DUMMYFUNCTION("IF(A7653&lt;&gt;"""", GOOGLETRANSLATE(A7653, ""en"", ""te""),"""")"),"")</f>
        <v/>
      </c>
      <c r="C7653" s="2"/>
      <c r="D7653" s="2" t="str">
        <f>IFERROR(__xludf.DUMMYFUNCTION("IF(C7653&lt;&gt;"""", GOOGLETRANSLATE(C7653, ""en"", ""te""),"""")"),"")</f>
        <v/>
      </c>
      <c r="E7653" s="2"/>
      <c r="F7653" s="2" t="str">
        <f>IFERROR(__xludf.DUMMYFUNCTION("IF(E7653&lt;&gt;"""", GOOGLETRANSLATE(E7653, ""en"", ""te""),"""")"),"")</f>
        <v/>
      </c>
      <c r="G7653" s="2" t="s">
        <v>4396</v>
      </c>
      <c r="H7653" s="2" t="str">
        <f>IFERROR(__xludf.DUMMYFUNCTION("IF(G7653&lt;&gt;"""", GOOGLETRANSLATE(G7653, ""en"", ""te""),"""")"),"[ '13 వ చెత్త కెరీర్ (92.00) (అర్హత లేకుండా) సగటు బౌలింగ్', '42 వ వరుస మ్యాచ్లు ప్రదర్శనల మధ్య బృందం (38) తప్పిన']")</f>
        <v>[ '13 వ చెత్త కెరీర్ (92.00) (అర్హత లేకుండా) సగటు బౌలింగ్', '42 వ వరుస మ్యాచ్లు ప్రదర్శనల మధ్య బృందం (38) తప్పిన']</v>
      </c>
      <c r="I7653" s="3"/>
    </row>
    <row r="7654" customHeight="1" spans="1:9">
      <c r="A7654" s="2" t="s">
        <v>4397</v>
      </c>
      <c r="B7654" s="2" t="str">
        <f>IFERROR(__xludf.DUMMYFUNCTION("IF(A7654&lt;&gt;"""", GOOGLETRANSLATE(A7654, ""en"", ""te""),"""")"),"[ 'ఇన్నింగ్స్ లో 9 వ అత్యధిక పరుగులు (బ్యాటింగ్ స్థానంలో ప్రకారం) (78)', 'ఇన్నింగ్స్ లో 3 వ అత్యుత్తమ బౌలింగ్ విశ్లేషణలు (6/13)', '10 వ ఉత్తమ కెరీర్ సమ్మె రేటు (27.3)', '50 వికెట్లు 1 వ వేగవంతమైన (19) ',' 2 వ అత్యుత్తమ బౌలింగ్ ఇన్నింగ్స్ లో విశ్లేషించడం "&amp;"(6/8) ',' 3 వ అరంగేట్రంలోనే ఇన్నింగ్స్లో బౌలింగ్ సరాసరి (14.42) ',' 4 వ బెస్ట్ ఫిగర్స్ ఉత్తమ కెరీర్ (4) ',' 1 వ వరుస నాలుగు -wickets-ఇన్-ఒక-ఇన్నింగ్స్ (2) ',' 1 వ ఇన్నింగ్స్ లో వచ్చిన ఎక్కువ పనికత్తెలయొద్ద (2) ',' 2 వ అత్యధిక వికెట్లు తీసుకున్న ఎల్బిడబ్ల్"&amp;"యు (16) ',' 50 వికెట్లు వేగంగా 1st (26) ',' 3 వ అత్యంత వరుసగా నాలుగు వికెట్లు-ఇన్-ఒక-ఇన్నింగ్స్ (6) ']")</f>
        <v>[ 'ఇన్నింగ్స్ లో 9 వ అత్యధిక పరుగులు (బ్యాటింగ్ స్థానంలో ప్రకారం) (78)', 'ఇన్నింగ్స్ లో 3 వ అత్యుత్తమ బౌలింగ్ విశ్లేషణలు (6/13)', '10 వ ఉత్తమ కెరీర్ సమ్మె రేటు (27.3)', '50 వికెట్లు 1 వ వేగవంతమైన (19) ',' 2 వ అత్యుత్తమ బౌలింగ్ ఇన్నింగ్స్ లో విశ్లేషించడం (6/8) ',' 3 వ అరంగేట్రంలోనే ఇన్నింగ్స్లో బౌలింగ్ సరాసరి (14.42) ',' 4 వ బెస్ట్ ఫిగర్స్ ఉత్తమ కెరీర్ (4) ',' 1 వ వరుస నాలుగు -wickets-ఇన్-ఒక-ఇన్నింగ్స్ (2) ',' 1 వ ఇన్నింగ్స్ లో వచ్చిన ఎక్కువ పనికత్తెలయొద్ద (2) ',' 2 వ అత్యధిక వికెట్లు తీసుకున్న ఎల్బిడబ్ల్యు (16) ',' 50 వికెట్లు వేగంగా 1st (26) ',' 3 వ అత్యంత వరుసగా నాలుగు వికెట్లు-ఇన్-ఒక-ఇన్నింగ్స్ (6) ']</v>
      </c>
      <c r="C7654" s="2" t="s">
        <v>4398</v>
      </c>
      <c r="D7654" s="2" t="str">
        <f>IFERROR(__xludf.DUMMYFUNCTION("IF(C7654&lt;&gt;"""", GOOGLETRANSLATE(C7654, ""en"", ""te""),"""")"),"[ 'ఇన్నింగ్స్ లో 9 వ అత్యధిక పరుగులు (బ్యాటింగ్ స్థానంలో ప్రకారం) (78)', '40 వ మ్యాచ్ లో బెస్ట్ ఫిగర్స్ ఉన్నప్పుడు పరాజయం వైపు (10)', 'ఇన్నింగ్స్ లో 34 వ చెత్త సమ్మె రేటు (354.0)', '33 వ తొలి మ్యాచ్ లో బెస్ట్ ఫిగర్స్ (8) ',' పది వికెట్లు లో ఒక మ్యాచ్ తీస"&amp;"ుకోవాలని 42 వ పిన్న వయస్కుడిగా నిలిచాడు (23y 142d) ']")</f>
        <v>[ 'ఇన్నింగ్స్ లో 9 వ అత్యధిక పరుగులు (బ్యాటింగ్ స్థానంలో ప్రకారం) (78)', '40 వ మ్యాచ్ లో బెస్ట్ ఫిగర్స్ ఉన్నప్పుడు పరాజయం వైపు (10)', 'ఇన్నింగ్స్ లో 34 వ చెత్త సమ్మె రేటు (354.0)', '33 వ తొలి మ్యాచ్ లో బెస్ట్ ఫిగర్స్ (8) ',' పది వికెట్లు లో ఒక మ్యాచ్ తీసుకోవాలని 42 వ పిన్న వయస్కుడిగా నిలిచాడు (23y 142d) ']</v>
      </c>
      <c r="E7654" s="2" t="s">
        <v>4399</v>
      </c>
      <c r="F7654" s="2" t="str">
        <f>IFERROR(__xludf.DUMMYFUNCTION("IF(E7654&lt;&gt;"""", GOOGLETRANSLATE(E7654, ""en"", ""te""),"""")"),"[ '15 వ ఇన్నింగ్స్ లో బెస్ట్ ఫిగర్స్ (6/13)', '21 వ ఒక క్యాలెండర్ సంవత్సరంలో అత్యధిక వికెట్లు (48) ', ఒక సింగిల్,' 28th అత్యధిక వికెట్లు '3 వ అత్యుత్తమ బౌలింగ్ ఇన్నింగ్స్ (6/13) విశ్లేషణలలో' భూమి (40) ',' 16 వ ఉత్తమ కెరీర్ బౌలింగ్ సరాసరి (21.86) ',' 10 వ "&amp;"ఉత్తమ కెరీర్ సమ్మె రేటు (27.3) ',' ఇన్నింగ్స్ లో 35 వ ఉత్తమ సమ్మె రేటు (6.7) ',' 25 వ అత్యంత ఐదు-వికెట్ల in- ఒక కెరీర్ లో ఒక ఇన్నింగ్స్ (3) ',' 25 వ అత్యంత నాలుగు వికెట్లు-ఇన్-ఒక-ఇన్నింగ్స్ కెరీర్లో (10) ',' 13 వ వరుస నాలుగు వికెట్లు-ఇన్-ఒక-ఇన్నింగ్స్ (2)"&amp;" ',' 27 వ ఎల్బిడబ్ల్యు తీసుకోబడిన వికెట్ల (34) ',' 40 వ అత్యధిక వికెట్లు స్టంప్ (10) ',' 1st వేగంగా 50 వికెట్లు తీసుకున్న (19) ',' 100 వికెట్లు (63) ',' 5 వ 150 వికెట్లు వేగవంతమైన (వేగంగా 25 84) ']")</f>
        <v>[ '15 వ ఇన్నింగ్స్ లో బెస్ట్ ఫిగర్స్ (6/13)', '21 వ ఒక క్యాలెండర్ సంవత్సరంలో అత్యధిక వికెట్లు (48) ', ఒక సింగిల్,' 28th అత్యధిక వికెట్లు '3 వ అత్యుత్తమ బౌలింగ్ ఇన్నింగ్స్ (6/13) విశ్లేషణలలో' భూమి (40) ',' 16 వ ఉత్తమ కెరీర్ బౌలింగ్ సరాసరి (21.86) ',' 10 వ ఉత్తమ కెరీర్ సమ్మె రేటు (27.3) ',' ఇన్నింగ్స్ లో 35 వ ఉత్తమ సమ్మె రేటు (6.7) ',' 25 వ అత్యంత ఐదు-వికెట్ల in- ఒక కెరీర్ లో ఒక ఇన్నింగ్స్ (3) ',' 25 వ అత్యంత నాలుగు వికెట్లు-ఇన్-ఒక-ఇన్నింగ్స్ కెరీర్లో (10) ',' 13 వ వరుస నాలుగు వికెట్లు-ఇన్-ఒక-ఇన్నింగ్స్ (2) ',' 27 వ ఎల్బిడబ్ల్యు తీసుకోబడిన వికెట్ల (34) ',' 40 వ అత్యధిక వికెట్లు స్టంప్ (10) ',' 1st వేగంగా 50 వికెట్లు తీసుకున్న (19) ',' 100 వికెట్లు (63) ',' 5 వ 150 వికెట్లు వేగవంతమైన (వేగంగా 25 84) ']</v>
      </c>
      <c r="G7654" s="2" t="s">
        <v>4400</v>
      </c>
      <c r="H7654" s="2" t="str">
        <f>IFERROR(__xludf.DUMMYFUNCTION("IF(G7654&lt;&gt;"""", GOOGLETRANSLATE(G7654, ""en"", ""te""),"""")"),"[ 'ఇన్నింగ్స్ లో 2 వ బెస్ట్ ఫిగర్స్ (6/8)' 'ఇన్నింగ్స్ లో 2 వ అత్యుత్తమ బౌలింగ్ విశ్లేషణలు (6/8)' ఒకే నేలపై '12 వ అత్యధిక కెరీర్ వికెట్లు (66)', '43 వ అత్యధిక వికెట్లు ( ఒక ఇన్నింగ్స్ లో 11) ',' 8 వ బెస్ట్ ఫిగర్స్ కూడా ఓడిపోయింది వైపు (4) ',' 3 వ సగటు ("&amp;"14.42) ',' 14 వ ఉత్తమ కెరీర్ ఆర్థిక రేటు (6.45) ',' 4 వ ఉత్తమ కెరీర్ సమ్మె రేటు బౌలింగ్ ఉత్తమ కెరీర్ ( 13.4) ',' ఇన్నింగ్స్ లో 20 వ ఉత్తమ సమ్మె రేటు (4.0) ',' తొలి ఇన్నింగ్స్లో 4 వ ఉత్తమ బొమ్మలు (4) ',' 2 వ అత్యంత నాలుగు వికెట్లు-ఇన్-ఒక-ఇన్నింగ్స్ కెరీర్ల"&amp;"ో (5) ' '1 వ వరుస నాలుగు వికెట్లు-ఇన్-ఒక-ఇన్నింగ్స్ (2)', '44 వ కెరీర్ లో బౌల్డ్ చాలా బంతుల్లో (885)', '17 వ బౌలర్ / బ్యాట్స్ కలయికలు (3)', '26th బౌలర్ / ఫీల్డర్ కలయికలు (7 ) ',' 19 వ అత్యధిక వికెట్లు బౌల్డ్ (15) ',' 2 వ అత్యంత తీసుకోబడిన వికెట్ల ఎల్బిడబ్"&amp;"ల్యు (16 తీసుకున్న) ',' 8 వ అత్యధిక వికెట్లు 50 వికెట్లు (26) ',' 28th మాత్రం స్టంప్ (8) ',' 1st వేగంగా తీసుకున్న ప్లేయర్ ఆఫ్ ది మ్యాచ్ అవార్డులు (5) ',' 3 వ అత్యధిక కెరీర్ లో పనికత్తెలయొద్ద (5) ',' 1 వ అత్యంత ఇన్నింగ్స్ లో పనికత్తెలయొద్ద (2) ']")</f>
        <v>[ 'ఇన్నింగ్స్ లో 2 వ బెస్ట్ ఫిగర్స్ (6/8)' 'ఇన్నింగ్స్ లో 2 వ అత్యుత్తమ బౌలింగ్ విశ్లేషణలు (6/8)' ఒకే నేలపై '12 వ అత్యధిక కెరీర్ వికెట్లు (66)', '43 వ అత్యధిక వికెట్లు ( ఒక ఇన్నింగ్స్ లో 11) ',' 8 వ బెస్ట్ ఫిగర్స్ కూడా ఓడిపోయింది వైపు (4) ',' 3 వ సగటు (14.42) ',' 14 వ ఉత్తమ కెరీర్ ఆర్థిక రేటు (6.45) ',' 4 వ ఉత్తమ కెరీర్ సమ్మె రేటు బౌలింగ్ ఉత్తమ కెరీర్ ( 13.4) ',' ఇన్నింగ్స్ లో 20 వ ఉత్తమ సమ్మె రేటు (4.0) ',' తొలి ఇన్నింగ్స్లో 4 వ ఉత్తమ బొమ్మలు (4) ',' 2 వ అత్యంత నాలుగు వికెట్లు-ఇన్-ఒక-ఇన్నింగ్స్ కెరీర్లో (5) ' '1 వ వరుస నాలుగు వికెట్లు-ఇన్-ఒక-ఇన్నింగ్స్ (2)', '44 వ కెరీర్ లో బౌల్డ్ చాలా బంతుల్లో (885)', '17 వ బౌలర్ / బ్యాట్స్ కలయికలు (3)', '26th బౌలర్ / ఫీల్డర్ కలయికలు (7 ) ',' 19 వ అత్యధిక వికెట్లు బౌల్డ్ (15) ',' 2 వ అత్యంత తీసుకోబడిన వికెట్ల ఎల్బిడబ్ల్యు (16 తీసుకున్న) ',' 8 వ అత్యధిక వికెట్లు 50 వికెట్లు (26) ',' 28th మాత్రం స్టంప్ (8) ',' 1st వేగంగా తీసుకున్న ప్లేయర్ ఆఫ్ ది మ్యాచ్ అవార్డులు (5) ',' 3 వ అత్యధిక కెరీర్ లో పనికత్తెలయొద్ద (5) ',' 1 వ అత్యంత ఇన్నింగ్స్ లో పనికత్తెలయొద్ద (2) ']</v>
      </c>
      <c r="I7654" s="3"/>
    </row>
    <row r="7655" customHeight="1" spans="1:9">
      <c r="A7655" s="2"/>
      <c r="B7655" s="2" t="str">
        <f>IFERROR(__xludf.DUMMYFUNCTION("IF(A7655&lt;&gt;"""", GOOGLETRANSLATE(A7655, ""en"", ""te""),"""")"),"")</f>
        <v/>
      </c>
      <c r="C7655" s="2"/>
      <c r="D7655" s="2" t="str">
        <f>IFERROR(__xludf.DUMMYFUNCTION("IF(C7655&lt;&gt;"""", GOOGLETRANSLATE(C7655, ""en"", ""te""),"""")"),"")</f>
        <v/>
      </c>
      <c r="E7655" s="2"/>
      <c r="F7655" s="2" t="str">
        <f>IFERROR(__xludf.DUMMYFUNCTION("IF(E7655&lt;&gt;"""", GOOGLETRANSLATE(E7655, ""en"", ""te""),"""")"),"")</f>
        <v/>
      </c>
      <c r="G7655" s="2"/>
      <c r="H7655" s="2" t="str">
        <f>IFERROR(__xludf.DUMMYFUNCTION("IF(G7655&lt;&gt;"""", GOOGLETRANSLATE(G7655, ""en"", ""te""),"""")"),"")</f>
        <v/>
      </c>
      <c r="I7655" s="3"/>
    </row>
    <row r="7656" customHeight="1" spans="1:9">
      <c r="A7656" s="2"/>
      <c r="B7656" s="2" t="str">
        <f>IFERROR(__xludf.DUMMYFUNCTION("IF(A7656&lt;&gt;"""", GOOGLETRANSLATE(A7656, ""en"", ""te""),"""")"),"")</f>
        <v/>
      </c>
      <c r="C7656" s="2"/>
      <c r="D7656" s="2" t="str">
        <f>IFERROR(__xludf.DUMMYFUNCTION("IF(C7656&lt;&gt;"""", GOOGLETRANSLATE(C7656, ""en"", ""te""),"""")"),"")</f>
        <v/>
      </c>
      <c r="E7656" s="2"/>
      <c r="F7656" s="2" t="str">
        <f>IFERROR(__xludf.DUMMYFUNCTION("IF(E7656&lt;&gt;"""", GOOGLETRANSLATE(E7656, ""en"", ""te""),"""")"),"")</f>
        <v/>
      </c>
      <c r="G7656" s="2"/>
      <c r="H7656" s="2" t="str">
        <f>IFERROR(__xludf.DUMMYFUNCTION("IF(G7656&lt;&gt;"""", GOOGLETRANSLATE(G7656, ""en"", ""te""),"""")"),"")</f>
        <v/>
      </c>
      <c r="I7656" s="3"/>
    </row>
    <row r="7657" customHeight="1" spans="1:9">
      <c r="A7657" s="2"/>
      <c r="B7657" s="2" t="str">
        <f>IFERROR(__xludf.DUMMYFUNCTION("IF(A7657&lt;&gt;"""", GOOGLETRANSLATE(A7657, ""en"", ""te""),"""")"),"")</f>
        <v/>
      </c>
      <c r="C7657" s="2"/>
      <c r="D7657" s="2" t="str">
        <f>IFERROR(__xludf.DUMMYFUNCTION("IF(C7657&lt;&gt;"""", GOOGLETRANSLATE(C7657, ""en"", ""te""),"""")"),"")</f>
        <v/>
      </c>
      <c r="E7657" s="2"/>
      <c r="F7657" s="2" t="str">
        <f>IFERROR(__xludf.DUMMYFUNCTION("IF(E7657&lt;&gt;"""", GOOGLETRANSLATE(E7657, ""en"", ""te""),"""")"),"")</f>
        <v/>
      </c>
      <c r="G7657" s="2"/>
      <c r="H7657" s="2" t="str">
        <f>IFERROR(__xludf.DUMMYFUNCTION("IF(G7657&lt;&gt;"""", GOOGLETRANSLATE(G7657, ""en"", ""te""),"""")"),"")</f>
        <v/>
      </c>
      <c r="I7657" s="3"/>
    </row>
    <row r="7658" customHeight="1" spans="1:9">
      <c r="A7658" s="2"/>
      <c r="B7658" s="2" t="str">
        <f>IFERROR(__xludf.DUMMYFUNCTION("IF(A7658&lt;&gt;"""", GOOGLETRANSLATE(A7658, ""en"", ""te""),"""")"),"")</f>
        <v/>
      </c>
      <c r="C7658" s="2"/>
      <c r="D7658" s="2" t="str">
        <f>IFERROR(__xludf.DUMMYFUNCTION("IF(C7658&lt;&gt;"""", GOOGLETRANSLATE(C7658, ""en"", ""te""),"""")"),"")</f>
        <v/>
      </c>
      <c r="E7658" s="2"/>
      <c r="F7658" s="2" t="str">
        <f>IFERROR(__xludf.DUMMYFUNCTION("IF(E7658&lt;&gt;"""", GOOGLETRANSLATE(E7658, ""en"", ""te""),"""")"),"")</f>
        <v/>
      </c>
      <c r="G7658" s="2"/>
      <c r="H7658" s="2" t="str">
        <f>IFERROR(__xludf.DUMMYFUNCTION("IF(G7658&lt;&gt;"""", GOOGLETRANSLATE(G7658, ""en"", ""te""),"""")"),"")</f>
        <v/>
      </c>
      <c r="I7658" s="3"/>
    </row>
    <row r="7659" customHeight="1" spans="1:9">
      <c r="A7659" s="2"/>
      <c r="B7659" s="2" t="str">
        <f>IFERROR(__xludf.DUMMYFUNCTION("IF(A7659&lt;&gt;"""", GOOGLETRANSLATE(A7659, ""en"", ""te""),"""")"),"")</f>
        <v/>
      </c>
      <c r="C7659" s="2"/>
      <c r="D7659" s="2" t="str">
        <f>IFERROR(__xludf.DUMMYFUNCTION("IF(C7659&lt;&gt;"""", GOOGLETRANSLATE(C7659, ""en"", ""te""),"""")"),"")</f>
        <v/>
      </c>
      <c r="E7659" s="2"/>
      <c r="F7659" s="2" t="str">
        <f>IFERROR(__xludf.DUMMYFUNCTION("IF(E7659&lt;&gt;"""", GOOGLETRANSLATE(E7659, ""en"", ""te""),"""")"),"")</f>
        <v/>
      </c>
      <c r="G7659" s="2"/>
      <c r="H7659" s="2" t="str">
        <f>IFERROR(__xludf.DUMMYFUNCTION("IF(G7659&lt;&gt;"""", GOOGLETRANSLATE(G7659, ""en"", ""te""),"""")"),"")</f>
        <v/>
      </c>
      <c r="I7659" s="3"/>
    </row>
    <row r="7660" customHeight="1" spans="1:9">
      <c r="A7660" s="2"/>
      <c r="B7660" s="2" t="str">
        <f>IFERROR(__xludf.DUMMYFUNCTION("IF(A7660&lt;&gt;"""", GOOGLETRANSLATE(A7660, ""en"", ""te""),"""")"),"")</f>
        <v/>
      </c>
      <c r="C7660" s="2"/>
      <c r="D7660" s="2" t="str">
        <f>IFERROR(__xludf.DUMMYFUNCTION("IF(C7660&lt;&gt;"""", GOOGLETRANSLATE(C7660, ""en"", ""te""),"""")"),"")</f>
        <v/>
      </c>
      <c r="E7660" s="2"/>
      <c r="F7660" s="2" t="str">
        <f>IFERROR(__xludf.DUMMYFUNCTION("IF(E7660&lt;&gt;"""", GOOGLETRANSLATE(E7660, ""en"", ""te""),"""")"),"")</f>
        <v/>
      </c>
      <c r="G7660" s="2"/>
      <c r="H7660" s="2" t="str">
        <f>IFERROR(__xludf.DUMMYFUNCTION("IF(G7660&lt;&gt;"""", GOOGLETRANSLATE(G7660, ""en"", ""te""),"""")"),"")</f>
        <v/>
      </c>
      <c r="I7660" s="3"/>
    </row>
    <row r="7661" customHeight="1" spans="1:9">
      <c r="A7661" s="2"/>
      <c r="B7661" s="2" t="str">
        <f>IFERROR(__xludf.DUMMYFUNCTION("IF(A7661&lt;&gt;"""", GOOGLETRANSLATE(A7661, ""en"", ""te""),"""")"),"")</f>
        <v/>
      </c>
      <c r="C7661" s="2"/>
      <c r="D7661" s="2" t="str">
        <f>IFERROR(__xludf.DUMMYFUNCTION("IF(C7661&lt;&gt;"""", GOOGLETRANSLATE(C7661, ""en"", ""te""),"""")"),"")</f>
        <v/>
      </c>
      <c r="E7661" s="2"/>
      <c r="F7661" s="2" t="str">
        <f>IFERROR(__xludf.DUMMYFUNCTION("IF(E7661&lt;&gt;"""", GOOGLETRANSLATE(E7661, ""en"", ""te""),"""")"),"")</f>
        <v/>
      </c>
      <c r="G7661" s="2"/>
      <c r="H7661" s="2" t="str">
        <f>IFERROR(__xludf.DUMMYFUNCTION("IF(G7661&lt;&gt;"""", GOOGLETRANSLATE(G7661, ""en"", ""te""),"""")"),"")</f>
        <v/>
      </c>
      <c r="I7661" s="3"/>
    </row>
    <row r="7662" customHeight="1" spans="1:9">
      <c r="A7662" s="2"/>
      <c r="B7662" s="2" t="str">
        <f>IFERROR(__xludf.DUMMYFUNCTION("IF(A7662&lt;&gt;"""", GOOGLETRANSLATE(A7662, ""en"", ""te""),"""")"),"")</f>
        <v/>
      </c>
      <c r="C7662" s="2"/>
      <c r="D7662" s="2" t="str">
        <f>IFERROR(__xludf.DUMMYFUNCTION("IF(C7662&lt;&gt;"""", GOOGLETRANSLATE(C7662, ""en"", ""te""),"""")"),"")</f>
        <v/>
      </c>
      <c r="E7662" s="2"/>
      <c r="F7662" s="2" t="str">
        <f>IFERROR(__xludf.DUMMYFUNCTION("IF(E7662&lt;&gt;"""", GOOGLETRANSLATE(E7662, ""en"", ""te""),"""")"),"")</f>
        <v/>
      </c>
      <c r="G7662" s="2"/>
      <c r="H7662" s="2" t="str">
        <f>IFERROR(__xludf.DUMMYFUNCTION("IF(G7662&lt;&gt;"""", GOOGLETRANSLATE(G7662, ""en"", ""te""),"""")"),"")</f>
        <v/>
      </c>
      <c r="I7662" s="3"/>
    </row>
    <row r="7663" customHeight="1" spans="1:9">
      <c r="A7663" s="2" t="s">
        <v>4401</v>
      </c>
      <c r="B7663" s="2" t="str">
        <f>IFERROR(__xludf.DUMMYFUNCTION("IF(A7663&lt;&gt;"""", GOOGLETRANSLATE(A7663, ""en"", ""te""),"""")"),"[ 'తొలి పెయిర్', '5 వ చెత్త కెరీర్లో ఆర్థిక రేటు (3.85)', '5 వ ఇన్నింగ్స్ లో అత్యధిక పరుగులు (బ్యాటింగ్ స్థానంలో ప్రకారం) (56)', '1 వ వరుస బాతులు (4)', '9 వ అత్యంత వికెట్లు కెరీర్ (338) ',' ఇన్నింగ్స్ లో 4 వ చెత్త ఆర్థిక రేటు (12.52) ',' చాలా 5 వ నాలుగు వ"&amp;"ికెట్లు-ఇన్-ఒక-ఇన్నింగ్స్ కెరీర్లో (19) ',' 8 వ కెరీర్ (9760) లో సాధించిన అత్యధిక పరుగులు ' , '300 వికెట్లు (203) వేగంగా 5 వ', '4 వ అత్యధిక వికెట్లు బౌల్డ్ (104) తీసుకున్న' 'కెరీర్లో 6 వ అత్యంత బాతులు (8)', 'ఒక కెప్టెన్తో ఒక ఇన్నింగ్స్ లో 1 వ బెస్ట్ ఫిగర్"&amp;"స్ (5)', ' 7 వ అత్యంత నాలుగు వికెట్లు-ఇన్-ఒక-ఇన్నింగ్స్ కెరీర్లో (3) ',' కెరీర్ (1799) లో బౌల్డ్ 2nd అత్యంత బంతుల్లో ',' 3 వ అత్యధిక కెరీర్ (2225) లో సాధించిన ',' నడుస్తుంది 1 వ అత్యధిక వికెట్లు బౌల్డ్ తీసుకోకూడదు ( 43) ',' తొమ్మిదవ వికెట్కు 9 వ అత్యధిక భ"&amp;"ాగస్వామ్యం (44) ',' 4 వ అత్యధిక వరుస బాతులు (4) ',' 6 వ అత్యధిక వికెట్లు బౌల్డ్ తీసుకున్న (171) ']")</f>
        <v>[ 'తొలి పెయిర్', '5 వ చెత్త కెరీర్లో ఆర్థిక రేటు (3.85)', '5 వ ఇన్నింగ్స్ లో అత్యధిక పరుగులు (బ్యాటింగ్ స్థానంలో ప్రకారం) (56)', '1 వ వరుస బాతులు (4)', '9 వ అత్యంత వికెట్లు కెరీర్ (338) ',' ఇన్నింగ్స్ లో 4 వ చెత్త ఆర్థిక రేటు (12.52) ',' చాలా 5 వ నాలుగు వికెట్లు-ఇన్-ఒక-ఇన్నింగ్స్ కెరీర్లో (19) ',' 8 వ కెరీర్ (9760) లో సాధించిన అత్యధిక పరుగులు ' , '300 వికెట్లు (203) వేగంగా 5 వ', '4 వ అత్యధిక వికెట్లు బౌల్డ్ (104) తీసుకున్న' 'కెరీర్లో 6 వ అత్యంత బాతులు (8)', 'ఒక కెప్టెన్తో ఒక ఇన్నింగ్స్ లో 1 వ బెస్ట్ ఫిగర్స్ (5)', ' 7 వ అత్యంత నాలుగు వికెట్లు-ఇన్-ఒక-ఇన్నింగ్స్ కెరీర్లో (3) ',' కెరీర్ (1799) లో బౌల్డ్ 2nd అత్యంత బంతుల్లో ',' 3 వ అత్యధిక కెరీర్ (2225) లో సాధించిన ',' నడుస్తుంది 1 వ అత్యధిక వికెట్లు బౌల్డ్ తీసుకోకూడదు ( 43) ',' తొమ్మిదవ వికెట్కు 9 వ అత్యధిక భాగస్వామ్యం (44) ',' 4 వ అత్యధిక వరుస బాతులు (4) ',' 6 వ అత్యధిక వికెట్లు బౌల్డ్ తీసుకున్న (171) ']</v>
      </c>
      <c r="C7663" s="2" t="s">
        <v>4402</v>
      </c>
      <c r="D7663" s="2" t="str">
        <f>IFERROR(__xludf.DUMMYFUNCTION("IF(C7663&lt;&gt;"""", GOOGLETRANSLATE(C7663, ""en"", ""te""),"""")"),"[ '48 వ ఉత్తమ కెరీర్ సమ్మె రేటు (51.5)', '5 వ చెత్త కెరీర్లో ఆర్థిక రేటు (3.85)']")</f>
        <v>[ '48 వ ఉత్తమ కెరీర్ సమ్మె రేటు (51.5)', '5 వ చెత్త కెరీర్లో ఆర్థిక రేటు (3.85)']</v>
      </c>
      <c r="E7663" s="2" t="s">
        <v>4403</v>
      </c>
      <c r="F7663" s="2" t="str">
        <f>IFERROR(__xludf.DUMMYFUNCTION("IF(E7663&lt;&gt;"""", GOOGLETRANSLATE(E7663, ""en"", ""te""),"""")"),"[ 'ఇన్నింగ్స్ లో 5 వ అత్యధిక పరుగులు (బ్యాటింగ్ స్థానంలో ప్రకారం) (56)', 'చాలా 5 వ బాతులు కెరీర్ లో (26)', '6 వ ఒక సిరీస్లో అత్యధిక బాతులు (3)', '1 వ వరుస బాతులు (4)' 'వరుస 42 వ అత్యధిక వికెట్లు (18)' 'ఒక క్యాలెండర్ సంవత్సరంలో 21 వ అత్యధిక వికెట్లు (48)' "&amp;"'ఒకే మైదానంలో 14 వ అత్యధిక వికెట్లు (52)' '9 వ అత్యధిక కెరీర్ వికెట్లు (338)',,,, '14 వ ఒక ఇన్నింగ్స్ లోని బెస్ట్ ఫిగర్స్ ఉన్నప్పుడు పరాజయం వైపు (5)', 'ఇన్నింగ్స్ లో 4 వ చెత్త ఆర్థిక రేటు (12.52)', '5 వ అత్యంత ఐదు-వికెట్ల లో-ఒక-ఇన్నింగ్స్ కెరీర్ (8) లో'"&amp;", 'చాలా 5 వ నాలుగు వికెట్లు-ఇన్-ఒక-ఇన్నింగ్స్ కెరీర్లో (19)', 16 వ కెరీర్ లో బౌల్డ్ చాలా బంతుల్లో ( 'అయిదు వికెట్లు-ఇన్-ఒక-ఇన్నింగ్స్ (35y 46d) పడుతుంది 15 ఓల్డెస్ట్ ఆటగాడు', '10936 ) ',' 8 వ కెరీర్ లో సాధించిన అత్యధిక పరుగులు (9760) ',' 19 వ అత్యధిక పరుగ"&amp;"ులు ఇన్నింగ్స్ లో సాధించిన (96) ',' 9 వ బౌలర్ / ఫీల్డర్ కలయికలు (45) ',' 4 వ అత్యధిక వికెట్లు తీసుకున్న బౌల్డ్ (104) ', '13 వ అత్యంత తీసుకోబడిన వికెట్ల ఆకర్షించింది (187)', '19 వ అత్యంత ఆకర్షించింది తీసుకోబడిన వికెట్ల ను ఫీల్డర్ (127)', '15 వ అత్యధిక వికె"&amp;"ట్లు తీసుకున్న l' 11 వ అత్యధిక వికెట్లు సాధించిన వికెట్కీపర్గా (60) పట్టుకుంటే తీసిన BW (47) ',' 39 వ 100 వికెట్లు 150 వికెట్లు (68) ',' 15 వ వేగంగా వేగంగా (96) ',' 7th 200 వికెట్లు (127) ',' 8 వ వేగవంతమైన 250 వికెట్లు (163) 'వేగంగా, 'కెప్టెన్సీ తొలి 45 "&amp;"వ ఓల్డెస్ట్ కాప్టెన్ (34y 3)',] '300 వికెట్లు (203) 5 వ వేగవంతమైన'")</f>
        <v>[ 'ఇన్నింగ్స్ లో 5 వ అత్యధిక పరుగులు (బ్యాటింగ్ స్థానంలో ప్రకారం) (56)', 'చాలా 5 వ బాతులు కెరీర్ లో (26)', '6 వ ఒక సిరీస్లో అత్యధిక బాతులు (3)', '1 వ వరుస బాతులు (4)' 'వరుస 42 వ అత్యధిక వికెట్లు (18)' 'ఒక క్యాలెండర్ సంవత్సరంలో 21 వ అత్యధిక వికెట్లు (48)' 'ఒకే మైదానంలో 14 వ అత్యధిక వికెట్లు (52)' '9 వ అత్యధిక కెరీర్ వికెట్లు (338)',,,, '14 వ ఒక ఇన్నింగ్స్ లోని బెస్ట్ ఫిగర్స్ ఉన్నప్పుడు పరాజయం వైపు (5)', 'ఇన్నింగ్స్ లో 4 వ చెత్త ఆర్థిక రేటు (12.52)', '5 వ అత్యంత ఐదు-వికెట్ల లో-ఒక-ఇన్నింగ్స్ కెరీర్ (8) లో', 'చాలా 5 వ నాలుగు వికెట్లు-ఇన్-ఒక-ఇన్నింగ్స్ కెరీర్లో (19)', 16 వ కెరీర్ లో బౌల్డ్ చాలా బంతుల్లో ( 'అయిదు వికెట్లు-ఇన్-ఒక-ఇన్నింగ్స్ (35y 46d) పడుతుంది 15 ఓల్డెస్ట్ ఆటగాడు', '10936 ) ',' 8 వ కెరీర్ లో సాధించిన అత్యధిక పరుగులు (9760) ',' 19 వ అత్యధిక పరుగులు ఇన్నింగ్స్ లో సాధించిన (96) ',' 9 వ బౌలర్ / ఫీల్డర్ కలయికలు (45) ',' 4 వ అత్యధిక వికెట్లు తీసుకున్న బౌల్డ్ (104) ', '13 వ అత్యంత తీసుకోబడిన వికెట్ల ఆకర్షించింది (187)', '19 వ అత్యంత ఆకర్షించింది తీసుకోబడిన వికెట్ల ను ఫీల్డర్ (127)', '15 వ అత్యధిక వికెట్లు తీసుకున్న l' 11 వ అత్యధిక వికెట్లు సాధించిన వికెట్కీపర్గా (60) పట్టుకుంటే తీసిన BW (47) ',' 39 వ 100 వికెట్లు 150 వికెట్లు (68) ',' 15 వ వేగంగా వేగంగా (96) ',' 7th 200 వికెట్లు (127) ',' 8 వ వేగవంతమైన 250 వికెట్లు (163) 'వేగంగా, 'కెప్టెన్సీ తొలి 45 వ ఓల్డెస్ట్ కాప్టెన్ (34y 3)',] '300 వికెట్లు (203) 5 వ వేగవంతమైన'</v>
      </c>
      <c r="G7663" s="2" t="s">
        <v>4404</v>
      </c>
      <c r="H7663" s="2" t="str">
        <f>IFERROR(__xludf.DUMMYFUNCTION("IF(G7663&lt;&gt;"""", GOOGLETRANSLATE(G7663, ""en"", ""te""),"""")"),"[ '21 వ ఇన్నింగ్స్ లో అత్యధిక పరుగులు (బ్యాటింగ్ స్థానంలో ప్రకారం) (27)', '6 వ అత్యంత బాతులు కెరీర్లో (8)', '1st కెరీర్లో అత్యధిక వికెట్లు (107)', '10 వ ఇన్నింగ్స్ లో బెస్ట్ ఫిగర్స్ (5 / 6) ',' 5 వ అత్యుత్తమ బౌలింగ్ ఇన్నింగ్స్ లో విశ్లేషించడం (5/6) ',' 9 "&amp;"వ ఒకే మైదానంలో అత్యధిక వికెట్లు (18) ',' ఒక కెప్టెన్తో ఒక ఇన్నింగ్స్ లో 1 వ బెస్ట్ ఫిగర్స్ (5) ',' 35 వ ఉత్తమ కెరీర్ బౌలింగ్ సరాసరి (20.79) ',' 32 వ ఉత్తమ కెరీర్ సమ్మె రేటు (16.8) ',' 7 వ అత్యంత నాలుగు వికెట్లు-ఇన్-ఒక-ఇన్నింగ్స్ కెరీర్లో (3) ',' కెరీర్ ("&amp;"1799) లో బౌల్డ్ 2nd అత్యంత బంతుల్లో ' '3 వ అత్యధిక కెరీర్ లో సాధించిన పరుగులు (2225)', '17 వ బౌలర్ / బ్యాట్స్ కలయికలు (3)', '1 వ అత్యధిక వికెట్లు తీసుకున్న బౌల్డ్ (43)', '4 వ అత్యధిక వికెట్లు తీసుకున్న ఆకర్షించింది (52)', '10 వ అత్యధిక వికెట్లు తీసుకోకూడద"&amp;"ు క్యాచ్ మరియు బౌల్డ్ (4) ',' 5 వ అత్యధిక వికెట్లు ఒక ఫీల్డర్ చేత క్యాచ్ తీసుకున్న (45) ',' 22 వ అత్యధిక వికెట్లు సాధించిన వికెట్కీపర్గా (7) ',' 5 వ అత్యధిక వికెట్లు తీసుకున్న ఎల్బిడబ్ల్యు (12) ',' 24 ద్వారా ఆకర్షించింది తీసుకున్న వేగవంతమైన 50 వికెట్లు ("&amp;"44) ',' తొమ్మిదవ వికెట్కు 9 వ అత్యధిక భాగస్వామ్యం (44) ',' పదవ వికెట్కు 41 వ అత్యధిక భాగస్వామ్యం (16 *) ',' 13 వ మో స్టంప్ కెరీర్లో పోటీలు (84) ',' 11 వ లాంగెస్ట్ కెరీర్లు (13y 265d) ',' 27 వ అత్యధిక మ్యాచ్లు కెప్టెన్గా (24) ',' 48 వ ఓల్డెస్ట్ కాప్టెన్ (3"&amp;"6y 191d) ',' 19 వ వరుస అన్ని టాస్ గెలిచిన (3 ) ']")</f>
        <v>[ '21 వ ఇన్నింగ్స్ లో అత్యధిక పరుగులు (బ్యాటింగ్ స్థానంలో ప్రకారం) (27)', '6 వ అత్యంత బాతులు కెరీర్లో (8)', '1st కెరీర్లో అత్యధిక వికెట్లు (107)', '10 వ ఇన్నింగ్స్ లో బెస్ట్ ఫిగర్స్ (5 / 6) ',' 5 వ అత్యుత్తమ బౌలింగ్ ఇన్నింగ్స్ లో విశ్లేషించడం (5/6) ',' 9 వ ఒకే మైదానంలో అత్యధిక వికెట్లు (18) ',' ఒక కెప్టెన్తో ఒక ఇన్నింగ్స్ లో 1 వ బెస్ట్ ఫిగర్స్ (5) ',' 35 వ ఉత్తమ కెరీర్ బౌలింగ్ సరాసరి (20.79) ',' 32 వ ఉత్తమ కెరీర్ సమ్మె రేటు (16.8) ',' 7 వ అత్యంత నాలుగు వికెట్లు-ఇన్-ఒక-ఇన్నింగ్స్ కెరీర్లో (3) ',' కెరీర్ (1799) లో బౌల్డ్ 2nd అత్యంత బంతుల్లో ' '3 వ అత్యధిక కెరీర్ లో సాధించిన పరుగులు (2225)', '17 వ బౌలర్ / బ్యాట్స్ కలయికలు (3)', '1 వ అత్యధిక వికెట్లు తీసుకున్న బౌల్డ్ (43)', '4 వ అత్యధిక వికెట్లు తీసుకున్న ఆకర్షించింది (52)', '10 వ అత్యధిక వికెట్లు తీసుకోకూడదు క్యాచ్ మరియు బౌల్డ్ (4) ',' 5 వ అత్యధిక వికెట్లు ఒక ఫీల్డర్ చేత క్యాచ్ తీసుకున్న (45) ',' 22 వ అత్యధిక వికెట్లు సాధించిన వికెట్కీపర్గా (7) ',' 5 వ అత్యధిక వికెట్లు తీసుకున్న ఎల్బిడబ్ల్యు (12) ',' 24 ద్వారా ఆకర్షించింది తీసుకున్న వేగవంతమైన 50 వికెట్లు (44) ',' తొమ్మిదవ వికెట్కు 9 వ అత్యధిక భాగస్వామ్యం (44) ',' పదవ వికెట్కు 41 వ అత్యధిక భాగస్వామ్యం (16 *) ',' 13 వ మో స్టంప్ కెరీర్లో పోటీలు (84) ',' 11 వ లాంగెస్ట్ కెరీర్లు (13y 265d) ',' 27 వ అత్యధిక మ్యాచ్లు కెప్టెన్గా (24) ',' 48 వ ఓల్డెస్ట్ కాప్టెన్ (36y 191d) ',' 19 వ వరుస అన్ని టాస్ గెలిచిన (3 ) ']</v>
      </c>
      <c r="I7663" s="3"/>
    </row>
    <row r="7664" customHeight="1" spans="1:9">
      <c r="A7664" s="2"/>
      <c r="B7664" s="2" t="str">
        <f>IFERROR(__xludf.DUMMYFUNCTION("IF(A7664&lt;&gt;"""", GOOGLETRANSLATE(A7664, ""en"", ""te""),"""")"),"")</f>
        <v/>
      </c>
      <c r="C7664" s="2"/>
      <c r="D7664" s="2" t="str">
        <f>IFERROR(__xludf.DUMMYFUNCTION("IF(C7664&lt;&gt;"""", GOOGLETRANSLATE(C7664, ""en"", ""te""),"""")"),"")</f>
        <v/>
      </c>
      <c r="E7664" s="2"/>
      <c r="F7664" s="2" t="str">
        <f>IFERROR(__xludf.DUMMYFUNCTION("IF(E7664&lt;&gt;"""", GOOGLETRANSLATE(E7664, ""en"", ""te""),"""")"),"")</f>
        <v/>
      </c>
      <c r="G7664" s="2"/>
      <c r="H7664" s="2" t="str">
        <f>IFERROR(__xludf.DUMMYFUNCTION("IF(G7664&lt;&gt;"""", GOOGLETRANSLATE(G7664, ""en"", ""te""),"""")"),"")</f>
        <v/>
      </c>
      <c r="I7664" s="3"/>
    </row>
    <row r="7665" customHeight="1" spans="1:9">
      <c r="A7665" s="2"/>
      <c r="B7665" s="2" t="str">
        <f>IFERROR(__xludf.DUMMYFUNCTION("IF(A7665&lt;&gt;"""", GOOGLETRANSLATE(A7665, ""en"", ""te""),"""")"),"")</f>
        <v/>
      </c>
      <c r="C7665" s="2"/>
      <c r="D7665" s="2" t="str">
        <f>IFERROR(__xludf.DUMMYFUNCTION("IF(C7665&lt;&gt;"""", GOOGLETRANSLATE(C7665, ""en"", ""te""),"""")"),"")</f>
        <v/>
      </c>
      <c r="E7665" s="2"/>
      <c r="F7665" s="2" t="str">
        <f>IFERROR(__xludf.DUMMYFUNCTION("IF(E7665&lt;&gt;"""", GOOGLETRANSLATE(E7665, ""en"", ""te""),"""")"),"")</f>
        <v/>
      </c>
      <c r="G7665" s="2"/>
      <c r="H7665" s="2" t="str">
        <f>IFERROR(__xludf.DUMMYFUNCTION("IF(G7665&lt;&gt;"""", GOOGLETRANSLATE(G7665, ""en"", ""te""),"""")"),"")</f>
        <v/>
      </c>
      <c r="I7665" s="3"/>
    </row>
    <row r="7666" customHeight="1" spans="1:9">
      <c r="A7666" s="2"/>
      <c r="B7666" s="2" t="str">
        <f>IFERROR(__xludf.DUMMYFUNCTION("IF(A7666&lt;&gt;"""", GOOGLETRANSLATE(A7666, ""en"", ""te""),"""")"),"")</f>
        <v/>
      </c>
      <c r="C7666" s="2"/>
      <c r="D7666" s="2" t="str">
        <f>IFERROR(__xludf.DUMMYFUNCTION("IF(C7666&lt;&gt;"""", GOOGLETRANSLATE(C7666, ""en"", ""te""),"""")"),"")</f>
        <v/>
      </c>
      <c r="E7666" s="2"/>
      <c r="F7666" s="2" t="str">
        <f>IFERROR(__xludf.DUMMYFUNCTION("IF(E7666&lt;&gt;"""", GOOGLETRANSLATE(E7666, ""en"", ""te""),"""")"),"")</f>
        <v/>
      </c>
      <c r="G7666" s="2"/>
      <c r="H7666" s="2" t="str">
        <f>IFERROR(__xludf.DUMMYFUNCTION("IF(G7666&lt;&gt;"""", GOOGLETRANSLATE(G7666, ""en"", ""te""),"""")"),"")</f>
        <v/>
      </c>
      <c r="I7666" s="3"/>
    </row>
    <row r="7667" customHeight="1" spans="1:9">
      <c r="A7667" s="2"/>
      <c r="B7667" s="2" t="str">
        <f>IFERROR(__xludf.DUMMYFUNCTION("IF(A7667&lt;&gt;"""", GOOGLETRANSLATE(A7667, ""en"", ""te""),"""")"),"")</f>
        <v/>
      </c>
      <c r="C7667" s="2"/>
      <c r="D7667" s="2" t="str">
        <f>IFERROR(__xludf.DUMMYFUNCTION("IF(C7667&lt;&gt;"""", GOOGLETRANSLATE(C7667, ""en"", ""te""),"""")"),"")</f>
        <v/>
      </c>
      <c r="E7667" s="2"/>
      <c r="F7667" s="2" t="str">
        <f>IFERROR(__xludf.DUMMYFUNCTION("IF(E7667&lt;&gt;"""", GOOGLETRANSLATE(E7667, ""en"", ""te""),"""")"),"")</f>
        <v/>
      </c>
      <c r="G7667" s="2"/>
      <c r="H7667" s="2" t="str">
        <f>IFERROR(__xludf.DUMMYFUNCTION("IF(G7667&lt;&gt;"""", GOOGLETRANSLATE(G7667, ""en"", ""te""),"""")"),"")</f>
        <v/>
      </c>
      <c r="I7667" s="3"/>
    </row>
    <row r="7668" customHeight="1" spans="1:9">
      <c r="A7668" s="2"/>
      <c r="B7668" s="2" t="str">
        <f>IFERROR(__xludf.DUMMYFUNCTION("IF(A7668&lt;&gt;"""", GOOGLETRANSLATE(A7668, ""en"", ""te""),"""")"),"")</f>
        <v/>
      </c>
      <c r="C7668" s="2"/>
      <c r="D7668" s="2" t="str">
        <f>IFERROR(__xludf.DUMMYFUNCTION("IF(C7668&lt;&gt;"""", GOOGLETRANSLATE(C7668, ""en"", ""te""),"""")"),"")</f>
        <v/>
      </c>
      <c r="E7668" s="2"/>
      <c r="F7668" s="2" t="str">
        <f>IFERROR(__xludf.DUMMYFUNCTION("IF(E7668&lt;&gt;"""", GOOGLETRANSLATE(E7668, ""en"", ""te""),"""")"),"")</f>
        <v/>
      </c>
      <c r="G7668" s="2"/>
      <c r="H7668" s="2" t="str">
        <f>IFERROR(__xludf.DUMMYFUNCTION("IF(G7668&lt;&gt;"""", GOOGLETRANSLATE(G7668, ""en"", ""te""),"""")"),"")</f>
        <v/>
      </c>
      <c r="I7668" s="3"/>
    </row>
    <row r="7669" customHeight="1" spans="1:9">
      <c r="A7669" s="2"/>
      <c r="B7669" s="2" t="str">
        <f>IFERROR(__xludf.DUMMYFUNCTION("IF(A7669&lt;&gt;"""", GOOGLETRANSLATE(A7669, ""en"", ""te""),"""")"),"")</f>
        <v/>
      </c>
      <c r="C7669" s="2" t="s">
        <v>4405</v>
      </c>
      <c r="D7669" s="2" t="str">
        <f>IFERROR(__xludf.DUMMYFUNCTION("IF(C7669&lt;&gt;"""", GOOGLETRANSLATE(C7669, ""en"", ""te""),"""")"),"[ '28 వరుస మ్యాచ్లు ప్రదర్శనల మధ్య (63) జట్టు తప్పిన']")</f>
        <v>[ '28 వరుస మ్యాచ్లు ప్రదర్శనల మధ్య (63) జట్టు తప్పిన']</v>
      </c>
      <c r="E7669" s="2" t="s">
        <v>4406</v>
      </c>
      <c r="F7669" s="2" t="str">
        <f>IFERROR(__xludf.DUMMYFUNCTION("IF(E7669&lt;&gt;"""", GOOGLETRANSLATE(E7669, ""en"", ""te""),"""")"),"[ '47 వ వరుస మ్యాచ్లు ఆడి మధ్య జట్టు (123) కోసం తప్పిన']")</f>
        <v>[ '47 వ వరుస మ్యాచ్లు ఆడి మధ్య జట్టు (123) కోసం తప్పిన']</v>
      </c>
      <c r="G7669" s="2" t="s">
        <v>4407</v>
      </c>
      <c r="H7669" s="2" t="str">
        <f>IFERROR(__xludf.DUMMYFUNCTION("IF(G7669&lt;&gt;"""", GOOGLETRANSLATE(G7669, ""en"", ""te""),"""")"),"[ '24 వ ఇన్నింగ్స్ లో అత్యధిక పరుగులు (46 *) (బ్యాటింగ్ స్థానం)', 'ఇన్నింగ్స్ లో 11 వ అత్యధిక స్ట్రైక్ రేట్ (353.84)', 'ఏడవ వికెట్కు 48 వ అత్యధిక భాగస్వామ్యం (45 *)', '25 వ అత్యధిక భాగస్వామ్యం ఎనిమిదవ వికెట్కు (40) ']")</f>
        <v>[ '24 వ ఇన్నింగ్స్ లో అత్యధిక పరుగులు (46 *) (బ్యాటింగ్ స్థానం)', 'ఇన్నింగ్స్ లో 11 వ అత్యధిక స్ట్రైక్ రేట్ (353.84)', 'ఏడవ వికెట్కు 48 వ అత్యధిక భాగస్వామ్యం (45 *)', '25 వ అత్యధిక భాగస్వామ్యం ఎనిమిదవ వికెట్కు (40) ']</v>
      </c>
      <c r="I7669" s="3"/>
    </row>
    <row r="7670" customHeight="1" spans="1:9">
      <c r="A7670" s="2"/>
      <c r="B7670" s="2" t="str">
        <f>IFERROR(__xludf.DUMMYFUNCTION("IF(A7670&lt;&gt;"""", GOOGLETRANSLATE(A7670, ""en"", ""te""),"""")"),"")</f>
        <v/>
      </c>
      <c r="C7670" s="2"/>
      <c r="D7670" s="2" t="str">
        <f>IFERROR(__xludf.DUMMYFUNCTION("IF(C7670&lt;&gt;"""", GOOGLETRANSLATE(C7670, ""en"", ""te""),"""")"),"")</f>
        <v/>
      </c>
      <c r="E7670" s="2"/>
      <c r="F7670" s="2" t="str">
        <f>IFERROR(__xludf.DUMMYFUNCTION("IF(E7670&lt;&gt;"""", GOOGLETRANSLATE(E7670, ""en"", ""te""),"""")"),"")</f>
        <v/>
      </c>
      <c r="G7670" s="2"/>
      <c r="H7670" s="2" t="str">
        <f>IFERROR(__xludf.DUMMYFUNCTION("IF(G7670&lt;&gt;"""", GOOGLETRANSLATE(G7670, ""en"", ""te""),"""")"),"")</f>
        <v/>
      </c>
      <c r="I7670" s="3"/>
    </row>
    <row r="7671" customHeight="1" spans="1:9">
      <c r="A7671" s="2"/>
      <c r="B7671" s="2" t="str">
        <f>IFERROR(__xludf.DUMMYFUNCTION("IF(A7671&lt;&gt;"""", GOOGLETRANSLATE(A7671, ""en"", ""te""),"""")"),"")</f>
        <v/>
      </c>
      <c r="C7671" s="2"/>
      <c r="D7671" s="2" t="str">
        <f>IFERROR(__xludf.DUMMYFUNCTION("IF(C7671&lt;&gt;"""", GOOGLETRANSLATE(C7671, ""en"", ""te""),"""")"),"")</f>
        <v/>
      </c>
      <c r="E7671" s="2"/>
      <c r="F7671" s="2" t="str">
        <f>IFERROR(__xludf.DUMMYFUNCTION("IF(E7671&lt;&gt;"""", GOOGLETRANSLATE(E7671, ""en"", ""te""),"""")"),"")</f>
        <v/>
      </c>
      <c r="G7671" s="2"/>
      <c r="H7671" s="2" t="str">
        <f>IFERROR(__xludf.DUMMYFUNCTION("IF(G7671&lt;&gt;"""", GOOGLETRANSLATE(G7671, ""en"", ""te""),"""")"),"")</f>
        <v/>
      </c>
      <c r="I7671" s="3"/>
    </row>
    <row r="7672" customHeight="1" spans="1:9">
      <c r="A7672" s="2"/>
      <c r="B7672" s="2" t="str">
        <f>IFERROR(__xludf.DUMMYFUNCTION("IF(A7672&lt;&gt;"""", GOOGLETRANSLATE(A7672, ""en"", ""te""),"""")"),"")</f>
        <v/>
      </c>
      <c r="C7672" s="2"/>
      <c r="D7672" s="2" t="str">
        <f>IFERROR(__xludf.DUMMYFUNCTION("IF(C7672&lt;&gt;"""", GOOGLETRANSLATE(C7672, ""en"", ""te""),"""")"),"")</f>
        <v/>
      </c>
      <c r="E7672" s="2"/>
      <c r="F7672" s="2" t="str">
        <f>IFERROR(__xludf.DUMMYFUNCTION("IF(E7672&lt;&gt;"""", GOOGLETRANSLATE(E7672, ""en"", ""te""),"""")"),"")</f>
        <v/>
      </c>
      <c r="G7672" s="2"/>
      <c r="H7672" s="2" t="str">
        <f>IFERROR(__xludf.DUMMYFUNCTION("IF(G7672&lt;&gt;"""", GOOGLETRANSLATE(G7672, ""en"", ""te""),"""")"),"")</f>
        <v/>
      </c>
      <c r="I7672" s="3"/>
    </row>
    <row r="7673" customHeight="1" spans="1:9">
      <c r="A7673" s="2"/>
      <c r="B7673" s="2" t="str">
        <f>IFERROR(__xludf.DUMMYFUNCTION("IF(A7673&lt;&gt;"""", GOOGLETRANSLATE(A7673, ""en"", ""te""),"""")"),"")</f>
        <v/>
      </c>
      <c r="C7673" s="2"/>
      <c r="D7673" s="2" t="str">
        <f>IFERROR(__xludf.DUMMYFUNCTION("IF(C7673&lt;&gt;"""", GOOGLETRANSLATE(C7673, ""en"", ""te""),"""")"),"")</f>
        <v/>
      </c>
      <c r="E7673" s="2"/>
      <c r="F7673" s="2" t="str">
        <f>IFERROR(__xludf.DUMMYFUNCTION("IF(E7673&lt;&gt;"""", GOOGLETRANSLATE(E7673, ""en"", ""te""),"""")"),"")</f>
        <v/>
      </c>
      <c r="G7673" s="2"/>
      <c r="H7673" s="2" t="str">
        <f>IFERROR(__xludf.DUMMYFUNCTION("IF(G7673&lt;&gt;"""", GOOGLETRANSLATE(G7673, ""en"", ""te""),"""")"),"")</f>
        <v/>
      </c>
      <c r="I7673" s="3"/>
    </row>
    <row r="7674" customHeight="1" spans="1:9">
      <c r="A7674" s="2"/>
      <c r="B7674" s="2" t="str">
        <f>IFERROR(__xludf.DUMMYFUNCTION("IF(A7674&lt;&gt;"""", GOOGLETRANSLATE(A7674, ""en"", ""te""),"""")"),"")</f>
        <v/>
      </c>
      <c r="C7674" s="2"/>
      <c r="D7674" s="2" t="str">
        <f>IFERROR(__xludf.DUMMYFUNCTION("IF(C7674&lt;&gt;"""", GOOGLETRANSLATE(C7674, ""en"", ""te""),"""")"),"")</f>
        <v/>
      </c>
      <c r="E7674" s="2"/>
      <c r="F7674" s="2" t="str">
        <f>IFERROR(__xludf.DUMMYFUNCTION("IF(E7674&lt;&gt;"""", GOOGLETRANSLATE(E7674, ""en"", ""te""),"""")"),"")</f>
        <v/>
      </c>
      <c r="G7674" s="2"/>
      <c r="H7674" s="2" t="str">
        <f>IFERROR(__xludf.DUMMYFUNCTION("IF(G7674&lt;&gt;"""", GOOGLETRANSLATE(G7674, ""en"", ""te""),"""")"),"")</f>
        <v/>
      </c>
      <c r="I7674" s="3"/>
    </row>
    <row r="7675" customHeight="1" spans="1:9">
      <c r="A7675" s="2"/>
      <c r="B7675" s="2" t="str">
        <f>IFERROR(__xludf.DUMMYFUNCTION("IF(A7675&lt;&gt;"""", GOOGLETRANSLATE(A7675, ""en"", ""te""),"""")"),"")</f>
        <v/>
      </c>
      <c r="C7675" s="2"/>
      <c r="D7675" s="2" t="str">
        <f>IFERROR(__xludf.DUMMYFUNCTION("IF(C7675&lt;&gt;"""", GOOGLETRANSLATE(C7675, ""en"", ""te""),"""")"),"")</f>
        <v/>
      </c>
      <c r="E7675" s="2"/>
      <c r="F7675" s="2" t="str">
        <f>IFERROR(__xludf.DUMMYFUNCTION("IF(E7675&lt;&gt;"""", GOOGLETRANSLATE(E7675, ""en"", ""te""),"""")"),"")</f>
        <v/>
      </c>
      <c r="G7675" s="2"/>
      <c r="H7675" s="2" t="str">
        <f>IFERROR(__xludf.DUMMYFUNCTION("IF(G7675&lt;&gt;"""", GOOGLETRANSLATE(G7675, ""en"", ""te""),"""")"),"")</f>
        <v/>
      </c>
      <c r="I7675" s="3"/>
    </row>
    <row r="7676" customHeight="1" spans="1:9">
      <c r="A7676" s="2"/>
      <c r="B7676" s="2" t="str">
        <f>IFERROR(__xludf.DUMMYFUNCTION("IF(A7676&lt;&gt;"""", GOOGLETRANSLATE(A7676, ""en"", ""te""),"""")"),"")</f>
        <v/>
      </c>
      <c r="C7676" s="2"/>
      <c r="D7676" s="2" t="str">
        <f>IFERROR(__xludf.DUMMYFUNCTION("IF(C7676&lt;&gt;"""", GOOGLETRANSLATE(C7676, ""en"", ""te""),"""")"),"")</f>
        <v/>
      </c>
      <c r="E7676" s="2"/>
      <c r="F7676" s="2" t="str">
        <f>IFERROR(__xludf.DUMMYFUNCTION("IF(E7676&lt;&gt;"""", GOOGLETRANSLATE(E7676, ""en"", ""te""),"""")"),"")</f>
        <v/>
      </c>
      <c r="G7676" s="2"/>
      <c r="H7676" s="2" t="str">
        <f>IFERROR(__xludf.DUMMYFUNCTION("IF(G7676&lt;&gt;"""", GOOGLETRANSLATE(G7676, ""en"", ""te""),"""")"),"")</f>
        <v/>
      </c>
      <c r="I7676" s="3"/>
    </row>
    <row r="7677" customHeight="1" spans="1:9">
      <c r="A7677" s="2" t="s">
        <v>1098</v>
      </c>
      <c r="B7677" s="2" t="str">
        <f>IFERROR(__xludf.DUMMYFUNCTION("IF(A7677&lt;&gt;"""", GOOGLETRANSLATE(A7677, ""en"", ""te""),"""")"),"[ 'ప్రవేశం (103) పై వంద']")</f>
        <v>[ 'ప్రవేశం (103) పై వంద']</v>
      </c>
      <c r="C7677" s="2"/>
      <c r="D7677" s="2" t="str">
        <f>IFERROR(__xludf.DUMMYFUNCTION("IF(C7677&lt;&gt;"""", GOOGLETRANSLATE(C7677, ""en"", ""te""),"""")"),"")</f>
        <v/>
      </c>
      <c r="E7677" s="2"/>
      <c r="F7677" s="2" t="str">
        <f>IFERROR(__xludf.DUMMYFUNCTION("IF(E7677&lt;&gt;"""", GOOGLETRANSLATE(E7677, ""en"", ""te""),"""")"),"")</f>
        <v/>
      </c>
      <c r="G7677" s="2"/>
      <c r="H7677" s="2" t="str">
        <f>IFERROR(__xludf.DUMMYFUNCTION("IF(G7677&lt;&gt;"""", GOOGLETRANSLATE(G7677, ""en"", ""te""),"""")"),"")</f>
        <v/>
      </c>
      <c r="I7677" s="3"/>
    </row>
    <row r="7678" customHeight="1" spans="1:9">
      <c r="A7678" s="2"/>
      <c r="B7678" s="2" t="str">
        <f>IFERROR(__xludf.DUMMYFUNCTION("IF(A7678&lt;&gt;"""", GOOGLETRANSLATE(A7678, ""en"", ""te""),"""")"),"")</f>
        <v/>
      </c>
      <c r="C7678" s="2"/>
      <c r="D7678" s="2" t="str">
        <f>IFERROR(__xludf.DUMMYFUNCTION("IF(C7678&lt;&gt;"""", GOOGLETRANSLATE(C7678, ""en"", ""te""),"""")"),"")</f>
        <v/>
      </c>
      <c r="E7678" s="2"/>
      <c r="F7678" s="2" t="str">
        <f>IFERROR(__xludf.DUMMYFUNCTION("IF(E7678&lt;&gt;"""", GOOGLETRANSLATE(E7678, ""en"", ""te""),"""")"),"")</f>
        <v/>
      </c>
      <c r="G7678" s="2"/>
      <c r="H7678" s="2" t="str">
        <f>IFERROR(__xludf.DUMMYFUNCTION("IF(G7678&lt;&gt;"""", GOOGLETRANSLATE(G7678, ""en"", ""te""),"""")"),"")</f>
        <v/>
      </c>
      <c r="I7678" s="3"/>
    </row>
    <row r="7679" customHeight="1" spans="1:9">
      <c r="A7679" s="2"/>
      <c r="B7679" s="2" t="str">
        <f>IFERROR(__xludf.DUMMYFUNCTION("IF(A7679&lt;&gt;"""", GOOGLETRANSLATE(A7679, ""en"", ""te""),"""")"),"")</f>
        <v/>
      </c>
      <c r="C7679" s="2"/>
      <c r="D7679" s="2" t="str">
        <f>IFERROR(__xludf.DUMMYFUNCTION("IF(C7679&lt;&gt;"""", GOOGLETRANSLATE(C7679, ""en"", ""te""),"""")"),"")</f>
        <v/>
      </c>
      <c r="E7679" s="2"/>
      <c r="F7679" s="2" t="str">
        <f>IFERROR(__xludf.DUMMYFUNCTION("IF(E7679&lt;&gt;"""", GOOGLETRANSLATE(E7679, ""en"", ""te""),"""")"),"")</f>
        <v/>
      </c>
      <c r="G7679" s="2"/>
      <c r="H7679" s="2" t="str">
        <f>IFERROR(__xludf.DUMMYFUNCTION("IF(G7679&lt;&gt;"""", GOOGLETRANSLATE(G7679, ""en"", ""te""),"""")"),"")</f>
        <v/>
      </c>
      <c r="I7679" s="3"/>
    </row>
    <row r="7680" customHeight="1" spans="1:9">
      <c r="A7680" s="2"/>
      <c r="B7680" s="2" t="str">
        <f>IFERROR(__xludf.DUMMYFUNCTION("IF(A7680&lt;&gt;"""", GOOGLETRANSLATE(A7680, ""en"", ""te""),"""")"),"")</f>
        <v/>
      </c>
      <c r="C7680" s="2"/>
      <c r="D7680" s="2" t="str">
        <f>IFERROR(__xludf.DUMMYFUNCTION("IF(C7680&lt;&gt;"""", GOOGLETRANSLATE(C7680, ""en"", ""te""),"""")"),"")</f>
        <v/>
      </c>
      <c r="E7680" s="2"/>
      <c r="F7680" s="2" t="str">
        <f>IFERROR(__xludf.DUMMYFUNCTION("IF(E7680&lt;&gt;"""", GOOGLETRANSLATE(E7680, ""en"", ""te""),"""")"),"")</f>
        <v/>
      </c>
      <c r="G7680" s="2"/>
      <c r="H7680" s="2" t="str">
        <f>IFERROR(__xludf.DUMMYFUNCTION("IF(G7680&lt;&gt;"""", GOOGLETRANSLATE(G7680, ""en"", ""te""),"""")"),"")</f>
        <v/>
      </c>
      <c r="I7680" s="3"/>
    </row>
    <row r="7681" customHeight="1" spans="1:9">
      <c r="A7681" s="2"/>
      <c r="B7681" s="2" t="str">
        <f>IFERROR(__xludf.DUMMYFUNCTION("IF(A7681&lt;&gt;"""", GOOGLETRANSLATE(A7681, ""en"", ""te""),"""")"),"")</f>
        <v/>
      </c>
      <c r="C7681" s="2"/>
      <c r="D7681" s="2" t="str">
        <f>IFERROR(__xludf.DUMMYFUNCTION("IF(C7681&lt;&gt;"""", GOOGLETRANSLATE(C7681, ""en"", ""te""),"""")"),"")</f>
        <v/>
      </c>
      <c r="E7681" s="2"/>
      <c r="F7681" s="2" t="str">
        <f>IFERROR(__xludf.DUMMYFUNCTION("IF(E7681&lt;&gt;"""", GOOGLETRANSLATE(E7681, ""en"", ""te""),"""")"),"")</f>
        <v/>
      </c>
      <c r="G7681" s="2"/>
      <c r="H7681" s="2" t="str">
        <f>IFERROR(__xludf.DUMMYFUNCTION("IF(G7681&lt;&gt;"""", GOOGLETRANSLATE(G7681, ""en"", ""te""),"""")"),"")</f>
        <v/>
      </c>
      <c r="I7681" s="3"/>
    </row>
    <row r="7682" customHeight="1" spans="1:9">
      <c r="A7682" s="2"/>
      <c r="B7682" s="2" t="str">
        <f>IFERROR(__xludf.DUMMYFUNCTION("IF(A7682&lt;&gt;"""", GOOGLETRANSLATE(A7682, ""en"", ""te""),"""")"),"")</f>
        <v/>
      </c>
      <c r="C7682" s="2"/>
      <c r="D7682" s="2" t="str">
        <f>IFERROR(__xludf.DUMMYFUNCTION("IF(C7682&lt;&gt;"""", GOOGLETRANSLATE(C7682, ""en"", ""te""),"""")"),"")</f>
        <v/>
      </c>
      <c r="E7682" s="2"/>
      <c r="F7682" s="2" t="str">
        <f>IFERROR(__xludf.DUMMYFUNCTION("IF(E7682&lt;&gt;"""", GOOGLETRANSLATE(E7682, ""en"", ""te""),"""")"),"")</f>
        <v/>
      </c>
      <c r="G7682" s="2"/>
      <c r="H7682" s="2" t="str">
        <f>IFERROR(__xludf.DUMMYFUNCTION("IF(G7682&lt;&gt;"""", GOOGLETRANSLATE(G7682, ""en"", ""te""),"""")"),"")</f>
        <v/>
      </c>
      <c r="I7682" s="3"/>
    </row>
    <row r="7683" customHeight="1" spans="1:9">
      <c r="A7683" s="2"/>
      <c r="B7683" s="2" t="str">
        <f>IFERROR(__xludf.DUMMYFUNCTION("IF(A7683&lt;&gt;"""", GOOGLETRANSLATE(A7683, ""en"", ""te""),"""")"),"")</f>
        <v/>
      </c>
      <c r="C7683" s="2"/>
      <c r="D7683" s="2" t="str">
        <f>IFERROR(__xludf.DUMMYFUNCTION("IF(C7683&lt;&gt;"""", GOOGLETRANSLATE(C7683, ""en"", ""te""),"""")"),"")</f>
        <v/>
      </c>
      <c r="E7683" s="2"/>
      <c r="F7683" s="2" t="str">
        <f>IFERROR(__xludf.DUMMYFUNCTION("IF(E7683&lt;&gt;"""", GOOGLETRANSLATE(E7683, ""en"", ""te""),"""")"),"")</f>
        <v/>
      </c>
      <c r="G7683" s="2"/>
      <c r="H7683" s="2" t="str">
        <f>IFERROR(__xludf.DUMMYFUNCTION("IF(G7683&lt;&gt;"""", GOOGLETRANSLATE(G7683, ""en"", ""te""),"""")"),"")</f>
        <v/>
      </c>
      <c r="I7683" s="3"/>
    </row>
    <row r="7684" customHeight="1" spans="1:9">
      <c r="A7684" s="2"/>
      <c r="B7684" s="2" t="str">
        <f>IFERROR(__xludf.DUMMYFUNCTION("IF(A7684&lt;&gt;"""", GOOGLETRANSLATE(A7684, ""en"", ""te""),"""")"),"")</f>
        <v/>
      </c>
      <c r="C7684" s="2"/>
      <c r="D7684" s="2" t="str">
        <f>IFERROR(__xludf.DUMMYFUNCTION("IF(C7684&lt;&gt;"""", GOOGLETRANSLATE(C7684, ""en"", ""te""),"""")"),"")</f>
        <v/>
      </c>
      <c r="E7684" s="2"/>
      <c r="F7684" s="2" t="str">
        <f>IFERROR(__xludf.DUMMYFUNCTION("IF(E7684&lt;&gt;"""", GOOGLETRANSLATE(E7684, ""en"", ""te""),"""")"),"")</f>
        <v/>
      </c>
      <c r="G7684" s="2"/>
      <c r="H7684" s="2" t="str">
        <f>IFERROR(__xludf.DUMMYFUNCTION("IF(G7684&lt;&gt;"""", GOOGLETRANSLATE(G7684, ""en"", ""te""),"""")"),"")</f>
        <v/>
      </c>
      <c r="I7684" s="3"/>
    </row>
    <row r="7685" customHeight="1" spans="1:9">
      <c r="A7685" s="2"/>
      <c r="B7685" s="2" t="str">
        <f>IFERROR(__xludf.DUMMYFUNCTION("IF(A7685&lt;&gt;"""", GOOGLETRANSLATE(A7685, ""en"", ""te""),"""")"),"")</f>
        <v/>
      </c>
      <c r="C7685" s="2"/>
      <c r="D7685" s="2" t="str">
        <f>IFERROR(__xludf.DUMMYFUNCTION("IF(C7685&lt;&gt;"""", GOOGLETRANSLATE(C7685, ""en"", ""te""),"""")"),"")</f>
        <v/>
      </c>
      <c r="E7685" s="2"/>
      <c r="F7685" s="2" t="str">
        <f>IFERROR(__xludf.DUMMYFUNCTION("IF(E7685&lt;&gt;"""", GOOGLETRANSLATE(E7685, ""en"", ""te""),"""")"),"")</f>
        <v/>
      </c>
      <c r="G7685" s="2"/>
      <c r="H7685" s="2" t="str">
        <f>IFERROR(__xludf.DUMMYFUNCTION("IF(G7685&lt;&gt;"""", GOOGLETRANSLATE(G7685, ""en"", ""te""),"""")"),"")</f>
        <v/>
      </c>
      <c r="I7685" s="3"/>
    </row>
    <row r="7686" customHeight="1" spans="1:9">
      <c r="A7686" s="2"/>
      <c r="B7686" s="2" t="str">
        <f>IFERROR(__xludf.DUMMYFUNCTION("IF(A7686&lt;&gt;"""", GOOGLETRANSLATE(A7686, ""en"", ""te""),"""")"),"")</f>
        <v/>
      </c>
      <c r="C7686" s="2"/>
      <c r="D7686" s="2" t="str">
        <f>IFERROR(__xludf.DUMMYFUNCTION("IF(C7686&lt;&gt;"""", GOOGLETRANSLATE(C7686, ""en"", ""te""),"""")"),"")</f>
        <v/>
      </c>
      <c r="E7686" s="2"/>
      <c r="F7686" s="2" t="str">
        <f>IFERROR(__xludf.DUMMYFUNCTION("IF(E7686&lt;&gt;"""", GOOGLETRANSLATE(E7686, ""en"", ""te""),"""")"),"")</f>
        <v/>
      </c>
      <c r="G7686" s="2"/>
      <c r="H7686" s="2" t="str">
        <f>IFERROR(__xludf.DUMMYFUNCTION("IF(G7686&lt;&gt;"""", GOOGLETRANSLATE(G7686, ""en"", ""te""),"""")"),"")</f>
        <v/>
      </c>
      <c r="I7686" s="3"/>
    </row>
    <row r="7687" customHeight="1" spans="1:9">
      <c r="A7687" s="2"/>
      <c r="B7687" s="2" t="str">
        <f>IFERROR(__xludf.DUMMYFUNCTION("IF(A7687&lt;&gt;"""", GOOGLETRANSLATE(A7687, ""en"", ""te""),"""")"),"")</f>
        <v/>
      </c>
      <c r="C7687" s="2"/>
      <c r="D7687" s="2" t="str">
        <f>IFERROR(__xludf.DUMMYFUNCTION("IF(C7687&lt;&gt;"""", GOOGLETRANSLATE(C7687, ""en"", ""te""),"""")"),"")</f>
        <v/>
      </c>
      <c r="E7687" s="2"/>
      <c r="F7687" s="2" t="str">
        <f>IFERROR(__xludf.DUMMYFUNCTION("IF(E7687&lt;&gt;"""", GOOGLETRANSLATE(E7687, ""en"", ""te""),"""")"),"")</f>
        <v/>
      </c>
      <c r="G7687" s="2"/>
      <c r="H7687" s="2" t="str">
        <f>IFERROR(__xludf.DUMMYFUNCTION("IF(G7687&lt;&gt;"""", GOOGLETRANSLATE(G7687, ""en"", ""te""),"""")"),"")</f>
        <v/>
      </c>
      <c r="I7687" s="3"/>
    </row>
    <row r="7688" customHeight="1" spans="1:9">
      <c r="A7688" s="2"/>
      <c r="B7688" s="2" t="str">
        <f>IFERROR(__xludf.DUMMYFUNCTION("IF(A7688&lt;&gt;"""", GOOGLETRANSLATE(A7688, ""en"", ""te""),"""")"),"")</f>
        <v/>
      </c>
      <c r="C7688" s="2"/>
      <c r="D7688" s="2" t="str">
        <f>IFERROR(__xludf.DUMMYFUNCTION("IF(C7688&lt;&gt;"""", GOOGLETRANSLATE(C7688, ""en"", ""te""),"""")"),"")</f>
        <v/>
      </c>
      <c r="E7688" s="2"/>
      <c r="F7688" s="2" t="str">
        <f>IFERROR(__xludf.DUMMYFUNCTION("IF(E7688&lt;&gt;"""", GOOGLETRANSLATE(E7688, ""en"", ""te""),"""")"),"")</f>
        <v/>
      </c>
      <c r="G7688" s="2"/>
      <c r="H7688" s="2" t="str">
        <f>IFERROR(__xludf.DUMMYFUNCTION("IF(G7688&lt;&gt;"""", GOOGLETRANSLATE(G7688, ""en"", ""te""),"""")"),"")</f>
        <v/>
      </c>
      <c r="I7688" s="3"/>
    </row>
    <row r="7689" customHeight="1" spans="1:9">
      <c r="A7689" s="2"/>
      <c r="B7689" s="2" t="str">
        <f>IFERROR(__xludf.DUMMYFUNCTION("IF(A7689&lt;&gt;"""", GOOGLETRANSLATE(A7689, ""en"", ""te""),"""")"),"")</f>
        <v/>
      </c>
      <c r="C7689" s="2"/>
      <c r="D7689" s="2" t="str">
        <f>IFERROR(__xludf.DUMMYFUNCTION("IF(C7689&lt;&gt;"""", GOOGLETRANSLATE(C7689, ""en"", ""te""),"""")"),"")</f>
        <v/>
      </c>
      <c r="E7689" s="2"/>
      <c r="F7689" s="2" t="str">
        <f>IFERROR(__xludf.DUMMYFUNCTION("IF(E7689&lt;&gt;"""", GOOGLETRANSLATE(E7689, ""en"", ""te""),"""")"),"")</f>
        <v/>
      </c>
      <c r="G7689" s="2"/>
      <c r="H7689" s="2" t="str">
        <f>IFERROR(__xludf.DUMMYFUNCTION("IF(G7689&lt;&gt;"""", GOOGLETRANSLATE(G7689, ""en"", ""te""),"""")"),"")</f>
        <v/>
      </c>
      <c r="I7689" s="3"/>
    </row>
    <row r="7690" customHeight="1" spans="1:9">
      <c r="A7690" s="2"/>
      <c r="B7690" s="2" t="str">
        <f>IFERROR(__xludf.DUMMYFUNCTION("IF(A7690&lt;&gt;"""", GOOGLETRANSLATE(A7690, ""en"", ""te""),"""")"),"")</f>
        <v/>
      </c>
      <c r="C7690" s="2"/>
      <c r="D7690" s="2" t="str">
        <f>IFERROR(__xludf.DUMMYFUNCTION("IF(C7690&lt;&gt;"""", GOOGLETRANSLATE(C7690, ""en"", ""te""),"""")"),"")</f>
        <v/>
      </c>
      <c r="E7690" s="2"/>
      <c r="F7690" s="2" t="str">
        <f>IFERROR(__xludf.DUMMYFUNCTION("IF(E7690&lt;&gt;"""", GOOGLETRANSLATE(E7690, ""en"", ""te""),"""")"),"")</f>
        <v/>
      </c>
      <c r="G7690" s="2"/>
      <c r="H7690" s="2" t="str">
        <f>IFERROR(__xludf.DUMMYFUNCTION("IF(G7690&lt;&gt;"""", GOOGLETRANSLATE(G7690, ""en"", ""te""),"""")"),"")</f>
        <v/>
      </c>
      <c r="I7690" s="3"/>
    </row>
    <row r="7691" customHeight="1" spans="1:9">
      <c r="A7691" s="2"/>
      <c r="B7691" s="2" t="str">
        <f>IFERROR(__xludf.DUMMYFUNCTION("IF(A7691&lt;&gt;"""", GOOGLETRANSLATE(A7691, ""en"", ""te""),"""")"),"")</f>
        <v/>
      </c>
      <c r="C7691" s="2"/>
      <c r="D7691" s="2" t="str">
        <f>IFERROR(__xludf.DUMMYFUNCTION("IF(C7691&lt;&gt;"""", GOOGLETRANSLATE(C7691, ""en"", ""te""),"""")"),"")</f>
        <v/>
      </c>
      <c r="E7691" s="2"/>
      <c r="F7691" s="2" t="str">
        <f>IFERROR(__xludf.DUMMYFUNCTION("IF(E7691&lt;&gt;"""", GOOGLETRANSLATE(E7691, ""en"", ""te""),"""")"),"")</f>
        <v/>
      </c>
      <c r="G7691" s="2"/>
      <c r="H7691" s="2" t="str">
        <f>IFERROR(__xludf.DUMMYFUNCTION("IF(G7691&lt;&gt;"""", GOOGLETRANSLATE(G7691, ""en"", ""te""),"""")"),"")</f>
        <v/>
      </c>
      <c r="I7691" s="3"/>
    </row>
    <row r="7692" customHeight="1" spans="1:9">
      <c r="A7692" s="2"/>
      <c r="B7692" s="2" t="str">
        <f>IFERROR(__xludf.DUMMYFUNCTION("IF(A7692&lt;&gt;"""", GOOGLETRANSLATE(A7692, ""en"", ""te""),"""")"),"")</f>
        <v/>
      </c>
      <c r="C7692" s="2"/>
      <c r="D7692" s="2" t="str">
        <f>IFERROR(__xludf.DUMMYFUNCTION("IF(C7692&lt;&gt;"""", GOOGLETRANSLATE(C7692, ""en"", ""te""),"""")"),"")</f>
        <v/>
      </c>
      <c r="E7692" s="2"/>
      <c r="F7692" s="2" t="str">
        <f>IFERROR(__xludf.DUMMYFUNCTION("IF(E7692&lt;&gt;"""", GOOGLETRANSLATE(E7692, ""en"", ""te""),"""")"),"")</f>
        <v/>
      </c>
      <c r="G7692" s="2"/>
      <c r="H7692" s="2" t="str">
        <f>IFERROR(__xludf.DUMMYFUNCTION("IF(G7692&lt;&gt;"""", GOOGLETRANSLATE(G7692, ""en"", ""te""),"""")"),"")</f>
        <v/>
      </c>
      <c r="I7692" s="3"/>
    </row>
    <row r="7693" customHeight="1" spans="1:9">
      <c r="A7693" s="2"/>
      <c r="B7693" s="2" t="str">
        <f>IFERROR(__xludf.DUMMYFUNCTION("IF(A7693&lt;&gt;"""", GOOGLETRANSLATE(A7693, ""en"", ""te""),"""")"),"")</f>
        <v/>
      </c>
      <c r="C7693" s="2"/>
      <c r="D7693" s="2" t="str">
        <f>IFERROR(__xludf.DUMMYFUNCTION("IF(C7693&lt;&gt;"""", GOOGLETRANSLATE(C7693, ""en"", ""te""),"""")"),"")</f>
        <v/>
      </c>
      <c r="E7693" s="2"/>
      <c r="F7693" s="2" t="str">
        <f>IFERROR(__xludf.DUMMYFUNCTION("IF(E7693&lt;&gt;"""", GOOGLETRANSLATE(E7693, ""en"", ""te""),"""")"),"")</f>
        <v/>
      </c>
      <c r="G7693" s="2"/>
      <c r="H7693" s="2" t="str">
        <f>IFERROR(__xludf.DUMMYFUNCTION("IF(G7693&lt;&gt;"""", GOOGLETRANSLATE(G7693, ""en"", ""te""),"""")"),"")</f>
        <v/>
      </c>
      <c r="I7693" s="3"/>
    </row>
    <row r="7694" customHeight="1" spans="1:9">
      <c r="A7694" s="2"/>
      <c r="B7694" s="2" t="str">
        <f>IFERROR(__xludf.DUMMYFUNCTION("IF(A7694&lt;&gt;"""", GOOGLETRANSLATE(A7694, ""en"", ""te""),"""")"),"")</f>
        <v/>
      </c>
      <c r="C7694" s="2"/>
      <c r="D7694" s="2" t="str">
        <f>IFERROR(__xludf.DUMMYFUNCTION("IF(C7694&lt;&gt;"""", GOOGLETRANSLATE(C7694, ""en"", ""te""),"""")"),"")</f>
        <v/>
      </c>
      <c r="E7694" s="2"/>
      <c r="F7694" s="2" t="str">
        <f>IFERROR(__xludf.DUMMYFUNCTION("IF(E7694&lt;&gt;"""", GOOGLETRANSLATE(E7694, ""en"", ""te""),"""")"),"")</f>
        <v/>
      </c>
      <c r="G7694" s="2"/>
      <c r="H7694" s="2" t="str">
        <f>IFERROR(__xludf.DUMMYFUNCTION("IF(G7694&lt;&gt;"""", GOOGLETRANSLATE(G7694, ""en"", ""te""),"""")"),"")</f>
        <v/>
      </c>
      <c r="I7694" s="3"/>
    </row>
    <row r="7695" customHeight="1" spans="1:9">
      <c r="A7695" s="2"/>
      <c r="B7695" s="2" t="str">
        <f>IFERROR(__xludf.DUMMYFUNCTION("IF(A7695&lt;&gt;"""", GOOGLETRANSLATE(A7695, ""en"", ""te""),"""")"),"")</f>
        <v/>
      </c>
      <c r="C7695" s="2"/>
      <c r="D7695" s="2" t="str">
        <f>IFERROR(__xludf.DUMMYFUNCTION("IF(C7695&lt;&gt;"""", GOOGLETRANSLATE(C7695, ""en"", ""te""),"""")"),"")</f>
        <v/>
      </c>
      <c r="E7695" s="2" t="s">
        <v>4408</v>
      </c>
      <c r="F7695" s="2" t="str">
        <f>IFERROR(__xludf.DUMMYFUNCTION("IF(E7695&lt;&gt;"""", GOOGLETRANSLATE(E7695, ""en"", ""te""),"""")"),"[ '12 వ లాంగెస్ట్ క్రీడాకారులు నివసించారు (73y 37d)']")</f>
        <v>[ '12 వ లాంగెస్ట్ క్రీడాకారులు నివసించారు (73y 37d)']</v>
      </c>
      <c r="G7695" s="2"/>
      <c r="H7695" s="2" t="str">
        <f>IFERROR(__xludf.DUMMYFUNCTION("IF(G7695&lt;&gt;"""", GOOGLETRANSLATE(G7695, ""en"", ""te""),"""")"),"")</f>
        <v/>
      </c>
      <c r="I7695" s="3"/>
    </row>
    <row r="7696" customHeight="1" spans="1:9">
      <c r="A7696" s="2"/>
      <c r="B7696" s="2" t="str">
        <f>IFERROR(__xludf.DUMMYFUNCTION("IF(A7696&lt;&gt;"""", GOOGLETRANSLATE(A7696, ""en"", ""te""),"""")"),"")</f>
        <v/>
      </c>
      <c r="C7696" s="2"/>
      <c r="D7696" s="2" t="str">
        <f>IFERROR(__xludf.DUMMYFUNCTION("IF(C7696&lt;&gt;"""", GOOGLETRANSLATE(C7696, ""en"", ""te""),"""")"),"")</f>
        <v/>
      </c>
      <c r="E7696" s="2"/>
      <c r="F7696" s="2" t="str">
        <f>IFERROR(__xludf.DUMMYFUNCTION("IF(E7696&lt;&gt;"""", GOOGLETRANSLATE(E7696, ""en"", ""te""),"""")"),"")</f>
        <v/>
      </c>
      <c r="G7696" s="2"/>
      <c r="H7696" s="2" t="str">
        <f>IFERROR(__xludf.DUMMYFUNCTION("IF(G7696&lt;&gt;"""", GOOGLETRANSLATE(G7696, ""en"", ""te""),"""")"),"")</f>
        <v/>
      </c>
      <c r="I7696" s="3"/>
    </row>
    <row r="7697" customHeight="1" spans="1:9">
      <c r="A7697" s="2"/>
      <c r="B7697" s="2" t="str">
        <f>IFERROR(__xludf.DUMMYFUNCTION("IF(A7697&lt;&gt;"""", GOOGLETRANSLATE(A7697, ""en"", ""te""),"""")"),"")</f>
        <v/>
      </c>
      <c r="C7697" s="2"/>
      <c r="D7697" s="2" t="str">
        <f>IFERROR(__xludf.DUMMYFUNCTION("IF(C7697&lt;&gt;"""", GOOGLETRANSLATE(C7697, ""en"", ""te""),"""")"),"")</f>
        <v/>
      </c>
      <c r="E7697" s="2"/>
      <c r="F7697" s="2" t="str">
        <f>IFERROR(__xludf.DUMMYFUNCTION("IF(E7697&lt;&gt;"""", GOOGLETRANSLATE(E7697, ""en"", ""te""),"""")"),"")</f>
        <v/>
      </c>
      <c r="G7697" s="2"/>
      <c r="H7697" s="2" t="str">
        <f>IFERROR(__xludf.DUMMYFUNCTION("IF(G7697&lt;&gt;"""", GOOGLETRANSLATE(G7697, ""en"", ""te""),"""")"),"")</f>
        <v/>
      </c>
      <c r="I7697" s="3"/>
    </row>
    <row r="7698" customHeight="1" spans="1:9">
      <c r="A7698" s="2"/>
      <c r="B7698" s="2" t="str">
        <f>IFERROR(__xludf.DUMMYFUNCTION("IF(A7698&lt;&gt;"""", GOOGLETRANSLATE(A7698, ""en"", ""te""),"""")"),"")</f>
        <v/>
      </c>
      <c r="C7698" s="2"/>
      <c r="D7698" s="2" t="str">
        <f>IFERROR(__xludf.DUMMYFUNCTION("IF(C7698&lt;&gt;"""", GOOGLETRANSLATE(C7698, ""en"", ""te""),"""")"),"")</f>
        <v/>
      </c>
      <c r="E7698" s="2"/>
      <c r="F7698" s="2" t="str">
        <f>IFERROR(__xludf.DUMMYFUNCTION("IF(E7698&lt;&gt;"""", GOOGLETRANSLATE(E7698, ""en"", ""te""),"""")"),"")</f>
        <v/>
      </c>
      <c r="G7698" s="2"/>
      <c r="H7698" s="2" t="str">
        <f>IFERROR(__xludf.DUMMYFUNCTION("IF(G7698&lt;&gt;"""", GOOGLETRANSLATE(G7698, ""en"", ""te""),"""")"),"")</f>
        <v/>
      </c>
      <c r="I7698" s="3"/>
    </row>
    <row r="7699" customHeight="1" spans="1:9">
      <c r="A7699" s="2"/>
      <c r="B7699" s="2" t="str">
        <f>IFERROR(__xludf.DUMMYFUNCTION("IF(A7699&lt;&gt;"""", GOOGLETRANSLATE(A7699, ""en"", ""te""),"""")"),"")</f>
        <v/>
      </c>
      <c r="C7699" s="2"/>
      <c r="D7699" s="2" t="str">
        <f>IFERROR(__xludf.DUMMYFUNCTION("IF(C7699&lt;&gt;"""", GOOGLETRANSLATE(C7699, ""en"", ""te""),"""")"),"")</f>
        <v/>
      </c>
      <c r="E7699" s="2"/>
      <c r="F7699" s="2" t="str">
        <f>IFERROR(__xludf.DUMMYFUNCTION("IF(E7699&lt;&gt;"""", GOOGLETRANSLATE(E7699, ""en"", ""te""),"""")"),"")</f>
        <v/>
      </c>
      <c r="G7699" s="2"/>
      <c r="H7699" s="2" t="str">
        <f>IFERROR(__xludf.DUMMYFUNCTION("IF(G7699&lt;&gt;"""", GOOGLETRANSLATE(G7699, ""en"", ""te""),"""")"),"")</f>
        <v/>
      </c>
      <c r="I7699" s="3"/>
    </row>
    <row r="7700" customHeight="1" spans="1:9">
      <c r="A7700" s="2"/>
      <c r="B7700" s="2" t="str">
        <f>IFERROR(__xludf.DUMMYFUNCTION("IF(A7700&lt;&gt;"""", GOOGLETRANSLATE(A7700, ""en"", ""te""),"""")"),"")</f>
        <v/>
      </c>
      <c r="C7700" s="2"/>
      <c r="D7700" s="2" t="str">
        <f>IFERROR(__xludf.DUMMYFUNCTION("IF(C7700&lt;&gt;"""", GOOGLETRANSLATE(C7700, ""en"", ""te""),"""")"),"")</f>
        <v/>
      </c>
      <c r="E7700" s="2" t="s">
        <v>1997</v>
      </c>
      <c r="F7700" s="2" t="str">
        <f>IFERROR(__xludf.DUMMYFUNCTION("IF(E7700&lt;&gt;"""", GOOGLETRANSLATE(E7700, ""en"", ""te""),"""")"),"[ '46 వ చెత్త కెరీర్ బౌలింగ్ సరాసరి (అర్హత లేకుండా) (105.00)']")</f>
        <v>[ '46 వ చెత్త కెరీర్ బౌలింగ్ సరాసరి (అర్హత లేకుండా) (105.00)']</v>
      </c>
      <c r="G7700" s="2"/>
      <c r="H7700" s="2" t="str">
        <f>IFERROR(__xludf.DUMMYFUNCTION("IF(G7700&lt;&gt;"""", GOOGLETRANSLATE(G7700, ""en"", ""te""),"""")"),"")</f>
        <v/>
      </c>
      <c r="I7700" s="3"/>
    </row>
    <row r="7701" customHeight="1" spans="1:9">
      <c r="A7701" s="2"/>
      <c r="B7701" s="2" t="str">
        <f>IFERROR(__xludf.DUMMYFUNCTION("IF(A7701&lt;&gt;"""", GOOGLETRANSLATE(A7701, ""en"", ""te""),"""")"),"")</f>
        <v/>
      </c>
      <c r="C7701" s="2"/>
      <c r="D7701" s="2" t="str">
        <f>IFERROR(__xludf.DUMMYFUNCTION("IF(C7701&lt;&gt;"""", GOOGLETRANSLATE(C7701, ""en"", ""te""),"""")"),"")</f>
        <v/>
      </c>
      <c r="E7701" s="2"/>
      <c r="F7701" s="2" t="str">
        <f>IFERROR(__xludf.DUMMYFUNCTION("IF(E7701&lt;&gt;"""", GOOGLETRANSLATE(E7701, ""en"", ""te""),"""")"),"")</f>
        <v/>
      </c>
      <c r="G7701" s="2"/>
      <c r="H7701" s="2" t="str">
        <f>IFERROR(__xludf.DUMMYFUNCTION("IF(G7701&lt;&gt;"""", GOOGLETRANSLATE(G7701, ""en"", ""te""),"""")"),"")</f>
        <v/>
      </c>
      <c r="I7701" s="3"/>
    </row>
    <row r="7702" customHeight="1" spans="1:9">
      <c r="A7702" s="2"/>
      <c r="B7702" s="2" t="str">
        <f>IFERROR(__xludf.DUMMYFUNCTION("IF(A7702&lt;&gt;"""", GOOGLETRANSLATE(A7702, ""en"", ""te""),"""")"),"")</f>
        <v/>
      </c>
      <c r="C7702" s="2"/>
      <c r="D7702" s="2" t="str">
        <f>IFERROR(__xludf.DUMMYFUNCTION("IF(C7702&lt;&gt;"""", GOOGLETRANSLATE(C7702, ""en"", ""te""),"""")"),"")</f>
        <v/>
      </c>
      <c r="E7702" s="2"/>
      <c r="F7702" s="2" t="str">
        <f>IFERROR(__xludf.DUMMYFUNCTION("IF(E7702&lt;&gt;"""", GOOGLETRANSLATE(E7702, ""en"", ""te""),"""")"),"")</f>
        <v/>
      </c>
      <c r="G7702" s="2"/>
      <c r="H7702" s="2" t="str">
        <f>IFERROR(__xludf.DUMMYFUNCTION("IF(G7702&lt;&gt;"""", GOOGLETRANSLATE(G7702, ""en"", ""te""),"""")"),"")</f>
        <v/>
      </c>
      <c r="I7702" s="3"/>
    </row>
    <row r="7703" customHeight="1" spans="1:9">
      <c r="A7703" s="2"/>
      <c r="B7703" s="2" t="str">
        <f>IFERROR(__xludf.DUMMYFUNCTION("IF(A7703&lt;&gt;"""", GOOGLETRANSLATE(A7703, ""en"", ""te""),"""")"),"")</f>
        <v/>
      </c>
      <c r="C7703" s="2"/>
      <c r="D7703" s="2" t="str">
        <f>IFERROR(__xludf.DUMMYFUNCTION("IF(C7703&lt;&gt;"""", GOOGLETRANSLATE(C7703, ""en"", ""te""),"""")"),"")</f>
        <v/>
      </c>
      <c r="E7703" s="2"/>
      <c r="F7703" s="2" t="str">
        <f>IFERROR(__xludf.DUMMYFUNCTION("IF(E7703&lt;&gt;"""", GOOGLETRANSLATE(E7703, ""en"", ""te""),"""")"),"")</f>
        <v/>
      </c>
      <c r="G7703" s="2"/>
      <c r="H7703" s="2" t="str">
        <f>IFERROR(__xludf.DUMMYFUNCTION("IF(G7703&lt;&gt;"""", GOOGLETRANSLATE(G7703, ""en"", ""te""),"""")"),"")</f>
        <v/>
      </c>
      <c r="I7703" s="3"/>
    </row>
    <row r="7704" customHeight="1" spans="1:9">
      <c r="A7704" s="2"/>
      <c r="B7704" s="2" t="str">
        <f>IFERROR(__xludf.DUMMYFUNCTION("IF(A7704&lt;&gt;"""", GOOGLETRANSLATE(A7704, ""en"", ""te""),"""")"),"")</f>
        <v/>
      </c>
      <c r="C7704" s="2"/>
      <c r="D7704" s="2" t="str">
        <f>IFERROR(__xludf.DUMMYFUNCTION("IF(C7704&lt;&gt;"""", GOOGLETRANSLATE(C7704, ""en"", ""te""),"""")"),"")</f>
        <v/>
      </c>
      <c r="E7704" s="2"/>
      <c r="F7704" s="2" t="str">
        <f>IFERROR(__xludf.DUMMYFUNCTION("IF(E7704&lt;&gt;"""", GOOGLETRANSLATE(E7704, ""en"", ""te""),"""")"),"")</f>
        <v/>
      </c>
      <c r="G7704" s="2"/>
      <c r="H7704" s="2" t="str">
        <f>IFERROR(__xludf.DUMMYFUNCTION("IF(G7704&lt;&gt;"""", GOOGLETRANSLATE(G7704, ""en"", ""te""),"""")"),"")</f>
        <v/>
      </c>
      <c r="I7704" s="3"/>
    </row>
    <row r="7705" customHeight="1" spans="1:9">
      <c r="A7705" s="2"/>
      <c r="B7705" s="2" t="str">
        <f>IFERROR(__xludf.DUMMYFUNCTION("IF(A7705&lt;&gt;"""", GOOGLETRANSLATE(A7705, ""en"", ""te""),"""")"),"")</f>
        <v/>
      </c>
      <c r="C7705" s="2"/>
      <c r="D7705" s="2" t="str">
        <f>IFERROR(__xludf.DUMMYFUNCTION("IF(C7705&lt;&gt;"""", GOOGLETRANSLATE(C7705, ""en"", ""te""),"""")"),"")</f>
        <v/>
      </c>
      <c r="E7705" s="2"/>
      <c r="F7705" s="2" t="str">
        <f>IFERROR(__xludf.DUMMYFUNCTION("IF(E7705&lt;&gt;"""", GOOGLETRANSLATE(E7705, ""en"", ""te""),"""")"),"")</f>
        <v/>
      </c>
      <c r="G7705" s="2"/>
      <c r="H7705" s="2" t="str">
        <f>IFERROR(__xludf.DUMMYFUNCTION("IF(G7705&lt;&gt;"""", GOOGLETRANSLATE(G7705, ""en"", ""te""),"""")"),"")</f>
        <v/>
      </c>
      <c r="I7705" s="3"/>
    </row>
    <row r="7706" customHeight="1" spans="1:9">
      <c r="A7706" s="2" t="s">
        <v>860</v>
      </c>
      <c r="B7706" s="2" t="str">
        <f>IFERROR(__xludf.DUMMYFUNCTION("IF(A7706&lt;&gt;"""", GOOGLETRANSLATE(A7706, ""en"", ""te""),"""")"),"[ '10 వ అంపాయర్ (33) గా అత్యధిక మ్యాచ్లు']")</f>
        <v>[ '10 వ అంపాయర్ (33) గా అత్యధిక మ్యాచ్లు']</v>
      </c>
      <c r="C7706" s="2"/>
      <c r="D7706" s="2" t="str">
        <f>IFERROR(__xludf.DUMMYFUNCTION("IF(C7706&lt;&gt;"""", GOOGLETRANSLATE(C7706, ""en"", ""te""),"""")"),"")</f>
        <v/>
      </c>
      <c r="E7706" s="2" t="s">
        <v>4409</v>
      </c>
      <c r="F7706" s="2" t="str">
        <f>IFERROR(__xludf.DUMMYFUNCTION("IF(E7706&lt;&gt;"""", GOOGLETRANSLATE(E7706, ""en"", ""te""),"""")"),"[ '28 అంపాయర్ (79) గా అత్యధిక మ్యాచ్లు']")</f>
        <v>[ '28 అంపాయర్ (79) గా అత్యధిక మ్యాచ్లు']</v>
      </c>
      <c r="G7706" s="2" t="s">
        <v>860</v>
      </c>
      <c r="H7706" s="2" t="str">
        <f>IFERROR(__xludf.DUMMYFUNCTION("IF(G7706&lt;&gt;"""", GOOGLETRANSLATE(G7706, ""en"", ""te""),"""")"),"[ '10 వ అంపాయర్ (33) గా అత్యధిక మ్యాచ్లు']")</f>
        <v>[ '10 వ అంపాయర్ (33) గా అత్యధిక మ్యాచ్లు']</v>
      </c>
      <c r="I7706" s="3"/>
    </row>
    <row r="7707" customHeight="1" spans="1:9">
      <c r="A7707" s="2"/>
      <c r="B7707" s="2" t="str">
        <f>IFERROR(__xludf.DUMMYFUNCTION("IF(A7707&lt;&gt;"""", GOOGLETRANSLATE(A7707, ""en"", ""te""),"""")"),"")</f>
        <v/>
      </c>
      <c r="C7707" s="2"/>
      <c r="D7707" s="2" t="str">
        <f>IFERROR(__xludf.DUMMYFUNCTION("IF(C7707&lt;&gt;"""", GOOGLETRANSLATE(C7707, ""en"", ""te""),"""")"),"")</f>
        <v/>
      </c>
      <c r="E7707" s="2"/>
      <c r="F7707" s="2" t="str">
        <f>IFERROR(__xludf.DUMMYFUNCTION("IF(E7707&lt;&gt;"""", GOOGLETRANSLATE(E7707, ""en"", ""te""),"""")"),"")</f>
        <v/>
      </c>
      <c r="G7707" s="2"/>
      <c r="H7707" s="2" t="str">
        <f>IFERROR(__xludf.DUMMYFUNCTION("IF(G7707&lt;&gt;"""", GOOGLETRANSLATE(G7707, ""en"", ""te""),"""")"),"")</f>
        <v/>
      </c>
      <c r="I7707" s="3"/>
    </row>
    <row r="7708" customHeight="1" spans="1:9">
      <c r="A7708" s="2"/>
      <c r="B7708" s="2" t="str">
        <f>IFERROR(__xludf.DUMMYFUNCTION("IF(A7708&lt;&gt;"""", GOOGLETRANSLATE(A7708, ""en"", ""te""),"""")"),"")</f>
        <v/>
      </c>
      <c r="C7708" s="2"/>
      <c r="D7708" s="2" t="str">
        <f>IFERROR(__xludf.DUMMYFUNCTION("IF(C7708&lt;&gt;"""", GOOGLETRANSLATE(C7708, ""en"", ""te""),"""")"),"")</f>
        <v/>
      </c>
      <c r="E7708" s="2"/>
      <c r="F7708" s="2" t="str">
        <f>IFERROR(__xludf.DUMMYFUNCTION("IF(E7708&lt;&gt;"""", GOOGLETRANSLATE(E7708, ""en"", ""te""),"""")"),"")</f>
        <v/>
      </c>
      <c r="G7708" s="2"/>
      <c r="H7708" s="2" t="str">
        <f>IFERROR(__xludf.DUMMYFUNCTION("IF(G7708&lt;&gt;"""", GOOGLETRANSLATE(G7708, ""en"", ""te""),"""")"),"")</f>
        <v/>
      </c>
      <c r="I7708" s="3"/>
    </row>
    <row r="7709" customHeight="1" spans="1:9">
      <c r="A7709" s="2" t="s">
        <v>352</v>
      </c>
      <c r="B7709" s="2" t="str">
        <f>IFERROR(__xludf.DUMMYFUNCTION("IF(A7709&lt;&gt;"""", GOOGLETRANSLATE(A7709, ""en"", ""te""),"""")"),"[ 'బ్యాటింగ్ ప్రారంభించుటకు మరియు అదే మ్యాచ్ లో బౌలింగ్']")</f>
        <v>[ 'బ్యాటింగ్ ప్రారంభించుటకు మరియు అదే మ్యాచ్ లో బౌలింగ్']</v>
      </c>
      <c r="C7709" s="2" t="s">
        <v>4410</v>
      </c>
      <c r="D7709" s="2" t="str">
        <f>IFERROR(__xludf.DUMMYFUNCTION("IF(C7709&lt;&gt;"""", GOOGLETRANSLATE(C7709, ""en"", ""te""),"""")"),"[ '12 వ చెత్త కెరీర్లో ఆర్థిక రేటు (3.74)']")</f>
        <v>[ '12 వ చెత్త కెరీర్లో ఆర్థిక రేటు (3.74)']</v>
      </c>
      <c r="E7709" s="2" t="s">
        <v>4411</v>
      </c>
      <c r="F7709" s="2" t="str">
        <f>IFERROR(__xludf.DUMMYFUNCTION("IF(E7709&lt;&gt;"""", GOOGLETRANSLATE(E7709, ""en"", ""te""),"""")"),"[ '48 వ ఉత్తమ కెరీర్ సమ్మె రేటు (31.7)', '32 వ చెత్త కెరీర్లో ఆర్థిక రేటు (5.76)']")</f>
        <v>[ '48 వ ఉత్తమ కెరీర్ సమ్మె రేటు (31.7)', '32 వ చెత్త కెరీర్లో ఆర్థిక రేటు (5.76)']</v>
      </c>
      <c r="G7709" s="2"/>
      <c r="H7709" s="2" t="str">
        <f>IFERROR(__xludf.DUMMYFUNCTION("IF(G7709&lt;&gt;"""", GOOGLETRANSLATE(G7709, ""en"", ""te""),"""")"),"")</f>
        <v/>
      </c>
      <c r="I7709" s="3"/>
    </row>
    <row r="7710" customHeight="1" spans="1:9">
      <c r="A7710" s="2"/>
      <c r="B7710" s="2" t="str">
        <f>IFERROR(__xludf.DUMMYFUNCTION("IF(A7710&lt;&gt;"""", GOOGLETRANSLATE(A7710, ""en"", ""te""),"""")"),"")</f>
        <v/>
      </c>
      <c r="C7710" s="2"/>
      <c r="D7710" s="2" t="str">
        <f>IFERROR(__xludf.DUMMYFUNCTION("IF(C7710&lt;&gt;"""", GOOGLETRANSLATE(C7710, ""en"", ""te""),"""")"),"")</f>
        <v/>
      </c>
      <c r="E7710" s="2"/>
      <c r="F7710" s="2" t="str">
        <f>IFERROR(__xludf.DUMMYFUNCTION("IF(E7710&lt;&gt;"""", GOOGLETRANSLATE(E7710, ""en"", ""te""),"""")"),"")</f>
        <v/>
      </c>
      <c r="G7710" s="2"/>
      <c r="H7710" s="2" t="str">
        <f>IFERROR(__xludf.DUMMYFUNCTION("IF(G7710&lt;&gt;"""", GOOGLETRANSLATE(G7710, ""en"", ""te""),"""")"),"")</f>
        <v/>
      </c>
      <c r="I7710" s="3"/>
    </row>
    <row r="7711" customHeight="1" spans="1:9">
      <c r="A7711" s="2"/>
      <c r="B7711" s="2" t="str">
        <f>IFERROR(__xludf.DUMMYFUNCTION("IF(A7711&lt;&gt;"""", GOOGLETRANSLATE(A7711, ""en"", ""te""),"""")"),"")</f>
        <v/>
      </c>
      <c r="C7711" s="2"/>
      <c r="D7711" s="2" t="str">
        <f>IFERROR(__xludf.DUMMYFUNCTION("IF(C7711&lt;&gt;"""", GOOGLETRANSLATE(C7711, ""en"", ""te""),"""")"),"")</f>
        <v/>
      </c>
      <c r="E7711" s="2"/>
      <c r="F7711" s="2" t="str">
        <f>IFERROR(__xludf.DUMMYFUNCTION("IF(E7711&lt;&gt;"""", GOOGLETRANSLATE(E7711, ""en"", ""te""),"""")"),"")</f>
        <v/>
      </c>
      <c r="G7711" s="2"/>
      <c r="H7711" s="2" t="str">
        <f>IFERROR(__xludf.DUMMYFUNCTION("IF(G7711&lt;&gt;"""", GOOGLETRANSLATE(G7711, ""en"", ""te""),"""")"),"")</f>
        <v/>
      </c>
      <c r="I7711" s="3"/>
    </row>
    <row r="7712" customHeight="1" spans="1:9">
      <c r="A7712" s="2"/>
      <c r="B7712" s="2" t="str">
        <f>IFERROR(__xludf.DUMMYFUNCTION("IF(A7712&lt;&gt;"""", GOOGLETRANSLATE(A7712, ""en"", ""te""),"""")"),"")</f>
        <v/>
      </c>
      <c r="C7712" s="2"/>
      <c r="D7712" s="2" t="str">
        <f>IFERROR(__xludf.DUMMYFUNCTION("IF(C7712&lt;&gt;"""", GOOGLETRANSLATE(C7712, ""en"", ""te""),"""")"),"")</f>
        <v/>
      </c>
      <c r="E7712" s="2" t="s">
        <v>4412</v>
      </c>
      <c r="F7712" s="2" t="str">
        <f>IFERROR(__xludf.DUMMYFUNCTION("IF(E7712&lt;&gt;"""", GOOGLETRANSLATE(E7712, ""en"", ""te""),"""")"),"[ '42 వ తొలి మ్యాచ్లో అత్యధిక పరుగులు (74)', 'కెరీర్ (20) 26 వ లేవు బాతులు']")</f>
        <v>[ '42 వ తొలి మ్యాచ్లో అత్యధిక పరుగులు (74)', 'కెరీర్ (20) 26 వ లేవు బాతులు']</v>
      </c>
      <c r="G7712" s="2" t="s">
        <v>4413</v>
      </c>
      <c r="H7712" s="2" t="str">
        <f>IFERROR(__xludf.DUMMYFUNCTION("IF(G7712&lt;&gt;"""", GOOGLETRANSLATE(G7712, ""en"", ""te""),"""")"),"[ 'ఎనిమిదవ వికెట్కు 37 వ అత్యధిక భాగస్వామ్యం (36 *)']")</f>
        <v>[ 'ఎనిమిదవ వికెట్కు 37 వ అత్యధిక భాగస్వామ్యం (36 *)']</v>
      </c>
      <c r="I7712" s="3"/>
    </row>
    <row r="7713" customHeight="1" spans="1:9">
      <c r="A7713" s="2"/>
      <c r="B7713" s="2" t="str">
        <f>IFERROR(__xludf.DUMMYFUNCTION("IF(A7713&lt;&gt;"""", GOOGLETRANSLATE(A7713, ""en"", ""te""),"""")"),"")</f>
        <v/>
      </c>
      <c r="C7713" s="2"/>
      <c r="D7713" s="2" t="str">
        <f>IFERROR(__xludf.DUMMYFUNCTION("IF(C7713&lt;&gt;"""", GOOGLETRANSLATE(C7713, ""en"", ""te""),"""")"),"")</f>
        <v/>
      </c>
      <c r="E7713" s="2"/>
      <c r="F7713" s="2" t="str">
        <f>IFERROR(__xludf.DUMMYFUNCTION("IF(E7713&lt;&gt;"""", GOOGLETRANSLATE(E7713, ""en"", ""te""),"""")"),"")</f>
        <v/>
      </c>
      <c r="G7713" s="2"/>
      <c r="H7713" s="2" t="str">
        <f>IFERROR(__xludf.DUMMYFUNCTION("IF(G7713&lt;&gt;"""", GOOGLETRANSLATE(G7713, ""en"", ""te""),"""")"),"")</f>
        <v/>
      </c>
      <c r="I7713" s="3"/>
    </row>
    <row r="7714" customHeight="1" spans="1:9">
      <c r="A7714" s="2"/>
      <c r="B7714" s="2" t="str">
        <f>IFERROR(__xludf.DUMMYFUNCTION("IF(A7714&lt;&gt;"""", GOOGLETRANSLATE(A7714, ""en"", ""te""),"""")"),"")</f>
        <v/>
      </c>
      <c r="C7714" s="2"/>
      <c r="D7714" s="2" t="str">
        <f>IFERROR(__xludf.DUMMYFUNCTION("IF(C7714&lt;&gt;"""", GOOGLETRANSLATE(C7714, ""en"", ""te""),"""")"),"")</f>
        <v/>
      </c>
      <c r="E7714" s="2"/>
      <c r="F7714" s="2" t="str">
        <f>IFERROR(__xludf.DUMMYFUNCTION("IF(E7714&lt;&gt;"""", GOOGLETRANSLATE(E7714, ""en"", ""te""),"""")"),"")</f>
        <v/>
      </c>
      <c r="G7714" s="2"/>
      <c r="H7714" s="2" t="str">
        <f>IFERROR(__xludf.DUMMYFUNCTION("IF(G7714&lt;&gt;"""", GOOGLETRANSLATE(G7714, ""en"", ""te""),"""")"),"")</f>
        <v/>
      </c>
      <c r="I7714" s="3"/>
    </row>
    <row r="7715" customHeight="1" spans="1:9">
      <c r="A7715" s="2"/>
      <c r="B7715" s="2" t="str">
        <f>IFERROR(__xludf.DUMMYFUNCTION("IF(A7715&lt;&gt;"""", GOOGLETRANSLATE(A7715, ""en"", ""te""),"""")"),"")</f>
        <v/>
      </c>
      <c r="C7715" s="2"/>
      <c r="D7715" s="2" t="str">
        <f>IFERROR(__xludf.DUMMYFUNCTION("IF(C7715&lt;&gt;"""", GOOGLETRANSLATE(C7715, ""en"", ""te""),"""")"),"")</f>
        <v/>
      </c>
      <c r="E7715" s="2"/>
      <c r="F7715" s="2" t="str">
        <f>IFERROR(__xludf.DUMMYFUNCTION("IF(E7715&lt;&gt;"""", GOOGLETRANSLATE(E7715, ""en"", ""te""),"""")"),"")</f>
        <v/>
      </c>
      <c r="G7715" s="2"/>
      <c r="H7715" s="2" t="str">
        <f>IFERROR(__xludf.DUMMYFUNCTION("IF(G7715&lt;&gt;"""", GOOGLETRANSLATE(G7715, ""en"", ""te""),"""")"),"")</f>
        <v/>
      </c>
      <c r="I7715" s="3"/>
    </row>
    <row r="7716" customHeight="1" spans="1:9">
      <c r="A7716" s="2"/>
      <c r="B7716" s="2" t="str">
        <f>IFERROR(__xludf.DUMMYFUNCTION("IF(A7716&lt;&gt;"""", GOOGLETRANSLATE(A7716, ""en"", ""te""),"""")"),"")</f>
        <v/>
      </c>
      <c r="C7716" s="2"/>
      <c r="D7716" s="2" t="str">
        <f>IFERROR(__xludf.DUMMYFUNCTION("IF(C7716&lt;&gt;"""", GOOGLETRANSLATE(C7716, ""en"", ""te""),"""")"),"")</f>
        <v/>
      </c>
      <c r="E7716" s="2"/>
      <c r="F7716" s="2" t="str">
        <f>IFERROR(__xludf.DUMMYFUNCTION("IF(E7716&lt;&gt;"""", GOOGLETRANSLATE(E7716, ""en"", ""te""),"""")"),"")</f>
        <v/>
      </c>
      <c r="G7716" s="2"/>
      <c r="H7716" s="2" t="str">
        <f>IFERROR(__xludf.DUMMYFUNCTION("IF(G7716&lt;&gt;"""", GOOGLETRANSLATE(G7716, ""en"", ""te""),"""")"),"")</f>
        <v/>
      </c>
      <c r="I7716" s="3"/>
    </row>
    <row r="7717" customHeight="1" spans="1:9">
      <c r="A7717" s="2"/>
      <c r="B7717" s="2" t="str">
        <f>IFERROR(__xludf.DUMMYFUNCTION("IF(A7717&lt;&gt;"""", GOOGLETRANSLATE(A7717, ""en"", ""te""),"""")"),"")</f>
        <v/>
      </c>
      <c r="C7717" s="2"/>
      <c r="D7717" s="2" t="str">
        <f>IFERROR(__xludf.DUMMYFUNCTION("IF(C7717&lt;&gt;"""", GOOGLETRANSLATE(C7717, ""en"", ""te""),"""")"),"")</f>
        <v/>
      </c>
      <c r="E7717" s="2"/>
      <c r="F7717" s="2" t="str">
        <f>IFERROR(__xludf.DUMMYFUNCTION("IF(E7717&lt;&gt;"""", GOOGLETRANSLATE(E7717, ""en"", ""te""),"""")"),"")</f>
        <v/>
      </c>
      <c r="G7717" s="2"/>
      <c r="H7717" s="2" t="str">
        <f>IFERROR(__xludf.DUMMYFUNCTION("IF(G7717&lt;&gt;"""", GOOGLETRANSLATE(G7717, ""en"", ""te""),"""")"),"")</f>
        <v/>
      </c>
      <c r="I7717" s="3"/>
    </row>
    <row r="7718" customHeight="1" spans="1:9">
      <c r="A7718" s="2"/>
      <c r="B7718" s="2" t="str">
        <f>IFERROR(__xludf.DUMMYFUNCTION("IF(A7718&lt;&gt;"""", GOOGLETRANSLATE(A7718, ""en"", ""te""),"""")"),"")</f>
        <v/>
      </c>
      <c r="C7718" s="2"/>
      <c r="D7718" s="2" t="str">
        <f>IFERROR(__xludf.DUMMYFUNCTION("IF(C7718&lt;&gt;"""", GOOGLETRANSLATE(C7718, ""en"", ""te""),"""")"),"")</f>
        <v/>
      </c>
      <c r="E7718" s="2"/>
      <c r="F7718" s="2" t="str">
        <f>IFERROR(__xludf.DUMMYFUNCTION("IF(E7718&lt;&gt;"""", GOOGLETRANSLATE(E7718, ""en"", ""te""),"""")"),"")</f>
        <v/>
      </c>
      <c r="G7718" s="2"/>
      <c r="H7718" s="2" t="str">
        <f>IFERROR(__xludf.DUMMYFUNCTION("IF(G7718&lt;&gt;"""", GOOGLETRANSLATE(G7718, ""en"", ""te""),"""")"),"")</f>
        <v/>
      </c>
      <c r="I7718" s="3"/>
    </row>
    <row r="7719" customHeight="1" spans="1:9">
      <c r="A7719" s="2"/>
      <c r="B7719" s="2" t="str">
        <f>IFERROR(__xludf.DUMMYFUNCTION("IF(A7719&lt;&gt;"""", GOOGLETRANSLATE(A7719, ""en"", ""te""),"""")"),"")</f>
        <v/>
      </c>
      <c r="C7719" s="2"/>
      <c r="D7719" s="2" t="str">
        <f>IFERROR(__xludf.DUMMYFUNCTION("IF(C7719&lt;&gt;"""", GOOGLETRANSLATE(C7719, ""en"", ""te""),"""")"),"")</f>
        <v/>
      </c>
      <c r="E7719" s="2"/>
      <c r="F7719" s="2" t="str">
        <f>IFERROR(__xludf.DUMMYFUNCTION("IF(E7719&lt;&gt;"""", GOOGLETRANSLATE(E7719, ""en"", ""te""),"""")"),"")</f>
        <v/>
      </c>
      <c r="G7719" s="2"/>
      <c r="H7719" s="2" t="str">
        <f>IFERROR(__xludf.DUMMYFUNCTION("IF(G7719&lt;&gt;"""", GOOGLETRANSLATE(G7719, ""en"", ""te""),"""")"),"")</f>
        <v/>
      </c>
      <c r="I7719" s="3"/>
    </row>
    <row r="7720" customHeight="1" spans="1:9">
      <c r="A7720" s="2"/>
      <c r="B7720" s="2" t="str">
        <f>IFERROR(__xludf.DUMMYFUNCTION("IF(A7720&lt;&gt;"""", GOOGLETRANSLATE(A7720, ""en"", ""te""),"""")"),"")</f>
        <v/>
      </c>
      <c r="C7720" s="2"/>
      <c r="D7720" s="2" t="str">
        <f>IFERROR(__xludf.DUMMYFUNCTION("IF(C7720&lt;&gt;"""", GOOGLETRANSLATE(C7720, ""en"", ""te""),"""")"),"")</f>
        <v/>
      </c>
      <c r="E7720" s="2"/>
      <c r="F7720" s="2" t="str">
        <f>IFERROR(__xludf.DUMMYFUNCTION("IF(E7720&lt;&gt;"""", GOOGLETRANSLATE(E7720, ""en"", ""te""),"""")"),"")</f>
        <v/>
      </c>
      <c r="G7720" s="2"/>
      <c r="H7720" s="2" t="str">
        <f>IFERROR(__xludf.DUMMYFUNCTION("IF(G7720&lt;&gt;"""", GOOGLETRANSLATE(G7720, ""en"", ""te""),"""")"),"")</f>
        <v/>
      </c>
      <c r="I7720" s="3"/>
    </row>
    <row r="7721" customHeight="1" spans="1:9">
      <c r="A7721" s="2"/>
      <c r="B7721" s="2" t="str">
        <f>IFERROR(__xludf.DUMMYFUNCTION("IF(A7721&lt;&gt;"""", GOOGLETRANSLATE(A7721, ""en"", ""te""),"""")"),"")</f>
        <v/>
      </c>
      <c r="C7721" s="2"/>
      <c r="D7721" s="2" t="str">
        <f>IFERROR(__xludf.DUMMYFUNCTION("IF(C7721&lt;&gt;"""", GOOGLETRANSLATE(C7721, ""en"", ""te""),"""")"),"")</f>
        <v/>
      </c>
      <c r="E7721" s="2"/>
      <c r="F7721" s="2" t="str">
        <f>IFERROR(__xludf.DUMMYFUNCTION("IF(E7721&lt;&gt;"""", GOOGLETRANSLATE(E7721, ""en"", ""te""),"""")"),"")</f>
        <v/>
      </c>
      <c r="G7721" s="2"/>
      <c r="H7721" s="2" t="str">
        <f>IFERROR(__xludf.DUMMYFUNCTION("IF(G7721&lt;&gt;"""", GOOGLETRANSLATE(G7721, ""en"", ""te""),"""")"),"")</f>
        <v/>
      </c>
      <c r="I7721" s="3"/>
    </row>
    <row r="7722" customHeight="1" spans="1:9">
      <c r="A7722" s="2"/>
      <c r="B7722" s="2" t="str">
        <f>IFERROR(__xludf.DUMMYFUNCTION("IF(A7722&lt;&gt;"""", GOOGLETRANSLATE(A7722, ""en"", ""te""),"""")"),"")</f>
        <v/>
      </c>
      <c r="C7722" s="2"/>
      <c r="D7722" s="2" t="str">
        <f>IFERROR(__xludf.DUMMYFUNCTION("IF(C7722&lt;&gt;"""", GOOGLETRANSLATE(C7722, ""en"", ""te""),"""")"),"")</f>
        <v/>
      </c>
      <c r="E7722" s="2"/>
      <c r="F7722" s="2" t="str">
        <f>IFERROR(__xludf.DUMMYFUNCTION("IF(E7722&lt;&gt;"""", GOOGLETRANSLATE(E7722, ""en"", ""te""),"""")"),"")</f>
        <v/>
      </c>
      <c r="G7722" s="2"/>
      <c r="H7722" s="2" t="str">
        <f>IFERROR(__xludf.DUMMYFUNCTION("IF(G7722&lt;&gt;"""", GOOGLETRANSLATE(G7722, ""en"", ""te""),"""")"),"")</f>
        <v/>
      </c>
      <c r="I7722" s="3"/>
    </row>
    <row r="7723" customHeight="1" spans="1:9">
      <c r="A7723" s="2"/>
      <c r="B7723" s="2" t="str">
        <f>IFERROR(__xludf.DUMMYFUNCTION("IF(A7723&lt;&gt;"""", GOOGLETRANSLATE(A7723, ""en"", ""te""),"""")"),"")</f>
        <v/>
      </c>
      <c r="C7723" s="2"/>
      <c r="D7723" s="2" t="str">
        <f>IFERROR(__xludf.DUMMYFUNCTION("IF(C7723&lt;&gt;"""", GOOGLETRANSLATE(C7723, ""en"", ""te""),"""")"),"")</f>
        <v/>
      </c>
      <c r="E7723" s="2"/>
      <c r="F7723" s="2" t="str">
        <f>IFERROR(__xludf.DUMMYFUNCTION("IF(E7723&lt;&gt;"""", GOOGLETRANSLATE(E7723, ""en"", ""te""),"""")"),"")</f>
        <v/>
      </c>
      <c r="G7723" s="2"/>
      <c r="H7723" s="2" t="str">
        <f>IFERROR(__xludf.DUMMYFUNCTION("IF(G7723&lt;&gt;"""", GOOGLETRANSLATE(G7723, ""en"", ""te""),"""")"),"")</f>
        <v/>
      </c>
      <c r="I7723" s="3"/>
    </row>
    <row r="7724" customHeight="1" spans="1:9">
      <c r="A7724" s="2"/>
      <c r="B7724" s="2" t="str">
        <f>IFERROR(__xludf.DUMMYFUNCTION("IF(A7724&lt;&gt;"""", GOOGLETRANSLATE(A7724, ""en"", ""te""),"""")"),"")</f>
        <v/>
      </c>
      <c r="C7724" s="2"/>
      <c r="D7724" s="2" t="str">
        <f>IFERROR(__xludf.DUMMYFUNCTION("IF(C7724&lt;&gt;"""", GOOGLETRANSLATE(C7724, ""en"", ""te""),"""")"),"")</f>
        <v/>
      </c>
      <c r="E7724" s="2"/>
      <c r="F7724" s="2" t="str">
        <f>IFERROR(__xludf.DUMMYFUNCTION("IF(E7724&lt;&gt;"""", GOOGLETRANSLATE(E7724, ""en"", ""te""),"""")"),"")</f>
        <v/>
      </c>
      <c r="G7724" s="2"/>
      <c r="H7724" s="2" t="str">
        <f>IFERROR(__xludf.DUMMYFUNCTION("IF(G7724&lt;&gt;"""", GOOGLETRANSLATE(G7724, ""en"", ""te""),"""")"),"")</f>
        <v/>
      </c>
      <c r="I7724" s="3"/>
    </row>
    <row r="7725" customHeight="1" spans="1:9">
      <c r="A7725" s="2"/>
      <c r="B7725" s="2" t="str">
        <f>IFERROR(__xludf.DUMMYFUNCTION("IF(A7725&lt;&gt;"""", GOOGLETRANSLATE(A7725, ""en"", ""te""),"""")"),"")</f>
        <v/>
      </c>
      <c r="C7725" s="2"/>
      <c r="D7725" s="2" t="str">
        <f>IFERROR(__xludf.DUMMYFUNCTION("IF(C7725&lt;&gt;"""", GOOGLETRANSLATE(C7725, ""en"", ""te""),"""")"),"")</f>
        <v/>
      </c>
      <c r="E7725" s="2"/>
      <c r="F7725" s="2" t="str">
        <f>IFERROR(__xludf.DUMMYFUNCTION("IF(E7725&lt;&gt;"""", GOOGLETRANSLATE(E7725, ""en"", ""te""),"""")"),"")</f>
        <v/>
      </c>
      <c r="G7725" s="2"/>
      <c r="H7725" s="2" t="str">
        <f>IFERROR(__xludf.DUMMYFUNCTION("IF(G7725&lt;&gt;"""", GOOGLETRANSLATE(G7725, ""en"", ""te""),"""")"),"")</f>
        <v/>
      </c>
      <c r="I7725" s="3"/>
    </row>
    <row r="7726" customHeight="1" spans="1:9">
      <c r="A7726" s="2"/>
      <c r="B7726" s="2" t="str">
        <f>IFERROR(__xludf.DUMMYFUNCTION("IF(A7726&lt;&gt;"""", GOOGLETRANSLATE(A7726, ""en"", ""te""),"""")"),"")</f>
        <v/>
      </c>
      <c r="C7726" s="2"/>
      <c r="D7726" s="2" t="str">
        <f>IFERROR(__xludf.DUMMYFUNCTION("IF(C7726&lt;&gt;"""", GOOGLETRANSLATE(C7726, ""en"", ""te""),"""")"),"")</f>
        <v/>
      </c>
      <c r="E7726" s="2"/>
      <c r="F7726" s="2" t="str">
        <f>IFERROR(__xludf.DUMMYFUNCTION("IF(E7726&lt;&gt;"""", GOOGLETRANSLATE(E7726, ""en"", ""te""),"""")"),"")</f>
        <v/>
      </c>
      <c r="G7726" s="2"/>
      <c r="H7726" s="2" t="str">
        <f>IFERROR(__xludf.DUMMYFUNCTION("IF(G7726&lt;&gt;"""", GOOGLETRANSLATE(G7726, ""en"", ""te""),"""")"),"")</f>
        <v/>
      </c>
      <c r="I7726" s="3"/>
    </row>
    <row r="7727" customHeight="1" spans="1:9">
      <c r="A7727" s="2"/>
      <c r="B7727" s="2" t="str">
        <f>IFERROR(__xludf.DUMMYFUNCTION("IF(A7727&lt;&gt;"""", GOOGLETRANSLATE(A7727, ""en"", ""te""),"""")"),"")</f>
        <v/>
      </c>
      <c r="C7727" s="2"/>
      <c r="D7727" s="2" t="str">
        <f>IFERROR(__xludf.DUMMYFUNCTION("IF(C7727&lt;&gt;"""", GOOGLETRANSLATE(C7727, ""en"", ""te""),"""")"),"")</f>
        <v/>
      </c>
      <c r="E7727" s="2"/>
      <c r="F7727" s="2" t="str">
        <f>IFERROR(__xludf.DUMMYFUNCTION("IF(E7727&lt;&gt;"""", GOOGLETRANSLATE(E7727, ""en"", ""te""),"""")"),"")</f>
        <v/>
      </c>
      <c r="G7727" s="2"/>
      <c r="H7727" s="2" t="str">
        <f>IFERROR(__xludf.DUMMYFUNCTION("IF(G7727&lt;&gt;"""", GOOGLETRANSLATE(G7727, ""en"", ""te""),"""")"),"")</f>
        <v/>
      </c>
      <c r="I7727" s="3"/>
    </row>
    <row r="7728" customHeight="1" spans="1:9">
      <c r="A7728" s="2"/>
      <c r="B7728" s="2" t="str">
        <f>IFERROR(__xludf.DUMMYFUNCTION("IF(A7728&lt;&gt;"""", GOOGLETRANSLATE(A7728, ""en"", ""te""),"""")"),"")</f>
        <v/>
      </c>
      <c r="C7728" s="2"/>
      <c r="D7728" s="2" t="str">
        <f>IFERROR(__xludf.DUMMYFUNCTION("IF(C7728&lt;&gt;"""", GOOGLETRANSLATE(C7728, ""en"", ""te""),"""")"),"")</f>
        <v/>
      </c>
      <c r="E7728" s="2" t="s">
        <v>4414</v>
      </c>
      <c r="F7728" s="2" t="str">
        <f>IFERROR(__xludf.DUMMYFUNCTION("IF(E7728&lt;&gt;"""", GOOGLETRANSLATE(E7728, ""en"", ""te""),"""")"),"[40 వ పిన్న క్రీడాకారులు (17y 237d) ']")</f>
        <v>[40 వ పిన్న క్రీడాకారులు (17y 237d) ']</v>
      </c>
      <c r="G7728" s="2"/>
      <c r="H7728" s="2" t="str">
        <f>IFERROR(__xludf.DUMMYFUNCTION("IF(G7728&lt;&gt;"""", GOOGLETRANSLATE(G7728, ""en"", ""te""),"""")"),"")</f>
        <v/>
      </c>
      <c r="I7728" s="3"/>
    </row>
    <row r="7729" customHeight="1" spans="1:9">
      <c r="A7729" s="2"/>
      <c r="B7729" s="2" t="str">
        <f>IFERROR(__xludf.DUMMYFUNCTION("IF(A7729&lt;&gt;"""", GOOGLETRANSLATE(A7729, ""en"", ""te""),"""")"),"")</f>
        <v/>
      </c>
      <c r="C7729" s="2"/>
      <c r="D7729" s="2" t="str">
        <f>IFERROR(__xludf.DUMMYFUNCTION("IF(C7729&lt;&gt;"""", GOOGLETRANSLATE(C7729, ""en"", ""te""),"""")"),"")</f>
        <v/>
      </c>
      <c r="E7729" s="2"/>
      <c r="F7729" s="2" t="str">
        <f>IFERROR(__xludf.DUMMYFUNCTION("IF(E7729&lt;&gt;"""", GOOGLETRANSLATE(E7729, ""en"", ""te""),"""")"),"")</f>
        <v/>
      </c>
      <c r="G7729" s="2"/>
      <c r="H7729" s="2" t="str">
        <f>IFERROR(__xludf.DUMMYFUNCTION("IF(G7729&lt;&gt;"""", GOOGLETRANSLATE(G7729, ""en"", ""te""),"""")"),"")</f>
        <v/>
      </c>
      <c r="I7729" s="3"/>
    </row>
    <row r="7730" customHeight="1" spans="1:9">
      <c r="A7730" s="2"/>
      <c r="B7730" s="2" t="str">
        <f>IFERROR(__xludf.DUMMYFUNCTION("IF(A7730&lt;&gt;"""", GOOGLETRANSLATE(A7730, ""en"", ""te""),"""")"),"")</f>
        <v/>
      </c>
      <c r="C7730" s="2"/>
      <c r="D7730" s="2" t="str">
        <f>IFERROR(__xludf.DUMMYFUNCTION("IF(C7730&lt;&gt;"""", GOOGLETRANSLATE(C7730, ""en"", ""te""),"""")"),"")</f>
        <v/>
      </c>
      <c r="E7730" s="2"/>
      <c r="F7730" s="2" t="str">
        <f>IFERROR(__xludf.DUMMYFUNCTION("IF(E7730&lt;&gt;"""", GOOGLETRANSLATE(E7730, ""en"", ""te""),"""")"),"")</f>
        <v/>
      </c>
      <c r="G7730" s="2"/>
      <c r="H7730" s="2" t="str">
        <f>IFERROR(__xludf.DUMMYFUNCTION("IF(G7730&lt;&gt;"""", GOOGLETRANSLATE(G7730, ""en"", ""te""),"""")"),"")</f>
        <v/>
      </c>
      <c r="I7730" s="3"/>
    </row>
    <row r="7731" customHeight="1" spans="1:9">
      <c r="A7731" s="2"/>
      <c r="B7731" s="2" t="str">
        <f>IFERROR(__xludf.DUMMYFUNCTION("IF(A7731&lt;&gt;"""", GOOGLETRANSLATE(A7731, ""en"", ""te""),"""")"),"")</f>
        <v/>
      </c>
      <c r="C7731" s="2"/>
      <c r="D7731" s="2" t="str">
        <f>IFERROR(__xludf.DUMMYFUNCTION("IF(C7731&lt;&gt;"""", GOOGLETRANSLATE(C7731, ""en"", ""te""),"""")"),"")</f>
        <v/>
      </c>
      <c r="E7731" s="2"/>
      <c r="F7731" s="2" t="str">
        <f>IFERROR(__xludf.DUMMYFUNCTION("IF(E7731&lt;&gt;"""", GOOGLETRANSLATE(E7731, ""en"", ""te""),"""")"),"")</f>
        <v/>
      </c>
      <c r="G7731" s="2"/>
      <c r="H7731" s="2" t="str">
        <f>IFERROR(__xludf.DUMMYFUNCTION("IF(G7731&lt;&gt;"""", GOOGLETRANSLATE(G7731, ""en"", ""te""),"""")"),"")</f>
        <v/>
      </c>
      <c r="I7731" s="3"/>
    </row>
    <row r="7732" customHeight="1" spans="1:9">
      <c r="A7732" s="2"/>
      <c r="B7732" s="2" t="str">
        <f>IFERROR(__xludf.DUMMYFUNCTION("IF(A7732&lt;&gt;"""", GOOGLETRANSLATE(A7732, ""en"", ""te""),"""")"),"")</f>
        <v/>
      </c>
      <c r="C7732" s="2"/>
      <c r="D7732" s="2" t="str">
        <f>IFERROR(__xludf.DUMMYFUNCTION("IF(C7732&lt;&gt;"""", GOOGLETRANSLATE(C7732, ""en"", ""te""),"""")"),"")</f>
        <v/>
      </c>
      <c r="E7732" s="2"/>
      <c r="F7732" s="2" t="str">
        <f>IFERROR(__xludf.DUMMYFUNCTION("IF(E7732&lt;&gt;"""", GOOGLETRANSLATE(E7732, ""en"", ""te""),"""")"),"")</f>
        <v/>
      </c>
      <c r="G7732" s="2"/>
      <c r="H7732" s="2" t="str">
        <f>IFERROR(__xludf.DUMMYFUNCTION("IF(G7732&lt;&gt;"""", GOOGLETRANSLATE(G7732, ""en"", ""te""),"""")"),"")</f>
        <v/>
      </c>
      <c r="I7732" s="3"/>
    </row>
    <row r="7733" customHeight="1" spans="1:9">
      <c r="A7733" s="2"/>
      <c r="B7733" s="2" t="str">
        <f>IFERROR(__xludf.DUMMYFUNCTION("IF(A7733&lt;&gt;"""", GOOGLETRANSLATE(A7733, ""en"", ""te""),"""")"),"")</f>
        <v/>
      </c>
      <c r="C7733" s="2"/>
      <c r="D7733" s="2" t="str">
        <f>IFERROR(__xludf.DUMMYFUNCTION("IF(C7733&lt;&gt;"""", GOOGLETRANSLATE(C7733, ""en"", ""te""),"""")"),"")</f>
        <v/>
      </c>
      <c r="E7733" s="2"/>
      <c r="F7733" s="2" t="str">
        <f>IFERROR(__xludf.DUMMYFUNCTION("IF(E7733&lt;&gt;"""", GOOGLETRANSLATE(E7733, ""en"", ""te""),"""")"),"")</f>
        <v/>
      </c>
      <c r="G7733" s="2"/>
      <c r="H7733" s="2" t="str">
        <f>IFERROR(__xludf.DUMMYFUNCTION("IF(G7733&lt;&gt;"""", GOOGLETRANSLATE(G7733, ""en"", ""te""),"""")"),"")</f>
        <v/>
      </c>
      <c r="I7733" s="3"/>
    </row>
    <row r="7734" customHeight="1" spans="1:9">
      <c r="A7734" s="2"/>
      <c r="B7734" s="2" t="str">
        <f>IFERROR(__xludf.DUMMYFUNCTION("IF(A7734&lt;&gt;"""", GOOGLETRANSLATE(A7734, ""en"", ""te""),"""")"),"")</f>
        <v/>
      </c>
      <c r="C7734" s="2"/>
      <c r="D7734" s="2" t="str">
        <f>IFERROR(__xludf.DUMMYFUNCTION("IF(C7734&lt;&gt;"""", GOOGLETRANSLATE(C7734, ""en"", ""te""),"""")"),"")</f>
        <v/>
      </c>
      <c r="E7734" s="2"/>
      <c r="F7734" s="2" t="str">
        <f>IFERROR(__xludf.DUMMYFUNCTION("IF(E7734&lt;&gt;"""", GOOGLETRANSLATE(E7734, ""en"", ""te""),"""")"),"")</f>
        <v/>
      </c>
      <c r="G7734" s="2"/>
      <c r="H7734" s="2" t="str">
        <f>IFERROR(__xludf.DUMMYFUNCTION("IF(G7734&lt;&gt;"""", GOOGLETRANSLATE(G7734, ""en"", ""te""),"""")"),"")</f>
        <v/>
      </c>
      <c r="I7734" s="3"/>
    </row>
    <row r="7735" customHeight="1" spans="1:9">
      <c r="A7735" s="2"/>
      <c r="B7735" s="2" t="str">
        <f>IFERROR(__xludf.DUMMYFUNCTION("IF(A7735&lt;&gt;"""", GOOGLETRANSLATE(A7735, ""en"", ""te""),"""")"),"")</f>
        <v/>
      </c>
      <c r="C7735" s="2"/>
      <c r="D7735" s="2" t="str">
        <f>IFERROR(__xludf.DUMMYFUNCTION("IF(C7735&lt;&gt;"""", GOOGLETRANSLATE(C7735, ""en"", ""te""),"""")"),"")</f>
        <v/>
      </c>
      <c r="E7735" s="2"/>
      <c r="F7735" s="2" t="str">
        <f>IFERROR(__xludf.DUMMYFUNCTION("IF(E7735&lt;&gt;"""", GOOGLETRANSLATE(E7735, ""en"", ""te""),"""")"),"")</f>
        <v/>
      </c>
      <c r="G7735" s="2"/>
      <c r="H7735" s="2" t="str">
        <f>IFERROR(__xludf.DUMMYFUNCTION("IF(G7735&lt;&gt;"""", GOOGLETRANSLATE(G7735, ""en"", ""te""),"""")"),"")</f>
        <v/>
      </c>
      <c r="I7735" s="3"/>
    </row>
    <row r="7736" customHeight="1" spans="1:9">
      <c r="A7736" s="2"/>
      <c r="B7736" s="2" t="str">
        <f>IFERROR(__xludf.DUMMYFUNCTION("IF(A7736&lt;&gt;"""", GOOGLETRANSLATE(A7736, ""en"", ""te""),"""")"),"")</f>
        <v/>
      </c>
      <c r="C7736" s="2"/>
      <c r="D7736" s="2" t="str">
        <f>IFERROR(__xludf.DUMMYFUNCTION("IF(C7736&lt;&gt;"""", GOOGLETRANSLATE(C7736, ""en"", ""te""),"""")"),"")</f>
        <v/>
      </c>
      <c r="E7736" s="2"/>
      <c r="F7736" s="2" t="str">
        <f>IFERROR(__xludf.DUMMYFUNCTION("IF(E7736&lt;&gt;"""", GOOGLETRANSLATE(E7736, ""en"", ""te""),"""")"),"")</f>
        <v/>
      </c>
      <c r="G7736" s="2"/>
      <c r="H7736" s="2" t="str">
        <f>IFERROR(__xludf.DUMMYFUNCTION("IF(G7736&lt;&gt;"""", GOOGLETRANSLATE(G7736, ""en"", ""te""),"""")"),"")</f>
        <v/>
      </c>
      <c r="I7736" s="3"/>
    </row>
    <row r="7737" customHeight="1" spans="1:9">
      <c r="A7737" s="2"/>
      <c r="B7737" s="2" t="str">
        <f>IFERROR(__xludf.DUMMYFUNCTION("IF(A7737&lt;&gt;"""", GOOGLETRANSLATE(A7737, ""en"", ""te""),"""")"),"")</f>
        <v/>
      </c>
      <c r="C7737" s="2"/>
      <c r="D7737" s="2" t="str">
        <f>IFERROR(__xludf.DUMMYFUNCTION("IF(C7737&lt;&gt;"""", GOOGLETRANSLATE(C7737, ""en"", ""te""),"""")"),"")</f>
        <v/>
      </c>
      <c r="E7737" s="2"/>
      <c r="F7737" s="2" t="str">
        <f>IFERROR(__xludf.DUMMYFUNCTION("IF(E7737&lt;&gt;"""", GOOGLETRANSLATE(E7737, ""en"", ""te""),"""")"),"")</f>
        <v/>
      </c>
      <c r="G7737" s="2"/>
      <c r="H7737" s="2" t="str">
        <f>IFERROR(__xludf.DUMMYFUNCTION("IF(G7737&lt;&gt;"""", GOOGLETRANSLATE(G7737, ""en"", ""te""),"""")"),"")</f>
        <v/>
      </c>
      <c r="I7737" s="3"/>
    </row>
    <row r="7738" customHeight="1" spans="1:9">
      <c r="A7738" s="2"/>
      <c r="B7738" s="2" t="str">
        <f>IFERROR(__xludf.DUMMYFUNCTION("IF(A7738&lt;&gt;"""", GOOGLETRANSLATE(A7738, ""en"", ""te""),"""")"),"")</f>
        <v/>
      </c>
      <c r="C7738" s="2"/>
      <c r="D7738" s="2" t="str">
        <f>IFERROR(__xludf.DUMMYFUNCTION("IF(C7738&lt;&gt;"""", GOOGLETRANSLATE(C7738, ""en"", ""te""),"""")"),"")</f>
        <v/>
      </c>
      <c r="E7738" s="2"/>
      <c r="F7738" s="2" t="str">
        <f>IFERROR(__xludf.DUMMYFUNCTION("IF(E7738&lt;&gt;"""", GOOGLETRANSLATE(E7738, ""en"", ""te""),"""")"),"")</f>
        <v/>
      </c>
      <c r="G7738" s="2"/>
      <c r="H7738" s="2" t="str">
        <f>IFERROR(__xludf.DUMMYFUNCTION("IF(G7738&lt;&gt;"""", GOOGLETRANSLATE(G7738, ""en"", ""te""),"""")"),"")</f>
        <v/>
      </c>
      <c r="I7738" s="3"/>
    </row>
    <row r="7739" customHeight="1" spans="1:9">
      <c r="A7739" s="2"/>
      <c r="B7739" s="2" t="str">
        <f>IFERROR(__xludf.DUMMYFUNCTION("IF(A7739&lt;&gt;"""", GOOGLETRANSLATE(A7739, ""en"", ""te""),"""")"),"")</f>
        <v/>
      </c>
      <c r="C7739" s="2"/>
      <c r="D7739" s="2" t="str">
        <f>IFERROR(__xludf.DUMMYFUNCTION("IF(C7739&lt;&gt;"""", GOOGLETRANSLATE(C7739, ""en"", ""te""),"""")"),"")</f>
        <v/>
      </c>
      <c r="E7739" s="2"/>
      <c r="F7739" s="2" t="str">
        <f>IFERROR(__xludf.DUMMYFUNCTION("IF(E7739&lt;&gt;"""", GOOGLETRANSLATE(E7739, ""en"", ""te""),"""")"),"")</f>
        <v/>
      </c>
      <c r="G7739" s="2"/>
      <c r="H7739" s="2" t="str">
        <f>IFERROR(__xludf.DUMMYFUNCTION("IF(G7739&lt;&gt;"""", GOOGLETRANSLATE(G7739, ""en"", ""te""),"""")"),"")</f>
        <v/>
      </c>
      <c r="I7739" s="3"/>
    </row>
    <row r="7740" customHeight="1" spans="1:9">
      <c r="A7740" s="2"/>
      <c r="B7740" s="2" t="str">
        <f>IFERROR(__xludf.DUMMYFUNCTION("IF(A7740&lt;&gt;"""", GOOGLETRANSLATE(A7740, ""en"", ""te""),"""")"),"")</f>
        <v/>
      </c>
      <c r="C7740" s="2"/>
      <c r="D7740" s="2" t="str">
        <f>IFERROR(__xludf.DUMMYFUNCTION("IF(C7740&lt;&gt;"""", GOOGLETRANSLATE(C7740, ""en"", ""te""),"""")"),"")</f>
        <v/>
      </c>
      <c r="E7740" s="2"/>
      <c r="F7740" s="2" t="str">
        <f>IFERROR(__xludf.DUMMYFUNCTION("IF(E7740&lt;&gt;"""", GOOGLETRANSLATE(E7740, ""en"", ""te""),"""")"),"")</f>
        <v/>
      </c>
      <c r="G7740" s="2"/>
      <c r="H7740" s="2" t="str">
        <f>IFERROR(__xludf.DUMMYFUNCTION("IF(G7740&lt;&gt;"""", GOOGLETRANSLATE(G7740, ""en"", ""te""),"""")"),"")</f>
        <v/>
      </c>
      <c r="I7740" s="3"/>
    </row>
    <row r="7741" customHeight="1" spans="1:9">
      <c r="A7741" s="2" t="s">
        <v>352</v>
      </c>
      <c r="B7741" s="2" t="str">
        <f>IFERROR(__xludf.DUMMYFUNCTION("IF(A7741&lt;&gt;"""", GOOGLETRANSLATE(A7741, ""en"", ""te""),"""")"),"[ 'బ్యాటింగ్ ప్రారంభించుటకు మరియు అదే మ్యాచ్ లో బౌలింగ్']")</f>
        <v>[ 'బ్యాటింగ్ ప్రారంభించుటకు మరియు అదే మ్యాచ్ లో బౌలింగ్']</v>
      </c>
      <c r="C7741" s="2"/>
      <c r="D7741" s="2" t="str">
        <f>IFERROR(__xludf.DUMMYFUNCTION("IF(C7741&lt;&gt;"""", GOOGLETRANSLATE(C7741, ""en"", ""te""),"""")"),"")</f>
        <v/>
      </c>
      <c r="E7741" s="2"/>
      <c r="F7741" s="2" t="str">
        <f>IFERROR(__xludf.DUMMYFUNCTION("IF(E7741&lt;&gt;"""", GOOGLETRANSLATE(E7741, ""en"", ""te""),"""")"),"")</f>
        <v/>
      </c>
      <c r="G7741" s="2"/>
      <c r="H7741" s="2" t="str">
        <f>IFERROR(__xludf.DUMMYFUNCTION("IF(G7741&lt;&gt;"""", GOOGLETRANSLATE(G7741, ""en"", ""te""),"""")"),"")</f>
        <v/>
      </c>
      <c r="I7741" s="3"/>
    </row>
    <row r="7742" customHeight="1" spans="1:9">
      <c r="A7742" s="2"/>
      <c r="B7742" s="2" t="str">
        <f>IFERROR(__xludf.DUMMYFUNCTION("IF(A7742&lt;&gt;"""", GOOGLETRANSLATE(A7742, ""en"", ""te""),"""")"),"")</f>
        <v/>
      </c>
      <c r="C7742" s="2"/>
      <c r="D7742" s="2" t="str">
        <f>IFERROR(__xludf.DUMMYFUNCTION("IF(C7742&lt;&gt;"""", GOOGLETRANSLATE(C7742, ""en"", ""te""),"""")"),"")</f>
        <v/>
      </c>
      <c r="E7742" s="2"/>
      <c r="F7742" s="2" t="str">
        <f>IFERROR(__xludf.DUMMYFUNCTION("IF(E7742&lt;&gt;"""", GOOGLETRANSLATE(E7742, ""en"", ""te""),"""")"),"")</f>
        <v/>
      </c>
      <c r="G7742" s="2"/>
      <c r="H7742" s="2" t="str">
        <f>IFERROR(__xludf.DUMMYFUNCTION("IF(G7742&lt;&gt;"""", GOOGLETRANSLATE(G7742, ""en"", ""te""),"""")"),"")</f>
        <v/>
      </c>
      <c r="I7742" s="3"/>
    </row>
    <row r="7743" customHeight="1" spans="1:9">
      <c r="A7743" s="2"/>
      <c r="B7743" s="2" t="str">
        <f>IFERROR(__xludf.DUMMYFUNCTION("IF(A7743&lt;&gt;"""", GOOGLETRANSLATE(A7743, ""en"", ""te""),"""")"),"")</f>
        <v/>
      </c>
      <c r="C7743" s="2"/>
      <c r="D7743" s="2" t="str">
        <f>IFERROR(__xludf.DUMMYFUNCTION("IF(C7743&lt;&gt;"""", GOOGLETRANSLATE(C7743, ""en"", ""te""),"""")"),"")</f>
        <v/>
      </c>
      <c r="E7743" s="2"/>
      <c r="F7743" s="2" t="str">
        <f>IFERROR(__xludf.DUMMYFUNCTION("IF(E7743&lt;&gt;"""", GOOGLETRANSLATE(E7743, ""en"", ""te""),"""")"),"")</f>
        <v/>
      </c>
      <c r="G7743" s="2"/>
      <c r="H7743" s="2" t="str">
        <f>IFERROR(__xludf.DUMMYFUNCTION("IF(G7743&lt;&gt;"""", GOOGLETRANSLATE(G7743, ""en"", ""te""),"""")"),"")</f>
        <v/>
      </c>
      <c r="I7743" s="3"/>
    </row>
    <row r="7744" customHeight="1" spans="1:9">
      <c r="A7744" s="2"/>
      <c r="B7744" s="2" t="str">
        <f>IFERROR(__xludf.DUMMYFUNCTION("IF(A7744&lt;&gt;"""", GOOGLETRANSLATE(A7744, ""en"", ""te""),"""")"),"")</f>
        <v/>
      </c>
      <c r="C7744" s="2"/>
      <c r="D7744" s="2" t="str">
        <f>IFERROR(__xludf.DUMMYFUNCTION("IF(C7744&lt;&gt;"""", GOOGLETRANSLATE(C7744, ""en"", ""te""),"""")"),"")</f>
        <v/>
      </c>
      <c r="E7744" s="2"/>
      <c r="F7744" s="2" t="str">
        <f>IFERROR(__xludf.DUMMYFUNCTION("IF(E7744&lt;&gt;"""", GOOGLETRANSLATE(E7744, ""en"", ""te""),"""")"),"")</f>
        <v/>
      </c>
      <c r="G7744" s="2"/>
      <c r="H7744" s="2" t="str">
        <f>IFERROR(__xludf.DUMMYFUNCTION("IF(G7744&lt;&gt;"""", GOOGLETRANSLATE(G7744, ""en"", ""te""),"""")"),"")</f>
        <v/>
      </c>
      <c r="I7744" s="3"/>
    </row>
    <row r="7745" customHeight="1" spans="1:9">
      <c r="A7745" s="2"/>
      <c r="B7745" s="2" t="str">
        <f>IFERROR(__xludf.DUMMYFUNCTION("IF(A7745&lt;&gt;"""", GOOGLETRANSLATE(A7745, ""en"", ""te""),"""")"),"")</f>
        <v/>
      </c>
      <c r="C7745" s="2"/>
      <c r="D7745" s="2" t="str">
        <f>IFERROR(__xludf.DUMMYFUNCTION("IF(C7745&lt;&gt;"""", GOOGLETRANSLATE(C7745, ""en"", ""te""),"""")"),"")</f>
        <v/>
      </c>
      <c r="E7745" s="2"/>
      <c r="F7745" s="2" t="str">
        <f>IFERROR(__xludf.DUMMYFUNCTION("IF(E7745&lt;&gt;"""", GOOGLETRANSLATE(E7745, ""en"", ""te""),"""")"),"")</f>
        <v/>
      </c>
      <c r="G7745" s="2"/>
      <c r="H7745" s="2" t="str">
        <f>IFERROR(__xludf.DUMMYFUNCTION("IF(G7745&lt;&gt;"""", GOOGLETRANSLATE(G7745, ""en"", ""te""),"""")"),"")</f>
        <v/>
      </c>
      <c r="I7745" s="3"/>
    </row>
    <row r="7746" customHeight="1" spans="1:9">
      <c r="A7746" s="2"/>
      <c r="B7746" s="2" t="str">
        <f>IFERROR(__xludf.DUMMYFUNCTION("IF(A7746&lt;&gt;"""", GOOGLETRANSLATE(A7746, ""en"", ""te""),"""")"),"")</f>
        <v/>
      </c>
      <c r="C7746" s="2"/>
      <c r="D7746" s="2" t="str">
        <f>IFERROR(__xludf.DUMMYFUNCTION("IF(C7746&lt;&gt;"""", GOOGLETRANSLATE(C7746, ""en"", ""te""),"""")"),"")</f>
        <v/>
      </c>
      <c r="E7746" s="2"/>
      <c r="F7746" s="2" t="str">
        <f>IFERROR(__xludf.DUMMYFUNCTION("IF(E7746&lt;&gt;"""", GOOGLETRANSLATE(E7746, ""en"", ""te""),"""")"),"")</f>
        <v/>
      </c>
      <c r="G7746" s="2"/>
      <c r="H7746" s="2" t="str">
        <f>IFERROR(__xludf.DUMMYFUNCTION("IF(G7746&lt;&gt;"""", GOOGLETRANSLATE(G7746, ""en"", ""te""),"""")"),"")</f>
        <v/>
      </c>
      <c r="I7746" s="3"/>
    </row>
    <row r="7747" customHeight="1" spans="1:9">
      <c r="A7747" s="2"/>
      <c r="B7747" s="2" t="str">
        <f>IFERROR(__xludf.DUMMYFUNCTION("IF(A7747&lt;&gt;"""", GOOGLETRANSLATE(A7747, ""en"", ""te""),"""")"),"")</f>
        <v/>
      </c>
      <c r="C7747" s="2"/>
      <c r="D7747" s="2" t="str">
        <f>IFERROR(__xludf.DUMMYFUNCTION("IF(C7747&lt;&gt;"""", GOOGLETRANSLATE(C7747, ""en"", ""te""),"""")"),"")</f>
        <v/>
      </c>
      <c r="E7747" s="2"/>
      <c r="F7747" s="2" t="str">
        <f>IFERROR(__xludf.DUMMYFUNCTION("IF(E7747&lt;&gt;"""", GOOGLETRANSLATE(E7747, ""en"", ""te""),"""")"),"")</f>
        <v/>
      </c>
      <c r="G7747" s="2"/>
      <c r="H7747" s="2" t="str">
        <f>IFERROR(__xludf.DUMMYFUNCTION("IF(G7747&lt;&gt;"""", GOOGLETRANSLATE(G7747, ""en"", ""te""),"""")"),"")</f>
        <v/>
      </c>
      <c r="I7747" s="3"/>
    </row>
    <row r="7748" customHeight="1" spans="1:9">
      <c r="A7748" s="2"/>
      <c r="B7748" s="2" t="str">
        <f>IFERROR(__xludf.DUMMYFUNCTION("IF(A7748&lt;&gt;"""", GOOGLETRANSLATE(A7748, ""en"", ""te""),"""")"),"")</f>
        <v/>
      </c>
      <c r="C7748" s="2"/>
      <c r="D7748" s="2" t="str">
        <f>IFERROR(__xludf.DUMMYFUNCTION("IF(C7748&lt;&gt;"""", GOOGLETRANSLATE(C7748, ""en"", ""te""),"""")"),"")</f>
        <v/>
      </c>
      <c r="E7748" s="2"/>
      <c r="F7748" s="2" t="str">
        <f>IFERROR(__xludf.DUMMYFUNCTION("IF(E7748&lt;&gt;"""", GOOGLETRANSLATE(E7748, ""en"", ""te""),"""")"),"")</f>
        <v/>
      </c>
      <c r="G7748" s="2"/>
      <c r="H7748" s="2" t="str">
        <f>IFERROR(__xludf.DUMMYFUNCTION("IF(G7748&lt;&gt;"""", GOOGLETRANSLATE(G7748, ""en"", ""te""),"""")"),"")</f>
        <v/>
      </c>
      <c r="I7748" s="3"/>
    </row>
    <row r="7749" customHeight="1" spans="1:9">
      <c r="A7749" s="2"/>
      <c r="B7749" s="2" t="str">
        <f>IFERROR(__xludf.DUMMYFUNCTION("IF(A7749&lt;&gt;"""", GOOGLETRANSLATE(A7749, ""en"", ""te""),"""")"),"")</f>
        <v/>
      </c>
      <c r="C7749" s="2"/>
      <c r="D7749" s="2" t="str">
        <f>IFERROR(__xludf.DUMMYFUNCTION("IF(C7749&lt;&gt;"""", GOOGLETRANSLATE(C7749, ""en"", ""te""),"""")"),"")</f>
        <v/>
      </c>
      <c r="E7749" s="2"/>
      <c r="F7749" s="2" t="str">
        <f>IFERROR(__xludf.DUMMYFUNCTION("IF(E7749&lt;&gt;"""", GOOGLETRANSLATE(E7749, ""en"", ""te""),"""")"),"")</f>
        <v/>
      </c>
      <c r="G7749" s="2"/>
      <c r="H7749" s="2" t="str">
        <f>IFERROR(__xludf.DUMMYFUNCTION("IF(G7749&lt;&gt;"""", GOOGLETRANSLATE(G7749, ""en"", ""te""),"""")"),"")</f>
        <v/>
      </c>
      <c r="I7749" s="3"/>
    </row>
    <row r="7750" customHeight="1" spans="1:9">
      <c r="A7750" s="2"/>
      <c r="B7750" s="2" t="str">
        <f>IFERROR(__xludf.DUMMYFUNCTION("IF(A7750&lt;&gt;"""", GOOGLETRANSLATE(A7750, ""en"", ""te""),"""")"),"")</f>
        <v/>
      </c>
      <c r="C7750" s="2"/>
      <c r="D7750" s="2" t="str">
        <f>IFERROR(__xludf.DUMMYFUNCTION("IF(C7750&lt;&gt;"""", GOOGLETRANSLATE(C7750, ""en"", ""te""),"""")"),"")</f>
        <v/>
      </c>
      <c r="E7750" s="2"/>
      <c r="F7750" s="2" t="str">
        <f>IFERROR(__xludf.DUMMYFUNCTION("IF(E7750&lt;&gt;"""", GOOGLETRANSLATE(E7750, ""en"", ""te""),"""")"),"")</f>
        <v/>
      </c>
      <c r="G7750" s="2"/>
      <c r="H7750" s="2" t="str">
        <f>IFERROR(__xludf.DUMMYFUNCTION("IF(G7750&lt;&gt;"""", GOOGLETRANSLATE(G7750, ""en"", ""te""),"""")"),"")</f>
        <v/>
      </c>
      <c r="I7750" s="3"/>
    </row>
    <row r="7751" customHeight="1" spans="1:9">
      <c r="A7751" s="2"/>
      <c r="B7751" s="2" t="str">
        <f>IFERROR(__xludf.DUMMYFUNCTION("IF(A7751&lt;&gt;"""", GOOGLETRANSLATE(A7751, ""en"", ""te""),"""")"),"")</f>
        <v/>
      </c>
      <c r="C7751" s="2"/>
      <c r="D7751" s="2" t="str">
        <f>IFERROR(__xludf.DUMMYFUNCTION("IF(C7751&lt;&gt;"""", GOOGLETRANSLATE(C7751, ""en"", ""te""),"""")"),"")</f>
        <v/>
      </c>
      <c r="E7751" s="2"/>
      <c r="F7751" s="2" t="str">
        <f>IFERROR(__xludf.DUMMYFUNCTION("IF(E7751&lt;&gt;"""", GOOGLETRANSLATE(E7751, ""en"", ""te""),"""")"),"")</f>
        <v/>
      </c>
      <c r="G7751" s="2"/>
      <c r="H7751" s="2" t="str">
        <f>IFERROR(__xludf.DUMMYFUNCTION("IF(G7751&lt;&gt;"""", GOOGLETRANSLATE(G7751, ""en"", ""te""),"""")"),"")</f>
        <v/>
      </c>
      <c r="I7751" s="3"/>
    </row>
    <row r="7752" customHeight="1" spans="1:9">
      <c r="A7752" s="2"/>
      <c r="B7752" s="2" t="str">
        <f>IFERROR(__xludf.DUMMYFUNCTION("IF(A7752&lt;&gt;"""", GOOGLETRANSLATE(A7752, ""en"", ""te""),"""")"),"")</f>
        <v/>
      </c>
      <c r="C7752" s="2"/>
      <c r="D7752" s="2" t="str">
        <f>IFERROR(__xludf.DUMMYFUNCTION("IF(C7752&lt;&gt;"""", GOOGLETRANSLATE(C7752, ""en"", ""te""),"""")"),"")</f>
        <v/>
      </c>
      <c r="E7752" s="2"/>
      <c r="F7752" s="2" t="str">
        <f>IFERROR(__xludf.DUMMYFUNCTION("IF(E7752&lt;&gt;"""", GOOGLETRANSLATE(E7752, ""en"", ""te""),"""")"),"")</f>
        <v/>
      </c>
      <c r="G7752" s="2"/>
      <c r="H7752" s="2" t="str">
        <f>IFERROR(__xludf.DUMMYFUNCTION("IF(G7752&lt;&gt;"""", GOOGLETRANSLATE(G7752, ""en"", ""te""),"""")"),"")</f>
        <v/>
      </c>
      <c r="I7752" s="3"/>
    </row>
    <row r="7753" customHeight="1" spans="1:9">
      <c r="A7753" s="2"/>
      <c r="B7753" s="2" t="str">
        <f>IFERROR(__xludf.DUMMYFUNCTION("IF(A7753&lt;&gt;"""", GOOGLETRANSLATE(A7753, ""en"", ""te""),"""")"),"")</f>
        <v/>
      </c>
      <c r="C7753" s="2"/>
      <c r="D7753" s="2" t="str">
        <f>IFERROR(__xludf.DUMMYFUNCTION("IF(C7753&lt;&gt;"""", GOOGLETRANSLATE(C7753, ""en"", ""te""),"""")"),"")</f>
        <v/>
      </c>
      <c r="E7753" s="2"/>
      <c r="F7753" s="2" t="str">
        <f>IFERROR(__xludf.DUMMYFUNCTION("IF(E7753&lt;&gt;"""", GOOGLETRANSLATE(E7753, ""en"", ""te""),"""")"),"")</f>
        <v/>
      </c>
      <c r="G7753" s="2" t="s">
        <v>4415</v>
      </c>
      <c r="H7753" s="2" t="str">
        <f>IFERROR(__xludf.DUMMYFUNCTION("IF(G7753&lt;&gt;"""", GOOGLETRANSLATE(G7753, ""en"", ""te""),"""")"),"[ '14 వ వరుస మ్యాచ్లు ప్రదర్శనల మధ్య బృందం (51) కోసం తప్పిన' 'ప్రదర్శనల మధ్య 47 వ లాంగెస్ట్ వ్యవధిలో (5 సం 33d)']")</f>
        <v>[ '14 వ వరుస మ్యాచ్లు ప్రదర్శనల మధ్య బృందం (51) కోసం తప్పిన' 'ప్రదర్శనల మధ్య 47 వ లాంగెస్ట్ వ్యవధిలో (5 సం 33d)']</v>
      </c>
      <c r="I7753" s="3"/>
    </row>
    <row r="7754" customHeight="1" spans="1:9">
      <c r="A7754" s="2"/>
      <c r="B7754" s="2" t="str">
        <f>IFERROR(__xludf.DUMMYFUNCTION("IF(A7754&lt;&gt;"""", GOOGLETRANSLATE(A7754, ""en"", ""te""),"""")"),"")</f>
        <v/>
      </c>
      <c r="C7754" s="2"/>
      <c r="D7754" s="2" t="str">
        <f>IFERROR(__xludf.DUMMYFUNCTION("IF(C7754&lt;&gt;"""", GOOGLETRANSLATE(C7754, ""en"", ""te""),"""")"),"")</f>
        <v/>
      </c>
      <c r="E7754" s="2"/>
      <c r="F7754" s="2" t="str">
        <f>IFERROR(__xludf.DUMMYFUNCTION("IF(E7754&lt;&gt;"""", GOOGLETRANSLATE(E7754, ""en"", ""te""),"""")"),"")</f>
        <v/>
      </c>
      <c r="G7754" s="2"/>
      <c r="H7754" s="2" t="str">
        <f>IFERROR(__xludf.DUMMYFUNCTION("IF(G7754&lt;&gt;"""", GOOGLETRANSLATE(G7754, ""en"", ""te""),"""")"),"")</f>
        <v/>
      </c>
      <c r="I7754" s="3"/>
    </row>
    <row r="7755" customHeight="1" spans="1:9">
      <c r="A7755" s="2"/>
      <c r="B7755" s="2" t="str">
        <f>IFERROR(__xludf.DUMMYFUNCTION("IF(A7755&lt;&gt;"""", GOOGLETRANSLATE(A7755, ""en"", ""te""),"""")"),"")</f>
        <v/>
      </c>
      <c r="C7755" s="2"/>
      <c r="D7755" s="2" t="str">
        <f>IFERROR(__xludf.DUMMYFUNCTION("IF(C7755&lt;&gt;"""", GOOGLETRANSLATE(C7755, ""en"", ""te""),"""")"),"")</f>
        <v/>
      </c>
      <c r="E7755" s="2"/>
      <c r="F7755" s="2" t="str">
        <f>IFERROR(__xludf.DUMMYFUNCTION("IF(E7755&lt;&gt;"""", GOOGLETRANSLATE(E7755, ""en"", ""te""),"""")"),"")</f>
        <v/>
      </c>
      <c r="G7755" s="2"/>
      <c r="H7755" s="2" t="str">
        <f>IFERROR(__xludf.DUMMYFUNCTION("IF(G7755&lt;&gt;"""", GOOGLETRANSLATE(G7755, ""en"", ""te""),"""")"),"")</f>
        <v/>
      </c>
      <c r="I7755" s="3"/>
    </row>
    <row r="7756" customHeight="1" spans="1:9">
      <c r="A7756" s="2"/>
      <c r="B7756" s="2" t="str">
        <f>IFERROR(__xludf.DUMMYFUNCTION("IF(A7756&lt;&gt;"""", GOOGLETRANSLATE(A7756, ""en"", ""te""),"""")"),"")</f>
        <v/>
      </c>
      <c r="C7756" s="2"/>
      <c r="D7756" s="2" t="str">
        <f>IFERROR(__xludf.DUMMYFUNCTION("IF(C7756&lt;&gt;"""", GOOGLETRANSLATE(C7756, ""en"", ""te""),"""")"),"")</f>
        <v/>
      </c>
      <c r="E7756" s="2"/>
      <c r="F7756" s="2" t="str">
        <f>IFERROR(__xludf.DUMMYFUNCTION("IF(E7756&lt;&gt;"""", GOOGLETRANSLATE(E7756, ""en"", ""te""),"""")"),"")</f>
        <v/>
      </c>
      <c r="G7756" s="2"/>
      <c r="H7756" s="2" t="str">
        <f>IFERROR(__xludf.DUMMYFUNCTION("IF(G7756&lt;&gt;"""", GOOGLETRANSLATE(G7756, ""en"", ""te""),"""")"),"")</f>
        <v/>
      </c>
      <c r="I7756" s="3"/>
    </row>
    <row r="7757" customHeight="1" spans="1:9">
      <c r="A7757" s="2"/>
      <c r="B7757" s="2" t="str">
        <f>IFERROR(__xludf.DUMMYFUNCTION("IF(A7757&lt;&gt;"""", GOOGLETRANSLATE(A7757, ""en"", ""te""),"""")"),"")</f>
        <v/>
      </c>
      <c r="C7757" s="2"/>
      <c r="D7757" s="2" t="str">
        <f>IFERROR(__xludf.DUMMYFUNCTION("IF(C7757&lt;&gt;"""", GOOGLETRANSLATE(C7757, ""en"", ""te""),"""")"),"")</f>
        <v/>
      </c>
      <c r="E7757" s="2"/>
      <c r="F7757" s="2" t="str">
        <f>IFERROR(__xludf.DUMMYFUNCTION("IF(E7757&lt;&gt;"""", GOOGLETRANSLATE(E7757, ""en"", ""te""),"""")"),"")</f>
        <v/>
      </c>
      <c r="G7757" s="2"/>
      <c r="H7757" s="2" t="str">
        <f>IFERROR(__xludf.DUMMYFUNCTION("IF(G7757&lt;&gt;"""", GOOGLETRANSLATE(G7757, ""en"", ""te""),"""")"),"")</f>
        <v/>
      </c>
      <c r="I7757" s="3"/>
    </row>
    <row r="7758" customHeight="1" spans="1:9">
      <c r="A7758" s="2"/>
      <c r="B7758" s="2" t="str">
        <f>IFERROR(__xludf.DUMMYFUNCTION("IF(A7758&lt;&gt;"""", GOOGLETRANSLATE(A7758, ""en"", ""te""),"""")"),"")</f>
        <v/>
      </c>
      <c r="C7758" s="2"/>
      <c r="D7758" s="2" t="str">
        <f>IFERROR(__xludf.DUMMYFUNCTION("IF(C7758&lt;&gt;"""", GOOGLETRANSLATE(C7758, ""en"", ""te""),"""")"),"")</f>
        <v/>
      </c>
      <c r="E7758" s="2"/>
      <c r="F7758" s="2" t="str">
        <f>IFERROR(__xludf.DUMMYFUNCTION("IF(E7758&lt;&gt;"""", GOOGLETRANSLATE(E7758, ""en"", ""te""),"""")"),"")</f>
        <v/>
      </c>
      <c r="G7758" s="2"/>
      <c r="H7758" s="2" t="str">
        <f>IFERROR(__xludf.DUMMYFUNCTION("IF(G7758&lt;&gt;"""", GOOGLETRANSLATE(G7758, ""en"", ""te""),"""")"),"")</f>
        <v/>
      </c>
      <c r="I7758" s="3"/>
    </row>
    <row r="7759" customHeight="1" spans="1:9">
      <c r="A7759" s="2"/>
      <c r="B7759" s="2" t="str">
        <f>IFERROR(__xludf.DUMMYFUNCTION("IF(A7759&lt;&gt;"""", GOOGLETRANSLATE(A7759, ""en"", ""te""),"""")"),"")</f>
        <v/>
      </c>
      <c r="C7759" s="2"/>
      <c r="D7759" s="2" t="str">
        <f>IFERROR(__xludf.DUMMYFUNCTION("IF(C7759&lt;&gt;"""", GOOGLETRANSLATE(C7759, ""en"", ""te""),"""")"),"")</f>
        <v/>
      </c>
      <c r="E7759" s="2"/>
      <c r="F7759" s="2" t="str">
        <f>IFERROR(__xludf.DUMMYFUNCTION("IF(E7759&lt;&gt;"""", GOOGLETRANSLATE(E7759, ""en"", ""te""),"""")"),"")</f>
        <v/>
      </c>
      <c r="G7759" s="2"/>
      <c r="H7759" s="2" t="str">
        <f>IFERROR(__xludf.DUMMYFUNCTION("IF(G7759&lt;&gt;"""", GOOGLETRANSLATE(G7759, ""en"", ""te""),"""")"),"")</f>
        <v/>
      </c>
      <c r="I7759" s="3"/>
    </row>
    <row r="7760" customHeight="1" spans="1:9">
      <c r="A7760" s="2"/>
      <c r="B7760" s="2" t="str">
        <f>IFERROR(__xludf.DUMMYFUNCTION("IF(A7760&lt;&gt;"""", GOOGLETRANSLATE(A7760, ""en"", ""te""),"""")"),"")</f>
        <v/>
      </c>
      <c r="C7760" s="2"/>
      <c r="D7760" s="2" t="str">
        <f>IFERROR(__xludf.DUMMYFUNCTION("IF(C7760&lt;&gt;"""", GOOGLETRANSLATE(C7760, ""en"", ""te""),"""")"),"")</f>
        <v/>
      </c>
      <c r="E7760" s="2"/>
      <c r="F7760" s="2" t="str">
        <f>IFERROR(__xludf.DUMMYFUNCTION("IF(E7760&lt;&gt;"""", GOOGLETRANSLATE(E7760, ""en"", ""te""),"""")"),"")</f>
        <v/>
      </c>
      <c r="G7760" s="2"/>
      <c r="H7760" s="2" t="str">
        <f>IFERROR(__xludf.DUMMYFUNCTION("IF(G7760&lt;&gt;"""", GOOGLETRANSLATE(G7760, ""en"", ""te""),"""")"),"")</f>
        <v/>
      </c>
      <c r="I7760" s="3"/>
    </row>
    <row r="7761" customHeight="1" spans="1:9">
      <c r="A7761" s="2"/>
      <c r="B7761" s="2" t="str">
        <f>IFERROR(__xludf.DUMMYFUNCTION("IF(A7761&lt;&gt;"""", GOOGLETRANSLATE(A7761, ""en"", ""te""),"""")"),"")</f>
        <v/>
      </c>
      <c r="C7761" s="2"/>
      <c r="D7761" s="2" t="str">
        <f>IFERROR(__xludf.DUMMYFUNCTION("IF(C7761&lt;&gt;"""", GOOGLETRANSLATE(C7761, ""en"", ""te""),"""")"),"")</f>
        <v/>
      </c>
      <c r="E7761" s="2"/>
      <c r="F7761" s="2" t="str">
        <f>IFERROR(__xludf.DUMMYFUNCTION("IF(E7761&lt;&gt;"""", GOOGLETRANSLATE(E7761, ""en"", ""te""),"""")"),"")</f>
        <v/>
      </c>
      <c r="G7761" s="2"/>
      <c r="H7761" s="2" t="str">
        <f>IFERROR(__xludf.DUMMYFUNCTION("IF(G7761&lt;&gt;"""", GOOGLETRANSLATE(G7761, ""en"", ""te""),"""")"),"")</f>
        <v/>
      </c>
      <c r="I7761" s="3"/>
    </row>
    <row r="7762" customHeight="1" spans="1:9">
      <c r="A7762" s="2" t="s">
        <v>3329</v>
      </c>
      <c r="B7762" s="2" t="str">
        <f>IFERROR(__xludf.DUMMYFUNCTION("IF(A7762&lt;&gt;"""", GOOGLETRANSLATE(A7762, ""en"", ""te""),"""")"),"[ '6 వ అత్యుత్తమ ఇన్నింగ్స్ (3/3) విశ్లేషణలలో బౌలింగ్']")</f>
        <v>[ '6 వ అత్యుత్తమ ఇన్నింగ్స్ (3/3) విశ్లేషణలలో బౌలింగ్']</v>
      </c>
      <c r="C7762" s="2"/>
      <c r="D7762" s="2" t="str">
        <f>IFERROR(__xludf.DUMMYFUNCTION("IF(C7762&lt;&gt;"""", GOOGLETRANSLATE(C7762, ""en"", ""te""),"""")"),"")</f>
        <v/>
      </c>
      <c r="E7762" s="2" t="s">
        <v>3329</v>
      </c>
      <c r="F7762" s="2" t="str">
        <f>IFERROR(__xludf.DUMMYFUNCTION("IF(E7762&lt;&gt;"""", GOOGLETRANSLATE(E7762, ""en"", ""te""),"""")"),"[ '6 వ అత్యుత్తమ ఇన్నింగ్స్ (3/3) విశ్లేషణలలో బౌలింగ్']")</f>
        <v>[ '6 వ అత్యుత్తమ ఇన్నింగ్స్ (3/3) విశ్లేషణలలో బౌలింగ్']</v>
      </c>
      <c r="G7762" s="2"/>
      <c r="H7762" s="2" t="str">
        <f>IFERROR(__xludf.DUMMYFUNCTION("IF(G7762&lt;&gt;"""", GOOGLETRANSLATE(G7762, ""en"", ""te""),"""")"),"")</f>
        <v/>
      </c>
      <c r="I7762" s="3"/>
    </row>
    <row r="7763" customHeight="1" spans="1:9">
      <c r="A7763" s="2"/>
      <c r="B7763" s="2" t="str">
        <f>IFERROR(__xludf.DUMMYFUNCTION("IF(A7763&lt;&gt;"""", GOOGLETRANSLATE(A7763, ""en"", ""te""),"""")"),"")</f>
        <v/>
      </c>
      <c r="C7763" s="2"/>
      <c r="D7763" s="2" t="str">
        <f>IFERROR(__xludf.DUMMYFUNCTION("IF(C7763&lt;&gt;"""", GOOGLETRANSLATE(C7763, ""en"", ""te""),"""")"),"")</f>
        <v/>
      </c>
      <c r="E7763" s="2"/>
      <c r="F7763" s="2" t="str">
        <f>IFERROR(__xludf.DUMMYFUNCTION("IF(E7763&lt;&gt;"""", GOOGLETRANSLATE(E7763, ""en"", ""te""),"""")"),"")</f>
        <v/>
      </c>
      <c r="G7763" s="2"/>
      <c r="H7763" s="2" t="str">
        <f>IFERROR(__xludf.DUMMYFUNCTION("IF(G7763&lt;&gt;"""", GOOGLETRANSLATE(G7763, ""en"", ""te""),"""")"),"")</f>
        <v/>
      </c>
      <c r="I7763" s="3"/>
    </row>
    <row r="7764" customHeight="1" spans="1:9">
      <c r="A7764" s="2"/>
      <c r="B7764" s="2" t="str">
        <f>IFERROR(__xludf.DUMMYFUNCTION("IF(A7764&lt;&gt;"""", GOOGLETRANSLATE(A7764, ""en"", ""te""),"""")"),"")</f>
        <v/>
      </c>
      <c r="C7764" s="2"/>
      <c r="D7764" s="2" t="str">
        <f>IFERROR(__xludf.DUMMYFUNCTION("IF(C7764&lt;&gt;"""", GOOGLETRANSLATE(C7764, ""en"", ""te""),"""")"),"")</f>
        <v/>
      </c>
      <c r="E7764" s="2"/>
      <c r="F7764" s="2" t="str">
        <f>IFERROR(__xludf.DUMMYFUNCTION("IF(E7764&lt;&gt;"""", GOOGLETRANSLATE(E7764, ""en"", ""te""),"""")"),"")</f>
        <v/>
      </c>
      <c r="G7764" s="2"/>
      <c r="H7764" s="2" t="str">
        <f>IFERROR(__xludf.DUMMYFUNCTION("IF(G7764&lt;&gt;"""", GOOGLETRANSLATE(G7764, ""en"", ""te""),"""")"),"")</f>
        <v/>
      </c>
      <c r="I7764" s="3"/>
    </row>
    <row r="7765" customHeight="1" spans="1:9">
      <c r="A7765" s="2"/>
      <c r="B7765" s="2" t="str">
        <f>IFERROR(__xludf.DUMMYFUNCTION("IF(A7765&lt;&gt;"""", GOOGLETRANSLATE(A7765, ""en"", ""te""),"""")"),"")</f>
        <v/>
      </c>
      <c r="C7765" s="2"/>
      <c r="D7765" s="2" t="str">
        <f>IFERROR(__xludf.DUMMYFUNCTION("IF(C7765&lt;&gt;"""", GOOGLETRANSLATE(C7765, ""en"", ""te""),"""")"),"")</f>
        <v/>
      </c>
      <c r="E7765" s="2"/>
      <c r="F7765" s="2" t="str">
        <f>IFERROR(__xludf.DUMMYFUNCTION("IF(E7765&lt;&gt;"""", GOOGLETRANSLATE(E7765, ""en"", ""te""),"""")"),"")</f>
        <v/>
      </c>
      <c r="G7765" s="2"/>
      <c r="H7765" s="2" t="str">
        <f>IFERROR(__xludf.DUMMYFUNCTION("IF(G7765&lt;&gt;"""", GOOGLETRANSLATE(G7765, ""en"", ""te""),"""")"),"")</f>
        <v/>
      </c>
      <c r="I7765" s="3"/>
    </row>
    <row r="7766" customHeight="1" spans="1:9">
      <c r="A7766" s="2"/>
      <c r="B7766" s="2" t="str">
        <f>IFERROR(__xludf.DUMMYFUNCTION("IF(A7766&lt;&gt;"""", GOOGLETRANSLATE(A7766, ""en"", ""te""),"""")"),"")</f>
        <v/>
      </c>
      <c r="C7766" s="2"/>
      <c r="D7766" s="2" t="str">
        <f>IFERROR(__xludf.DUMMYFUNCTION("IF(C7766&lt;&gt;"""", GOOGLETRANSLATE(C7766, ""en"", ""te""),"""")"),"")</f>
        <v/>
      </c>
      <c r="E7766" s="2"/>
      <c r="F7766" s="2" t="str">
        <f>IFERROR(__xludf.DUMMYFUNCTION("IF(E7766&lt;&gt;"""", GOOGLETRANSLATE(E7766, ""en"", ""te""),"""")"),"")</f>
        <v/>
      </c>
      <c r="G7766" s="2"/>
      <c r="H7766" s="2" t="str">
        <f>IFERROR(__xludf.DUMMYFUNCTION("IF(G7766&lt;&gt;"""", GOOGLETRANSLATE(G7766, ""en"", ""te""),"""")"),"")</f>
        <v/>
      </c>
      <c r="I7766" s="3"/>
    </row>
    <row r="7767" customHeight="1" spans="1:9">
      <c r="A7767" s="2"/>
      <c r="B7767" s="2" t="str">
        <f>IFERROR(__xludf.DUMMYFUNCTION("IF(A7767&lt;&gt;"""", GOOGLETRANSLATE(A7767, ""en"", ""te""),"""")"),"")</f>
        <v/>
      </c>
      <c r="C7767" s="2"/>
      <c r="D7767" s="2" t="str">
        <f>IFERROR(__xludf.DUMMYFUNCTION("IF(C7767&lt;&gt;"""", GOOGLETRANSLATE(C7767, ""en"", ""te""),"""")"),"")</f>
        <v/>
      </c>
      <c r="E7767" s="2"/>
      <c r="F7767" s="2" t="str">
        <f>IFERROR(__xludf.DUMMYFUNCTION("IF(E7767&lt;&gt;"""", GOOGLETRANSLATE(E7767, ""en"", ""te""),"""")"),"")</f>
        <v/>
      </c>
      <c r="G7767" s="2"/>
      <c r="H7767" s="2" t="str">
        <f>IFERROR(__xludf.DUMMYFUNCTION("IF(G7767&lt;&gt;"""", GOOGLETRANSLATE(G7767, ""en"", ""te""),"""")"),"")</f>
        <v/>
      </c>
      <c r="I7767" s="3"/>
    </row>
    <row r="7768" customHeight="1" spans="1:9">
      <c r="A7768" s="2"/>
      <c r="B7768" s="2" t="str">
        <f>IFERROR(__xludf.DUMMYFUNCTION("IF(A7768&lt;&gt;"""", GOOGLETRANSLATE(A7768, ""en"", ""te""),"""")"),"")</f>
        <v/>
      </c>
      <c r="C7768" s="2"/>
      <c r="D7768" s="2" t="str">
        <f>IFERROR(__xludf.DUMMYFUNCTION("IF(C7768&lt;&gt;"""", GOOGLETRANSLATE(C7768, ""en"", ""te""),"""")"),"")</f>
        <v/>
      </c>
      <c r="E7768" s="2"/>
      <c r="F7768" s="2" t="str">
        <f>IFERROR(__xludf.DUMMYFUNCTION("IF(E7768&lt;&gt;"""", GOOGLETRANSLATE(E7768, ""en"", ""te""),"""")"),"")</f>
        <v/>
      </c>
      <c r="G7768" s="2"/>
      <c r="H7768" s="2" t="str">
        <f>IFERROR(__xludf.DUMMYFUNCTION("IF(G7768&lt;&gt;"""", GOOGLETRANSLATE(G7768, ""en"", ""te""),"""")"),"")</f>
        <v/>
      </c>
      <c r="I7768" s="3"/>
    </row>
    <row r="7769" customHeight="1" spans="1:9">
      <c r="A7769" s="2"/>
      <c r="B7769" s="2" t="str">
        <f>IFERROR(__xludf.DUMMYFUNCTION("IF(A7769&lt;&gt;"""", GOOGLETRANSLATE(A7769, ""en"", ""te""),"""")"),"")</f>
        <v/>
      </c>
      <c r="C7769" s="2"/>
      <c r="D7769" s="2" t="str">
        <f>IFERROR(__xludf.DUMMYFUNCTION("IF(C7769&lt;&gt;"""", GOOGLETRANSLATE(C7769, ""en"", ""te""),"""")"),"")</f>
        <v/>
      </c>
      <c r="E7769" s="2"/>
      <c r="F7769" s="2" t="str">
        <f>IFERROR(__xludf.DUMMYFUNCTION("IF(E7769&lt;&gt;"""", GOOGLETRANSLATE(E7769, ""en"", ""te""),"""")"),"")</f>
        <v/>
      </c>
      <c r="G7769" s="2"/>
      <c r="H7769" s="2" t="str">
        <f>IFERROR(__xludf.DUMMYFUNCTION("IF(G7769&lt;&gt;"""", GOOGLETRANSLATE(G7769, ""en"", ""te""),"""")"),"")</f>
        <v/>
      </c>
      <c r="I7769" s="3"/>
    </row>
    <row r="7770" customHeight="1" spans="1:9">
      <c r="A7770" s="2"/>
      <c r="B7770" s="2" t="str">
        <f>IFERROR(__xludf.DUMMYFUNCTION("IF(A7770&lt;&gt;"""", GOOGLETRANSLATE(A7770, ""en"", ""te""),"""")"),"")</f>
        <v/>
      </c>
      <c r="C7770" s="2"/>
      <c r="D7770" s="2" t="str">
        <f>IFERROR(__xludf.DUMMYFUNCTION("IF(C7770&lt;&gt;"""", GOOGLETRANSLATE(C7770, ""en"", ""te""),"""")"),"")</f>
        <v/>
      </c>
      <c r="E7770" s="2"/>
      <c r="F7770" s="2" t="str">
        <f>IFERROR(__xludf.DUMMYFUNCTION("IF(E7770&lt;&gt;"""", GOOGLETRANSLATE(E7770, ""en"", ""te""),"""")"),"")</f>
        <v/>
      </c>
      <c r="G7770" s="2"/>
      <c r="H7770" s="2" t="str">
        <f>IFERROR(__xludf.DUMMYFUNCTION("IF(G7770&lt;&gt;"""", GOOGLETRANSLATE(G7770, ""en"", ""te""),"""")"),"")</f>
        <v/>
      </c>
      <c r="I7770" s="3"/>
    </row>
    <row r="7771" customHeight="1" spans="1:9">
      <c r="A7771" s="2"/>
      <c r="B7771" s="2" t="str">
        <f>IFERROR(__xludf.DUMMYFUNCTION("IF(A7771&lt;&gt;"""", GOOGLETRANSLATE(A7771, ""en"", ""te""),"""")"),"")</f>
        <v/>
      </c>
      <c r="C7771" s="2"/>
      <c r="D7771" s="2" t="str">
        <f>IFERROR(__xludf.DUMMYFUNCTION("IF(C7771&lt;&gt;"""", GOOGLETRANSLATE(C7771, ""en"", ""te""),"""")"),"")</f>
        <v/>
      </c>
      <c r="E7771" s="2"/>
      <c r="F7771" s="2" t="str">
        <f>IFERROR(__xludf.DUMMYFUNCTION("IF(E7771&lt;&gt;"""", GOOGLETRANSLATE(E7771, ""en"", ""te""),"""")"),"")</f>
        <v/>
      </c>
      <c r="G7771" s="2"/>
      <c r="H7771" s="2" t="str">
        <f>IFERROR(__xludf.DUMMYFUNCTION("IF(G7771&lt;&gt;"""", GOOGLETRANSLATE(G7771, ""en"", ""te""),"""")"),"")</f>
        <v/>
      </c>
      <c r="I7771" s="3"/>
    </row>
    <row r="7772" customHeight="1" spans="1:9">
      <c r="A7772" s="2"/>
      <c r="B7772" s="2" t="str">
        <f>IFERROR(__xludf.DUMMYFUNCTION("IF(A7772&lt;&gt;"""", GOOGLETRANSLATE(A7772, ""en"", ""te""),"""")"),"")</f>
        <v/>
      </c>
      <c r="C7772" s="2"/>
      <c r="D7772" s="2" t="str">
        <f>IFERROR(__xludf.DUMMYFUNCTION("IF(C7772&lt;&gt;"""", GOOGLETRANSLATE(C7772, ""en"", ""te""),"""")"),"")</f>
        <v/>
      </c>
      <c r="E7772" s="2"/>
      <c r="F7772" s="2" t="str">
        <f>IFERROR(__xludf.DUMMYFUNCTION("IF(E7772&lt;&gt;"""", GOOGLETRANSLATE(E7772, ""en"", ""te""),"""")"),"")</f>
        <v/>
      </c>
      <c r="G7772" s="2"/>
      <c r="H7772" s="2" t="str">
        <f>IFERROR(__xludf.DUMMYFUNCTION("IF(G7772&lt;&gt;"""", GOOGLETRANSLATE(G7772, ""en"", ""te""),"""")"),"")</f>
        <v/>
      </c>
      <c r="I7772" s="3"/>
    </row>
    <row r="7773" customHeight="1" spans="1:9">
      <c r="A7773" s="2"/>
      <c r="B7773" s="2" t="str">
        <f>IFERROR(__xludf.DUMMYFUNCTION("IF(A7773&lt;&gt;"""", GOOGLETRANSLATE(A7773, ""en"", ""te""),"""")"),"")</f>
        <v/>
      </c>
      <c r="C7773" s="2"/>
      <c r="D7773" s="2" t="str">
        <f>IFERROR(__xludf.DUMMYFUNCTION("IF(C7773&lt;&gt;"""", GOOGLETRANSLATE(C7773, ""en"", ""te""),"""")"),"")</f>
        <v/>
      </c>
      <c r="E7773" s="2"/>
      <c r="F7773" s="2" t="str">
        <f>IFERROR(__xludf.DUMMYFUNCTION("IF(E7773&lt;&gt;"""", GOOGLETRANSLATE(E7773, ""en"", ""te""),"""")"),"")</f>
        <v/>
      </c>
      <c r="G7773" s="2"/>
      <c r="H7773" s="2" t="str">
        <f>IFERROR(__xludf.DUMMYFUNCTION("IF(G7773&lt;&gt;"""", GOOGLETRANSLATE(G7773, ""en"", ""te""),"""")"),"")</f>
        <v/>
      </c>
      <c r="I7773" s="3"/>
    </row>
    <row r="7774" customHeight="1" spans="1:9">
      <c r="A7774" s="2" t="s">
        <v>4416</v>
      </c>
      <c r="B7774" s="2" t="str">
        <f>IFERROR(__xludf.DUMMYFUNCTION("IF(A7774&lt;&gt;"""", GOOGLETRANSLATE(A7774, ""en"", ""te""),"""")"),"[1000 '1st 99 (199, 299 etc) (99) అవుటయ్యాడు', 'కెరీర్ లో 5 వ లేవు బాతులు (46)', '9 వ వేగవంతమైన' వికెట్ను కాపాడుకున్నాడు మరియు బ్యాటింగ్ (2) తెరిచిన చేసిన 8 వ కెప్టెన్ల ' పరుగులు (34) ',' ఆరవ వికెట్కు 2 వ అత్యధిక భాగస్వామ్యం (97) ']")</f>
        <v>[1000 '1st 99 (199, 299 etc) (99) అవుటయ్యాడు', 'కెరీర్ లో 5 వ లేవు బాతులు (46)', '9 వ వేగవంతమైన' వికెట్ను కాపాడుకున్నాడు మరియు బ్యాటింగ్ (2) తెరిచిన చేసిన 8 వ కెప్టెన్ల ' పరుగులు (34) ',' ఆరవ వికెట్కు 2 వ అత్యధిక భాగస్వామ్యం (97) ']</v>
      </c>
      <c r="C7774" s="2" t="s">
        <v>619</v>
      </c>
      <c r="D7774" s="2" t="str">
        <f>IFERROR(__xludf.DUMMYFUNCTION("IF(C7774&lt;&gt;"""", GOOGLETRANSLATE(C7774, ""en"", ""te""),"""")"),"[ '12 వ మ్యాచ్లో (3) అత్యంత స్టంపింగ్లు']")</f>
        <v>[ '12 వ మ్యాచ్లో (3) అత్యంత స్టంపింగ్లు']</v>
      </c>
      <c r="E7774" s="2" t="s">
        <v>4417</v>
      </c>
      <c r="F7774" s="2" t="str">
        <f>IFERROR(__xludf.DUMMYFUNCTION("IF(E7774&lt;&gt;"""", GOOGLETRANSLATE(E7774, ""en"", ""te""),"""")"),"[40 వ అత్యధిక ఇన్నింగ్స్ లో సమ్మె రేటు (272.00) ',' 20 వ హండ్రెడ్ గత మ్యాచ్లో (120) ',' వికెట్ను కాపాడుకున్నాడు చేసిన 29 కెప్టెన్ల ( '1 వ 99 (199, 299 etc) (99) అవుటయ్యాడు' వికెట్ను కాపాడుకున్నాడు మరియు బ్యాటింగ్ (2 తెరిచిన చేసిన 2) ',' 8 వ కెప్టెన్ల) ']")</f>
        <v>[40 వ అత్యధిక ఇన్నింగ్స్ లో సమ్మె రేటు (272.00) ',' 20 వ హండ్రెడ్ గత మ్యాచ్లో (120) ',' వికెట్ను కాపాడుకున్నాడు చేసిన 29 కెప్టెన్ల ( '1 వ 99 (199, 299 etc) (99) అవుటయ్యాడు' వికెట్ను కాపాడుకున్నాడు మరియు బ్యాటింగ్ (2 తెరిచిన చేసిన 2) ',' 8 వ కెప్టెన్ల) ']</v>
      </c>
      <c r="G7774" s="2" t="s">
        <v>4418</v>
      </c>
      <c r="H7774" s="2" t="str">
        <f>IFERROR(__xludf.DUMMYFUNCTION("IF(G7774&lt;&gt;"""", GOOGLETRANSLATE(G7774, ""en"", ""te""),"""")"),"[ '45 వ అత్యధిక కెరీర్ లో పరుగులు (1293)', 'పరాజయం వైపు ఒక మ్యాచ్లో 48 వ అత్యధిక పరుగులు (77)', 'ఒకే మైదానంలో 14 వ అత్యధిక పరుగులు (356)', '23 వ ఒక ద్వారా ఒక ఇన్నింగ్స్ లో పరుగులు వికెట్కీపర్గా (77) ',' 17 వ కెరీర్ అర్ధ (12) ',' కెరీర్ లో 5 వ లేవు బాతుల"&amp;"ు (46) ',' ఒక డక్ లేకుండా 16 వరుస ఇన్నింగ్స్ (46 *) ',' 45 వ కెరీర్ లో వచ్చిన ఎక్కువ సిక్స్ (47 ) ',' ఇన్నింగ్స్ లో కెరీర్ లో 37 వ అత్యంత ఫోర్లు (123) ',' 42 వ ఎక్కువ సిక్స్ (7) ',' 9 వ 1000 పరుగులు (34 వేగవంతమైన) ',' ఆరవ వికెట్కు 2 వ అత్యధిక భాగస్వామ్యం"&amp;" (97) ', '12 వ అత్యంత ప్లేయర్ ఆఫ్ ది మ్యాచ్ అవార్డులు (7)', 'కెరీర్ లో 24 వ అత్యంత స్టంపింగ్లు (5)']")</f>
        <v>[ '45 వ అత్యధిక కెరీర్ లో పరుగులు (1293)', 'పరాజయం వైపు ఒక మ్యాచ్లో 48 వ అత్యధిక పరుగులు (77)', 'ఒకే మైదానంలో 14 వ అత్యధిక పరుగులు (356)', '23 వ ఒక ద్వారా ఒక ఇన్నింగ్స్ లో పరుగులు వికెట్కీపర్గా (77) ',' 17 వ కెరీర్ అర్ధ (12) ',' కెరీర్ లో 5 వ లేవు బాతులు (46) ',' ఒక డక్ లేకుండా 16 వరుస ఇన్నింగ్స్ (46 *) ',' 45 వ కెరీర్ లో వచ్చిన ఎక్కువ సిక్స్ (47 ) ',' ఇన్నింగ్స్ లో కెరీర్ లో 37 వ అత్యంత ఫోర్లు (123) ',' 42 వ ఎక్కువ సిక్స్ (7) ',' 9 వ 1000 పరుగులు (34 వేగవంతమైన) ',' ఆరవ వికెట్కు 2 వ అత్యధిక భాగస్వామ్యం (97) ', '12 వ అత్యంత ప్లేయర్ ఆఫ్ ది మ్యాచ్ అవార్డులు (7)', 'కెరీర్ లో 24 వ అత్యంత స్టంపింగ్లు (5)']</v>
      </c>
      <c r="I7774" s="3"/>
    </row>
    <row r="7775" customHeight="1" spans="1:9">
      <c r="A7775" s="2"/>
      <c r="B7775" s="2" t="str">
        <f>IFERROR(__xludf.DUMMYFUNCTION("IF(A7775&lt;&gt;"""", GOOGLETRANSLATE(A7775, ""en"", ""te""),"""")"),"")</f>
        <v/>
      </c>
      <c r="C7775" s="2"/>
      <c r="D7775" s="2" t="str">
        <f>IFERROR(__xludf.DUMMYFUNCTION("IF(C7775&lt;&gt;"""", GOOGLETRANSLATE(C7775, ""en"", ""te""),"""")"),"")</f>
        <v/>
      </c>
      <c r="E7775" s="2"/>
      <c r="F7775" s="2" t="str">
        <f>IFERROR(__xludf.DUMMYFUNCTION("IF(E7775&lt;&gt;"""", GOOGLETRANSLATE(E7775, ""en"", ""te""),"""")"),"")</f>
        <v/>
      </c>
      <c r="G7775" s="2"/>
      <c r="H7775" s="2" t="str">
        <f>IFERROR(__xludf.DUMMYFUNCTION("IF(G7775&lt;&gt;"""", GOOGLETRANSLATE(G7775, ""en"", ""te""),"""")"),"")</f>
        <v/>
      </c>
      <c r="I7775" s="3"/>
    </row>
    <row r="7776" customHeight="1" spans="1:9">
      <c r="A7776" s="2"/>
      <c r="B7776" s="2" t="str">
        <f>IFERROR(__xludf.DUMMYFUNCTION("IF(A7776&lt;&gt;"""", GOOGLETRANSLATE(A7776, ""en"", ""te""),"""")"),"")</f>
        <v/>
      </c>
      <c r="C7776" s="2"/>
      <c r="D7776" s="2" t="str">
        <f>IFERROR(__xludf.DUMMYFUNCTION("IF(C7776&lt;&gt;"""", GOOGLETRANSLATE(C7776, ""en"", ""te""),"""")"),"")</f>
        <v/>
      </c>
      <c r="E7776" s="2"/>
      <c r="F7776" s="2" t="str">
        <f>IFERROR(__xludf.DUMMYFUNCTION("IF(E7776&lt;&gt;"""", GOOGLETRANSLATE(E7776, ""en"", ""te""),"""")"),"")</f>
        <v/>
      </c>
      <c r="G7776" s="2"/>
      <c r="H7776" s="2" t="str">
        <f>IFERROR(__xludf.DUMMYFUNCTION("IF(G7776&lt;&gt;"""", GOOGLETRANSLATE(G7776, ""en"", ""te""),"""")"),"")</f>
        <v/>
      </c>
      <c r="I7776" s="3"/>
    </row>
    <row r="7777" customHeight="1" spans="1:9">
      <c r="A7777" s="2"/>
      <c r="B7777" s="2" t="str">
        <f>IFERROR(__xludf.DUMMYFUNCTION("IF(A7777&lt;&gt;"""", GOOGLETRANSLATE(A7777, ""en"", ""te""),"""")"),"")</f>
        <v/>
      </c>
      <c r="C7777" s="2"/>
      <c r="D7777" s="2" t="str">
        <f>IFERROR(__xludf.DUMMYFUNCTION("IF(C7777&lt;&gt;"""", GOOGLETRANSLATE(C7777, ""en"", ""te""),"""")"),"")</f>
        <v/>
      </c>
      <c r="E7777" s="2"/>
      <c r="F7777" s="2" t="str">
        <f>IFERROR(__xludf.DUMMYFUNCTION("IF(E7777&lt;&gt;"""", GOOGLETRANSLATE(E7777, ""en"", ""te""),"""")"),"")</f>
        <v/>
      </c>
      <c r="G7777" s="2"/>
      <c r="H7777" s="2" t="str">
        <f>IFERROR(__xludf.DUMMYFUNCTION("IF(G7777&lt;&gt;"""", GOOGLETRANSLATE(G7777, ""en"", ""te""),"""")"),"")</f>
        <v/>
      </c>
      <c r="I7777" s="3"/>
    </row>
    <row r="7778" customHeight="1" spans="1:9">
      <c r="A7778" s="2"/>
      <c r="B7778" s="2" t="str">
        <f>IFERROR(__xludf.DUMMYFUNCTION("IF(A7778&lt;&gt;"""", GOOGLETRANSLATE(A7778, ""en"", ""te""),"""")"),"")</f>
        <v/>
      </c>
      <c r="C7778" s="2"/>
      <c r="D7778" s="2" t="str">
        <f>IFERROR(__xludf.DUMMYFUNCTION("IF(C7778&lt;&gt;"""", GOOGLETRANSLATE(C7778, ""en"", ""te""),"""")"),"")</f>
        <v/>
      </c>
      <c r="E7778" s="2"/>
      <c r="F7778" s="2" t="str">
        <f>IFERROR(__xludf.DUMMYFUNCTION("IF(E7778&lt;&gt;"""", GOOGLETRANSLATE(E7778, ""en"", ""te""),"""")"),"")</f>
        <v/>
      </c>
      <c r="G7778" s="2"/>
      <c r="H7778" s="2" t="str">
        <f>IFERROR(__xludf.DUMMYFUNCTION("IF(G7778&lt;&gt;"""", GOOGLETRANSLATE(G7778, ""en"", ""te""),"""")"),"")</f>
        <v/>
      </c>
      <c r="I7778" s="3"/>
    </row>
    <row r="7779" customHeight="1" spans="1:9">
      <c r="A7779" s="2"/>
      <c r="B7779" s="2" t="str">
        <f>IFERROR(__xludf.DUMMYFUNCTION("IF(A7779&lt;&gt;"""", GOOGLETRANSLATE(A7779, ""en"", ""te""),"""")"),"")</f>
        <v/>
      </c>
      <c r="C7779" s="2"/>
      <c r="D7779" s="2" t="str">
        <f>IFERROR(__xludf.DUMMYFUNCTION("IF(C7779&lt;&gt;"""", GOOGLETRANSLATE(C7779, ""en"", ""te""),"""")"),"")</f>
        <v/>
      </c>
      <c r="E7779" s="2"/>
      <c r="F7779" s="2" t="str">
        <f>IFERROR(__xludf.DUMMYFUNCTION("IF(E7779&lt;&gt;"""", GOOGLETRANSLATE(E7779, ""en"", ""te""),"""")"),"")</f>
        <v/>
      </c>
      <c r="G7779" s="2"/>
      <c r="H7779" s="2" t="str">
        <f>IFERROR(__xludf.DUMMYFUNCTION("IF(G7779&lt;&gt;"""", GOOGLETRANSLATE(G7779, ""en"", ""te""),"""")"),"")</f>
        <v/>
      </c>
      <c r="I7779" s="3"/>
    </row>
    <row r="7780" customHeight="1" spans="1:9">
      <c r="A7780" s="2"/>
      <c r="B7780" s="2" t="str">
        <f>IFERROR(__xludf.DUMMYFUNCTION("IF(A7780&lt;&gt;"""", GOOGLETRANSLATE(A7780, ""en"", ""te""),"""")"),"")</f>
        <v/>
      </c>
      <c r="C7780" s="2"/>
      <c r="D7780" s="2" t="str">
        <f>IFERROR(__xludf.DUMMYFUNCTION("IF(C7780&lt;&gt;"""", GOOGLETRANSLATE(C7780, ""en"", ""te""),"""")"),"")</f>
        <v/>
      </c>
      <c r="E7780" s="2"/>
      <c r="F7780" s="2" t="str">
        <f>IFERROR(__xludf.DUMMYFUNCTION("IF(E7780&lt;&gt;"""", GOOGLETRANSLATE(E7780, ""en"", ""te""),"""")"),"")</f>
        <v/>
      </c>
      <c r="G7780" s="2"/>
      <c r="H7780" s="2" t="str">
        <f>IFERROR(__xludf.DUMMYFUNCTION("IF(G7780&lt;&gt;"""", GOOGLETRANSLATE(G7780, ""en"", ""te""),"""")"),"")</f>
        <v/>
      </c>
      <c r="I7780" s="3"/>
    </row>
    <row r="7781" customHeight="1" spans="1:9">
      <c r="A7781" s="2"/>
      <c r="B7781" s="2" t="str">
        <f>IFERROR(__xludf.DUMMYFUNCTION("IF(A7781&lt;&gt;"""", GOOGLETRANSLATE(A7781, ""en"", ""te""),"""")"),"")</f>
        <v/>
      </c>
      <c r="C7781" s="2"/>
      <c r="D7781" s="2" t="str">
        <f>IFERROR(__xludf.DUMMYFUNCTION("IF(C7781&lt;&gt;"""", GOOGLETRANSLATE(C7781, ""en"", ""te""),"""")"),"")</f>
        <v/>
      </c>
      <c r="E7781" s="2"/>
      <c r="F7781" s="2" t="str">
        <f>IFERROR(__xludf.DUMMYFUNCTION("IF(E7781&lt;&gt;"""", GOOGLETRANSLATE(E7781, ""en"", ""te""),"""")"),"")</f>
        <v/>
      </c>
      <c r="G7781" s="2"/>
      <c r="H7781" s="2" t="str">
        <f>IFERROR(__xludf.DUMMYFUNCTION("IF(G7781&lt;&gt;"""", GOOGLETRANSLATE(G7781, ""en"", ""te""),"""")"),"")</f>
        <v/>
      </c>
      <c r="I7781" s="3"/>
    </row>
    <row r="7782" customHeight="1" spans="1:9">
      <c r="A7782" s="2" t="s">
        <v>4419</v>
      </c>
      <c r="B7782" s="2" t="str">
        <f>IFERROR(__xludf.DUMMYFUNCTION("IF(A7782&lt;&gt;"""", GOOGLETRANSLATE(A7782, ""en"", ""te""),"""")"),"[ 'బ్యాటింగ్ ప్రారంభించుటకు మరియు అదే మ్యాచ్ లో బౌలింగ్', '9 వ వరుస మ్యాచ్లు ఆడి మధ్య జట్టు (190) కోసం తప్పిన']")</f>
        <v>[ 'బ్యాటింగ్ ప్రారంభించుటకు మరియు అదే మ్యాచ్ లో బౌలింగ్', '9 వ వరుస మ్యాచ్లు ఆడి మధ్య జట్టు (190) కోసం తప్పిన']</v>
      </c>
      <c r="C7782" s="2" t="s">
        <v>4420</v>
      </c>
      <c r="D7782" s="2" t="str">
        <f>IFERROR(__xludf.DUMMYFUNCTION("IF(C7782&lt;&gt;"""", GOOGLETRANSLATE(C7782, ""en"", ""te""),"""")"),"[పది వికెట్ల లో, 'తొలి (95) 29 వ తొంభై', '(57) 26 ఒకే మైదానంలో అత్యధిక వికెట్లు', 'తీసుకోవాలని 16 వ అత్యంత వృద్ధ ఆటగాడు' 24 వ అత్యంత వంద (1303) లేకుండా ఒక వృత్తిలో పరుగులు ' -a మ్యాచ్ల (35y 355d) ',' 31 ఇన్నింగ్స్ లో సాధించిన అత్యధిక పరుగులు (202) ',' 4"&amp;"1 వ 50 వికెట్లు వేగంగా (11) ',' 36 వ 150 వికెట్లు (36) '] వేగంగా")</f>
        <v>[పది వికెట్ల లో, 'తొలి (95) 29 వ తొంభై', '(57) 26 ఒకే మైదానంలో అత్యధిక వికెట్లు', 'తీసుకోవాలని 16 వ అత్యంత వృద్ధ ఆటగాడు' 24 వ అత్యంత వంద (1303) లేకుండా ఒక వృత్తిలో పరుగులు ' -a మ్యాచ్ల (35y 355d) ',' 31 ఇన్నింగ్స్ లో సాధించిన అత్యధిక పరుగులు (202) ',' 41 వ 50 వికెట్లు వేగంగా (11) ',' 36 వ 150 వికెట్లు (36) '] వేగంగా</v>
      </c>
      <c r="E7782" s="2" t="s">
        <v>4421</v>
      </c>
      <c r="F7782" s="2" t="str">
        <f>IFERROR(__xludf.DUMMYFUNCTION("IF(E7782&lt;&gt;"""", GOOGLETRANSLATE(E7782, ""en"", ""te""),"""")"),"[ 'ప్రదర్శనల మధ్య 35 వ లాంగెస్ట్ వ్యవధిలో (6y 290d)', '9 వ వరుస మ్యాచ్లు ఆడి మధ్య జట్టు (190) కోసం తప్పిన']")</f>
        <v>[ 'ప్రదర్శనల మధ్య 35 వ లాంగెస్ట్ వ్యవధిలో (6y 290d)', '9 వ వరుస మ్యాచ్లు ఆడి మధ్య జట్టు (190) కోసం తప్పిన']</v>
      </c>
      <c r="G7782" s="2"/>
      <c r="H7782" s="2" t="str">
        <f>IFERROR(__xludf.DUMMYFUNCTION("IF(G7782&lt;&gt;"""", GOOGLETRANSLATE(G7782, ""en"", ""te""),"""")"),"")</f>
        <v/>
      </c>
      <c r="I7782" s="3"/>
    </row>
    <row r="7783" customHeight="1" spans="1:9">
      <c r="A7783" s="2" t="s">
        <v>4422</v>
      </c>
      <c r="B7783" s="2" t="str">
        <f>IFERROR(__xludf.DUMMYFUNCTION("IF(A7783&lt;&gt;"""", GOOGLETRANSLATE(A7783, ""en"", ""te""),"""")"),"[ '10 వ వరుస మ్యాచ్లు ఆడి మధ్య జట్టు (185) కోసం తప్పిన']")</f>
        <v>[ '10 వ వరుస మ్యాచ్లు ఆడి మధ్య జట్టు (185) కోసం తప్పిన']</v>
      </c>
      <c r="C7783" s="2"/>
      <c r="D7783" s="2" t="str">
        <f>IFERROR(__xludf.DUMMYFUNCTION("IF(C7783&lt;&gt;"""", GOOGLETRANSLATE(C7783, ""en"", ""te""),"""")"),"")</f>
        <v/>
      </c>
      <c r="E7783" s="2" t="s">
        <v>4423</v>
      </c>
      <c r="F7783" s="2" t="str">
        <f>IFERROR(__xludf.DUMMYFUNCTION("IF(E7783&lt;&gt;"""", GOOGLETRANSLATE(E7783, ""en"", ""te""),"""")"),"[ '10 వ వరుస మ్యాచ్లు ఆడి మధ్య జట్టు (185) కోసం తప్పిన' 'ప్రదర్శనలు (6y 342d) మధ్య 33 వ లాంగెస్ట్ వ్యవధిలో']")</f>
        <v>[ '10 వ వరుస మ్యాచ్లు ఆడి మధ్య జట్టు (185) కోసం తప్పిన' 'ప్రదర్శనలు (6y 342d) మధ్య 33 వ లాంగెస్ట్ వ్యవధిలో']</v>
      </c>
      <c r="G7783" s="2"/>
      <c r="H7783" s="2" t="str">
        <f>IFERROR(__xludf.DUMMYFUNCTION("IF(G7783&lt;&gt;"""", GOOGLETRANSLATE(G7783, ""en"", ""te""),"""")"),"")</f>
        <v/>
      </c>
      <c r="I7783" s="3"/>
    </row>
    <row r="7784" customHeight="1" spans="1:9">
      <c r="A7784" s="2" t="s">
        <v>4424</v>
      </c>
      <c r="B7784" s="2" t="str">
        <f>IFERROR(__xludf.DUMMYFUNCTION("IF(A7784&lt;&gt;"""", GOOGLETRANSLATE(A7784, ""en"", ""te""),"""")"),"[ '10 వ అత్యధిక కెరీర్ సమ్మె రేటు (112.08)', '8 వ ఇన్నింగ్స్ లో వచ్చిన ఎక్కువ సిక్స్ (13)', '1000 పరుగులు మరియు 100 వికెట్లు' '3 వ అత్యంత ఇన్నింగ్స్ లో (80 *) పరుగులు (బ్యాటింగ్ స్థానంలో ద్వారా)', '1000 పరుగులు, 50 వికెట్లు, 50 క్యాచ్లు', 'ఇన్నింగ్స్ లో 8"&amp;" వ అత్యధిక పరుగులు (బ్యాటింగ్ స్థానంలో ద్వారా) (58)', '9 వ అత్యధిక కెరీర్ సమ్మె రేటు (151.63)', '6 వ కెరీర్ బాతులు (8)', '2 వ చెత్త కెరీర్లో ఆర్థిక రేటు (9.34)', '7 వ కెరీర్ (1717) లో సాధించిన అత్యధిక పరుగులు', '3 వ భాగం ఒక వికెట్ కీపర్ చే కాట్ తీసుకోబడిన"&amp;" వికెట్ల (11)']")</f>
        <v>[ '10 వ అత్యధిక కెరీర్ సమ్మె రేటు (112.08)', '8 వ ఇన్నింగ్స్ లో వచ్చిన ఎక్కువ సిక్స్ (13)', '1000 పరుగులు మరియు 100 వికెట్లు' '3 వ అత్యంత ఇన్నింగ్స్ లో (80 *) పరుగులు (బ్యాటింగ్ స్థానంలో ద్వారా)', '1000 పరుగులు, 50 వికెట్లు, 50 క్యాచ్లు', 'ఇన్నింగ్స్ లో 8 వ అత్యధిక పరుగులు (బ్యాటింగ్ స్థానంలో ద్వారా) (58)', '9 వ అత్యధిక కెరీర్ సమ్మె రేటు (151.63)', '6 వ కెరీర్ బాతులు (8)', '2 వ చెత్త కెరీర్లో ఆర్థిక రేటు (9.34)', '7 వ కెరీర్ (1717) లో సాధించిన అత్యధిక పరుగులు', '3 వ భాగం ఒక వికెట్ కీపర్ చే కాట్ తీసుకోబడిన వికెట్ల (11)']</v>
      </c>
      <c r="C7784" s="2"/>
      <c r="D7784" s="2" t="str">
        <f>IFERROR(__xludf.DUMMYFUNCTION("IF(C7784&lt;&gt;"""", GOOGLETRANSLATE(C7784, ""en"", ""te""),"""")"),"")</f>
        <v/>
      </c>
      <c r="E7784" s="2" t="s">
        <v>4425</v>
      </c>
      <c r="F7784" s="2" t="str">
        <f>IFERROR(__xludf.DUMMYFUNCTION("IF(E7784&lt;&gt;"""", GOOGLETRANSLATE(E7784, ""en"", ""te""),"""")"),"[ 'ఇన్నింగ్స్ లో 3 వ అత్యధిక పరుగులు (బ్యాటింగ్ స్థానంలో ప్రకారం) (80 *)', 'పరాజయం వైపు ఒక మ్యాచ్లో 36 వ అత్యధిక పరుగులు (140)', '10 వ అత్యధిక కెరీర్ సమ్మె రేటు (112.08)', '35 వ అత్యధిక తొలి వందల (140) ',' ఇన్నింగ్స్ లో 8 వ ఎక్కువ సిక్స్ (13) ',' ఇన్నింగ"&amp;"్స్ లో ఫోర్లు, సిక్సర్లు నుండి 28 అత్యధిక పరుగులు (110) ',' 14 వ ఒక ఇన్నింగ్స్ లోని బెస్ట్ ఫిగర్స్ ఉన్నప్పుడు పరాజయం వైపు (5) ' '24th చెత్త కెరీర్లో ఆర్థిక రేటు (5.83)', '15 వ అత్యంత ఐదు-వికెట్ల లో-ఒక-ఇన్నింగ్స్ కెరీర్లో (4)', '36 వ అత్యంత నాలుగు వికెట్ల"&amp;"ు-ఇన్-ఒక-ఇన్నింగ్స్ కెరీర్లో (9) ',' 13 వ వరుస నాలుగు వికెట్లు-ఇన్-ఒక-ఇన్నింగ్స్ (2) ',' ఐదు వికెట్ల లో-ఒక-ఇన్నింగ్స్ (21y 141d) 48 వ కెరీర్ లో సాధించిన అత్యధిక పరుగులు (5740 తీసుకోవాలని 26 పిన్న ఆటగాడు ',' ) ',' 30 వ బౌలర్ / ఫీల్డర్ కలయికలు (29) ',' 46 వ"&amp;" అత్యధిక వికెట్లు తీసుకున్న ఆకర్షించింది (127) ',' 50 వ అత్యధిక వికెట్లు ఒక ఫీల్డర్ చేత క్యాచ్ తీసుకున్న (85) ',' 29 వ అత్యధిక వికెట్లు వికెట్లు (ఆకర్షించింది తీసుకున్న 42 ) ',' ఏడవ వికెట్కు 25 అత్యధిక భాగస్వామ్యం (109) తొమ్మిదవ వికెట్ (82) ',' 45 వ అత్యం"&amp;"త ప్లేయర్ ఆఫ్ వ కోసం ',' 19 వ అత్యధిక భాగస్వామ్యం ఇ-సిరీస్ అవార్డులు (3) ']")</f>
        <v>[ 'ఇన్నింగ్స్ లో 3 వ అత్యధిక పరుగులు (బ్యాటింగ్ స్థానంలో ప్రకారం) (80 *)', 'పరాజయం వైపు ఒక మ్యాచ్లో 36 వ అత్యధిక పరుగులు (140)', '10 వ అత్యధిక కెరీర్ సమ్మె రేటు (112.08)', '35 వ అత్యధిక తొలి వందల (140) ',' ఇన్నింగ్స్ లో 8 వ ఎక్కువ సిక్స్ (13) ',' ఇన్నింగ్స్ లో ఫోర్లు, సిక్సర్లు నుండి 28 అత్యధిక పరుగులు (110) ',' 14 వ ఒక ఇన్నింగ్స్ లోని బెస్ట్ ఫిగర్స్ ఉన్నప్పుడు పరాజయం వైపు (5) ' '24th చెత్త కెరీర్లో ఆర్థిక రేటు (5.83)', '15 వ అత్యంత ఐదు-వికెట్ల లో-ఒక-ఇన్నింగ్స్ కెరీర్లో (4)', '36 వ అత్యంత నాలుగు వికెట్లు-ఇన్-ఒక-ఇన్నింగ్స్ కెరీర్లో (9) ',' 13 వ వరుస నాలుగు వికెట్లు-ఇన్-ఒక-ఇన్నింగ్స్ (2) ',' ఐదు వికెట్ల లో-ఒక-ఇన్నింగ్స్ (21y 141d) 48 వ కెరీర్ లో సాధించిన అత్యధిక పరుగులు (5740 తీసుకోవాలని 26 పిన్న ఆటగాడు ',' ) ',' 30 వ బౌలర్ / ఫీల్డర్ కలయికలు (29) ',' 46 వ అత్యధిక వికెట్లు తీసుకున్న ఆకర్షించింది (127) ',' 50 వ అత్యధిక వికెట్లు ఒక ఫీల్డర్ చేత క్యాచ్ తీసుకున్న (85) ',' 29 వ అత్యధిక వికెట్లు వికెట్లు (ఆకర్షించింది తీసుకున్న 42 ) ',' ఏడవ వికెట్కు 25 అత్యధిక భాగస్వామ్యం (109) తొమ్మిదవ వికెట్ (82) ',' 45 వ అత్యంత ప్లేయర్ ఆఫ్ వ కోసం ',' 19 వ అత్యధిక భాగస్వామ్యం ఇ-సిరీస్ అవార్డులు (3) ']</v>
      </c>
      <c r="G7784" s="2" t="s">
        <v>4426</v>
      </c>
      <c r="H7784" s="2" t="str">
        <f>IFERROR(__xludf.DUMMYFUNCTION("IF(G7784&lt;&gt;"""", GOOGLETRANSLATE(G7784, ""en"", ""te""),"""")"),"[ 'ఇన్నింగ్స్ లో 8 వ అత్యధిక పరుగులు (బ్యాటింగ్ స్థానంలో ద్వారా) (58)', '9 వ అత్యధిక కెరీర్ సమ్మె రేటు (151.63)', '6 వ కెరీర్ బాతులు (8)', '28th ఎక్కువ సిక్స్ కెరీర్లో (64)' 'కెరీర్లో 35 వ అత్యధిక వికెట్లు (51)', 'ఒక కెప్టెన్తో ఒక ఇన్నింగ్స్ లో 20 వ బెస్ట"&amp;"్ ఫిగర్స్ (3)', '5 వ చెత్త కెరీర్ బౌలింగ్ సరాసరి (33.66)', '2 వ చెత్త కెరీర్లో ఆర్థిక రేటు (9.34)', ' కెరీర్ (1102) లో బౌల్డ్ 23 వ బంతుల్లో ',' 7 వ అత్యధిక కెరీర్ (1717) లో ఇవ్వబడిన పరుగులలో ',' 29th ఇన్నింగ్స్ లో సాధించిన అత్యధిక పరుగులు (58) ',' 17 వ బౌ"&amp;"లర్ / బ్యాట్స్ కలయికలు (3) ',' 18 వ అత్యంత వికెట్లు ఆకర్షించింది తీసుకోకూడదు (39) ',' 33 వ అత్యధిక వికెట్లు ఒక ఫీల్డర్ చేత క్యాచ్ తీసుకున్న (28) ',' 3 వ అత్యంత వికెట్కీపర్గా (11) ',' 29 వ అత్యధిక క్యాచ్లు కెరీర్లో (30) ',' 20 వ అత్యధిక పట్టుకుంటే తీసుకోబడ"&amp;"ిన వికెట్ల ఒక జట్టు ఎనిమిదో వికెట్కు భాగస్వామ్యం (43 *) తొమ్మిదవ వికెట్కు ',' 17 వ అత్యధిక భాగస్వామ్యం (37) ',' 13 వ కెరీర్ లో అత్యధిక మ్యాచ్లు (84) ',' 50 వ వరుస మ్యాచ్లు (28) ',' 28th అత్యంత ప్లేయర్ ఆఫ్ ది మ్యాచ్ అవార్డులు (5) ']")</f>
        <v>[ 'ఇన్నింగ్స్ లో 8 వ అత్యధిక పరుగులు (బ్యాటింగ్ స్థానంలో ద్వారా) (58)', '9 వ అత్యధిక కెరీర్ సమ్మె రేటు (151.63)', '6 వ కెరీర్ బాతులు (8)', '28th ఎక్కువ సిక్స్ కెరీర్లో (64)' 'కెరీర్లో 35 వ అత్యధిక వికెట్లు (51)', 'ఒక కెప్టెన్తో ఒక ఇన్నింగ్స్ లో 20 వ బెస్ట్ ఫిగర్స్ (3)', '5 వ చెత్త కెరీర్ బౌలింగ్ సరాసరి (33.66)', '2 వ చెత్త కెరీర్లో ఆర్థిక రేటు (9.34)', ' కెరీర్ (1102) లో బౌల్డ్ 23 వ బంతుల్లో ',' 7 వ అత్యధిక కెరీర్ (1717) లో ఇవ్వబడిన పరుగులలో ',' 29th ఇన్నింగ్స్ లో సాధించిన అత్యధిక పరుగులు (58) ',' 17 వ బౌలర్ / బ్యాట్స్ కలయికలు (3) ',' 18 వ అత్యంత వికెట్లు ఆకర్షించింది తీసుకోకూడదు (39) ',' 33 వ అత్యధిక వికెట్లు ఒక ఫీల్డర్ చేత క్యాచ్ తీసుకున్న (28) ',' 3 వ అత్యంత వికెట్కీపర్గా (11) ',' 29 వ అత్యధిక క్యాచ్లు కెరీర్లో (30) ',' 20 వ అత్యధిక పట్టుకుంటే తీసుకోబడిన వికెట్ల ఒక జట్టు ఎనిమిదో వికెట్కు భాగస్వామ్యం (43 *) తొమ్మిదవ వికెట్కు ',' 17 వ అత్యధిక భాగస్వామ్యం (37) ',' 13 వ కెరీర్ లో అత్యధిక మ్యాచ్లు (84) ',' 50 వ వరుస మ్యాచ్లు (28) ',' 28th అత్యంత ప్లేయర్ ఆఫ్ ది మ్యాచ్ అవార్డులు (5) ']</v>
      </c>
      <c r="I7784" s="3"/>
    </row>
    <row r="7785" customHeight="1" spans="1:9">
      <c r="A7785" s="2"/>
      <c r="B7785" s="2" t="str">
        <f>IFERROR(__xludf.DUMMYFUNCTION("IF(A7785&lt;&gt;"""", GOOGLETRANSLATE(A7785, ""en"", ""te""),"""")"),"")</f>
        <v/>
      </c>
      <c r="C7785" s="2"/>
      <c r="D7785" s="2" t="str">
        <f>IFERROR(__xludf.DUMMYFUNCTION("IF(C7785&lt;&gt;"""", GOOGLETRANSLATE(C7785, ""en"", ""te""),"""")"),"")</f>
        <v/>
      </c>
      <c r="E7785" s="2"/>
      <c r="F7785" s="2" t="str">
        <f>IFERROR(__xludf.DUMMYFUNCTION("IF(E7785&lt;&gt;"""", GOOGLETRANSLATE(E7785, ""en"", ""te""),"""")"),"")</f>
        <v/>
      </c>
      <c r="G7785" s="2"/>
      <c r="H7785" s="2" t="str">
        <f>IFERROR(__xludf.DUMMYFUNCTION("IF(G7785&lt;&gt;"""", GOOGLETRANSLATE(G7785, ""en"", ""te""),"""")"),"")</f>
        <v/>
      </c>
      <c r="I7785" s="3"/>
    </row>
    <row r="7786" customHeight="1" spans="1:9">
      <c r="A7786" s="2"/>
      <c r="B7786" s="2" t="str">
        <f>IFERROR(__xludf.DUMMYFUNCTION("IF(A7786&lt;&gt;"""", GOOGLETRANSLATE(A7786, ""en"", ""te""),"""")"),"")</f>
        <v/>
      </c>
      <c r="C7786" s="2"/>
      <c r="D7786" s="2" t="str">
        <f>IFERROR(__xludf.DUMMYFUNCTION("IF(C7786&lt;&gt;"""", GOOGLETRANSLATE(C7786, ""en"", ""te""),"""")"),"")</f>
        <v/>
      </c>
      <c r="E7786" s="2"/>
      <c r="F7786" s="2" t="str">
        <f>IFERROR(__xludf.DUMMYFUNCTION("IF(E7786&lt;&gt;"""", GOOGLETRANSLATE(E7786, ""en"", ""te""),"""")"),"")</f>
        <v/>
      </c>
      <c r="G7786" s="2"/>
      <c r="H7786" s="2" t="str">
        <f>IFERROR(__xludf.DUMMYFUNCTION("IF(G7786&lt;&gt;"""", GOOGLETRANSLATE(G7786, ""en"", ""te""),"""")"),"")</f>
        <v/>
      </c>
      <c r="I7786" s="3"/>
    </row>
    <row r="7787" customHeight="1" spans="1:9">
      <c r="A7787" s="2"/>
      <c r="B7787" s="2" t="str">
        <f>IFERROR(__xludf.DUMMYFUNCTION("IF(A7787&lt;&gt;"""", GOOGLETRANSLATE(A7787, ""en"", ""te""),"""")"),"")</f>
        <v/>
      </c>
      <c r="C7787" s="2"/>
      <c r="D7787" s="2" t="str">
        <f>IFERROR(__xludf.DUMMYFUNCTION("IF(C7787&lt;&gt;"""", GOOGLETRANSLATE(C7787, ""en"", ""te""),"""")"),"")</f>
        <v/>
      </c>
      <c r="E7787" s="2"/>
      <c r="F7787" s="2" t="str">
        <f>IFERROR(__xludf.DUMMYFUNCTION("IF(E7787&lt;&gt;"""", GOOGLETRANSLATE(E7787, ""en"", ""te""),"""")"),"")</f>
        <v/>
      </c>
      <c r="G7787" s="2"/>
      <c r="H7787" s="2" t="str">
        <f>IFERROR(__xludf.DUMMYFUNCTION("IF(G7787&lt;&gt;"""", GOOGLETRANSLATE(G7787, ""en"", ""te""),"""")"),"")</f>
        <v/>
      </c>
      <c r="I7787" s="3"/>
    </row>
    <row r="7788" customHeight="1" spans="1:9">
      <c r="A7788" s="2"/>
      <c r="B7788" s="2" t="str">
        <f>IFERROR(__xludf.DUMMYFUNCTION("IF(A7788&lt;&gt;"""", GOOGLETRANSLATE(A7788, ""en"", ""te""),"""")"),"")</f>
        <v/>
      </c>
      <c r="C7788" s="2"/>
      <c r="D7788" s="2" t="str">
        <f>IFERROR(__xludf.DUMMYFUNCTION("IF(C7788&lt;&gt;"""", GOOGLETRANSLATE(C7788, ""en"", ""te""),"""")"),"")</f>
        <v/>
      </c>
      <c r="E7788" s="2" t="s">
        <v>673</v>
      </c>
      <c r="F7788" s="2" t="str">
        <f>IFERROR(__xludf.DUMMYFUNCTION("IF(E7788&lt;&gt;"""", GOOGLETRANSLATE(E7788, ""en"", ""te""),"""")"),"[ 'మొదటి డక్ (15) ముందు 40 వ అత్యంత ఇన్నింగ్స్]")</f>
        <v>[ 'మొదటి డక్ (15) ముందు 40 వ అత్యంత ఇన్నింగ్స్]</v>
      </c>
      <c r="G7788" s="2" t="s">
        <v>4427</v>
      </c>
      <c r="H7788" s="2" t="str">
        <f>IFERROR(__xludf.DUMMYFUNCTION("IF(G7788&lt;&gt;"""", GOOGLETRANSLATE(G7788, ""en"", ""te""),"""")"),"[ '16 వ కెరీర్ బాతులు (6)', '23 వ పిన్న కాప్టెన్ (21y 92d)']")</f>
        <v>[ '16 వ కెరీర్ బాతులు (6)', '23 వ పిన్న కాప్టెన్ (21y 92d)']</v>
      </c>
      <c r="I7788" s="3"/>
    </row>
    <row r="7789" customHeight="1" spans="1:9">
      <c r="A7789" s="2"/>
      <c r="B7789" s="2" t="str">
        <f>IFERROR(__xludf.DUMMYFUNCTION("IF(A7789&lt;&gt;"""", GOOGLETRANSLATE(A7789, ""en"", ""te""),"""")"),"")</f>
        <v/>
      </c>
      <c r="C7789" s="2"/>
      <c r="D7789" s="2" t="str">
        <f>IFERROR(__xludf.DUMMYFUNCTION("IF(C7789&lt;&gt;"""", GOOGLETRANSLATE(C7789, ""en"", ""te""),"""")"),"")</f>
        <v/>
      </c>
      <c r="E7789" s="2"/>
      <c r="F7789" s="2" t="str">
        <f>IFERROR(__xludf.DUMMYFUNCTION("IF(E7789&lt;&gt;"""", GOOGLETRANSLATE(E7789, ""en"", ""te""),"""")"),"")</f>
        <v/>
      </c>
      <c r="G7789" s="2"/>
      <c r="H7789" s="2" t="str">
        <f>IFERROR(__xludf.DUMMYFUNCTION("IF(G7789&lt;&gt;"""", GOOGLETRANSLATE(G7789, ""en"", ""te""),"""")"),"")</f>
        <v/>
      </c>
      <c r="I7789" s="3"/>
    </row>
    <row r="7790" customHeight="1" spans="1:9">
      <c r="A7790" s="2"/>
      <c r="B7790" s="2" t="str">
        <f>IFERROR(__xludf.DUMMYFUNCTION("IF(A7790&lt;&gt;"""", GOOGLETRANSLATE(A7790, ""en"", ""te""),"""")"),"")</f>
        <v/>
      </c>
      <c r="C7790" s="2"/>
      <c r="D7790" s="2" t="str">
        <f>IFERROR(__xludf.DUMMYFUNCTION("IF(C7790&lt;&gt;"""", GOOGLETRANSLATE(C7790, ""en"", ""te""),"""")"),"")</f>
        <v/>
      </c>
      <c r="E7790" s="2"/>
      <c r="F7790" s="2" t="str">
        <f>IFERROR(__xludf.DUMMYFUNCTION("IF(E7790&lt;&gt;"""", GOOGLETRANSLATE(E7790, ""en"", ""te""),"""")"),"")</f>
        <v/>
      </c>
      <c r="G7790" s="2"/>
      <c r="H7790" s="2" t="str">
        <f>IFERROR(__xludf.DUMMYFUNCTION("IF(G7790&lt;&gt;"""", GOOGLETRANSLATE(G7790, ""en"", ""te""),"""")"),"")</f>
        <v/>
      </c>
      <c r="I7790" s="3"/>
    </row>
    <row r="7791" customHeight="1" spans="1:9">
      <c r="A7791" s="2"/>
      <c r="B7791" s="2" t="str">
        <f>IFERROR(__xludf.DUMMYFUNCTION("IF(A7791&lt;&gt;"""", GOOGLETRANSLATE(A7791, ""en"", ""te""),"""")"),"")</f>
        <v/>
      </c>
      <c r="C7791" s="2"/>
      <c r="D7791" s="2" t="str">
        <f>IFERROR(__xludf.DUMMYFUNCTION("IF(C7791&lt;&gt;"""", GOOGLETRANSLATE(C7791, ""en"", ""te""),"""")"),"")</f>
        <v/>
      </c>
      <c r="E7791" s="2"/>
      <c r="F7791" s="2" t="str">
        <f>IFERROR(__xludf.DUMMYFUNCTION("IF(E7791&lt;&gt;"""", GOOGLETRANSLATE(E7791, ""en"", ""te""),"""")"),"")</f>
        <v/>
      </c>
      <c r="G7791" s="2"/>
      <c r="H7791" s="2" t="str">
        <f>IFERROR(__xludf.DUMMYFUNCTION("IF(G7791&lt;&gt;"""", GOOGLETRANSLATE(G7791, ""en"", ""te""),"""")"),"")</f>
        <v/>
      </c>
      <c r="I7791" s="3"/>
    </row>
    <row r="7792" customHeight="1" spans="1:9">
      <c r="A7792" s="2"/>
      <c r="B7792" s="2" t="str">
        <f>IFERROR(__xludf.DUMMYFUNCTION("IF(A7792&lt;&gt;"""", GOOGLETRANSLATE(A7792, ""en"", ""te""),"""")"),"")</f>
        <v/>
      </c>
      <c r="C7792" s="2"/>
      <c r="D7792" s="2" t="str">
        <f>IFERROR(__xludf.DUMMYFUNCTION("IF(C7792&lt;&gt;"""", GOOGLETRANSLATE(C7792, ""en"", ""te""),"""")"),"")</f>
        <v/>
      </c>
      <c r="E7792" s="2"/>
      <c r="F7792" s="2" t="str">
        <f>IFERROR(__xludf.DUMMYFUNCTION("IF(E7792&lt;&gt;"""", GOOGLETRANSLATE(E7792, ""en"", ""te""),"""")"),"")</f>
        <v/>
      </c>
      <c r="G7792" s="2"/>
      <c r="H7792" s="2" t="str">
        <f>IFERROR(__xludf.DUMMYFUNCTION("IF(G7792&lt;&gt;"""", GOOGLETRANSLATE(G7792, ""en"", ""te""),"""")"),"")</f>
        <v/>
      </c>
      <c r="I7792" s="3"/>
    </row>
    <row r="7793" customHeight="1" spans="1:9">
      <c r="A7793" s="2"/>
      <c r="B7793" s="2" t="str">
        <f>IFERROR(__xludf.DUMMYFUNCTION("IF(A7793&lt;&gt;"""", GOOGLETRANSLATE(A7793, ""en"", ""te""),"""")"),"")</f>
        <v/>
      </c>
      <c r="C7793" s="2"/>
      <c r="D7793" s="2" t="str">
        <f>IFERROR(__xludf.DUMMYFUNCTION("IF(C7793&lt;&gt;"""", GOOGLETRANSLATE(C7793, ""en"", ""te""),"""")"),"")</f>
        <v/>
      </c>
      <c r="E7793" s="2"/>
      <c r="F7793" s="2" t="str">
        <f>IFERROR(__xludf.DUMMYFUNCTION("IF(E7793&lt;&gt;"""", GOOGLETRANSLATE(E7793, ""en"", ""te""),"""")"),"")</f>
        <v/>
      </c>
      <c r="G7793" s="2"/>
      <c r="H7793" s="2" t="str">
        <f>IFERROR(__xludf.DUMMYFUNCTION("IF(G7793&lt;&gt;"""", GOOGLETRANSLATE(G7793, ""en"", ""te""),"""")"),"")</f>
        <v/>
      </c>
      <c r="I7793" s="3"/>
    </row>
    <row r="7794" customHeight="1" spans="1:9">
      <c r="A7794" s="2"/>
      <c r="B7794" s="2" t="str">
        <f>IFERROR(__xludf.DUMMYFUNCTION("IF(A7794&lt;&gt;"""", GOOGLETRANSLATE(A7794, ""en"", ""te""),"""")"),"")</f>
        <v/>
      </c>
      <c r="C7794" s="2" t="s">
        <v>2192</v>
      </c>
      <c r="D7794" s="2" t="str">
        <f>IFERROR(__xludf.DUMMYFUNCTION("IF(C7794&lt;&gt;"""", GOOGLETRANSLATE(C7794, ""en"", ""te""),"""")"),"[ '16 వ చెత్త కెరీర్ బౌలింగ్ సరాసరి (అర్హత లేకుండా) (180.00)']")</f>
        <v>[ '16 వ చెత్త కెరీర్ బౌలింగ్ సరాసరి (అర్హత లేకుండా) (180.00)']</v>
      </c>
      <c r="E7794" s="2"/>
      <c r="F7794" s="2" t="str">
        <f>IFERROR(__xludf.DUMMYFUNCTION("IF(E7794&lt;&gt;"""", GOOGLETRANSLATE(E7794, ""en"", ""te""),"""")"),"")</f>
        <v/>
      </c>
      <c r="G7794" s="2"/>
      <c r="H7794" s="2" t="str">
        <f>IFERROR(__xludf.DUMMYFUNCTION("IF(G7794&lt;&gt;"""", GOOGLETRANSLATE(G7794, ""en"", ""te""),"""")"),"")</f>
        <v/>
      </c>
      <c r="I7794" s="3"/>
    </row>
    <row r="7795" customHeight="1" spans="1:9">
      <c r="A7795" s="2"/>
      <c r="B7795" s="2" t="str">
        <f>IFERROR(__xludf.DUMMYFUNCTION("IF(A7795&lt;&gt;"""", GOOGLETRANSLATE(A7795, ""en"", ""te""),"""")"),"")</f>
        <v/>
      </c>
      <c r="C7795" s="2"/>
      <c r="D7795" s="2" t="str">
        <f>IFERROR(__xludf.DUMMYFUNCTION("IF(C7795&lt;&gt;"""", GOOGLETRANSLATE(C7795, ""en"", ""te""),"""")"),"")</f>
        <v/>
      </c>
      <c r="E7795" s="2"/>
      <c r="F7795" s="2" t="str">
        <f>IFERROR(__xludf.DUMMYFUNCTION("IF(E7795&lt;&gt;"""", GOOGLETRANSLATE(E7795, ""en"", ""te""),"""")"),"")</f>
        <v/>
      </c>
      <c r="G7795" s="2"/>
      <c r="H7795" s="2" t="str">
        <f>IFERROR(__xludf.DUMMYFUNCTION("IF(G7795&lt;&gt;"""", GOOGLETRANSLATE(G7795, ""en"", ""te""),"""")"),"")</f>
        <v/>
      </c>
      <c r="I7795" s="3"/>
    </row>
    <row r="7796" customHeight="1" spans="1:9">
      <c r="A7796" s="2"/>
      <c r="B7796" s="2" t="str">
        <f>IFERROR(__xludf.DUMMYFUNCTION("IF(A7796&lt;&gt;"""", GOOGLETRANSLATE(A7796, ""en"", ""te""),"""")"),"")</f>
        <v/>
      </c>
      <c r="C7796" s="2"/>
      <c r="D7796" s="2" t="str">
        <f>IFERROR(__xludf.DUMMYFUNCTION("IF(C7796&lt;&gt;"""", GOOGLETRANSLATE(C7796, ""en"", ""te""),"""")"),"")</f>
        <v/>
      </c>
      <c r="E7796" s="2"/>
      <c r="F7796" s="2" t="str">
        <f>IFERROR(__xludf.DUMMYFUNCTION("IF(E7796&lt;&gt;"""", GOOGLETRANSLATE(E7796, ""en"", ""te""),"""")"),"")</f>
        <v/>
      </c>
      <c r="G7796" s="2"/>
      <c r="H7796" s="2" t="str">
        <f>IFERROR(__xludf.DUMMYFUNCTION("IF(G7796&lt;&gt;"""", GOOGLETRANSLATE(G7796, ""en"", ""te""),"""")"),"")</f>
        <v/>
      </c>
      <c r="I7796" s="3"/>
    </row>
    <row r="7797" customHeight="1" spans="1:9">
      <c r="A7797" s="2"/>
      <c r="B7797" s="2" t="str">
        <f>IFERROR(__xludf.DUMMYFUNCTION("IF(A7797&lt;&gt;"""", GOOGLETRANSLATE(A7797, ""en"", ""te""),"""")"),"")</f>
        <v/>
      </c>
      <c r="C7797" s="2"/>
      <c r="D7797" s="2" t="str">
        <f>IFERROR(__xludf.DUMMYFUNCTION("IF(C7797&lt;&gt;"""", GOOGLETRANSLATE(C7797, ""en"", ""te""),"""")"),"")</f>
        <v/>
      </c>
      <c r="E7797" s="2"/>
      <c r="F7797" s="2" t="str">
        <f>IFERROR(__xludf.DUMMYFUNCTION("IF(E7797&lt;&gt;"""", GOOGLETRANSLATE(E7797, ""en"", ""te""),"""")"),"")</f>
        <v/>
      </c>
      <c r="G7797" s="2"/>
      <c r="H7797" s="2" t="str">
        <f>IFERROR(__xludf.DUMMYFUNCTION("IF(G7797&lt;&gt;"""", GOOGLETRANSLATE(G7797, ""en"", ""te""),"""")"),"")</f>
        <v/>
      </c>
      <c r="I7797" s="3"/>
    </row>
    <row r="7798" customHeight="1" spans="1:9">
      <c r="A7798" s="2"/>
      <c r="B7798" s="2" t="str">
        <f>IFERROR(__xludf.DUMMYFUNCTION("IF(A7798&lt;&gt;"""", GOOGLETRANSLATE(A7798, ""en"", ""te""),"""")"),"")</f>
        <v/>
      </c>
      <c r="C7798" s="2"/>
      <c r="D7798" s="2" t="str">
        <f>IFERROR(__xludf.DUMMYFUNCTION("IF(C7798&lt;&gt;"""", GOOGLETRANSLATE(C7798, ""en"", ""te""),"""")"),"")</f>
        <v/>
      </c>
      <c r="E7798" s="2"/>
      <c r="F7798" s="2" t="str">
        <f>IFERROR(__xludf.DUMMYFUNCTION("IF(E7798&lt;&gt;"""", GOOGLETRANSLATE(E7798, ""en"", ""te""),"""")"),"")</f>
        <v/>
      </c>
      <c r="G7798" s="2"/>
      <c r="H7798" s="2" t="str">
        <f>IFERROR(__xludf.DUMMYFUNCTION("IF(G7798&lt;&gt;"""", GOOGLETRANSLATE(G7798, ""en"", ""te""),"""")"),"")</f>
        <v/>
      </c>
      <c r="I7798" s="3"/>
    </row>
    <row r="7799" customHeight="1" spans="1:9">
      <c r="A7799" s="2"/>
      <c r="B7799" s="2" t="str">
        <f>IFERROR(__xludf.DUMMYFUNCTION("IF(A7799&lt;&gt;"""", GOOGLETRANSLATE(A7799, ""en"", ""te""),"""")"),"")</f>
        <v/>
      </c>
      <c r="C7799" s="2"/>
      <c r="D7799" s="2" t="str">
        <f>IFERROR(__xludf.DUMMYFUNCTION("IF(C7799&lt;&gt;"""", GOOGLETRANSLATE(C7799, ""en"", ""te""),"""")"),"")</f>
        <v/>
      </c>
      <c r="E7799" s="2"/>
      <c r="F7799" s="2" t="str">
        <f>IFERROR(__xludf.DUMMYFUNCTION("IF(E7799&lt;&gt;"""", GOOGLETRANSLATE(E7799, ""en"", ""te""),"""")"),"")</f>
        <v/>
      </c>
      <c r="G7799" s="2"/>
      <c r="H7799" s="2" t="str">
        <f>IFERROR(__xludf.DUMMYFUNCTION("IF(G7799&lt;&gt;"""", GOOGLETRANSLATE(G7799, ""en"", ""te""),"""")"),"")</f>
        <v/>
      </c>
      <c r="I7799" s="3"/>
    </row>
    <row r="7800" customHeight="1" spans="1:9">
      <c r="A7800" s="2"/>
      <c r="B7800" s="2" t="str">
        <f>IFERROR(__xludf.DUMMYFUNCTION("IF(A7800&lt;&gt;"""", GOOGLETRANSLATE(A7800, ""en"", ""te""),"""")"),"")</f>
        <v/>
      </c>
      <c r="C7800" s="2"/>
      <c r="D7800" s="2" t="str">
        <f>IFERROR(__xludf.DUMMYFUNCTION("IF(C7800&lt;&gt;"""", GOOGLETRANSLATE(C7800, ""en"", ""te""),"""")"),"")</f>
        <v/>
      </c>
      <c r="E7800" s="2"/>
      <c r="F7800" s="2" t="str">
        <f>IFERROR(__xludf.DUMMYFUNCTION("IF(E7800&lt;&gt;"""", GOOGLETRANSLATE(E7800, ""en"", ""te""),"""")"),"")</f>
        <v/>
      </c>
      <c r="G7800" s="2"/>
      <c r="H7800" s="2" t="str">
        <f>IFERROR(__xludf.DUMMYFUNCTION("IF(G7800&lt;&gt;"""", GOOGLETRANSLATE(G7800, ""en"", ""te""),"""")"),"")</f>
        <v/>
      </c>
      <c r="I7800" s="3"/>
    </row>
    <row r="7801" customHeight="1" spans="1:9">
      <c r="A7801" s="2"/>
      <c r="B7801" s="2" t="str">
        <f>IFERROR(__xludf.DUMMYFUNCTION("IF(A7801&lt;&gt;"""", GOOGLETRANSLATE(A7801, ""en"", ""te""),"""")"),"")</f>
        <v/>
      </c>
      <c r="C7801" s="2"/>
      <c r="D7801" s="2" t="str">
        <f>IFERROR(__xludf.DUMMYFUNCTION("IF(C7801&lt;&gt;"""", GOOGLETRANSLATE(C7801, ""en"", ""te""),"""")"),"")</f>
        <v/>
      </c>
      <c r="E7801" s="2"/>
      <c r="F7801" s="2" t="str">
        <f>IFERROR(__xludf.DUMMYFUNCTION("IF(E7801&lt;&gt;"""", GOOGLETRANSLATE(E7801, ""en"", ""te""),"""")"),"")</f>
        <v/>
      </c>
      <c r="G7801" s="2"/>
      <c r="H7801" s="2" t="str">
        <f>IFERROR(__xludf.DUMMYFUNCTION("IF(G7801&lt;&gt;"""", GOOGLETRANSLATE(G7801, ""en"", ""te""),"""")"),"")</f>
        <v/>
      </c>
      <c r="I7801" s="3"/>
    </row>
    <row r="7802" customHeight="1" spans="1:9">
      <c r="A7802" s="2"/>
      <c r="B7802" s="2" t="str">
        <f>IFERROR(__xludf.DUMMYFUNCTION("IF(A7802&lt;&gt;"""", GOOGLETRANSLATE(A7802, ""en"", ""te""),"""")"),"")</f>
        <v/>
      </c>
      <c r="C7802" s="2"/>
      <c r="D7802" s="2" t="str">
        <f>IFERROR(__xludf.DUMMYFUNCTION("IF(C7802&lt;&gt;"""", GOOGLETRANSLATE(C7802, ""en"", ""te""),"""")"),"")</f>
        <v/>
      </c>
      <c r="E7802" s="2"/>
      <c r="F7802" s="2" t="str">
        <f>IFERROR(__xludf.DUMMYFUNCTION("IF(E7802&lt;&gt;"""", GOOGLETRANSLATE(E7802, ""en"", ""te""),"""")"),"")</f>
        <v/>
      </c>
      <c r="G7802" s="2"/>
      <c r="H7802" s="2" t="str">
        <f>IFERROR(__xludf.DUMMYFUNCTION("IF(G7802&lt;&gt;"""", GOOGLETRANSLATE(G7802, ""en"", ""te""),"""")"),"")</f>
        <v/>
      </c>
      <c r="I7802" s="3"/>
    </row>
    <row r="7803" customHeight="1" spans="1:9">
      <c r="A7803" s="2"/>
      <c r="B7803" s="2" t="str">
        <f>IFERROR(__xludf.DUMMYFUNCTION("IF(A7803&lt;&gt;"""", GOOGLETRANSLATE(A7803, ""en"", ""te""),"""")"),"")</f>
        <v/>
      </c>
      <c r="C7803" s="2"/>
      <c r="D7803" s="2" t="str">
        <f>IFERROR(__xludf.DUMMYFUNCTION("IF(C7803&lt;&gt;"""", GOOGLETRANSLATE(C7803, ""en"", ""te""),"""")"),"")</f>
        <v/>
      </c>
      <c r="E7803" s="2"/>
      <c r="F7803" s="2" t="str">
        <f>IFERROR(__xludf.DUMMYFUNCTION("IF(E7803&lt;&gt;"""", GOOGLETRANSLATE(E7803, ""en"", ""te""),"""")"),"")</f>
        <v/>
      </c>
      <c r="G7803" s="2"/>
      <c r="H7803" s="2" t="str">
        <f>IFERROR(__xludf.DUMMYFUNCTION("IF(G7803&lt;&gt;"""", GOOGLETRANSLATE(G7803, ""en"", ""te""),"""")"),"")</f>
        <v/>
      </c>
      <c r="I7803" s="3"/>
    </row>
    <row r="7804" customHeight="1" spans="1:9">
      <c r="A7804" s="2"/>
      <c r="B7804" s="2" t="str">
        <f>IFERROR(__xludf.DUMMYFUNCTION("IF(A7804&lt;&gt;"""", GOOGLETRANSLATE(A7804, ""en"", ""te""),"""")"),"")</f>
        <v/>
      </c>
      <c r="C7804" s="2"/>
      <c r="D7804" s="2" t="str">
        <f>IFERROR(__xludf.DUMMYFUNCTION("IF(C7804&lt;&gt;"""", GOOGLETRANSLATE(C7804, ""en"", ""te""),"""")"),"")</f>
        <v/>
      </c>
      <c r="E7804" s="2"/>
      <c r="F7804" s="2" t="str">
        <f>IFERROR(__xludf.DUMMYFUNCTION("IF(E7804&lt;&gt;"""", GOOGLETRANSLATE(E7804, ""en"", ""te""),"""")"),"")</f>
        <v/>
      </c>
      <c r="G7804" s="2"/>
      <c r="H7804" s="2" t="str">
        <f>IFERROR(__xludf.DUMMYFUNCTION("IF(G7804&lt;&gt;"""", GOOGLETRANSLATE(G7804, ""en"", ""te""),"""")"),"")</f>
        <v/>
      </c>
      <c r="I7804" s="3"/>
    </row>
    <row r="7805" customHeight="1" spans="1:9">
      <c r="A7805" s="2" t="s">
        <v>4428</v>
      </c>
      <c r="B7805" s="2" t="str">
        <f>IFERROR(__xludf.DUMMYFUNCTION("IF(A7805&lt;&gt;"""", GOOGLETRANSLATE(A7805, ""en"", ""te""),"""")"),"[ '3 వ చెత్త కెరీర్ బౌలింగ్ సరాసరి (48.33)']")</f>
        <v>[ '3 వ చెత్త కెరీర్ బౌలింగ్ సరాసరి (48.33)']</v>
      </c>
      <c r="C7805" s="2"/>
      <c r="D7805" s="2" t="str">
        <f>IFERROR(__xludf.DUMMYFUNCTION("IF(C7805&lt;&gt;"""", GOOGLETRANSLATE(C7805, ""en"", ""te""),"""")"),"")</f>
        <v/>
      </c>
      <c r="E7805" s="2" t="s">
        <v>4429</v>
      </c>
      <c r="F7805" s="2" t="str">
        <f>IFERROR(__xludf.DUMMYFUNCTION("IF(E7805&lt;&gt;"""", GOOGLETRANSLATE(E7805, ""en"", ""te""),"""")"),"[ '21 వ కెరీర్ బాతులు (9)', '3 వ చెత్త కెరీర్ బౌలింగ్ సరాసరి (48.33)', '30 వ చెత్త కెరీర్లో ఆర్థిక రేటు (4.26)', '10 వ చెత్త కెరీర్లో సమ్మె రేటు (67.9)', '49 వ చెత్త ఆర్థిక రేటు ఒక ఇన్నింగ్స్ లో (8.57) ']")</f>
        <v>[ '21 వ కెరీర్ బాతులు (9)', '3 వ చెత్త కెరీర్ బౌలింగ్ సరాసరి (48.33)', '30 వ చెత్త కెరీర్లో ఆర్థిక రేటు (4.26)', '10 వ చెత్త కెరీర్లో సమ్మె రేటు (67.9)', '49 వ చెత్త ఆర్థిక రేటు ఒక ఇన్నింగ్స్ లో (8.57) ']</v>
      </c>
      <c r="G7805" s="2" t="s">
        <v>4430</v>
      </c>
      <c r="H7805" s="2" t="str">
        <f>IFERROR(__xludf.DUMMYFUNCTION("IF(G7805&lt;&gt;"""", GOOGLETRANSLATE(G7805, ""en"", ""te""),"""")"),"[40 వ అత్యధిక వికెట్లు కెరీర్లో (49) ',' 12 వ ఉత్తమ కెరీర్ ఆర్థిక రేటు (5.15) ',' మొదటి డక్ (18) ముందు 21 వ అత్యంత ఇన్నింగ్స్ '' 10 వ చెత్త కెరీర్లో సమ్మె రేటు (28.4) ',' 19 వ అత్యంత బంతుల్లో కెరీర్లో బౌల్డ్ (1392) ',' 23 వ అత్యధిక పరుగులు కెరీర్లో సాధించ"&amp;"ిన (1196) ',' 14 వ అత్యధిక వికెట్లు తీసుకున్న బౌల్డ్ (20) ',' 18 వ అత్యధిక వికెట్లు తీసుకున్న ఎల్బిడబ్ల్యు (8) ',' 48 వ కెరీర్ లో అత్యధిక మ్యాచ్లు (73 ) ',' కెరీర్ (6 లో 27 వ పనికత్తెలయొద్ద) ']")</f>
        <v>[40 వ అత్యధిక వికెట్లు కెరీర్లో (49) ',' 12 వ ఉత్తమ కెరీర్ ఆర్థిక రేటు (5.15) ',' మొదటి డక్ (18) ముందు 21 వ అత్యంత ఇన్నింగ్స్ '' 10 వ చెత్త కెరీర్లో సమ్మె రేటు (28.4) ',' 19 వ అత్యంత బంతుల్లో కెరీర్లో బౌల్డ్ (1392) ',' 23 వ అత్యధిక పరుగులు కెరీర్లో సాధించిన (1196) ',' 14 వ అత్యధిక వికెట్లు తీసుకున్న బౌల్డ్ (20) ',' 18 వ అత్యధిక వికెట్లు తీసుకున్న ఎల్బిడబ్ల్యు (8) ',' 48 వ కెరీర్ లో అత్యధిక మ్యాచ్లు (73 ) ',' కెరీర్ (6 లో 27 వ పనికత్తెలయొద్ద) ']</v>
      </c>
      <c r="I7805" s="3"/>
    </row>
    <row r="7806" customHeight="1" spans="1:9">
      <c r="A7806" s="2"/>
      <c r="B7806" s="2" t="str">
        <f>IFERROR(__xludf.DUMMYFUNCTION("IF(A7806&lt;&gt;"""", GOOGLETRANSLATE(A7806, ""en"", ""te""),"""")"),"")</f>
        <v/>
      </c>
      <c r="C7806" s="2"/>
      <c r="D7806" s="2" t="str">
        <f>IFERROR(__xludf.DUMMYFUNCTION("IF(C7806&lt;&gt;"""", GOOGLETRANSLATE(C7806, ""en"", ""te""),"""")"),"")</f>
        <v/>
      </c>
      <c r="E7806" s="2"/>
      <c r="F7806" s="2" t="str">
        <f>IFERROR(__xludf.DUMMYFUNCTION("IF(E7806&lt;&gt;"""", GOOGLETRANSLATE(E7806, ""en"", ""te""),"""")"),"")</f>
        <v/>
      </c>
      <c r="G7806" s="2"/>
      <c r="H7806" s="2" t="str">
        <f>IFERROR(__xludf.DUMMYFUNCTION("IF(G7806&lt;&gt;"""", GOOGLETRANSLATE(G7806, ""en"", ""te""),"""")"),"")</f>
        <v/>
      </c>
      <c r="I7806" s="3"/>
    </row>
    <row r="7807" customHeight="1" spans="1:9">
      <c r="A7807" s="2"/>
      <c r="B7807" s="2" t="str">
        <f>IFERROR(__xludf.DUMMYFUNCTION("IF(A7807&lt;&gt;"""", GOOGLETRANSLATE(A7807, ""en"", ""te""),"""")"),"")</f>
        <v/>
      </c>
      <c r="C7807" s="2"/>
      <c r="D7807" s="2" t="str">
        <f>IFERROR(__xludf.DUMMYFUNCTION("IF(C7807&lt;&gt;"""", GOOGLETRANSLATE(C7807, ""en"", ""te""),"""")"),"")</f>
        <v/>
      </c>
      <c r="E7807" s="2"/>
      <c r="F7807" s="2" t="str">
        <f>IFERROR(__xludf.DUMMYFUNCTION("IF(E7807&lt;&gt;"""", GOOGLETRANSLATE(E7807, ""en"", ""te""),"""")"),"")</f>
        <v/>
      </c>
      <c r="G7807" s="2"/>
      <c r="H7807" s="2" t="str">
        <f>IFERROR(__xludf.DUMMYFUNCTION("IF(G7807&lt;&gt;"""", GOOGLETRANSLATE(G7807, ""en"", ""te""),"""")"),"")</f>
        <v/>
      </c>
      <c r="I7807" s="3"/>
    </row>
    <row r="7808" customHeight="1" spans="1:9">
      <c r="A7808" s="2"/>
      <c r="B7808" s="2" t="str">
        <f>IFERROR(__xludf.DUMMYFUNCTION("IF(A7808&lt;&gt;"""", GOOGLETRANSLATE(A7808, ""en"", ""te""),"""")"),"")</f>
        <v/>
      </c>
      <c r="C7808" s="2"/>
      <c r="D7808" s="2" t="str">
        <f>IFERROR(__xludf.DUMMYFUNCTION("IF(C7808&lt;&gt;"""", GOOGLETRANSLATE(C7808, ""en"", ""te""),"""")"),"")</f>
        <v/>
      </c>
      <c r="E7808" s="2"/>
      <c r="F7808" s="2" t="str">
        <f>IFERROR(__xludf.DUMMYFUNCTION("IF(E7808&lt;&gt;"""", GOOGLETRANSLATE(E7808, ""en"", ""te""),"""")"),"")</f>
        <v/>
      </c>
      <c r="G7808" s="2"/>
      <c r="H7808" s="2" t="str">
        <f>IFERROR(__xludf.DUMMYFUNCTION("IF(G7808&lt;&gt;"""", GOOGLETRANSLATE(G7808, ""en"", ""te""),"""")"),"")</f>
        <v/>
      </c>
      <c r="I7808" s="3"/>
    </row>
    <row r="7809" customHeight="1" spans="1:9">
      <c r="A7809" s="2"/>
      <c r="B7809" s="2" t="str">
        <f>IFERROR(__xludf.DUMMYFUNCTION("IF(A7809&lt;&gt;"""", GOOGLETRANSLATE(A7809, ""en"", ""te""),"""")"),"")</f>
        <v/>
      </c>
      <c r="C7809" s="2"/>
      <c r="D7809" s="2" t="str">
        <f>IFERROR(__xludf.DUMMYFUNCTION("IF(C7809&lt;&gt;"""", GOOGLETRANSLATE(C7809, ""en"", ""te""),"""")"),"")</f>
        <v/>
      </c>
      <c r="E7809" s="2" t="s">
        <v>4431</v>
      </c>
      <c r="F7809" s="2" t="str">
        <f>IFERROR(__xludf.DUMMYFUNCTION("IF(E7809&lt;&gt;"""", GOOGLETRANSLATE(E7809, ""en"", ""te""),"""")"),"[ '31 ఇన్నింగ్స్ లో వచ్చిన ఎక్కువ సిక్స్ (9)', '35 వ చెత్త కెరీర్లో సమ్మె రేటు (60.7)' '14 వ చెత్త కెరీర్ సగటు (55.21) బౌలింగ్', 'ఎనిమిదవ వికెట్కు 22 అత్యధిక భాగస్వామ్యం (87)']")</f>
        <v>[ '31 ఇన్నింగ్స్ లో వచ్చిన ఎక్కువ సిక్స్ (9)', '35 వ చెత్త కెరీర్లో సమ్మె రేటు (60.7)' '14 వ చెత్త కెరీర్ సగటు (55.21) బౌలింగ్', 'ఎనిమిదవ వికెట్కు 22 అత్యధిక భాగస్వామ్యం (87)']</v>
      </c>
      <c r="G7809" s="2" t="s">
        <v>4432</v>
      </c>
      <c r="H7809" s="2" t="str">
        <f>IFERROR(__xludf.DUMMYFUNCTION("IF(G7809&lt;&gt;"""", GOOGLETRANSLATE(G7809, ""en"", ""te""),"""")"),"[ 'కెరీర్లో 29 వ లేవు బాతులు (20)']")</f>
        <v>[ 'కెరీర్లో 29 వ లేవు బాతులు (20)']</v>
      </c>
      <c r="I7809" s="3"/>
    </row>
    <row r="7810" customHeight="1" spans="1:9">
      <c r="A7810" s="2"/>
      <c r="B7810" s="2" t="str">
        <f>IFERROR(__xludf.DUMMYFUNCTION("IF(A7810&lt;&gt;"""", GOOGLETRANSLATE(A7810, ""en"", ""te""),"""")"),"")</f>
        <v/>
      </c>
      <c r="C7810" s="2"/>
      <c r="D7810" s="2" t="str">
        <f>IFERROR(__xludf.DUMMYFUNCTION("IF(C7810&lt;&gt;"""", GOOGLETRANSLATE(C7810, ""en"", ""te""),"""")"),"")</f>
        <v/>
      </c>
      <c r="E7810" s="2"/>
      <c r="F7810" s="2" t="str">
        <f>IFERROR(__xludf.DUMMYFUNCTION("IF(E7810&lt;&gt;"""", GOOGLETRANSLATE(E7810, ""en"", ""te""),"""")"),"")</f>
        <v/>
      </c>
      <c r="G7810" s="2"/>
      <c r="H7810" s="2" t="str">
        <f>IFERROR(__xludf.DUMMYFUNCTION("IF(G7810&lt;&gt;"""", GOOGLETRANSLATE(G7810, ""en"", ""te""),"""")"),"")</f>
        <v/>
      </c>
      <c r="I7810" s="3"/>
    </row>
    <row r="7811" customHeight="1" spans="1:9">
      <c r="A7811" s="2"/>
      <c r="B7811" s="2" t="str">
        <f>IFERROR(__xludf.DUMMYFUNCTION("IF(A7811&lt;&gt;"""", GOOGLETRANSLATE(A7811, ""en"", ""te""),"""")"),"")</f>
        <v/>
      </c>
      <c r="C7811" s="2"/>
      <c r="D7811" s="2" t="str">
        <f>IFERROR(__xludf.DUMMYFUNCTION("IF(C7811&lt;&gt;"""", GOOGLETRANSLATE(C7811, ""en"", ""te""),"""")"),"")</f>
        <v/>
      </c>
      <c r="E7811" s="2"/>
      <c r="F7811" s="2" t="str">
        <f>IFERROR(__xludf.DUMMYFUNCTION("IF(E7811&lt;&gt;"""", GOOGLETRANSLATE(E7811, ""en"", ""te""),"""")"),"")</f>
        <v/>
      </c>
      <c r="G7811" s="2"/>
      <c r="H7811" s="2" t="str">
        <f>IFERROR(__xludf.DUMMYFUNCTION("IF(G7811&lt;&gt;"""", GOOGLETRANSLATE(G7811, ""en"", ""te""),"""")"),"")</f>
        <v/>
      </c>
      <c r="I7811" s="3"/>
    </row>
    <row r="7812" customHeight="1" spans="1:9">
      <c r="A7812" s="2"/>
      <c r="B7812" s="2" t="str">
        <f>IFERROR(__xludf.DUMMYFUNCTION("IF(A7812&lt;&gt;"""", GOOGLETRANSLATE(A7812, ""en"", ""te""),"""")"),"")</f>
        <v/>
      </c>
      <c r="C7812" s="2"/>
      <c r="D7812" s="2" t="str">
        <f>IFERROR(__xludf.DUMMYFUNCTION("IF(C7812&lt;&gt;"""", GOOGLETRANSLATE(C7812, ""en"", ""te""),"""")"),"")</f>
        <v/>
      </c>
      <c r="E7812" s="2"/>
      <c r="F7812" s="2" t="str">
        <f>IFERROR(__xludf.DUMMYFUNCTION("IF(E7812&lt;&gt;"""", GOOGLETRANSLATE(E7812, ""en"", ""te""),"""")"),"")</f>
        <v/>
      </c>
      <c r="G7812" s="2"/>
      <c r="H7812" s="2" t="str">
        <f>IFERROR(__xludf.DUMMYFUNCTION("IF(G7812&lt;&gt;"""", GOOGLETRANSLATE(G7812, ""en"", ""te""),"""")"),"")</f>
        <v/>
      </c>
      <c r="I7812" s="3"/>
    </row>
    <row r="7813" customHeight="1" spans="1:9">
      <c r="A7813" s="2"/>
      <c r="B7813" s="2" t="str">
        <f>IFERROR(__xludf.DUMMYFUNCTION("IF(A7813&lt;&gt;"""", GOOGLETRANSLATE(A7813, ""en"", ""te""),"""")"),"")</f>
        <v/>
      </c>
      <c r="C7813" s="2" t="s">
        <v>4433</v>
      </c>
      <c r="D7813" s="2" t="str">
        <f>IFERROR(__xludf.DUMMYFUNCTION("IF(C7813&lt;&gt;"""", GOOGLETRANSLATE(C7813, ""en"", ""te""),"""")"),"[ '32 వ చెత్త కెరీర్లో ఆర్థిక రేటు (3.54)', 'ఐదు వికెట్ల లో-ఒక-ఇన్నింగ్స్ తీసుకోవాలని 18 వ పిన్న వయస్కుడిగా నిలిచాడు (19y 97d)']")</f>
        <v>[ '32 వ చెత్త కెరీర్లో ఆర్థిక రేటు (3.54)', 'ఐదు వికెట్ల లో-ఒక-ఇన్నింగ్స్ తీసుకోవాలని 18 వ పిన్న వయస్కుడిగా నిలిచాడు (19y 97d)']</v>
      </c>
      <c r="E7813" s="2" t="s">
        <v>4434</v>
      </c>
      <c r="F7813" s="2" t="str">
        <f>IFERROR(__xludf.DUMMYFUNCTION("IF(E7813&lt;&gt;"""", GOOGLETRANSLATE(E7813, ""en"", ""te""),"""")"),"[ '31 చెత్త కెరీర్ బౌలింగ్ సరాసరి (49.20)']")</f>
        <v>[ '31 చెత్త కెరీర్ బౌలింగ్ సరాసరి (49.20)']</v>
      </c>
      <c r="G7813" s="2"/>
      <c r="H7813" s="2" t="str">
        <f>IFERROR(__xludf.DUMMYFUNCTION("IF(G7813&lt;&gt;"""", GOOGLETRANSLATE(G7813, ""en"", ""te""),"""")"),"")</f>
        <v/>
      </c>
      <c r="I7813" s="3"/>
    </row>
    <row r="7814" customHeight="1" spans="1:9">
      <c r="A7814" s="2"/>
      <c r="B7814" s="2" t="str">
        <f>IFERROR(__xludf.DUMMYFUNCTION("IF(A7814&lt;&gt;"""", GOOGLETRANSLATE(A7814, ""en"", ""te""),"""")"),"")</f>
        <v/>
      </c>
      <c r="C7814" s="2"/>
      <c r="D7814" s="2" t="str">
        <f>IFERROR(__xludf.DUMMYFUNCTION("IF(C7814&lt;&gt;"""", GOOGLETRANSLATE(C7814, ""en"", ""te""),"""")"),"")</f>
        <v/>
      </c>
      <c r="E7814" s="2"/>
      <c r="F7814" s="2" t="str">
        <f>IFERROR(__xludf.DUMMYFUNCTION("IF(E7814&lt;&gt;"""", GOOGLETRANSLATE(E7814, ""en"", ""te""),"""")"),"")</f>
        <v/>
      </c>
      <c r="G7814" s="2"/>
      <c r="H7814" s="2" t="str">
        <f>IFERROR(__xludf.DUMMYFUNCTION("IF(G7814&lt;&gt;"""", GOOGLETRANSLATE(G7814, ""en"", ""te""),"""")"),"")</f>
        <v/>
      </c>
      <c r="I7814" s="3"/>
    </row>
    <row r="7815" customHeight="1" spans="1:9">
      <c r="A7815" s="2"/>
      <c r="B7815" s="2" t="str">
        <f>IFERROR(__xludf.DUMMYFUNCTION("IF(A7815&lt;&gt;"""", GOOGLETRANSLATE(A7815, ""en"", ""te""),"""")"),"")</f>
        <v/>
      </c>
      <c r="C7815" s="2"/>
      <c r="D7815" s="2" t="str">
        <f>IFERROR(__xludf.DUMMYFUNCTION("IF(C7815&lt;&gt;"""", GOOGLETRANSLATE(C7815, ""en"", ""te""),"""")"),"")</f>
        <v/>
      </c>
      <c r="E7815" s="2"/>
      <c r="F7815" s="2" t="str">
        <f>IFERROR(__xludf.DUMMYFUNCTION("IF(E7815&lt;&gt;"""", GOOGLETRANSLATE(E7815, ""en"", ""te""),"""")"),"")</f>
        <v/>
      </c>
      <c r="G7815" s="2"/>
      <c r="H7815" s="2" t="str">
        <f>IFERROR(__xludf.DUMMYFUNCTION("IF(G7815&lt;&gt;"""", GOOGLETRANSLATE(G7815, ""en"", ""te""),"""")"),"")</f>
        <v/>
      </c>
      <c r="I7815" s="3"/>
    </row>
    <row r="7816" customHeight="1" spans="1:9">
      <c r="A7816" s="2"/>
      <c r="B7816" s="2" t="str">
        <f>IFERROR(__xludf.DUMMYFUNCTION("IF(A7816&lt;&gt;"""", GOOGLETRANSLATE(A7816, ""en"", ""te""),"""")"),"")</f>
        <v/>
      </c>
      <c r="C7816" s="2"/>
      <c r="D7816" s="2" t="str">
        <f>IFERROR(__xludf.DUMMYFUNCTION("IF(C7816&lt;&gt;"""", GOOGLETRANSLATE(C7816, ""en"", ""te""),"""")"),"")</f>
        <v/>
      </c>
      <c r="E7816" s="2"/>
      <c r="F7816" s="2" t="str">
        <f>IFERROR(__xludf.DUMMYFUNCTION("IF(E7816&lt;&gt;"""", GOOGLETRANSLATE(E7816, ""en"", ""te""),"""")"),"")</f>
        <v/>
      </c>
      <c r="G7816" s="2"/>
      <c r="H7816" s="2" t="str">
        <f>IFERROR(__xludf.DUMMYFUNCTION("IF(G7816&lt;&gt;"""", GOOGLETRANSLATE(G7816, ""en"", ""te""),"""")"),"")</f>
        <v/>
      </c>
      <c r="I7816" s="3"/>
    </row>
    <row r="7817" customHeight="1" spans="1:9">
      <c r="A7817" s="2"/>
      <c r="B7817" s="2" t="str">
        <f>IFERROR(__xludf.DUMMYFUNCTION("IF(A7817&lt;&gt;"""", GOOGLETRANSLATE(A7817, ""en"", ""te""),"""")"),"")</f>
        <v/>
      </c>
      <c r="C7817" s="2"/>
      <c r="D7817" s="2" t="str">
        <f>IFERROR(__xludf.DUMMYFUNCTION("IF(C7817&lt;&gt;"""", GOOGLETRANSLATE(C7817, ""en"", ""te""),"""")"),"")</f>
        <v/>
      </c>
      <c r="E7817" s="2"/>
      <c r="F7817" s="2" t="str">
        <f>IFERROR(__xludf.DUMMYFUNCTION("IF(E7817&lt;&gt;"""", GOOGLETRANSLATE(E7817, ""en"", ""te""),"""")"),"")</f>
        <v/>
      </c>
      <c r="G7817" s="2"/>
      <c r="H7817" s="2" t="str">
        <f>IFERROR(__xludf.DUMMYFUNCTION("IF(G7817&lt;&gt;"""", GOOGLETRANSLATE(G7817, ""en"", ""te""),"""")"),"")</f>
        <v/>
      </c>
      <c r="I7817" s="3"/>
    </row>
    <row r="7818" customHeight="1" spans="1:9">
      <c r="A7818" s="2"/>
      <c r="B7818" s="2" t="str">
        <f>IFERROR(__xludf.DUMMYFUNCTION("IF(A7818&lt;&gt;"""", GOOGLETRANSLATE(A7818, ""en"", ""te""),"""")"),"")</f>
        <v/>
      </c>
      <c r="C7818" s="2"/>
      <c r="D7818" s="2" t="str">
        <f>IFERROR(__xludf.DUMMYFUNCTION("IF(C7818&lt;&gt;"""", GOOGLETRANSLATE(C7818, ""en"", ""te""),"""")"),"")</f>
        <v/>
      </c>
      <c r="E7818" s="2"/>
      <c r="F7818" s="2" t="str">
        <f>IFERROR(__xludf.DUMMYFUNCTION("IF(E7818&lt;&gt;"""", GOOGLETRANSLATE(E7818, ""en"", ""te""),"""")"),"")</f>
        <v/>
      </c>
      <c r="G7818" s="2"/>
      <c r="H7818" s="2" t="str">
        <f>IFERROR(__xludf.DUMMYFUNCTION("IF(G7818&lt;&gt;"""", GOOGLETRANSLATE(G7818, ""en"", ""te""),"""")"),"")</f>
        <v/>
      </c>
      <c r="I7818" s="3"/>
    </row>
    <row r="7819" customHeight="1" spans="1:9">
      <c r="A7819" s="2"/>
      <c r="B7819" s="2" t="str">
        <f>IFERROR(__xludf.DUMMYFUNCTION("IF(A7819&lt;&gt;"""", GOOGLETRANSLATE(A7819, ""en"", ""te""),"""")"),"")</f>
        <v/>
      </c>
      <c r="C7819" s="2"/>
      <c r="D7819" s="2" t="str">
        <f>IFERROR(__xludf.DUMMYFUNCTION("IF(C7819&lt;&gt;"""", GOOGLETRANSLATE(C7819, ""en"", ""te""),"""")"),"")</f>
        <v/>
      </c>
      <c r="E7819" s="2"/>
      <c r="F7819" s="2" t="str">
        <f>IFERROR(__xludf.DUMMYFUNCTION("IF(E7819&lt;&gt;"""", GOOGLETRANSLATE(E7819, ""en"", ""te""),"""")"),"")</f>
        <v/>
      </c>
      <c r="G7819" s="2"/>
      <c r="H7819" s="2" t="str">
        <f>IFERROR(__xludf.DUMMYFUNCTION("IF(G7819&lt;&gt;"""", GOOGLETRANSLATE(G7819, ""en"", ""te""),"""")"),"")</f>
        <v/>
      </c>
      <c r="I7819" s="3"/>
    </row>
    <row r="7820" customHeight="1" spans="1:9">
      <c r="A7820" s="2"/>
      <c r="B7820" s="2" t="str">
        <f>IFERROR(__xludf.DUMMYFUNCTION("IF(A7820&lt;&gt;"""", GOOGLETRANSLATE(A7820, ""en"", ""te""),"""")"),"")</f>
        <v/>
      </c>
      <c r="C7820" s="2"/>
      <c r="D7820" s="2" t="str">
        <f>IFERROR(__xludf.DUMMYFUNCTION("IF(C7820&lt;&gt;"""", GOOGLETRANSLATE(C7820, ""en"", ""te""),"""")"),"")</f>
        <v/>
      </c>
      <c r="E7820" s="2"/>
      <c r="F7820" s="2" t="str">
        <f>IFERROR(__xludf.DUMMYFUNCTION("IF(E7820&lt;&gt;"""", GOOGLETRANSLATE(E7820, ""en"", ""te""),"""")"),"")</f>
        <v/>
      </c>
      <c r="G7820" s="2"/>
      <c r="H7820" s="2" t="str">
        <f>IFERROR(__xludf.DUMMYFUNCTION("IF(G7820&lt;&gt;"""", GOOGLETRANSLATE(G7820, ""en"", ""te""),"""")"),"")</f>
        <v/>
      </c>
      <c r="I7820" s="3"/>
    </row>
    <row r="7821" customHeight="1" spans="1:9">
      <c r="A7821" s="2"/>
      <c r="B7821" s="2" t="str">
        <f>IFERROR(__xludf.DUMMYFUNCTION("IF(A7821&lt;&gt;"""", GOOGLETRANSLATE(A7821, ""en"", ""te""),"""")"),"")</f>
        <v/>
      </c>
      <c r="C7821" s="2"/>
      <c r="D7821" s="2" t="str">
        <f>IFERROR(__xludf.DUMMYFUNCTION("IF(C7821&lt;&gt;"""", GOOGLETRANSLATE(C7821, ""en"", ""te""),"""")"),"")</f>
        <v/>
      </c>
      <c r="E7821" s="2"/>
      <c r="F7821" s="2" t="str">
        <f>IFERROR(__xludf.DUMMYFUNCTION("IF(E7821&lt;&gt;"""", GOOGLETRANSLATE(E7821, ""en"", ""te""),"""")"),"")</f>
        <v/>
      </c>
      <c r="G7821" s="2"/>
      <c r="H7821" s="2" t="str">
        <f>IFERROR(__xludf.DUMMYFUNCTION("IF(G7821&lt;&gt;"""", GOOGLETRANSLATE(G7821, ""en"", ""te""),"""")"),"")</f>
        <v/>
      </c>
      <c r="I7821" s="3"/>
    </row>
    <row r="7822" customHeight="1" spans="1:9">
      <c r="A7822" s="2"/>
      <c r="B7822" s="2" t="str">
        <f>IFERROR(__xludf.DUMMYFUNCTION("IF(A7822&lt;&gt;"""", GOOGLETRANSLATE(A7822, ""en"", ""te""),"""")"),"")</f>
        <v/>
      </c>
      <c r="C7822" s="2"/>
      <c r="D7822" s="2" t="str">
        <f>IFERROR(__xludf.DUMMYFUNCTION("IF(C7822&lt;&gt;"""", GOOGLETRANSLATE(C7822, ""en"", ""te""),"""")"),"")</f>
        <v/>
      </c>
      <c r="E7822" s="2"/>
      <c r="F7822" s="2" t="str">
        <f>IFERROR(__xludf.DUMMYFUNCTION("IF(E7822&lt;&gt;"""", GOOGLETRANSLATE(E7822, ""en"", ""te""),"""")"),"")</f>
        <v/>
      </c>
      <c r="G7822" s="2"/>
      <c r="H7822" s="2" t="str">
        <f>IFERROR(__xludf.DUMMYFUNCTION("IF(G7822&lt;&gt;"""", GOOGLETRANSLATE(G7822, ""en"", ""te""),"""")"),"")</f>
        <v/>
      </c>
      <c r="I7822" s="3"/>
    </row>
    <row r="7823" customHeight="1" spans="1:9">
      <c r="A7823" s="2" t="s">
        <v>4435</v>
      </c>
      <c r="B7823" s="2" t="str">
        <f>IFERROR(__xludf.DUMMYFUNCTION("IF(A7823&lt;&gt;"""", GOOGLETRANSLATE(A7823, ""en"", ""te""),"""")"),"[ 'ఒక ఇన్నింగ్స్ లో 5 వ ఉత్తమ సంఖ్యలు ఉన్నప్పుడు పరాజయం వైపు (8)', 'బ్యాటింగ్ తెరవడం మరియు అదే మ్యాచ్ లో బౌలింగ్']")</f>
        <v>[ 'ఒక ఇన్నింగ్స్ లో 5 వ ఉత్తమ సంఖ్యలు ఉన్నప్పుడు పరాజయం వైపు (8)', 'బ్యాటింగ్ తెరవడం మరియు అదే మ్యాచ్ లో బౌలింగ్']</v>
      </c>
      <c r="C7823" s="2" t="s">
        <v>2563</v>
      </c>
      <c r="D7823" s="2" t="str">
        <f>IFERROR(__xludf.DUMMYFUNCTION("IF(C7823&lt;&gt;"""", GOOGLETRANSLATE(C7823, ""en"", ""te""),"""")"),"[ 'ఒక ఇన్నింగ్స్ లో 5 వ ఉత్తమ సంఖ్యలు ఉన్నప్పుడు పరాజయం వైపు (8)']")</f>
        <v>[ 'ఒక ఇన్నింగ్స్ లో 5 వ ఉత్తమ సంఖ్యలు ఉన్నప్పుడు పరాజయం వైపు (8)']</v>
      </c>
      <c r="E7823" s="2" t="s">
        <v>972</v>
      </c>
      <c r="F7823" s="2" t="str">
        <f>IFERROR(__xludf.DUMMYFUNCTION("IF(E7823&lt;&gt;"""", GOOGLETRANSLATE(E7823, ""en"", ""te""),"""")"),"[ 'ఒక కెప్టెన్తో ఒక ఇన్నింగ్స్ లో 26 వ బెస్ట్ ఫిగర్స్ (4)']")</f>
        <v>[ 'ఒక కెప్టెన్తో ఒక ఇన్నింగ్స్ లో 26 వ బెస్ట్ ఫిగర్స్ (4)']</v>
      </c>
      <c r="G7823" s="2"/>
      <c r="H7823" s="2" t="str">
        <f>IFERROR(__xludf.DUMMYFUNCTION("IF(G7823&lt;&gt;"""", GOOGLETRANSLATE(G7823, ""en"", ""te""),"""")"),"")</f>
        <v/>
      </c>
      <c r="I7823" s="3"/>
    </row>
    <row r="7824" customHeight="1" spans="1:9">
      <c r="A7824" s="2"/>
      <c r="B7824" s="2" t="str">
        <f>IFERROR(__xludf.DUMMYFUNCTION("IF(A7824&lt;&gt;"""", GOOGLETRANSLATE(A7824, ""en"", ""te""),"""")"),"")</f>
        <v/>
      </c>
      <c r="C7824" s="2"/>
      <c r="D7824" s="2" t="str">
        <f>IFERROR(__xludf.DUMMYFUNCTION("IF(C7824&lt;&gt;"""", GOOGLETRANSLATE(C7824, ""en"", ""te""),"""")"),"")</f>
        <v/>
      </c>
      <c r="E7824" s="2"/>
      <c r="F7824" s="2" t="str">
        <f>IFERROR(__xludf.DUMMYFUNCTION("IF(E7824&lt;&gt;"""", GOOGLETRANSLATE(E7824, ""en"", ""te""),"""")"),"")</f>
        <v/>
      </c>
      <c r="G7824" s="2"/>
      <c r="H7824" s="2" t="str">
        <f>IFERROR(__xludf.DUMMYFUNCTION("IF(G7824&lt;&gt;"""", GOOGLETRANSLATE(G7824, ""en"", ""te""),"""")"),"")</f>
        <v/>
      </c>
      <c r="I7824" s="3"/>
    </row>
    <row r="7825" customHeight="1" spans="1:9">
      <c r="A7825" s="2"/>
      <c r="B7825" s="2" t="str">
        <f>IFERROR(__xludf.DUMMYFUNCTION("IF(A7825&lt;&gt;"""", GOOGLETRANSLATE(A7825, ""en"", ""te""),"""")"),"")</f>
        <v/>
      </c>
      <c r="C7825" s="2"/>
      <c r="D7825" s="2" t="str">
        <f>IFERROR(__xludf.DUMMYFUNCTION("IF(C7825&lt;&gt;"""", GOOGLETRANSLATE(C7825, ""en"", ""te""),"""")"),"")</f>
        <v/>
      </c>
      <c r="E7825" s="2"/>
      <c r="F7825" s="2" t="str">
        <f>IFERROR(__xludf.DUMMYFUNCTION("IF(E7825&lt;&gt;"""", GOOGLETRANSLATE(E7825, ""en"", ""te""),"""")"),"")</f>
        <v/>
      </c>
      <c r="G7825" s="2"/>
      <c r="H7825" s="2" t="str">
        <f>IFERROR(__xludf.DUMMYFUNCTION("IF(G7825&lt;&gt;"""", GOOGLETRANSLATE(G7825, ""en"", ""te""),"""")"),"")</f>
        <v/>
      </c>
      <c r="I7825" s="3"/>
    </row>
    <row r="7826" customHeight="1" spans="1:9">
      <c r="A7826" s="2"/>
      <c r="B7826" s="2" t="str">
        <f>IFERROR(__xludf.DUMMYFUNCTION("IF(A7826&lt;&gt;"""", GOOGLETRANSLATE(A7826, ""en"", ""te""),"""")"),"")</f>
        <v/>
      </c>
      <c r="C7826" s="2"/>
      <c r="D7826" s="2" t="str">
        <f>IFERROR(__xludf.DUMMYFUNCTION("IF(C7826&lt;&gt;"""", GOOGLETRANSLATE(C7826, ""en"", ""te""),"""")"),"")</f>
        <v/>
      </c>
      <c r="E7826" s="2"/>
      <c r="F7826" s="2" t="str">
        <f>IFERROR(__xludf.DUMMYFUNCTION("IF(E7826&lt;&gt;"""", GOOGLETRANSLATE(E7826, ""en"", ""te""),"""")"),"")</f>
        <v/>
      </c>
      <c r="G7826" s="2"/>
      <c r="H7826" s="2" t="str">
        <f>IFERROR(__xludf.DUMMYFUNCTION("IF(G7826&lt;&gt;"""", GOOGLETRANSLATE(G7826, ""en"", ""te""),"""")"),"")</f>
        <v/>
      </c>
      <c r="I7826" s="3"/>
    </row>
    <row r="7827" customHeight="1" spans="1:9">
      <c r="A7827" s="2"/>
      <c r="B7827" s="2" t="str">
        <f>IFERROR(__xludf.DUMMYFUNCTION("IF(A7827&lt;&gt;"""", GOOGLETRANSLATE(A7827, ""en"", ""te""),"""")"),"")</f>
        <v/>
      </c>
      <c r="C7827" s="2"/>
      <c r="D7827" s="2" t="str">
        <f>IFERROR(__xludf.DUMMYFUNCTION("IF(C7827&lt;&gt;"""", GOOGLETRANSLATE(C7827, ""en"", ""te""),"""")"),"")</f>
        <v/>
      </c>
      <c r="E7827" s="2"/>
      <c r="F7827" s="2" t="str">
        <f>IFERROR(__xludf.DUMMYFUNCTION("IF(E7827&lt;&gt;"""", GOOGLETRANSLATE(E7827, ""en"", ""te""),"""")"),"")</f>
        <v/>
      </c>
      <c r="G7827" s="2"/>
      <c r="H7827" s="2" t="str">
        <f>IFERROR(__xludf.DUMMYFUNCTION("IF(G7827&lt;&gt;"""", GOOGLETRANSLATE(G7827, ""en"", ""te""),"""")"),"")</f>
        <v/>
      </c>
      <c r="I7827" s="3"/>
    </row>
    <row r="7828" customHeight="1" spans="1:9">
      <c r="A7828" s="2"/>
      <c r="B7828" s="2" t="str">
        <f>IFERROR(__xludf.DUMMYFUNCTION("IF(A7828&lt;&gt;"""", GOOGLETRANSLATE(A7828, ""en"", ""te""),"""")"),"")</f>
        <v/>
      </c>
      <c r="C7828" s="2"/>
      <c r="D7828" s="2" t="str">
        <f>IFERROR(__xludf.DUMMYFUNCTION("IF(C7828&lt;&gt;"""", GOOGLETRANSLATE(C7828, ""en"", ""te""),"""")"),"")</f>
        <v/>
      </c>
      <c r="E7828" s="2"/>
      <c r="F7828" s="2" t="str">
        <f>IFERROR(__xludf.DUMMYFUNCTION("IF(E7828&lt;&gt;"""", GOOGLETRANSLATE(E7828, ""en"", ""te""),"""")"),"")</f>
        <v/>
      </c>
      <c r="G7828" s="2"/>
      <c r="H7828" s="2" t="str">
        <f>IFERROR(__xludf.DUMMYFUNCTION("IF(G7828&lt;&gt;"""", GOOGLETRANSLATE(G7828, ""en"", ""te""),"""")"),"")</f>
        <v/>
      </c>
      <c r="I7828" s="3"/>
    </row>
    <row r="7829" customHeight="1" spans="1:9">
      <c r="A7829" s="2"/>
      <c r="B7829" s="2" t="str">
        <f>IFERROR(__xludf.DUMMYFUNCTION("IF(A7829&lt;&gt;"""", GOOGLETRANSLATE(A7829, ""en"", ""te""),"""")"),"")</f>
        <v/>
      </c>
      <c r="C7829" s="2"/>
      <c r="D7829" s="2" t="str">
        <f>IFERROR(__xludf.DUMMYFUNCTION("IF(C7829&lt;&gt;"""", GOOGLETRANSLATE(C7829, ""en"", ""te""),"""")"),"")</f>
        <v/>
      </c>
      <c r="E7829" s="2"/>
      <c r="F7829" s="2" t="str">
        <f>IFERROR(__xludf.DUMMYFUNCTION("IF(E7829&lt;&gt;"""", GOOGLETRANSLATE(E7829, ""en"", ""te""),"""")"),"")</f>
        <v/>
      </c>
      <c r="G7829" s="2"/>
      <c r="H7829" s="2" t="str">
        <f>IFERROR(__xludf.DUMMYFUNCTION("IF(G7829&lt;&gt;"""", GOOGLETRANSLATE(G7829, ""en"", ""te""),"""")"),"")</f>
        <v/>
      </c>
      <c r="I7829" s="3"/>
    </row>
    <row r="7830" customHeight="1" spans="1:9">
      <c r="A7830" s="2" t="s">
        <v>4436</v>
      </c>
      <c r="B7830" s="2" t="str">
        <f>IFERROR(__xludf.DUMMYFUNCTION("IF(A7830&lt;&gt;"""", GOOGLETRANSLATE(A7830, ""en"", ""te""),"""")"),"[ '9 వ అత్యంత ఇన్నింగ్స్ లో నడుస్తుంది (బ్యాటింగ్ స్థానం) (20)']")</f>
        <v>[ '9 వ అత్యంత ఇన్నింగ్స్ లో నడుస్తుంది (బ్యాటింగ్ స్థానం) (20)']</v>
      </c>
      <c r="C7830" s="2"/>
      <c r="D7830" s="2" t="str">
        <f>IFERROR(__xludf.DUMMYFUNCTION("IF(C7830&lt;&gt;"""", GOOGLETRANSLATE(C7830, ""en"", ""te""),"""")"),"")</f>
        <v/>
      </c>
      <c r="E7830" s="2" t="s">
        <v>4437</v>
      </c>
      <c r="F7830" s="2" t="str">
        <f>IFERROR(__xludf.DUMMYFUNCTION("IF(E7830&lt;&gt;"""", GOOGLETRANSLATE(E7830, ""en"", ""te""),"""")"),"[ '12 వ ఇన్నింగ్స్ లో అత్యధిక పరుగులు (బ్యాటింగ్ స్థానంలో ప్రకారం) (16 *)', '11 వ ఒక ఇన్నింగ్స్ లోని బెస్ట్ ఫిగర్స్ ఉన్నప్పుడు పరాజయం వైపు (4)', 'ఏడవ వికెట్ (62) కోసం 32 వ అత్యధిక భాగస్వామ్యం']")</f>
        <v>[ '12 వ ఇన్నింగ్స్ లో అత్యధిక పరుగులు (బ్యాటింగ్ స్థానంలో ప్రకారం) (16 *)', '11 వ ఒక ఇన్నింగ్స్ లోని బెస్ట్ ఫిగర్స్ ఉన్నప్పుడు పరాజయం వైపు (4)', 'ఏడవ వికెట్ (62) కోసం 32 వ అత్యధిక భాగస్వామ్యం']</v>
      </c>
      <c r="G7830" s="2" t="s">
        <v>4438</v>
      </c>
      <c r="H7830" s="2" t="str">
        <f>IFERROR(__xludf.DUMMYFUNCTION("IF(G7830&lt;&gt;"""", GOOGLETRANSLATE(G7830, ""en"", ""te""),"""")"),"[ 'తొమ్మిదవ వికెట్కు 24 అత్యధిక భాగస్వామ్యం (19 *)' '9 వ ఎక్కువ (20) ఒక ఇన్నింగ్స్ లో నడుస్తుంది (బ్యాటింగ్ స్థానం)']")</f>
        <v>[ 'తొమ్మిదవ వికెట్కు 24 అత్యధిక భాగస్వామ్యం (19 *)' '9 వ ఎక్కువ (20) ఒక ఇన్నింగ్స్ లో నడుస్తుంది (బ్యాటింగ్ స్థానం)']</v>
      </c>
      <c r="I7830" s="3"/>
    </row>
    <row r="7831" customHeight="1" spans="1:9">
      <c r="A7831" s="2"/>
      <c r="B7831" s="2" t="str">
        <f>IFERROR(__xludf.DUMMYFUNCTION("IF(A7831&lt;&gt;"""", GOOGLETRANSLATE(A7831, ""en"", ""te""),"""")"),"")</f>
        <v/>
      </c>
      <c r="C7831" s="2"/>
      <c r="D7831" s="2" t="str">
        <f>IFERROR(__xludf.DUMMYFUNCTION("IF(C7831&lt;&gt;"""", GOOGLETRANSLATE(C7831, ""en"", ""te""),"""")"),"")</f>
        <v/>
      </c>
      <c r="E7831" s="2"/>
      <c r="F7831" s="2" t="str">
        <f>IFERROR(__xludf.DUMMYFUNCTION("IF(E7831&lt;&gt;"""", GOOGLETRANSLATE(E7831, ""en"", ""te""),"""")"),"")</f>
        <v/>
      </c>
      <c r="G7831" s="2"/>
      <c r="H7831" s="2" t="str">
        <f>IFERROR(__xludf.DUMMYFUNCTION("IF(G7831&lt;&gt;"""", GOOGLETRANSLATE(G7831, ""en"", ""te""),"""")"),"")</f>
        <v/>
      </c>
      <c r="I7831" s="3"/>
    </row>
    <row r="7832" customHeight="1" spans="1:9">
      <c r="A7832" s="2"/>
      <c r="B7832" s="2" t="str">
        <f>IFERROR(__xludf.DUMMYFUNCTION("IF(A7832&lt;&gt;"""", GOOGLETRANSLATE(A7832, ""en"", ""te""),"""")"),"")</f>
        <v/>
      </c>
      <c r="C7832" s="2"/>
      <c r="D7832" s="2" t="str">
        <f>IFERROR(__xludf.DUMMYFUNCTION("IF(C7832&lt;&gt;"""", GOOGLETRANSLATE(C7832, ""en"", ""te""),"""")"),"")</f>
        <v/>
      </c>
      <c r="E7832" s="2"/>
      <c r="F7832" s="2" t="str">
        <f>IFERROR(__xludf.DUMMYFUNCTION("IF(E7832&lt;&gt;"""", GOOGLETRANSLATE(E7832, ""en"", ""te""),"""")"),"")</f>
        <v/>
      </c>
      <c r="G7832" s="2"/>
      <c r="H7832" s="2" t="str">
        <f>IFERROR(__xludf.DUMMYFUNCTION("IF(G7832&lt;&gt;"""", GOOGLETRANSLATE(G7832, ""en"", ""te""),"""")"),"")</f>
        <v/>
      </c>
      <c r="I7832" s="3"/>
    </row>
    <row r="7833" customHeight="1" spans="1:9">
      <c r="A7833" s="2"/>
      <c r="B7833" s="2" t="str">
        <f>IFERROR(__xludf.DUMMYFUNCTION("IF(A7833&lt;&gt;"""", GOOGLETRANSLATE(A7833, ""en"", ""te""),"""")"),"")</f>
        <v/>
      </c>
      <c r="C7833" s="2"/>
      <c r="D7833" s="2" t="str">
        <f>IFERROR(__xludf.DUMMYFUNCTION("IF(C7833&lt;&gt;"""", GOOGLETRANSLATE(C7833, ""en"", ""te""),"""")"),"")</f>
        <v/>
      </c>
      <c r="E7833" s="2"/>
      <c r="F7833" s="2" t="str">
        <f>IFERROR(__xludf.DUMMYFUNCTION("IF(E7833&lt;&gt;"""", GOOGLETRANSLATE(E7833, ""en"", ""te""),"""")"),"")</f>
        <v/>
      </c>
      <c r="G7833" s="2"/>
      <c r="H7833" s="2" t="str">
        <f>IFERROR(__xludf.DUMMYFUNCTION("IF(G7833&lt;&gt;"""", GOOGLETRANSLATE(G7833, ""en"", ""te""),"""")"),"")</f>
        <v/>
      </c>
      <c r="I7833" s="3"/>
    </row>
    <row r="7834" customHeight="1" spans="1:9">
      <c r="A7834" s="2"/>
      <c r="B7834" s="2" t="str">
        <f>IFERROR(__xludf.DUMMYFUNCTION("IF(A7834&lt;&gt;"""", GOOGLETRANSLATE(A7834, ""en"", ""te""),"""")"),"")</f>
        <v/>
      </c>
      <c r="C7834" s="2"/>
      <c r="D7834" s="2" t="str">
        <f>IFERROR(__xludf.DUMMYFUNCTION("IF(C7834&lt;&gt;"""", GOOGLETRANSLATE(C7834, ""en"", ""te""),"""")"),"")</f>
        <v/>
      </c>
      <c r="E7834" s="2"/>
      <c r="F7834" s="2" t="str">
        <f>IFERROR(__xludf.DUMMYFUNCTION("IF(E7834&lt;&gt;"""", GOOGLETRANSLATE(E7834, ""en"", ""te""),"""")"),"")</f>
        <v/>
      </c>
      <c r="G7834" s="2"/>
      <c r="H7834" s="2" t="str">
        <f>IFERROR(__xludf.DUMMYFUNCTION("IF(G7834&lt;&gt;"""", GOOGLETRANSLATE(G7834, ""en"", ""te""),"""")"),"")</f>
        <v/>
      </c>
      <c r="I7834" s="3"/>
    </row>
    <row r="7835" customHeight="1" spans="1:9">
      <c r="A7835" s="2"/>
      <c r="B7835" s="2" t="str">
        <f>IFERROR(__xludf.DUMMYFUNCTION("IF(A7835&lt;&gt;"""", GOOGLETRANSLATE(A7835, ""en"", ""te""),"""")"),"")</f>
        <v/>
      </c>
      <c r="C7835" s="2"/>
      <c r="D7835" s="2" t="str">
        <f>IFERROR(__xludf.DUMMYFUNCTION("IF(C7835&lt;&gt;"""", GOOGLETRANSLATE(C7835, ""en"", ""te""),"""")"),"")</f>
        <v/>
      </c>
      <c r="E7835" s="2"/>
      <c r="F7835" s="2" t="str">
        <f>IFERROR(__xludf.DUMMYFUNCTION("IF(E7835&lt;&gt;"""", GOOGLETRANSLATE(E7835, ""en"", ""te""),"""")"),"")</f>
        <v/>
      </c>
      <c r="G7835" s="2"/>
      <c r="H7835" s="2" t="str">
        <f>IFERROR(__xludf.DUMMYFUNCTION("IF(G7835&lt;&gt;"""", GOOGLETRANSLATE(G7835, ""en"", ""te""),"""")"),"")</f>
        <v/>
      </c>
      <c r="I7835" s="3"/>
    </row>
    <row r="7836" customHeight="1" spans="1:9">
      <c r="A7836" s="2"/>
      <c r="B7836" s="2" t="str">
        <f>IFERROR(__xludf.DUMMYFUNCTION("IF(A7836&lt;&gt;"""", GOOGLETRANSLATE(A7836, ""en"", ""te""),"""")"),"")</f>
        <v/>
      </c>
      <c r="C7836" s="2"/>
      <c r="D7836" s="2" t="str">
        <f>IFERROR(__xludf.DUMMYFUNCTION("IF(C7836&lt;&gt;"""", GOOGLETRANSLATE(C7836, ""en"", ""te""),"""")"),"")</f>
        <v/>
      </c>
      <c r="E7836" s="2"/>
      <c r="F7836" s="2" t="str">
        <f>IFERROR(__xludf.DUMMYFUNCTION("IF(E7836&lt;&gt;"""", GOOGLETRANSLATE(E7836, ""en"", ""te""),"""")"),"")</f>
        <v/>
      </c>
      <c r="G7836" s="2"/>
      <c r="H7836" s="2" t="str">
        <f>IFERROR(__xludf.DUMMYFUNCTION("IF(G7836&lt;&gt;"""", GOOGLETRANSLATE(G7836, ""en"", ""te""),"""")"),"")</f>
        <v/>
      </c>
      <c r="I7836" s="3"/>
    </row>
    <row r="7837" customHeight="1" spans="1:9">
      <c r="A7837" s="2"/>
      <c r="B7837" s="2" t="str">
        <f>IFERROR(__xludf.DUMMYFUNCTION("IF(A7837&lt;&gt;"""", GOOGLETRANSLATE(A7837, ""en"", ""te""),"""")"),"")</f>
        <v/>
      </c>
      <c r="C7837" s="2"/>
      <c r="D7837" s="2" t="str">
        <f>IFERROR(__xludf.DUMMYFUNCTION("IF(C7837&lt;&gt;"""", GOOGLETRANSLATE(C7837, ""en"", ""te""),"""")"),"")</f>
        <v/>
      </c>
      <c r="E7837" s="2"/>
      <c r="F7837" s="2" t="str">
        <f>IFERROR(__xludf.DUMMYFUNCTION("IF(E7837&lt;&gt;"""", GOOGLETRANSLATE(E7837, ""en"", ""te""),"""")"),"")</f>
        <v/>
      </c>
      <c r="G7837" s="2"/>
      <c r="H7837" s="2" t="str">
        <f>IFERROR(__xludf.DUMMYFUNCTION("IF(G7837&lt;&gt;"""", GOOGLETRANSLATE(G7837, ""en"", ""te""),"""")"),"")</f>
        <v/>
      </c>
      <c r="I7837" s="3"/>
    </row>
    <row r="7838" customHeight="1" spans="1:9">
      <c r="A7838" s="2" t="s">
        <v>4439</v>
      </c>
      <c r="B7838" s="2" t="str">
        <f>IFERROR(__xludf.DUMMYFUNCTION("IF(A7838&lt;&gt;"""", GOOGLETRANSLATE(A7838, ""en"", ""te""),"""")"),"[ '1st చాలా ఇన్నింగ్స్ లో సాధించిన పరుగులు (75)']")</f>
        <v>[ '1st చాలా ఇన్నింగ్స్ లో సాధించిన పరుగులు (75)']</v>
      </c>
      <c r="C7838" s="2"/>
      <c r="D7838" s="2" t="str">
        <f>IFERROR(__xludf.DUMMYFUNCTION("IF(C7838&lt;&gt;"""", GOOGLETRANSLATE(C7838, ""en"", ""te""),"""")"),"")</f>
        <v/>
      </c>
      <c r="E7838" s="2"/>
      <c r="F7838" s="2" t="str">
        <f>IFERROR(__xludf.DUMMYFUNCTION("IF(E7838&lt;&gt;"""", GOOGLETRANSLATE(E7838, ""en"", ""te""),"""")"),"")</f>
        <v/>
      </c>
      <c r="G7838" s="2" t="s">
        <v>4439</v>
      </c>
      <c r="H7838" s="2" t="str">
        <f>IFERROR(__xludf.DUMMYFUNCTION("IF(G7838&lt;&gt;"""", GOOGLETRANSLATE(G7838, ""en"", ""te""),"""")"),"[ '1st చాలా ఇన్నింగ్స్ లో సాధించిన పరుగులు (75)']")</f>
        <v>[ '1st చాలా ఇన్నింగ్స్ లో సాధించిన పరుగులు (75)']</v>
      </c>
      <c r="I7838" s="3"/>
    </row>
    <row r="7839" customHeight="1" spans="1:9">
      <c r="A7839" s="2"/>
      <c r="B7839" s="2" t="str">
        <f>IFERROR(__xludf.DUMMYFUNCTION("IF(A7839&lt;&gt;"""", GOOGLETRANSLATE(A7839, ""en"", ""te""),"""")"),"")</f>
        <v/>
      </c>
      <c r="C7839" s="2"/>
      <c r="D7839" s="2" t="str">
        <f>IFERROR(__xludf.DUMMYFUNCTION("IF(C7839&lt;&gt;"""", GOOGLETRANSLATE(C7839, ""en"", ""te""),"""")"),"")</f>
        <v/>
      </c>
      <c r="E7839" s="2"/>
      <c r="F7839" s="2" t="str">
        <f>IFERROR(__xludf.DUMMYFUNCTION("IF(E7839&lt;&gt;"""", GOOGLETRANSLATE(E7839, ""en"", ""te""),"""")"),"")</f>
        <v/>
      </c>
      <c r="G7839" s="2"/>
      <c r="H7839" s="2" t="str">
        <f>IFERROR(__xludf.DUMMYFUNCTION("IF(G7839&lt;&gt;"""", GOOGLETRANSLATE(G7839, ""en"", ""te""),"""")"),"")</f>
        <v/>
      </c>
      <c r="I7839" s="3"/>
    </row>
    <row r="7840" customHeight="1" spans="1:9">
      <c r="A7840" s="2"/>
      <c r="B7840" s="2" t="str">
        <f>IFERROR(__xludf.DUMMYFUNCTION("IF(A7840&lt;&gt;"""", GOOGLETRANSLATE(A7840, ""en"", ""te""),"""")"),"")</f>
        <v/>
      </c>
      <c r="C7840" s="2"/>
      <c r="D7840" s="2" t="str">
        <f>IFERROR(__xludf.DUMMYFUNCTION("IF(C7840&lt;&gt;"""", GOOGLETRANSLATE(C7840, ""en"", ""te""),"""")"),"")</f>
        <v/>
      </c>
      <c r="E7840" s="2" t="s">
        <v>3136</v>
      </c>
      <c r="F7840" s="2" t="str">
        <f>IFERROR(__xludf.DUMMYFUNCTION("IF(E7840&lt;&gt;"""", GOOGLETRANSLATE(E7840, ""en"", ""te""),"""")"),"[ '48 వ బెస్ట్ ఇన్నింగ్స్ లో ఆర్థిక రేటు (1.00)']")</f>
        <v>[ '48 వ బెస్ట్ ఇన్నింగ్స్ లో ఆర్థిక రేటు (1.00)']</v>
      </c>
      <c r="G7840" s="2"/>
      <c r="H7840" s="2" t="str">
        <f>IFERROR(__xludf.DUMMYFUNCTION("IF(G7840&lt;&gt;"""", GOOGLETRANSLATE(G7840, ""en"", ""te""),"""")"),"")</f>
        <v/>
      </c>
      <c r="I7840" s="3"/>
    </row>
    <row r="7841" customHeight="1" spans="1:9">
      <c r="A7841" s="2"/>
      <c r="B7841" s="2" t="str">
        <f>IFERROR(__xludf.DUMMYFUNCTION("IF(A7841&lt;&gt;"""", GOOGLETRANSLATE(A7841, ""en"", ""te""),"""")"),"")</f>
        <v/>
      </c>
      <c r="C7841" s="2"/>
      <c r="D7841" s="2" t="str">
        <f>IFERROR(__xludf.DUMMYFUNCTION("IF(C7841&lt;&gt;"""", GOOGLETRANSLATE(C7841, ""en"", ""te""),"""")"),"")</f>
        <v/>
      </c>
      <c r="E7841" s="2"/>
      <c r="F7841" s="2" t="str">
        <f>IFERROR(__xludf.DUMMYFUNCTION("IF(E7841&lt;&gt;"""", GOOGLETRANSLATE(E7841, ""en"", ""te""),"""")"),"")</f>
        <v/>
      </c>
      <c r="G7841" s="2"/>
      <c r="H7841" s="2" t="str">
        <f>IFERROR(__xludf.DUMMYFUNCTION("IF(G7841&lt;&gt;"""", GOOGLETRANSLATE(G7841, ""en"", ""te""),"""")"),"")</f>
        <v/>
      </c>
      <c r="I7841" s="3"/>
    </row>
    <row r="7842" customHeight="1" spans="1:9">
      <c r="A7842" s="2" t="s">
        <v>4440</v>
      </c>
      <c r="B7842" s="2" t="str">
        <f>IFERROR(__xludf.DUMMYFUNCTION("IF(A7842&lt;&gt;"""", GOOGLETRANSLATE(A7842, ""en"", ""te""),"""")"),"[ 'ఇన్నింగ్స్ లో 1 వ అత్యధిక పరుగులు (51 *) (బ్యాటింగ్ స్థానం)', '10 వ కెరీర్ లో బాతులు (20)', '7 వ ఇన్నింగ్స్ లో అత్యధిక పరుగులు (బ్యాటింగ్ స్థానంలో ప్రకారం) (20 *)', '4 వ చెత్త కెరీర్లో ఆర్థిక రేటు (6.86) ']")</f>
        <v>[ 'ఇన్నింగ్స్ లో 1 వ అత్యధిక పరుగులు (51 *) (బ్యాటింగ్ స్థానం)', '10 వ కెరీర్ లో బాతులు (20)', '7 వ ఇన్నింగ్స్ లో అత్యధిక పరుగులు (బ్యాటింగ్ స్థానంలో ప్రకారం) (20 *)', '4 వ చెత్త కెరీర్లో ఆర్థిక రేటు (6.86) ']</v>
      </c>
      <c r="C7842" s="2"/>
      <c r="D7842" s="2" t="str">
        <f>IFERROR(__xludf.DUMMYFUNCTION("IF(C7842&lt;&gt;"""", GOOGLETRANSLATE(C7842, ""en"", ""te""),"""")"),"")</f>
        <v/>
      </c>
      <c r="E7842" s="2" t="s">
        <v>4441</v>
      </c>
      <c r="F7842" s="2" t="str">
        <f>IFERROR(__xludf.DUMMYFUNCTION("IF(E7842&lt;&gt;"""", GOOGLETRANSLATE(E7842, ""en"", ""te""),"""")"),"[ 'ఇన్నింగ్స్ లో 1 వ అత్యధిక పరుగులు (బ్యాటింగ్ స్థానంలో ప్రకారం) (51 *)', 'కెరీర్లో 10 వ లేవు బాతులు (20)', ఎనిమిదవ కోసం '41 వ అత్యధిక పరుగులు ఇన్నింగ్స్ లో సాధించిన (71)', '37 వ అత్యధిక భాగస్వామ్యం వికెట్ (45) ']")</f>
        <v>[ 'ఇన్నింగ్స్ లో 1 వ అత్యధిక పరుగులు (బ్యాటింగ్ స్థానంలో ప్రకారం) (51 *)', 'కెరీర్లో 10 వ లేవు బాతులు (20)', ఎనిమిదవ కోసం '41 వ అత్యధిక పరుగులు ఇన్నింగ్స్ లో సాధించిన (71)', '37 వ అత్యధిక భాగస్వామ్యం వికెట్ (45) ']</v>
      </c>
      <c r="G7842" s="2" t="s">
        <v>4442</v>
      </c>
      <c r="H7842" s="2" t="str">
        <f>IFERROR(__xludf.DUMMYFUNCTION("IF(G7842&lt;&gt;"""", GOOGLETRANSLATE(G7842, ""en"", ""te""),"""")"),"[ 'ఇన్నింగ్స్ లో 7 వ అత్యధిక పరుగులు (బ్యాటింగ్ స్థానంలో ప్రకారం) (20 *)', '27 వ అత్యుత్తమ బౌలింగ్ ఇన్నింగ్స్ లో విశ్లేషించడం (1/2)', '41 వ ఉత్తమ ఆర్థిక వ్యవస్థ ఇన్నింగ్స్లో రేటు (0.66)', '12 వ చెత్త కెరీర్ బౌలింగ్ సరాసరి (28.07) ',' 4 వ చెత్త కెరీర్లో ఆర"&amp;"్థిక రేటు (6.86) ', '21 వ చెత్త కెరీర్లో సమ్మె రేటు (24.5)', '43 వ అత్యధిక పరుగులు ఇన్నింగ్స్ లో సాధించిన (44)', '46 వ అత్యధిక వికెట్లు ఆకర్షించింది తీసుకున్న ( 25) ',' 38 వ అత్యధిక వికెట్లు ఒక ఫీల్డర్ చేత క్యాచ్ తీసుకున్న (23) ',' 12 వ ఇన్నింగ్స్ లో వచ్చ"&amp;"ిన ఎక్కువ పనికత్తెలయొద్ద (2) ']")</f>
        <v>[ 'ఇన్నింగ్స్ లో 7 వ అత్యధిక పరుగులు (బ్యాటింగ్ స్థానంలో ప్రకారం) (20 *)', '27 వ అత్యుత్తమ బౌలింగ్ ఇన్నింగ్స్ లో విశ్లేషించడం (1/2)', '41 వ ఉత్తమ ఆర్థిక వ్యవస్థ ఇన్నింగ్స్లో రేటు (0.66)', '12 వ చెత్త కెరీర్ బౌలింగ్ సరాసరి (28.07) ',' 4 వ చెత్త కెరీర్లో ఆర్థిక రేటు (6.86) ', '21 వ చెత్త కెరీర్లో సమ్మె రేటు (24.5)', '43 వ అత్యధిక పరుగులు ఇన్నింగ్స్ లో సాధించిన (44)', '46 వ అత్యధిక వికెట్లు ఆకర్షించింది తీసుకున్న ( 25) ',' 38 వ అత్యధిక వికెట్లు ఒక ఫీల్డర్ చేత క్యాచ్ తీసుకున్న (23) ',' 12 వ ఇన్నింగ్స్ లో వచ్చిన ఎక్కువ పనికత్తెలయొద్ద (2) ']</v>
      </c>
      <c r="I7842" s="3"/>
    </row>
    <row r="7843" customHeight="1" spans="1:9">
      <c r="A7843" s="2"/>
      <c r="B7843" s="2" t="str">
        <f>IFERROR(__xludf.DUMMYFUNCTION("IF(A7843&lt;&gt;"""", GOOGLETRANSLATE(A7843, ""en"", ""te""),"""")"),"")</f>
        <v/>
      </c>
      <c r="C7843" s="2"/>
      <c r="D7843" s="2" t="str">
        <f>IFERROR(__xludf.DUMMYFUNCTION("IF(C7843&lt;&gt;"""", GOOGLETRANSLATE(C7843, ""en"", ""te""),"""")"),"")</f>
        <v/>
      </c>
      <c r="E7843" s="2"/>
      <c r="F7843" s="2" t="str">
        <f>IFERROR(__xludf.DUMMYFUNCTION("IF(E7843&lt;&gt;"""", GOOGLETRANSLATE(E7843, ""en"", ""te""),"""")"),"")</f>
        <v/>
      </c>
      <c r="G7843" s="2"/>
      <c r="H7843" s="2" t="str">
        <f>IFERROR(__xludf.DUMMYFUNCTION("IF(G7843&lt;&gt;"""", GOOGLETRANSLATE(G7843, ""en"", ""te""),"""")"),"")</f>
        <v/>
      </c>
      <c r="I7843" s="3"/>
    </row>
    <row r="7844" customHeight="1" spans="1:9">
      <c r="A7844" s="2"/>
      <c r="B7844" s="2" t="str">
        <f>IFERROR(__xludf.DUMMYFUNCTION("IF(A7844&lt;&gt;"""", GOOGLETRANSLATE(A7844, ""en"", ""te""),"""")"),"")</f>
        <v/>
      </c>
      <c r="C7844" s="2"/>
      <c r="D7844" s="2" t="str">
        <f>IFERROR(__xludf.DUMMYFUNCTION("IF(C7844&lt;&gt;"""", GOOGLETRANSLATE(C7844, ""en"", ""te""),"""")"),"")</f>
        <v/>
      </c>
      <c r="E7844" s="2"/>
      <c r="F7844" s="2" t="str">
        <f>IFERROR(__xludf.DUMMYFUNCTION("IF(E7844&lt;&gt;"""", GOOGLETRANSLATE(E7844, ""en"", ""te""),"""")"),"")</f>
        <v/>
      </c>
      <c r="G7844" s="2"/>
      <c r="H7844" s="2" t="str">
        <f>IFERROR(__xludf.DUMMYFUNCTION("IF(G7844&lt;&gt;"""", GOOGLETRANSLATE(G7844, ""en"", ""te""),"""")"),"")</f>
        <v/>
      </c>
      <c r="I7844" s="3"/>
    </row>
    <row r="7845" customHeight="1" spans="1:9">
      <c r="A7845" s="2"/>
      <c r="B7845" s="2" t="str">
        <f>IFERROR(__xludf.DUMMYFUNCTION("IF(A7845&lt;&gt;"""", GOOGLETRANSLATE(A7845, ""en"", ""te""),"""")"),"")</f>
        <v/>
      </c>
      <c r="C7845" s="2"/>
      <c r="D7845" s="2" t="str">
        <f>IFERROR(__xludf.DUMMYFUNCTION("IF(C7845&lt;&gt;"""", GOOGLETRANSLATE(C7845, ""en"", ""te""),"""")"),"")</f>
        <v/>
      </c>
      <c r="E7845" s="2"/>
      <c r="F7845" s="2" t="str">
        <f>IFERROR(__xludf.DUMMYFUNCTION("IF(E7845&lt;&gt;"""", GOOGLETRANSLATE(E7845, ""en"", ""te""),"""")"),"")</f>
        <v/>
      </c>
      <c r="G7845" s="2"/>
      <c r="H7845" s="2" t="str">
        <f>IFERROR(__xludf.DUMMYFUNCTION("IF(G7845&lt;&gt;"""", GOOGLETRANSLATE(G7845, ""en"", ""te""),"""")"),"")</f>
        <v/>
      </c>
      <c r="I7845" s="3"/>
    </row>
    <row r="7846" customHeight="1" spans="1:9">
      <c r="A7846" s="2"/>
      <c r="B7846" s="2" t="str">
        <f>IFERROR(__xludf.DUMMYFUNCTION("IF(A7846&lt;&gt;"""", GOOGLETRANSLATE(A7846, ""en"", ""te""),"""")"),"")</f>
        <v/>
      </c>
      <c r="C7846" s="2"/>
      <c r="D7846" s="2" t="str">
        <f>IFERROR(__xludf.DUMMYFUNCTION("IF(C7846&lt;&gt;"""", GOOGLETRANSLATE(C7846, ""en"", ""te""),"""")"),"")</f>
        <v/>
      </c>
      <c r="E7846" s="2"/>
      <c r="F7846" s="2" t="str">
        <f>IFERROR(__xludf.DUMMYFUNCTION("IF(E7846&lt;&gt;"""", GOOGLETRANSLATE(E7846, ""en"", ""te""),"""")"),"")</f>
        <v/>
      </c>
      <c r="G7846" s="2"/>
      <c r="H7846" s="2" t="str">
        <f>IFERROR(__xludf.DUMMYFUNCTION("IF(G7846&lt;&gt;"""", GOOGLETRANSLATE(G7846, ""en"", ""te""),"""")"),"")</f>
        <v/>
      </c>
      <c r="I7846" s="3"/>
    </row>
    <row r="7847" customHeight="1" spans="1:9">
      <c r="A7847" s="2"/>
      <c r="B7847" s="2" t="str">
        <f>IFERROR(__xludf.DUMMYFUNCTION("IF(A7847&lt;&gt;"""", GOOGLETRANSLATE(A7847, ""en"", ""te""),"""")"),"")</f>
        <v/>
      </c>
      <c r="C7847" s="2"/>
      <c r="D7847" s="2" t="str">
        <f>IFERROR(__xludf.DUMMYFUNCTION("IF(C7847&lt;&gt;"""", GOOGLETRANSLATE(C7847, ""en"", ""te""),"""")"),"")</f>
        <v/>
      </c>
      <c r="E7847" s="2"/>
      <c r="F7847" s="2" t="str">
        <f>IFERROR(__xludf.DUMMYFUNCTION("IF(E7847&lt;&gt;"""", GOOGLETRANSLATE(E7847, ""en"", ""te""),"""")"),"")</f>
        <v/>
      </c>
      <c r="G7847" s="2"/>
      <c r="H7847" s="2" t="str">
        <f>IFERROR(__xludf.DUMMYFUNCTION("IF(G7847&lt;&gt;"""", GOOGLETRANSLATE(G7847, ""en"", ""te""),"""")"),"")</f>
        <v/>
      </c>
      <c r="I7847" s="3"/>
    </row>
    <row r="7848" customHeight="1" spans="1:9">
      <c r="A7848" s="2"/>
      <c r="B7848" s="2" t="str">
        <f>IFERROR(__xludf.DUMMYFUNCTION("IF(A7848&lt;&gt;"""", GOOGLETRANSLATE(A7848, ""en"", ""te""),"""")"),"")</f>
        <v/>
      </c>
      <c r="C7848" s="2"/>
      <c r="D7848" s="2" t="str">
        <f>IFERROR(__xludf.DUMMYFUNCTION("IF(C7848&lt;&gt;"""", GOOGLETRANSLATE(C7848, ""en"", ""te""),"""")"),"")</f>
        <v/>
      </c>
      <c r="E7848" s="2"/>
      <c r="F7848" s="2" t="str">
        <f>IFERROR(__xludf.DUMMYFUNCTION("IF(E7848&lt;&gt;"""", GOOGLETRANSLATE(E7848, ""en"", ""te""),"""")"),"")</f>
        <v/>
      </c>
      <c r="G7848" s="2"/>
      <c r="H7848" s="2" t="str">
        <f>IFERROR(__xludf.DUMMYFUNCTION("IF(G7848&lt;&gt;"""", GOOGLETRANSLATE(G7848, ""en"", ""te""),"""")"),"")</f>
        <v/>
      </c>
      <c r="I7848" s="3"/>
    </row>
    <row r="7849" customHeight="1" spans="1:9">
      <c r="A7849" s="2"/>
      <c r="B7849" s="2" t="str">
        <f>IFERROR(__xludf.DUMMYFUNCTION("IF(A7849&lt;&gt;"""", GOOGLETRANSLATE(A7849, ""en"", ""te""),"""")"),"")</f>
        <v/>
      </c>
      <c r="C7849" s="2"/>
      <c r="D7849" s="2" t="str">
        <f>IFERROR(__xludf.DUMMYFUNCTION("IF(C7849&lt;&gt;"""", GOOGLETRANSLATE(C7849, ""en"", ""te""),"""")"),"")</f>
        <v/>
      </c>
      <c r="E7849" s="2"/>
      <c r="F7849" s="2" t="str">
        <f>IFERROR(__xludf.DUMMYFUNCTION("IF(E7849&lt;&gt;"""", GOOGLETRANSLATE(E7849, ""en"", ""te""),"""")"),"")</f>
        <v/>
      </c>
      <c r="G7849" s="2"/>
      <c r="H7849" s="2" t="str">
        <f>IFERROR(__xludf.DUMMYFUNCTION("IF(G7849&lt;&gt;"""", GOOGLETRANSLATE(G7849, ""en"", ""te""),"""")"),"")</f>
        <v/>
      </c>
      <c r="I7849" s="3"/>
    </row>
    <row r="7850" customHeight="1" spans="1:9">
      <c r="A7850" s="2"/>
      <c r="B7850" s="2" t="str">
        <f>IFERROR(__xludf.DUMMYFUNCTION("IF(A7850&lt;&gt;"""", GOOGLETRANSLATE(A7850, ""en"", ""te""),"""")"),"")</f>
        <v/>
      </c>
      <c r="C7850" s="2"/>
      <c r="D7850" s="2" t="str">
        <f>IFERROR(__xludf.DUMMYFUNCTION("IF(C7850&lt;&gt;"""", GOOGLETRANSLATE(C7850, ""en"", ""te""),"""")"),"")</f>
        <v/>
      </c>
      <c r="E7850" s="2"/>
      <c r="F7850" s="2" t="str">
        <f>IFERROR(__xludf.DUMMYFUNCTION("IF(E7850&lt;&gt;"""", GOOGLETRANSLATE(E7850, ""en"", ""te""),"""")"),"")</f>
        <v/>
      </c>
      <c r="G7850" s="2"/>
      <c r="H7850" s="2" t="str">
        <f>IFERROR(__xludf.DUMMYFUNCTION("IF(G7850&lt;&gt;"""", GOOGLETRANSLATE(G7850, ""en"", ""te""),"""")"),"")</f>
        <v/>
      </c>
      <c r="I7850" s="3"/>
    </row>
    <row r="7851" customHeight="1" spans="1:9">
      <c r="A7851" s="2"/>
      <c r="B7851" s="2" t="str">
        <f>IFERROR(__xludf.DUMMYFUNCTION("IF(A7851&lt;&gt;"""", GOOGLETRANSLATE(A7851, ""en"", ""te""),"""")"),"")</f>
        <v/>
      </c>
      <c r="C7851" s="2"/>
      <c r="D7851" s="2" t="str">
        <f>IFERROR(__xludf.DUMMYFUNCTION("IF(C7851&lt;&gt;"""", GOOGLETRANSLATE(C7851, ""en"", ""te""),"""")"),"")</f>
        <v/>
      </c>
      <c r="E7851" s="2"/>
      <c r="F7851" s="2" t="str">
        <f>IFERROR(__xludf.DUMMYFUNCTION("IF(E7851&lt;&gt;"""", GOOGLETRANSLATE(E7851, ""en"", ""te""),"""")"),"")</f>
        <v/>
      </c>
      <c r="G7851" s="2"/>
      <c r="H7851" s="2" t="str">
        <f>IFERROR(__xludf.DUMMYFUNCTION("IF(G7851&lt;&gt;"""", GOOGLETRANSLATE(G7851, ""en"", ""te""),"""")"),"")</f>
        <v/>
      </c>
      <c r="I7851" s="3"/>
    </row>
    <row r="7852" customHeight="1" spans="1:9">
      <c r="A7852" s="2"/>
      <c r="B7852" s="2" t="str">
        <f>IFERROR(__xludf.DUMMYFUNCTION("IF(A7852&lt;&gt;"""", GOOGLETRANSLATE(A7852, ""en"", ""te""),"""")"),"")</f>
        <v/>
      </c>
      <c r="C7852" s="2"/>
      <c r="D7852" s="2" t="str">
        <f>IFERROR(__xludf.DUMMYFUNCTION("IF(C7852&lt;&gt;"""", GOOGLETRANSLATE(C7852, ""en"", ""te""),"""")"),"")</f>
        <v/>
      </c>
      <c r="E7852" s="2"/>
      <c r="F7852" s="2" t="str">
        <f>IFERROR(__xludf.DUMMYFUNCTION("IF(E7852&lt;&gt;"""", GOOGLETRANSLATE(E7852, ""en"", ""te""),"""")"),"")</f>
        <v/>
      </c>
      <c r="G7852" s="2"/>
      <c r="H7852" s="2" t="str">
        <f>IFERROR(__xludf.DUMMYFUNCTION("IF(G7852&lt;&gt;"""", GOOGLETRANSLATE(G7852, ""en"", ""te""),"""")"),"")</f>
        <v/>
      </c>
      <c r="I7852" s="3"/>
    </row>
    <row r="7853" customHeight="1" spans="1:9">
      <c r="A7853" s="2"/>
      <c r="B7853" s="2" t="str">
        <f>IFERROR(__xludf.DUMMYFUNCTION("IF(A7853&lt;&gt;"""", GOOGLETRANSLATE(A7853, ""en"", ""te""),"""")"),"")</f>
        <v/>
      </c>
      <c r="C7853" s="2"/>
      <c r="D7853" s="2" t="str">
        <f>IFERROR(__xludf.DUMMYFUNCTION("IF(C7853&lt;&gt;"""", GOOGLETRANSLATE(C7853, ""en"", ""te""),"""")"),"")</f>
        <v/>
      </c>
      <c r="E7853" s="2" t="s">
        <v>4443</v>
      </c>
      <c r="F7853" s="2" t="str">
        <f>IFERROR(__xludf.DUMMYFUNCTION("IF(E7853&lt;&gt;"""", GOOGLETRANSLATE(E7853, ""en"", ""te""),"""")"),"['21 వ చెత్త కెరీర్ (140.50) (అర్హత లేకుండా) సగటు బౌలింగ్ ',' 20 వ షార్టేస్ట్ క్రీడాకారులు (42y 27d) నివసించారు '' ప్రదర్శనలు (6y 244d) మధ్య 39 వ లాంగెస్ట్ వ్యవధిలో ']")</f>
        <v>['21 వ చెత్త కెరీర్ (140.50) (అర్హత లేకుండా) సగటు బౌలింగ్ ',' 20 వ షార్టేస్ట్ క్రీడాకారులు (42y 27d) నివసించారు '' ప్రదర్శనలు (6y 244d) మధ్య 39 వ లాంగెస్ట్ వ్యవధిలో ']</v>
      </c>
      <c r="G7853" s="2"/>
      <c r="H7853" s="2" t="str">
        <f>IFERROR(__xludf.DUMMYFUNCTION("IF(G7853&lt;&gt;"""", GOOGLETRANSLATE(G7853, ""en"", ""te""),"""")"),"")</f>
        <v/>
      </c>
      <c r="I7853" s="3"/>
    </row>
    <row r="7854" customHeight="1" spans="1:9">
      <c r="A7854" s="2"/>
      <c r="B7854" s="2" t="str">
        <f>IFERROR(__xludf.DUMMYFUNCTION("IF(A7854&lt;&gt;"""", GOOGLETRANSLATE(A7854, ""en"", ""te""),"""")"),"")</f>
        <v/>
      </c>
      <c r="C7854" s="2"/>
      <c r="D7854" s="2" t="str">
        <f>IFERROR(__xludf.DUMMYFUNCTION("IF(C7854&lt;&gt;"""", GOOGLETRANSLATE(C7854, ""en"", ""te""),"""")"),"")</f>
        <v/>
      </c>
      <c r="E7854" s="2"/>
      <c r="F7854" s="2" t="str">
        <f>IFERROR(__xludf.DUMMYFUNCTION("IF(E7854&lt;&gt;"""", GOOGLETRANSLATE(E7854, ""en"", ""te""),"""")"),"")</f>
        <v/>
      </c>
      <c r="G7854" s="2"/>
      <c r="H7854" s="2" t="str">
        <f>IFERROR(__xludf.DUMMYFUNCTION("IF(G7854&lt;&gt;"""", GOOGLETRANSLATE(G7854, ""en"", ""te""),"""")"),"")</f>
        <v/>
      </c>
      <c r="I7854" s="3"/>
    </row>
    <row r="7855" customHeight="1" spans="1:9">
      <c r="A7855" s="2"/>
      <c r="B7855" s="2" t="str">
        <f>IFERROR(__xludf.DUMMYFUNCTION("IF(A7855&lt;&gt;"""", GOOGLETRANSLATE(A7855, ""en"", ""te""),"""")"),"")</f>
        <v/>
      </c>
      <c r="C7855" s="2"/>
      <c r="D7855" s="2" t="str">
        <f>IFERROR(__xludf.DUMMYFUNCTION("IF(C7855&lt;&gt;"""", GOOGLETRANSLATE(C7855, ""en"", ""te""),"""")"),"")</f>
        <v/>
      </c>
      <c r="E7855" s="2"/>
      <c r="F7855" s="2" t="str">
        <f>IFERROR(__xludf.DUMMYFUNCTION("IF(E7855&lt;&gt;"""", GOOGLETRANSLATE(E7855, ""en"", ""te""),"""")"),"")</f>
        <v/>
      </c>
      <c r="G7855" s="2"/>
      <c r="H7855" s="2" t="str">
        <f>IFERROR(__xludf.DUMMYFUNCTION("IF(G7855&lt;&gt;"""", GOOGLETRANSLATE(G7855, ""en"", ""te""),"""")"),"")</f>
        <v/>
      </c>
      <c r="I7855" s="3"/>
    </row>
    <row r="7856" customHeight="1" spans="1:9">
      <c r="A7856" s="2"/>
      <c r="B7856" s="2" t="str">
        <f>IFERROR(__xludf.DUMMYFUNCTION("IF(A7856&lt;&gt;"""", GOOGLETRANSLATE(A7856, ""en"", ""te""),"""")"),"")</f>
        <v/>
      </c>
      <c r="C7856" s="2"/>
      <c r="D7856" s="2" t="str">
        <f>IFERROR(__xludf.DUMMYFUNCTION("IF(C7856&lt;&gt;"""", GOOGLETRANSLATE(C7856, ""en"", ""te""),"""")"),"")</f>
        <v/>
      </c>
      <c r="E7856" s="2"/>
      <c r="F7856" s="2" t="str">
        <f>IFERROR(__xludf.DUMMYFUNCTION("IF(E7856&lt;&gt;"""", GOOGLETRANSLATE(E7856, ""en"", ""te""),"""")"),"")</f>
        <v/>
      </c>
      <c r="G7856" s="2"/>
      <c r="H7856" s="2" t="str">
        <f>IFERROR(__xludf.DUMMYFUNCTION("IF(G7856&lt;&gt;"""", GOOGLETRANSLATE(G7856, ""en"", ""te""),"""")"),"")</f>
        <v/>
      </c>
      <c r="I7856" s="3"/>
    </row>
    <row r="7857" customHeight="1" spans="1:9">
      <c r="A7857" s="2"/>
      <c r="B7857" s="2" t="str">
        <f>IFERROR(__xludf.DUMMYFUNCTION("IF(A7857&lt;&gt;"""", GOOGLETRANSLATE(A7857, ""en"", ""te""),"""")"),"")</f>
        <v/>
      </c>
      <c r="C7857" s="2"/>
      <c r="D7857" s="2" t="str">
        <f>IFERROR(__xludf.DUMMYFUNCTION("IF(C7857&lt;&gt;"""", GOOGLETRANSLATE(C7857, ""en"", ""te""),"""")"),"")</f>
        <v/>
      </c>
      <c r="E7857" s="2"/>
      <c r="F7857" s="2" t="str">
        <f>IFERROR(__xludf.DUMMYFUNCTION("IF(E7857&lt;&gt;"""", GOOGLETRANSLATE(E7857, ""en"", ""te""),"""")"),"")</f>
        <v/>
      </c>
      <c r="G7857" s="2"/>
      <c r="H7857" s="2" t="str">
        <f>IFERROR(__xludf.DUMMYFUNCTION("IF(G7857&lt;&gt;"""", GOOGLETRANSLATE(G7857, ""en"", ""te""),"""")"),"")</f>
        <v/>
      </c>
      <c r="I7857" s="3"/>
    </row>
    <row r="7858" customHeight="1" spans="1:9">
      <c r="A7858" s="2"/>
      <c r="B7858" s="2" t="str">
        <f>IFERROR(__xludf.DUMMYFUNCTION("IF(A7858&lt;&gt;"""", GOOGLETRANSLATE(A7858, ""en"", ""te""),"""")"),"")</f>
        <v/>
      </c>
      <c r="C7858" s="2"/>
      <c r="D7858" s="2" t="str">
        <f>IFERROR(__xludf.DUMMYFUNCTION("IF(C7858&lt;&gt;"""", GOOGLETRANSLATE(C7858, ""en"", ""te""),"""")"),"")</f>
        <v/>
      </c>
      <c r="E7858" s="2"/>
      <c r="F7858" s="2" t="str">
        <f>IFERROR(__xludf.DUMMYFUNCTION("IF(E7858&lt;&gt;"""", GOOGLETRANSLATE(E7858, ""en"", ""te""),"""")"),"")</f>
        <v/>
      </c>
      <c r="G7858" s="2"/>
      <c r="H7858" s="2" t="str">
        <f>IFERROR(__xludf.DUMMYFUNCTION("IF(G7858&lt;&gt;"""", GOOGLETRANSLATE(G7858, ""en"", ""te""),"""")"),"")</f>
        <v/>
      </c>
      <c r="I7858" s="3"/>
    </row>
    <row r="7859" customHeight="1" spans="1:9">
      <c r="A7859" s="2"/>
      <c r="B7859" s="2" t="str">
        <f>IFERROR(__xludf.DUMMYFUNCTION("IF(A7859&lt;&gt;"""", GOOGLETRANSLATE(A7859, ""en"", ""te""),"""")"),"")</f>
        <v/>
      </c>
      <c r="C7859" s="2"/>
      <c r="D7859" s="2" t="str">
        <f>IFERROR(__xludf.DUMMYFUNCTION("IF(C7859&lt;&gt;"""", GOOGLETRANSLATE(C7859, ""en"", ""te""),"""")"),"")</f>
        <v/>
      </c>
      <c r="E7859" s="2"/>
      <c r="F7859" s="2" t="str">
        <f>IFERROR(__xludf.DUMMYFUNCTION("IF(E7859&lt;&gt;"""", GOOGLETRANSLATE(E7859, ""en"", ""te""),"""")"),"")</f>
        <v/>
      </c>
      <c r="G7859" s="2"/>
      <c r="H7859" s="2" t="str">
        <f>IFERROR(__xludf.DUMMYFUNCTION("IF(G7859&lt;&gt;"""", GOOGLETRANSLATE(G7859, ""en"", ""te""),"""")"),"")</f>
        <v/>
      </c>
      <c r="I7859" s="3"/>
    </row>
    <row r="7860" customHeight="1" spans="1:9">
      <c r="A7860" s="2"/>
      <c r="B7860" s="2" t="str">
        <f>IFERROR(__xludf.DUMMYFUNCTION("IF(A7860&lt;&gt;"""", GOOGLETRANSLATE(A7860, ""en"", ""te""),"""")"),"")</f>
        <v/>
      </c>
      <c r="C7860" s="2"/>
      <c r="D7860" s="2" t="str">
        <f>IFERROR(__xludf.DUMMYFUNCTION("IF(C7860&lt;&gt;"""", GOOGLETRANSLATE(C7860, ""en"", ""te""),"""")"),"")</f>
        <v/>
      </c>
      <c r="E7860" s="2"/>
      <c r="F7860" s="2" t="str">
        <f>IFERROR(__xludf.DUMMYFUNCTION("IF(E7860&lt;&gt;"""", GOOGLETRANSLATE(E7860, ""en"", ""te""),"""")"),"")</f>
        <v/>
      </c>
      <c r="G7860" s="2"/>
      <c r="H7860" s="2" t="str">
        <f>IFERROR(__xludf.DUMMYFUNCTION("IF(G7860&lt;&gt;"""", GOOGLETRANSLATE(G7860, ""en"", ""te""),"""")"),"")</f>
        <v/>
      </c>
      <c r="I7860" s="3"/>
    </row>
    <row r="7861" customHeight="1" spans="1:9">
      <c r="A7861" s="2"/>
      <c r="B7861" s="2" t="str">
        <f>IFERROR(__xludf.DUMMYFUNCTION("IF(A7861&lt;&gt;"""", GOOGLETRANSLATE(A7861, ""en"", ""te""),"""")"),"")</f>
        <v/>
      </c>
      <c r="C7861" s="2"/>
      <c r="D7861" s="2" t="str">
        <f>IFERROR(__xludf.DUMMYFUNCTION("IF(C7861&lt;&gt;"""", GOOGLETRANSLATE(C7861, ""en"", ""te""),"""")"),"")</f>
        <v/>
      </c>
      <c r="E7861" s="2"/>
      <c r="F7861" s="2" t="str">
        <f>IFERROR(__xludf.DUMMYFUNCTION("IF(E7861&lt;&gt;"""", GOOGLETRANSLATE(E7861, ""en"", ""te""),"""")"),"")</f>
        <v/>
      </c>
      <c r="G7861" s="2" t="s">
        <v>4444</v>
      </c>
      <c r="H7861" s="2" t="str">
        <f>IFERROR(__xludf.DUMMYFUNCTION("IF(G7861&lt;&gt;"""", GOOGLETRANSLATE(G7861, ""en"", ""te""),"""")"),"[ 'మూడో వికెట్కు 47 వ అత్యధిక భాగస్వామ్యం (94)']")</f>
        <v>[ 'మూడో వికెట్కు 47 వ అత్యధిక భాగస్వామ్యం (94)']</v>
      </c>
      <c r="I7861" s="3"/>
    </row>
    <row r="7862" customHeight="1" spans="1:9">
      <c r="A7862" s="2"/>
      <c r="B7862" s="2" t="str">
        <f>IFERROR(__xludf.DUMMYFUNCTION("IF(A7862&lt;&gt;"""", GOOGLETRANSLATE(A7862, ""en"", ""te""),"""")"),"")</f>
        <v/>
      </c>
      <c r="C7862" s="2"/>
      <c r="D7862" s="2" t="str">
        <f>IFERROR(__xludf.DUMMYFUNCTION("IF(C7862&lt;&gt;"""", GOOGLETRANSLATE(C7862, ""en"", ""te""),"""")"),"")</f>
        <v/>
      </c>
      <c r="E7862" s="2"/>
      <c r="F7862" s="2" t="str">
        <f>IFERROR(__xludf.DUMMYFUNCTION("IF(E7862&lt;&gt;"""", GOOGLETRANSLATE(E7862, ""en"", ""te""),"""")"),"")</f>
        <v/>
      </c>
      <c r="G7862" s="2"/>
      <c r="H7862" s="2" t="str">
        <f>IFERROR(__xludf.DUMMYFUNCTION("IF(G7862&lt;&gt;"""", GOOGLETRANSLATE(G7862, ""en"", ""te""),"""")"),"")</f>
        <v/>
      </c>
      <c r="I7862" s="3"/>
    </row>
    <row r="7863" customHeight="1" spans="1:9">
      <c r="A7863" s="2"/>
      <c r="B7863" s="2" t="str">
        <f>IFERROR(__xludf.DUMMYFUNCTION("IF(A7863&lt;&gt;"""", GOOGLETRANSLATE(A7863, ""en"", ""te""),"""")"),"")</f>
        <v/>
      </c>
      <c r="C7863" s="2"/>
      <c r="D7863" s="2" t="str">
        <f>IFERROR(__xludf.DUMMYFUNCTION("IF(C7863&lt;&gt;"""", GOOGLETRANSLATE(C7863, ""en"", ""te""),"""")"),"")</f>
        <v/>
      </c>
      <c r="E7863" s="2"/>
      <c r="F7863" s="2" t="str">
        <f>IFERROR(__xludf.DUMMYFUNCTION("IF(E7863&lt;&gt;"""", GOOGLETRANSLATE(E7863, ""en"", ""te""),"""")"),"")</f>
        <v/>
      </c>
      <c r="G7863" s="2"/>
      <c r="H7863" s="2" t="str">
        <f>IFERROR(__xludf.DUMMYFUNCTION("IF(G7863&lt;&gt;"""", GOOGLETRANSLATE(G7863, ""en"", ""te""),"""")"),"")</f>
        <v/>
      </c>
      <c r="I7863" s="3"/>
    </row>
    <row r="7864" customHeight="1" spans="1:9">
      <c r="A7864" s="2" t="s">
        <v>1358</v>
      </c>
      <c r="B7864" s="2" t="str">
        <f>IFERROR(__xludf.DUMMYFUNCTION("IF(A7864&lt;&gt;"""", GOOGLETRANSLATE(A7864, ""en"", ""te""),"""")"),"[ '3 వ వరుస నాలుగు వికెట్లు-ఇన్-ఒక-ఇన్నింగ్స్ (2)']")</f>
        <v>[ '3 వ వరుస నాలుగు వికెట్లు-ఇన్-ఒక-ఇన్నింగ్స్ (2)']</v>
      </c>
      <c r="C7864" s="2"/>
      <c r="D7864" s="2" t="str">
        <f>IFERROR(__xludf.DUMMYFUNCTION("IF(C7864&lt;&gt;"""", GOOGLETRANSLATE(C7864, ""en"", ""te""),"""")"),"")</f>
        <v/>
      </c>
      <c r="E7864" s="2" t="s">
        <v>1360</v>
      </c>
      <c r="F7864" s="2" t="str">
        <f>IFERROR(__xludf.DUMMYFUNCTION("IF(E7864&lt;&gt;"""", GOOGLETRANSLATE(E7864, ""en"", ""te""),"""")"),"[ '11 వ ఒక ఇన్నింగ్స్ లోని బెస్ట్ ఫిగర్స్ ఉన్నప్పుడు పరాజయం వైపు (4)', '3 వ వరుస నాలుగు వికెట్లు-ఇన్-ఒక-ఇన్నింగ్స్ (2)']")</f>
        <v>[ '11 వ ఒక ఇన్నింగ్స్ లోని బెస్ట్ ఫిగర్స్ ఉన్నప్పుడు పరాజయం వైపు (4)', '3 వ వరుస నాలుగు వికెట్లు-ఇన్-ఒక-ఇన్నింగ్స్ (2)']</v>
      </c>
      <c r="G7864" s="2"/>
      <c r="H7864" s="2" t="str">
        <f>IFERROR(__xludf.DUMMYFUNCTION("IF(G7864&lt;&gt;"""", GOOGLETRANSLATE(G7864, ""en"", ""te""),"""")"),"")</f>
        <v/>
      </c>
      <c r="I7864" s="3"/>
    </row>
    <row r="7865" customHeight="1" spans="1:9">
      <c r="A7865" s="2"/>
      <c r="B7865" s="2" t="str">
        <f>IFERROR(__xludf.DUMMYFUNCTION("IF(A7865&lt;&gt;"""", GOOGLETRANSLATE(A7865, ""en"", ""te""),"""")"),"")</f>
        <v/>
      </c>
      <c r="C7865" s="2"/>
      <c r="D7865" s="2" t="str">
        <f>IFERROR(__xludf.DUMMYFUNCTION("IF(C7865&lt;&gt;"""", GOOGLETRANSLATE(C7865, ""en"", ""te""),"""")"),"")</f>
        <v/>
      </c>
      <c r="E7865" s="2"/>
      <c r="F7865" s="2" t="str">
        <f>IFERROR(__xludf.DUMMYFUNCTION("IF(E7865&lt;&gt;"""", GOOGLETRANSLATE(E7865, ""en"", ""te""),"""")"),"")</f>
        <v/>
      </c>
      <c r="G7865" s="2"/>
      <c r="H7865" s="2" t="str">
        <f>IFERROR(__xludf.DUMMYFUNCTION("IF(G7865&lt;&gt;"""", GOOGLETRANSLATE(G7865, ""en"", ""te""),"""")"),"")</f>
        <v/>
      </c>
      <c r="I7865" s="3"/>
    </row>
    <row r="7866" customHeight="1" spans="1:9">
      <c r="A7866" s="2"/>
      <c r="B7866" s="2" t="str">
        <f>IFERROR(__xludf.DUMMYFUNCTION("IF(A7866&lt;&gt;"""", GOOGLETRANSLATE(A7866, ""en"", ""te""),"""")"),"")</f>
        <v/>
      </c>
      <c r="C7866" s="2"/>
      <c r="D7866" s="2" t="str">
        <f>IFERROR(__xludf.DUMMYFUNCTION("IF(C7866&lt;&gt;"""", GOOGLETRANSLATE(C7866, ""en"", ""te""),"""")"),"")</f>
        <v/>
      </c>
      <c r="E7866" s="2"/>
      <c r="F7866" s="2" t="str">
        <f>IFERROR(__xludf.DUMMYFUNCTION("IF(E7866&lt;&gt;"""", GOOGLETRANSLATE(E7866, ""en"", ""te""),"""")"),"")</f>
        <v/>
      </c>
      <c r="G7866" s="2"/>
      <c r="H7866" s="2" t="str">
        <f>IFERROR(__xludf.DUMMYFUNCTION("IF(G7866&lt;&gt;"""", GOOGLETRANSLATE(G7866, ""en"", ""te""),"""")"),"")</f>
        <v/>
      </c>
      <c r="I7866" s="3"/>
    </row>
    <row r="7867" customHeight="1" spans="1:9">
      <c r="A7867" s="2"/>
      <c r="B7867" s="2" t="str">
        <f>IFERROR(__xludf.DUMMYFUNCTION("IF(A7867&lt;&gt;"""", GOOGLETRANSLATE(A7867, ""en"", ""te""),"""")"),"")</f>
        <v/>
      </c>
      <c r="C7867" s="2"/>
      <c r="D7867" s="2" t="str">
        <f>IFERROR(__xludf.DUMMYFUNCTION("IF(C7867&lt;&gt;"""", GOOGLETRANSLATE(C7867, ""en"", ""te""),"""")"),"")</f>
        <v/>
      </c>
      <c r="E7867" s="2" t="s">
        <v>4445</v>
      </c>
      <c r="F7867" s="2" t="str">
        <f>IFERROR(__xludf.DUMMYFUNCTION("IF(E7867&lt;&gt;"""", GOOGLETRANSLATE(E7867, ""en"", ""te""),"""")"),"[ '11 వ ఒక సిరీస్లో అత్యధిక వికెట్లు (24)', 'ఒకే మైదానంలో 24 వ అత్యధిక వికెట్లు (13)', '11 వ ఒక ఇన్నింగ్స్ లోని బెస్ట్ ఫిగర్స్ పరాజయం వైపు (4) ఉన్నప్పుడు', '44th చెత్త కెరీర్ సగటు బౌలింగ్ ( 31.26) ', '21 వ చెత్త కెరీర్లో ఆర్థిక రేటు (4.38)', '39 వ కెరీర"&amp;"్ లో సాధించిన అత్యధిక పరుగులు (1970)', '12 వ బౌలర్ / బ్యాట్స్ కలయికలు (6)', '29 వ అత్యధిక వికెట్లు తీసుకున్న ఎల్బిడబ్ల్యు (14)', ' 38 వ అత్యంత కెప్టెన్గా పోటీలు (19) ',' 32 వ వరుస మ్యాచ్లు ఒక జట్టు కెప్టెన్గా (19) ',' కెప్టెన్సీ ప్రవేశం (30y 265d) పేజ్ 26"&amp;" ఓల్డెస్ట్ కెప్టెన్లు ']")</f>
        <v>[ '11 వ ఒక సిరీస్లో అత్యధిక వికెట్లు (24)', 'ఒకే మైదానంలో 24 వ అత్యధిక వికెట్లు (13)', '11 వ ఒక ఇన్నింగ్స్ లోని బెస్ట్ ఫిగర్స్ పరాజయం వైపు (4) ఉన్నప్పుడు', '44th చెత్త కెరీర్ సగటు బౌలింగ్ ( 31.26) ', '21 వ చెత్త కెరీర్లో ఆర్థిక రేటు (4.38)', '39 వ కెరీర్ లో సాధించిన అత్యధిక పరుగులు (1970)', '12 వ బౌలర్ / బ్యాట్స్ కలయికలు (6)', '29 వ అత్యధిక వికెట్లు తీసుకున్న ఎల్బిడబ్ల్యు (14)', ' 38 వ అత్యంత కెప్టెన్గా పోటీలు (19) ',' 32 వ వరుస మ్యాచ్లు ఒక జట్టు కెప్టెన్గా (19) ',' కెప్టెన్సీ ప్రవేశం (30y 265d) పేజ్ 26 ఓల్డెస్ట్ కెప్టెన్లు ']</v>
      </c>
      <c r="G7867" s="2" t="s">
        <v>4446</v>
      </c>
      <c r="H7867" s="2" t="str">
        <f>IFERROR(__xludf.DUMMYFUNCTION("IF(G7867&lt;&gt;"""", GOOGLETRANSLATE(G7867, ""en"", ""te""),"""")"),"[ '34 వ కెరీర్ బాతులు (5)', '46 వ ఉత్తమ కెరీర్ ఆర్థిక రేటు (5.76)', '48 వ ఉత్తమ కెరీర్ సమ్మె రేటు (21.2)', '29 వ అత్యధిక పరుగులు' 49 వ సగటు (20.43) బౌలింగ్ ఉత్తమ కెరీర్లో 'సాధించిన ఒక ఇన్నింగ్స్ లో (47) ',' 20 వ అత్యధిక వికెట్లు ఆకర్షించింది తీసుకున్న మరి"&amp;"యు బౌల్డ్ (3) ',' 36 వ అత్యధిక వికెట్లు తీసుకున్న ఎల్బిడబ్ల్యు (6) ',' 22 వ అత్యధిక వికెట్లు స్టంప్ కెప్టెన్సీ తొలి (8) ',' 29th ఓల్డెస్ట్ కెప్టెన్లు తీసుకున్న (31y 243d) ']")</f>
        <v>[ '34 వ కెరీర్ బాతులు (5)', '46 వ ఉత్తమ కెరీర్ ఆర్థిక రేటు (5.76)', '48 వ ఉత్తమ కెరీర్ సమ్మె రేటు (21.2)', '29 వ అత్యధిక పరుగులు' 49 వ సగటు (20.43) బౌలింగ్ ఉత్తమ కెరీర్లో 'సాధించిన ఒక ఇన్నింగ్స్ లో (47) ',' 20 వ అత్యధిక వికెట్లు ఆకర్షించింది తీసుకున్న మరియు బౌల్డ్ (3) ',' 36 వ అత్యధిక వికెట్లు తీసుకున్న ఎల్బిడబ్ల్యు (6) ',' 22 వ అత్యధిక వికెట్లు స్టంప్ కెప్టెన్సీ తొలి (8) ',' 29th ఓల్డెస్ట్ కెప్టెన్లు తీసుకున్న (31y 243d) ']</v>
      </c>
      <c r="I7867" s="3"/>
    </row>
    <row r="7868" customHeight="1" spans="1:9">
      <c r="A7868" s="2"/>
      <c r="B7868" s="2" t="str">
        <f>IFERROR(__xludf.DUMMYFUNCTION("IF(A7868&lt;&gt;"""", GOOGLETRANSLATE(A7868, ""en"", ""te""),"""")"),"")</f>
        <v/>
      </c>
      <c r="C7868" s="2"/>
      <c r="D7868" s="2" t="str">
        <f>IFERROR(__xludf.DUMMYFUNCTION("IF(C7868&lt;&gt;"""", GOOGLETRANSLATE(C7868, ""en"", ""te""),"""")"),"")</f>
        <v/>
      </c>
      <c r="E7868" s="2"/>
      <c r="F7868" s="2" t="str">
        <f>IFERROR(__xludf.DUMMYFUNCTION("IF(E7868&lt;&gt;"""", GOOGLETRANSLATE(E7868, ""en"", ""te""),"""")"),"")</f>
        <v/>
      </c>
      <c r="G7868" s="2"/>
      <c r="H7868" s="2" t="str">
        <f>IFERROR(__xludf.DUMMYFUNCTION("IF(G7868&lt;&gt;"""", GOOGLETRANSLATE(G7868, ""en"", ""te""),"""")"),"")</f>
        <v/>
      </c>
      <c r="I7868" s="3"/>
    </row>
    <row r="7869" customHeight="1" spans="1:9">
      <c r="A7869" s="2"/>
      <c r="B7869" s="2" t="str">
        <f>IFERROR(__xludf.DUMMYFUNCTION("IF(A7869&lt;&gt;"""", GOOGLETRANSLATE(A7869, ""en"", ""te""),"""")"),"")</f>
        <v/>
      </c>
      <c r="C7869" s="2"/>
      <c r="D7869" s="2" t="str">
        <f>IFERROR(__xludf.DUMMYFUNCTION("IF(C7869&lt;&gt;"""", GOOGLETRANSLATE(C7869, ""en"", ""te""),"""")"),"")</f>
        <v/>
      </c>
      <c r="E7869" s="2"/>
      <c r="F7869" s="2" t="str">
        <f>IFERROR(__xludf.DUMMYFUNCTION("IF(E7869&lt;&gt;"""", GOOGLETRANSLATE(E7869, ""en"", ""te""),"""")"),"")</f>
        <v/>
      </c>
      <c r="G7869" s="2"/>
      <c r="H7869" s="2" t="str">
        <f>IFERROR(__xludf.DUMMYFUNCTION("IF(G7869&lt;&gt;"""", GOOGLETRANSLATE(G7869, ""en"", ""te""),"""")"),"")</f>
        <v/>
      </c>
      <c r="I7869" s="3"/>
    </row>
    <row r="7870" customHeight="1" spans="1:9">
      <c r="A7870" s="2"/>
      <c r="B7870" s="2" t="str">
        <f>IFERROR(__xludf.DUMMYFUNCTION("IF(A7870&lt;&gt;"""", GOOGLETRANSLATE(A7870, ""en"", ""te""),"""")"),"")</f>
        <v/>
      </c>
      <c r="C7870" s="2"/>
      <c r="D7870" s="2" t="str">
        <f>IFERROR(__xludf.DUMMYFUNCTION("IF(C7870&lt;&gt;"""", GOOGLETRANSLATE(C7870, ""en"", ""te""),"""")"),"")</f>
        <v/>
      </c>
      <c r="E7870" s="2"/>
      <c r="F7870" s="2" t="str">
        <f>IFERROR(__xludf.DUMMYFUNCTION("IF(E7870&lt;&gt;"""", GOOGLETRANSLATE(E7870, ""en"", ""te""),"""")"),"")</f>
        <v/>
      </c>
      <c r="G7870" s="2"/>
      <c r="H7870" s="2" t="str">
        <f>IFERROR(__xludf.DUMMYFUNCTION("IF(G7870&lt;&gt;"""", GOOGLETRANSLATE(G7870, ""en"", ""te""),"""")"),"")</f>
        <v/>
      </c>
      <c r="I7870" s="3"/>
    </row>
    <row r="7871" customHeight="1" spans="1:9">
      <c r="A7871" s="2"/>
      <c r="B7871" s="2" t="str">
        <f>IFERROR(__xludf.DUMMYFUNCTION("IF(A7871&lt;&gt;"""", GOOGLETRANSLATE(A7871, ""en"", ""te""),"""")"),"")</f>
        <v/>
      </c>
      <c r="C7871" s="2"/>
      <c r="D7871" s="2" t="str">
        <f>IFERROR(__xludf.DUMMYFUNCTION("IF(C7871&lt;&gt;"""", GOOGLETRANSLATE(C7871, ""en"", ""te""),"""")"),"")</f>
        <v/>
      </c>
      <c r="E7871" s="2"/>
      <c r="F7871" s="2" t="str">
        <f>IFERROR(__xludf.DUMMYFUNCTION("IF(E7871&lt;&gt;"""", GOOGLETRANSLATE(E7871, ""en"", ""te""),"""")"),"")</f>
        <v/>
      </c>
      <c r="G7871" s="2"/>
      <c r="H7871" s="2" t="str">
        <f>IFERROR(__xludf.DUMMYFUNCTION("IF(G7871&lt;&gt;"""", GOOGLETRANSLATE(G7871, ""en"", ""te""),"""")"),"")</f>
        <v/>
      </c>
      <c r="I7871" s="3"/>
    </row>
    <row r="7872" customHeight="1" spans="1:9">
      <c r="A7872" s="2"/>
      <c r="B7872" s="2" t="str">
        <f>IFERROR(__xludf.DUMMYFUNCTION("IF(A7872&lt;&gt;"""", GOOGLETRANSLATE(A7872, ""en"", ""te""),"""")"),"")</f>
        <v/>
      </c>
      <c r="C7872" s="2"/>
      <c r="D7872" s="2" t="str">
        <f>IFERROR(__xludf.DUMMYFUNCTION("IF(C7872&lt;&gt;"""", GOOGLETRANSLATE(C7872, ""en"", ""te""),"""")"),"")</f>
        <v/>
      </c>
      <c r="E7872" s="2"/>
      <c r="F7872" s="2" t="str">
        <f>IFERROR(__xludf.DUMMYFUNCTION("IF(E7872&lt;&gt;"""", GOOGLETRANSLATE(E7872, ""en"", ""te""),"""")"),"")</f>
        <v/>
      </c>
      <c r="G7872" s="2"/>
      <c r="H7872" s="2" t="str">
        <f>IFERROR(__xludf.DUMMYFUNCTION("IF(G7872&lt;&gt;"""", GOOGLETRANSLATE(G7872, ""en"", ""te""),"""")"),"")</f>
        <v/>
      </c>
      <c r="I7872" s="3"/>
    </row>
    <row r="7873" customHeight="1" spans="1:9">
      <c r="A7873" s="2"/>
      <c r="B7873" s="2" t="str">
        <f>IFERROR(__xludf.DUMMYFUNCTION("IF(A7873&lt;&gt;"""", GOOGLETRANSLATE(A7873, ""en"", ""te""),"""")"),"")</f>
        <v/>
      </c>
      <c r="C7873" s="2"/>
      <c r="D7873" s="2" t="str">
        <f>IFERROR(__xludf.DUMMYFUNCTION("IF(C7873&lt;&gt;"""", GOOGLETRANSLATE(C7873, ""en"", ""te""),"""")"),"")</f>
        <v/>
      </c>
      <c r="E7873" s="2"/>
      <c r="F7873" s="2" t="str">
        <f>IFERROR(__xludf.DUMMYFUNCTION("IF(E7873&lt;&gt;"""", GOOGLETRANSLATE(E7873, ""en"", ""te""),"""")"),"")</f>
        <v/>
      </c>
      <c r="G7873" s="2"/>
      <c r="H7873" s="2" t="str">
        <f>IFERROR(__xludf.DUMMYFUNCTION("IF(G7873&lt;&gt;"""", GOOGLETRANSLATE(G7873, ""en"", ""te""),"""")"),"")</f>
        <v/>
      </c>
      <c r="I7873" s="3"/>
    </row>
    <row r="7874" customHeight="1" spans="1:9">
      <c r="A7874" s="2"/>
      <c r="B7874" s="2" t="str">
        <f>IFERROR(__xludf.DUMMYFUNCTION("IF(A7874&lt;&gt;"""", GOOGLETRANSLATE(A7874, ""en"", ""te""),"""")"),"")</f>
        <v/>
      </c>
      <c r="C7874" s="2"/>
      <c r="D7874" s="2" t="str">
        <f>IFERROR(__xludf.DUMMYFUNCTION("IF(C7874&lt;&gt;"""", GOOGLETRANSLATE(C7874, ""en"", ""te""),"""")"),"")</f>
        <v/>
      </c>
      <c r="E7874" s="2"/>
      <c r="F7874" s="2" t="str">
        <f>IFERROR(__xludf.DUMMYFUNCTION("IF(E7874&lt;&gt;"""", GOOGLETRANSLATE(E7874, ""en"", ""te""),"""")"),"")</f>
        <v/>
      </c>
      <c r="G7874" s="2"/>
      <c r="H7874" s="2" t="str">
        <f>IFERROR(__xludf.DUMMYFUNCTION("IF(G7874&lt;&gt;"""", GOOGLETRANSLATE(G7874, ""en"", ""te""),"""")"),"")</f>
        <v/>
      </c>
      <c r="I7874" s="3"/>
    </row>
    <row r="7875" customHeight="1" spans="1:9">
      <c r="A7875" s="2"/>
      <c r="B7875" s="2" t="str">
        <f>IFERROR(__xludf.DUMMYFUNCTION("IF(A7875&lt;&gt;"""", GOOGLETRANSLATE(A7875, ""en"", ""te""),"""")"),"")</f>
        <v/>
      </c>
      <c r="C7875" s="2"/>
      <c r="D7875" s="2" t="str">
        <f>IFERROR(__xludf.DUMMYFUNCTION("IF(C7875&lt;&gt;"""", GOOGLETRANSLATE(C7875, ""en"", ""te""),"""")"),"")</f>
        <v/>
      </c>
      <c r="E7875" s="2"/>
      <c r="F7875" s="2" t="str">
        <f>IFERROR(__xludf.DUMMYFUNCTION("IF(E7875&lt;&gt;"""", GOOGLETRANSLATE(E7875, ""en"", ""te""),"""")"),"")</f>
        <v/>
      </c>
      <c r="G7875" s="2"/>
      <c r="H7875" s="2" t="str">
        <f>IFERROR(__xludf.DUMMYFUNCTION("IF(G7875&lt;&gt;"""", GOOGLETRANSLATE(G7875, ""en"", ""te""),"""")"),"")</f>
        <v/>
      </c>
      <c r="I7875" s="3"/>
    </row>
    <row r="7876" customHeight="1" spans="1:9">
      <c r="A7876" s="2"/>
      <c r="B7876" s="2" t="str">
        <f>IFERROR(__xludf.DUMMYFUNCTION("IF(A7876&lt;&gt;"""", GOOGLETRANSLATE(A7876, ""en"", ""te""),"""")"),"")</f>
        <v/>
      </c>
      <c r="C7876" s="2"/>
      <c r="D7876" s="2" t="str">
        <f>IFERROR(__xludf.DUMMYFUNCTION("IF(C7876&lt;&gt;"""", GOOGLETRANSLATE(C7876, ""en"", ""te""),"""")"),"")</f>
        <v/>
      </c>
      <c r="E7876" s="2"/>
      <c r="F7876" s="2" t="str">
        <f>IFERROR(__xludf.DUMMYFUNCTION("IF(E7876&lt;&gt;"""", GOOGLETRANSLATE(E7876, ""en"", ""te""),"""")"),"")</f>
        <v/>
      </c>
      <c r="G7876" s="2"/>
      <c r="H7876" s="2" t="str">
        <f>IFERROR(__xludf.DUMMYFUNCTION("IF(G7876&lt;&gt;"""", GOOGLETRANSLATE(G7876, ""en"", ""te""),"""")"),"")</f>
        <v/>
      </c>
      <c r="I7876" s="3"/>
    </row>
    <row r="7877" customHeight="1" spans="1:9">
      <c r="A7877" s="2"/>
      <c r="B7877" s="2" t="str">
        <f>IFERROR(__xludf.DUMMYFUNCTION("IF(A7877&lt;&gt;"""", GOOGLETRANSLATE(A7877, ""en"", ""te""),"""")"),"")</f>
        <v/>
      </c>
      <c r="C7877" s="2"/>
      <c r="D7877" s="2" t="str">
        <f>IFERROR(__xludf.DUMMYFUNCTION("IF(C7877&lt;&gt;"""", GOOGLETRANSLATE(C7877, ""en"", ""te""),"""")"),"")</f>
        <v/>
      </c>
      <c r="E7877" s="2"/>
      <c r="F7877" s="2" t="str">
        <f>IFERROR(__xludf.DUMMYFUNCTION("IF(E7877&lt;&gt;"""", GOOGLETRANSLATE(E7877, ""en"", ""te""),"""")"),"")</f>
        <v/>
      </c>
      <c r="G7877" s="2"/>
      <c r="H7877" s="2" t="str">
        <f>IFERROR(__xludf.DUMMYFUNCTION("IF(G7877&lt;&gt;"""", GOOGLETRANSLATE(G7877, ""en"", ""te""),"""")"),"")</f>
        <v/>
      </c>
      <c r="I7877" s="3"/>
    </row>
    <row r="7878" customHeight="1" spans="1:9">
      <c r="A7878" s="2"/>
      <c r="B7878" s="2" t="str">
        <f>IFERROR(__xludf.DUMMYFUNCTION("IF(A7878&lt;&gt;"""", GOOGLETRANSLATE(A7878, ""en"", ""te""),"""")"),"")</f>
        <v/>
      </c>
      <c r="C7878" s="2"/>
      <c r="D7878" s="2" t="str">
        <f>IFERROR(__xludf.DUMMYFUNCTION("IF(C7878&lt;&gt;"""", GOOGLETRANSLATE(C7878, ""en"", ""te""),"""")"),"")</f>
        <v/>
      </c>
      <c r="E7878" s="2"/>
      <c r="F7878" s="2" t="str">
        <f>IFERROR(__xludf.DUMMYFUNCTION("IF(E7878&lt;&gt;"""", GOOGLETRANSLATE(E7878, ""en"", ""te""),"""")"),"")</f>
        <v/>
      </c>
      <c r="G7878" s="2"/>
      <c r="H7878" s="2" t="str">
        <f>IFERROR(__xludf.DUMMYFUNCTION("IF(G7878&lt;&gt;"""", GOOGLETRANSLATE(G7878, ""en"", ""te""),"""")"),"")</f>
        <v/>
      </c>
      <c r="I7878" s="3"/>
    </row>
    <row r="7879" customHeight="1" spans="1:9">
      <c r="A7879" s="2"/>
      <c r="B7879" s="2" t="str">
        <f>IFERROR(__xludf.DUMMYFUNCTION("IF(A7879&lt;&gt;"""", GOOGLETRANSLATE(A7879, ""en"", ""te""),"""")"),"")</f>
        <v/>
      </c>
      <c r="C7879" s="2"/>
      <c r="D7879" s="2" t="str">
        <f>IFERROR(__xludf.DUMMYFUNCTION("IF(C7879&lt;&gt;"""", GOOGLETRANSLATE(C7879, ""en"", ""te""),"""")"),"")</f>
        <v/>
      </c>
      <c r="E7879" s="2"/>
      <c r="F7879" s="2" t="str">
        <f>IFERROR(__xludf.DUMMYFUNCTION("IF(E7879&lt;&gt;"""", GOOGLETRANSLATE(E7879, ""en"", ""te""),"""")"),"")</f>
        <v/>
      </c>
      <c r="G7879" s="2"/>
      <c r="H7879" s="2" t="str">
        <f>IFERROR(__xludf.DUMMYFUNCTION("IF(G7879&lt;&gt;"""", GOOGLETRANSLATE(G7879, ""en"", ""te""),"""")"),"")</f>
        <v/>
      </c>
      <c r="I7879" s="3"/>
    </row>
    <row r="7880" customHeight="1" spans="1:9">
      <c r="A7880" s="2"/>
      <c r="B7880" s="2" t="str">
        <f>IFERROR(__xludf.DUMMYFUNCTION("IF(A7880&lt;&gt;"""", GOOGLETRANSLATE(A7880, ""en"", ""te""),"""")"),"")</f>
        <v/>
      </c>
      <c r="C7880" s="2"/>
      <c r="D7880" s="2" t="str">
        <f>IFERROR(__xludf.DUMMYFUNCTION("IF(C7880&lt;&gt;"""", GOOGLETRANSLATE(C7880, ""en"", ""te""),"""")"),"")</f>
        <v/>
      </c>
      <c r="E7880" s="2"/>
      <c r="F7880" s="2" t="str">
        <f>IFERROR(__xludf.DUMMYFUNCTION("IF(E7880&lt;&gt;"""", GOOGLETRANSLATE(E7880, ""en"", ""te""),"""")"),"")</f>
        <v/>
      </c>
      <c r="G7880" s="2"/>
      <c r="H7880" s="2" t="str">
        <f>IFERROR(__xludf.DUMMYFUNCTION("IF(G7880&lt;&gt;"""", GOOGLETRANSLATE(G7880, ""en"", ""te""),"""")"),"")</f>
        <v/>
      </c>
      <c r="I7880" s="3"/>
    </row>
    <row r="7881" customHeight="1" spans="1:9">
      <c r="A7881" s="2"/>
      <c r="B7881" s="2" t="str">
        <f>IFERROR(__xludf.DUMMYFUNCTION("IF(A7881&lt;&gt;"""", GOOGLETRANSLATE(A7881, ""en"", ""te""),"""")"),"")</f>
        <v/>
      </c>
      <c r="C7881" s="2"/>
      <c r="D7881" s="2" t="str">
        <f>IFERROR(__xludf.DUMMYFUNCTION("IF(C7881&lt;&gt;"""", GOOGLETRANSLATE(C7881, ""en"", ""te""),"""")"),"")</f>
        <v/>
      </c>
      <c r="E7881" s="2"/>
      <c r="F7881" s="2" t="str">
        <f>IFERROR(__xludf.DUMMYFUNCTION("IF(E7881&lt;&gt;"""", GOOGLETRANSLATE(E7881, ""en"", ""te""),"""")"),"")</f>
        <v/>
      </c>
      <c r="G7881" s="2"/>
      <c r="H7881" s="2" t="str">
        <f>IFERROR(__xludf.DUMMYFUNCTION("IF(G7881&lt;&gt;"""", GOOGLETRANSLATE(G7881, ""en"", ""te""),"""")"),"")</f>
        <v/>
      </c>
      <c r="I7881" s="3"/>
    </row>
    <row r="7882" customHeight="1" spans="1:9">
      <c r="A7882" s="2"/>
      <c r="B7882" s="2" t="str">
        <f>IFERROR(__xludf.DUMMYFUNCTION("IF(A7882&lt;&gt;"""", GOOGLETRANSLATE(A7882, ""en"", ""te""),"""")"),"")</f>
        <v/>
      </c>
      <c r="C7882" s="2"/>
      <c r="D7882" s="2" t="str">
        <f>IFERROR(__xludf.DUMMYFUNCTION("IF(C7882&lt;&gt;"""", GOOGLETRANSLATE(C7882, ""en"", ""te""),"""")"),"")</f>
        <v/>
      </c>
      <c r="E7882" s="2"/>
      <c r="F7882" s="2" t="str">
        <f>IFERROR(__xludf.DUMMYFUNCTION("IF(E7882&lt;&gt;"""", GOOGLETRANSLATE(E7882, ""en"", ""te""),"""")"),"")</f>
        <v/>
      </c>
      <c r="G7882" s="2"/>
      <c r="H7882" s="2" t="str">
        <f>IFERROR(__xludf.DUMMYFUNCTION("IF(G7882&lt;&gt;"""", GOOGLETRANSLATE(G7882, ""en"", ""te""),"""")"),"")</f>
        <v/>
      </c>
      <c r="I7882" s="3"/>
    </row>
    <row r="7883" customHeight="1" spans="1:9">
      <c r="A7883" s="2"/>
      <c r="B7883" s="2" t="str">
        <f>IFERROR(__xludf.DUMMYFUNCTION("IF(A7883&lt;&gt;"""", GOOGLETRANSLATE(A7883, ""en"", ""te""),"""")"),"")</f>
        <v/>
      </c>
      <c r="C7883" s="2"/>
      <c r="D7883" s="2" t="str">
        <f>IFERROR(__xludf.DUMMYFUNCTION("IF(C7883&lt;&gt;"""", GOOGLETRANSLATE(C7883, ""en"", ""te""),"""")"),"")</f>
        <v/>
      </c>
      <c r="E7883" s="2"/>
      <c r="F7883" s="2" t="str">
        <f>IFERROR(__xludf.DUMMYFUNCTION("IF(E7883&lt;&gt;"""", GOOGLETRANSLATE(E7883, ""en"", ""te""),"""")"),"")</f>
        <v/>
      </c>
      <c r="G7883" s="2"/>
      <c r="H7883" s="2" t="str">
        <f>IFERROR(__xludf.DUMMYFUNCTION("IF(G7883&lt;&gt;"""", GOOGLETRANSLATE(G7883, ""en"", ""te""),"""")"),"")</f>
        <v/>
      </c>
      <c r="I7883" s="3"/>
    </row>
    <row r="7884" customHeight="1" spans="1:9">
      <c r="A7884" s="2"/>
      <c r="B7884" s="2" t="str">
        <f>IFERROR(__xludf.DUMMYFUNCTION("IF(A7884&lt;&gt;"""", GOOGLETRANSLATE(A7884, ""en"", ""te""),"""")"),"")</f>
        <v/>
      </c>
      <c r="C7884" s="2"/>
      <c r="D7884" s="2" t="str">
        <f>IFERROR(__xludf.DUMMYFUNCTION("IF(C7884&lt;&gt;"""", GOOGLETRANSLATE(C7884, ""en"", ""te""),"""")"),"")</f>
        <v/>
      </c>
      <c r="E7884" s="2"/>
      <c r="F7884" s="2" t="str">
        <f>IFERROR(__xludf.DUMMYFUNCTION("IF(E7884&lt;&gt;"""", GOOGLETRANSLATE(E7884, ""en"", ""te""),"""")"),"")</f>
        <v/>
      </c>
      <c r="G7884" s="2"/>
      <c r="H7884" s="2" t="str">
        <f>IFERROR(__xludf.DUMMYFUNCTION("IF(G7884&lt;&gt;"""", GOOGLETRANSLATE(G7884, ""en"", ""te""),"""")"),"")</f>
        <v/>
      </c>
      <c r="I7884" s="3"/>
    </row>
    <row r="7885" customHeight="1" spans="1:9">
      <c r="A7885" s="2"/>
      <c r="B7885" s="2" t="str">
        <f>IFERROR(__xludf.DUMMYFUNCTION("IF(A7885&lt;&gt;"""", GOOGLETRANSLATE(A7885, ""en"", ""te""),"""")"),"")</f>
        <v/>
      </c>
      <c r="C7885" s="2"/>
      <c r="D7885" s="2" t="str">
        <f>IFERROR(__xludf.DUMMYFUNCTION("IF(C7885&lt;&gt;"""", GOOGLETRANSLATE(C7885, ""en"", ""te""),"""")"),"")</f>
        <v/>
      </c>
      <c r="E7885" s="2"/>
      <c r="F7885" s="2" t="str">
        <f>IFERROR(__xludf.DUMMYFUNCTION("IF(E7885&lt;&gt;"""", GOOGLETRANSLATE(E7885, ""en"", ""te""),"""")"),"")</f>
        <v/>
      </c>
      <c r="G7885" s="2"/>
      <c r="H7885" s="2" t="str">
        <f>IFERROR(__xludf.DUMMYFUNCTION("IF(G7885&lt;&gt;"""", GOOGLETRANSLATE(G7885, ""en"", ""te""),"""")"),"")</f>
        <v/>
      </c>
      <c r="I7885" s="3"/>
    </row>
    <row r="7886" customHeight="1" spans="1:9">
      <c r="A7886" s="2" t="s">
        <v>4447</v>
      </c>
      <c r="B7886" s="2" t="str">
        <f>IFERROR(__xludf.DUMMYFUNCTION("IF(A7886&lt;&gt;"""", GOOGLETRANSLATE(A7886, ""en"", ""te""),"""")"),"[ '10 వ కెప్టెన్గా అత్యధిక మ్యాచ్లు (56)', 'హండ్రెడ్ మరియు ఒక మ్యాచ్లో ఒక డక్', '9 వ చెత్త కెరీర్లో సమ్మె రేటు (148.3)', '4 వ కెప్టెన్గా అత్యధిక మ్యాచ్లు (193)', '6 వ చాలా బాతులు సిరీస్ (3) ',' 1000 పరుగులు, 50 వికెట్లు, 50 క్యాచ్లు ',' 5000 పరుగులు మరియు"&amp;" 50 ఫీల్డింగ్ వికెట్లు ',' కెప్టెన్ (249) వంటి 6 వ అత్యధిక మ్యాచ్లు ']")</f>
        <v>[ '10 వ కెప్టెన్గా అత్యధిక మ్యాచ్లు (56)', 'హండ్రెడ్ మరియు ఒక మ్యాచ్లో ఒక డక్', '9 వ చెత్త కెరీర్లో సమ్మె రేటు (148.3)', '4 వ కెప్టెన్గా అత్యధిక మ్యాచ్లు (193)', '6 వ చాలా బాతులు సిరీస్ (3) ',' 1000 పరుగులు, 50 వికెట్లు, 50 క్యాచ్లు ',' 5000 పరుగులు మరియు 50 ఫీల్డింగ్ వికెట్లు ',' కెప్టెన్ (249) వంటి 6 వ అత్యధిక మ్యాచ్లు ']</v>
      </c>
      <c r="C7886" s="2" t="s">
        <v>4448</v>
      </c>
      <c r="D7886" s="2" t="str">
        <f>IFERROR(__xludf.DUMMYFUNCTION("IF(C7886&lt;&gt;"""", GOOGLETRANSLATE(C7886, ""en"", ""te""),"""")"),"[ 'వరుస ఇన్నింగ్స్లో 32 వ యాభైల్లో (5)', '9 వ చెత్త కెరీర్లో సమ్మె రేటు (148.3)' 'సగటు (65.00) బౌలింగ్ 10th చెత్త జీవితం', '47 వ పిన్న క్రీడాకారులు (18y 78d)', '33 వ లాంగెస్ట్ కెరీర్లు (18y 175d) ',' 10 వ అత్యధిక మ్యాచ్లు కెప్టెన్గా (56) ',' బృందం (28 కె"&amp;"ప్టెన్గా 27 వరుస మ్యాచ్లు) ']")</f>
        <v>[ 'వరుస ఇన్నింగ్స్లో 32 వ యాభైల్లో (5)', '9 వ చెత్త కెరీర్లో సమ్మె రేటు (148.3)' 'సగటు (65.00) బౌలింగ్ 10th చెత్త జీవితం', '47 వ పిన్న క్రీడాకారులు (18y 78d)', '33 వ లాంగెస్ట్ కెరీర్లు (18y 175d) ',' 10 వ అత్యధిక మ్యాచ్లు కెప్టెన్గా (56) ',' బృందం (28 కెప్టెన్గా 27 వరుస మ్యాచ్లు) ']</v>
      </c>
      <c r="E7886" s="2" t="s">
        <v>4449</v>
      </c>
      <c r="F7886" s="2" t="str">
        <f>IFERROR(__xludf.DUMMYFUNCTION("IF(E7886&lt;&gt;"""", GOOGLETRANSLATE(E7886, ""en"", ""te""),"""")"),"[ 'ఒకే మైదానంలో 48 వ అత్యధిక పరుగులు (1010)' 'ఒక కెప్టెన్తో 48 వ ఇన్నింగ్స్ లో అత్యధిక పరుగులు (131 *)' '38 వ అత్యధిక కెరీర్ లో పరుగులు (7456)', '42 వ కెరీర్ అర్ధ (53) ',' 6000 పరుగులు (205) ',' 33 వ వేగంగా ఒక సిరీస్ (3) ',' 48 వ వేగవంతమైన 7000 పరుగులు "&amp;"(233) ',' 39 వ చెత్త లో కెరీర్ లో 24 వ అత్యంత బాతులు (18) ',' 6 వ అత్యంత బాతులు కెరీర్ సగటు (47.55) ',' ఆరవ వికెట్కు 31 అత్యధిక భాగస్వామ్యం (132) ',' 32 వ అత్యధిక కెరీర్ లో మ్యాచ్లు బౌలింగ్ (269) ',' 19 వ అత్యంత ప్లేయర్ ఆఫ్ ది మ్యాచ్ అవార్డులు (24) ',' 45"&amp;" వ అత్యంత ప్లేయర్ ఆఫ్ ది సిరీస్ అవార్డులు (3) ',' 23 వ లాంగెస్ట్ కెరీర్లు (17y 105d) ',' కెప్టెన్ 4 వ అత్యధిక మ్యాచ్లు (193) ',' 11 వ వరుస ఒక జట్టు కెప్టెన్గా మ్యాచ్లు (55) ', '41 వ పిన్న కాప్టెన్ (24y 333d)']")</f>
        <v>[ 'ఒకే మైదానంలో 48 వ అత్యధిక పరుగులు (1010)' 'ఒక కెప్టెన్తో 48 వ ఇన్నింగ్స్ లో అత్యధిక పరుగులు (131 *)' '38 వ అత్యధిక కెరీర్ లో పరుగులు (7456)', '42 వ కెరీర్ అర్ధ (53) ',' 6000 పరుగులు (205) ',' 33 వ వేగంగా ఒక సిరీస్ (3) ',' 48 వ వేగవంతమైన 7000 పరుగులు (233) ',' 39 వ చెత్త లో కెరీర్ లో 24 వ అత్యంత బాతులు (18) ',' 6 వ అత్యంత బాతులు కెరీర్ సగటు (47.55) ',' ఆరవ వికెట్కు 31 అత్యధిక భాగస్వామ్యం (132) ',' 32 వ అత్యధిక కెరీర్ లో మ్యాచ్లు బౌలింగ్ (269) ',' 19 వ అత్యంత ప్లేయర్ ఆఫ్ ది మ్యాచ్ అవార్డులు (24) ',' 45 వ అత్యంత ప్లేయర్ ఆఫ్ ది సిరీస్ అవార్డులు (3) ',' 23 వ లాంగెస్ట్ కెరీర్లు (17y 105d) ',' కెప్టెన్ 4 వ అత్యధిక మ్యాచ్లు (193) ',' 11 వ వరుస ఒక జట్టు కెప్టెన్గా మ్యాచ్లు (55) ', '41 వ పిన్న కాప్టెన్ (24y 333d)']</v>
      </c>
      <c r="G7886" s="2" t="s">
        <v>4450</v>
      </c>
      <c r="H7886" s="2" t="str">
        <f>IFERROR(__xludf.DUMMYFUNCTION("IF(G7886&lt;&gt;"""", GOOGLETRANSLATE(G7886, ""en"", ""te""),"""")"),"[ '11 వ అత్యంత బృందం (55) కెప్టెన్ గా వరుస మ్యాచ్లు']")</f>
        <v>[ '11 వ అత్యంత బృందం (55) కెప్టెన్ గా వరుస మ్యాచ్లు']</v>
      </c>
      <c r="I7886" s="3"/>
    </row>
    <row r="7887" customHeight="1" spans="1:9">
      <c r="A7887" s="2"/>
      <c r="B7887" s="2" t="str">
        <f>IFERROR(__xludf.DUMMYFUNCTION("IF(A7887&lt;&gt;"""", GOOGLETRANSLATE(A7887, ""en"", ""te""),"""")"),"")</f>
        <v/>
      </c>
      <c r="C7887" s="2"/>
      <c r="D7887" s="2" t="str">
        <f>IFERROR(__xludf.DUMMYFUNCTION("IF(C7887&lt;&gt;"""", GOOGLETRANSLATE(C7887, ""en"", ""te""),"""")"),"")</f>
        <v/>
      </c>
      <c r="E7887" s="2"/>
      <c r="F7887" s="2" t="str">
        <f>IFERROR(__xludf.DUMMYFUNCTION("IF(E7887&lt;&gt;"""", GOOGLETRANSLATE(E7887, ""en"", ""te""),"""")"),"")</f>
        <v/>
      </c>
      <c r="G7887" s="2"/>
      <c r="H7887" s="2" t="str">
        <f>IFERROR(__xludf.DUMMYFUNCTION("IF(G7887&lt;&gt;"""", GOOGLETRANSLATE(G7887, ""en"", ""te""),"""")"),"")</f>
        <v/>
      </c>
      <c r="I7887" s="3"/>
    </row>
    <row r="7888" customHeight="1" spans="1:9">
      <c r="A7888" s="2"/>
      <c r="B7888" s="2" t="str">
        <f>IFERROR(__xludf.DUMMYFUNCTION("IF(A7888&lt;&gt;"""", GOOGLETRANSLATE(A7888, ""en"", ""te""),"""")"),"")</f>
        <v/>
      </c>
      <c r="C7888" s="2"/>
      <c r="D7888" s="2" t="str">
        <f>IFERROR(__xludf.DUMMYFUNCTION("IF(C7888&lt;&gt;"""", GOOGLETRANSLATE(C7888, ""en"", ""te""),"""")"),"")</f>
        <v/>
      </c>
      <c r="E7888" s="2"/>
      <c r="F7888" s="2" t="str">
        <f>IFERROR(__xludf.DUMMYFUNCTION("IF(E7888&lt;&gt;"""", GOOGLETRANSLATE(E7888, ""en"", ""te""),"""")"),"")</f>
        <v/>
      </c>
      <c r="G7888" s="2"/>
      <c r="H7888" s="2" t="str">
        <f>IFERROR(__xludf.DUMMYFUNCTION("IF(G7888&lt;&gt;"""", GOOGLETRANSLATE(G7888, ""en"", ""te""),"""")"),"")</f>
        <v/>
      </c>
      <c r="I7888" s="3"/>
    </row>
    <row r="7889" customHeight="1" spans="1:9">
      <c r="A7889" s="2"/>
      <c r="B7889" s="2" t="str">
        <f>IFERROR(__xludf.DUMMYFUNCTION("IF(A7889&lt;&gt;"""", GOOGLETRANSLATE(A7889, ""en"", ""te""),"""")"),"")</f>
        <v/>
      </c>
      <c r="C7889" s="2"/>
      <c r="D7889" s="2" t="str">
        <f>IFERROR(__xludf.DUMMYFUNCTION("IF(C7889&lt;&gt;"""", GOOGLETRANSLATE(C7889, ""en"", ""te""),"""")"),"")</f>
        <v/>
      </c>
      <c r="E7889" s="2"/>
      <c r="F7889" s="2" t="str">
        <f>IFERROR(__xludf.DUMMYFUNCTION("IF(E7889&lt;&gt;"""", GOOGLETRANSLATE(E7889, ""en"", ""te""),"""")"),"")</f>
        <v/>
      </c>
      <c r="G7889" s="2"/>
      <c r="H7889" s="2" t="str">
        <f>IFERROR(__xludf.DUMMYFUNCTION("IF(G7889&lt;&gt;"""", GOOGLETRANSLATE(G7889, ""en"", ""te""),"""")"),"")</f>
        <v/>
      </c>
      <c r="I7889" s="3"/>
    </row>
    <row r="7890" customHeight="1" spans="1:9">
      <c r="A7890" s="2"/>
      <c r="B7890" s="2" t="str">
        <f>IFERROR(__xludf.DUMMYFUNCTION("IF(A7890&lt;&gt;"""", GOOGLETRANSLATE(A7890, ""en"", ""te""),"""")"),"")</f>
        <v/>
      </c>
      <c r="C7890" s="2"/>
      <c r="D7890" s="2" t="str">
        <f>IFERROR(__xludf.DUMMYFUNCTION("IF(C7890&lt;&gt;"""", GOOGLETRANSLATE(C7890, ""en"", ""te""),"""")"),"")</f>
        <v/>
      </c>
      <c r="E7890" s="2"/>
      <c r="F7890" s="2" t="str">
        <f>IFERROR(__xludf.DUMMYFUNCTION("IF(E7890&lt;&gt;"""", GOOGLETRANSLATE(E7890, ""en"", ""te""),"""")"),"")</f>
        <v/>
      </c>
      <c r="G7890" s="2"/>
      <c r="H7890" s="2" t="str">
        <f>IFERROR(__xludf.DUMMYFUNCTION("IF(G7890&lt;&gt;"""", GOOGLETRANSLATE(G7890, ""en"", ""te""),"""")"),"")</f>
        <v/>
      </c>
      <c r="I7890" s="3"/>
    </row>
    <row r="7891" customHeight="1" spans="1:9">
      <c r="A7891" s="2"/>
      <c r="B7891" s="2" t="str">
        <f>IFERROR(__xludf.DUMMYFUNCTION("IF(A7891&lt;&gt;"""", GOOGLETRANSLATE(A7891, ""en"", ""te""),"""")"),"")</f>
        <v/>
      </c>
      <c r="C7891" s="2"/>
      <c r="D7891" s="2" t="str">
        <f>IFERROR(__xludf.DUMMYFUNCTION("IF(C7891&lt;&gt;"""", GOOGLETRANSLATE(C7891, ""en"", ""te""),"""")"),"")</f>
        <v/>
      </c>
      <c r="E7891" s="2"/>
      <c r="F7891" s="2" t="str">
        <f>IFERROR(__xludf.DUMMYFUNCTION("IF(E7891&lt;&gt;"""", GOOGLETRANSLATE(E7891, ""en"", ""te""),"""")"),"")</f>
        <v/>
      </c>
      <c r="G7891" s="2"/>
      <c r="H7891" s="2" t="str">
        <f>IFERROR(__xludf.DUMMYFUNCTION("IF(G7891&lt;&gt;"""", GOOGLETRANSLATE(G7891, ""en"", ""te""),"""")"),"")</f>
        <v/>
      </c>
      <c r="I7891" s="3"/>
    </row>
    <row r="7892" customHeight="1" spans="1:9">
      <c r="A7892" s="2"/>
      <c r="B7892" s="2" t="str">
        <f>IFERROR(__xludf.DUMMYFUNCTION("IF(A7892&lt;&gt;"""", GOOGLETRANSLATE(A7892, ""en"", ""te""),"""")"),"")</f>
        <v/>
      </c>
      <c r="C7892" s="2"/>
      <c r="D7892" s="2" t="str">
        <f>IFERROR(__xludf.DUMMYFUNCTION("IF(C7892&lt;&gt;"""", GOOGLETRANSLATE(C7892, ""en"", ""te""),"""")"),"")</f>
        <v/>
      </c>
      <c r="E7892" s="2"/>
      <c r="F7892" s="2" t="str">
        <f>IFERROR(__xludf.DUMMYFUNCTION("IF(E7892&lt;&gt;"""", GOOGLETRANSLATE(E7892, ""en"", ""te""),"""")"),"")</f>
        <v/>
      </c>
      <c r="G7892" s="2"/>
      <c r="H7892" s="2" t="str">
        <f>IFERROR(__xludf.DUMMYFUNCTION("IF(G7892&lt;&gt;"""", GOOGLETRANSLATE(G7892, ""en"", ""te""),"""")"),"")</f>
        <v/>
      </c>
      <c r="I7892" s="3"/>
    </row>
    <row r="7893" customHeight="1" spans="1:9">
      <c r="A7893" s="2"/>
      <c r="B7893" s="2" t="str">
        <f>IFERROR(__xludf.DUMMYFUNCTION("IF(A7893&lt;&gt;"""", GOOGLETRANSLATE(A7893, ""en"", ""te""),"""")"),"")</f>
        <v/>
      </c>
      <c r="C7893" s="2"/>
      <c r="D7893" s="2" t="str">
        <f>IFERROR(__xludf.DUMMYFUNCTION("IF(C7893&lt;&gt;"""", GOOGLETRANSLATE(C7893, ""en"", ""te""),"""")"),"")</f>
        <v/>
      </c>
      <c r="E7893" s="2"/>
      <c r="F7893" s="2" t="str">
        <f>IFERROR(__xludf.DUMMYFUNCTION("IF(E7893&lt;&gt;"""", GOOGLETRANSLATE(E7893, ""en"", ""te""),"""")"),"")</f>
        <v/>
      </c>
      <c r="G7893" s="2"/>
      <c r="H7893" s="2" t="str">
        <f>IFERROR(__xludf.DUMMYFUNCTION("IF(G7893&lt;&gt;"""", GOOGLETRANSLATE(G7893, ""en"", ""te""),"""")"),"")</f>
        <v/>
      </c>
      <c r="I7893" s="3"/>
    </row>
    <row r="7894" customHeight="1" spans="1:9">
      <c r="A7894" s="2"/>
      <c r="B7894" s="2" t="str">
        <f>IFERROR(__xludf.DUMMYFUNCTION("IF(A7894&lt;&gt;"""", GOOGLETRANSLATE(A7894, ""en"", ""te""),"""")"),"")</f>
        <v/>
      </c>
      <c r="C7894" s="2"/>
      <c r="D7894" s="2" t="str">
        <f>IFERROR(__xludf.DUMMYFUNCTION("IF(C7894&lt;&gt;"""", GOOGLETRANSLATE(C7894, ""en"", ""te""),"""")"),"")</f>
        <v/>
      </c>
      <c r="E7894" s="2"/>
      <c r="F7894" s="2" t="str">
        <f>IFERROR(__xludf.DUMMYFUNCTION("IF(E7894&lt;&gt;"""", GOOGLETRANSLATE(E7894, ""en"", ""te""),"""")"),"")</f>
        <v/>
      </c>
      <c r="G7894" s="2"/>
      <c r="H7894" s="2" t="str">
        <f>IFERROR(__xludf.DUMMYFUNCTION("IF(G7894&lt;&gt;"""", GOOGLETRANSLATE(G7894, ""en"", ""te""),"""")"),"")</f>
        <v/>
      </c>
      <c r="I7894" s="3"/>
    </row>
    <row r="7895" customHeight="1" spans="1:9">
      <c r="A7895" s="2"/>
      <c r="B7895" s="2" t="str">
        <f>IFERROR(__xludf.DUMMYFUNCTION("IF(A7895&lt;&gt;"""", GOOGLETRANSLATE(A7895, ""en"", ""te""),"""")"),"")</f>
        <v/>
      </c>
      <c r="C7895" s="2"/>
      <c r="D7895" s="2" t="str">
        <f>IFERROR(__xludf.DUMMYFUNCTION("IF(C7895&lt;&gt;"""", GOOGLETRANSLATE(C7895, ""en"", ""te""),"""")"),"")</f>
        <v/>
      </c>
      <c r="E7895" s="2"/>
      <c r="F7895" s="2" t="str">
        <f>IFERROR(__xludf.DUMMYFUNCTION("IF(E7895&lt;&gt;"""", GOOGLETRANSLATE(E7895, ""en"", ""te""),"""")"),"")</f>
        <v/>
      </c>
      <c r="G7895" s="2"/>
      <c r="H7895" s="2" t="str">
        <f>IFERROR(__xludf.DUMMYFUNCTION("IF(G7895&lt;&gt;"""", GOOGLETRANSLATE(G7895, ""en"", ""te""),"""")"),"")</f>
        <v/>
      </c>
      <c r="I7895" s="3"/>
    </row>
    <row r="7896" customHeight="1" spans="1:9">
      <c r="A7896" s="2"/>
      <c r="B7896" s="2" t="str">
        <f>IFERROR(__xludf.DUMMYFUNCTION("IF(A7896&lt;&gt;"""", GOOGLETRANSLATE(A7896, ""en"", ""te""),"""")"),"")</f>
        <v/>
      </c>
      <c r="C7896" s="2"/>
      <c r="D7896" s="2" t="str">
        <f>IFERROR(__xludf.DUMMYFUNCTION("IF(C7896&lt;&gt;"""", GOOGLETRANSLATE(C7896, ""en"", ""te""),"""")"),"")</f>
        <v/>
      </c>
      <c r="E7896" s="2"/>
      <c r="F7896" s="2" t="str">
        <f>IFERROR(__xludf.DUMMYFUNCTION("IF(E7896&lt;&gt;"""", GOOGLETRANSLATE(E7896, ""en"", ""te""),"""")"),"")</f>
        <v/>
      </c>
      <c r="G7896" s="2"/>
      <c r="H7896" s="2" t="str">
        <f>IFERROR(__xludf.DUMMYFUNCTION("IF(G7896&lt;&gt;"""", GOOGLETRANSLATE(G7896, ""en"", ""te""),"""")"),"")</f>
        <v/>
      </c>
      <c r="I7896" s="3"/>
    </row>
    <row r="7897" customHeight="1" spans="1:9">
      <c r="A7897" s="2"/>
      <c r="B7897" s="2" t="str">
        <f>IFERROR(__xludf.DUMMYFUNCTION("IF(A7897&lt;&gt;"""", GOOGLETRANSLATE(A7897, ""en"", ""te""),"""")"),"")</f>
        <v/>
      </c>
      <c r="C7897" s="2"/>
      <c r="D7897" s="2" t="str">
        <f>IFERROR(__xludf.DUMMYFUNCTION("IF(C7897&lt;&gt;"""", GOOGLETRANSLATE(C7897, ""en"", ""te""),"""")"),"")</f>
        <v/>
      </c>
      <c r="E7897" s="2"/>
      <c r="F7897" s="2" t="str">
        <f>IFERROR(__xludf.DUMMYFUNCTION("IF(E7897&lt;&gt;"""", GOOGLETRANSLATE(E7897, ""en"", ""te""),"""")"),"")</f>
        <v/>
      </c>
      <c r="G7897" s="2"/>
      <c r="H7897" s="2" t="str">
        <f>IFERROR(__xludf.DUMMYFUNCTION("IF(G7897&lt;&gt;"""", GOOGLETRANSLATE(G7897, ""en"", ""te""),"""")"),"")</f>
        <v/>
      </c>
      <c r="I7897" s="3"/>
    </row>
    <row r="7898" customHeight="1" spans="1:9">
      <c r="A7898" s="2"/>
      <c r="B7898" s="2" t="str">
        <f>IFERROR(__xludf.DUMMYFUNCTION("IF(A7898&lt;&gt;"""", GOOGLETRANSLATE(A7898, ""en"", ""te""),"""")"),"")</f>
        <v/>
      </c>
      <c r="C7898" s="2"/>
      <c r="D7898" s="2" t="str">
        <f>IFERROR(__xludf.DUMMYFUNCTION("IF(C7898&lt;&gt;"""", GOOGLETRANSLATE(C7898, ""en"", ""te""),"""")"),"")</f>
        <v/>
      </c>
      <c r="E7898" s="2"/>
      <c r="F7898" s="2" t="str">
        <f>IFERROR(__xludf.DUMMYFUNCTION("IF(E7898&lt;&gt;"""", GOOGLETRANSLATE(E7898, ""en"", ""te""),"""")"),"")</f>
        <v/>
      </c>
      <c r="G7898" s="2"/>
      <c r="H7898" s="2" t="str">
        <f>IFERROR(__xludf.DUMMYFUNCTION("IF(G7898&lt;&gt;"""", GOOGLETRANSLATE(G7898, ""en"", ""te""),"""")"),"")</f>
        <v/>
      </c>
      <c r="I7898" s="3"/>
    </row>
    <row r="7899" customHeight="1" spans="1:9">
      <c r="A7899" s="2"/>
      <c r="B7899" s="2" t="str">
        <f>IFERROR(__xludf.DUMMYFUNCTION("IF(A7899&lt;&gt;"""", GOOGLETRANSLATE(A7899, ""en"", ""te""),"""")"),"")</f>
        <v/>
      </c>
      <c r="C7899" s="2"/>
      <c r="D7899" s="2" t="str">
        <f>IFERROR(__xludf.DUMMYFUNCTION("IF(C7899&lt;&gt;"""", GOOGLETRANSLATE(C7899, ""en"", ""te""),"""")"),"")</f>
        <v/>
      </c>
      <c r="E7899" s="2"/>
      <c r="F7899" s="2" t="str">
        <f>IFERROR(__xludf.DUMMYFUNCTION("IF(E7899&lt;&gt;"""", GOOGLETRANSLATE(E7899, ""en"", ""te""),"""")"),"")</f>
        <v/>
      </c>
      <c r="G7899" s="2"/>
      <c r="H7899" s="2" t="str">
        <f>IFERROR(__xludf.DUMMYFUNCTION("IF(G7899&lt;&gt;"""", GOOGLETRANSLATE(G7899, ""en"", ""te""),"""")"),"")</f>
        <v/>
      </c>
      <c r="I7899" s="3"/>
    </row>
    <row r="7900" customHeight="1" spans="1:9">
      <c r="A7900" s="2"/>
      <c r="B7900" s="2" t="str">
        <f>IFERROR(__xludf.DUMMYFUNCTION("IF(A7900&lt;&gt;"""", GOOGLETRANSLATE(A7900, ""en"", ""te""),"""")"),"")</f>
        <v/>
      </c>
      <c r="C7900" s="2"/>
      <c r="D7900" s="2" t="str">
        <f>IFERROR(__xludf.DUMMYFUNCTION("IF(C7900&lt;&gt;"""", GOOGLETRANSLATE(C7900, ""en"", ""te""),"""")"),"")</f>
        <v/>
      </c>
      <c r="E7900" s="2"/>
      <c r="F7900" s="2" t="str">
        <f>IFERROR(__xludf.DUMMYFUNCTION("IF(E7900&lt;&gt;"""", GOOGLETRANSLATE(E7900, ""en"", ""te""),"""")"),"")</f>
        <v/>
      </c>
      <c r="G7900" s="2"/>
      <c r="H7900" s="2" t="str">
        <f>IFERROR(__xludf.DUMMYFUNCTION("IF(G7900&lt;&gt;"""", GOOGLETRANSLATE(G7900, ""en"", ""te""),"""")"),"")</f>
        <v/>
      </c>
      <c r="I7900" s="3"/>
    </row>
    <row r="7901" customHeight="1" spans="1:9">
      <c r="A7901" s="2"/>
      <c r="B7901" s="2" t="str">
        <f>IFERROR(__xludf.DUMMYFUNCTION("IF(A7901&lt;&gt;"""", GOOGLETRANSLATE(A7901, ""en"", ""te""),"""")"),"")</f>
        <v/>
      </c>
      <c r="C7901" s="2"/>
      <c r="D7901" s="2" t="str">
        <f>IFERROR(__xludf.DUMMYFUNCTION("IF(C7901&lt;&gt;"""", GOOGLETRANSLATE(C7901, ""en"", ""te""),"""")"),"")</f>
        <v/>
      </c>
      <c r="E7901" s="2"/>
      <c r="F7901" s="2" t="str">
        <f>IFERROR(__xludf.DUMMYFUNCTION("IF(E7901&lt;&gt;"""", GOOGLETRANSLATE(E7901, ""en"", ""te""),"""")"),"")</f>
        <v/>
      </c>
      <c r="G7901" s="2"/>
      <c r="H7901" s="2" t="str">
        <f>IFERROR(__xludf.DUMMYFUNCTION("IF(G7901&lt;&gt;"""", GOOGLETRANSLATE(G7901, ""en"", ""te""),"""")"),"")</f>
        <v/>
      </c>
      <c r="I7901" s="3"/>
    </row>
    <row r="7902" customHeight="1" spans="1:9">
      <c r="A7902" s="2"/>
      <c r="B7902" s="2" t="str">
        <f>IFERROR(__xludf.DUMMYFUNCTION("IF(A7902&lt;&gt;"""", GOOGLETRANSLATE(A7902, ""en"", ""te""),"""")"),"")</f>
        <v/>
      </c>
      <c r="C7902" s="2"/>
      <c r="D7902" s="2" t="str">
        <f>IFERROR(__xludf.DUMMYFUNCTION("IF(C7902&lt;&gt;"""", GOOGLETRANSLATE(C7902, ""en"", ""te""),"""")"),"")</f>
        <v/>
      </c>
      <c r="E7902" s="2"/>
      <c r="F7902" s="2" t="str">
        <f>IFERROR(__xludf.DUMMYFUNCTION("IF(E7902&lt;&gt;"""", GOOGLETRANSLATE(E7902, ""en"", ""te""),"""")"),"")</f>
        <v/>
      </c>
      <c r="G7902" s="2"/>
      <c r="H7902" s="2" t="str">
        <f>IFERROR(__xludf.DUMMYFUNCTION("IF(G7902&lt;&gt;"""", GOOGLETRANSLATE(G7902, ""en"", ""te""),"""")"),"")</f>
        <v/>
      </c>
      <c r="I7902" s="3"/>
    </row>
    <row r="7903" customHeight="1" spans="1:9">
      <c r="A7903" s="2"/>
      <c r="B7903" s="2" t="str">
        <f>IFERROR(__xludf.DUMMYFUNCTION("IF(A7903&lt;&gt;"""", GOOGLETRANSLATE(A7903, ""en"", ""te""),"""")"),"")</f>
        <v/>
      </c>
      <c r="C7903" s="2"/>
      <c r="D7903" s="2" t="str">
        <f>IFERROR(__xludf.DUMMYFUNCTION("IF(C7903&lt;&gt;"""", GOOGLETRANSLATE(C7903, ""en"", ""te""),"""")"),"")</f>
        <v/>
      </c>
      <c r="E7903" s="2"/>
      <c r="F7903" s="2" t="str">
        <f>IFERROR(__xludf.DUMMYFUNCTION("IF(E7903&lt;&gt;"""", GOOGLETRANSLATE(E7903, ""en"", ""te""),"""")"),"")</f>
        <v/>
      </c>
      <c r="G7903" s="2"/>
      <c r="H7903" s="2" t="str">
        <f>IFERROR(__xludf.DUMMYFUNCTION("IF(G7903&lt;&gt;"""", GOOGLETRANSLATE(G7903, ""en"", ""te""),"""")"),"")</f>
        <v/>
      </c>
      <c r="I7903" s="3"/>
    </row>
    <row r="7904" customHeight="1" spans="1:9">
      <c r="A7904" s="2"/>
      <c r="B7904" s="2" t="str">
        <f>IFERROR(__xludf.DUMMYFUNCTION("IF(A7904&lt;&gt;"""", GOOGLETRANSLATE(A7904, ""en"", ""te""),"""")"),"")</f>
        <v/>
      </c>
      <c r="C7904" s="2"/>
      <c r="D7904" s="2" t="str">
        <f>IFERROR(__xludf.DUMMYFUNCTION("IF(C7904&lt;&gt;"""", GOOGLETRANSLATE(C7904, ""en"", ""te""),"""")"),"")</f>
        <v/>
      </c>
      <c r="E7904" s="2"/>
      <c r="F7904" s="2" t="str">
        <f>IFERROR(__xludf.DUMMYFUNCTION("IF(E7904&lt;&gt;"""", GOOGLETRANSLATE(E7904, ""en"", ""te""),"""")"),"")</f>
        <v/>
      </c>
      <c r="G7904" s="2"/>
      <c r="H7904" s="2" t="str">
        <f>IFERROR(__xludf.DUMMYFUNCTION("IF(G7904&lt;&gt;"""", GOOGLETRANSLATE(G7904, ""en"", ""te""),"""")"),"")</f>
        <v/>
      </c>
      <c r="I7904" s="3"/>
    </row>
    <row r="7905" customHeight="1" spans="1:9">
      <c r="A7905" s="2"/>
      <c r="B7905" s="2" t="str">
        <f>IFERROR(__xludf.DUMMYFUNCTION("IF(A7905&lt;&gt;"""", GOOGLETRANSLATE(A7905, ""en"", ""te""),"""")"),"")</f>
        <v/>
      </c>
      <c r="C7905" s="2"/>
      <c r="D7905" s="2" t="str">
        <f>IFERROR(__xludf.DUMMYFUNCTION("IF(C7905&lt;&gt;"""", GOOGLETRANSLATE(C7905, ""en"", ""te""),"""")"),"")</f>
        <v/>
      </c>
      <c r="E7905" s="2"/>
      <c r="F7905" s="2" t="str">
        <f>IFERROR(__xludf.DUMMYFUNCTION("IF(E7905&lt;&gt;"""", GOOGLETRANSLATE(E7905, ""en"", ""te""),"""")"),"")</f>
        <v/>
      </c>
      <c r="G7905" s="2"/>
      <c r="H7905" s="2" t="str">
        <f>IFERROR(__xludf.DUMMYFUNCTION("IF(G7905&lt;&gt;"""", GOOGLETRANSLATE(G7905, ""en"", ""te""),"""")"),"")</f>
        <v/>
      </c>
      <c r="I7905" s="3"/>
    </row>
    <row r="7906" customHeight="1" spans="1:9">
      <c r="A7906" s="2" t="s">
        <v>9</v>
      </c>
      <c r="B7906" s="2" t="str">
        <f>IFERROR(__xludf.DUMMYFUNCTION("IF(A7906&lt;&gt;"""", GOOGLETRANSLATE(A7906, ""en"", ""te""),"""")"),"[ 'హండ్రెడ్ మరియు ఒక మ్యాచ్లో ఒక డక్']")</f>
        <v>[ 'హండ్రెడ్ మరియు ఒక మ్యాచ్లో ఒక డక్']</v>
      </c>
      <c r="C7906" s="2"/>
      <c r="D7906" s="2" t="str">
        <f>IFERROR(__xludf.DUMMYFUNCTION("IF(C7906&lt;&gt;"""", GOOGLETRANSLATE(C7906, ""en"", ""te""),"""")"),"")</f>
        <v/>
      </c>
      <c r="E7906" s="2"/>
      <c r="F7906" s="2" t="str">
        <f>IFERROR(__xludf.DUMMYFUNCTION("IF(E7906&lt;&gt;"""", GOOGLETRANSLATE(E7906, ""en"", ""te""),"""")"),"")</f>
        <v/>
      </c>
      <c r="G7906" s="2"/>
      <c r="H7906" s="2" t="str">
        <f>IFERROR(__xludf.DUMMYFUNCTION("IF(G7906&lt;&gt;"""", GOOGLETRANSLATE(G7906, ""en"", ""te""),"""")"),"")</f>
        <v/>
      </c>
      <c r="I7906" s="3"/>
    </row>
    <row r="7907" customHeight="1" spans="1:9">
      <c r="A7907" s="2"/>
      <c r="B7907" s="2" t="str">
        <f>IFERROR(__xludf.DUMMYFUNCTION("IF(A7907&lt;&gt;"""", GOOGLETRANSLATE(A7907, ""en"", ""te""),"""")"),"")</f>
        <v/>
      </c>
      <c r="C7907" s="2"/>
      <c r="D7907" s="2" t="str">
        <f>IFERROR(__xludf.DUMMYFUNCTION("IF(C7907&lt;&gt;"""", GOOGLETRANSLATE(C7907, ""en"", ""te""),"""")"),"")</f>
        <v/>
      </c>
      <c r="E7907" s="2"/>
      <c r="F7907" s="2" t="str">
        <f>IFERROR(__xludf.DUMMYFUNCTION("IF(E7907&lt;&gt;"""", GOOGLETRANSLATE(E7907, ""en"", ""te""),"""")"),"")</f>
        <v/>
      </c>
      <c r="G7907" s="2"/>
      <c r="H7907" s="2" t="str">
        <f>IFERROR(__xludf.DUMMYFUNCTION("IF(G7907&lt;&gt;"""", GOOGLETRANSLATE(G7907, ""en"", ""te""),"""")"),"")</f>
        <v/>
      </c>
      <c r="I7907" s="3"/>
    </row>
    <row r="7908" customHeight="1" spans="1:9">
      <c r="A7908" s="2"/>
      <c r="B7908" s="2" t="str">
        <f>IFERROR(__xludf.DUMMYFUNCTION("IF(A7908&lt;&gt;"""", GOOGLETRANSLATE(A7908, ""en"", ""te""),"""")"),"")</f>
        <v/>
      </c>
      <c r="C7908" s="2"/>
      <c r="D7908" s="2" t="str">
        <f>IFERROR(__xludf.DUMMYFUNCTION("IF(C7908&lt;&gt;"""", GOOGLETRANSLATE(C7908, ""en"", ""te""),"""")"),"")</f>
        <v/>
      </c>
      <c r="E7908" s="2"/>
      <c r="F7908" s="2" t="str">
        <f>IFERROR(__xludf.DUMMYFUNCTION("IF(E7908&lt;&gt;"""", GOOGLETRANSLATE(E7908, ""en"", ""te""),"""")"),"")</f>
        <v/>
      </c>
      <c r="G7908" s="2"/>
      <c r="H7908" s="2" t="str">
        <f>IFERROR(__xludf.DUMMYFUNCTION("IF(G7908&lt;&gt;"""", GOOGLETRANSLATE(G7908, ""en"", ""te""),"""")"),"")</f>
        <v/>
      </c>
      <c r="I7908" s="3"/>
    </row>
    <row r="7909" customHeight="1" spans="1:9">
      <c r="A7909" s="2"/>
      <c r="B7909" s="2" t="str">
        <f>IFERROR(__xludf.DUMMYFUNCTION("IF(A7909&lt;&gt;"""", GOOGLETRANSLATE(A7909, ""en"", ""te""),"""")"),"")</f>
        <v/>
      </c>
      <c r="C7909" s="2"/>
      <c r="D7909" s="2" t="str">
        <f>IFERROR(__xludf.DUMMYFUNCTION("IF(C7909&lt;&gt;"""", GOOGLETRANSLATE(C7909, ""en"", ""te""),"""")"),"")</f>
        <v/>
      </c>
      <c r="E7909" s="2"/>
      <c r="F7909" s="2" t="str">
        <f>IFERROR(__xludf.DUMMYFUNCTION("IF(E7909&lt;&gt;"""", GOOGLETRANSLATE(E7909, ""en"", ""te""),"""")"),"")</f>
        <v/>
      </c>
      <c r="G7909" s="2"/>
      <c r="H7909" s="2" t="str">
        <f>IFERROR(__xludf.DUMMYFUNCTION("IF(G7909&lt;&gt;"""", GOOGLETRANSLATE(G7909, ""en"", ""te""),"""")"),"")</f>
        <v/>
      </c>
      <c r="I7909" s="3"/>
    </row>
    <row r="7910" customHeight="1" spans="1:9">
      <c r="A7910" s="2"/>
      <c r="B7910" s="2" t="str">
        <f>IFERROR(__xludf.DUMMYFUNCTION("IF(A7910&lt;&gt;"""", GOOGLETRANSLATE(A7910, ""en"", ""te""),"""")"),"")</f>
        <v/>
      </c>
      <c r="C7910" s="2"/>
      <c r="D7910" s="2" t="str">
        <f>IFERROR(__xludf.DUMMYFUNCTION("IF(C7910&lt;&gt;"""", GOOGLETRANSLATE(C7910, ""en"", ""te""),"""")"),"")</f>
        <v/>
      </c>
      <c r="E7910" s="2"/>
      <c r="F7910" s="2" t="str">
        <f>IFERROR(__xludf.DUMMYFUNCTION("IF(E7910&lt;&gt;"""", GOOGLETRANSLATE(E7910, ""en"", ""te""),"""")"),"")</f>
        <v/>
      </c>
      <c r="G7910" s="2"/>
      <c r="H7910" s="2" t="str">
        <f>IFERROR(__xludf.DUMMYFUNCTION("IF(G7910&lt;&gt;"""", GOOGLETRANSLATE(G7910, ""en"", ""te""),"""")"),"")</f>
        <v/>
      </c>
      <c r="I7910" s="3"/>
    </row>
    <row r="7911" customHeight="1" spans="1:9">
      <c r="A7911" s="2"/>
      <c r="B7911" s="2" t="str">
        <f>IFERROR(__xludf.DUMMYFUNCTION("IF(A7911&lt;&gt;"""", GOOGLETRANSLATE(A7911, ""en"", ""te""),"""")"),"")</f>
        <v/>
      </c>
      <c r="C7911" s="2"/>
      <c r="D7911" s="2" t="str">
        <f>IFERROR(__xludf.DUMMYFUNCTION("IF(C7911&lt;&gt;"""", GOOGLETRANSLATE(C7911, ""en"", ""te""),"""")"),"")</f>
        <v/>
      </c>
      <c r="E7911" s="2"/>
      <c r="F7911" s="2" t="str">
        <f>IFERROR(__xludf.DUMMYFUNCTION("IF(E7911&lt;&gt;"""", GOOGLETRANSLATE(E7911, ""en"", ""te""),"""")"),"")</f>
        <v/>
      </c>
      <c r="G7911" s="2"/>
      <c r="H7911" s="2" t="str">
        <f>IFERROR(__xludf.DUMMYFUNCTION("IF(G7911&lt;&gt;"""", GOOGLETRANSLATE(G7911, ""en"", ""te""),"""")"),"")</f>
        <v/>
      </c>
      <c r="I7911" s="3"/>
    </row>
    <row r="7912" customHeight="1" spans="1:9">
      <c r="A7912" s="2"/>
      <c r="B7912" s="2" t="str">
        <f>IFERROR(__xludf.DUMMYFUNCTION("IF(A7912&lt;&gt;"""", GOOGLETRANSLATE(A7912, ""en"", ""te""),"""")"),"")</f>
        <v/>
      </c>
      <c r="C7912" s="2"/>
      <c r="D7912" s="2" t="str">
        <f>IFERROR(__xludf.DUMMYFUNCTION("IF(C7912&lt;&gt;"""", GOOGLETRANSLATE(C7912, ""en"", ""te""),"""")"),"")</f>
        <v/>
      </c>
      <c r="E7912" s="2"/>
      <c r="F7912" s="2" t="str">
        <f>IFERROR(__xludf.DUMMYFUNCTION("IF(E7912&lt;&gt;"""", GOOGLETRANSLATE(E7912, ""en"", ""te""),"""")"),"")</f>
        <v/>
      </c>
      <c r="G7912" s="2"/>
      <c r="H7912" s="2" t="str">
        <f>IFERROR(__xludf.DUMMYFUNCTION("IF(G7912&lt;&gt;"""", GOOGLETRANSLATE(G7912, ""en"", ""te""),"""")"),"")</f>
        <v/>
      </c>
      <c r="I7912" s="3"/>
    </row>
    <row r="7913" customHeight="1" spans="1:9">
      <c r="A7913" s="2"/>
      <c r="B7913" s="2" t="str">
        <f>IFERROR(__xludf.DUMMYFUNCTION("IF(A7913&lt;&gt;"""", GOOGLETRANSLATE(A7913, ""en"", ""te""),"""")"),"")</f>
        <v/>
      </c>
      <c r="C7913" s="2"/>
      <c r="D7913" s="2" t="str">
        <f>IFERROR(__xludf.DUMMYFUNCTION("IF(C7913&lt;&gt;"""", GOOGLETRANSLATE(C7913, ""en"", ""te""),"""")"),"")</f>
        <v/>
      </c>
      <c r="E7913" s="2"/>
      <c r="F7913" s="2" t="str">
        <f>IFERROR(__xludf.DUMMYFUNCTION("IF(E7913&lt;&gt;"""", GOOGLETRANSLATE(E7913, ""en"", ""te""),"""")"),"")</f>
        <v/>
      </c>
      <c r="G7913" s="2"/>
      <c r="H7913" s="2" t="str">
        <f>IFERROR(__xludf.DUMMYFUNCTION("IF(G7913&lt;&gt;"""", GOOGLETRANSLATE(G7913, ""en"", ""te""),"""")"),"")</f>
        <v/>
      </c>
      <c r="I7913" s="3"/>
    </row>
    <row r="7914" customHeight="1" spans="1:9">
      <c r="A7914" s="2"/>
      <c r="B7914" s="2" t="str">
        <f>IFERROR(__xludf.DUMMYFUNCTION("IF(A7914&lt;&gt;"""", GOOGLETRANSLATE(A7914, ""en"", ""te""),"""")"),"")</f>
        <v/>
      </c>
      <c r="C7914" s="2"/>
      <c r="D7914" s="2" t="str">
        <f>IFERROR(__xludf.DUMMYFUNCTION("IF(C7914&lt;&gt;"""", GOOGLETRANSLATE(C7914, ""en"", ""te""),"""")"),"")</f>
        <v/>
      </c>
      <c r="E7914" s="2"/>
      <c r="F7914" s="2" t="str">
        <f>IFERROR(__xludf.DUMMYFUNCTION("IF(E7914&lt;&gt;"""", GOOGLETRANSLATE(E7914, ""en"", ""te""),"""")"),"")</f>
        <v/>
      </c>
      <c r="G7914" s="2"/>
      <c r="H7914" s="2" t="str">
        <f>IFERROR(__xludf.DUMMYFUNCTION("IF(G7914&lt;&gt;"""", GOOGLETRANSLATE(G7914, ""en"", ""te""),"""")"),"")</f>
        <v/>
      </c>
      <c r="I7914" s="3"/>
    </row>
    <row r="7915" customHeight="1" spans="1:9">
      <c r="A7915" s="2"/>
      <c r="B7915" s="2" t="str">
        <f>IFERROR(__xludf.DUMMYFUNCTION("IF(A7915&lt;&gt;"""", GOOGLETRANSLATE(A7915, ""en"", ""te""),"""")"),"")</f>
        <v/>
      </c>
      <c r="C7915" s="2"/>
      <c r="D7915" s="2" t="str">
        <f>IFERROR(__xludf.DUMMYFUNCTION("IF(C7915&lt;&gt;"""", GOOGLETRANSLATE(C7915, ""en"", ""te""),"""")"),"")</f>
        <v/>
      </c>
      <c r="E7915" s="2"/>
      <c r="F7915" s="2" t="str">
        <f>IFERROR(__xludf.DUMMYFUNCTION("IF(E7915&lt;&gt;"""", GOOGLETRANSLATE(E7915, ""en"", ""te""),"""")"),"")</f>
        <v/>
      </c>
      <c r="G7915" s="2"/>
      <c r="H7915" s="2" t="str">
        <f>IFERROR(__xludf.DUMMYFUNCTION("IF(G7915&lt;&gt;"""", GOOGLETRANSLATE(G7915, ""en"", ""te""),"""")"),"")</f>
        <v/>
      </c>
      <c r="I7915" s="3"/>
    </row>
    <row r="7916" customHeight="1" spans="1:9">
      <c r="A7916" s="2"/>
      <c r="B7916" s="2" t="str">
        <f>IFERROR(__xludf.DUMMYFUNCTION("IF(A7916&lt;&gt;"""", GOOGLETRANSLATE(A7916, ""en"", ""te""),"""")"),"")</f>
        <v/>
      </c>
      <c r="C7916" s="2"/>
      <c r="D7916" s="2" t="str">
        <f>IFERROR(__xludf.DUMMYFUNCTION("IF(C7916&lt;&gt;"""", GOOGLETRANSLATE(C7916, ""en"", ""te""),"""")"),"")</f>
        <v/>
      </c>
      <c r="E7916" s="2"/>
      <c r="F7916" s="2" t="str">
        <f>IFERROR(__xludf.DUMMYFUNCTION("IF(E7916&lt;&gt;"""", GOOGLETRANSLATE(E7916, ""en"", ""te""),"""")"),"")</f>
        <v/>
      </c>
      <c r="G7916" s="2"/>
      <c r="H7916" s="2" t="str">
        <f>IFERROR(__xludf.DUMMYFUNCTION("IF(G7916&lt;&gt;"""", GOOGLETRANSLATE(G7916, ""en"", ""te""),"""")"),"")</f>
        <v/>
      </c>
      <c r="I7916" s="3"/>
    </row>
    <row r="7917" customHeight="1" spans="1:9">
      <c r="A7917" s="2"/>
      <c r="B7917" s="2" t="str">
        <f>IFERROR(__xludf.DUMMYFUNCTION("IF(A7917&lt;&gt;"""", GOOGLETRANSLATE(A7917, ""en"", ""te""),"""")"),"")</f>
        <v/>
      </c>
      <c r="C7917" s="2"/>
      <c r="D7917" s="2" t="str">
        <f>IFERROR(__xludf.DUMMYFUNCTION("IF(C7917&lt;&gt;"""", GOOGLETRANSLATE(C7917, ""en"", ""te""),"""")"),"")</f>
        <v/>
      </c>
      <c r="E7917" s="2"/>
      <c r="F7917" s="2" t="str">
        <f>IFERROR(__xludf.DUMMYFUNCTION("IF(E7917&lt;&gt;"""", GOOGLETRANSLATE(E7917, ""en"", ""te""),"""")"),"")</f>
        <v/>
      </c>
      <c r="G7917" s="2"/>
      <c r="H7917" s="2" t="str">
        <f>IFERROR(__xludf.DUMMYFUNCTION("IF(G7917&lt;&gt;"""", GOOGLETRANSLATE(G7917, ""en"", ""te""),"""")"),"")</f>
        <v/>
      </c>
      <c r="I7917" s="3"/>
    </row>
    <row r="7918" customHeight="1" spans="1:9">
      <c r="A7918" s="2"/>
      <c r="B7918" s="2" t="str">
        <f>IFERROR(__xludf.DUMMYFUNCTION("IF(A7918&lt;&gt;"""", GOOGLETRANSLATE(A7918, ""en"", ""te""),"""")"),"")</f>
        <v/>
      </c>
      <c r="C7918" s="2"/>
      <c r="D7918" s="2" t="str">
        <f>IFERROR(__xludf.DUMMYFUNCTION("IF(C7918&lt;&gt;"""", GOOGLETRANSLATE(C7918, ""en"", ""te""),"""")"),"")</f>
        <v/>
      </c>
      <c r="E7918" s="2"/>
      <c r="F7918" s="2" t="str">
        <f>IFERROR(__xludf.DUMMYFUNCTION("IF(E7918&lt;&gt;"""", GOOGLETRANSLATE(E7918, ""en"", ""te""),"""")"),"")</f>
        <v/>
      </c>
      <c r="G7918" s="2"/>
      <c r="H7918" s="2" t="str">
        <f>IFERROR(__xludf.DUMMYFUNCTION("IF(G7918&lt;&gt;"""", GOOGLETRANSLATE(G7918, ""en"", ""te""),"""")"),"")</f>
        <v/>
      </c>
      <c r="I7918" s="3"/>
    </row>
    <row r="7919" customHeight="1" spans="1:9">
      <c r="A7919" s="2"/>
      <c r="B7919" s="2" t="str">
        <f>IFERROR(__xludf.DUMMYFUNCTION("IF(A7919&lt;&gt;"""", GOOGLETRANSLATE(A7919, ""en"", ""te""),"""")"),"")</f>
        <v/>
      </c>
      <c r="C7919" s="2"/>
      <c r="D7919" s="2" t="str">
        <f>IFERROR(__xludf.DUMMYFUNCTION("IF(C7919&lt;&gt;"""", GOOGLETRANSLATE(C7919, ""en"", ""te""),"""")"),"")</f>
        <v/>
      </c>
      <c r="E7919" s="2"/>
      <c r="F7919" s="2" t="str">
        <f>IFERROR(__xludf.DUMMYFUNCTION("IF(E7919&lt;&gt;"""", GOOGLETRANSLATE(E7919, ""en"", ""te""),"""")"),"")</f>
        <v/>
      </c>
      <c r="G7919" s="2"/>
      <c r="H7919" s="2" t="str">
        <f>IFERROR(__xludf.DUMMYFUNCTION("IF(G7919&lt;&gt;"""", GOOGLETRANSLATE(G7919, ""en"", ""te""),"""")"),"")</f>
        <v/>
      </c>
      <c r="I7919" s="3"/>
    </row>
    <row r="7920" customHeight="1" spans="1:9">
      <c r="A7920" s="2"/>
      <c r="B7920" s="2" t="str">
        <f>IFERROR(__xludf.DUMMYFUNCTION("IF(A7920&lt;&gt;"""", GOOGLETRANSLATE(A7920, ""en"", ""te""),"""")"),"")</f>
        <v/>
      </c>
      <c r="C7920" s="2"/>
      <c r="D7920" s="2" t="str">
        <f>IFERROR(__xludf.DUMMYFUNCTION("IF(C7920&lt;&gt;"""", GOOGLETRANSLATE(C7920, ""en"", ""te""),"""")"),"")</f>
        <v/>
      </c>
      <c r="E7920" s="2"/>
      <c r="F7920" s="2" t="str">
        <f>IFERROR(__xludf.DUMMYFUNCTION("IF(E7920&lt;&gt;"""", GOOGLETRANSLATE(E7920, ""en"", ""te""),"""")"),"")</f>
        <v/>
      </c>
      <c r="G7920" s="2"/>
      <c r="H7920" s="2" t="str">
        <f>IFERROR(__xludf.DUMMYFUNCTION("IF(G7920&lt;&gt;"""", GOOGLETRANSLATE(G7920, ""en"", ""te""),"""")"),"")</f>
        <v/>
      </c>
      <c r="I7920" s="3"/>
    </row>
    <row r="7921" customHeight="1" spans="1:9">
      <c r="A7921" s="2" t="s">
        <v>4451</v>
      </c>
      <c r="B7921" s="2" t="str">
        <f>IFERROR(__xludf.DUMMYFUNCTION("IF(A7921&lt;&gt;"""", GOOGLETRANSLATE(A7921, ""en"", ""te""),"""")"),"[ 'ఒక కెప్టెన్తో ఒక మ్యాచ్లో 3 వ బెస్ట్ ఫిగర్స్ (8)', 'తొలి మ్యాచ్లో 2nd బెస్ట్ ఫిగర్స్ (8)', 'బ్యాటింగ్ తెరవడం మరియు అదే మ్యాచ్ లో బౌలింగ్']")</f>
        <v>[ 'ఒక కెప్టెన్తో ఒక మ్యాచ్లో 3 వ బెస్ట్ ఫిగర్స్ (8)', 'తొలి మ్యాచ్లో 2nd బెస్ట్ ఫిగర్స్ (8)', 'బ్యాటింగ్ తెరవడం మరియు అదే మ్యాచ్ లో బౌలింగ్']</v>
      </c>
      <c r="C7921" s="2" t="s">
        <v>4452</v>
      </c>
      <c r="D7921" s="2" t="str">
        <f>IFERROR(__xludf.DUMMYFUNCTION("IF(C7921&lt;&gt;"""", GOOGLETRANSLATE(C7921, ""en"", ""te""),"""")"),"[ '26 ఒక మ్యాచ్లో బెస్ట్ ఫిగర్స్ (8)', 'ఒక కెప్టెన్తో ఒక ఇన్నింగ్స్ లో 10 వ బెస్ట్ ఫిగర్స్ (4)', '14 వ ఉత్తమ కెరీర్లో ఒక కెప్టెన్ (8) ఒక మ్యాచ్లో 3 వ బెస్ట్ ఫిగర్స్' సగటు బౌలింగ్ ( అర్హత లేకుండా) (7.12) ',' 14 వ అరంగేట్రంలోనే ఇన్నింగ్స్ లోని బెస్ట్ ఫిగర్స"&amp;"్ (4) ',' 2 వ ప్రవేశం (8 న ఒక మ్యాచ్ లో ఉత్తమ సంఖ్యలు) ']")</f>
        <v>[ '26 ఒక మ్యాచ్లో బెస్ట్ ఫిగర్స్ (8)', 'ఒక కెప్టెన్తో ఒక ఇన్నింగ్స్ లో 10 వ బెస్ట్ ఫిగర్స్ (4)', '14 వ ఉత్తమ కెరీర్లో ఒక కెప్టెన్ (8) ఒక మ్యాచ్లో 3 వ బెస్ట్ ఫిగర్స్' సగటు బౌలింగ్ ( అర్హత లేకుండా) (7.12) ',' 14 వ అరంగేట్రంలోనే ఇన్నింగ్స్ లోని బెస్ట్ ఫిగర్స్ (4) ',' 2 వ ప్రవేశం (8 న ఒక మ్యాచ్ లో ఉత్తమ సంఖ్యలు) ']</v>
      </c>
      <c r="E7921" s="2" t="s">
        <v>4453</v>
      </c>
      <c r="F7921" s="2" t="str">
        <f>IFERROR(__xludf.DUMMYFUNCTION("IF(E7921&lt;&gt;"""", GOOGLETRANSLATE(E7921, ""en"", ""te""),"""")"),"[ '45 వ ఉత్తమ కెరీర్ ఆర్థిక రేటు (2.91)', 'బృందం (15) కెప్టెన్ గా 46 వ వరుస మ్యాచ్లు']")</f>
        <v>[ '45 వ ఉత్తమ కెరీర్ ఆర్థిక రేటు (2.91)', 'బృందం (15) కెప్టెన్ గా 46 వ వరుస మ్యాచ్లు']</v>
      </c>
      <c r="G7921" s="2"/>
      <c r="H7921" s="2" t="str">
        <f>IFERROR(__xludf.DUMMYFUNCTION("IF(G7921&lt;&gt;"""", GOOGLETRANSLATE(G7921, ""en"", ""te""),"""")"),"")</f>
        <v/>
      </c>
      <c r="I7921" s="3"/>
    </row>
    <row r="7922" customHeight="1" spans="1:9">
      <c r="A7922" s="2"/>
      <c r="B7922" s="2" t="str">
        <f>IFERROR(__xludf.DUMMYFUNCTION("IF(A7922&lt;&gt;"""", GOOGLETRANSLATE(A7922, ""en"", ""te""),"""")"),"")</f>
        <v/>
      </c>
      <c r="C7922" s="2"/>
      <c r="D7922" s="2" t="str">
        <f>IFERROR(__xludf.DUMMYFUNCTION("IF(C7922&lt;&gt;"""", GOOGLETRANSLATE(C7922, ""en"", ""te""),"""")"),"")</f>
        <v/>
      </c>
      <c r="E7922" s="2"/>
      <c r="F7922" s="2" t="str">
        <f>IFERROR(__xludf.DUMMYFUNCTION("IF(E7922&lt;&gt;"""", GOOGLETRANSLATE(E7922, ""en"", ""te""),"""")"),"")</f>
        <v/>
      </c>
      <c r="G7922" s="2"/>
      <c r="H7922" s="2" t="str">
        <f>IFERROR(__xludf.DUMMYFUNCTION("IF(G7922&lt;&gt;"""", GOOGLETRANSLATE(G7922, ""en"", ""te""),"""")"),"")</f>
        <v/>
      </c>
      <c r="I7922" s="3"/>
    </row>
    <row r="7923" customHeight="1" spans="1:9">
      <c r="A7923" s="2" t="s">
        <v>4454</v>
      </c>
      <c r="B7923" s="2" t="str">
        <f>IFERROR(__xludf.DUMMYFUNCTION("IF(A7923&lt;&gt;"""", GOOGLETRANSLATE(A7923, ""en"", ""te""),"""")"),"[ '1st అత్యుత్తమ బౌలింగ్ ఇన్నింగ్స్ లో విశ్లేషించడం (1/0)', ​​'3 వ చెత్త కెరీర్లో ఆర్థిక రేటు (6.17)', 'ప్రవేశం (4) ఒక ఇన్నింగ్స్ లో 4 వ బెస్ట్ ఫిగర్స్']")</f>
        <v>[ '1st అత్యుత్తమ బౌలింగ్ ఇన్నింగ్స్ లో విశ్లేషించడం (1/0)', ​​'3 వ చెత్త కెరీర్లో ఆర్థిక రేటు (6.17)', 'ప్రవేశం (4) ఒక ఇన్నింగ్స్ లో 4 వ బెస్ట్ ఫిగర్స్']</v>
      </c>
      <c r="C7923" s="2" t="s">
        <v>4455</v>
      </c>
      <c r="D7923" s="2" t="str">
        <f>IFERROR(__xludf.DUMMYFUNCTION("IF(C7923&lt;&gt;"""", GOOGLETRANSLATE(C7923, ""en"", ""te""),"""")"),"[ '1st అత్యుత్తమ ఇన్నింగ్స్ లో బౌలింగ్ విశ్లేషణలు (1/0)', ​​'14 వ చెత్త కెరీర్లో ఆర్థిక రేటు (3.71)']")</f>
        <v>[ '1st అత్యుత్తమ ఇన్నింగ్స్ లో బౌలింగ్ విశ్లేషణలు (1/0)', ​​'14 వ చెత్త కెరీర్లో ఆర్థిక రేటు (3.71)']</v>
      </c>
      <c r="E7923" s="2" t="s">
        <v>4456</v>
      </c>
      <c r="F7923" s="2" t="str">
        <f>IFERROR(__xludf.DUMMYFUNCTION("IF(E7923&lt;&gt;"""", GOOGLETRANSLATE(E7923, ""en"", ""te""),"""")"),"[ '11 వ చెత్త కెరీర్ బౌలింగ్ సరాసరి (56.60)', '3 వ చెత్త కెరీర్లో ఆర్థిక రేటు (6.17)']")</f>
        <v>[ '11 వ చెత్త కెరీర్ బౌలింగ్ సరాసరి (56.60)', '3 వ చెత్త కెరీర్లో ఆర్థిక రేటు (6.17)']</v>
      </c>
      <c r="G7923" s="2" t="s">
        <v>1574</v>
      </c>
      <c r="H7923" s="2" t="str">
        <f>IFERROR(__xludf.DUMMYFUNCTION("IF(G7923&lt;&gt;"""", GOOGLETRANSLATE(G7923, ""en"", ""te""),"""")"),"[ 'తొలి ఇన్నింగ్స్లో 4 వ ఉత్తమ బొమ్మలు (4)']")</f>
        <v>[ 'తొలి ఇన్నింగ్స్లో 4 వ ఉత్తమ బొమ్మలు (4)']</v>
      </c>
      <c r="I7923" s="3"/>
    </row>
    <row r="7924" customHeight="1" spans="1:9">
      <c r="A7924" s="2"/>
      <c r="B7924" s="2" t="str">
        <f>IFERROR(__xludf.DUMMYFUNCTION("IF(A7924&lt;&gt;"""", GOOGLETRANSLATE(A7924, ""en"", ""te""),"""")"),"")</f>
        <v/>
      </c>
      <c r="C7924" s="2"/>
      <c r="D7924" s="2" t="str">
        <f>IFERROR(__xludf.DUMMYFUNCTION("IF(C7924&lt;&gt;"""", GOOGLETRANSLATE(C7924, ""en"", ""te""),"""")"),"")</f>
        <v/>
      </c>
      <c r="E7924" s="2"/>
      <c r="F7924" s="2" t="str">
        <f>IFERROR(__xludf.DUMMYFUNCTION("IF(E7924&lt;&gt;"""", GOOGLETRANSLATE(E7924, ""en"", ""te""),"""")"),"")</f>
        <v/>
      </c>
      <c r="G7924" s="2"/>
      <c r="H7924" s="2" t="str">
        <f>IFERROR(__xludf.DUMMYFUNCTION("IF(G7924&lt;&gt;"""", GOOGLETRANSLATE(G7924, ""en"", ""te""),"""")"),"")</f>
        <v/>
      </c>
      <c r="I7924" s="3"/>
    </row>
    <row r="7925" customHeight="1" spans="1:9">
      <c r="A7925" s="2"/>
      <c r="B7925" s="2" t="str">
        <f>IFERROR(__xludf.DUMMYFUNCTION("IF(A7925&lt;&gt;"""", GOOGLETRANSLATE(A7925, ""en"", ""te""),"""")"),"")</f>
        <v/>
      </c>
      <c r="C7925" s="2"/>
      <c r="D7925" s="2" t="str">
        <f>IFERROR(__xludf.DUMMYFUNCTION("IF(C7925&lt;&gt;"""", GOOGLETRANSLATE(C7925, ""en"", ""te""),"""")"),"")</f>
        <v/>
      </c>
      <c r="E7925" s="2"/>
      <c r="F7925" s="2" t="str">
        <f>IFERROR(__xludf.DUMMYFUNCTION("IF(E7925&lt;&gt;"""", GOOGLETRANSLATE(E7925, ""en"", ""te""),"""")"),"")</f>
        <v/>
      </c>
      <c r="G7925" s="2"/>
      <c r="H7925" s="2" t="str">
        <f>IFERROR(__xludf.DUMMYFUNCTION("IF(G7925&lt;&gt;"""", GOOGLETRANSLATE(G7925, ""en"", ""te""),"""")"),"")</f>
        <v/>
      </c>
      <c r="I7925" s="3"/>
    </row>
    <row r="7926" customHeight="1" spans="1:9">
      <c r="A7926" s="2"/>
      <c r="B7926" s="2" t="str">
        <f>IFERROR(__xludf.DUMMYFUNCTION("IF(A7926&lt;&gt;"""", GOOGLETRANSLATE(A7926, ""en"", ""te""),"""")"),"")</f>
        <v/>
      </c>
      <c r="C7926" s="2"/>
      <c r="D7926" s="2" t="str">
        <f>IFERROR(__xludf.DUMMYFUNCTION("IF(C7926&lt;&gt;"""", GOOGLETRANSLATE(C7926, ""en"", ""te""),"""")"),"")</f>
        <v/>
      </c>
      <c r="E7926" s="2"/>
      <c r="F7926" s="2" t="str">
        <f>IFERROR(__xludf.DUMMYFUNCTION("IF(E7926&lt;&gt;"""", GOOGLETRANSLATE(E7926, ""en"", ""te""),"""")"),"")</f>
        <v/>
      </c>
      <c r="G7926" s="2"/>
      <c r="H7926" s="2" t="str">
        <f>IFERROR(__xludf.DUMMYFUNCTION("IF(G7926&lt;&gt;"""", GOOGLETRANSLATE(G7926, ""en"", ""te""),"""")"),"")</f>
        <v/>
      </c>
      <c r="I7926" s="3"/>
    </row>
    <row r="7927" customHeight="1" spans="1:9">
      <c r="A7927" s="2"/>
      <c r="B7927" s="2" t="str">
        <f>IFERROR(__xludf.DUMMYFUNCTION("IF(A7927&lt;&gt;"""", GOOGLETRANSLATE(A7927, ""en"", ""te""),"""")"),"")</f>
        <v/>
      </c>
      <c r="C7927" s="2"/>
      <c r="D7927" s="2" t="str">
        <f>IFERROR(__xludf.DUMMYFUNCTION("IF(C7927&lt;&gt;"""", GOOGLETRANSLATE(C7927, ""en"", ""te""),"""")"),"")</f>
        <v/>
      </c>
      <c r="E7927" s="2"/>
      <c r="F7927" s="2" t="str">
        <f>IFERROR(__xludf.DUMMYFUNCTION("IF(E7927&lt;&gt;"""", GOOGLETRANSLATE(E7927, ""en"", ""te""),"""")"),"")</f>
        <v/>
      </c>
      <c r="G7927" s="2"/>
      <c r="H7927" s="2" t="str">
        <f>IFERROR(__xludf.DUMMYFUNCTION("IF(G7927&lt;&gt;"""", GOOGLETRANSLATE(G7927, ""en"", ""te""),"""")"),"")</f>
        <v/>
      </c>
      <c r="I7927" s="3"/>
    </row>
    <row r="7928" customHeight="1" spans="1:9">
      <c r="A7928" s="2"/>
      <c r="B7928" s="2" t="str">
        <f>IFERROR(__xludf.DUMMYFUNCTION("IF(A7928&lt;&gt;"""", GOOGLETRANSLATE(A7928, ""en"", ""te""),"""")"),"")</f>
        <v/>
      </c>
      <c r="C7928" s="2"/>
      <c r="D7928" s="2" t="str">
        <f>IFERROR(__xludf.DUMMYFUNCTION("IF(C7928&lt;&gt;"""", GOOGLETRANSLATE(C7928, ""en"", ""te""),"""")"),"")</f>
        <v/>
      </c>
      <c r="E7928" s="2"/>
      <c r="F7928" s="2" t="str">
        <f>IFERROR(__xludf.DUMMYFUNCTION("IF(E7928&lt;&gt;"""", GOOGLETRANSLATE(E7928, ""en"", ""te""),"""")"),"")</f>
        <v/>
      </c>
      <c r="G7928" s="2"/>
      <c r="H7928" s="2" t="str">
        <f>IFERROR(__xludf.DUMMYFUNCTION("IF(G7928&lt;&gt;"""", GOOGLETRANSLATE(G7928, ""en"", ""te""),"""")"),"")</f>
        <v/>
      </c>
      <c r="I7928" s="3"/>
    </row>
    <row r="7929" customHeight="1" spans="1:9">
      <c r="A7929" s="2"/>
      <c r="B7929" s="2" t="str">
        <f>IFERROR(__xludf.DUMMYFUNCTION("IF(A7929&lt;&gt;"""", GOOGLETRANSLATE(A7929, ""en"", ""te""),"""")"),"")</f>
        <v/>
      </c>
      <c r="C7929" s="2"/>
      <c r="D7929" s="2" t="str">
        <f>IFERROR(__xludf.DUMMYFUNCTION("IF(C7929&lt;&gt;"""", GOOGLETRANSLATE(C7929, ""en"", ""te""),"""")"),"")</f>
        <v/>
      </c>
      <c r="E7929" s="2"/>
      <c r="F7929" s="2" t="str">
        <f>IFERROR(__xludf.DUMMYFUNCTION("IF(E7929&lt;&gt;"""", GOOGLETRANSLATE(E7929, ""en"", ""te""),"""")"),"")</f>
        <v/>
      </c>
      <c r="G7929" s="2"/>
      <c r="H7929" s="2" t="str">
        <f>IFERROR(__xludf.DUMMYFUNCTION("IF(G7929&lt;&gt;"""", GOOGLETRANSLATE(G7929, ""en"", ""te""),"""")"),"")</f>
        <v/>
      </c>
      <c r="I7929" s="3"/>
    </row>
    <row r="7930" customHeight="1" spans="1:9">
      <c r="A7930" s="2"/>
      <c r="B7930" s="2" t="str">
        <f>IFERROR(__xludf.DUMMYFUNCTION("IF(A7930&lt;&gt;"""", GOOGLETRANSLATE(A7930, ""en"", ""te""),"""")"),"")</f>
        <v/>
      </c>
      <c r="C7930" s="2"/>
      <c r="D7930" s="2" t="str">
        <f>IFERROR(__xludf.DUMMYFUNCTION("IF(C7930&lt;&gt;"""", GOOGLETRANSLATE(C7930, ""en"", ""te""),"""")"),"")</f>
        <v/>
      </c>
      <c r="E7930" s="2"/>
      <c r="F7930" s="2" t="str">
        <f>IFERROR(__xludf.DUMMYFUNCTION("IF(E7930&lt;&gt;"""", GOOGLETRANSLATE(E7930, ""en"", ""te""),"""")"),"")</f>
        <v/>
      </c>
      <c r="G7930" s="2"/>
      <c r="H7930" s="2" t="str">
        <f>IFERROR(__xludf.DUMMYFUNCTION("IF(G7930&lt;&gt;"""", GOOGLETRANSLATE(G7930, ""en"", ""te""),"""")"),"")</f>
        <v/>
      </c>
      <c r="I7930" s="3"/>
    </row>
    <row r="7931" customHeight="1" spans="1:9">
      <c r="A7931" s="2"/>
      <c r="B7931" s="2" t="str">
        <f>IFERROR(__xludf.DUMMYFUNCTION("IF(A7931&lt;&gt;"""", GOOGLETRANSLATE(A7931, ""en"", ""te""),"""")"),"")</f>
        <v/>
      </c>
      <c r="C7931" s="2"/>
      <c r="D7931" s="2" t="str">
        <f>IFERROR(__xludf.DUMMYFUNCTION("IF(C7931&lt;&gt;"""", GOOGLETRANSLATE(C7931, ""en"", ""te""),"""")"),"")</f>
        <v/>
      </c>
      <c r="E7931" s="2"/>
      <c r="F7931" s="2" t="str">
        <f>IFERROR(__xludf.DUMMYFUNCTION("IF(E7931&lt;&gt;"""", GOOGLETRANSLATE(E7931, ""en"", ""te""),"""")"),"")</f>
        <v/>
      </c>
      <c r="G7931" s="2"/>
      <c r="H7931" s="2" t="str">
        <f>IFERROR(__xludf.DUMMYFUNCTION("IF(G7931&lt;&gt;"""", GOOGLETRANSLATE(G7931, ""en"", ""te""),"""")"),"")</f>
        <v/>
      </c>
      <c r="I7931" s="3"/>
    </row>
    <row r="7932" customHeight="1" spans="1:9">
      <c r="A7932" s="2"/>
      <c r="B7932" s="2" t="str">
        <f>IFERROR(__xludf.DUMMYFUNCTION("IF(A7932&lt;&gt;"""", GOOGLETRANSLATE(A7932, ""en"", ""te""),"""")"),"")</f>
        <v/>
      </c>
      <c r="C7932" s="2"/>
      <c r="D7932" s="2" t="str">
        <f>IFERROR(__xludf.DUMMYFUNCTION("IF(C7932&lt;&gt;"""", GOOGLETRANSLATE(C7932, ""en"", ""te""),"""")"),"")</f>
        <v/>
      </c>
      <c r="E7932" s="2" t="s">
        <v>4457</v>
      </c>
      <c r="F7932" s="2" t="str">
        <f>IFERROR(__xludf.DUMMYFUNCTION("IF(E7932&lt;&gt;"""", GOOGLETRANSLATE(E7932, ""en"", ""te""),"""")"),"[ 'కెరీర్లో 20 వ నో బాతులు (18)', 'పదవ వికెట్కు 44 వ అత్యధిక భాగస్వామ్యం (25 *)']")</f>
        <v>[ 'కెరీర్లో 20 వ నో బాతులు (18)', 'పదవ వికెట్కు 44 వ అత్యధిక భాగస్వామ్యం (25 *)']</v>
      </c>
      <c r="G7932" s="2" t="s">
        <v>4458</v>
      </c>
      <c r="H7932" s="2" t="str">
        <f>IFERROR(__xludf.DUMMYFUNCTION("IF(G7932&lt;&gt;"""", GOOGLETRANSLATE(G7932, ""en"", ""te""),"""")"),"[ 'తొలి ఇన్నింగ్స్ 12 వ బెస్ట్ ఫిగర్స్ (3)', '32 వ అత్యధిక వికెట్లు స్టంప్ తీసుకున్న (6)']")</f>
        <v>[ 'తొలి ఇన్నింగ్స్ 12 వ బెస్ట్ ఫిగర్స్ (3)', '32 వ అత్యధిక వికెట్లు స్టంప్ తీసుకున్న (6)']</v>
      </c>
      <c r="I7932" s="3"/>
    </row>
    <row r="7933" customHeight="1" spans="1:9">
      <c r="A7933" s="2"/>
      <c r="B7933" s="2" t="str">
        <f>IFERROR(__xludf.DUMMYFUNCTION("IF(A7933&lt;&gt;"""", GOOGLETRANSLATE(A7933, ""en"", ""te""),"""")"),"")</f>
        <v/>
      </c>
      <c r="C7933" s="2"/>
      <c r="D7933" s="2" t="str">
        <f>IFERROR(__xludf.DUMMYFUNCTION("IF(C7933&lt;&gt;"""", GOOGLETRANSLATE(C7933, ""en"", ""te""),"""")"),"")</f>
        <v/>
      </c>
      <c r="E7933" s="2"/>
      <c r="F7933" s="2" t="str">
        <f>IFERROR(__xludf.DUMMYFUNCTION("IF(E7933&lt;&gt;"""", GOOGLETRANSLATE(E7933, ""en"", ""te""),"""")"),"")</f>
        <v/>
      </c>
      <c r="G7933" s="2"/>
      <c r="H7933" s="2" t="str">
        <f>IFERROR(__xludf.DUMMYFUNCTION("IF(G7933&lt;&gt;"""", GOOGLETRANSLATE(G7933, ""en"", ""te""),"""")"),"")</f>
        <v/>
      </c>
      <c r="I7933" s="3"/>
    </row>
    <row r="7934" customHeight="1" spans="1:9">
      <c r="A7934" s="2"/>
      <c r="B7934" s="2" t="str">
        <f>IFERROR(__xludf.DUMMYFUNCTION("IF(A7934&lt;&gt;"""", GOOGLETRANSLATE(A7934, ""en"", ""te""),"""")"),"")</f>
        <v/>
      </c>
      <c r="C7934" s="2"/>
      <c r="D7934" s="2" t="str">
        <f>IFERROR(__xludf.DUMMYFUNCTION("IF(C7934&lt;&gt;"""", GOOGLETRANSLATE(C7934, ""en"", ""te""),"""")"),"")</f>
        <v/>
      </c>
      <c r="E7934" s="2"/>
      <c r="F7934" s="2" t="str">
        <f>IFERROR(__xludf.DUMMYFUNCTION("IF(E7934&lt;&gt;"""", GOOGLETRANSLATE(E7934, ""en"", ""te""),"""")"),"")</f>
        <v/>
      </c>
      <c r="G7934" s="2"/>
      <c r="H7934" s="2" t="str">
        <f>IFERROR(__xludf.DUMMYFUNCTION("IF(G7934&lt;&gt;"""", GOOGLETRANSLATE(G7934, ""en"", ""te""),"""")"),"")</f>
        <v/>
      </c>
      <c r="I7934" s="3"/>
    </row>
    <row r="7935" customHeight="1" spans="1:9">
      <c r="A7935" s="2"/>
      <c r="B7935" s="2" t="str">
        <f>IFERROR(__xludf.DUMMYFUNCTION("IF(A7935&lt;&gt;"""", GOOGLETRANSLATE(A7935, ""en"", ""te""),"""")"),"")</f>
        <v/>
      </c>
      <c r="C7935" s="2"/>
      <c r="D7935" s="2" t="str">
        <f>IFERROR(__xludf.DUMMYFUNCTION("IF(C7935&lt;&gt;"""", GOOGLETRANSLATE(C7935, ""en"", ""te""),"""")"),"")</f>
        <v/>
      </c>
      <c r="E7935" s="2"/>
      <c r="F7935" s="2" t="str">
        <f>IFERROR(__xludf.DUMMYFUNCTION("IF(E7935&lt;&gt;"""", GOOGLETRANSLATE(E7935, ""en"", ""te""),"""")"),"")</f>
        <v/>
      </c>
      <c r="G7935" s="2"/>
      <c r="H7935" s="2" t="str">
        <f>IFERROR(__xludf.DUMMYFUNCTION("IF(G7935&lt;&gt;"""", GOOGLETRANSLATE(G7935, ""en"", ""te""),"""")"),"")</f>
        <v/>
      </c>
      <c r="I7935" s="3"/>
    </row>
    <row r="7936" customHeight="1" spans="1:9">
      <c r="A7936" s="2"/>
      <c r="B7936" s="2" t="str">
        <f>IFERROR(__xludf.DUMMYFUNCTION("IF(A7936&lt;&gt;"""", GOOGLETRANSLATE(A7936, ""en"", ""te""),"""")"),"")</f>
        <v/>
      </c>
      <c r="C7936" s="2"/>
      <c r="D7936" s="2" t="str">
        <f>IFERROR(__xludf.DUMMYFUNCTION("IF(C7936&lt;&gt;"""", GOOGLETRANSLATE(C7936, ""en"", ""te""),"""")"),"")</f>
        <v/>
      </c>
      <c r="E7936" s="2"/>
      <c r="F7936" s="2" t="str">
        <f>IFERROR(__xludf.DUMMYFUNCTION("IF(E7936&lt;&gt;"""", GOOGLETRANSLATE(E7936, ""en"", ""te""),"""")"),"")</f>
        <v/>
      </c>
      <c r="G7936" s="2"/>
      <c r="H7936" s="2" t="str">
        <f>IFERROR(__xludf.DUMMYFUNCTION("IF(G7936&lt;&gt;"""", GOOGLETRANSLATE(G7936, ""en"", ""te""),"""")"),"")</f>
        <v/>
      </c>
      <c r="I7936" s="3"/>
    </row>
    <row r="7937" customHeight="1" spans="1:9">
      <c r="A7937" s="2"/>
      <c r="B7937" s="2" t="str">
        <f>IFERROR(__xludf.DUMMYFUNCTION("IF(A7937&lt;&gt;"""", GOOGLETRANSLATE(A7937, ""en"", ""te""),"""")"),"")</f>
        <v/>
      </c>
      <c r="C7937" s="2"/>
      <c r="D7937" s="2" t="str">
        <f>IFERROR(__xludf.DUMMYFUNCTION("IF(C7937&lt;&gt;"""", GOOGLETRANSLATE(C7937, ""en"", ""te""),"""")"),"")</f>
        <v/>
      </c>
      <c r="E7937" s="2"/>
      <c r="F7937" s="2" t="str">
        <f>IFERROR(__xludf.DUMMYFUNCTION("IF(E7937&lt;&gt;"""", GOOGLETRANSLATE(E7937, ""en"", ""te""),"""")"),"")</f>
        <v/>
      </c>
      <c r="G7937" s="2"/>
      <c r="H7937" s="2" t="str">
        <f>IFERROR(__xludf.DUMMYFUNCTION("IF(G7937&lt;&gt;"""", GOOGLETRANSLATE(G7937, ""en"", ""te""),"""")"),"")</f>
        <v/>
      </c>
      <c r="I7937" s="3"/>
    </row>
    <row r="7938" customHeight="1" spans="1:9">
      <c r="A7938" s="2"/>
      <c r="B7938" s="2" t="str">
        <f>IFERROR(__xludf.DUMMYFUNCTION("IF(A7938&lt;&gt;"""", GOOGLETRANSLATE(A7938, ""en"", ""te""),"""")"),"")</f>
        <v/>
      </c>
      <c r="C7938" s="2"/>
      <c r="D7938" s="2" t="str">
        <f>IFERROR(__xludf.DUMMYFUNCTION("IF(C7938&lt;&gt;"""", GOOGLETRANSLATE(C7938, ""en"", ""te""),"""")"),"")</f>
        <v/>
      </c>
      <c r="E7938" s="2"/>
      <c r="F7938" s="2" t="str">
        <f>IFERROR(__xludf.DUMMYFUNCTION("IF(E7938&lt;&gt;"""", GOOGLETRANSLATE(E7938, ""en"", ""te""),"""")"),"")</f>
        <v/>
      </c>
      <c r="G7938" s="2"/>
      <c r="H7938" s="2" t="str">
        <f>IFERROR(__xludf.DUMMYFUNCTION("IF(G7938&lt;&gt;"""", GOOGLETRANSLATE(G7938, ""en"", ""te""),"""")"),"")</f>
        <v/>
      </c>
      <c r="I7938" s="3"/>
    </row>
    <row r="7939" customHeight="1" spans="1:9">
      <c r="A7939" s="2" t="s">
        <v>4459</v>
      </c>
      <c r="B7939" s="2" t="str">
        <f>IFERROR(__xludf.DUMMYFUNCTION("IF(A7939&lt;&gt;"""", GOOGLETRANSLATE(A7939, ""en"", ""te""),"""")"),"[ 'హండ్రెడ్ తొలి (103 *)', 'వరుస 2 వ అత్యధిక డబుల్ సెంచరీలు (2)']")</f>
        <v>[ 'హండ్రెడ్ తొలి (103 *)', 'వరుస 2 వ అత్యధిక డబుల్ సెంచరీలు (2)']</v>
      </c>
      <c r="C7939" s="2" t="s">
        <v>4460</v>
      </c>
      <c r="D7939" s="2" t="str">
        <f>IFERROR(__xludf.DUMMYFUNCTION("IF(C7939&lt;&gt;"""", GOOGLETRANSLATE(C7939, ""en"", ""te""),"""")"),"[ '47 వ ఒక క్యాలెండర్ సంవత్సరంలో అత్యధిక పరుగులు (1234)', '12 వ ఇన్నింగ్స్ లో అత్యధిక పరుగులు (బ్యాటింగ్ స్థానంలో ప్రకారం) (231)', '30 వ అత్యధిక పరుగులు పరాజయం వైపు ఒక మ్యాచ్లో (220)', '43 వ అత్యంత వరుస (2) ',' ఫాస్టెస్ట్ 42 వ 4000 పరుగులు లో ఒకే క్రీడా "&amp;"(1239) పరుగులు ',' 2 వ అత్యధిక డబుల్ సెంచరీలు (92) ',' 34 వ 5000 పరుగులు (114) ',' 41 వ అత్యధిక కోసం భాగస్వామ్యానికి వేగంగా మూడో వికెట్ (262) ఐదో వికెట్కు ',' 18 వ అత్యధిక భాగస్వామ్యం (280) ఎనిమిదో వికెట్కు ',' 26th అత్యధిక భాగస్వామ్యం (146) ',' తొమ్మిదవ "&amp;"వికెట్కు 28 అత్యధిక భాగస్వామ్యం (118) ']")</f>
        <v>[ '47 వ ఒక క్యాలెండర్ సంవత్సరంలో అత్యధిక పరుగులు (1234)', '12 వ ఇన్నింగ్స్ లో అత్యధిక పరుగులు (బ్యాటింగ్ స్థానంలో ప్రకారం) (231)', '30 వ అత్యధిక పరుగులు పరాజయం వైపు ఒక మ్యాచ్లో (220)', '43 వ అత్యంత వరుస (2) ',' ఫాస్టెస్ట్ 42 వ 4000 పరుగులు లో ఒకే క్రీడా (1239) పరుగులు ',' 2 వ అత్యధిక డబుల్ సెంచరీలు (92) ',' 34 వ 5000 పరుగులు (114) ',' 41 వ అత్యధిక కోసం భాగస్వామ్యానికి వేగంగా మూడో వికెట్ (262) ఐదో వికెట్కు ',' 18 వ అత్యధిక భాగస్వామ్యం (280) ఎనిమిదో వికెట్కు ',' 26th అత్యధిక భాగస్వామ్యం (146) ',' తొమ్మిదవ వికెట్కు 28 అత్యధిక భాగస్వామ్యం (118) ']</v>
      </c>
      <c r="E7939" s="2" t="s">
        <v>4461</v>
      </c>
      <c r="F7939" s="2" t="str">
        <f>IFERROR(__xludf.DUMMYFUNCTION("IF(E7939&lt;&gt;"""", GOOGLETRANSLATE(E7939, ""en"", ""te""),"""")"),"[ '30 వ అత్యంత వృద్ధ ఆటగాడు తొలి శతకాలను సాధించిన (32y 351d)', 'ఆరవ వికెట్ (127) కోసం 41 వ అత్యధిక భాగస్వామ్యం']")</f>
        <v>[ '30 వ అత్యంత వృద్ధ ఆటగాడు తొలి శతకాలను సాధించిన (32y 351d)', 'ఆరవ వికెట్ (127) కోసం 41 వ అత్యధిక భాగస్వామ్యం']</v>
      </c>
      <c r="G7939" s="2"/>
      <c r="H7939" s="2" t="str">
        <f>IFERROR(__xludf.DUMMYFUNCTION("IF(G7939&lt;&gt;"""", GOOGLETRANSLATE(G7939, ""en"", ""te""),"""")"),"")</f>
        <v/>
      </c>
      <c r="I7939" s="3"/>
    </row>
    <row r="7940" customHeight="1" spans="1:9">
      <c r="A7940" s="2"/>
      <c r="B7940" s="2" t="str">
        <f>IFERROR(__xludf.DUMMYFUNCTION("IF(A7940&lt;&gt;"""", GOOGLETRANSLATE(A7940, ""en"", ""te""),"""")"),"")</f>
        <v/>
      </c>
      <c r="C7940" s="2"/>
      <c r="D7940" s="2" t="str">
        <f>IFERROR(__xludf.DUMMYFUNCTION("IF(C7940&lt;&gt;"""", GOOGLETRANSLATE(C7940, ""en"", ""te""),"""")"),"")</f>
        <v/>
      </c>
      <c r="E7940" s="2"/>
      <c r="F7940" s="2" t="str">
        <f>IFERROR(__xludf.DUMMYFUNCTION("IF(E7940&lt;&gt;"""", GOOGLETRANSLATE(E7940, ""en"", ""te""),"""")"),"")</f>
        <v/>
      </c>
      <c r="G7940" s="2"/>
      <c r="H7940" s="2" t="str">
        <f>IFERROR(__xludf.DUMMYFUNCTION("IF(G7940&lt;&gt;"""", GOOGLETRANSLATE(G7940, ""en"", ""te""),"""")"),"")</f>
        <v/>
      </c>
      <c r="I7940" s="3"/>
    </row>
    <row r="7941" customHeight="1" spans="1:9">
      <c r="A7941" s="2"/>
      <c r="B7941" s="2" t="str">
        <f>IFERROR(__xludf.DUMMYFUNCTION("IF(A7941&lt;&gt;"""", GOOGLETRANSLATE(A7941, ""en"", ""te""),"""")"),"")</f>
        <v/>
      </c>
      <c r="C7941" s="2"/>
      <c r="D7941" s="2" t="str">
        <f>IFERROR(__xludf.DUMMYFUNCTION("IF(C7941&lt;&gt;"""", GOOGLETRANSLATE(C7941, ""en"", ""te""),"""")"),"")</f>
        <v/>
      </c>
      <c r="E7941" s="2"/>
      <c r="F7941" s="2" t="str">
        <f>IFERROR(__xludf.DUMMYFUNCTION("IF(E7941&lt;&gt;"""", GOOGLETRANSLATE(E7941, ""en"", ""te""),"""")"),"")</f>
        <v/>
      </c>
      <c r="G7941" s="2"/>
      <c r="H7941" s="2" t="str">
        <f>IFERROR(__xludf.DUMMYFUNCTION("IF(G7941&lt;&gt;"""", GOOGLETRANSLATE(G7941, ""en"", ""te""),"""")"),"")</f>
        <v/>
      </c>
      <c r="I7941" s="3"/>
    </row>
    <row r="7942" customHeight="1" spans="1:9">
      <c r="A7942" s="2"/>
      <c r="B7942" s="2" t="str">
        <f>IFERROR(__xludf.DUMMYFUNCTION("IF(A7942&lt;&gt;"""", GOOGLETRANSLATE(A7942, ""en"", ""te""),"""")"),"")</f>
        <v/>
      </c>
      <c r="C7942" s="2"/>
      <c r="D7942" s="2" t="str">
        <f>IFERROR(__xludf.DUMMYFUNCTION("IF(C7942&lt;&gt;"""", GOOGLETRANSLATE(C7942, ""en"", ""te""),"""")"),"")</f>
        <v/>
      </c>
      <c r="E7942" s="2"/>
      <c r="F7942" s="2" t="str">
        <f>IFERROR(__xludf.DUMMYFUNCTION("IF(E7942&lt;&gt;"""", GOOGLETRANSLATE(E7942, ""en"", ""te""),"""")"),"")</f>
        <v/>
      </c>
      <c r="G7942" s="2"/>
      <c r="H7942" s="2" t="str">
        <f>IFERROR(__xludf.DUMMYFUNCTION("IF(G7942&lt;&gt;"""", GOOGLETRANSLATE(G7942, ""en"", ""te""),"""")"),"")</f>
        <v/>
      </c>
      <c r="I7942" s="3"/>
    </row>
    <row r="7943" customHeight="1" spans="1:9">
      <c r="A7943" s="2"/>
      <c r="B7943" s="2" t="str">
        <f>IFERROR(__xludf.DUMMYFUNCTION("IF(A7943&lt;&gt;"""", GOOGLETRANSLATE(A7943, ""en"", ""te""),"""")"),"")</f>
        <v/>
      </c>
      <c r="C7943" s="2"/>
      <c r="D7943" s="2" t="str">
        <f>IFERROR(__xludf.DUMMYFUNCTION("IF(C7943&lt;&gt;"""", GOOGLETRANSLATE(C7943, ""en"", ""te""),"""")"),"")</f>
        <v/>
      </c>
      <c r="E7943" s="2"/>
      <c r="F7943" s="2" t="str">
        <f>IFERROR(__xludf.DUMMYFUNCTION("IF(E7943&lt;&gt;"""", GOOGLETRANSLATE(E7943, ""en"", ""te""),"""")"),"")</f>
        <v/>
      </c>
      <c r="G7943" s="2"/>
      <c r="H7943" s="2" t="str">
        <f>IFERROR(__xludf.DUMMYFUNCTION("IF(G7943&lt;&gt;"""", GOOGLETRANSLATE(G7943, ""en"", ""te""),"""")"),"")</f>
        <v/>
      </c>
      <c r="I7943" s="3"/>
    </row>
    <row r="7944" customHeight="1" spans="1:9">
      <c r="A7944" s="2"/>
      <c r="B7944" s="2" t="str">
        <f>IFERROR(__xludf.DUMMYFUNCTION("IF(A7944&lt;&gt;"""", GOOGLETRANSLATE(A7944, ""en"", ""te""),"""")"),"")</f>
        <v/>
      </c>
      <c r="C7944" s="2"/>
      <c r="D7944" s="2" t="str">
        <f>IFERROR(__xludf.DUMMYFUNCTION("IF(C7944&lt;&gt;"""", GOOGLETRANSLATE(C7944, ""en"", ""te""),"""")"),"")</f>
        <v/>
      </c>
      <c r="E7944" s="2"/>
      <c r="F7944" s="2" t="str">
        <f>IFERROR(__xludf.DUMMYFUNCTION("IF(E7944&lt;&gt;"""", GOOGLETRANSLATE(E7944, ""en"", ""te""),"""")"),"")</f>
        <v/>
      </c>
      <c r="G7944" s="2"/>
      <c r="H7944" s="2" t="str">
        <f>IFERROR(__xludf.DUMMYFUNCTION("IF(G7944&lt;&gt;"""", GOOGLETRANSLATE(G7944, ""en"", ""te""),"""")"),"")</f>
        <v/>
      </c>
      <c r="I7944" s="3"/>
    </row>
    <row r="7945" customHeight="1" spans="1:9">
      <c r="A7945" s="2"/>
      <c r="B7945" s="2" t="str">
        <f>IFERROR(__xludf.DUMMYFUNCTION("IF(A7945&lt;&gt;"""", GOOGLETRANSLATE(A7945, ""en"", ""te""),"""")"),"")</f>
        <v/>
      </c>
      <c r="C7945" s="2"/>
      <c r="D7945" s="2" t="str">
        <f>IFERROR(__xludf.DUMMYFUNCTION("IF(C7945&lt;&gt;"""", GOOGLETRANSLATE(C7945, ""en"", ""te""),"""")"),"")</f>
        <v/>
      </c>
      <c r="E7945" s="2"/>
      <c r="F7945" s="2" t="str">
        <f>IFERROR(__xludf.DUMMYFUNCTION("IF(E7945&lt;&gt;"""", GOOGLETRANSLATE(E7945, ""en"", ""te""),"""")"),"")</f>
        <v/>
      </c>
      <c r="G7945" s="2"/>
      <c r="H7945" s="2" t="str">
        <f>IFERROR(__xludf.DUMMYFUNCTION("IF(G7945&lt;&gt;"""", GOOGLETRANSLATE(G7945, ""en"", ""te""),"""")"),"")</f>
        <v/>
      </c>
      <c r="I7945" s="3"/>
    </row>
    <row r="7946" customHeight="1" spans="1:9">
      <c r="A7946" s="2" t="s">
        <v>4462</v>
      </c>
      <c r="B7946" s="2" t="str">
        <f>IFERROR(__xludf.DUMMYFUNCTION("IF(A7946&lt;&gt;"""", GOOGLETRANSLATE(A7946, ""en"", ""te""),"""")"),"[ 'వికెట్ను కాపాడుకున్నాడు చేసిన 5 వ కెప్టెన్ల (11)', '5 వ ఇన్నింగ్స్ లో అత్యధిక పరుగులు (బ్యాటింగ్ స్థానంలో ద్వారా) (29' తొమ్మిదవ వికెట్ (65) కోసం 3 వ అత్యధిక భాగస్వామ్యం '' 1 వ అసాధారణ వికెట్లు (అవుట్ రిటైర్) ', *) ',' ఎనిమిదవ వికెట్కు 10 వ అత్యధిక భాగ"&amp;"స్వామ్యం (32 *) ']")</f>
        <v>[ 'వికెట్ను కాపాడుకున్నాడు చేసిన 5 వ కెప్టెన్ల (11)', '5 వ ఇన్నింగ్స్ లో అత్యధిక పరుగులు (బ్యాటింగ్ స్థానంలో ద్వారా) (29' తొమ్మిదవ వికెట్ (65) కోసం 3 వ అత్యధిక భాగస్వామ్యం '' 1 వ అసాధారణ వికెట్లు (అవుట్ రిటైర్) ', *) ',' ఎనిమిదవ వికెట్కు 10 వ అత్యధిక భాగస్వామ్యం (32 *) ']</v>
      </c>
      <c r="C7946" s="2"/>
      <c r="D7946" s="2" t="str">
        <f>IFERROR(__xludf.DUMMYFUNCTION("IF(C7946&lt;&gt;"""", GOOGLETRANSLATE(C7946, ""en"", ""te""),"""")"),"")</f>
        <v/>
      </c>
      <c r="E7946" s="2" t="s">
        <v>4463</v>
      </c>
      <c r="F7946" s="2" t="str">
        <f>IFERROR(__xludf.DUMMYFUNCTION("IF(E7946&lt;&gt;"""", GOOGLETRANSLATE(E7946, ""en"", ""te""),"""")"),"[ '25 వ అత్యంత వికెట్కీపర్ శ్రేణిలో పరుగులు (198)', 'అత్యధిక వికెట్లు ఇన్నింగ్స్ లో 39 వ అత్యధిక పరుగులు (84)', '15 వ అత్యంత బాతులు' వంద (1363) లేకుండా ఒక కెరీర్లో 12 వ అత్యధిక పరుగులు ' కెరీర్ (10) ',' 1st అసాధారణ వికెట్లు (అవుట్ రిటైర్) ',' ఆరవ వికెట్క"&amp;"ు 23 అత్యధిక భాగస్వామ్యం (76) ',' తొమ్మిదవ వికెట్కు 3 వ అత్యధిక భాగస్వామ్యం (65) ',' 45 వ అత్యధిక కెరీర్ లో మ్యాచ్లు (లో 97) ',' ఒక జట్టు కోసం 19 వరుస మ్యాచ్లు (53) ',' వికెట్ను కాపాడుకున్నాడు చేసిన 5 వ కెప్టెన్ల (11) ',' 12 వ కెరీర్ లో అత్యధిక వికెట్లు ("&amp;"61) ',' 17 వ ఇన్నింగ్స్ లో అత్యధిక వికెట్లు (4) ',' 39 వ ఒక సిరీస్లో అత్యధిక వికెట్లు (10) ',' ఇన్నింగ్స్ లో కెరీర్లో 11 వ అత్యధిక క్యాచ్లు (37) ', '21 వ అత్యధిక క్యాచ్లు (3)', '11 వ అత్యంత స్టంపింగ్లు కెరీర్లో (24)', '22 వ ఒక సిరీస్లో అత్యధిక స్టంపింగ్లు"&amp;" (5) ']")</f>
        <v>[ '25 వ అత్యంత వికెట్కీపర్ శ్రేణిలో పరుగులు (198)', 'అత్యధిక వికెట్లు ఇన్నింగ్స్ లో 39 వ అత్యధిక పరుగులు (84)', '15 వ అత్యంత బాతులు' వంద (1363) లేకుండా ఒక కెరీర్లో 12 వ అత్యధిక పరుగులు ' కెరీర్ (10) ',' 1st అసాధారణ వికెట్లు (అవుట్ రిటైర్) ',' ఆరవ వికెట్కు 23 అత్యధిక భాగస్వామ్యం (76) ',' తొమ్మిదవ వికెట్కు 3 వ అత్యధిక భాగస్వామ్యం (65) ',' 45 వ అత్యధిక కెరీర్ లో మ్యాచ్లు (లో 97) ',' ఒక జట్టు కోసం 19 వరుస మ్యాచ్లు (53) ',' వికెట్ను కాపాడుకున్నాడు చేసిన 5 వ కెప్టెన్ల (11) ',' 12 వ కెరీర్ లో అత్యధిక వికెట్లు (61) ',' 17 వ ఇన్నింగ్స్ లో అత్యధిక వికెట్లు (4) ',' 39 వ ఒక సిరీస్లో అత్యధిక వికెట్లు (10) ',' ఇన్నింగ్స్ లో కెరీర్లో 11 వ అత్యధిక క్యాచ్లు (37) ', '21 వ అత్యధిక క్యాచ్లు (3)', '11 వ అత్యంత స్టంపింగ్లు కెరీర్లో (24)', '22 వ ఒక సిరీస్లో అత్యధిక స్టంపింగ్లు (5) ']</v>
      </c>
      <c r="G7946" s="2" t="s">
        <v>4464</v>
      </c>
      <c r="H7946" s="2" t="str">
        <f>IFERROR(__xludf.DUMMYFUNCTION("IF(G7946&lt;&gt;"""", GOOGLETRANSLATE(G7946, ""en"", ""te""),"""")"),"[ 'ఇన్నింగ్స్ లో 5 వ అత్యధిక పరుగులు (బ్యాటింగ్ స్థానంలో ద్వారా) (29 *)', 'ఏడవ వికెట్కు 43 వ అత్యధిక భాగస్వామ్యం (31)', 'ఎనిమిదవ వికెట్ (32 *) కోసం 10 వ అత్యధిక భాగస్వామ్యం', '32 వ అత్యధిక భాగస్వామ్యం తొమ్మిదవ వికెట్ (17 *) ',' వికెట్ (2) ఉంచింది చేసిన 13"&amp;" వ కెప్టెన్ల ',' 18 వ కెరీర్ లో అత్యధిక వికెట్లు (26) ',' 16 వ కెరీర్ లో అత్యధిక క్యాచ్లు (11) ',' 18 వ కెరీర్ స్టంపింగ్లు కోసం (15) ',' 13 వ అత్యంత బైలు ఇన్నింగ్స్ లో (6) సాధించిన]")</f>
        <v>[ 'ఇన్నింగ్స్ లో 5 వ అత్యధిక పరుగులు (బ్యాటింగ్ స్థానంలో ద్వారా) (29 *)', 'ఏడవ వికెట్కు 43 వ అత్యధిక భాగస్వామ్యం (31)', 'ఎనిమిదవ వికెట్ (32 *) కోసం 10 వ అత్యధిక భాగస్వామ్యం', '32 వ అత్యధిక భాగస్వామ్యం తొమ్మిదవ వికెట్ (17 *) ',' వికెట్ (2) ఉంచింది చేసిన 13 వ కెప్టెన్ల ',' 18 వ కెరీర్ లో అత్యధిక వికెట్లు (26) ',' 16 వ కెరీర్ లో అత్యధిక క్యాచ్లు (11) ',' 18 వ కెరీర్ స్టంపింగ్లు కోసం (15) ',' 13 వ అత్యంత బైలు ఇన్నింగ్స్ లో (6) సాధించిన]</v>
      </c>
      <c r="I7946" s="3"/>
    </row>
    <row r="7947" customHeight="1" spans="1:9">
      <c r="A7947" s="2"/>
      <c r="B7947" s="2" t="str">
        <f>IFERROR(__xludf.DUMMYFUNCTION("IF(A7947&lt;&gt;"""", GOOGLETRANSLATE(A7947, ""en"", ""te""),"""")"),"")</f>
        <v/>
      </c>
      <c r="C7947" s="2"/>
      <c r="D7947" s="2" t="str">
        <f>IFERROR(__xludf.DUMMYFUNCTION("IF(C7947&lt;&gt;"""", GOOGLETRANSLATE(C7947, ""en"", ""te""),"""")"),"")</f>
        <v/>
      </c>
      <c r="E7947" s="2"/>
      <c r="F7947" s="2" t="str">
        <f>IFERROR(__xludf.DUMMYFUNCTION("IF(E7947&lt;&gt;"""", GOOGLETRANSLATE(E7947, ""en"", ""te""),"""")"),"")</f>
        <v/>
      </c>
      <c r="G7947" s="2"/>
      <c r="H7947" s="2" t="str">
        <f>IFERROR(__xludf.DUMMYFUNCTION("IF(G7947&lt;&gt;"""", GOOGLETRANSLATE(G7947, ""en"", ""te""),"""")"),"")</f>
        <v/>
      </c>
      <c r="I7947" s="3"/>
    </row>
    <row r="7948" customHeight="1" spans="1:9">
      <c r="A7948" s="2"/>
      <c r="B7948" s="2" t="str">
        <f>IFERROR(__xludf.DUMMYFUNCTION("IF(A7948&lt;&gt;"""", GOOGLETRANSLATE(A7948, ""en"", ""te""),"""")"),"")</f>
        <v/>
      </c>
      <c r="C7948" s="2"/>
      <c r="D7948" s="2" t="str">
        <f>IFERROR(__xludf.DUMMYFUNCTION("IF(C7948&lt;&gt;"""", GOOGLETRANSLATE(C7948, ""en"", ""te""),"""")"),"")</f>
        <v/>
      </c>
      <c r="E7948" s="2"/>
      <c r="F7948" s="2" t="str">
        <f>IFERROR(__xludf.DUMMYFUNCTION("IF(E7948&lt;&gt;"""", GOOGLETRANSLATE(E7948, ""en"", ""te""),"""")"),"")</f>
        <v/>
      </c>
      <c r="G7948" s="2"/>
      <c r="H7948" s="2" t="str">
        <f>IFERROR(__xludf.DUMMYFUNCTION("IF(G7948&lt;&gt;"""", GOOGLETRANSLATE(G7948, ""en"", ""te""),"""")"),"")</f>
        <v/>
      </c>
      <c r="I7948" s="3"/>
    </row>
    <row r="7949" customHeight="1" spans="1:9">
      <c r="A7949" s="2" t="s">
        <v>4465</v>
      </c>
      <c r="B7949" s="2" t="str">
        <f>IFERROR(__xludf.DUMMYFUNCTION("IF(A7949&lt;&gt;"""", GOOGLETRANSLATE(A7949, ""en"", ""te""),"""")"),"[ '3 వ పిన్న కాప్టెన్ (20y 317d)', 'ఒక వృత్తిలో 4 వ అత్యధిక పరుగులు వంద (2029) లేకుండా', 'ఒక సిరీస్లో 4 చాలా బాతులు (4)', '9 వ కెప్టెన్ను ఒక ఇన్నింగ్స్ లోని బెస్ట్ ఫిగర్స్ (4 ) ',' 9 వ అత్యంత నాలుగు వికెట్లు-ఇన్-ఒక-ఇన్నింగ్స్ కెరీర్లో (6) ',' కెరీర్ (5449"&amp;") లో బౌల్డ్ 7 వ అత్యంత బంతుల్లో ',' 6 వ అత్యధిక కెరీర్ లో (3577) ',' 2 వ అత్యంత పోగొట్టబడిన పరుగులను వికెట్లు స్టంప్ తీసుకోకూడదు (19) ',' 1000 పరుగులు మరియు 100 వికెట్లు ',' 5 వ ఒక ఇన్నింగ్స్ లోని బెస్ట్ ఫిగర్స్ ఉన్నప్పుడు పరాజయం వైపు (4) ',' 4 వ అత్యంత "&amp;"నాలుగు వికెట్లు-ఇన్-ఒక-ఇన్నింగ్స్ కెరీర్లో (3 ) ',' 9 వ కెరీర్ లో బౌల్డ్ చాలా బంతుల్లో (1653) ',' 9 వ కెరీర్ (1598) లో సాధించిన అత్యధిక పరుగులు ',' 3 వ అత్యంత తీసుకున్న ఎల్బిడబ్ల్యు (14 వికెట్లు) ']")</f>
        <v>[ '3 వ పిన్న కాప్టెన్ (20y 317d)', 'ఒక వృత్తిలో 4 వ అత్యధిక పరుగులు వంద (2029) లేకుండా', 'ఒక సిరీస్లో 4 చాలా బాతులు (4)', '9 వ కెప్టెన్ను ఒక ఇన్నింగ్స్ లోని బెస్ట్ ఫిగర్స్ (4 ) ',' 9 వ అత్యంత నాలుగు వికెట్లు-ఇన్-ఒక-ఇన్నింగ్స్ కెరీర్లో (6) ',' కెరీర్ (5449) లో బౌల్డ్ 7 వ అత్యంత బంతుల్లో ',' 6 వ అత్యధిక కెరీర్ లో (3577) ',' 2 వ అత్యంత పోగొట్టబడిన పరుగులను వికెట్లు స్టంప్ తీసుకోకూడదు (19) ',' 1000 పరుగులు మరియు 100 వికెట్లు ',' 5 వ ఒక ఇన్నింగ్స్ లోని బెస్ట్ ఫిగర్స్ ఉన్నప్పుడు పరాజయం వైపు (4) ',' 4 వ అత్యంత నాలుగు వికెట్లు-ఇన్-ఒక-ఇన్నింగ్స్ కెరీర్లో (3 ) ',' 9 వ కెరీర్ లో బౌల్డ్ చాలా బంతుల్లో (1653) ',' 9 వ కెరీర్ (1598) లో సాధించిన అత్యధిక పరుగులు ',' 3 వ అత్యంత తీసుకున్న ఎల్బిడబ్ల్యు (14 వికెట్లు) ']</v>
      </c>
      <c r="C7949" s="2"/>
      <c r="D7949" s="2" t="str">
        <f>IFERROR(__xludf.DUMMYFUNCTION("IF(C7949&lt;&gt;"""", GOOGLETRANSLATE(C7949, ""en"", ""te""),"""")"),"")</f>
        <v/>
      </c>
      <c r="E7949" s="2" t="s">
        <v>4466</v>
      </c>
      <c r="F7949" s="2" t="str">
        <f>IFERROR(__xludf.DUMMYFUNCTION("IF(E7949&lt;&gt;"""", GOOGLETRANSLATE(E7949, ""en"", ""te""),"""")"),"[ '15 వ కెరీర్ బాతులు (10)' 'ఒక సిరీస్లో 4 చాలా బాతులు (4)', 'వంద (2029) లేకుండా 4 వ ఒక జీవితంలో అత్యధిక పరుగులు' '40 వ కెరీర్ లో అత్యధిక పరుగులు (2029)', 'ఒక ఇన్నింగ్స్లో పరుగుల 15 అత్యధిక శాతం (55.76)', '15 వ కెరీర్ లో అత్యధిక వికెట్లు (124)', '14 వ ఒకే"&amp;" మైదానంలో అత్యధిక వికెట్లు (15)', 'ఒక కెప్టెన్తో ఒక ఇన్నింగ్స్ లో 9 వ బెస్ట్ ఫిగర్స్ ( 4) ',' 11 వ ఒక ఇన్నింగ్స్ లోని బెస్ట్ ఫిగర్స్ ఉన్నప్పుడు పరాజయం వైపు (4) ',' 9 వ అత్యంత నాలుగు వికెట్లు-ఇన్-ఒక-ఇన్నింగ్స్ కెరీర్లో (6) ',' 7 వ కెరీర్ లో బౌల్డ్ చాలా బ"&amp;"ంతుల్లో (5449 ) ',' కెరీర్ (3577) లో సాధించిన 6 వ అత్యధిక పరుగులు ',' 5 వ బౌలర్ / ఫీల్డర్ కలయికలు (21) ',' 12 వ అత్యధిక వికెట్లు తీసుకున్న బౌల్డ్ (30) ', '21 వ అత్యధిక వికెట్లు తీసుకున్న ఆకర్షించింది (56)', '24 వ ఎక్కువ వికెట్లు క్యాచ్ మరియు బౌల్డ్ తీసుకో"&amp;"కూడదు (6) ',' 20 వ అత్యధిక వికెట్లు చిక్కుకున్న ఫీల్డర్ తీసుకున్న (44) ',' 19 వ అత్యధిక వికెట్లు ఆకర్షించింది అత్యధిక వికెట్లు తీసిన (12) ',' 15 వ అత్యధిక వికెట్లు తీసుకున్న ఎల్బిడబ్ల్యు (19) ', '2 వ అత్యధిక వికెట్లు తీసుకున్న స్టంప్ (19)', 'అతని 15 వ అత్"&amp;"యధిక క్యాచ్లు (41)', '21 వ కెరీర్లో అత్యధిక మ్యాచ్లు (118) ',' 17 వ లాంగెస్ట్ సంరక్షణ ERS (16y 210d) ',' 9 వ అత్యధిక మ్యాచ్లు కెప్టెన్గా (58) ', '21 వ వరుస మ్యాచ్లు ఒక జట్టు కెప్టెన్గా (27)', '3 వ పిన్న కాప్టెన్ (20y 317d)']")</f>
        <v>[ '15 వ కెరీర్ బాతులు (10)' 'ఒక సిరీస్లో 4 చాలా బాతులు (4)', 'వంద (2029) లేకుండా 4 వ ఒక జీవితంలో అత్యధిక పరుగులు' '40 వ కెరీర్ లో అత్యధిక పరుగులు (2029)', 'ఒక ఇన్నింగ్స్లో పరుగుల 15 అత్యధిక శాతం (55.76)', '15 వ కెరీర్ లో అత్యధిక వికెట్లు (124)', '14 వ ఒకే మైదానంలో అత్యధిక వికెట్లు (15)', 'ఒక కెప్టెన్తో ఒక ఇన్నింగ్స్ లో 9 వ బెస్ట్ ఫిగర్స్ ( 4) ',' 11 వ ఒక ఇన్నింగ్స్ లోని బెస్ట్ ఫిగర్స్ ఉన్నప్పుడు పరాజయం వైపు (4) ',' 9 వ అత్యంత నాలుగు వికెట్లు-ఇన్-ఒక-ఇన్నింగ్స్ కెరీర్లో (6) ',' 7 వ కెరీర్ లో బౌల్డ్ చాలా బంతుల్లో (5449 ) ',' కెరీర్ (3577) లో సాధించిన 6 వ అత్యధిక పరుగులు ',' 5 వ బౌలర్ / ఫీల్డర్ కలయికలు (21) ',' 12 వ అత్యధిక వికెట్లు తీసుకున్న బౌల్డ్ (30) ', '21 వ అత్యధిక వికెట్లు తీసుకున్న ఆకర్షించింది (56)', '24 వ ఎక్కువ వికెట్లు క్యాచ్ మరియు బౌల్డ్ తీసుకోకూడదు (6) ',' 20 వ అత్యధిక వికెట్లు చిక్కుకున్న ఫీల్డర్ తీసుకున్న (44) ',' 19 వ అత్యధిక వికెట్లు ఆకర్షించింది అత్యధిక వికెట్లు తీసిన (12) ',' 15 వ అత్యధిక వికెట్లు తీసుకున్న ఎల్బిడబ్ల్యు (19) ', '2 వ అత్యధిక వికెట్లు తీసుకున్న స్టంప్ (19)', 'అతని 15 వ అత్యధిక క్యాచ్లు (41)', '21 వ కెరీర్లో అత్యధిక మ్యాచ్లు (118) ',' 17 వ లాంగెస్ట్ సంరక్షణ ERS (16y 210d) ',' 9 వ అత్యధిక మ్యాచ్లు కెప్టెన్గా (58) ', '21 వ వరుస మ్యాచ్లు ఒక జట్టు కెప్టెన్గా (27)', '3 వ పిన్న కాప్టెన్ (20y 317d)']</v>
      </c>
      <c r="G7949" s="2" t="s">
        <v>4467</v>
      </c>
      <c r="H7949" s="2" t="str">
        <f>IFERROR(__xludf.DUMMYFUNCTION("IF(G7949&lt;&gt;"""", GOOGLETRANSLATE(G7949, ""en"", ""te""),"""")"),"[ '31 జీవితంలో అత్యధిక పరుగులు (1097)', '43 వ ఇన్నింగ్స్ లో అత్యధిక పరుగులు (బ్యాటింగ్ స్థానంలో ప్రకారం) (52)', 'ఒక డక్ లేకుండా 31 వరుస ఇన్నింగ్స్ (32)', '34 వ కెరీర్ బాతులు (5 ) ',' 13 వ కెరీర్ లో అత్యధిక వికెట్లు (77) ',' 46 వ ఒక క్యాలెండర్ సంవత్సరంలో అ"&amp;"త్యధిక వికెట్లు (18) ',' ఇన్నింగ్స్ లో 30 వ అత్యుత్తమ బౌలింగ్ విశ్లేషణలు (4/9) ',' 6 వ ఒక ఇన్నింగ్స్ లోని బెస్ట్ గణాంకాలు ఒక కెప్టెన్ (4) ',' ఒక ఇన్నింగ్స్ లో 5 వ బెస్ట్ ఫిగర్స్ కూడా ఓడిపోయింది వైపు (4) ',' 50 వ ఉత్తమ కెరీర్ సమ్మె రేటు (21.4) ',' 4 వ అత్"&amp;"యంత నాలుగు వికెట్లు-ఇన్-ఒక-ఇన్నింగ్స్ కెరీర్లో (3) ',' 9 వ కెరీర్ (1653) లో బౌల్డ్ చాలా బంతుల్లో ',' 9 వ అత్యధిక కెరీర్ (1598) లో ఇవ్వబడిన పరుగులలో ',' 34 వ అత్యధిక పరుగులు ఇన్నింగ్స్ లో సాధించిన (46) ',' 6 వ బౌలర్ / బ్యాట్స్ కలయికలు (5 ) ',' 34 వ బౌలర్ /"&amp;" ఫీల్డర్ కలయికలు (8) ', '21 వ అత్యధిక వికెట్లు తీసుకున్న బౌల్డ్ (16)', '22 వ అత్యధిక వికెట్లు తీసుకున్న ఆకర్షించింది (36)', '20 వ అత్యధిక వికెట్లు ఆకర్షించింది తీసుకున్న మరియు బౌల్డ్ (3)', ' 25 అత్యంత ఫీల్డర్ చేత క్యాచ్ తీసుకున్న వికెట్ల (29) ',' 12 వ అత్"&amp;"యధిక వికెట్లు (14 వికెట్కీపర్గా (7) ',' 3 వ అత్యంత తీసుకోబడిన వికెట్ల LBW ద్వారా ఆకర్షించింది తీసుకున్న ) ',' 9 వ అత్యధిక వికెట్లు స్టంప్ (11) ',' నాలుగవ వికెట్కు 19 అత్యధిక భాగస్వామ్యం (84) ',' ఐదవ వికెట్కు 14 అత్యధిక భాగస్వామ్యం (70) ',' ఏడవ వికెట్కు 15"&amp;" అత్యధిక భాగస్వామ్యం (45 తీసుకున్న ) ',' ఎనిమిదవ వికెట్కు 36 వ అత్యధిక భాగస్వామ్యం (23) ',' తొమ్మిదవ వికెట్కు 11 వ అత్యధిక భాగస్వామ్యం (27) ',' 36 వ కెరీర్ లో అత్యధిక మ్యాచ్లు (81) ',' ఒక జట్టుకు 30 వ వరుస మ్యాచ్లు (39 ) ',' 11 వ అత్యంత కెప్టెన్ (40 మ్యాచ"&amp;"్లు) ']")</f>
        <v>[ '31 జీవితంలో అత్యధిక పరుగులు (1097)', '43 వ ఇన్నింగ్స్ లో అత్యధిక పరుగులు (బ్యాటింగ్ స్థానంలో ప్రకారం) (52)', 'ఒక డక్ లేకుండా 31 వరుస ఇన్నింగ్స్ (32)', '34 వ కెరీర్ బాతులు (5 ) ',' 13 వ కెరీర్ లో అత్యధిక వికెట్లు (77) ',' 46 వ ఒక క్యాలెండర్ సంవత్సరంలో అత్యధిక వికెట్లు (18) ',' ఇన్నింగ్స్ లో 30 వ అత్యుత్తమ బౌలింగ్ విశ్లేషణలు (4/9) ',' 6 వ ఒక ఇన్నింగ్స్ లోని బెస్ట్ గణాంకాలు ఒక కెప్టెన్ (4) ',' ఒక ఇన్నింగ్స్ లో 5 వ బెస్ట్ ఫిగర్స్ కూడా ఓడిపోయింది వైపు (4) ',' 50 వ ఉత్తమ కెరీర్ సమ్మె రేటు (21.4) ',' 4 వ అత్యంత నాలుగు వికెట్లు-ఇన్-ఒక-ఇన్నింగ్స్ కెరీర్లో (3) ',' 9 వ కెరీర్ (1653) లో బౌల్డ్ చాలా బంతుల్లో ',' 9 వ అత్యధిక కెరీర్ (1598) లో ఇవ్వబడిన పరుగులలో ',' 34 వ అత్యధిక పరుగులు ఇన్నింగ్స్ లో సాధించిన (46) ',' 6 వ బౌలర్ / బ్యాట్స్ కలయికలు (5 ) ',' 34 వ బౌలర్ / ఫీల్డర్ కలయికలు (8) ', '21 వ అత్యధిక వికెట్లు తీసుకున్న బౌల్డ్ (16)', '22 వ అత్యధిక వికెట్లు తీసుకున్న ఆకర్షించింది (36)', '20 వ అత్యధిక వికెట్లు ఆకర్షించింది తీసుకున్న మరియు బౌల్డ్ (3)', ' 25 అత్యంత ఫీల్డర్ చేత క్యాచ్ తీసుకున్న వికెట్ల (29) ',' 12 వ అత్యధిక వికెట్లు (14 వికెట్కీపర్గా (7) ',' 3 వ అత్యంత తీసుకోబడిన వికెట్ల LBW ద్వారా ఆకర్షించింది తీసుకున్న ) ',' 9 వ అత్యధిక వికెట్లు స్టంప్ (11) ',' నాలుగవ వికెట్కు 19 అత్యధిక భాగస్వామ్యం (84) ',' ఐదవ వికెట్కు 14 అత్యధిక భాగస్వామ్యం (70) ',' ఏడవ వికెట్కు 15 అత్యధిక భాగస్వామ్యం (45 తీసుకున్న ) ',' ఎనిమిదవ వికెట్కు 36 వ అత్యధిక భాగస్వామ్యం (23) ',' తొమ్మిదవ వికెట్కు 11 వ అత్యధిక భాగస్వామ్యం (27) ',' 36 వ కెరీర్ లో అత్యధిక మ్యాచ్లు (81) ',' ఒక జట్టుకు 30 వ వరుస మ్యాచ్లు (39 ) ',' 11 వ అత్యంత కెప్టెన్ (40 మ్యాచ్లు) ']</v>
      </c>
      <c r="I7949" s="3"/>
    </row>
    <row r="7950" customHeight="1" spans="1:9">
      <c r="A7950" s="2"/>
      <c r="B7950" s="2" t="str">
        <f>IFERROR(__xludf.DUMMYFUNCTION("IF(A7950&lt;&gt;"""", GOOGLETRANSLATE(A7950, ""en"", ""te""),"""")"),"")</f>
        <v/>
      </c>
      <c r="C7950" s="2"/>
      <c r="D7950" s="2" t="str">
        <f>IFERROR(__xludf.DUMMYFUNCTION("IF(C7950&lt;&gt;"""", GOOGLETRANSLATE(C7950, ""en"", ""te""),"""")"),"")</f>
        <v/>
      </c>
      <c r="E7950" s="2"/>
      <c r="F7950" s="2" t="str">
        <f>IFERROR(__xludf.DUMMYFUNCTION("IF(E7950&lt;&gt;"""", GOOGLETRANSLATE(E7950, ""en"", ""te""),"""")"),"")</f>
        <v/>
      </c>
      <c r="G7950" s="2"/>
      <c r="H7950" s="2" t="str">
        <f>IFERROR(__xludf.DUMMYFUNCTION("IF(G7950&lt;&gt;"""", GOOGLETRANSLATE(G7950, ""en"", ""te""),"""")"),"")</f>
        <v/>
      </c>
      <c r="I7950" s="3"/>
    </row>
    <row r="7951" customHeight="1" spans="1:9">
      <c r="A7951" s="2"/>
      <c r="B7951" s="2" t="str">
        <f>IFERROR(__xludf.DUMMYFUNCTION("IF(A7951&lt;&gt;"""", GOOGLETRANSLATE(A7951, ""en"", ""te""),"""")"),"")</f>
        <v/>
      </c>
      <c r="C7951" s="2"/>
      <c r="D7951" s="2" t="str">
        <f>IFERROR(__xludf.DUMMYFUNCTION("IF(C7951&lt;&gt;"""", GOOGLETRANSLATE(C7951, ""en"", ""te""),"""")"),"")</f>
        <v/>
      </c>
      <c r="E7951" s="2"/>
      <c r="F7951" s="2" t="str">
        <f>IFERROR(__xludf.DUMMYFUNCTION("IF(E7951&lt;&gt;"""", GOOGLETRANSLATE(E7951, ""en"", ""te""),"""")"),"")</f>
        <v/>
      </c>
      <c r="G7951" s="2"/>
      <c r="H7951" s="2" t="str">
        <f>IFERROR(__xludf.DUMMYFUNCTION("IF(G7951&lt;&gt;"""", GOOGLETRANSLATE(G7951, ""en"", ""te""),"""")"),"")</f>
        <v/>
      </c>
      <c r="I7951" s="3"/>
    </row>
    <row r="7952" customHeight="1" spans="1:9">
      <c r="A7952" s="2"/>
      <c r="B7952" s="2" t="str">
        <f>IFERROR(__xludf.DUMMYFUNCTION("IF(A7952&lt;&gt;"""", GOOGLETRANSLATE(A7952, ""en"", ""te""),"""")"),"")</f>
        <v/>
      </c>
      <c r="C7952" s="2"/>
      <c r="D7952" s="2" t="str">
        <f>IFERROR(__xludf.DUMMYFUNCTION("IF(C7952&lt;&gt;"""", GOOGLETRANSLATE(C7952, ""en"", ""te""),"""")"),"")</f>
        <v/>
      </c>
      <c r="E7952" s="2"/>
      <c r="F7952" s="2" t="str">
        <f>IFERROR(__xludf.DUMMYFUNCTION("IF(E7952&lt;&gt;"""", GOOGLETRANSLATE(E7952, ""en"", ""te""),"""")"),"")</f>
        <v/>
      </c>
      <c r="G7952" s="2"/>
      <c r="H7952" s="2" t="str">
        <f>IFERROR(__xludf.DUMMYFUNCTION("IF(G7952&lt;&gt;"""", GOOGLETRANSLATE(G7952, ""en"", ""te""),"""")"),"")</f>
        <v/>
      </c>
      <c r="I7952" s="3"/>
    </row>
    <row r="7953" customHeight="1" spans="1:9">
      <c r="A7953" s="2"/>
      <c r="B7953" s="2" t="str">
        <f>IFERROR(__xludf.DUMMYFUNCTION("IF(A7953&lt;&gt;"""", GOOGLETRANSLATE(A7953, ""en"", ""te""),"""")"),"")</f>
        <v/>
      </c>
      <c r="C7953" s="2"/>
      <c r="D7953" s="2" t="str">
        <f>IFERROR(__xludf.DUMMYFUNCTION("IF(C7953&lt;&gt;"""", GOOGLETRANSLATE(C7953, ""en"", ""te""),"""")"),"")</f>
        <v/>
      </c>
      <c r="E7953" s="2"/>
      <c r="F7953" s="2" t="str">
        <f>IFERROR(__xludf.DUMMYFUNCTION("IF(E7953&lt;&gt;"""", GOOGLETRANSLATE(E7953, ""en"", ""te""),"""")"),"")</f>
        <v/>
      </c>
      <c r="G7953" s="2"/>
      <c r="H7953" s="2" t="str">
        <f>IFERROR(__xludf.DUMMYFUNCTION("IF(G7953&lt;&gt;"""", GOOGLETRANSLATE(G7953, ""en"", ""te""),"""")"),"")</f>
        <v/>
      </c>
      <c r="I7953" s="3"/>
    </row>
    <row r="7954" customHeight="1" spans="1:9">
      <c r="A7954" s="2"/>
      <c r="B7954" s="2" t="str">
        <f>IFERROR(__xludf.DUMMYFUNCTION("IF(A7954&lt;&gt;"""", GOOGLETRANSLATE(A7954, ""en"", ""te""),"""")"),"")</f>
        <v/>
      </c>
      <c r="C7954" s="2"/>
      <c r="D7954" s="2" t="str">
        <f>IFERROR(__xludf.DUMMYFUNCTION("IF(C7954&lt;&gt;"""", GOOGLETRANSLATE(C7954, ""en"", ""te""),"""")"),"")</f>
        <v/>
      </c>
      <c r="E7954" s="2"/>
      <c r="F7954" s="2" t="str">
        <f>IFERROR(__xludf.DUMMYFUNCTION("IF(E7954&lt;&gt;"""", GOOGLETRANSLATE(E7954, ""en"", ""te""),"""")"),"")</f>
        <v/>
      </c>
      <c r="G7954" s="2"/>
      <c r="H7954" s="2" t="str">
        <f>IFERROR(__xludf.DUMMYFUNCTION("IF(G7954&lt;&gt;"""", GOOGLETRANSLATE(G7954, ""en"", ""te""),"""")"),"")</f>
        <v/>
      </c>
      <c r="I7954" s="3"/>
    </row>
    <row r="7955" customHeight="1" spans="1:9">
      <c r="A7955" s="2"/>
      <c r="B7955" s="2" t="str">
        <f>IFERROR(__xludf.DUMMYFUNCTION("IF(A7955&lt;&gt;"""", GOOGLETRANSLATE(A7955, ""en"", ""te""),"""")"),"")</f>
        <v/>
      </c>
      <c r="C7955" s="2"/>
      <c r="D7955" s="2" t="str">
        <f>IFERROR(__xludf.DUMMYFUNCTION("IF(C7955&lt;&gt;"""", GOOGLETRANSLATE(C7955, ""en"", ""te""),"""")"),"")</f>
        <v/>
      </c>
      <c r="E7955" s="2"/>
      <c r="F7955" s="2" t="str">
        <f>IFERROR(__xludf.DUMMYFUNCTION("IF(E7955&lt;&gt;"""", GOOGLETRANSLATE(E7955, ""en"", ""te""),"""")"),"")</f>
        <v/>
      </c>
      <c r="G7955" s="2"/>
      <c r="H7955" s="2" t="str">
        <f>IFERROR(__xludf.DUMMYFUNCTION("IF(G7955&lt;&gt;"""", GOOGLETRANSLATE(G7955, ""en"", ""te""),"""")"),"")</f>
        <v/>
      </c>
      <c r="I7955" s="3"/>
    </row>
    <row r="7956" customHeight="1" spans="1:9">
      <c r="A7956" s="2"/>
      <c r="B7956" s="2" t="str">
        <f>IFERROR(__xludf.DUMMYFUNCTION("IF(A7956&lt;&gt;"""", GOOGLETRANSLATE(A7956, ""en"", ""te""),"""")"),"")</f>
        <v/>
      </c>
      <c r="C7956" s="2"/>
      <c r="D7956" s="2" t="str">
        <f>IFERROR(__xludf.DUMMYFUNCTION("IF(C7956&lt;&gt;"""", GOOGLETRANSLATE(C7956, ""en"", ""te""),"""")"),"")</f>
        <v/>
      </c>
      <c r="E7956" s="2"/>
      <c r="F7956" s="2" t="str">
        <f>IFERROR(__xludf.DUMMYFUNCTION("IF(E7956&lt;&gt;"""", GOOGLETRANSLATE(E7956, ""en"", ""te""),"""")"),"")</f>
        <v/>
      </c>
      <c r="G7956" s="2"/>
      <c r="H7956" s="2" t="str">
        <f>IFERROR(__xludf.DUMMYFUNCTION("IF(G7956&lt;&gt;"""", GOOGLETRANSLATE(G7956, ""en"", ""te""),"""")"),"")</f>
        <v/>
      </c>
      <c r="I7956" s="3"/>
    </row>
    <row r="7957" customHeight="1" spans="1:9">
      <c r="A7957" s="2"/>
      <c r="B7957" s="2" t="str">
        <f>IFERROR(__xludf.DUMMYFUNCTION("IF(A7957&lt;&gt;"""", GOOGLETRANSLATE(A7957, ""en"", ""te""),"""")"),"")</f>
        <v/>
      </c>
      <c r="C7957" s="2"/>
      <c r="D7957" s="2" t="str">
        <f>IFERROR(__xludf.DUMMYFUNCTION("IF(C7957&lt;&gt;"""", GOOGLETRANSLATE(C7957, ""en"", ""te""),"""")"),"")</f>
        <v/>
      </c>
      <c r="E7957" s="2"/>
      <c r="F7957" s="2" t="str">
        <f>IFERROR(__xludf.DUMMYFUNCTION("IF(E7957&lt;&gt;"""", GOOGLETRANSLATE(E7957, ""en"", ""te""),"""")"),"")</f>
        <v/>
      </c>
      <c r="G7957" s="2"/>
      <c r="H7957" s="2" t="str">
        <f>IFERROR(__xludf.DUMMYFUNCTION("IF(G7957&lt;&gt;"""", GOOGLETRANSLATE(G7957, ""en"", ""te""),"""")"),"")</f>
        <v/>
      </c>
      <c r="I7957" s="3"/>
    </row>
    <row r="7958" customHeight="1" spans="1:9">
      <c r="A7958" s="2"/>
      <c r="B7958" s="2" t="str">
        <f>IFERROR(__xludf.DUMMYFUNCTION("IF(A7958&lt;&gt;"""", GOOGLETRANSLATE(A7958, ""en"", ""te""),"""")"),"")</f>
        <v/>
      </c>
      <c r="C7958" s="2"/>
      <c r="D7958" s="2" t="str">
        <f>IFERROR(__xludf.DUMMYFUNCTION("IF(C7958&lt;&gt;"""", GOOGLETRANSLATE(C7958, ""en"", ""te""),"""")"),"")</f>
        <v/>
      </c>
      <c r="E7958" s="2"/>
      <c r="F7958" s="2" t="str">
        <f>IFERROR(__xludf.DUMMYFUNCTION("IF(E7958&lt;&gt;"""", GOOGLETRANSLATE(E7958, ""en"", ""te""),"""")"),"")</f>
        <v/>
      </c>
      <c r="G7958" s="2"/>
      <c r="H7958" s="2" t="str">
        <f>IFERROR(__xludf.DUMMYFUNCTION("IF(G7958&lt;&gt;"""", GOOGLETRANSLATE(G7958, ""en"", ""te""),"""")"),"")</f>
        <v/>
      </c>
      <c r="I7958" s="3"/>
    </row>
    <row r="7959" customHeight="1" spans="1:9">
      <c r="A7959" s="2"/>
      <c r="B7959" s="2" t="str">
        <f>IFERROR(__xludf.DUMMYFUNCTION("IF(A7959&lt;&gt;"""", GOOGLETRANSLATE(A7959, ""en"", ""te""),"""")"),"")</f>
        <v/>
      </c>
      <c r="C7959" s="2"/>
      <c r="D7959" s="2" t="str">
        <f>IFERROR(__xludf.DUMMYFUNCTION("IF(C7959&lt;&gt;"""", GOOGLETRANSLATE(C7959, ""en"", ""te""),"""")"),"")</f>
        <v/>
      </c>
      <c r="E7959" s="2"/>
      <c r="F7959" s="2" t="str">
        <f>IFERROR(__xludf.DUMMYFUNCTION("IF(E7959&lt;&gt;"""", GOOGLETRANSLATE(E7959, ""en"", ""te""),"""")"),"")</f>
        <v/>
      </c>
      <c r="G7959" s="2"/>
      <c r="H7959" s="2" t="str">
        <f>IFERROR(__xludf.DUMMYFUNCTION("IF(G7959&lt;&gt;"""", GOOGLETRANSLATE(G7959, ""en"", ""te""),"""")"),"")</f>
        <v/>
      </c>
      <c r="I7959" s="3"/>
    </row>
    <row r="7960" customHeight="1" spans="1:9">
      <c r="A7960" s="2"/>
      <c r="B7960" s="2" t="str">
        <f>IFERROR(__xludf.DUMMYFUNCTION("IF(A7960&lt;&gt;"""", GOOGLETRANSLATE(A7960, ""en"", ""te""),"""")"),"")</f>
        <v/>
      </c>
      <c r="C7960" s="2"/>
      <c r="D7960" s="2" t="str">
        <f>IFERROR(__xludf.DUMMYFUNCTION("IF(C7960&lt;&gt;"""", GOOGLETRANSLATE(C7960, ""en"", ""te""),"""")"),"")</f>
        <v/>
      </c>
      <c r="E7960" s="2"/>
      <c r="F7960" s="2" t="str">
        <f>IFERROR(__xludf.DUMMYFUNCTION("IF(E7960&lt;&gt;"""", GOOGLETRANSLATE(E7960, ""en"", ""te""),"""")"),"")</f>
        <v/>
      </c>
      <c r="G7960" s="2"/>
      <c r="H7960" s="2" t="str">
        <f>IFERROR(__xludf.DUMMYFUNCTION("IF(G7960&lt;&gt;"""", GOOGLETRANSLATE(G7960, ""en"", ""te""),"""")"),"")</f>
        <v/>
      </c>
      <c r="I7960" s="3"/>
    </row>
    <row r="7961" customHeight="1" spans="1:9">
      <c r="A7961" s="2" t="s">
        <v>4468</v>
      </c>
      <c r="B7961" s="2" t="str">
        <f>IFERROR(__xludf.DUMMYFUNCTION("IF(A7961&lt;&gt;"""", GOOGLETRANSLATE(A7961, ""en"", ""te""),"""")"),"[ 'చాలా 5 వ ప్లేయర్ ఆఫ్ ది మ్యాచ్ అవార్డులు (16)', 'అత్యధిక వికెట్లు 2nd అత్యంత ఇన్నింగ్స్ లో నడుస్తుంది (230)', 'హండ్రెడ్ ఒక మ్యాచ్లో ప్రతి ఇన్నింగ్స్లో', 'హండ్రెడ్ మరియు ఒక మ్యాచ్లో తొంభై ',' వరుస ఇన్నింగ్స్లో 1st యాభైల్లో (7) ',' హండ్రెడ్ మరియు ఒక మ్"&amp;"యాచ్లో ఒక డక్ ',' కెరీర్ లో చాలా 5 వ ఫోర్లు (1491) 12000 పరుగులు (224) ',' 2000 పరుగులు మరియు 100 ',' 1st వేగంగా వికెట్కీపింగ్ తొలగింపులకు ',' 5000 పరుగులు మరియు 50 ఫీల్డింగ్ వికెట్లు ',' మూడో వికెట్కు 1st అత్యధిక భాగస్వామ్యం (624) ',' 1st కెరీర్లో అత్యధి"&amp;"క వికెట్లు (482) ',' 4 వ అత్యధిక మ్యాచ్లు కెరీర్లో (404) ',' 3 వ కెరీర్లో అత్యధిక క్యాచ్లు (383) ',' వికెట్ను కాపాడుకున్నాడు చేసిన 4 వ కెప్టెన్ల (45) ',' 1 వ ఇన్నింగ్స్ ఇన్నింగ్స్ (12) ',' 1 వ అత్యధిక పరుగులు (3) ',' 10 వ అత్యంత సాధించిన బైస్ అత్యంత స్టం"&amp;"పింగ్లు ఒక వికెట్ శ్రేణిలో (541) ',' వరుస ఇన్నింగ్స్లో 1st వందల (4) ',' 8 వ కెరీర్ కెరీర్ లో (6) ',' 2 వ అత్యంత అర్ధ (118) ',' 3 వ అత్యధిక కెరీర్ లో ఫోర్లు అత్యంత తొంభైల (1385) ',' 2 వ వేగవంతమైన వరకు 14000 పరుగులు (378) ',' నూట ఇన్నింగ్స్ లో నాలుగు తొలగ"&amp;"ింపులకు ',' 8 వ మో కెరీర్లో స్టంప్ వికెట్లు (45) ',' వికెట్ (22) ఉంచింది చేసిన 4 వ కెప్టెన్ల ',' కెరీర్ లో చాలా 5 వ స్టంపింగ్లు (20) ',' వరుస ఇన్నింగ్స్లో 3 వ యాభైల్లో (3) ',' 7 వ అత్యధిక ఏడవ కోసం భాగస్వామ్యంతో వికెట్ (68 *) ',' 3 వ అత్యధిక కెరీర్ లో పోట"&amp;"ీలు (594) ',' 4 వ అత్యధిక వికెట్లు కెరీర్లో (678) ',' చాలా 5 వ ప్లేయర్ ఆఫ్ ది మ్యాచ్ అవార్డులు (50) ',' 5 వ అత్యధిక క్యాచ్లు లో కెరీర్ (539) ',' ఒక క్యాలెండర్ సంవత్సరంలో కెరీర్లో 2 వ అత్యంత స్టంపింగ్లు (139) ',' 1 వ అత్యధిక పరుగులు (2868) ',' వరుస ఇన్నింగ"&amp;"్స్లో 3 వ వందల (4) ',' వరుస ఇన్నింగ్స్లో 2 వ యాభైల్లో (7) ',' కెరీర్ లో 2 వ పెద్ద ఫోర్లు (3015) ']")</f>
        <v>[ 'చాలా 5 వ ప్లేయర్ ఆఫ్ ది మ్యాచ్ అవార్డులు (16)', 'అత్యధిక వికెట్లు 2nd అత్యంత ఇన్నింగ్స్ లో నడుస్తుంది (230)', 'హండ్రెడ్ ఒక మ్యాచ్లో ప్రతి ఇన్నింగ్స్లో', 'హండ్రెడ్ మరియు ఒక మ్యాచ్లో తొంభై ',' వరుస ఇన్నింగ్స్లో 1st యాభైల్లో (7) ',' హండ్రెడ్ మరియు ఒక మ్యాచ్లో ఒక డక్ ',' కెరీర్ లో చాలా 5 వ ఫోర్లు (1491) 12000 పరుగులు (224) ',' 2000 పరుగులు మరియు 100 ',' 1st వేగంగా వికెట్కీపింగ్ తొలగింపులకు ',' 5000 పరుగులు మరియు 50 ఫీల్డింగ్ వికెట్లు ',' మూడో వికెట్కు 1st అత్యధిక భాగస్వామ్యం (624) ',' 1st కెరీర్లో అత్యధిక వికెట్లు (482) ',' 4 వ అత్యధిక మ్యాచ్లు కెరీర్లో (404) ',' 3 వ కెరీర్లో అత్యధిక క్యాచ్లు (383) ',' వికెట్ను కాపాడుకున్నాడు చేసిన 4 వ కెప్టెన్ల (45) ',' 1 వ ఇన్నింగ్స్ ఇన్నింగ్స్ (12) ',' 1 వ అత్యధిక పరుగులు (3) ',' 10 వ అత్యంత సాధించిన బైస్ అత్యంత స్టంపింగ్లు ఒక వికెట్ శ్రేణిలో (541) ',' వరుస ఇన్నింగ్స్లో 1st వందల (4) ',' 8 వ కెరీర్ కెరీర్ లో (6) ',' 2 వ అత్యంత అర్ధ (118) ',' 3 వ అత్యధిక కెరీర్ లో ఫోర్లు అత్యంత తొంభైల (1385) ',' 2 వ వేగవంతమైన వరకు 14000 పరుగులు (378) ',' నూట ఇన్నింగ్స్ లో నాలుగు తొలగింపులకు ',' 8 వ మో కెరీర్లో స్టంప్ వికెట్లు (45) ',' వికెట్ (22) ఉంచింది చేసిన 4 వ కెప్టెన్ల ',' కెరీర్ లో చాలా 5 వ స్టంపింగ్లు (20) ',' వరుస ఇన్నింగ్స్లో 3 వ యాభైల్లో (3) ',' 7 వ అత్యధిక ఏడవ కోసం భాగస్వామ్యంతో వికెట్ (68 *) ',' 3 వ అత్యధిక కెరీర్ లో పోటీలు (594) ',' 4 వ అత్యధిక వికెట్లు కెరీర్లో (678) ',' చాలా 5 వ ప్లేయర్ ఆఫ్ ది మ్యాచ్ అవార్డులు (50) ',' 5 వ అత్యధిక క్యాచ్లు లో కెరీర్ (539) ',' ఒక క్యాలెండర్ సంవత్సరంలో కెరీర్లో 2 వ అత్యంత స్టంపింగ్లు (139) ',' 1 వ అత్యధిక పరుగులు (2868) ',' వరుస ఇన్నింగ్స్లో 3 వ వందల (4) ',' వరుస ఇన్నింగ్స్లో 2 వ యాభైల్లో (7) ',' కెరీర్ లో 2 వ పెద్ద ఫోర్లు (3015) ']</v>
      </c>
      <c r="C7961" s="2" t="s">
        <v>4469</v>
      </c>
      <c r="D7961" s="2" t="str">
        <f>IFERROR(__xludf.DUMMYFUNCTION("IF(C7961&lt;&gt;"""", GOOGLETRANSLATE(C7961, ""en"", ""te""),"""")"),"[ 'కెరీర్లో 6 వ అత్యధిక పరుగులు (12400)', '18 వ ఇన్నింగ్స్ లో అత్యధిక పరుగులు (319)', '3 వ భాగం ఒక మ్యాచ్లో పరుగులు (424)', '9 వ ఒక క్యాలెండర్ సంవత్సరంలో అత్యధిక పరుగులు (1493)', ' 6 వ అత్యంత ఇన్నింగ్స్ లో నడుస్తుంది (బ్యాటింగ్ స్థానం) (319) ',' 10 వ పరాజ"&amp;"యం వైపు ఒక మ్యాచ్లో అత్యధిక పరుగులు (249) ',' 3 వ అత్యంత ఒకే మైదానంలో పరుగులు (2312) ',' 18 వ అత్యంత పరుగులు ఒక రోజు (222) ',' ఒక కెప్టెన్ అత్యధిక వికెట్లు (219) ',' 2 వ అత్యంత ఇన్నింగ్స్ లో నడుస్తుంది ద్వారా ఒక ఇన్నింగ్స్ లో 43 వ అత్యధిక పరుగులు (230) "&amp;"',' 13 వ అత్యధిక కెరీర్ బ్యాటింగ్ సగటు (57.40) ',' 4 వ ఒక వృత్తిలో ఒక వృత్తి జీవితంలో అత్యధిక వందలు (38) ',' 2 వ అత్యధిక డబుల్ వందల వృత్తిలో (11) ',' 5 వ అత్యధిక ట్రిపుల్ సెంచరీలు (1) ',' 2 వ అత్యధిక డబుల్ వందల వరుస (2) ',' ఒక జట్టు వ్యతిరేకంగా 6 వ అత్యధి"&amp;"క వందలు (10) ',' వరుస ఇన్నింగ్స్లో 5 వ వందల (3) ',' వరుస మ్యాచ్లలో 5 వ వందల (4) ',' (90) ',' వరుస ఇన్నింగ్స్లో 1st యాభైల్లో కెరీర్లో 6 వ అత్యంత అర్ధ (7) ',' వరుస మ్యాచ్లలో 9 వ యాభైల్లో (9) ',' ఒక డక్ లేకుండా 6 వ అత్యధిక వరుస ఇన్నింగ్స్ (85) ',' 37 వ ఎక్"&amp;"కువ సిక్స్ కెరీర్లో (51) ',' 5 ఒక ఇన్నింగ్స్ లో ఒక ఇన్నింగ్స్ లో కెరీర్లో వ అత్యంత ఫోర్లు (1491) ',' 13 వ ఎక్కువ సిక్స్ (8) ',' 31 మోస్ట్ ఫోర్లు (36) ',' ఇన్నింగ్స్ లో ఫోర్లు, సిక్సర్లు నుండి 18 వ అత్యధిక పరుగులు (176) ', '3000 పరుగులు 41 వ వేగవంతమైన (68"&amp;")' '2000 పరుగులు 48 వ వేగవంతమైన (46)' '25 వ లాంగెస్ట్ వ్యక్తిగత ఇన్నింగ్స్ (నిమిషాలు) (698)', 'ఒక ఇన్నింగ్స్లో పరుగుల 28 అత్యధిక శాతం (58.82)', '42 వ 4000 పరుగులు (92) వేగంగా', '17 వ 5000 పరుగులు (106) వేగంగా', '6000 పరుగులు (116) 5 వ వేగవంతమైన' '5 వ వే"&amp;"గవంతమైన 7000 పరుగులు (138)', '1st 8000 వేగంగా పరుగులు (152) ',' 1st 9000 పరుగులు వేగంగా (172) ',' ఫాస్టెస్ట్ 10000 పరుగులు 11000 పరుగులు (208) ',' 1st వేగవంతమైన 12000 పరుగులు (224) 'కు (195)', '1st వేగంగా చేయడానికి 1st, 'ఏ వికెట్కు 1st అత్యధిక భాగస్వామ్"&amp;"యాల (624)', 'వికెట్ తేడాతో 3 వ అత్యధిక భాగస్వామ్యాల (3 వ)', 'మూడో వికెట్కు 1st అత్యధిక భాగస్వామ్యం (624)', '14 వ కెరీర్ లో అత్యధిక మ్యాచ్లు (134)', 'చాలా 5 వ ప్లేయర్ ఆఫ్ ది మ్యాచ్ అవార్డులు (16) ',' 24 వ అత్యంత ప్లేయర్ ఆఫ్ ది సిరీస్ అవార్డులు (4) ',' 47 వ"&amp;" వరుస అన్ని టాస్ గెలిచిన (3) ',' 31 మోస్ట్ dismissa కెరీర్లో ls (151) ',' 31 కెరీర్లో అత్యధిక క్యాచ్లు (131) ',' 19 వ కెరీర్ స్టంపింగ్లు (20) ',' 12 వ మ్యాచ్ లో అత్యంత స్టంపింగ్లు (3) ']")</f>
        <v>[ 'కెరీర్లో 6 వ అత్యధిక పరుగులు (12400)', '18 వ ఇన్నింగ్స్ లో అత్యధిక పరుగులు (319)', '3 వ భాగం ఒక మ్యాచ్లో పరుగులు (424)', '9 వ ఒక క్యాలెండర్ సంవత్సరంలో అత్యధిక పరుగులు (1493)', ' 6 వ అత్యంత ఇన్నింగ్స్ లో నడుస్తుంది (బ్యాటింగ్ స్థానం) (319) ',' 10 వ పరాజయం వైపు ఒక మ్యాచ్లో అత్యధిక పరుగులు (249) ',' 3 వ అత్యంత ఒకే మైదానంలో పరుగులు (2312) ',' 18 వ అత్యంత పరుగులు ఒక రోజు (222) ',' ఒక కెప్టెన్ అత్యధిక వికెట్లు (219) ',' 2 వ అత్యంత ఇన్నింగ్స్ లో నడుస్తుంది ద్వారా ఒక ఇన్నింగ్స్ లో 43 వ అత్యధిక పరుగులు (230) ',' 13 వ అత్యధిక కెరీర్ బ్యాటింగ్ సగటు (57.40) ',' 4 వ ఒక వృత్తిలో ఒక వృత్తి జీవితంలో అత్యధిక వందలు (38) ',' 2 వ అత్యధిక డబుల్ వందల వృత్తిలో (11) ',' 5 వ అత్యధిక ట్రిపుల్ సెంచరీలు (1) ',' 2 వ అత్యధిక డబుల్ వందల వరుస (2) ',' ఒక జట్టు వ్యతిరేకంగా 6 వ అత్యధిక వందలు (10) ',' వరుస ఇన్నింగ్స్లో 5 వ వందల (3) ',' వరుస మ్యాచ్లలో 5 వ వందల (4) ',' (90) ',' వరుస ఇన్నింగ్స్లో 1st యాభైల్లో కెరీర్లో 6 వ అత్యంత అర్ధ (7) ',' వరుస మ్యాచ్లలో 9 వ యాభైల్లో (9) ',' ఒక డక్ లేకుండా 6 వ అత్యధిక వరుస ఇన్నింగ్స్ (85) ',' 37 వ ఎక్కువ సిక్స్ కెరీర్లో (51) ',' 5 ఒక ఇన్నింగ్స్ లో ఒక ఇన్నింగ్స్ లో కెరీర్లో వ అత్యంత ఫోర్లు (1491) ',' 13 వ ఎక్కువ సిక్స్ (8) ',' 31 మోస్ట్ ఫోర్లు (36) ',' ఇన్నింగ్స్ లో ఫోర్లు, సిక్సర్లు నుండి 18 వ అత్యధిక పరుగులు (176) ', '3000 పరుగులు 41 వ వేగవంతమైన (68)' '2000 పరుగులు 48 వ వేగవంతమైన (46)' '25 వ లాంగెస్ట్ వ్యక్తిగత ఇన్నింగ్స్ (నిమిషాలు) (698)', 'ఒక ఇన్నింగ్స్లో పరుగుల 28 అత్యధిక శాతం (58.82)', '42 వ 4000 పరుగులు (92) వేగంగా', '17 వ 5000 పరుగులు (106) వేగంగా', '6000 పరుగులు (116) 5 వ వేగవంతమైన' '5 వ వేగవంతమైన 7000 పరుగులు (138)', '1st 8000 వేగంగా పరుగులు (152) ',' 1st 9000 పరుగులు వేగంగా (172) ',' ఫాస్టెస్ట్ 10000 పరుగులు 11000 పరుగులు (208) ',' 1st వేగవంతమైన 12000 పరుగులు (224) 'కు (195)', '1st వేగంగా చేయడానికి 1st, 'ఏ వికెట్కు 1st అత్యధిక భాగస్వామ్యాల (624)', 'వికెట్ తేడాతో 3 వ అత్యధిక భాగస్వామ్యాల (3 వ)', 'మూడో వికెట్కు 1st అత్యధిక భాగస్వామ్యం (624)', '14 వ కెరీర్ లో అత్యధిక మ్యాచ్లు (134)', 'చాలా 5 వ ప్లేయర్ ఆఫ్ ది మ్యాచ్ అవార్డులు (16) ',' 24 వ అత్యంత ప్లేయర్ ఆఫ్ ది సిరీస్ అవార్డులు (4) ',' 47 వ వరుస అన్ని టాస్ గెలిచిన (3) ',' 31 మోస్ట్ dismissa కెరీర్లో ls (151) ',' 31 కెరీర్లో అత్యధిక క్యాచ్లు (131) ',' 19 వ కెరీర్ స్టంపింగ్లు (20) ',' 12 వ మ్యాచ్ లో అత్యంత స్టంపింగ్లు (3) ']</v>
      </c>
      <c r="E7961" s="2" t="s">
        <v>4470</v>
      </c>
      <c r="F7961" s="2" t="str">
        <f>IFERROR(__xludf.DUMMYFUNCTION("IF(E7961&lt;&gt;"""", GOOGLETRANSLATE(E7961, ""en"", ""te""),"""")"),"[ 'కెరీర్లో 2 వ అత్యధిక పరుగులు (14234)', '18 వ ఒక సిరీస్లో అత్యధిక పరుగులు (541)', '25 వ ఒక క్యాలెండర్ సంవత్సరంలో అత్యధిక పరుగులు (1333)', '6 వ ఇన్నింగ్స్ లో అత్యధిక పరుగులు (బ్యాటింగ్ స్థానంలో ప్రకారం) ( 169) ',' ఒకే క్రీడా పరాజయం వైపు (138 *) ఒక మ్యాచ"&amp;"్లో 42 వ అత్యధిక పరుగులు ',' 7 వ అత్యధిక పరుగులు (2156) ',' ఒక కెప్టెన్ ద్వారా ఒక సిరీస్లో 10 వ అత్యధిక పరుగులు (465) ',' 1 వ అత్యంత అత్యధిక వికెట్లు ఇన్నింగ్స్ లో (541) ',' 7 వ అత్యధిక పరుగులు చేసిన వికెట్కీపర్గా శ్రేణిలో పరుగులు (169) ',' 49 వ అత్యధిక క"&amp;"ెరీర్ బ్యాటింగ్ సగటు (41.98) ',' 7th ఒక వృత్తిలో అత్యధిక వందలు (25) ',' వరుస 2 వ అత్యధిక వందలు (4) ',' ఒక క్యాలెండర్ సంవత్సరంలో 11 వ అత్యధిక వందలు (5) ',' ఒక జట్టుతో 10 వ అత్యధిక వందలు (6) ',' వరుస ఇన్నింగ్స్లో 1st వందల (4) ', 'వందవ మ్యాచ్లో 4 వ హండ్రెడ్ "&amp;"(101)', 'కెరీర్లో 8 వ అత్యంత తొంభైల (6)' '14 వ అత్యంత వృద్ధ ఆటగాడు వంద (37y 135d) స్కోర్', 'కెరీర్ లో 2 వ పెద్ద అర్ధ (118)', '11 వ యాభైల్లో లో వరుస ఇన్నింగ్స్లో డకౌట్ లేకుండా (5) ',' 15 వ వరుస ఇన్నింగ్స్ (81) ',' 45 వ కెరీర్ బాతులు (15) ',' 48 వ అత్యంత "&amp;"కారులో సిక్సర్లు మూత (88) ',' 3 వ అత్యంత ఫోర్లు కెరీర్లో (1385) ',' ఇన్నింగ్స్ లో ఫోర్లు, సిక్సర్లు నుండి 33 వ అత్యధిక పరుగులు (108) ',' 39 వ వేగంగా చేయడానికి 6000 పరుగులు (192) ',' 7000 పరుగులు 31 వేగవంతమైన (221) ',' 24th 8000 పరుగులు (247) ',' 14 వ వేగ"&amp;"ంగా వేగంగా 9000 పరుగులు (270) ',' 11 వ వేగంగా చేయడానికి 10000 పరుగులు (296) ',' 6 వ వేగవంతమైన వరకు 11000 పరుగులు (318) ',' 4 వ వేగవంతమైన వరకు 12000 పరుగులు (336) ',' ఫాస్టెస్ట్ 13000 ఒక కోసం పరుగులు (363) ',' 2 వ కెరీర్లో 14000 పరుగులు (378) ',' 4 వ అత్"&amp;"యధిక మ్యాచ్లు వేగంగా (404) ',' 25 వ వరుస మ్యాచ్లు 3 వ జట్టు (88) ',' 7 వ అత్యంత ప్లేయర్ ఆఫ్ ది మ్యాచ్ అవార్డులు (31) ',' 17 వ అత్యంత ప్లేయర్ ఆఫ్ ది సిరీస్ అవార్డులు (5) ',' వికెట్ (45) ఉంచింది చేసిన '4 వ కెప్టెన్ల, 'కెరీర్ లో 1 వ అత్యధిక వికెట్లు (482)', "&amp;"'16 వ ఇన్నింగ్స్ (5) తొలగింపులకు' 'వరుస 17 వ అత్యధిక వికెట్లు (17)', 'కెరీర్ లో 3 వ అత్యధిక క్యాచ్లు (383)', '24 వ అత్యధిక క్యాచ్లు వరుస కెరీర్లో (15) ',' 2 వ అత్యంత స్టంపింగ్లు (99) ',' 1 వ ఇన్నింగ్స్ వరుస (3) ',' 7 వ అత్యంత స్టంపింగ్లు అత్యంత స్టంపింగ్ల"&amp;"ు (5) ',' 10 వ చాల వరకు ఒక లో సాధించిన బైస్ ఇన్నింగ్స్ (12) ']")</f>
        <v>[ 'కెరీర్లో 2 వ అత్యధిక పరుగులు (14234)', '18 వ ఒక సిరీస్లో అత్యధిక పరుగులు (541)', '25 వ ఒక క్యాలెండర్ సంవత్సరంలో అత్యధిక పరుగులు (1333)', '6 వ ఇన్నింగ్స్ లో అత్యధిక పరుగులు (బ్యాటింగ్ స్థానంలో ప్రకారం) ( 169) ',' ఒకే క్రీడా పరాజయం వైపు (138 *) ఒక మ్యాచ్లో 42 వ అత్యధిక పరుగులు ',' 7 వ అత్యధిక పరుగులు (2156) ',' ఒక కెప్టెన్ ద్వారా ఒక సిరీస్లో 10 వ అత్యధిక పరుగులు (465) ',' 1 వ అత్యంత అత్యధిక వికెట్లు ఇన్నింగ్స్ లో (541) ',' 7 వ అత్యధిక పరుగులు చేసిన వికెట్కీపర్గా శ్రేణిలో పరుగులు (169) ',' 49 వ అత్యధిక కెరీర్ బ్యాటింగ్ సగటు (41.98) ',' 7th ఒక వృత్తిలో అత్యధిక వందలు (25) ',' వరుస 2 వ అత్యధిక వందలు (4) ',' ఒక క్యాలెండర్ సంవత్సరంలో 11 వ అత్యధిక వందలు (5) ',' ఒక జట్టుతో 10 వ అత్యధిక వందలు (6) ',' వరుస ఇన్నింగ్స్లో 1st వందల (4) ', 'వందవ మ్యాచ్లో 4 వ హండ్రెడ్ (101)', 'కెరీర్లో 8 వ అత్యంత తొంభైల (6)' '14 వ అత్యంత వృద్ధ ఆటగాడు వంద (37y 135d) స్కోర్', 'కెరీర్ లో 2 వ పెద్ద అర్ధ (118)', '11 వ యాభైల్లో లో వరుస ఇన్నింగ్స్లో డకౌట్ లేకుండా (5) ',' 15 వ వరుస ఇన్నింగ్స్ (81) ',' 45 వ కెరీర్ బాతులు (15) ',' 48 వ అత్యంత కారులో సిక్సర్లు మూత (88) ',' 3 వ అత్యంత ఫోర్లు కెరీర్లో (1385) ',' ఇన్నింగ్స్ లో ఫోర్లు, సిక్సర్లు నుండి 33 వ అత్యధిక పరుగులు (108) ',' 39 వ వేగంగా చేయడానికి 6000 పరుగులు (192) ',' 7000 పరుగులు 31 వేగవంతమైన (221) ',' 24th 8000 పరుగులు (247) ',' 14 వ వేగంగా వేగంగా 9000 పరుగులు (270) ',' 11 వ వేగంగా చేయడానికి 10000 పరుగులు (296) ',' 6 వ వేగవంతమైన వరకు 11000 పరుగులు (318) ',' 4 వ వేగవంతమైన వరకు 12000 పరుగులు (336) ',' ఫాస్టెస్ట్ 13000 ఒక కోసం పరుగులు (363) ',' 2 వ కెరీర్లో 14000 పరుగులు (378) ',' 4 వ అత్యధిక మ్యాచ్లు వేగంగా (404) ',' 25 వ వరుస మ్యాచ్లు 3 వ జట్టు (88) ',' 7 వ అత్యంత ప్లేయర్ ఆఫ్ ది మ్యాచ్ అవార్డులు (31) ',' 17 వ అత్యంత ప్లేయర్ ఆఫ్ ది సిరీస్ అవార్డులు (5) ',' వికెట్ (45) ఉంచింది చేసిన '4 వ కెప్టెన్ల, 'కెరీర్ లో 1 వ అత్యధిక వికెట్లు (482)', '16 వ ఇన్నింగ్స్ (5) తొలగింపులకు' 'వరుస 17 వ అత్యధిక వికెట్లు (17)', 'కెరీర్ లో 3 వ అత్యధిక క్యాచ్లు (383)', '24 వ అత్యధిక క్యాచ్లు వరుస కెరీర్లో (15) ',' 2 వ అత్యంత స్టంపింగ్లు (99) ',' 1 వ ఇన్నింగ్స్ వరుస (3) ',' 7 వ అత్యంత స్టంపింగ్లు అత్యంత స్టంపింగ్లు (5) ',' 10 వ చాల వరకు ఒక లో సాధించిన బైస్ ఇన్నింగ్స్ (12) ']</v>
      </c>
      <c r="G7961" s="2" t="s">
        <v>4471</v>
      </c>
      <c r="H7961" s="2" t="str">
        <f>IFERROR(__xludf.DUMMYFUNCTION("IF(G7961&lt;&gt;"""", GOOGLETRANSLATE(G7961, ""en"", ""te""),"""")"),"[ '42 వ కెరీర్ లో అత్యధిక పరుగులు (1382)', '30th ఒక క్యాలెండర్ సంవత్సరంలో అత్యధిక పరుగులు (434)', '27 వ ఇన్నింగ్స్ లో అత్యధిక పరుగులు (బ్యాటింగ్ స్థానంలో ప్రకారం) (69)', '43 వ ఇన్నింగ్స్ లో అత్యధిక పరుగులు ద్వారా ఒక కెప్టెన్ (78) ',' అత్యధిక వికెట్లు ఇన్న"&amp;"ింగ్స్ లో 20 వ అత్యధిక పరుగులు (78) ',' 35 వ అత్యధిక కెరీర్ బ్యాటింగ్ సగటు (31.40) ',' 32 వ కెరీర్ అర్ధ (8) ',' వరుస ఇన్నింగ్స్లో 3 వ యాభైల్లో (3) ',' ఒక డక్ లేకుండా 31 వరుస ఇన్నింగ్స్ (36) ',' కెరీర్లో 22 వ అతి తక్కువ బాతులు (26.5) ',' 31 కెరీర్ ఫోర్లు "&amp;"(139) ',' 31 ఇన్నింగ్స్ లో వచ్చిన ఎక్కువ ఫోర్లు (11) ',' ఒక ఇన్నింగ్స్లో పరుగుల 35 వ అత్యధిక శాతం (57.28) ',' 19 వ 1000 పరుగులు వేగంగా (38) ',' నాలుగవ వికెట్కు 32 వ అత్యధిక భాగస్వామ్యం (94) ',' ఏడవ వికెట్కు 7 వ అత్యధిక భాగస్వామ్యం ( 68 *) ',' 29th అత్యధిక"&amp;" మ్యాచ్లు కెప్టెన్గా (22) ',' వికెట్ను కాపాడుకున్నాడు చేసిన 4 వ కెప్టెన్ల (22) ',' ఒక జట్టు కెప్టెన్గా 17 వ వరుస మ్యాచ్లు (21) ',' 8 వ అత్యధిక కెరీర్ లో వికెట్లు ( 45) ',' 11 వ కెరీర్ లో అత్యధిక క్యాచ్లు (25) ',' 5 వ కెరీర్ (20 అత్యంత స్టంపింగ్లు) ']")</f>
        <v>[ '42 వ కెరీర్ లో అత్యధిక పరుగులు (1382)', '30th ఒక క్యాలెండర్ సంవత్సరంలో అత్యధిక పరుగులు (434)', '27 వ ఇన్నింగ్స్ లో అత్యధిక పరుగులు (బ్యాటింగ్ స్థానంలో ప్రకారం) (69)', '43 వ ఇన్నింగ్స్ లో అత్యధిక పరుగులు ద్వారా ఒక కెప్టెన్ (78) ',' అత్యధిక వికెట్లు ఇన్నింగ్స్ లో 20 వ అత్యధిక పరుగులు (78) ',' 35 వ అత్యధిక కెరీర్ బ్యాటింగ్ సగటు (31.40) ',' 32 వ కెరీర్ అర్ధ (8) ',' వరుస ఇన్నింగ్స్లో 3 వ యాభైల్లో (3) ',' ఒక డక్ లేకుండా 31 వరుస ఇన్నింగ్స్ (36) ',' కెరీర్లో 22 వ అతి తక్కువ బాతులు (26.5) ',' 31 కెరీర్ ఫోర్లు (139) ',' 31 ఇన్నింగ్స్ లో వచ్చిన ఎక్కువ ఫోర్లు (11) ',' ఒక ఇన్నింగ్స్లో పరుగుల 35 వ అత్యధిక శాతం (57.28) ',' 19 వ 1000 పరుగులు వేగంగా (38) ',' నాలుగవ వికెట్కు 32 వ అత్యధిక భాగస్వామ్యం (94) ',' ఏడవ వికెట్కు 7 వ అత్యధిక భాగస్వామ్యం ( 68 *) ',' 29th అత్యధిక మ్యాచ్లు కెప్టెన్గా (22) ',' వికెట్ను కాపాడుకున్నాడు చేసిన 4 వ కెప్టెన్ల (22) ',' ఒక జట్టు కెప్టెన్గా 17 వ వరుస మ్యాచ్లు (21) ',' 8 వ అత్యధిక కెరీర్ లో వికెట్లు ( 45) ',' 11 వ కెరీర్ లో అత్యధిక క్యాచ్లు (25) ',' 5 వ కెరీర్ (20 అత్యంత స్టంపింగ్లు) ']</v>
      </c>
      <c r="I7961" s="3"/>
    </row>
    <row r="7962" customHeight="1" spans="1:9">
      <c r="A7962" s="2"/>
      <c r="B7962" s="2" t="str">
        <f>IFERROR(__xludf.DUMMYFUNCTION("IF(A7962&lt;&gt;"""", GOOGLETRANSLATE(A7962, ""en"", ""te""),"""")"),"")</f>
        <v/>
      </c>
      <c r="C7962" s="2"/>
      <c r="D7962" s="2" t="str">
        <f>IFERROR(__xludf.DUMMYFUNCTION("IF(C7962&lt;&gt;"""", GOOGLETRANSLATE(C7962, ""en"", ""te""),"""")"),"")</f>
        <v/>
      </c>
      <c r="E7962" s="2"/>
      <c r="F7962" s="2" t="str">
        <f>IFERROR(__xludf.DUMMYFUNCTION("IF(E7962&lt;&gt;"""", GOOGLETRANSLATE(E7962, ""en"", ""te""),"""")"),"")</f>
        <v/>
      </c>
      <c r="G7962" s="2"/>
      <c r="H7962" s="2" t="str">
        <f>IFERROR(__xludf.DUMMYFUNCTION("IF(G7962&lt;&gt;"""", GOOGLETRANSLATE(G7962, ""en"", ""te""),"""")"),"")</f>
        <v/>
      </c>
      <c r="I7962" s="3"/>
    </row>
    <row r="7963" customHeight="1" spans="1:9">
      <c r="A7963" s="2"/>
      <c r="B7963" s="2" t="str">
        <f>IFERROR(__xludf.DUMMYFUNCTION("IF(A7963&lt;&gt;"""", GOOGLETRANSLATE(A7963, ""en"", ""te""),"""")"),"")</f>
        <v/>
      </c>
      <c r="C7963" s="2"/>
      <c r="D7963" s="2" t="str">
        <f>IFERROR(__xludf.DUMMYFUNCTION("IF(C7963&lt;&gt;"""", GOOGLETRANSLATE(C7963, ""en"", ""te""),"""")"),"")</f>
        <v/>
      </c>
      <c r="E7963" s="2"/>
      <c r="F7963" s="2" t="str">
        <f>IFERROR(__xludf.DUMMYFUNCTION("IF(E7963&lt;&gt;"""", GOOGLETRANSLATE(E7963, ""en"", ""te""),"""")"),"")</f>
        <v/>
      </c>
      <c r="G7963" s="2"/>
      <c r="H7963" s="2" t="str">
        <f>IFERROR(__xludf.DUMMYFUNCTION("IF(G7963&lt;&gt;"""", GOOGLETRANSLATE(G7963, ""en"", ""te""),"""")"),"")</f>
        <v/>
      </c>
      <c r="I7963" s="3"/>
    </row>
    <row r="7964" customHeight="1" spans="1:9">
      <c r="A7964" s="2"/>
      <c r="B7964" s="2" t="str">
        <f>IFERROR(__xludf.DUMMYFUNCTION("IF(A7964&lt;&gt;"""", GOOGLETRANSLATE(A7964, ""en"", ""te""),"""")"),"")</f>
        <v/>
      </c>
      <c r="C7964" s="2"/>
      <c r="D7964" s="2" t="str">
        <f>IFERROR(__xludf.DUMMYFUNCTION("IF(C7964&lt;&gt;"""", GOOGLETRANSLATE(C7964, ""en"", ""te""),"""")"),"")</f>
        <v/>
      </c>
      <c r="E7964" s="2"/>
      <c r="F7964" s="2" t="str">
        <f>IFERROR(__xludf.DUMMYFUNCTION("IF(E7964&lt;&gt;"""", GOOGLETRANSLATE(E7964, ""en"", ""te""),"""")"),"")</f>
        <v/>
      </c>
      <c r="G7964" s="2"/>
      <c r="H7964" s="2" t="str">
        <f>IFERROR(__xludf.DUMMYFUNCTION("IF(G7964&lt;&gt;"""", GOOGLETRANSLATE(G7964, ""en"", ""te""),"""")"),"")</f>
        <v/>
      </c>
      <c r="I7964" s="3"/>
    </row>
    <row r="7965" customHeight="1" spans="1:9">
      <c r="A7965" s="2"/>
      <c r="B7965" s="2" t="str">
        <f>IFERROR(__xludf.DUMMYFUNCTION("IF(A7965&lt;&gt;"""", GOOGLETRANSLATE(A7965, ""en"", ""te""),"""")"),"")</f>
        <v/>
      </c>
      <c r="C7965" s="2"/>
      <c r="D7965" s="2" t="str">
        <f>IFERROR(__xludf.DUMMYFUNCTION("IF(C7965&lt;&gt;"""", GOOGLETRANSLATE(C7965, ""en"", ""te""),"""")"),"")</f>
        <v/>
      </c>
      <c r="E7965" s="2"/>
      <c r="F7965" s="2" t="str">
        <f>IFERROR(__xludf.DUMMYFUNCTION("IF(E7965&lt;&gt;"""", GOOGLETRANSLATE(E7965, ""en"", ""te""),"""")"),"")</f>
        <v/>
      </c>
      <c r="G7965" s="2"/>
      <c r="H7965" s="2" t="str">
        <f>IFERROR(__xludf.DUMMYFUNCTION("IF(G7965&lt;&gt;"""", GOOGLETRANSLATE(G7965, ""en"", ""te""),"""")"),"")</f>
        <v/>
      </c>
      <c r="I7965" s="3"/>
    </row>
    <row r="7966" customHeight="1" spans="1:9">
      <c r="A7966" s="2"/>
      <c r="B7966" s="2" t="str">
        <f>IFERROR(__xludf.DUMMYFUNCTION("IF(A7966&lt;&gt;"""", GOOGLETRANSLATE(A7966, ""en"", ""te""),"""")"),"")</f>
        <v/>
      </c>
      <c r="C7966" s="2"/>
      <c r="D7966" s="2" t="str">
        <f>IFERROR(__xludf.DUMMYFUNCTION("IF(C7966&lt;&gt;"""", GOOGLETRANSLATE(C7966, ""en"", ""te""),"""")"),"")</f>
        <v/>
      </c>
      <c r="E7966" s="2"/>
      <c r="F7966" s="2" t="str">
        <f>IFERROR(__xludf.DUMMYFUNCTION("IF(E7966&lt;&gt;"""", GOOGLETRANSLATE(E7966, ""en"", ""te""),"""")"),"")</f>
        <v/>
      </c>
      <c r="G7966" s="2"/>
      <c r="H7966" s="2" t="str">
        <f>IFERROR(__xludf.DUMMYFUNCTION("IF(G7966&lt;&gt;"""", GOOGLETRANSLATE(G7966, ""en"", ""te""),"""")"),"")</f>
        <v/>
      </c>
      <c r="I7966" s="3"/>
    </row>
    <row r="7967" customHeight="1" spans="1:9">
      <c r="A7967" s="2"/>
      <c r="B7967" s="2" t="str">
        <f>IFERROR(__xludf.DUMMYFUNCTION("IF(A7967&lt;&gt;"""", GOOGLETRANSLATE(A7967, ""en"", ""te""),"""")"),"")</f>
        <v/>
      </c>
      <c r="C7967" s="2"/>
      <c r="D7967" s="2" t="str">
        <f>IFERROR(__xludf.DUMMYFUNCTION("IF(C7967&lt;&gt;"""", GOOGLETRANSLATE(C7967, ""en"", ""te""),"""")"),"")</f>
        <v/>
      </c>
      <c r="E7967" s="2"/>
      <c r="F7967" s="2" t="str">
        <f>IFERROR(__xludf.DUMMYFUNCTION("IF(E7967&lt;&gt;"""", GOOGLETRANSLATE(E7967, ""en"", ""te""),"""")"),"")</f>
        <v/>
      </c>
      <c r="G7967" s="2"/>
      <c r="H7967" s="2" t="str">
        <f>IFERROR(__xludf.DUMMYFUNCTION("IF(G7967&lt;&gt;"""", GOOGLETRANSLATE(G7967, ""en"", ""te""),"""")"),"")</f>
        <v/>
      </c>
      <c r="I7967" s="3"/>
    </row>
    <row r="7968" customHeight="1" spans="1:9">
      <c r="A7968" s="2"/>
      <c r="B7968" s="2" t="str">
        <f>IFERROR(__xludf.DUMMYFUNCTION("IF(A7968&lt;&gt;"""", GOOGLETRANSLATE(A7968, ""en"", ""te""),"""")"),"")</f>
        <v/>
      </c>
      <c r="C7968" s="2"/>
      <c r="D7968" s="2" t="str">
        <f>IFERROR(__xludf.DUMMYFUNCTION("IF(C7968&lt;&gt;"""", GOOGLETRANSLATE(C7968, ""en"", ""te""),"""")"),"")</f>
        <v/>
      </c>
      <c r="E7968" s="2"/>
      <c r="F7968" s="2" t="str">
        <f>IFERROR(__xludf.DUMMYFUNCTION("IF(E7968&lt;&gt;"""", GOOGLETRANSLATE(E7968, ""en"", ""te""),"""")"),"")</f>
        <v/>
      </c>
      <c r="G7968" s="2"/>
      <c r="H7968" s="2" t="str">
        <f>IFERROR(__xludf.DUMMYFUNCTION("IF(G7968&lt;&gt;"""", GOOGLETRANSLATE(G7968, ""en"", ""te""),"""")"),"")</f>
        <v/>
      </c>
      <c r="I7968" s="3"/>
    </row>
    <row r="7969" customHeight="1" spans="1:9">
      <c r="A7969" s="2"/>
      <c r="B7969" s="2" t="str">
        <f>IFERROR(__xludf.DUMMYFUNCTION("IF(A7969&lt;&gt;"""", GOOGLETRANSLATE(A7969, ""en"", ""te""),"""")"),"")</f>
        <v/>
      </c>
      <c r="C7969" s="2"/>
      <c r="D7969" s="2" t="str">
        <f>IFERROR(__xludf.DUMMYFUNCTION("IF(C7969&lt;&gt;"""", GOOGLETRANSLATE(C7969, ""en"", ""te""),"""")"),"")</f>
        <v/>
      </c>
      <c r="E7969" s="2"/>
      <c r="F7969" s="2" t="str">
        <f>IFERROR(__xludf.DUMMYFUNCTION("IF(E7969&lt;&gt;"""", GOOGLETRANSLATE(E7969, ""en"", ""te""),"""")"),"")</f>
        <v/>
      </c>
      <c r="G7969" s="2"/>
      <c r="H7969" s="2" t="str">
        <f>IFERROR(__xludf.DUMMYFUNCTION("IF(G7969&lt;&gt;"""", GOOGLETRANSLATE(G7969, ""en"", ""te""),"""")"),"")</f>
        <v/>
      </c>
      <c r="I7969" s="3"/>
    </row>
    <row r="7970" customHeight="1" spans="1:9">
      <c r="A7970" s="2" t="s">
        <v>399</v>
      </c>
      <c r="B7970" s="2" t="str">
        <f>IFERROR(__xludf.DUMMYFUNCTION("IF(A7970&lt;&gt;"""", GOOGLETRANSLATE(A7970, ""en"", ""te""),"""")"),"[ 'తొలి పెయిర్']")</f>
        <v>[ 'తొలి పెయిర్']</v>
      </c>
      <c r="C7970" s="2"/>
      <c r="D7970" s="2" t="str">
        <f>IFERROR(__xludf.DUMMYFUNCTION("IF(C7970&lt;&gt;"""", GOOGLETRANSLATE(C7970, ""en"", ""te""),"""")"),"")</f>
        <v/>
      </c>
      <c r="E7970" s="2" t="s">
        <v>4472</v>
      </c>
      <c r="F7970" s="2" t="str">
        <f>IFERROR(__xludf.DUMMYFUNCTION("IF(E7970&lt;&gt;"""", GOOGLETRANSLATE(E7970, ""en"", ""te""),"""")"),"[ 'వరుస ఇన్నింగ్స్లో 44 వ యాభైల్లో (4)', 'ఆరవ వికెట్కు 12 వ అత్యధిక భాగస్వామ్యం (159)', '43 వ వరుస మ్యాచ్లు ఆడి మధ్య జట్టు (125) కోసం తప్పిన']")</f>
        <v>[ 'వరుస ఇన్నింగ్స్లో 44 వ యాభైల్లో (4)', 'ఆరవ వికెట్కు 12 వ అత్యధిక భాగస్వామ్యం (159)', '43 వ వరుస మ్యాచ్లు ఆడి మధ్య జట్టు (125) కోసం తప్పిన']</v>
      </c>
      <c r="G7970" s="2" t="s">
        <v>4473</v>
      </c>
      <c r="H7970" s="2" t="str">
        <f>IFERROR(__xludf.DUMMYFUNCTION("IF(G7970&lt;&gt;"""", GOOGLETRANSLATE(G7970, ""en"", ""te""),"""")"),"[ 'కెరీర్లో 40 వ లేవు బాతులు (15)']")</f>
        <v>[ 'కెరీర్లో 40 వ లేవు బాతులు (15)']</v>
      </c>
      <c r="I7970" s="3"/>
    </row>
    <row r="7971" customHeight="1" spans="1:9">
      <c r="A7971" s="2"/>
      <c r="B7971" s="2" t="str">
        <f>IFERROR(__xludf.DUMMYFUNCTION("IF(A7971&lt;&gt;"""", GOOGLETRANSLATE(A7971, ""en"", ""te""),"""")"),"")</f>
        <v/>
      </c>
      <c r="C7971" s="2"/>
      <c r="D7971" s="2" t="str">
        <f>IFERROR(__xludf.DUMMYFUNCTION("IF(C7971&lt;&gt;"""", GOOGLETRANSLATE(C7971, ""en"", ""te""),"""")"),"")</f>
        <v/>
      </c>
      <c r="E7971" s="2"/>
      <c r="F7971" s="2" t="str">
        <f>IFERROR(__xludf.DUMMYFUNCTION("IF(E7971&lt;&gt;"""", GOOGLETRANSLATE(E7971, ""en"", ""te""),"""")"),"")</f>
        <v/>
      </c>
      <c r="G7971" s="2"/>
      <c r="H7971" s="2" t="str">
        <f>IFERROR(__xludf.DUMMYFUNCTION("IF(G7971&lt;&gt;"""", GOOGLETRANSLATE(G7971, ""en"", ""te""),"""")"),"")</f>
        <v/>
      </c>
      <c r="I7971" s="3"/>
    </row>
    <row r="7972" customHeight="1" spans="1:9">
      <c r="A7972" s="2"/>
      <c r="B7972" s="2" t="str">
        <f>IFERROR(__xludf.DUMMYFUNCTION("IF(A7972&lt;&gt;"""", GOOGLETRANSLATE(A7972, ""en"", ""te""),"""")"),"")</f>
        <v/>
      </c>
      <c r="C7972" s="2"/>
      <c r="D7972" s="2" t="str">
        <f>IFERROR(__xludf.DUMMYFUNCTION("IF(C7972&lt;&gt;"""", GOOGLETRANSLATE(C7972, ""en"", ""te""),"""")"),"")</f>
        <v/>
      </c>
      <c r="E7972" s="2"/>
      <c r="F7972" s="2" t="str">
        <f>IFERROR(__xludf.DUMMYFUNCTION("IF(E7972&lt;&gt;"""", GOOGLETRANSLATE(E7972, ""en"", ""te""),"""")"),"")</f>
        <v/>
      </c>
      <c r="G7972" s="2"/>
      <c r="H7972" s="2" t="str">
        <f>IFERROR(__xludf.DUMMYFUNCTION("IF(G7972&lt;&gt;"""", GOOGLETRANSLATE(G7972, ""en"", ""te""),"""")"),"")</f>
        <v/>
      </c>
      <c r="I7972" s="3"/>
    </row>
    <row r="7973" customHeight="1" spans="1:9">
      <c r="A7973" s="2"/>
      <c r="B7973" s="2" t="str">
        <f>IFERROR(__xludf.DUMMYFUNCTION("IF(A7973&lt;&gt;"""", GOOGLETRANSLATE(A7973, ""en"", ""te""),"""")"),"")</f>
        <v/>
      </c>
      <c r="C7973" s="2"/>
      <c r="D7973" s="2" t="str">
        <f>IFERROR(__xludf.DUMMYFUNCTION("IF(C7973&lt;&gt;"""", GOOGLETRANSLATE(C7973, ""en"", ""te""),"""")"),"")</f>
        <v/>
      </c>
      <c r="E7973" s="2" t="s">
        <v>4474</v>
      </c>
      <c r="F7973" s="2" t="str">
        <f>IFERROR(__xludf.DUMMYFUNCTION("IF(E7973&lt;&gt;"""", GOOGLETRANSLATE(E7973, ""en"", ""te""),"""")"),"[ '36 వ అత్యధిక కెరీర్ సమ్మె రేటు (98.28)']")</f>
        <v>[ '36 వ అత్యధిక కెరీర్ సమ్మె రేటు (98.28)']</v>
      </c>
      <c r="G7973" s="2"/>
      <c r="H7973" s="2" t="str">
        <f>IFERROR(__xludf.DUMMYFUNCTION("IF(G7973&lt;&gt;"""", GOOGLETRANSLATE(G7973, ""en"", ""te""),"""")"),"")</f>
        <v/>
      </c>
      <c r="I7973" s="3"/>
    </row>
    <row r="7974" customHeight="1" spans="1:9">
      <c r="A7974" s="2" t="s">
        <v>4475</v>
      </c>
      <c r="B7974" s="2" t="str">
        <f>IFERROR(__xludf.DUMMYFUNCTION("IF(A7974&lt;&gt;"""", GOOGLETRANSLATE(A7974, ""en"", ""te""),"""")"),"[ '(6) ఒక ఇన్నింగ్స్ లో 5 వ అత్యధిక వికెట్లు' 'ఇన్నింగ్స్ లో 5 వ అత్యధిక క్యాచ్లు (6)', 'వంద మరియు ఒక ఇన్నింగ్స్ లో ఐదు తొలగింపులకు']")</f>
        <v>[ '(6) ఒక ఇన్నింగ్స్ లో 5 వ అత్యధిక వికెట్లు' 'ఇన్నింగ్స్ లో 5 వ అత్యధిక క్యాచ్లు (6)', 'వంద మరియు ఒక ఇన్నింగ్స్ లో ఐదు తొలగింపులకు']</v>
      </c>
      <c r="C7974" s="2" t="s">
        <v>4476</v>
      </c>
      <c r="D7974" s="2" t="str">
        <f>IFERROR(__xludf.DUMMYFUNCTION("IF(C7974&lt;&gt;"""", GOOGLETRANSLATE(C7974, ""en"", ""te""),"""")"),"[ 'ఇన్నింగ్స్ (6) లో 5 వ అత్యధిక వికెట్లు' 'ఒక మ్యాచ్లో 8 వ అత్యధిక వికెట్లు (9)', '32 వ ఒక సిరీస్లో అత్యధిక వికెట్లు (22)', '5 వ ఇన్నింగ్స్ లో అత్యధిక క్యాచ్లు (6)', ' ఒక మ్యాచ్లో 8 వ అత్యధిక క్యాచ్లు (9) ',' 35 వ ఒక సిరీస్లో అత్యధిక క్యాచ్లు (21) ']")</f>
        <v>[ 'ఇన్నింగ్స్ (6) లో 5 వ అత్యధిక వికెట్లు' 'ఒక మ్యాచ్లో 8 వ అత్యధిక వికెట్లు (9)', '32 వ ఒక సిరీస్లో అత్యధిక వికెట్లు (22)', '5 వ ఇన్నింగ్స్ లో అత్యధిక క్యాచ్లు (6)', ' ఒక మ్యాచ్లో 8 వ అత్యధిక క్యాచ్లు (9) ',' 35 వ ఒక సిరీస్లో అత్యధిక క్యాచ్లు (21) ']</v>
      </c>
      <c r="E7974" s="2"/>
      <c r="F7974" s="2" t="str">
        <f>IFERROR(__xludf.DUMMYFUNCTION("IF(E7974&lt;&gt;"""", GOOGLETRANSLATE(E7974, ""en"", ""te""),"""")"),"")</f>
        <v/>
      </c>
      <c r="G7974" s="2"/>
      <c r="H7974" s="2" t="str">
        <f>IFERROR(__xludf.DUMMYFUNCTION("IF(G7974&lt;&gt;"""", GOOGLETRANSLATE(G7974, ""en"", ""te""),"""")"),"")</f>
        <v/>
      </c>
      <c r="I7974" s="3"/>
    </row>
    <row r="7975" customHeight="1" spans="1:9">
      <c r="A7975" s="2" t="s">
        <v>1828</v>
      </c>
      <c r="B7975" s="2" t="str">
        <f>IFERROR(__xludf.DUMMYFUNCTION("IF(A7975&lt;&gt;"""", GOOGLETRANSLATE(A7975, ""en"", ""te""),"""")"),"[ 'ఇన్నింగ్స్ లో 4 వ అత్యధిక క్యాచ్లు (3)']")</f>
        <v>[ 'ఇన్నింగ్స్ లో 4 వ అత్యధిక క్యాచ్లు (3)']</v>
      </c>
      <c r="C7975" s="2"/>
      <c r="D7975" s="2" t="str">
        <f>IFERROR(__xludf.DUMMYFUNCTION("IF(C7975&lt;&gt;"""", GOOGLETRANSLATE(C7975, ""en"", ""te""),"""")"),"")</f>
        <v/>
      </c>
      <c r="E7975" s="2" t="s">
        <v>4477</v>
      </c>
      <c r="F7975" s="2" t="str">
        <f>IFERROR(__xludf.DUMMYFUNCTION("IF(E7975&lt;&gt;"""", GOOGLETRANSLATE(E7975, ""en"", ""te""),"""")"),"[ '47 వ అత్యంత వంద (884) లేకుండా ఒక వృత్తిలో పరుగులు', 'ఒక డక్ లేకుండా 33 వ వరుస ఇన్నింగ్స్ (35 *)', 'కెరీర్లో 36 వ అతి తక్కువ బాతులు (21)', '4 వ ఇన్నింగ్స్ లో అత్యధిక క్యాచ్లు (3 ) ',' ఎనిమిదవ వికెట్కు 20 వ అత్యధిక భాగస్వామ్యం (50) ']")</f>
        <v>[ '47 వ అత్యంత వంద (884) లేకుండా ఒక వృత్తిలో పరుగులు', 'ఒక డక్ లేకుండా 33 వ వరుస ఇన్నింగ్స్ (35 *)', 'కెరీర్లో 36 వ అతి తక్కువ బాతులు (21)', '4 వ ఇన్నింగ్స్ లో అత్యధిక క్యాచ్లు (3 ) ',' ఎనిమిదవ వికెట్కు 20 వ అత్యధిక భాగస్వామ్యం (50) ']</v>
      </c>
      <c r="G7975" s="2"/>
      <c r="H7975" s="2" t="str">
        <f>IFERROR(__xludf.DUMMYFUNCTION("IF(G7975&lt;&gt;"""", GOOGLETRANSLATE(G7975, ""en"", ""te""),"""")"),"")</f>
        <v/>
      </c>
      <c r="I7975" s="3"/>
    </row>
    <row r="7976" customHeight="1" spans="1:9">
      <c r="A7976" s="2" t="s">
        <v>1532</v>
      </c>
      <c r="B7976" s="2" t="str">
        <f>IFERROR(__xludf.DUMMYFUNCTION("IF(A7976&lt;&gt;"""", GOOGLETRANSLATE(A7976, ""en"", ""te""),"""")"),"[ '7th అత్యుత్తమ ఇన్నింగ్స్ (2/3) విశ్లేషణలలో బౌలింగ్']")</f>
        <v>[ '7th అత్యుత్తమ ఇన్నింగ్స్ (2/3) విశ్లేషణలలో బౌలింగ్']</v>
      </c>
      <c r="C7976" s="2"/>
      <c r="D7976" s="2" t="str">
        <f>IFERROR(__xludf.DUMMYFUNCTION("IF(C7976&lt;&gt;"""", GOOGLETRANSLATE(C7976, ""en"", ""te""),"""")"),"")</f>
        <v/>
      </c>
      <c r="E7976" s="2"/>
      <c r="F7976" s="2" t="str">
        <f>IFERROR(__xludf.DUMMYFUNCTION("IF(E7976&lt;&gt;"""", GOOGLETRANSLATE(E7976, ""en"", ""te""),"""")"),"")</f>
        <v/>
      </c>
      <c r="G7976" s="2" t="s">
        <v>4478</v>
      </c>
      <c r="H7976" s="2" t="str">
        <f>IFERROR(__xludf.DUMMYFUNCTION("IF(G7976&lt;&gt;"""", GOOGLETRANSLATE(G7976, ""en"", ""te""),"""")"),"[ '7th అత్యుత్తమ ఇన్నింగ్స్ లో విశ్లేషణలు బౌలింగ్ (2/3)', '17 వ బౌలర్ / బ్యాట్స్ కలయికలు (3)']")</f>
        <v>[ '7th అత్యుత్తమ ఇన్నింగ్స్ లో విశ్లేషణలు బౌలింగ్ (2/3)', '17 వ బౌలర్ / బ్యాట్స్ కలయికలు (3)']</v>
      </c>
      <c r="I7976" s="3"/>
    </row>
    <row r="7977" customHeight="1" spans="1:9">
      <c r="A7977" s="2"/>
      <c r="B7977" s="2" t="str">
        <f>IFERROR(__xludf.DUMMYFUNCTION("IF(A7977&lt;&gt;"""", GOOGLETRANSLATE(A7977, ""en"", ""te""),"""")"),"")</f>
        <v/>
      </c>
      <c r="C7977" s="2"/>
      <c r="D7977" s="2" t="str">
        <f>IFERROR(__xludf.DUMMYFUNCTION("IF(C7977&lt;&gt;"""", GOOGLETRANSLATE(C7977, ""en"", ""te""),"""")"),"")</f>
        <v/>
      </c>
      <c r="E7977" s="2"/>
      <c r="F7977" s="2" t="str">
        <f>IFERROR(__xludf.DUMMYFUNCTION("IF(E7977&lt;&gt;"""", GOOGLETRANSLATE(E7977, ""en"", ""te""),"""")"),"")</f>
        <v/>
      </c>
      <c r="G7977" s="2"/>
      <c r="H7977" s="2" t="str">
        <f>IFERROR(__xludf.DUMMYFUNCTION("IF(G7977&lt;&gt;"""", GOOGLETRANSLATE(G7977, ""en"", ""te""),"""")"),"")</f>
        <v/>
      </c>
      <c r="I7977" s="3"/>
    </row>
    <row r="7978" customHeight="1" spans="1:9">
      <c r="A7978" s="2"/>
      <c r="B7978" s="2" t="str">
        <f>IFERROR(__xludf.DUMMYFUNCTION("IF(A7978&lt;&gt;"""", GOOGLETRANSLATE(A7978, ""en"", ""te""),"""")"),"")</f>
        <v/>
      </c>
      <c r="C7978" s="2"/>
      <c r="D7978" s="2" t="str">
        <f>IFERROR(__xludf.DUMMYFUNCTION("IF(C7978&lt;&gt;"""", GOOGLETRANSLATE(C7978, ""en"", ""te""),"""")"),"")</f>
        <v/>
      </c>
      <c r="E7978" s="2"/>
      <c r="F7978" s="2" t="str">
        <f>IFERROR(__xludf.DUMMYFUNCTION("IF(E7978&lt;&gt;"""", GOOGLETRANSLATE(E7978, ""en"", ""te""),"""")"),"")</f>
        <v/>
      </c>
      <c r="G7978" s="2"/>
      <c r="H7978" s="2" t="str">
        <f>IFERROR(__xludf.DUMMYFUNCTION("IF(G7978&lt;&gt;"""", GOOGLETRANSLATE(G7978, ""en"", ""te""),"""")"),"")</f>
        <v/>
      </c>
      <c r="I7978" s="3"/>
    </row>
    <row r="7979" customHeight="1" spans="1:9">
      <c r="A7979" s="2"/>
      <c r="B7979" s="2" t="str">
        <f>IFERROR(__xludf.DUMMYFUNCTION("IF(A7979&lt;&gt;"""", GOOGLETRANSLATE(A7979, ""en"", ""te""),"""")"),"")</f>
        <v/>
      </c>
      <c r="C7979" s="2"/>
      <c r="D7979" s="2" t="str">
        <f>IFERROR(__xludf.DUMMYFUNCTION("IF(C7979&lt;&gt;"""", GOOGLETRANSLATE(C7979, ""en"", ""te""),"""")"),"")</f>
        <v/>
      </c>
      <c r="E7979" s="2"/>
      <c r="F7979" s="2" t="str">
        <f>IFERROR(__xludf.DUMMYFUNCTION("IF(E7979&lt;&gt;"""", GOOGLETRANSLATE(E7979, ""en"", ""te""),"""")"),"")</f>
        <v/>
      </c>
      <c r="G7979" s="2"/>
      <c r="H7979" s="2" t="str">
        <f>IFERROR(__xludf.DUMMYFUNCTION("IF(G7979&lt;&gt;"""", GOOGLETRANSLATE(G7979, ""en"", ""te""),"""")"),"")</f>
        <v/>
      </c>
      <c r="I7979" s="3"/>
    </row>
    <row r="7980" customHeight="1" spans="1:9">
      <c r="A7980" s="2"/>
      <c r="B7980" s="2" t="str">
        <f>IFERROR(__xludf.DUMMYFUNCTION("IF(A7980&lt;&gt;"""", GOOGLETRANSLATE(A7980, ""en"", ""te""),"""")"),"")</f>
        <v/>
      </c>
      <c r="C7980" s="2"/>
      <c r="D7980" s="2" t="str">
        <f>IFERROR(__xludf.DUMMYFUNCTION("IF(C7980&lt;&gt;"""", GOOGLETRANSLATE(C7980, ""en"", ""te""),"""")"),"")</f>
        <v/>
      </c>
      <c r="E7980" s="2"/>
      <c r="F7980" s="2" t="str">
        <f>IFERROR(__xludf.DUMMYFUNCTION("IF(E7980&lt;&gt;"""", GOOGLETRANSLATE(E7980, ""en"", ""te""),"""")"),"")</f>
        <v/>
      </c>
      <c r="G7980" s="2"/>
      <c r="H7980" s="2" t="str">
        <f>IFERROR(__xludf.DUMMYFUNCTION("IF(G7980&lt;&gt;"""", GOOGLETRANSLATE(G7980, ""en"", ""te""),"""")"),"")</f>
        <v/>
      </c>
      <c r="I7980" s="3"/>
    </row>
    <row r="7981" customHeight="1" spans="1:9">
      <c r="A7981" s="2" t="s">
        <v>4479</v>
      </c>
      <c r="B7981" s="2" t="str">
        <f>IFERROR(__xludf.DUMMYFUNCTION("IF(A7981&lt;&gt;"""", GOOGLETRANSLATE(A7981, ""en"", ""te""),"""")"),"[ '3 వ కెరీర్ లో బాతులు (26)', 'ఆరవ వికెట్కు 1st అత్యధిక భాగస్వామ్యం (84)']")</f>
        <v>[ '3 వ కెరీర్ లో బాతులు (26)', 'ఆరవ వికెట్కు 1st అత్యధిక భాగస్వామ్యం (84)']</v>
      </c>
      <c r="C7981" s="2"/>
      <c r="D7981" s="2" t="str">
        <f>IFERROR(__xludf.DUMMYFUNCTION("IF(C7981&lt;&gt;"""", GOOGLETRANSLATE(C7981, ""en"", ""te""),"""")"),"")</f>
        <v/>
      </c>
      <c r="E7981" s="2"/>
      <c r="F7981" s="2" t="str">
        <f>IFERROR(__xludf.DUMMYFUNCTION("IF(E7981&lt;&gt;"""", GOOGLETRANSLATE(E7981, ""en"", ""te""),"""")"),"")</f>
        <v/>
      </c>
      <c r="G7981" s="2" t="s">
        <v>4480</v>
      </c>
      <c r="H7981" s="2" t="str">
        <f>IFERROR(__xludf.DUMMYFUNCTION("IF(G7981&lt;&gt;"""", GOOGLETRANSLATE(G7981, ""en"", ""te""),"""")"),"[ '34 వ పరాజయం వైపు ఒక మ్యాచ్లో అత్యధిక పరుగులు (61)', 'కెరీర్ లో 3 వ లేవు బాతులు (26)', 'వికెట్ తేడాతో 6 వ అత్యధిక భాగస్వామ్యాల (6)', ఆరవ వికెట్కు '1st అత్యధిక భాగస్వామ్యం (84) ',' 13 వ అత్యంత బైలు ఇన్నింగ్స్ లో (6) సాధించిన]")</f>
        <v>[ '34 వ పరాజయం వైపు ఒక మ్యాచ్లో అత్యధిక పరుగులు (61)', 'కెరీర్ లో 3 వ లేవు బాతులు (26)', 'వికెట్ తేడాతో 6 వ అత్యధిక భాగస్వామ్యాల (6)', ఆరవ వికెట్కు '1st అత్యధిక భాగస్వామ్యం (84) ',' 13 వ అత్యంత బైలు ఇన్నింగ్స్ లో (6) సాధించిన]</v>
      </c>
      <c r="I7981" s="3"/>
    </row>
    <row r="7982" customHeight="1" spans="1:9">
      <c r="A7982" s="2"/>
      <c r="B7982" s="2" t="str">
        <f>IFERROR(__xludf.DUMMYFUNCTION("IF(A7982&lt;&gt;"""", GOOGLETRANSLATE(A7982, ""en"", ""te""),"""")"),"")</f>
        <v/>
      </c>
      <c r="C7982" s="2"/>
      <c r="D7982" s="2" t="str">
        <f>IFERROR(__xludf.DUMMYFUNCTION("IF(C7982&lt;&gt;"""", GOOGLETRANSLATE(C7982, ""en"", ""te""),"""")"),"")</f>
        <v/>
      </c>
      <c r="E7982" s="2"/>
      <c r="F7982" s="2" t="str">
        <f>IFERROR(__xludf.DUMMYFUNCTION("IF(E7982&lt;&gt;"""", GOOGLETRANSLATE(E7982, ""en"", ""te""),"""")"),"")</f>
        <v/>
      </c>
      <c r="G7982" s="2"/>
      <c r="H7982" s="2" t="str">
        <f>IFERROR(__xludf.DUMMYFUNCTION("IF(G7982&lt;&gt;"""", GOOGLETRANSLATE(G7982, ""en"", ""te""),"""")"),"")</f>
        <v/>
      </c>
      <c r="I7982" s="3"/>
    </row>
    <row r="7983" customHeight="1" spans="1:9">
      <c r="A7983" s="2"/>
      <c r="B7983" s="2" t="str">
        <f>IFERROR(__xludf.DUMMYFUNCTION("IF(A7983&lt;&gt;"""", GOOGLETRANSLATE(A7983, ""en"", ""te""),"""")"),"")</f>
        <v/>
      </c>
      <c r="C7983" s="2"/>
      <c r="D7983" s="2" t="str">
        <f>IFERROR(__xludf.DUMMYFUNCTION("IF(C7983&lt;&gt;"""", GOOGLETRANSLATE(C7983, ""en"", ""te""),"""")"),"")</f>
        <v/>
      </c>
      <c r="E7983" s="2"/>
      <c r="F7983" s="2" t="str">
        <f>IFERROR(__xludf.DUMMYFUNCTION("IF(E7983&lt;&gt;"""", GOOGLETRANSLATE(E7983, ""en"", ""te""),"""")"),"")</f>
        <v/>
      </c>
      <c r="G7983" s="2"/>
      <c r="H7983" s="2" t="str">
        <f>IFERROR(__xludf.DUMMYFUNCTION("IF(G7983&lt;&gt;"""", GOOGLETRANSLATE(G7983, ""en"", ""te""),"""")"),"")</f>
        <v/>
      </c>
      <c r="I7983" s="3"/>
    </row>
    <row r="7984" customHeight="1" spans="1:9">
      <c r="A7984" s="2" t="s">
        <v>4481</v>
      </c>
      <c r="B7984" s="2" t="str">
        <f>IFERROR(__xludf.DUMMYFUNCTION("IF(A7984&lt;&gt;"""", GOOGLETRANSLATE(A7984, ""en"", ""te""),"""")"),"[ 'తొలి ఇన్నింగ్స్లో 3 వ ఉత్తమ బొమ్మలు (5)', '1 వ వరుస బాతులు (3)']")</f>
        <v>[ 'తొలి ఇన్నింగ్స్లో 3 వ ఉత్తమ బొమ్మలు (5)', '1 వ వరుస బాతులు (3)']</v>
      </c>
      <c r="C7984" s="2"/>
      <c r="D7984" s="2" t="str">
        <f>IFERROR(__xludf.DUMMYFUNCTION("IF(C7984&lt;&gt;"""", GOOGLETRANSLATE(C7984, ""en"", ""te""),"""")"),"")</f>
        <v/>
      </c>
      <c r="E7984" s="2" t="s">
        <v>4279</v>
      </c>
      <c r="F7984" s="2" t="str">
        <f>IFERROR(__xludf.DUMMYFUNCTION("IF(E7984&lt;&gt;"""", GOOGLETRANSLATE(E7984, ""en"", ""te""),"""")"),"[ 'తొలి ఇన్నింగ్స్లో 3 వ ఉత్తమ బొమ్మలు (5)']")</f>
        <v>[ 'తొలి ఇన్నింగ్స్లో 3 వ ఉత్తమ బొమ్మలు (5)']</v>
      </c>
      <c r="G7984" s="2" t="s">
        <v>4482</v>
      </c>
      <c r="H7984" s="2" t="str">
        <f>IFERROR(__xludf.DUMMYFUNCTION("IF(G7984&lt;&gt;"""", GOOGLETRANSLATE(G7984, ""en"", ""te""),"""")"),"[ '10 వ కెరీర్ లో చాలా బాతులు (7)', '1 వ వరుస బాతులు (3)', 'ఏడవ వికెట్కు 46 వ అత్యధిక భాగస్వామ్యం (46 *)']")</f>
        <v>[ '10 వ కెరీర్ లో చాలా బాతులు (7)', '1 వ వరుస బాతులు (3)', 'ఏడవ వికెట్కు 46 వ అత్యధిక భాగస్వామ్యం (46 *)']</v>
      </c>
      <c r="I7984" s="3"/>
    </row>
    <row r="7985" customHeight="1" spans="1:9">
      <c r="A7985" s="2"/>
      <c r="B7985" s="2" t="str">
        <f>IFERROR(__xludf.DUMMYFUNCTION("IF(A7985&lt;&gt;"""", GOOGLETRANSLATE(A7985, ""en"", ""te""),"""")"),"")</f>
        <v/>
      </c>
      <c r="C7985" s="2"/>
      <c r="D7985" s="2" t="str">
        <f>IFERROR(__xludf.DUMMYFUNCTION("IF(C7985&lt;&gt;"""", GOOGLETRANSLATE(C7985, ""en"", ""te""),"""")"),"")</f>
        <v/>
      </c>
      <c r="E7985" s="2"/>
      <c r="F7985" s="2" t="str">
        <f>IFERROR(__xludf.DUMMYFUNCTION("IF(E7985&lt;&gt;"""", GOOGLETRANSLATE(E7985, ""en"", ""te""),"""")"),"")</f>
        <v/>
      </c>
      <c r="G7985" s="2"/>
      <c r="H7985" s="2" t="str">
        <f>IFERROR(__xludf.DUMMYFUNCTION("IF(G7985&lt;&gt;"""", GOOGLETRANSLATE(G7985, ""en"", ""te""),"""")"),"")</f>
        <v/>
      </c>
      <c r="I7985" s="3"/>
    </row>
    <row r="7986" customHeight="1" spans="1:9">
      <c r="A7986" s="2" t="s">
        <v>4483</v>
      </c>
      <c r="B7986" s="2" t="str">
        <f>IFERROR(__xludf.DUMMYFUNCTION("IF(A7986&lt;&gt;"""", GOOGLETRANSLATE(A7986, ""en"", ""te""),"""")"),"[ '4 వ అత్యధిక భాగస్వామ్యం తొలి వికెట్కు (286) కోసం' 'బ్యాట్ ఒక ఇన్నింగ్స్లో ద్వారా (112 *) వాహక', '5000 పరుగులు మరియు 50 ఫీల్డింగ్ వికెట్లు',]")</f>
        <v>[ '4 వ అత్యధిక భాగస్వామ్యం తొలి వికెట్కు (286) కోసం' 'బ్యాట్ ఒక ఇన్నింగ్స్లో ద్వారా (112 *) వాహక', '5000 పరుగులు మరియు 50 ఫీల్డింగ్ వికెట్లు',]</v>
      </c>
      <c r="C7986" s="2" t="s">
        <v>2184</v>
      </c>
      <c r="D7986" s="2" t="str">
        <f>IFERROR(__xludf.DUMMYFUNCTION("IF(C7986&lt;&gt;"""", GOOGLETRANSLATE(C7986, ""en"", ""te""),"""")"),"[ '44 వ వరుస మ్యాచ్లు ప్రదర్శనల మధ్య (54) జట్టు తప్పిన']")</f>
        <v>[ '44 వ వరుస మ్యాచ్లు ప్రదర్శనల మధ్య (54) జట్టు తప్పిన']</v>
      </c>
      <c r="E7986" s="2" t="s">
        <v>4484</v>
      </c>
      <c r="F7986" s="2" t="str">
        <f>IFERROR(__xludf.DUMMYFUNCTION("IF(E7986&lt;&gt;"""", GOOGLETRANSLATE(E7986, ""en"", ""te""),"""")"),"[ 'ఒక కెరీర్లో 27 వ అత్యధిక వందలు (15)', 'ఇన్నింగ్స్ (174 *) లో 41 వ అత్యధిక పరుగులు' '44 వ కెరీర్ లో అత్యధిక పరుగులు (6951)', 'ఒక క్యాలెండర్ సంవత్సరంలో 11 వ అత్యధిక వందలు (5)', '47 వ కెరీర్ అర్ధ (52)', '30 వ కెరీర్ బాతులు (17)', '22 వ పిన్న ఆటగాడు వంద (2"&amp;"0y 212d) స్కోర్' '25 వ అత్యంత ఫోర్లు కెరీర్లో (798)', '39 వ అత్యంత ఒక ఇన్నింగ్స్ లో ఫోర్లు (19) ',' ఒక ఇన్నింగ్స్లో పరుగుల 13 వ అత్యధిక శాతం (59.89) ',' ఫాస్టెస్ట్ 1000 పరుగులు (28) ',' 45 వ 4000 వేగవంతమైన పరుగులు (119) ',' 46 వ వేగంగా చేయడానికి 36 వ 500"&amp;"0 పరుగులు (157) ',' ఫాస్టెస్ట్ 6000 పరుగులు (192) ',' 7 వ అత్యధిక వాటా ఏ వికెట్కు 39 వ (286) ',' మొదటి వికెట్కు 4 వ అత్యధిక భాగస్వామ్యం (286) ',' 36 వ అత్యధిక ఏడవ కోసం భాగస్వామ్యంతో వికెట్ (104) ',' ఎనిమిదవ వికెట్కు 44 వ అత్యధిక భాగస్వామ్యం (76) ']")</f>
        <v>[ 'ఒక కెరీర్లో 27 వ అత్యధిక వందలు (15)', 'ఇన్నింగ్స్ (174 *) లో 41 వ అత్యధిక పరుగులు' '44 వ కెరీర్ లో అత్యధిక పరుగులు (6951)', 'ఒక క్యాలెండర్ సంవత్సరంలో 11 వ అత్యధిక వందలు (5)', '47 వ కెరీర్ అర్ధ (52)', '30 వ కెరీర్ బాతులు (17)', '22 వ పిన్న ఆటగాడు వంద (20y 212d) స్కోర్' '25 వ అత్యంత ఫోర్లు కెరీర్లో (798)', '39 వ అత్యంత ఒక ఇన్నింగ్స్ లో ఫోర్లు (19) ',' ఒక ఇన్నింగ్స్లో పరుగుల 13 వ అత్యధిక శాతం (59.89) ',' ఫాస్టెస్ట్ 1000 పరుగులు (28) ',' 45 వ 4000 వేగవంతమైన పరుగులు (119) ',' 46 వ వేగంగా చేయడానికి 36 వ 5000 పరుగులు (157) ',' ఫాస్టెస్ట్ 6000 పరుగులు (192) ',' 7 వ అత్యధిక వాటా ఏ వికెట్కు 39 వ (286) ',' మొదటి వికెట్కు 4 వ అత్యధిక భాగస్వామ్యం (286) ',' 36 వ అత్యధిక ఏడవ కోసం భాగస్వామ్యంతో వికెట్ (104) ',' ఎనిమిదవ వికెట్కు 44 వ అత్యధిక భాగస్వామ్యం (76) ']</v>
      </c>
      <c r="G7986" s="2" t="s">
        <v>4485</v>
      </c>
      <c r="H7986" s="2" t="str">
        <f>IFERROR(__xludf.DUMMYFUNCTION("IF(G7986&lt;&gt;"""", GOOGLETRANSLATE(G7986, ""en"", ""te""),"""")"),"[ 'రెండవ వికెట్కు 39 వ అత్యధిక భాగస్వామ్యం (109)', '41 వ లాంగెస్ట్ కెరీర్లు (11y 274d)', '13 వ వరుస అన్ని టాస్ గెలిచిన (3' 24 వ వరుస మ్యాచ్లు ప్రదర్శనల మధ్య బృందం (48) కోసం తప్పిన ' ) ']")</f>
        <v>[ 'రెండవ వికెట్కు 39 వ అత్యధిక భాగస్వామ్యం (109)', '41 వ లాంగెస్ట్ కెరీర్లు (11y 274d)', '13 వ వరుస అన్ని టాస్ గెలిచిన (3' 24 వ వరుస మ్యాచ్లు ప్రదర్శనల మధ్య బృందం (48) కోసం తప్పిన ' ) ']</v>
      </c>
      <c r="I7986" s="3"/>
    </row>
    <row r="7987" customHeight="1" spans="1:9">
      <c r="A7987" s="2"/>
      <c r="B7987" s="2" t="str">
        <f>IFERROR(__xludf.DUMMYFUNCTION("IF(A7987&lt;&gt;"""", GOOGLETRANSLATE(A7987, ""en"", ""te""),"""")"),"")</f>
        <v/>
      </c>
      <c r="C7987" s="2"/>
      <c r="D7987" s="2" t="str">
        <f>IFERROR(__xludf.DUMMYFUNCTION("IF(C7987&lt;&gt;"""", GOOGLETRANSLATE(C7987, ""en"", ""te""),"""")"),"")</f>
        <v/>
      </c>
      <c r="E7987" s="2" t="s">
        <v>4486</v>
      </c>
      <c r="F7987" s="2" t="str">
        <f>IFERROR(__xludf.DUMMYFUNCTION("IF(E7987&lt;&gt;"""", GOOGLETRANSLATE(E7987, ""en"", ""te""),"""")"),"[ '14 వ ఒక ఇన్నింగ్స్ లోని బెస్ట్ ఫిగర్స్ ఉన్నప్పుడు పరాజయం వైపు (5)', 'ఇన్నింగ్స్ లో 22 వ ఉత్తమ ఆర్థిక రేటు (0.83)']")</f>
        <v>[ '14 వ ఒక ఇన్నింగ్స్ లోని బెస్ట్ ఫిగర్స్ ఉన్నప్పుడు పరాజయం వైపు (5)', 'ఇన్నింగ్స్ లో 22 వ ఉత్తమ ఆర్థిక రేటు (0.83)']</v>
      </c>
      <c r="G7987" s="2"/>
      <c r="H7987" s="2" t="str">
        <f>IFERROR(__xludf.DUMMYFUNCTION("IF(G7987&lt;&gt;"""", GOOGLETRANSLATE(G7987, ""en"", ""te""),"""")"),"")</f>
        <v/>
      </c>
      <c r="I7987" s="3"/>
    </row>
    <row r="7988" customHeight="1" spans="1:9">
      <c r="A7988" s="2"/>
      <c r="B7988" s="2" t="str">
        <f>IFERROR(__xludf.DUMMYFUNCTION("IF(A7988&lt;&gt;"""", GOOGLETRANSLATE(A7988, ""en"", ""te""),"""")"),"")</f>
        <v/>
      </c>
      <c r="C7988" s="2"/>
      <c r="D7988" s="2" t="str">
        <f>IFERROR(__xludf.DUMMYFUNCTION("IF(C7988&lt;&gt;"""", GOOGLETRANSLATE(C7988, ""en"", ""te""),"""")"),"")</f>
        <v/>
      </c>
      <c r="E7988" s="2"/>
      <c r="F7988" s="2" t="str">
        <f>IFERROR(__xludf.DUMMYFUNCTION("IF(E7988&lt;&gt;"""", GOOGLETRANSLATE(E7988, ""en"", ""te""),"""")"),"")</f>
        <v/>
      </c>
      <c r="G7988" s="2"/>
      <c r="H7988" s="2" t="str">
        <f>IFERROR(__xludf.DUMMYFUNCTION("IF(G7988&lt;&gt;"""", GOOGLETRANSLATE(G7988, ""en"", ""te""),"""")"),"")</f>
        <v/>
      </c>
      <c r="I7988" s="3"/>
    </row>
    <row r="7989" customHeight="1" spans="1:9">
      <c r="A7989" s="2" t="s">
        <v>4487</v>
      </c>
      <c r="B7989" s="2" t="str">
        <f>IFERROR(__xludf.DUMMYFUNCTION("IF(A7989&lt;&gt;"""", GOOGLETRANSLATE(A7989, ""en"", ""te""),"""")"),"[ 'ఇన్నింగ్స్ లో 8 వ అత్యధిక పరుగులు (బ్యాటింగ్ స్థానంలో ప్రకారం) (204 *)', '5 వ అత్యధిక ఇన్నింగ్స్ బై (671/4) గూడా ఇవ్వకుండా మొత్తం', 'హండ్రెడ్ మరియు ఒక మ్యాచ్లో ఒక డక్', '2 వ అత్యధిక క్యాచ్లు ఒక మ్యాచ్ (7) ',' 6 వ అత్యంత బాతులు వరుస (3) ']")</f>
        <v>[ 'ఇన్నింగ్స్ లో 8 వ అత్యధిక పరుగులు (బ్యాటింగ్ స్థానంలో ప్రకారం) (204 *)', '5 వ అత్యధిక ఇన్నింగ్స్ బై (671/4) గూడా ఇవ్వకుండా మొత్తం', 'హండ్రెడ్ మరియు ఒక మ్యాచ్లో ఒక డక్', '2 వ అత్యధిక క్యాచ్లు ఒక మ్యాచ్ (7) ',' 6 వ అత్యంత బాతులు వరుస (3) ']</v>
      </c>
      <c r="C7989" s="2" t="s">
        <v>4488</v>
      </c>
      <c r="D7989" s="2" t="str">
        <f>IFERROR(__xludf.DUMMYFUNCTION("IF(C7989&lt;&gt;"""", GOOGLETRANSLATE(C7989, ""en"", ""te""),"""")"),"[ 'ఇన్నింగ్స్ లో 8 వ అత్యధిక పరుగులు (బ్యాటింగ్ స్థానంలో ప్రకారం) (204 *)', '20 వ కెరీర్ తొంభైల (5)', '2 వ అత్యధిక క్యాచ్లు ఒక మ్యాచ్లో (7)', '21 వ ఏడవ వికెట్కు అత్యధిక భాగస్వామ్యం (194 *) ',' 5 వ అత్యధిక ఇన్నింగ్స్ బై (671/4) గూడా ఇవ్వకుండా మొత్తం ']")</f>
        <v>[ 'ఇన్నింగ్స్ లో 8 వ అత్యధిక పరుగులు (బ్యాటింగ్ స్థానంలో ప్రకారం) (204 *)', '20 వ కెరీర్ తొంభైల (5)', '2 వ అత్యధిక క్యాచ్లు ఒక మ్యాచ్లో (7)', '21 వ ఏడవ వికెట్కు అత్యధిక భాగస్వామ్యం (194 *) ',' 5 వ అత్యధిక ఇన్నింగ్స్ బై (671/4) గూడా ఇవ్వకుండా మొత్తం ']</v>
      </c>
      <c r="E7989" s="2" t="s">
        <v>4489</v>
      </c>
      <c r="F7989" s="2" t="str">
        <f>IFERROR(__xludf.DUMMYFUNCTION("IF(E7989&lt;&gt;"""", GOOGLETRANSLATE(E7989, ""en"", ""te""),"""")"),"[ '20 వ ఇన్నింగ్స్ లో అత్యధిక పరుగులు (బ్యాటింగ్ స్థానంలో ప్రకారం) (100)', 'ఒక డక్ లేకుండా 42 వ వరుస ఇన్నింగ్స్ (63)', '6 వ ఒక సిరీస్లో అత్యధిక బాతులు (3)', '33 వ లాంగెస్ట్ కెరీర్లు (16y 131d ) ',' 16 వ ఇన్నింగ్స్ లో అత్యధిక వికెట్లు (5) ',' 11 వ ఇన్నింగ్"&amp;"స్ లో అత్యధిక క్యాచ్లు (5) ']")</f>
        <v>[ '20 వ ఇన్నింగ్స్ లో అత్యధిక పరుగులు (బ్యాటింగ్ స్థానంలో ప్రకారం) (100)', 'ఒక డక్ లేకుండా 42 వ వరుస ఇన్నింగ్స్ (63)', '6 వ ఒక సిరీస్లో అత్యధిక బాతులు (3)', '33 వ లాంగెస్ట్ కెరీర్లు (16y 131d ) ',' 16 వ ఇన్నింగ్స్ లో అత్యధిక వికెట్లు (5) ',' 11 వ ఇన్నింగ్స్ లో అత్యధిక క్యాచ్లు (5) ']</v>
      </c>
      <c r="G7989" s="2"/>
      <c r="H7989" s="2" t="str">
        <f>IFERROR(__xludf.DUMMYFUNCTION("IF(G7989&lt;&gt;"""", GOOGLETRANSLATE(G7989, ""en"", ""te""),"""")"),"")</f>
        <v/>
      </c>
      <c r="I7989" s="3"/>
    </row>
    <row r="7990" customHeight="1" spans="1:9">
      <c r="A7990" s="2"/>
      <c r="B7990" s="2" t="str">
        <f>IFERROR(__xludf.DUMMYFUNCTION("IF(A7990&lt;&gt;"""", GOOGLETRANSLATE(A7990, ""en"", ""te""),"""")"),"")</f>
        <v/>
      </c>
      <c r="C7990" s="2"/>
      <c r="D7990" s="2" t="str">
        <f>IFERROR(__xludf.DUMMYFUNCTION("IF(C7990&lt;&gt;"""", GOOGLETRANSLATE(C7990, ""en"", ""te""),"""")"),"")</f>
        <v/>
      </c>
      <c r="E7990" s="2"/>
      <c r="F7990" s="2" t="str">
        <f>IFERROR(__xludf.DUMMYFUNCTION("IF(E7990&lt;&gt;"""", GOOGLETRANSLATE(E7990, ""en"", ""te""),"""")"),"")</f>
        <v/>
      </c>
      <c r="G7990" s="2"/>
      <c r="H7990" s="2" t="str">
        <f>IFERROR(__xludf.DUMMYFUNCTION("IF(G7990&lt;&gt;"""", GOOGLETRANSLATE(G7990, ""en"", ""te""),"""")"),"")</f>
        <v/>
      </c>
      <c r="I7990" s="3"/>
    </row>
    <row r="7991" customHeight="1" spans="1:9">
      <c r="A7991" s="2"/>
      <c r="B7991" s="2" t="str">
        <f>IFERROR(__xludf.DUMMYFUNCTION("IF(A7991&lt;&gt;"""", GOOGLETRANSLATE(A7991, ""en"", ""te""),"""")"),"")</f>
        <v/>
      </c>
      <c r="C7991" s="2"/>
      <c r="D7991" s="2" t="str">
        <f>IFERROR(__xludf.DUMMYFUNCTION("IF(C7991&lt;&gt;"""", GOOGLETRANSLATE(C7991, ""en"", ""te""),"""")"),"")</f>
        <v/>
      </c>
      <c r="E7991" s="2"/>
      <c r="F7991" s="2" t="str">
        <f>IFERROR(__xludf.DUMMYFUNCTION("IF(E7991&lt;&gt;"""", GOOGLETRANSLATE(E7991, ""en"", ""te""),"""")"),"")</f>
        <v/>
      </c>
      <c r="G7991" s="2"/>
      <c r="H7991" s="2" t="str">
        <f>IFERROR(__xludf.DUMMYFUNCTION("IF(G7991&lt;&gt;"""", GOOGLETRANSLATE(G7991, ""en"", ""te""),"""")"),"")</f>
        <v/>
      </c>
      <c r="I7991" s="3"/>
    </row>
    <row r="7992" customHeight="1" spans="1:9">
      <c r="A7992" s="2"/>
      <c r="B7992" s="2" t="str">
        <f>IFERROR(__xludf.DUMMYFUNCTION("IF(A7992&lt;&gt;"""", GOOGLETRANSLATE(A7992, ""en"", ""te""),"""")"),"")</f>
        <v/>
      </c>
      <c r="C7992" s="2"/>
      <c r="D7992" s="2" t="str">
        <f>IFERROR(__xludf.DUMMYFUNCTION("IF(C7992&lt;&gt;"""", GOOGLETRANSLATE(C7992, ""en"", ""te""),"""")"),"")</f>
        <v/>
      </c>
      <c r="E7992" s="2"/>
      <c r="F7992" s="2" t="str">
        <f>IFERROR(__xludf.DUMMYFUNCTION("IF(E7992&lt;&gt;"""", GOOGLETRANSLATE(E7992, ""en"", ""te""),"""")"),"")</f>
        <v/>
      </c>
      <c r="G7992" s="2"/>
      <c r="H7992" s="2" t="str">
        <f>IFERROR(__xludf.DUMMYFUNCTION("IF(G7992&lt;&gt;"""", GOOGLETRANSLATE(G7992, ""en"", ""te""),"""")"),"")</f>
        <v/>
      </c>
      <c r="I7992" s="3"/>
    </row>
    <row r="7993" customHeight="1" spans="1:9">
      <c r="A7993" s="2" t="s">
        <v>4490</v>
      </c>
      <c r="B7993" s="2" t="str">
        <f>IFERROR(__xludf.DUMMYFUNCTION("IF(A7993&lt;&gt;"""", GOOGLETRANSLATE(A7993, ""en"", ""te""),"""")"),"[ '10 వ పురాతన దేశం ఆటగాళ్ళు (82y 70d)']")</f>
        <v>[ '10 వ పురాతన దేశం ఆటగాళ్ళు (82y 70d)']</v>
      </c>
      <c r="C7993" s="2"/>
      <c r="D7993" s="2" t="str">
        <f>IFERROR(__xludf.DUMMYFUNCTION("IF(C7993&lt;&gt;"""", GOOGLETRANSLATE(C7993, ""en"", ""te""),"""")"),"")</f>
        <v/>
      </c>
      <c r="E7993" s="2" t="s">
        <v>4490</v>
      </c>
      <c r="F7993" s="2" t="str">
        <f>IFERROR(__xludf.DUMMYFUNCTION("IF(E7993&lt;&gt;"""", GOOGLETRANSLATE(E7993, ""en"", ""te""),"""")"),"[ '10 వ పురాతన దేశం ఆటగాళ్ళు (82y 70d)']")</f>
        <v>[ '10 వ పురాతన దేశం ఆటగాళ్ళు (82y 70d)']</v>
      </c>
      <c r="G7993" s="2"/>
      <c r="H7993" s="2" t="str">
        <f>IFERROR(__xludf.DUMMYFUNCTION("IF(G7993&lt;&gt;"""", GOOGLETRANSLATE(G7993, ""en"", ""te""),"""")"),"")</f>
        <v/>
      </c>
      <c r="I7993" s="3"/>
    </row>
    <row r="7994" customHeight="1" spans="1:9">
      <c r="A7994" s="2" t="s">
        <v>554</v>
      </c>
      <c r="B7994" s="2" t="str">
        <f>IFERROR(__xludf.DUMMYFUNCTION("IF(A7994&lt;&gt;"""", GOOGLETRANSLATE(A7994, ""en"", ""te""),"""")"),"[ 'ఇన్నింగ్స్ లో 1 వ అత్యధిక క్యాచ్లు (5)']")</f>
        <v>[ 'ఇన్నింగ్స్ లో 1 వ అత్యధిక క్యాచ్లు (5)']</v>
      </c>
      <c r="C7994" s="2" t="s">
        <v>4491</v>
      </c>
      <c r="D7994" s="2" t="str">
        <f>IFERROR(__xludf.DUMMYFUNCTION("IF(C7994&lt;&gt;"""", GOOGLETRANSLATE(C7994, ""en"", ""te""),"""")"),"[ '50 వ హండ్రెడ్ గత మ్యాచ్ (140) లో', 'ఇన్నింగ్స్ లో 1 వ అత్యధిక క్యాచ్లు (5)']")</f>
        <v>[ '50 వ హండ్రెడ్ గత మ్యాచ్ (140) లో', 'ఇన్నింగ్స్ లో 1 వ అత్యధిక క్యాచ్లు (5)']</v>
      </c>
      <c r="E7994" s="2" t="s">
        <v>4492</v>
      </c>
      <c r="F7994" s="2" t="str">
        <f>IFERROR(__xludf.DUMMYFUNCTION("IF(E7994&lt;&gt;"""", GOOGLETRANSLATE(E7994, ""en"", ""te""),"""")"),"[ 'రెండవ వికెట్కు 27 అత్యధిక భాగస్వామ్యం (212 *)']")</f>
        <v>[ 'రెండవ వికెట్కు 27 అత్యధిక భాగస్వామ్యం (212 *)']</v>
      </c>
      <c r="G7994" s="2" t="s">
        <v>4493</v>
      </c>
      <c r="H7994" s="2" t="str">
        <f>IFERROR(__xludf.DUMMYFUNCTION("IF(G7994&lt;&gt;"""", GOOGLETRANSLATE(G7994, ""en"", ""te""),"""")"),"[ 'మొదటి డక్ (19) ముందు 34 వ అత్యంత ఇన్నింగ్స్]")</f>
        <v>[ 'మొదటి డక్ (19) ముందు 34 వ అత్యంత ఇన్నింగ్స్]</v>
      </c>
      <c r="I7994" s="3"/>
    </row>
    <row r="7995" customHeight="1" spans="1:9">
      <c r="A7995" s="2"/>
      <c r="B7995" s="2" t="str">
        <f>IFERROR(__xludf.DUMMYFUNCTION("IF(A7995&lt;&gt;"""", GOOGLETRANSLATE(A7995, ""en"", ""te""),"""")"),"")</f>
        <v/>
      </c>
      <c r="C7995" s="2"/>
      <c r="D7995" s="2" t="str">
        <f>IFERROR(__xludf.DUMMYFUNCTION("IF(C7995&lt;&gt;"""", GOOGLETRANSLATE(C7995, ""en"", ""te""),"""")"),"")</f>
        <v/>
      </c>
      <c r="E7995" s="2"/>
      <c r="F7995" s="2" t="str">
        <f>IFERROR(__xludf.DUMMYFUNCTION("IF(E7995&lt;&gt;"""", GOOGLETRANSLATE(E7995, ""en"", ""te""),"""")"),"")</f>
        <v/>
      </c>
      <c r="G7995" s="2"/>
      <c r="H7995" s="2" t="str">
        <f>IFERROR(__xludf.DUMMYFUNCTION("IF(G7995&lt;&gt;"""", GOOGLETRANSLATE(G7995, ""en"", ""te""),"""")"),"")</f>
        <v/>
      </c>
      <c r="I7995" s="3"/>
    </row>
    <row r="7996" customHeight="1" spans="1:9">
      <c r="A7996" s="2"/>
      <c r="B7996" s="2" t="str">
        <f>IFERROR(__xludf.DUMMYFUNCTION("IF(A7996&lt;&gt;"""", GOOGLETRANSLATE(A7996, ""en"", ""te""),"""")"),"")</f>
        <v/>
      </c>
      <c r="C7996" s="2"/>
      <c r="D7996" s="2" t="str">
        <f>IFERROR(__xludf.DUMMYFUNCTION("IF(C7996&lt;&gt;"""", GOOGLETRANSLATE(C7996, ""en"", ""te""),"""")"),"")</f>
        <v/>
      </c>
      <c r="E7996" s="2"/>
      <c r="F7996" s="2" t="str">
        <f>IFERROR(__xludf.DUMMYFUNCTION("IF(E7996&lt;&gt;"""", GOOGLETRANSLATE(E7996, ""en"", ""te""),"""")"),"")</f>
        <v/>
      </c>
      <c r="G7996" s="2"/>
      <c r="H7996" s="2" t="str">
        <f>IFERROR(__xludf.DUMMYFUNCTION("IF(G7996&lt;&gt;"""", GOOGLETRANSLATE(G7996, ""en"", ""te""),"""")"),"")</f>
        <v/>
      </c>
      <c r="I7996" s="3"/>
    </row>
    <row r="7997" customHeight="1" spans="1:9">
      <c r="A7997" s="2"/>
      <c r="B7997" s="2" t="str">
        <f>IFERROR(__xludf.DUMMYFUNCTION("IF(A7997&lt;&gt;"""", GOOGLETRANSLATE(A7997, ""en"", ""te""),"""")"),"")</f>
        <v/>
      </c>
      <c r="C7997" s="2"/>
      <c r="D7997" s="2" t="str">
        <f>IFERROR(__xludf.DUMMYFUNCTION("IF(C7997&lt;&gt;"""", GOOGLETRANSLATE(C7997, ""en"", ""te""),"""")"),"")</f>
        <v/>
      </c>
      <c r="E7997" s="2"/>
      <c r="F7997" s="2" t="str">
        <f>IFERROR(__xludf.DUMMYFUNCTION("IF(E7997&lt;&gt;"""", GOOGLETRANSLATE(E7997, ""en"", ""te""),"""")"),"")</f>
        <v/>
      </c>
      <c r="G7997" s="2"/>
      <c r="H7997" s="2" t="str">
        <f>IFERROR(__xludf.DUMMYFUNCTION("IF(G7997&lt;&gt;"""", GOOGLETRANSLATE(G7997, ""en"", ""te""),"""")"),"")</f>
        <v/>
      </c>
      <c r="I7997" s="3"/>
    </row>
    <row r="7998" customHeight="1" spans="1:9">
      <c r="A7998" s="2"/>
      <c r="B7998" s="2" t="str">
        <f>IFERROR(__xludf.DUMMYFUNCTION("IF(A7998&lt;&gt;"""", GOOGLETRANSLATE(A7998, ""en"", ""te""),"""")"),"")</f>
        <v/>
      </c>
      <c r="C7998" s="2"/>
      <c r="D7998" s="2" t="str">
        <f>IFERROR(__xludf.DUMMYFUNCTION("IF(C7998&lt;&gt;"""", GOOGLETRANSLATE(C7998, ""en"", ""te""),"""")"),"")</f>
        <v/>
      </c>
      <c r="E7998" s="2"/>
      <c r="F7998" s="2" t="str">
        <f>IFERROR(__xludf.DUMMYFUNCTION("IF(E7998&lt;&gt;"""", GOOGLETRANSLATE(E7998, ""en"", ""te""),"""")"),"")</f>
        <v/>
      </c>
      <c r="G7998" s="2"/>
      <c r="H7998" s="2" t="str">
        <f>IFERROR(__xludf.DUMMYFUNCTION("IF(G7998&lt;&gt;"""", GOOGLETRANSLATE(G7998, ""en"", ""te""),"""")"),"")</f>
        <v/>
      </c>
      <c r="I7998" s="3"/>
    </row>
    <row r="7999" customHeight="1" spans="1:9">
      <c r="A7999" s="2"/>
      <c r="B7999" s="2" t="str">
        <f>IFERROR(__xludf.DUMMYFUNCTION("IF(A7999&lt;&gt;"""", GOOGLETRANSLATE(A7999, ""en"", ""te""),"""")"),"")</f>
        <v/>
      </c>
      <c r="C7999" s="2"/>
      <c r="D7999" s="2" t="str">
        <f>IFERROR(__xludf.DUMMYFUNCTION("IF(C7999&lt;&gt;"""", GOOGLETRANSLATE(C7999, ""en"", ""te""),"""")"),"")</f>
        <v/>
      </c>
      <c r="E7999" s="2"/>
      <c r="F7999" s="2" t="str">
        <f>IFERROR(__xludf.DUMMYFUNCTION("IF(E7999&lt;&gt;"""", GOOGLETRANSLATE(E7999, ""en"", ""te""),"""")"),"")</f>
        <v/>
      </c>
      <c r="G7999" s="2"/>
      <c r="H7999" s="2" t="str">
        <f>IFERROR(__xludf.DUMMYFUNCTION("IF(G7999&lt;&gt;"""", GOOGLETRANSLATE(G7999, ""en"", ""te""),"""")"),"")</f>
        <v/>
      </c>
      <c r="I7999" s="3"/>
    </row>
    <row r="8000" customHeight="1" spans="1:9">
      <c r="A8000" s="2"/>
      <c r="B8000" s="2" t="str">
        <f>IFERROR(__xludf.DUMMYFUNCTION("IF(A8000&lt;&gt;"""", GOOGLETRANSLATE(A8000, ""en"", ""te""),"""")"),"")</f>
        <v/>
      </c>
      <c r="C8000" s="2"/>
      <c r="D8000" s="2" t="str">
        <f>IFERROR(__xludf.DUMMYFUNCTION("IF(C8000&lt;&gt;"""", GOOGLETRANSLATE(C8000, ""en"", ""te""),"""")"),"")</f>
        <v/>
      </c>
      <c r="E8000" s="2"/>
      <c r="F8000" s="2" t="str">
        <f>IFERROR(__xludf.DUMMYFUNCTION("IF(E8000&lt;&gt;"""", GOOGLETRANSLATE(E8000, ""en"", ""te""),"""")"),"")</f>
        <v/>
      </c>
      <c r="G8000" s="2"/>
      <c r="H8000" s="2" t="str">
        <f>IFERROR(__xludf.DUMMYFUNCTION("IF(G8000&lt;&gt;"""", GOOGLETRANSLATE(G8000, ""en"", ""te""),"""")"),"")</f>
        <v/>
      </c>
      <c r="I8000" s="3"/>
    </row>
    <row r="8001" customHeight="1" spans="1:9">
      <c r="A8001" s="2"/>
      <c r="B8001" s="2" t="str">
        <f>IFERROR(__xludf.DUMMYFUNCTION("IF(A8001&lt;&gt;"""", GOOGLETRANSLATE(A8001, ""en"", ""te""),"""")"),"")</f>
        <v/>
      </c>
      <c r="C8001" s="2"/>
      <c r="D8001" s="2" t="str">
        <f>IFERROR(__xludf.DUMMYFUNCTION("IF(C8001&lt;&gt;"""", GOOGLETRANSLATE(C8001, ""en"", ""te""),"""")"),"")</f>
        <v/>
      </c>
      <c r="E8001" s="2"/>
      <c r="F8001" s="2" t="str">
        <f>IFERROR(__xludf.DUMMYFUNCTION("IF(E8001&lt;&gt;"""", GOOGLETRANSLATE(E8001, ""en"", ""te""),"""")"),"")</f>
        <v/>
      </c>
      <c r="G8001" s="2"/>
      <c r="H8001" s="2" t="str">
        <f>IFERROR(__xludf.DUMMYFUNCTION("IF(G8001&lt;&gt;"""", GOOGLETRANSLATE(G8001, ""en"", ""te""),"""")"),"")</f>
        <v/>
      </c>
      <c r="I8001" s="3"/>
    </row>
    <row r="8002" customHeight="1" spans="1:9">
      <c r="A8002" s="2"/>
      <c r="B8002" s="2" t="str">
        <f>IFERROR(__xludf.DUMMYFUNCTION("IF(A8002&lt;&gt;"""", GOOGLETRANSLATE(A8002, ""en"", ""te""),"""")"),"")</f>
        <v/>
      </c>
      <c r="C8002" s="2"/>
      <c r="D8002" s="2" t="str">
        <f>IFERROR(__xludf.DUMMYFUNCTION("IF(C8002&lt;&gt;"""", GOOGLETRANSLATE(C8002, ""en"", ""te""),"""")"),"")</f>
        <v/>
      </c>
      <c r="E8002" s="2"/>
      <c r="F8002" s="2" t="str">
        <f>IFERROR(__xludf.DUMMYFUNCTION("IF(E8002&lt;&gt;"""", GOOGLETRANSLATE(E8002, ""en"", ""te""),"""")"),"")</f>
        <v/>
      </c>
      <c r="G8002" s="2"/>
      <c r="H8002" s="2" t="str">
        <f>IFERROR(__xludf.DUMMYFUNCTION("IF(G8002&lt;&gt;"""", GOOGLETRANSLATE(G8002, ""en"", ""te""),"""")"),"")</f>
        <v/>
      </c>
      <c r="I8002" s="3"/>
    </row>
    <row r="8003" customHeight="1" spans="1:9">
      <c r="A8003" s="2"/>
      <c r="B8003" s="2" t="str">
        <f>IFERROR(__xludf.DUMMYFUNCTION("IF(A8003&lt;&gt;"""", GOOGLETRANSLATE(A8003, ""en"", ""te""),"""")"),"")</f>
        <v/>
      </c>
      <c r="C8003" s="2"/>
      <c r="D8003" s="2" t="str">
        <f>IFERROR(__xludf.DUMMYFUNCTION("IF(C8003&lt;&gt;"""", GOOGLETRANSLATE(C8003, ""en"", ""te""),"""")"),"")</f>
        <v/>
      </c>
      <c r="E8003" s="2"/>
      <c r="F8003" s="2" t="str">
        <f>IFERROR(__xludf.DUMMYFUNCTION("IF(E8003&lt;&gt;"""", GOOGLETRANSLATE(E8003, ""en"", ""te""),"""")"),"")</f>
        <v/>
      </c>
      <c r="G8003" s="2"/>
      <c r="H8003" s="2" t="str">
        <f>IFERROR(__xludf.DUMMYFUNCTION("IF(G8003&lt;&gt;"""", GOOGLETRANSLATE(G8003, ""en"", ""te""),"""")"),"")</f>
        <v/>
      </c>
      <c r="I8003" s="3"/>
    </row>
    <row r="8004" customHeight="1" spans="1:9">
      <c r="A8004" s="2"/>
      <c r="B8004" s="2" t="str">
        <f>IFERROR(__xludf.DUMMYFUNCTION("IF(A8004&lt;&gt;"""", GOOGLETRANSLATE(A8004, ""en"", ""te""),"""")"),"")</f>
        <v/>
      </c>
      <c r="C8004" s="2"/>
      <c r="D8004" s="2" t="str">
        <f>IFERROR(__xludf.DUMMYFUNCTION("IF(C8004&lt;&gt;"""", GOOGLETRANSLATE(C8004, ""en"", ""te""),"""")"),"")</f>
        <v/>
      </c>
      <c r="E8004" s="2"/>
      <c r="F8004" s="2" t="str">
        <f>IFERROR(__xludf.DUMMYFUNCTION("IF(E8004&lt;&gt;"""", GOOGLETRANSLATE(E8004, ""en"", ""te""),"""")"),"")</f>
        <v/>
      </c>
      <c r="G8004" s="2"/>
      <c r="H8004" s="2" t="str">
        <f>IFERROR(__xludf.DUMMYFUNCTION("IF(G8004&lt;&gt;"""", GOOGLETRANSLATE(G8004, ""en"", ""te""),"""")"),"")</f>
        <v/>
      </c>
      <c r="I8004" s="3"/>
    </row>
    <row r="8005" customHeight="1" spans="1:9">
      <c r="A8005" s="2"/>
      <c r="B8005" s="2" t="str">
        <f>IFERROR(__xludf.DUMMYFUNCTION("IF(A8005&lt;&gt;"""", GOOGLETRANSLATE(A8005, ""en"", ""te""),"""")"),"")</f>
        <v/>
      </c>
      <c r="C8005" s="2"/>
      <c r="D8005" s="2" t="str">
        <f>IFERROR(__xludf.DUMMYFUNCTION("IF(C8005&lt;&gt;"""", GOOGLETRANSLATE(C8005, ""en"", ""te""),"""")"),"")</f>
        <v/>
      </c>
      <c r="E8005" s="2"/>
      <c r="F8005" s="2" t="str">
        <f>IFERROR(__xludf.DUMMYFUNCTION("IF(E8005&lt;&gt;"""", GOOGLETRANSLATE(E8005, ""en"", ""te""),"""")"),"")</f>
        <v/>
      </c>
      <c r="G8005" s="2"/>
      <c r="H8005" s="2" t="str">
        <f>IFERROR(__xludf.DUMMYFUNCTION("IF(G8005&lt;&gt;"""", GOOGLETRANSLATE(G8005, ""en"", ""te""),"""")"),"")</f>
        <v/>
      </c>
      <c r="I8005" s="3"/>
    </row>
    <row r="8006" customHeight="1" spans="1:9">
      <c r="A8006" s="2"/>
      <c r="B8006" s="2" t="str">
        <f>IFERROR(__xludf.DUMMYFUNCTION("IF(A8006&lt;&gt;"""", GOOGLETRANSLATE(A8006, ""en"", ""te""),"""")"),"")</f>
        <v/>
      </c>
      <c r="C8006" s="2"/>
      <c r="D8006" s="2" t="str">
        <f>IFERROR(__xludf.DUMMYFUNCTION("IF(C8006&lt;&gt;"""", GOOGLETRANSLATE(C8006, ""en"", ""te""),"""")"),"")</f>
        <v/>
      </c>
      <c r="E8006" s="2"/>
      <c r="F8006" s="2" t="str">
        <f>IFERROR(__xludf.DUMMYFUNCTION("IF(E8006&lt;&gt;"""", GOOGLETRANSLATE(E8006, ""en"", ""te""),"""")"),"")</f>
        <v/>
      </c>
      <c r="G8006" s="2"/>
      <c r="H8006" s="2" t="str">
        <f>IFERROR(__xludf.DUMMYFUNCTION("IF(G8006&lt;&gt;"""", GOOGLETRANSLATE(G8006, ""en"", ""te""),"""")"),"")</f>
        <v/>
      </c>
      <c r="I8006" s="3"/>
    </row>
    <row r="8007" customHeight="1" spans="1:9">
      <c r="A8007" s="2"/>
      <c r="B8007" s="2" t="str">
        <f>IFERROR(__xludf.DUMMYFUNCTION("IF(A8007&lt;&gt;"""", GOOGLETRANSLATE(A8007, ""en"", ""te""),"""")"),"")</f>
        <v/>
      </c>
      <c r="C8007" s="2"/>
      <c r="D8007" s="2" t="str">
        <f>IFERROR(__xludf.DUMMYFUNCTION("IF(C8007&lt;&gt;"""", GOOGLETRANSLATE(C8007, ""en"", ""te""),"""")"),"")</f>
        <v/>
      </c>
      <c r="E8007" s="2"/>
      <c r="F8007" s="2" t="str">
        <f>IFERROR(__xludf.DUMMYFUNCTION("IF(E8007&lt;&gt;"""", GOOGLETRANSLATE(E8007, ""en"", ""te""),"""")"),"")</f>
        <v/>
      </c>
      <c r="G8007" s="2"/>
      <c r="H8007" s="2" t="str">
        <f>IFERROR(__xludf.DUMMYFUNCTION("IF(G8007&lt;&gt;"""", GOOGLETRANSLATE(G8007, ""en"", ""te""),"""")"),"")</f>
        <v/>
      </c>
      <c r="I8007" s="3"/>
    </row>
    <row r="8008" customHeight="1" spans="1:9">
      <c r="A8008" s="2"/>
      <c r="B8008" s="2" t="str">
        <f>IFERROR(__xludf.DUMMYFUNCTION("IF(A8008&lt;&gt;"""", GOOGLETRANSLATE(A8008, ""en"", ""te""),"""")"),"")</f>
        <v/>
      </c>
      <c r="C8008" s="2"/>
      <c r="D8008" s="2" t="str">
        <f>IFERROR(__xludf.DUMMYFUNCTION("IF(C8008&lt;&gt;"""", GOOGLETRANSLATE(C8008, ""en"", ""te""),"""")"),"")</f>
        <v/>
      </c>
      <c r="E8008" s="2"/>
      <c r="F8008" s="2" t="str">
        <f>IFERROR(__xludf.DUMMYFUNCTION("IF(E8008&lt;&gt;"""", GOOGLETRANSLATE(E8008, ""en"", ""te""),"""")"),"")</f>
        <v/>
      </c>
      <c r="G8008" s="2"/>
      <c r="H8008" s="2" t="str">
        <f>IFERROR(__xludf.DUMMYFUNCTION("IF(G8008&lt;&gt;"""", GOOGLETRANSLATE(G8008, ""en"", ""te""),"""")"),"")</f>
        <v/>
      </c>
      <c r="I8008" s="3"/>
    </row>
    <row r="8009" customHeight="1" spans="1:9">
      <c r="A8009" s="2"/>
      <c r="B8009" s="2" t="str">
        <f>IFERROR(__xludf.DUMMYFUNCTION("IF(A8009&lt;&gt;"""", GOOGLETRANSLATE(A8009, ""en"", ""te""),"""")"),"")</f>
        <v/>
      </c>
      <c r="C8009" s="2"/>
      <c r="D8009" s="2" t="str">
        <f>IFERROR(__xludf.DUMMYFUNCTION("IF(C8009&lt;&gt;"""", GOOGLETRANSLATE(C8009, ""en"", ""te""),"""")"),"")</f>
        <v/>
      </c>
      <c r="E8009" s="2"/>
      <c r="F8009" s="2" t="str">
        <f>IFERROR(__xludf.DUMMYFUNCTION("IF(E8009&lt;&gt;"""", GOOGLETRANSLATE(E8009, ""en"", ""te""),"""")"),"")</f>
        <v/>
      </c>
      <c r="G8009" s="2"/>
      <c r="H8009" s="2" t="str">
        <f>IFERROR(__xludf.DUMMYFUNCTION("IF(G8009&lt;&gt;"""", GOOGLETRANSLATE(G8009, ""en"", ""te""),"""")"),"")</f>
        <v/>
      </c>
      <c r="I8009" s="3"/>
    </row>
    <row r="8010" customHeight="1" spans="1:9">
      <c r="A8010" s="2" t="s">
        <v>3625</v>
      </c>
      <c r="B8010" s="2" t="str">
        <f>IFERROR(__xludf.DUMMYFUNCTION("IF(A8010&lt;&gt;"""", GOOGLETRANSLATE(A8010, ""en"", ""te""),"""")"),"[ '4 వ వరుస మ్యాచ్లు ప్రదర్శనల మధ్య (73) జట్టు తప్పిన']")</f>
        <v>[ '4 వ వరుస మ్యాచ్లు ప్రదర్శనల మధ్య (73) జట్టు తప్పిన']</v>
      </c>
      <c r="C8010" s="2"/>
      <c r="D8010" s="2" t="str">
        <f>IFERROR(__xludf.DUMMYFUNCTION("IF(C8010&lt;&gt;"""", GOOGLETRANSLATE(C8010, ""en"", ""te""),"""")"),"")</f>
        <v/>
      </c>
      <c r="E8010" s="2"/>
      <c r="F8010" s="2" t="str">
        <f>IFERROR(__xludf.DUMMYFUNCTION("IF(E8010&lt;&gt;"""", GOOGLETRANSLATE(E8010, ""en"", ""te""),"""")"),"")</f>
        <v/>
      </c>
      <c r="G8010" s="2" t="s">
        <v>4494</v>
      </c>
      <c r="H8010" s="2" t="str">
        <f>IFERROR(__xludf.DUMMYFUNCTION("IF(G8010&lt;&gt;"""", GOOGLETRANSLATE(G8010, ""en"", ""te""),"""")"),"[ '4 వ వరుస మ్యాచ్లు ఆడి మధ్య జట్టుకు దూరమయ్యాడు (73)', 'ప్రదర్శనలు (8y 52d) మధ్య 9 వ లాంగెస్ట్ వ్యవధిలో']")</f>
        <v>[ '4 వ వరుస మ్యాచ్లు ఆడి మధ్య జట్టుకు దూరమయ్యాడు (73)', 'ప్రదర్శనలు (8y 52d) మధ్య 9 వ లాంగెస్ట్ వ్యవధిలో']</v>
      </c>
      <c r="I8010" s="3"/>
    </row>
    <row r="8011" customHeight="1" spans="1:9">
      <c r="A8011" s="2" t="s">
        <v>352</v>
      </c>
      <c r="B8011" s="2" t="str">
        <f>IFERROR(__xludf.DUMMYFUNCTION("IF(A8011&lt;&gt;"""", GOOGLETRANSLATE(A8011, ""en"", ""te""),"""")"),"[ 'బ్యాటింగ్ ప్రారంభించుటకు మరియు అదే మ్యాచ్ లో బౌలింగ్']")</f>
        <v>[ 'బ్యాటింగ్ ప్రారంభించుటకు మరియు అదే మ్యాచ్ లో బౌలింగ్']</v>
      </c>
      <c r="C8011" s="2"/>
      <c r="D8011" s="2" t="str">
        <f>IFERROR(__xludf.DUMMYFUNCTION("IF(C8011&lt;&gt;"""", GOOGLETRANSLATE(C8011, ""en"", ""te""),"""")"),"")</f>
        <v/>
      </c>
      <c r="E8011" s="2"/>
      <c r="F8011" s="2" t="str">
        <f>IFERROR(__xludf.DUMMYFUNCTION("IF(E8011&lt;&gt;"""", GOOGLETRANSLATE(E8011, ""en"", ""te""),"""")"),"")</f>
        <v/>
      </c>
      <c r="G8011" s="2"/>
      <c r="H8011" s="2" t="str">
        <f>IFERROR(__xludf.DUMMYFUNCTION("IF(G8011&lt;&gt;"""", GOOGLETRANSLATE(G8011, ""en"", ""te""),"""")"),"")</f>
        <v/>
      </c>
      <c r="I8011" s="3"/>
    </row>
    <row r="8012" customHeight="1" spans="1:9">
      <c r="A8012" s="2"/>
      <c r="B8012" s="2" t="str">
        <f>IFERROR(__xludf.DUMMYFUNCTION("IF(A8012&lt;&gt;"""", GOOGLETRANSLATE(A8012, ""en"", ""te""),"""")"),"")</f>
        <v/>
      </c>
      <c r="C8012" s="2"/>
      <c r="D8012" s="2" t="str">
        <f>IFERROR(__xludf.DUMMYFUNCTION("IF(C8012&lt;&gt;"""", GOOGLETRANSLATE(C8012, ""en"", ""te""),"""")"),"")</f>
        <v/>
      </c>
      <c r="E8012" s="2"/>
      <c r="F8012" s="2" t="str">
        <f>IFERROR(__xludf.DUMMYFUNCTION("IF(E8012&lt;&gt;"""", GOOGLETRANSLATE(E8012, ""en"", ""te""),"""")"),"")</f>
        <v/>
      </c>
      <c r="G8012" s="2"/>
      <c r="H8012" s="2" t="str">
        <f>IFERROR(__xludf.DUMMYFUNCTION("IF(G8012&lt;&gt;"""", GOOGLETRANSLATE(G8012, ""en"", ""te""),"""")"),"")</f>
        <v/>
      </c>
      <c r="I8012" s="3"/>
    </row>
    <row r="8013" customHeight="1" spans="1:9">
      <c r="A8013" s="2"/>
      <c r="B8013" s="2" t="str">
        <f>IFERROR(__xludf.DUMMYFUNCTION("IF(A8013&lt;&gt;"""", GOOGLETRANSLATE(A8013, ""en"", ""te""),"""")"),"")</f>
        <v/>
      </c>
      <c r="C8013" s="2"/>
      <c r="D8013" s="2" t="str">
        <f>IFERROR(__xludf.DUMMYFUNCTION("IF(C8013&lt;&gt;"""", GOOGLETRANSLATE(C8013, ""en"", ""te""),"""")"),"")</f>
        <v/>
      </c>
      <c r="E8013" s="2"/>
      <c r="F8013" s="2" t="str">
        <f>IFERROR(__xludf.DUMMYFUNCTION("IF(E8013&lt;&gt;"""", GOOGLETRANSLATE(E8013, ""en"", ""te""),"""")"),"")</f>
        <v/>
      </c>
      <c r="G8013" s="2"/>
      <c r="H8013" s="2" t="str">
        <f>IFERROR(__xludf.DUMMYFUNCTION("IF(G8013&lt;&gt;"""", GOOGLETRANSLATE(G8013, ""en"", ""te""),"""")"),"")</f>
        <v/>
      </c>
      <c r="I8013" s="3"/>
    </row>
    <row r="8014" customHeight="1" spans="1:9">
      <c r="A8014" s="2"/>
      <c r="B8014" s="2" t="str">
        <f>IFERROR(__xludf.DUMMYFUNCTION("IF(A8014&lt;&gt;"""", GOOGLETRANSLATE(A8014, ""en"", ""te""),"""")"),"")</f>
        <v/>
      </c>
      <c r="C8014" s="2"/>
      <c r="D8014" s="2" t="str">
        <f>IFERROR(__xludf.DUMMYFUNCTION("IF(C8014&lt;&gt;"""", GOOGLETRANSLATE(C8014, ""en"", ""te""),"""")"),"")</f>
        <v/>
      </c>
      <c r="E8014" s="2"/>
      <c r="F8014" s="2" t="str">
        <f>IFERROR(__xludf.DUMMYFUNCTION("IF(E8014&lt;&gt;"""", GOOGLETRANSLATE(E8014, ""en"", ""te""),"""")"),"")</f>
        <v/>
      </c>
      <c r="G8014" s="2"/>
      <c r="H8014" s="2" t="str">
        <f>IFERROR(__xludf.DUMMYFUNCTION("IF(G8014&lt;&gt;"""", GOOGLETRANSLATE(G8014, ""en"", ""te""),"""")"),"")</f>
        <v/>
      </c>
      <c r="I8014" s="3"/>
    </row>
    <row r="8015" customHeight="1" spans="1:9">
      <c r="A8015" s="2"/>
      <c r="B8015" s="2" t="str">
        <f>IFERROR(__xludf.DUMMYFUNCTION("IF(A8015&lt;&gt;"""", GOOGLETRANSLATE(A8015, ""en"", ""te""),"""")"),"")</f>
        <v/>
      </c>
      <c r="C8015" s="2"/>
      <c r="D8015" s="2" t="str">
        <f>IFERROR(__xludf.DUMMYFUNCTION("IF(C8015&lt;&gt;"""", GOOGLETRANSLATE(C8015, ""en"", ""te""),"""")"),"")</f>
        <v/>
      </c>
      <c r="E8015" s="2"/>
      <c r="F8015" s="2" t="str">
        <f>IFERROR(__xludf.DUMMYFUNCTION("IF(E8015&lt;&gt;"""", GOOGLETRANSLATE(E8015, ""en"", ""te""),"""")"),"")</f>
        <v/>
      </c>
      <c r="G8015" s="2"/>
      <c r="H8015" s="2" t="str">
        <f>IFERROR(__xludf.DUMMYFUNCTION("IF(G8015&lt;&gt;"""", GOOGLETRANSLATE(G8015, ""en"", ""te""),"""")"),"")</f>
        <v/>
      </c>
      <c r="I8015" s="3"/>
    </row>
    <row r="8016" customHeight="1" spans="1:9">
      <c r="A8016" s="2" t="s">
        <v>4495</v>
      </c>
      <c r="B8016" s="2" t="str">
        <f>IFERROR(__xludf.DUMMYFUNCTION("IF(A8016&lt;&gt;"""", GOOGLETRANSLATE(A8016, ""en"", ""te""),"""")"),"[ '4 వ అత్యంత ఇన్నింగ్స్ లో నడుస్తుంది (బ్యాటింగ్ స్థానం) (78)']")</f>
        <v>[ '4 వ అత్యంత ఇన్నింగ్స్ లో నడుస్తుంది (బ్యాటింగ్ స్థానం) (78)']</v>
      </c>
      <c r="C8016" s="2"/>
      <c r="D8016" s="2" t="str">
        <f>IFERROR(__xludf.DUMMYFUNCTION("IF(C8016&lt;&gt;"""", GOOGLETRANSLATE(C8016, ""en"", ""te""),"""")"),"")</f>
        <v/>
      </c>
      <c r="E8016" s="2" t="s">
        <v>4496</v>
      </c>
      <c r="F8016" s="2" t="str">
        <f>IFERROR(__xludf.DUMMYFUNCTION("IF(E8016&lt;&gt;"""", GOOGLETRANSLATE(E8016, ""en"", ""te""),"""")"),"[ 'ఇన్నింగ్స్ లో 4 వ అత్యధిక పరుగులు (బ్యాటింగ్ స్థానంలో ప్రకారం) (78)', 'పదవ వికెట్కు 22 అత్యధిక భాగస్వామ్యం (58)', '17 వ వరుస మ్యాచ్లు' ప్రదర్శనలు (6y 225d) మధ్య 41 వ లాంగెస్ట్ వ్యవధిలో 'కోసం తప్పిన 'ప్రదర్శనల మధ్య బృందం (163)]")</f>
        <v>[ 'ఇన్నింగ్స్ లో 4 వ అత్యధిక పరుగులు (బ్యాటింగ్ స్థానంలో ప్రకారం) (78)', 'పదవ వికెట్కు 22 అత్యధిక భాగస్వామ్యం (58)', '17 వ వరుస మ్యాచ్లు' ప్రదర్శనలు (6y 225d) మధ్య 41 వ లాంగెస్ట్ వ్యవధిలో 'కోసం తప్పిన 'ప్రదర్శనల మధ్య బృందం (163)]</v>
      </c>
      <c r="G8016" s="2" t="s">
        <v>4497</v>
      </c>
      <c r="H8016" s="2" t="str">
        <f>IFERROR(__xludf.DUMMYFUNCTION("IF(G8016&lt;&gt;"""", GOOGLETRANSLATE(G8016, ""en"", ""te""),"""")"),"[ '1st ఇన్నింగ్స్ లో అత్యధిక పరుగులు (బ్యాటింగ్ స్థానంలో ప్రకారం) (84 *)', '32 వ పరాజయం వైపు (84 *) ఒక మ్యాచ్లో అత్యధిక పరుగులు', '11 వ చెత్త' 13 వ చెత్త కెరీర్ సగటు (31.91) బౌలింగ్ ' వృత్తి ఆర్థిక రేటు (8.68) ',' ఎనిమిదవ వికెట్కు 18 అత్యధిక భాగస్వామ్యం "&amp;"(46) ',' పదవ వికెట్కు 47 వ అత్యధిక భాగస్వామ్యం (15 *) ']")</f>
        <v>[ '1st ఇన్నింగ్స్ లో అత్యధిక పరుగులు (బ్యాటింగ్ స్థానంలో ప్రకారం) (84 *)', '32 వ పరాజయం వైపు (84 *) ఒక మ్యాచ్లో అత్యధిక పరుగులు', '11 వ చెత్త' 13 వ చెత్త కెరీర్ సగటు (31.91) బౌలింగ్ ' వృత్తి ఆర్థిక రేటు (8.68) ',' ఎనిమిదవ వికెట్కు 18 అత్యధిక భాగస్వామ్యం (46) ',' పదవ వికెట్కు 47 వ అత్యధిక భాగస్వామ్యం (15 *) ']</v>
      </c>
      <c r="I8016" s="3"/>
    </row>
    <row r="8017" customHeight="1" spans="1:9">
      <c r="A8017" s="2"/>
      <c r="B8017" s="2" t="str">
        <f>IFERROR(__xludf.DUMMYFUNCTION("IF(A8017&lt;&gt;"""", GOOGLETRANSLATE(A8017, ""en"", ""te""),"""")"),"")</f>
        <v/>
      </c>
      <c r="C8017" s="2"/>
      <c r="D8017" s="2" t="str">
        <f>IFERROR(__xludf.DUMMYFUNCTION("IF(C8017&lt;&gt;"""", GOOGLETRANSLATE(C8017, ""en"", ""te""),"""")"),"")</f>
        <v/>
      </c>
      <c r="E8017" s="2"/>
      <c r="F8017" s="2" t="str">
        <f>IFERROR(__xludf.DUMMYFUNCTION("IF(E8017&lt;&gt;"""", GOOGLETRANSLATE(E8017, ""en"", ""te""),"""")"),"")</f>
        <v/>
      </c>
      <c r="G8017" s="2"/>
      <c r="H8017" s="2" t="str">
        <f>IFERROR(__xludf.DUMMYFUNCTION("IF(G8017&lt;&gt;"""", GOOGLETRANSLATE(G8017, ""en"", ""te""),"""")"),"")</f>
        <v/>
      </c>
      <c r="I8017" s="3"/>
    </row>
    <row r="8018" customHeight="1" spans="1:9">
      <c r="A8018" s="2"/>
      <c r="B8018" s="2" t="str">
        <f>IFERROR(__xludf.DUMMYFUNCTION("IF(A8018&lt;&gt;"""", GOOGLETRANSLATE(A8018, ""en"", ""te""),"""")"),"")</f>
        <v/>
      </c>
      <c r="C8018" s="2"/>
      <c r="D8018" s="2" t="str">
        <f>IFERROR(__xludf.DUMMYFUNCTION("IF(C8018&lt;&gt;"""", GOOGLETRANSLATE(C8018, ""en"", ""te""),"""")"),"")</f>
        <v/>
      </c>
      <c r="E8018" s="2"/>
      <c r="F8018" s="2" t="str">
        <f>IFERROR(__xludf.DUMMYFUNCTION("IF(E8018&lt;&gt;"""", GOOGLETRANSLATE(E8018, ""en"", ""te""),"""")"),"")</f>
        <v/>
      </c>
      <c r="G8018" s="2"/>
      <c r="H8018" s="2" t="str">
        <f>IFERROR(__xludf.DUMMYFUNCTION("IF(G8018&lt;&gt;"""", GOOGLETRANSLATE(G8018, ""en"", ""te""),"""")"),"")</f>
        <v/>
      </c>
      <c r="I8018" s="3"/>
    </row>
    <row r="8019" customHeight="1" spans="1:9">
      <c r="A8019" s="2"/>
      <c r="B8019" s="2" t="str">
        <f>IFERROR(__xludf.DUMMYFUNCTION("IF(A8019&lt;&gt;"""", GOOGLETRANSLATE(A8019, ""en"", ""te""),"""")"),"")</f>
        <v/>
      </c>
      <c r="C8019" s="2" t="s">
        <v>769</v>
      </c>
      <c r="D8019" s="2" t="str">
        <f>IFERROR(__xludf.DUMMYFUNCTION("IF(C8019&lt;&gt;"""", GOOGLETRANSLATE(C8019, ""en"", ""te""),"""")"),"[ '45 వ చెత్త కెరీర్ బౌలింగ్ సరాసరి (అర్హత లేకుండా) (133.00)']")</f>
        <v>[ '45 వ చెత్త కెరీర్ బౌలింగ్ సరాసరి (అర్హత లేకుండా) (133.00)']</v>
      </c>
      <c r="E8019" s="2"/>
      <c r="F8019" s="2" t="str">
        <f>IFERROR(__xludf.DUMMYFUNCTION("IF(E8019&lt;&gt;"""", GOOGLETRANSLATE(E8019, ""en"", ""te""),"""")"),"")</f>
        <v/>
      </c>
      <c r="G8019" s="2"/>
      <c r="H8019" s="2" t="str">
        <f>IFERROR(__xludf.DUMMYFUNCTION("IF(G8019&lt;&gt;"""", GOOGLETRANSLATE(G8019, ""en"", ""te""),"""")"),"")</f>
        <v/>
      </c>
      <c r="I8019" s="3"/>
    </row>
    <row r="8020" customHeight="1" spans="1:9">
      <c r="A8020" s="2"/>
      <c r="B8020" s="2" t="str">
        <f>IFERROR(__xludf.DUMMYFUNCTION("IF(A8020&lt;&gt;"""", GOOGLETRANSLATE(A8020, ""en"", ""te""),"""")"),"")</f>
        <v/>
      </c>
      <c r="C8020" s="2"/>
      <c r="D8020" s="2" t="str">
        <f>IFERROR(__xludf.DUMMYFUNCTION("IF(C8020&lt;&gt;"""", GOOGLETRANSLATE(C8020, ""en"", ""te""),"""")"),"")</f>
        <v/>
      </c>
      <c r="E8020" s="2"/>
      <c r="F8020" s="2" t="str">
        <f>IFERROR(__xludf.DUMMYFUNCTION("IF(E8020&lt;&gt;"""", GOOGLETRANSLATE(E8020, ""en"", ""te""),"""")"),"")</f>
        <v/>
      </c>
      <c r="G8020" s="2"/>
      <c r="H8020" s="2" t="str">
        <f>IFERROR(__xludf.DUMMYFUNCTION("IF(G8020&lt;&gt;"""", GOOGLETRANSLATE(G8020, ""en"", ""te""),"""")"),"")</f>
        <v/>
      </c>
      <c r="I8020" s="3"/>
    </row>
    <row r="8021" customHeight="1" spans="1:9">
      <c r="A8021" s="2" t="s">
        <v>4498</v>
      </c>
      <c r="B8021" s="2" t="str">
        <f>IFERROR(__xludf.DUMMYFUNCTION("IF(A8021&lt;&gt;"""", GOOGLETRANSLATE(A8021, ""en"", ""te""),"""")"),"[ '10 వ ఒకే మైదానంలో అత్యధిక వికెట్లు (80)', '9 వ అత్యధిక వికెట్లు తీసుకున్న ఎల్బిడబ్ల్యు (100)', '1000 పరుగులు మరియు 100 వికెట్లు', '6 వ అత్యధిక వరుస బాతులు (3)', '1 వ అత్యుత్తమ బౌలింగ్ ఒక విశ్లేషణలలో ఇన్నింగ్స్ (8/19) ',' 10 వ అత్యంత నాలుగు వికెట్లు-ఇన"&amp;"్-ఒక-ఇన్నింగ్స్ కెరీర్లో (13) ',' 4 వ కెరీర్ లో బౌల్డ్ చాలా బంతుల్లో (15775) ',' 5 వ కెరీర్ లో సాధించిన అత్యధిక పరుగులు (11014) ',' 3 వ అత్యంత చిక్కుకున్న ఫీల్డర్ (168) ',' 4 వ వేగవంతమైన 400 వికెట్లు (322) ',' 1000 పరుగులు మరియు 100 వికెట్లు ',' ',' 4 వ "&amp;"అత్యధిక వరుస వికెట్లు తీసుకున్నారు 1000 పరుగులు, 50 వికెట్లు, 50 క్యాచ్లు బాతులు (4) ',' 9 వ కెరీర్ లో అత్యధిక వికెట్లు (761) ',' కెరీర్ లో సాధించిన 7 వ అత్యధిక పరుగులు (21643) ',' 6 వ అత్యధిక వికెట్లు తీసుకున్న ఎల్బిడబ్ల్యు (171) ']")</f>
        <v>[ '10 వ ఒకే మైదానంలో అత్యధిక వికెట్లు (80)', '9 వ అత్యధిక వికెట్లు తీసుకున్న ఎల్బిడబ్ల్యు (100)', '1000 పరుగులు మరియు 100 వికెట్లు', '6 వ అత్యధిక వరుస బాతులు (3)', '1 వ అత్యుత్తమ బౌలింగ్ ఒక విశ్లేషణలలో ఇన్నింగ్స్ (8/19) ',' 10 వ అత్యంత నాలుగు వికెట్లు-ఇన్-ఒక-ఇన్నింగ్స్ కెరీర్లో (13) ',' 4 వ కెరీర్ లో బౌల్డ్ చాలా బంతుల్లో (15775) ',' 5 వ కెరీర్ లో సాధించిన అత్యధిక పరుగులు (11014) ',' 3 వ అత్యంత చిక్కుకున్న ఫీల్డర్ (168) ',' 4 వ వేగవంతమైన 400 వికెట్లు (322) ',' 1000 పరుగులు మరియు 100 వికెట్లు ',' ',' 4 వ అత్యధిక వరుస వికెట్లు తీసుకున్నారు 1000 పరుగులు, 50 వికెట్లు, 50 క్యాచ్లు బాతులు (4) ',' 9 వ కెరీర్ లో అత్యధిక వికెట్లు (761) ',' కెరీర్ లో సాధించిన 7 వ అత్యధిక పరుగులు (21643) ',' 6 వ అత్యధిక వికెట్లు తీసుకున్న ఎల్బిడబ్ల్యు (171) ']</v>
      </c>
      <c r="C8021" s="2" t="s">
        <v>4499</v>
      </c>
      <c r="D8021" s="2" t="str">
        <f>IFERROR(__xludf.DUMMYFUNCTION("IF(C8021&lt;&gt;"""", GOOGLETRANSLATE(C8021, ""en"", ""te""),"""")"),"[ '24 వ కెరీర్ లో అత్యధిక వికెట్లు (355)', '13 వ మ్యాచ్ లో బెస్ట్ ఫిగర్స్ (14)', '10th ఒకే మైదానంలో అత్యధిక వికెట్లు (80)', '18 వ వరుస ఐదు వికెట్ల లో-ఒక-ఇన్నింగ్స్ (3) ',' 18 వ పిన్న ఆటగాడు తీసుకోవాలని పది వికెట్లు లో ఒక మ్యాచ్ (21y 43D) ',' 15 వ అత్యంత "&amp;"బంతుల్లో కెరీర్లో బౌల్డ్ (23438) ',' 15 వ అత్యధిక పరుగులు కెరీర్లో సాధించిన (10501) ', '44 వ బౌలర్ / ఫీల్డర్ కలయికలు (40)', '27 వ అత్యధిక వికెట్లు తీసుకున్న క్యాచ్ (218)', 'ఒక ఫీల్డర్ చేత 31 అత్యధిక వికెట్లు తీసుకున్న ఆకర్షించింది (130)', '16 వ అత్యధిక వి"&amp;"కెట్లు చిక్కుకున్న వికెట్కీపర్గా (88) తీసుకున్న', 'తొమ్మిదవ వికెట్కు 40 వ అత్యధిక భాగస్వామ్యం (105)', '43 వ అత్యధిక కెరీర్ (111) లో మ్యాచ్లు' '300 వికెట్లు (90) వేగంగా 33 వ' '9 వ అత్యధిక వికెట్లు తీసుకున్న ఎల్బిడబ్ల్యు (100)',]")</f>
        <v>[ '24 వ కెరీర్ లో అత్యధిక వికెట్లు (355)', '13 వ మ్యాచ్ లో బెస్ట్ ఫిగర్స్ (14)', '10th ఒకే మైదానంలో అత్యధిక వికెట్లు (80)', '18 వ వరుస ఐదు వికెట్ల లో-ఒక-ఇన్నింగ్స్ (3) ',' 18 వ పిన్న ఆటగాడు తీసుకోవాలని పది వికెట్లు లో ఒక మ్యాచ్ (21y 43D) ',' 15 వ అత్యంత బంతుల్లో కెరీర్లో బౌల్డ్ (23438) ',' 15 వ అత్యధిక పరుగులు కెరీర్లో సాధించిన (10501) ', '44 వ బౌలర్ / ఫీల్డర్ కలయికలు (40)', '27 వ అత్యధిక వికెట్లు తీసుకున్న క్యాచ్ (218)', 'ఒక ఫీల్డర్ చేత 31 అత్యధిక వికెట్లు తీసుకున్న ఆకర్షించింది (130)', '16 వ అత్యధిక వికెట్లు చిక్కుకున్న వికెట్కీపర్గా (88) తీసుకున్న', 'తొమ్మిదవ వికెట్కు 40 వ అత్యధిక భాగస్వామ్యం (105)', '43 వ అత్యధిక కెరీర్ (111) లో మ్యాచ్లు' '300 వికెట్లు (90) వేగంగా 33 వ' '9 వ అత్యధిక వికెట్లు తీసుకున్న ఎల్బిడబ్ల్యు (100)',]</v>
      </c>
      <c r="E8021" s="2" t="s">
        <v>4500</v>
      </c>
      <c r="F8021" s="2" t="str">
        <f>IFERROR(__xludf.DUMMYFUNCTION("IF(E8021&lt;&gt;"""", GOOGLETRANSLATE(E8021, ""en"", ""te""),"""")"),"[ '17 వ అత్యంత వంద (2025) లేకుండా ఒక వృత్తిలో పరుగులు' '33 వ అత్యంత ఇన్నింగ్స్ తొలి డక్ ముందు (34)', '6 వ అత్యంత బాతులు కెరీర్ లో (25)', '6 వ ఒక సిరీస్లో అత్యధిక బాతులు (3)' '6 వ అత్యధిక వరుస బాతులు (3)', '4 వ కెరీర్ లో అత్యధిక వికెట్లు (400)', '1 వ ఉత్తమ"&amp;" ఇన్నింగ్స్ లో సంఖ్యలు (8/19)', 'ఒక సిరీస్లో 6 వ అత్యధిక వికెట్లు (23)', '1st అత్యుత్తమ బౌలింగ్ ఇన్నింగ్స్ లో విశ్లేషించడం (8/19) ',' 12 వ ఒకే మైదానంలో అత్యధిక వికెట్లు (53) ',' 14 వ ఒక ఇన్నింగ్స్ లోని బెస్ట్ ఫిగర్స్ ఉన్నప్పుడు పరాజయం వైపు (5) ',' 48 వ "&amp;"బెస్ట్ ఆర్థిక వ్యవస్థ లో రేటు ఇన్నింగ్స్ (1.00) ',' ఇన్నింగ్స్ లో 12 వ ఉత్తమ సమ్మె రేటు (6.0) ',' 15 వ అత్యంత ఐదు-వికెట్ల లో-ఒక-ఇన్నింగ్స్ కెరీర్లో (4) ',' 10 వ అత్యంత నాలుగు వికెట్లు ఇన్ an- ఒక వృత్తిలో ఇన్నింగ్స్ (13) ',' 13 వ వరుస నాలుగు వికెట్లు-ఇన్-ఒ"&amp;"క-ఇన్నింగ్స్ (2) ',' 4 వ కెరీర్ లో బౌల్డ్ చాలా బంతుల్లో (15775) ',' 5 వ కెరీర్ (11014) లో సాధించిన అత్యధిక పరుగులు ' '4 వ బౌలర్ / బ్యాట్స్ కలయికలు (11)', '11 వ బౌలర్ / ఫీల్డర్ కలయికలు (41)', '7 వ అత్యధిక వికెట్లు బౌల్డ్ తీసుకున్న (90)', '5 వ అత్యధిక వికెట"&amp;"్లు తీసుకున్న ఆకర్షించింది (239)', '14 వ అత్యంత విక్ ETS క్యాచ్ మరియు బౌల్డ్ తీసుకోకూడదు (13) ',' 3 వ అత్యంత ఫీల్డర్ (168) ',' 6 వ అత్యధిక వికెట్లు తీసుకున్న వికెట్ కీపర్ చే కాట్ పట్టుకుంటే తీసుకోబడిన వికెట్ల (71) ',' 4 వ అత్యధిక వికెట్లు తీసుకున్న ఎల్బిడ"&amp;"బ్ల్యు (69) ',' 44 వ వేగంగా 150 వికెట్లు (121) ',' 27th 200 వికెట్లు (163) ',' 19 వ వేగంగా 250 వికెట్లు (204) ',' 10 వ వేగంగా 300 వికెట్లు (235) ',' 7 వ వేగవంతమైన 350 వికెట్లు వేగవంతమైన ( 274) ',' 4 వ వేగవంతమైన 400 వికెట్లు (322) ',' 16 వ కెరీర్ (322 అ"&amp;"త్యధిక మ్యాచ్లు) ']")</f>
        <v>[ '17 వ అత్యంత వంద (2025) లేకుండా ఒక వృత్తిలో పరుగులు' '33 వ అత్యంత ఇన్నింగ్స్ తొలి డక్ ముందు (34)', '6 వ అత్యంత బాతులు కెరీర్ లో (25)', '6 వ ఒక సిరీస్లో అత్యధిక బాతులు (3)' '6 వ అత్యధిక వరుస బాతులు (3)', '4 వ కెరీర్ లో అత్యధిక వికెట్లు (400)', '1 వ ఉత్తమ ఇన్నింగ్స్ లో సంఖ్యలు (8/19)', 'ఒక సిరీస్లో 6 వ అత్యధిక వికెట్లు (23)', '1st అత్యుత్తమ బౌలింగ్ ఇన్నింగ్స్ లో విశ్లేషించడం (8/19) ',' 12 వ ఒకే మైదానంలో అత్యధిక వికెట్లు (53) ',' 14 వ ఒక ఇన్నింగ్స్ లోని బెస్ట్ ఫిగర్స్ ఉన్నప్పుడు పరాజయం వైపు (5) ',' 48 వ బెస్ట్ ఆర్థిక వ్యవస్థ లో రేటు ఇన్నింగ్స్ (1.00) ',' ఇన్నింగ్స్ లో 12 వ ఉత్తమ సమ్మె రేటు (6.0) ',' 15 వ అత్యంత ఐదు-వికెట్ల లో-ఒక-ఇన్నింగ్స్ కెరీర్లో (4) ',' 10 వ అత్యంత నాలుగు వికెట్లు ఇన్ an- ఒక వృత్తిలో ఇన్నింగ్స్ (13) ',' 13 వ వరుస నాలుగు వికెట్లు-ఇన్-ఒక-ఇన్నింగ్స్ (2) ',' 4 వ కెరీర్ లో బౌల్డ్ చాలా బంతుల్లో (15775) ',' 5 వ కెరీర్ (11014) లో సాధించిన అత్యధిక పరుగులు ' '4 వ బౌలర్ / బ్యాట్స్ కలయికలు (11)', '11 వ బౌలర్ / ఫీల్డర్ కలయికలు (41)', '7 వ అత్యధిక వికెట్లు బౌల్డ్ తీసుకున్న (90)', '5 వ అత్యధిక వికెట్లు తీసుకున్న ఆకర్షించింది (239)', '14 వ అత్యంత విక్ ETS క్యాచ్ మరియు బౌల్డ్ తీసుకోకూడదు (13) ',' 3 వ అత్యంత ఫీల్డర్ (168) ',' 6 వ అత్యధిక వికెట్లు తీసుకున్న వికెట్ కీపర్ చే కాట్ పట్టుకుంటే తీసుకోబడిన వికెట్ల (71) ',' 4 వ అత్యధిక వికెట్లు తీసుకున్న ఎల్బిడబ్ల్యు (69) ',' 44 వ వేగంగా 150 వికెట్లు (121) ',' 27th 200 వికెట్లు (163) ',' 19 వ వేగంగా 250 వికెట్లు (204) ',' 10 వ వేగంగా 300 వికెట్లు (235) ',' 7 వ వేగవంతమైన 350 వికెట్లు వేగవంతమైన ( 274) ',' 4 వ వేగవంతమైన 400 వికెట్లు (322) ',' 16 వ కెరీర్ (322 అత్యధిక మ్యాచ్లు) ']</v>
      </c>
      <c r="G8021" s="2"/>
      <c r="H8021" s="2" t="str">
        <f>IFERROR(__xludf.DUMMYFUNCTION("IF(G8021&lt;&gt;"""", GOOGLETRANSLATE(G8021, ""en"", ""te""),"""")"),"")</f>
        <v/>
      </c>
      <c r="I8021" s="3"/>
    </row>
    <row r="8022" customHeight="1" spans="1:9">
      <c r="A8022" s="2"/>
      <c r="B8022" s="2" t="str">
        <f>IFERROR(__xludf.DUMMYFUNCTION("IF(A8022&lt;&gt;"""", GOOGLETRANSLATE(A8022, ""en"", ""te""),"""")"),"")</f>
        <v/>
      </c>
      <c r="C8022" s="2"/>
      <c r="D8022" s="2" t="str">
        <f>IFERROR(__xludf.DUMMYFUNCTION("IF(C8022&lt;&gt;"""", GOOGLETRANSLATE(C8022, ""en"", ""te""),"""")"),"")</f>
        <v/>
      </c>
      <c r="E8022" s="2"/>
      <c r="F8022" s="2" t="str">
        <f>IFERROR(__xludf.DUMMYFUNCTION("IF(E8022&lt;&gt;"""", GOOGLETRANSLATE(E8022, ""en"", ""te""),"""")"),"")</f>
        <v/>
      </c>
      <c r="G8022" s="2"/>
      <c r="H8022" s="2" t="str">
        <f>IFERROR(__xludf.DUMMYFUNCTION("IF(G8022&lt;&gt;"""", GOOGLETRANSLATE(G8022, ""en"", ""te""),"""")"),"")</f>
        <v/>
      </c>
      <c r="I8022" s="3"/>
    </row>
    <row r="8023" customHeight="1" spans="1:9">
      <c r="A8023" s="2"/>
      <c r="B8023" s="2" t="str">
        <f>IFERROR(__xludf.DUMMYFUNCTION("IF(A8023&lt;&gt;"""", GOOGLETRANSLATE(A8023, ""en"", ""te""),"""")"),"")</f>
        <v/>
      </c>
      <c r="C8023" s="2"/>
      <c r="D8023" s="2" t="str">
        <f>IFERROR(__xludf.DUMMYFUNCTION("IF(C8023&lt;&gt;"""", GOOGLETRANSLATE(C8023, ""en"", ""te""),"""")"),"")</f>
        <v/>
      </c>
      <c r="E8023" s="2"/>
      <c r="F8023" s="2" t="str">
        <f>IFERROR(__xludf.DUMMYFUNCTION("IF(E8023&lt;&gt;"""", GOOGLETRANSLATE(E8023, ""en"", ""te""),"""")"),"")</f>
        <v/>
      </c>
      <c r="G8023" s="2"/>
      <c r="H8023" s="2" t="str">
        <f>IFERROR(__xludf.DUMMYFUNCTION("IF(G8023&lt;&gt;"""", GOOGLETRANSLATE(G8023, ""en"", ""te""),"""")"),"")</f>
        <v/>
      </c>
      <c r="I8023" s="3"/>
    </row>
    <row r="8024" customHeight="1" spans="1:9">
      <c r="A8024" s="2"/>
      <c r="B8024" s="2" t="str">
        <f>IFERROR(__xludf.DUMMYFUNCTION("IF(A8024&lt;&gt;"""", GOOGLETRANSLATE(A8024, ""en"", ""te""),"""")"),"")</f>
        <v/>
      </c>
      <c r="C8024" s="2"/>
      <c r="D8024" s="2" t="str">
        <f>IFERROR(__xludf.DUMMYFUNCTION("IF(C8024&lt;&gt;"""", GOOGLETRANSLATE(C8024, ""en"", ""te""),"""")"),"")</f>
        <v/>
      </c>
      <c r="E8024" s="2"/>
      <c r="F8024" s="2" t="str">
        <f>IFERROR(__xludf.DUMMYFUNCTION("IF(E8024&lt;&gt;"""", GOOGLETRANSLATE(E8024, ""en"", ""te""),"""")"),"")</f>
        <v/>
      </c>
      <c r="G8024" s="2"/>
      <c r="H8024" s="2" t="str">
        <f>IFERROR(__xludf.DUMMYFUNCTION("IF(G8024&lt;&gt;"""", GOOGLETRANSLATE(G8024, ""en"", ""te""),"""")"),"")</f>
        <v/>
      </c>
      <c r="I8024" s="3"/>
    </row>
    <row r="8025" customHeight="1" spans="1:9">
      <c r="A8025" s="2"/>
      <c r="B8025" s="2" t="str">
        <f>IFERROR(__xludf.DUMMYFUNCTION("IF(A8025&lt;&gt;"""", GOOGLETRANSLATE(A8025, ""en"", ""te""),"""")"),"")</f>
        <v/>
      </c>
      <c r="C8025" s="2"/>
      <c r="D8025" s="2" t="str">
        <f>IFERROR(__xludf.DUMMYFUNCTION("IF(C8025&lt;&gt;"""", GOOGLETRANSLATE(C8025, ""en"", ""te""),"""")"),"")</f>
        <v/>
      </c>
      <c r="E8025" s="2"/>
      <c r="F8025" s="2" t="str">
        <f>IFERROR(__xludf.DUMMYFUNCTION("IF(E8025&lt;&gt;"""", GOOGLETRANSLATE(E8025, ""en"", ""te""),"""")"),"")</f>
        <v/>
      </c>
      <c r="G8025" s="2"/>
      <c r="H8025" s="2" t="str">
        <f>IFERROR(__xludf.DUMMYFUNCTION("IF(G8025&lt;&gt;"""", GOOGLETRANSLATE(G8025, ""en"", ""te""),"""")"),"")</f>
        <v/>
      </c>
      <c r="I8025" s="3"/>
    </row>
    <row r="8026" customHeight="1" spans="1:9">
      <c r="A8026" s="2"/>
      <c r="B8026" s="2" t="str">
        <f>IFERROR(__xludf.DUMMYFUNCTION("IF(A8026&lt;&gt;"""", GOOGLETRANSLATE(A8026, ""en"", ""te""),"""")"),"")</f>
        <v/>
      </c>
      <c r="C8026" s="2"/>
      <c r="D8026" s="2" t="str">
        <f>IFERROR(__xludf.DUMMYFUNCTION("IF(C8026&lt;&gt;"""", GOOGLETRANSLATE(C8026, ""en"", ""te""),"""")"),"")</f>
        <v/>
      </c>
      <c r="E8026" s="2"/>
      <c r="F8026" s="2" t="str">
        <f>IFERROR(__xludf.DUMMYFUNCTION("IF(E8026&lt;&gt;"""", GOOGLETRANSLATE(E8026, ""en"", ""te""),"""")"),"")</f>
        <v/>
      </c>
      <c r="G8026" s="2"/>
      <c r="H8026" s="2" t="str">
        <f>IFERROR(__xludf.DUMMYFUNCTION("IF(G8026&lt;&gt;"""", GOOGLETRANSLATE(G8026, ""en"", ""te""),"""")"),"")</f>
        <v/>
      </c>
      <c r="I8026" s="3"/>
    </row>
    <row r="8027" customHeight="1" spans="1:9">
      <c r="A8027" s="2"/>
      <c r="B8027" s="2" t="str">
        <f>IFERROR(__xludf.DUMMYFUNCTION("IF(A8027&lt;&gt;"""", GOOGLETRANSLATE(A8027, ""en"", ""te""),"""")"),"")</f>
        <v/>
      </c>
      <c r="C8027" s="2"/>
      <c r="D8027" s="2" t="str">
        <f>IFERROR(__xludf.DUMMYFUNCTION("IF(C8027&lt;&gt;"""", GOOGLETRANSLATE(C8027, ""en"", ""te""),"""")"),"")</f>
        <v/>
      </c>
      <c r="E8027" s="2" t="s">
        <v>4501</v>
      </c>
      <c r="F8027" s="2" t="str">
        <f>IFERROR(__xludf.DUMMYFUNCTION("IF(E8027&lt;&gt;"""", GOOGLETRANSLATE(E8027, ""en"", ""te""),"""")"),"[ '21 వ వరుస మ్యాచ్లు ప్రదర్శనల మధ్య బృందం (42) కోసం తప్పిన']")</f>
        <v>[ '21 వ వరుస మ్యాచ్లు ప్రదర్శనల మధ్య బృందం (42) కోసం తప్పిన']</v>
      </c>
      <c r="G8027" s="2" t="s">
        <v>4502</v>
      </c>
      <c r="H8027" s="2" t="str">
        <f>IFERROR(__xludf.DUMMYFUNCTION("IF(G8027&lt;&gt;"""", GOOGLETRANSLATE(G8027, ""en"", ""te""),"""")"),"[ '25 వ ఇన్నింగ్స్ లో అత్యధిక పరుగులు (బ్యాటింగ్ స్థానంలో ప్రకారం) (50)', '12 వ కెరీర్ లో బాతులు (14)', '20 వ అత్యధిక వికెట్లు కెరీర్లో (24)', '15 వ అత్యధిక క్యాచ్లు కెరీర్లో (13)' '22 వ కెరీర్ (11) అత్యంత స్టంపింగ్లు']")</f>
        <v>[ '25 వ ఇన్నింగ్స్ లో అత్యధిక పరుగులు (బ్యాటింగ్ స్థానంలో ప్రకారం) (50)', '12 వ కెరీర్ లో బాతులు (14)', '20 వ అత్యధిక వికెట్లు కెరీర్లో (24)', '15 వ అత్యధిక క్యాచ్లు కెరీర్లో (13)' '22 వ కెరీర్ (11) అత్యంత స్టంపింగ్లు']</v>
      </c>
      <c r="I8027" s="3"/>
    </row>
    <row r="8028" customHeight="1" spans="1:9">
      <c r="A8028" s="2"/>
      <c r="B8028" s="2" t="str">
        <f>IFERROR(__xludf.DUMMYFUNCTION("IF(A8028&lt;&gt;"""", GOOGLETRANSLATE(A8028, ""en"", ""te""),"""")"),"")</f>
        <v/>
      </c>
      <c r="C8028" s="2"/>
      <c r="D8028" s="2" t="str">
        <f>IFERROR(__xludf.DUMMYFUNCTION("IF(C8028&lt;&gt;"""", GOOGLETRANSLATE(C8028, ""en"", ""te""),"""")"),"")</f>
        <v/>
      </c>
      <c r="E8028" s="2"/>
      <c r="F8028" s="2" t="str">
        <f>IFERROR(__xludf.DUMMYFUNCTION("IF(E8028&lt;&gt;"""", GOOGLETRANSLATE(E8028, ""en"", ""te""),"""")"),"")</f>
        <v/>
      </c>
      <c r="G8028" s="2"/>
      <c r="H8028" s="2" t="str">
        <f>IFERROR(__xludf.DUMMYFUNCTION("IF(G8028&lt;&gt;"""", GOOGLETRANSLATE(G8028, ""en"", ""te""),"""")"),"")</f>
        <v/>
      </c>
      <c r="I8028" s="3"/>
    </row>
    <row r="8029" customHeight="1" spans="1:9">
      <c r="A8029" s="2"/>
      <c r="B8029" s="2" t="str">
        <f>IFERROR(__xludf.DUMMYFUNCTION("IF(A8029&lt;&gt;"""", GOOGLETRANSLATE(A8029, ""en"", ""te""),"""")"),"")</f>
        <v/>
      </c>
      <c r="C8029" s="2"/>
      <c r="D8029" s="2" t="str">
        <f>IFERROR(__xludf.DUMMYFUNCTION("IF(C8029&lt;&gt;"""", GOOGLETRANSLATE(C8029, ""en"", ""te""),"""")"),"")</f>
        <v/>
      </c>
      <c r="E8029" s="2"/>
      <c r="F8029" s="2" t="str">
        <f>IFERROR(__xludf.DUMMYFUNCTION("IF(E8029&lt;&gt;"""", GOOGLETRANSLATE(E8029, ""en"", ""te""),"""")"),"")</f>
        <v/>
      </c>
      <c r="G8029" s="2"/>
      <c r="H8029" s="2" t="str">
        <f>IFERROR(__xludf.DUMMYFUNCTION("IF(G8029&lt;&gt;"""", GOOGLETRANSLATE(G8029, ""en"", ""te""),"""")"),"")</f>
        <v/>
      </c>
      <c r="I8029" s="3"/>
    </row>
    <row r="8030" customHeight="1" spans="1:9">
      <c r="A8030" s="2"/>
      <c r="B8030" s="2" t="str">
        <f>IFERROR(__xludf.DUMMYFUNCTION("IF(A8030&lt;&gt;"""", GOOGLETRANSLATE(A8030, ""en"", ""te""),"""")"),"")</f>
        <v/>
      </c>
      <c r="C8030" s="2"/>
      <c r="D8030" s="2" t="str">
        <f>IFERROR(__xludf.DUMMYFUNCTION("IF(C8030&lt;&gt;"""", GOOGLETRANSLATE(C8030, ""en"", ""te""),"""")"),"")</f>
        <v/>
      </c>
      <c r="E8030" s="2"/>
      <c r="F8030" s="2" t="str">
        <f>IFERROR(__xludf.DUMMYFUNCTION("IF(E8030&lt;&gt;"""", GOOGLETRANSLATE(E8030, ""en"", ""te""),"""")"),"")</f>
        <v/>
      </c>
      <c r="G8030" s="2"/>
      <c r="H8030" s="2" t="str">
        <f>IFERROR(__xludf.DUMMYFUNCTION("IF(G8030&lt;&gt;"""", GOOGLETRANSLATE(G8030, ""en"", ""te""),"""")"),"")</f>
        <v/>
      </c>
      <c r="I8030" s="3"/>
    </row>
    <row r="8031" customHeight="1" spans="1:9">
      <c r="A8031" s="2"/>
      <c r="B8031" s="2" t="str">
        <f>IFERROR(__xludf.DUMMYFUNCTION("IF(A8031&lt;&gt;"""", GOOGLETRANSLATE(A8031, ""en"", ""te""),"""")"),"")</f>
        <v/>
      </c>
      <c r="C8031" s="2"/>
      <c r="D8031" s="2" t="str">
        <f>IFERROR(__xludf.DUMMYFUNCTION("IF(C8031&lt;&gt;"""", GOOGLETRANSLATE(C8031, ""en"", ""te""),"""")"),"")</f>
        <v/>
      </c>
      <c r="E8031" s="2"/>
      <c r="F8031" s="2" t="str">
        <f>IFERROR(__xludf.DUMMYFUNCTION("IF(E8031&lt;&gt;"""", GOOGLETRANSLATE(E8031, ""en"", ""te""),"""")"),"")</f>
        <v/>
      </c>
      <c r="G8031" s="2"/>
      <c r="H8031" s="2" t="str">
        <f>IFERROR(__xludf.DUMMYFUNCTION("IF(G8031&lt;&gt;"""", GOOGLETRANSLATE(G8031, ""en"", ""te""),"""")"),"")</f>
        <v/>
      </c>
      <c r="I8031" s="3"/>
    </row>
    <row r="8032" customHeight="1" spans="1:9">
      <c r="A8032" s="2"/>
      <c r="B8032" s="2" t="str">
        <f>IFERROR(__xludf.DUMMYFUNCTION("IF(A8032&lt;&gt;"""", GOOGLETRANSLATE(A8032, ""en"", ""te""),"""")"),"")</f>
        <v/>
      </c>
      <c r="C8032" s="2"/>
      <c r="D8032" s="2" t="str">
        <f>IFERROR(__xludf.DUMMYFUNCTION("IF(C8032&lt;&gt;"""", GOOGLETRANSLATE(C8032, ""en"", ""te""),"""")"),"")</f>
        <v/>
      </c>
      <c r="E8032" s="2"/>
      <c r="F8032" s="2" t="str">
        <f>IFERROR(__xludf.DUMMYFUNCTION("IF(E8032&lt;&gt;"""", GOOGLETRANSLATE(E8032, ""en"", ""te""),"""")"),"")</f>
        <v/>
      </c>
      <c r="G8032" s="2"/>
      <c r="H8032" s="2" t="str">
        <f>IFERROR(__xludf.DUMMYFUNCTION("IF(G8032&lt;&gt;"""", GOOGLETRANSLATE(G8032, ""en"", ""te""),"""")"),"")</f>
        <v/>
      </c>
      <c r="I8032" s="3"/>
    </row>
    <row r="8033" customHeight="1" spans="1:9">
      <c r="A8033" s="2"/>
      <c r="B8033" s="2" t="str">
        <f>IFERROR(__xludf.DUMMYFUNCTION("IF(A8033&lt;&gt;"""", GOOGLETRANSLATE(A8033, ""en"", ""te""),"""")"),"")</f>
        <v/>
      </c>
      <c r="C8033" s="2"/>
      <c r="D8033" s="2" t="str">
        <f>IFERROR(__xludf.DUMMYFUNCTION("IF(C8033&lt;&gt;"""", GOOGLETRANSLATE(C8033, ""en"", ""te""),"""")"),"")</f>
        <v/>
      </c>
      <c r="E8033" s="2"/>
      <c r="F8033" s="2" t="str">
        <f>IFERROR(__xludf.DUMMYFUNCTION("IF(E8033&lt;&gt;"""", GOOGLETRANSLATE(E8033, ""en"", ""te""),"""")"),"")</f>
        <v/>
      </c>
      <c r="G8033" s="2"/>
      <c r="H8033" s="2" t="str">
        <f>IFERROR(__xludf.DUMMYFUNCTION("IF(G8033&lt;&gt;"""", GOOGLETRANSLATE(G8033, ""en"", ""te""),"""")"),"")</f>
        <v/>
      </c>
      <c r="I8033" s="3"/>
    </row>
    <row r="8034" customHeight="1" spans="1:9">
      <c r="A8034" s="2"/>
      <c r="B8034" s="2" t="str">
        <f>IFERROR(__xludf.DUMMYFUNCTION("IF(A8034&lt;&gt;"""", GOOGLETRANSLATE(A8034, ""en"", ""te""),"""")"),"")</f>
        <v/>
      </c>
      <c r="C8034" s="2"/>
      <c r="D8034" s="2" t="str">
        <f>IFERROR(__xludf.DUMMYFUNCTION("IF(C8034&lt;&gt;"""", GOOGLETRANSLATE(C8034, ""en"", ""te""),"""")"),"")</f>
        <v/>
      </c>
      <c r="E8034" s="2"/>
      <c r="F8034" s="2" t="str">
        <f>IFERROR(__xludf.DUMMYFUNCTION("IF(E8034&lt;&gt;"""", GOOGLETRANSLATE(E8034, ""en"", ""te""),"""")"),"")</f>
        <v/>
      </c>
      <c r="G8034" s="2"/>
      <c r="H8034" s="2" t="str">
        <f>IFERROR(__xludf.DUMMYFUNCTION("IF(G8034&lt;&gt;"""", GOOGLETRANSLATE(G8034, ""en"", ""te""),"""")"),"")</f>
        <v/>
      </c>
      <c r="I8034" s="3"/>
    </row>
    <row r="8035" customHeight="1" spans="1:9">
      <c r="A8035" s="2" t="s">
        <v>4503</v>
      </c>
      <c r="B8035" s="2" t="str">
        <f>IFERROR(__xludf.DUMMYFUNCTION("IF(A8035&lt;&gt;"""", GOOGLETRANSLATE(A8035, ""en"", ""te""),"""")"),"[ '10 వ ఇన్నింగ్స్ లో అత్యధిక పరుగులు (బ్యాటింగ్ స్థానంలో ప్రకారం) (27)', '10 వ అత్యధిక వికెట్లు ఒక వికెట్ కీపర్ చే కాట్ తీసుకున్న (16)', 'పదవ వికెట్కు 6 వ అత్యధిక భాగస్వామ్యం (50)', '10 వ చెత్త కెరీర్ బౌలింగ్ సగటు (29.32) ',' 6 వ బౌలర్ / బ్యాట్స్ కలయికలు"&amp;" (5) ']")</f>
        <v>[ '10 వ ఇన్నింగ్స్ లో అత్యధిక పరుగులు (బ్యాటింగ్ స్థానంలో ప్రకారం) (27)', '10 వ అత్యధిక వికెట్లు ఒక వికెట్ కీపర్ చే కాట్ తీసుకున్న (16)', 'పదవ వికెట్కు 6 వ అత్యధిక భాగస్వామ్యం (50)', '10 వ చెత్త కెరీర్ బౌలింగ్ సగటు (29.32) ',' 6 వ బౌలర్ / బ్యాట్స్ కలయికలు (5) ']</v>
      </c>
      <c r="C8035" s="2"/>
      <c r="D8035" s="2" t="str">
        <f>IFERROR(__xludf.DUMMYFUNCTION("IF(C8035&lt;&gt;"""", GOOGLETRANSLATE(C8035, ""en"", ""te""),"""")"),"")</f>
        <v/>
      </c>
      <c r="E8035" s="2" t="s">
        <v>4504</v>
      </c>
      <c r="F8035" s="2" t="str">
        <f>IFERROR(__xludf.DUMMYFUNCTION("IF(E8035&lt;&gt;"""", GOOGLETRANSLATE(E8035, ""en"", ""te""),"""")"),"[ '10 వ ఇన్నింగ్స్ లో అత్యధిక పరుగులు (బ్యాటింగ్ స్థానంలో ప్రకారం) (27)', '40 వ అత్యంత బాతులు కెరీర్లో (8)', '24th ఒకే మైదానంలో అత్యధిక వికెట్లు (13)', '22 వ చెత్త కెరీర్ సగటు బౌలింగ్ (35.62 ) ',' 48 వ చెత్త కెరీర్లో ఆర్థిక రేటు (4.06) ',' 43 వ చెత్త కెర"&amp;"ీర్లో సమ్మె రేటు (52.5) ​​',' 39 వ చెత్త ఆర్థిక వ్యవస్థ ఇన్నింగ్స్లో రేటు (8.66) ',' 39 వ కెరీర్ లో బౌల్డ్ చాలా బంతుల్లో (3046) ', '34 వ అత్యధిక పరుగులు కెరీర్ (2066) లో సాధించిన', '30 వ అత్యధిక వికెట్లు ఆకర్షించింది తీసుకోకూడదు (47)', '49 వ అత్యధిక వికెట"&amp;"్లు ఒక ఫీల్డర్ చేత క్యాచ్ తీసుకున్న (31)', '10 వ అత్యధిక వికెట్లు సాధించిన వికెట్కీపర్గా (16) పట్టుకుంటే తీసిన 'తొమ్మిదవ వికెట్కు 49 వ అత్యధిక భాగస్వామ్యం (34 *)', 'పదవ వికెట్కు 6 వ అత్యధిక భాగస్వామ్యం (50)', '50 వ కెరీర్ లో అత్యధిక మ్యాచ్లు (89)']")</f>
        <v>[ '10 వ ఇన్నింగ్స్ లో అత్యధిక పరుగులు (బ్యాటింగ్ స్థానంలో ప్రకారం) (27)', '40 వ అత్యంత బాతులు కెరీర్లో (8)', '24th ఒకే మైదానంలో అత్యధిక వికెట్లు (13)', '22 వ చెత్త కెరీర్ సగటు బౌలింగ్ (35.62 ) ',' 48 వ చెత్త కెరీర్లో ఆర్థిక రేటు (4.06) ',' 43 వ చెత్త కెరీర్లో సమ్మె రేటు (52.5) ​​',' 39 వ చెత్త ఆర్థిక వ్యవస్థ ఇన్నింగ్స్లో రేటు (8.66) ',' 39 వ కెరీర్ లో బౌల్డ్ చాలా బంతుల్లో (3046) ', '34 వ అత్యధిక పరుగులు కెరీర్ (2066) లో సాధించిన', '30 వ అత్యధిక వికెట్లు ఆకర్షించింది తీసుకోకూడదు (47)', '49 వ అత్యధిక వికెట్లు ఒక ఫీల్డర్ చేత క్యాచ్ తీసుకున్న (31)', '10 వ అత్యధిక వికెట్లు సాధించిన వికెట్కీపర్గా (16) పట్టుకుంటే తీసిన 'తొమ్మిదవ వికెట్కు 49 వ అత్యధిక భాగస్వామ్యం (34 *)', 'పదవ వికెట్కు 6 వ అత్యధిక భాగస్వామ్యం (50)', '50 వ కెరీర్ లో అత్యధిక మ్యాచ్లు (89)']</v>
      </c>
      <c r="G8035" s="2" t="s">
        <v>4505</v>
      </c>
      <c r="H8035" s="2" t="str">
        <f>IFERROR(__xludf.DUMMYFUNCTION("IF(G8035&lt;&gt;"""", GOOGLETRANSLATE(G8035, ""en"", ""te""),"""")"),"[ '16 వ కెరీర్ బాతులు (6)', 'ఇన్నింగ్స్ లో 27 అత్యుత్తమ బౌలింగ్ విశ్లేషణలు (1/2)', 'సగటు (29.32) బౌలింగ్ 10th చెత్త జీవితం' '18 వ చెత్త కెరీర్లో ఆర్థిక రేటు (6.31)', ' 12 వ చెత్త కెరీర్లో సమ్మె రేటు (27.8) ',' 46 వ కెరీర్ లో సాధించిన అత్యధిక పరుగులు (909)"&amp;" ',' 6 వ బౌలర్ / బ్యాట్స్ కలయికలు (5) ',' 23 వ అత్యధిక వికెట్లు సాధించిన వికెట్కీపర్గా (5) ',' 25 వ అత్యధిక పట్టుకుంటే తీసుకున్న పదవ వికెట్కు భాగస్వామ్యం (12) ']")</f>
        <v>[ '16 వ కెరీర్ బాతులు (6)', 'ఇన్నింగ్స్ లో 27 అత్యుత్తమ బౌలింగ్ విశ్లేషణలు (1/2)', 'సగటు (29.32) బౌలింగ్ 10th చెత్త జీవితం' '18 వ చెత్త కెరీర్లో ఆర్థిక రేటు (6.31)', ' 12 వ చెత్త కెరీర్లో సమ్మె రేటు (27.8) ',' 46 వ కెరీర్ లో సాధించిన అత్యధిక పరుగులు (909) ',' 6 వ బౌలర్ / బ్యాట్స్ కలయికలు (5) ',' 23 వ అత్యధిక వికెట్లు సాధించిన వికెట్కీపర్గా (5) ',' 25 వ అత్యధిక పట్టుకుంటే తీసుకున్న పదవ వికెట్కు భాగస్వామ్యం (12) ']</v>
      </c>
      <c r="I8035" s="3"/>
    </row>
    <row r="8036" customHeight="1" spans="1:9">
      <c r="A8036" s="2"/>
      <c r="B8036" s="2" t="str">
        <f>IFERROR(__xludf.DUMMYFUNCTION("IF(A8036&lt;&gt;"""", GOOGLETRANSLATE(A8036, ""en"", ""te""),"""")"),"")</f>
        <v/>
      </c>
      <c r="C8036" s="2"/>
      <c r="D8036" s="2" t="str">
        <f>IFERROR(__xludf.DUMMYFUNCTION("IF(C8036&lt;&gt;"""", GOOGLETRANSLATE(C8036, ""en"", ""te""),"""")"),"")</f>
        <v/>
      </c>
      <c r="E8036" s="2"/>
      <c r="F8036" s="2" t="str">
        <f>IFERROR(__xludf.DUMMYFUNCTION("IF(E8036&lt;&gt;"""", GOOGLETRANSLATE(E8036, ""en"", ""te""),"""")"),"")</f>
        <v/>
      </c>
      <c r="G8036" s="2"/>
      <c r="H8036" s="2" t="str">
        <f>IFERROR(__xludf.DUMMYFUNCTION("IF(G8036&lt;&gt;"""", GOOGLETRANSLATE(G8036, ""en"", ""te""),"""")"),"")</f>
        <v/>
      </c>
      <c r="I8036" s="3"/>
    </row>
    <row r="8037" customHeight="1" spans="1:9">
      <c r="A8037" s="2" t="s">
        <v>4506</v>
      </c>
      <c r="B8037" s="2" t="str">
        <f>IFERROR(__xludf.DUMMYFUNCTION("IF(A8037&lt;&gt;"""", GOOGLETRANSLATE(A8037, ""en"", ""te""),"""")"),"[ 'ఒక ఇన్నింగ్స్ లో 8 వ బెస్ట్ ఫిగర్స్ ఉన్నప్పుడు పరాజయం వైపు (4)', '4 వ ఉత్తమ తొలి ఇన్నింగ్స్లో గణాంకాలు (4)']")</f>
        <v>[ 'ఒక ఇన్నింగ్స్ లో 8 వ బెస్ట్ ఫిగర్స్ ఉన్నప్పుడు పరాజయం వైపు (4)', '4 వ ఉత్తమ తొలి ఇన్నింగ్స్లో గణాంకాలు (4)']</v>
      </c>
      <c r="C8037" s="2"/>
      <c r="D8037" s="2" t="str">
        <f>IFERROR(__xludf.DUMMYFUNCTION("IF(C8037&lt;&gt;"""", GOOGLETRANSLATE(C8037, ""en"", ""te""),"""")"),"")</f>
        <v/>
      </c>
      <c r="E8037" s="2" t="s">
        <v>4507</v>
      </c>
      <c r="F8037" s="2" t="str">
        <f>IFERROR(__xludf.DUMMYFUNCTION("IF(E8037&lt;&gt;"""", GOOGLETRANSLATE(E8037, ""en"", ""te""),"""")"),"[ '43 వ వరుస మ్యాచ్లు ఆడి మధ్య జట్టు (125) కోసం తప్పిన']")</f>
        <v>[ '43 వ వరుస మ్యాచ్లు ఆడి మధ్య జట్టు (125) కోసం తప్పిన']</v>
      </c>
      <c r="G8037" s="2" t="s">
        <v>4506</v>
      </c>
      <c r="H8037" s="2" t="str">
        <f>IFERROR(__xludf.DUMMYFUNCTION("IF(G8037&lt;&gt;"""", GOOGLETRANSLATE(G8037, ""en"", ""te""),"""")"),"[ 'ఒక ఇన్నింగ్స్ లో 8 వ బెస్ట్ ఫిగర్స్ ఉన్నప్పుడు పరాజయం వైపు (4)', '4 వ ఉత్తమ తొలి ఇన్నింగ్స్లో గణాంకాలు (4)']")</f>
        <v>[ 'ఒక ఇన్నింగ్స్ లో 8 వ బెస్ట్ ఫిగర్స్ ఉన్నప్పుడు పరాజయం వైపు (4)', '4 వ ఉత్తమ తొలి ఇన్నింగ్స్లో గణాంకాలు (4)']</v>
      </c>
      <c r="I8037" s="3"/>
    </row>
    <row r="8038" customHeight="1" spans="1:9">
      <c r="A8038" s="2"/>
      <c r="B8038" s="2" t="str">
        <f>IFERROR(__xludf.DUMMYFUNCTION("IF(A8038&lt;&gt;"""", GOOGLETRANSLATE(A8038, ""en"", ""te""),"""")"),"")</f>
        <v/>
      </c>
      <c r="C8038" s="2"/>
      <c r="D8038" s="2" t="str">
        <f>IFERROR(__xludf.DUMMYFUNCTION("IF(C8038&lt;&gt;"""", GOOGLETRANSLATE(C8038, ""en"", ""te""),"""")"),"")</f>
        <v/>
      </c>
      <c r="E8038" s="2" t="s">
        <v>4508</v>
      </c>
      <c r="F8038" s="2" t="str">
        <f>IFERROR(__xludf.DUMMYFUNCTION("IF(E8038&lt;&gt;"""", GOOGLETRANSLATE(E8038, ""en"", ""te""),"""")"),"[ '23 లాంగెస్ట్ క్రీడాకారులు (67y 223d) నివసించారు']")</f>
        <v>[ '23 లాంగెస్ట్ క్రీడాకారులు (67y 223d) నివసించారు']</v>
      </c>
      <c r="G8038" s="2"/>
      <c r="H8038" s="2" t="str">
        <f>IFERROR(__xludf.DUMMYFUNCTION("IF(G8038&lt;&gt;"""", GOOGLETRANSLATE(G8038, ""en"", ""te""),"""")"),"")</f>
        <v/>
      </c>
      <c r="I8038" s="3"/>
    </row>
    <row r="8039" customHeight="1" spans="1:9">
      <c r="A8039" s="2"/>
      <c r="B8039" s="2" t="str">
        <f>IFERROR(__xludf.DUMMYFUNCTION("IF(A8039&lt;&gt;"""", GOOGLETRANSLATE(A8039, ""en"", ""te""),"""")"),"")</f>
        <v/>
      </c>
      <c r="C8039" s="2"/>
      <c r="D8039" s="2" t="str">
        <f>IFERROR(__xludf.DUMMYFUNCTION("IF(C8039&lt;&gt;"""", GOOGLETRANSLATE(C8039, ""en"", ""te""),"""")"),"")</f>
        <v/>
      </c>
      <c r="E8039" s="2"/>
      <c r="F8039" s="2" t="str">
        <f>IFERROR(__xludf.DUMMYFUNCTION("IF(E8039&lt;&gt;"""", GOOGLETRANSLATE(E8039, ""en"", ""te""),"""")"),"")</f>
        <v/>
      </c>
      <c r="G8039" s="2"/>
      <c r="H8039" s="2" t="str">
        <f>IFERROR(__xludf.DUMMYFUNCTION("IF(G8039&lt;&gt;"""", GOOGLETRANSLATE(G8039, ""en"", ""te""),"""")"),"")</f>
        <v/>
      </c>
      <c r="I8039" s="3"/>
    </row>
    <row r="8040" customHeight="1" spans="1:9">
      <c r="A8040" s="2"/>
      <c r="B8040" s="2" t="str">
        <f>IFERROR(__xludf.DUMMYFUNCTION("IF(A8040&lt;&gt;"""", GOOGLETRANSLATE(A8040, ""en"", ""te""),"""")"),"")</f>
        <v/>
      </c>
      <c r="C8040" s="2"/>
      <c r="D8040" s="2" t="str">
        <f>IFERROR(__xludf.DUMMYFUNCTION("IF(C8040&lt;&gt;"""", GOOGLETRANSLATE(C8040, ""en"", ""te""),"""")"),"")</f>
        <v/>
      </c>
      <c r="E8040" s="2"/>
      <c r="F8040" s="2" t="str">
        <f>IFERROR(__xludf.DUMMYFUNCTION("IF(E8040&lt;&gt;"""", GOOGLETRANSLATE(E8040, ""en"", ""te""),"""")"),"")</f>
        <v/>
      </c>
      <c r="G8040" s="2"/>
      <c r="H8040" s="2" t="str">
        <f>IFERROR(__xludf.DUMMYFUNCTION("IF(G8040&lt;&gt;"""", GOOGLETRANSLATE(G8040, ""en"", ""te""),"""")"),"")</f>
        <v/>
      </c>
      <c r="I8040" s="3"/>
    </row>
    <row r="8041" customHeight="1" spans="1:9">
      <c r="A8041" s="2"/>
      <c r="B8041" s="2" t="str">
        <f>IFERROR(__xludf.DUMMYFUNCTION("IF(A8041&lt;&gt;"""", GOOGLETRANSLATE(A8041, ""en"", ""te""),"""")"),"")</f>
        <v/>
      </c>
      <c r="C8041" s="2"/>
      <c r="D8041" s="2" t="str">
        <f>IFERROR(__xludf.DUMMYFUNCTION("IF(C8041&lt;&gt;"""", GOOGLETRANSLATE(C8041, ""en"", ""te""),"""")"),"")</f>
        <v/>
      </c>
      <c r="E8041" s="2"/>
      <c r="F8041" s="2" t="str">
        <f>IFERROR(__xludf.DUMMYFUNCTION("IF(E8041&lt;&gt;"""", GOOGLETRANSLATE(E8041, ""en"", ""te""),"""")"),"")</f>
        <v/>
      </c>
      <c r="G8041" s="2"/>
      <c r="H8041" s="2" t="str">
        <f>IFERROR(__xludf.DUMMYFUNCTION("IF(G8041&lt;&gt;"""", GOOGLETRANSLATE(G8041, ""en"", ""te""),"""")"),"")</f>
        <v/>
      </c>
      <c r="I8041" s="3"/>
    </row>
    <row r="8042" customHeight="1" spans="1:9">
      <c r="A8042" s="2"/>
      <c r="B8042" s="2" t="str">
        <f>IFERROR(__xludf.DUMMYFUNCTION("IF(A8042&lt;&gt;"""", GOOGLETRANSLATE(A8042, ""en"", ""te""),"""")"),"")</f>
        <v/>
      </c>
      <c r="C8042" s="2"/>
      <c r="D8042" s="2" t="str">
        <f>IFERROR(__xludf.DUMMYFUNCTION("IF(C8042&lt;&gt;"""", GOOGLETRANSLATE(C8042, ""en"", ""te""),"""")"),"")</f>
        <v/>
      </c>
      <c r="E8042" s="2"/>
      <c r="F8042" s="2" t="str">
        <f>IFERROR(__xludf.DUMMYFUNCTION("IF(E8042&lt;&gt;"""", GOOGLETRANSLATE(E8042, ""en"", ""te""),"""")"),"")</f>
        <v/>
      </c>
      <c r="G8042" s="2"/>
      <c r="H8042" s="2" t="str">
        <f>IFERROR(__xludf.DUMMYFUNCTION("IF(G8042&lt;&gt;"""", GOOGLETRANSLATE(G8042, ""en"", ""te""),"""")"),"")</f>
        <v/>
      </c>
      <c r="I8042" s="3"/>
    </row>
    <row r="8043" customHeight="1" spans="1:9">
      <c r="A8043" s="2"/>
      <c r="B8043" s="2" t="str">
        <f>IFERROR(__xludf.DUMMYFUNCTION("IF(A8043&lt;&gt;"""", GOOGLETRANSLATE(A8043, ""en"", ""te""),"""")"),"")</f>
        <v/>
      </c>
      <c r="C8043" s="2"/>
      <c r="D8043" s="2" t="str">
        <f>IFERROR(__xludf.DUMMYFUNCTION("IF(C8043&lt;&gt;"""", GOOGLETRANSLATE(C8043, ""en"", ""te""),"""")"),"")</f>
        <v/>
      </c>
      <c r="E8043" s="2"/>
      <c r="F8043" s="2" t="str">
        <f>IFERROR(__xludf.DUMMYFUNCTION("IF(E8043&lt;&gt;"""", GOOGLETRANSLATE(E8043, ""en"", ""te""),"""")"),"")</f>
        <v/>
      </c>
      <c r="G8043" s="2"/>
      <c r="H8043" s="2" t="str">
        <f>IFERROR(__xludf.DUMMYFUNCTION("IF(G8043&lt;&gt;"""", GOOGLETRANSLATE(G8043, ""en"", ""te""),"""")"),"")</f>
        <v/>
      </c>
      <c r="I8043" s="3"/>
    </row>
    <row r="8044" customHeight="1" spans="1:9">
      <c r="A8044" s="2"/>
      <c r="B8044" s="2" t="str">
        <f>IFERROR(__xludf.DUMMYFUNCTION("IF(A8044&lt;&gt;"""", GOOGLETRANSLATE(A8044, ""en"", ""te""),"""")"),"")</f>
        <v/>
      </c>
      <c r="C8044" s="2"/>
      <c r="D8044" s="2" t="str">
        <f>IFERROR(__xludf.DUMMYFUNCTION("IF(C8044&lt;&gt;"""", GOOGLETRANSLATE(C8044, ""en"", ""te""),"""")"),"")</f>
        <v/>
      </c>
      <c r="E8044" s="2"/>
      <c r="F8044" s="2" t="str">
        <f>IFERROR(__xludf.DUMMYFUNCTION("IF(E8044&lt;&gt;"""", GOOGLETRANSLATE(E8044, ""en"", ""te""),"""")"),"")</f>
        <v/>
      </c>
      <c r="G8044" s="2"/>
      <c r="H8044" s="2" t="str">
        <f>IFERROR(__xludf.DUMMYFUNCTION("IF(G8044&lt;&gt;"""", GOOGLETRANSLATE(G8044, ""en"", ""te""),"""")"),"")</f>
        <v/>
      </c>
      <c r="I8044" s="3"/>
    </row>
    <row r="8045" customHeight="1" spans="1:9">
      <c r="A8045" s="2"/>
      <c r="B8045" s="2" t="str">
        <f>IFERROR(__xludf.DUMMYFUNCTION("IF(A8045&lt;&gt;"""", GOOGLETRANSLATE(A8045, ""en"", ""te""),"""")"),"")</f>
        <v/>
      </c>
      <c r="C8045" s="2"/>
      <c r="D8045" s="2" t="str">
        <f>IFERROR(__xludf.DUMMYFUNCTION("IF(C8045&lt;&gt;"""", GOOGLETRANSLATE(C8045, ""en"", ""te""),"""")"),"")</f>
        <v/>
      </c>
      <c r="E8045" s="2"/>
      <c r="F8045" s="2" t="str">
        <f>IFERROR(__xludf.DUMMYFUNCTION("IF(E8045&lt;&gt;"""", GOOGLETRANSLATE(E8045, ""en"", ""te""),"""")"),"")</f>
        <v/>
      </c>
      <c r="G8045" s="2"/>
      <c r="H8045" s="2" t="str">
        <f>IFERROR(__xludf.DUMMYFUNCTION("IF(G8045&lt;&gt;"""", GOOGLETRANSLATE(G8045, ""en"", ""te""),"""")"),"")</f>
        <v/>
      </c>
      <c r="I8045" s="3"/>
    </row>
    <row r="8046" customHeight="1" spans="1:9">
      <c r="A8046" s="2"/>
      <c r="B8046" s="2" t="str">
        <f>IFERROR(__xludf.DUMMYFUNCTION("IF(A8046&lt;&gt;"""", GOOGLETRANSLATE(A8046, ""en"", ""te""),"""")"),"")</f>
        <v/>
      </c>
      <c r="C8046" s="2"/>
      <c r="D8046" s="2" t="str">
        <f>IFERROR(__xludf.DUMMYFUNCTION("IF(C8046&lt;&gt;"""", GOOGLETRANSLATE(C8046, ""en"", ""te""),"""")"),"")</f>
        <v/>
      </c>
      <c r="E8046" s="2"/>
      <c r="F8046" s="2" t="str">
        <f>IFERROR(__xludf.DUMMYFUNCTION("IF(E8046&lt;&gt;"""", GOOGLETRANSLATE(E8046, ""en"", ""te""),"""")"),"")</f>
        <v/>
      </c>
      <c r="G8046" s="2"/>
      <c r="H8046" s="2" t="str">
        <f>IFERROR(__xludf.DUMMYFUNCTION("IF(G8046&lt;&gt;"""", GOOGLETRANSLATE(G8046, ""en"", ""te""),"""")"),"")</f>
        <v/>
      </c>
      <c r="I8046" s="3"/>
    </row>
    <row r="8047" customHeight="1" spans="1:9">
      <c r="A8047" s="2"/>
      <c r="B8047" s="2" t="str">
        <f>IFERROR(__xludf.DUMMYFUNCTION("IF(A8047&lt;&gt;"""", GOOGLETRANSLATE(A8047, ""en"", ""te""),"""")"),"")</f>
        <v/>
      </c>
      <c r="C8047" s="2"/>
      <c r="D8047" s="2" t="str">
        <f>IFERROR(__xludf.DUMMYFUNCTION("IF(C8047&lt;&gt;"""", GOOGLETRANSLATE(C8047, ""en"", ""te""),"""")"),"")</f>
        <v/>
      </c>
      <c r="E8047" s="2"/>
      <c r="F8047" s="2" t="str">
        <f>IFERROR(__xludf.DUMMYFUNCTION("IF(E8047&lt;&gt;"""", GOOGLETRANSLATE(E8047, ""en"", ""te""),"""")"),"")</f>
        <v/>
      </c>
      <c r="G8047" s="2"/>
      <c r="H8047" s="2" t="str">
        <f>IFERROR(__xludf.DUMMYFUNCTION("IF(G8047&lt;&gt;"""", GOOGLETRANSLATE(G8047, ""en"", ""te""),"""")"),"")</f>
        <v/>
      </c>
      <c r="I8047" s="3"/>
    </row>
    <row r="8048" customHeight="1" spans="1:9">
      <c r="A8048" s="2"/>
      <c r="B8048" s="2" t="str">
        <f>IFERROR(__xludf.DUMMYFUNCTION("IF(A8048&lt;&gt;"""", GOOGLETRANSLATE(A8048, ""en"", ""te""),"""")"),"")</f>
        <v/>
      </c>
      <c r="C8048" s="2"/>
      <c r="D8048" s="2" t="str">
        <f>IFERROR(__xludf.DUMMYFUNCTION("IF(C8048&lt;&gt;"""", GOOGLETRANSLATE(C8048, ""en"", ""te""),"""")"),"")</f>
        <v/>
      </c>
      <c r="E8048" s="2"/>
      <c r="F8048" s="2" t="str">
        <f>IFERROR(__xludf.DUMMYFUNCTION("IF(E8048&lt;&gt;"""", GOOGLETRANSLATE(E8048, ""en"", ""te""),"""")"),"")</f>
        <v/>
      </c>
      <c r="G8048" s="2"/>
      <c r="H8048" s="2" t="str">
        <f>IFERROR(__xludf.DUMMYFUNCTION("IF(G8048&lt;&gt;"""", GOOGLETRANSLATE(G8048, ""en"", ""te""),"""")"),"")</f>
        <v/>
      </c>
      <c r="I8048" s="3"/>
    </row>
    <row r="8049" customHeight="1" spans="1:9">
      <c r="A8049" s="2" t="s">
        <v>4509</v>
      </c>
      <c r="B8049" s="2" t="str">
        <f>IFERROR(__xludf.DUMMYFUNCTION("IF(A8049&lt;&gt;"""", GOOGLETRANSLATE(A8049, ""en"", ""te""),"""")"),"[ 'వరుస (3) లో అన్ని టాస్ గెలిచి 3 వ' 'బ్యాటింగ్ తెరవడం మరియు అదే మ్యాచ్ లో బౌలింగ్',]")</f>
        <v>[ 'వరుస (3) లో అన్ని టాస్ గెలిచి 3 వ' 'బ్యాటింగ్ తెరవడం మరియు అదే మ్యాచ్ లో బౌలింగ్',]</v>
      </c>
      <c r="C8049" s="2"/>
      <c r="D8049" s="2" t="str">
        <f>IFERROR(__xludf.DUMMYFUNCTION("IF(C8049&lt;&gt;"""", GOOGLETRANSLATE(C8049, ""en"", ""te""),"""")"),"")</f>
        <v/>
      </c>
      <c r="E8049" s="2" t="s">
        <v>4510</v>
      </c>
      <c r="F8049" s="2" t="str">
        <f>IFERROR(__xludf.DUMMYFUNCTION("IF(E8049&lt;&gt;"""", GOOGLETRANSLATE(E8049, ""en"", ""te""),"""")"),"[ '3 వ వరుస (3) లో అన్ని టాస్ గెలిచి']")</f>
        <v>[ '3 వ వరుస (3) లో అన్ని టాస్ గెలిచి']</v>
      </c>
      <c r="G8049" s="2"/>
      <c r="H8049" s="2" t="str">
        <f>IFERROR(__xludf.DUMMYFUNCTION("IF(G8049&lt;&gt;"""", GOOGLETRANSLATE(G8049, ""en"", ""te""),"""")"),"")</f>
        <v/>
      </c>
      <c r="I8049" s="3"/>
    </row>
    <row r="8050" customHeight="1" spans="1:9">
      <c r="A8050" s="2"/>
      <c r="B8050" s="2" t="str">
        <f>IFERROR(__xludf.DUMMYFUNCTION("IF(A8050&lt;&gt;"""", GOOGLETRANSLATE(A8050, ""en"", ""te""),"""")"),"")</f>
        <v/>
      </c>
      <c r="C8050" s="2"/>
      <c r="D8050" s="2" t="str">
        <f>IFERROR(__xludf.DUMMYFUNCTION("IF(C8050&lt;&gt;"""", GOOGLETRANSLATE(C8050, ""en"", ""te""),"""")"),"")</f>
        <v/>
      </c>
      <c r="E8050" s="2"/>
      <c r="F8050" s="2" t="str">
        <f>IFERROR(__xludf.DUMMYFUNCTION("IF(E8050&lt;&gt;"""", GOOGLETRANSLATE(E8050, ""en"", ""te""),"""")"),"")</f>
        <v/>
      </c>
      <c r="G8050" s="2"/>
      <c r="H8050" s="2" t="str">
        <f>IFERROR(__xludf.DUMMYFUNCTION("IF(G8050&lt;&gt;"""", GOOGLETRANSLATE(G8050, ""en"", ""te""),"""")"),"")</f>
        <v/>
      </c>
      <c r="I8050" s="3"/>
    </row>
    <row r="8051" customHeight="1" spans="1:9">
      <c r="A8051" s="2"/>
      <c r="B8051" s="2" t="str">
        <f>IFERROR(__xludf.DUMMYFUNCTION("IF(A8051&lt;&gt;"""", GOOGLETRANSLATE(A8051, ""en"", ""te""),"""")"),"")</f>
        <v/>
      </c>
      <c r="C8051" s="2" t="s">
        <v>4511</v>
      </c>
      <c r="D8051" s="2" t="str">
        <f>IFERROR(__xludf.DUMMYFUNCTION("IF(C8051&lt;&gt;"""", GOOGLETRANSLATE(C8051, ""en"", ""te""),"""")"),"[ '25 చెత్త కెరీర్లో ఆర్థిక రేటు (3.58)']")</f>
        <v>[ '25 చెత్త కెరీర్లో ఆర్థిక రేటు (3.58)']</v>
      </c>
      <c r="E8051" s="2"/>
      <c r="F8051" s="2" t="str">
        <f>IFERROR(__xludf.DUMMYFUNCTION("IF(E8051&lt;&gt;"""", GOOGLETRANSLATE(E8051, ""en"", ""te""),"""")"),"")</f>
        <v/>
      </c>
      <c r="G8051" s="2"/>
      <c r="H8051" s="2" t="str">
        <f>IFERROR(__xludf.DUMMYFUNCTION("IF(G8051&lt;&gt;"""", GOOGLETRANSLATE(G8051, ""en"", ""te""),"""")"),"")</f>
        <v/>
      </c>
      <c r="I8051" s="3"/>
    </row>
    <row r="8052" customHeight="1" spans="1:9">
      <c r="A8052" s="2"/>
      <c r="B8052" s="2" t="str">
        <f>IFERROR(__xludf.DUMMYFUNCTION("IF(A8052&lt;&gt;"""", GOOGLETRANSLATE(A8052, ""en"", ""te""),"""")"),"")</f>
        <v/>
      </c>
      <c r="C8052" s="2"/>
      <c r="D8052" s="2" t="str">
        <f>IFERROR(__xludf.DUMMYFUNCTION("IF(C8052&lt;&gt;"""", GOOGLETRANSLATE(C8052, ""en"", ""te""),"""")"),"")</f>
        <v/>
      </c>
      <c r="E8052" s="2"/>
      <c r="F8052" s="2" t="str">
        <f>IFERROR(__xludf.DUMMYFUNCTION("IF(E8052&lt;&gt;"""", GOOGLETRANSLATE(E8052, ""en"", ""te""),"""")"),"")</f>
        <v/>
      </c>
      <c r="G8052" s="2"/>
      <c r="H8052" s="2" t="str">
        <f>IFERROR(__xludf.DUMMYFUNCTION("IF(G8052&lt;&gt;"""", GOOGLETRANSLATE(G8052, ""en"", ""te""),"""")"),"")</f>
        <v/>
      </c>
      <c r="I8052" s="3"/>
    </row>
    <row r="8053" customHeight="1" spans="1:9">
      <c r="A8053" s="2"/>
      <c r="B8053" s="2" t="str">
        <f>IFERROR(__xludf.DUMMYFUNCTION("IF(A8053&lt;&gt;"""", GOOGLETRANSLATE(A8053, ""en"", ""te""),"""")"),"")</f>
        <v/>
      </c>
      <c r="C8053" s="2"/>
      <c r="D8053" s="2" t="str">
        <f>IFERROR(__xludf.DUMMYFUNCTION("IF(C8053&lt;&gt;"""", GOOGLETRANSLATE(C8053, ""en"", ""te""),"""")"),"")</f>
        <v/>
      </c>
      <c r="E8053" s="2"/>
      <c r="F8053" s="2" t="str">
        <f>IFERROR(__xludf.DUMMYFUNCTION("IF(E8053&lt;&gt;"""", GOOGLETRANSLATE(E8053, ""en"", ""te""),"""")"),"")</f>
        <v/>
      </c>
      <c r="G8053" s="2"/>
      <c r="H8053" s="2" t="str">
        <f>IFERROR(__xludf.DUMMYFUNCTION("IF(G8053&lt;&gt;"""", GOOGLETRANSLATE(G8053, ""en"", ""te""),"""")"),"")</f>
        <v/>
      </c>
      <c r="I8053" s="3"/>
    </row>
    <row r="8054" customHeight="1" spans="1:9">
      <c r="A8054" s="2"/>
      <c r="B8054" s="2" t="str">
        <f>IFERROR(__xludf.DUMMYFUNCTION("IF(A8054&lt;&gt;"""", GOOGLETRANSLATE(A8054, ""en"", ""te""),"""")"),"")</f>
        <v/>
      </c>
      <c r="C8054" s="2"/>
      <c r="D8054" s="2" t="str">
        <f>IFERROR(__xludf.DUMMYFUNCTION("IF(C8054&lt;&gt;"""", GOOGLETRANSLATE(C8054, ""en"", ""te""),"""")"),"")</f>
        <v/>
      </c>
      <c r="E8054" s="2"/>
      <c r="F8054" s="2" t="str">
        <f>IFERROR(__xludf.DUMMYFUNCTION("IF(E8054&lt;&gt;"""", GOOGLETRANSLATE(E8054, ""en"", ""te""),"""")"),"")</f>
        <v/>
      </c>
      <c r="G8054" s="2"/>
      <c r="H8054" s="2" t="str">
        <f>IFERROR(__xludf.DUMMYFUNCTION("IF(G8054&lt;&gt;"""", GOOGLETRANSLATE(G8054, ""en"", ""te""),"""")"),"")</f>
        <v/>
      </c>
      <c r="I8054" s="3"/>
    </row>
    <row r="8055" customHeight="1" spans="1:9">
      <c r="A8055" s="2"/>
      <c r="B8055" s="2" t="str">
        <f>IFERROR(__xludf.DUMMYFUNCTION("IF(A8055&lt;&gt;"""", GOOGLETRANSLATE(A8055, ""en"", ""te""),"""")"),"")</f>
        <v/>
      </c>
      <c r="C8055" s="2"/>
      <c r="D8055" s="2" t="str">
        <f>IFERROR(__xludf.DUMMYFUNCTION("IF(C8055&lt;&gt;"""", GOOGLETRANSLATE(C8055, ""en"", ""te""),"""")"),"")</f>
        <v/>
      </c>
      <c r="E8055" s="2"/>
      <c r="F8055" s="2" t="str">
        <f>IFERROR(__xludf.DUMMYFUNCTION("IF(E8055&lt;&gt;"""", GOOGLETRANSLATE(E8055, ""en"", ""te""),"""")"),"")</f>
        <v/>
      </c>
      <c r="G8055" s="2"/>
      <c r="H8055" s="2" t="str">
        <f>IFERROR(__xludf.DUMMYFUNCTION("IF(G8055&lt;&gt;"""", GOOGLETRANSLATE(G8055, ""en"", ""te""),"""")"),"")</f>
        <v/>
      </c>
      <c r="I8055" s="3"/>
    </row>
    <row r="8056" customHeight="1" spans="1:9">
      <c r="A8056" s="2" t="s">
        <v>4512</v>
      </c>
      <c r="B8056" s="2" t="str">
        <f>IFERROR(__xludf.DUMMYFUNCTION("IF(A8056&lt;&gt;"""", GOOGLETRANSLATE(A8056, ""en"", ""te""),"""")"),"[ '(63 *) ఒక ఇన్నింగ్స్లో ద్వారా బ్యాట్ వాహక']")</f>
        <v>[ '(63 *) ఒక ఇన్నింగ్స్లో ద్వారా బ్యాట్ వాహక']</v>
      </c>
      <c r="C8056" s="2"/>
      <c r="D8056" s="2" t="str">
        <f>IFERROR(__xludf.DUMMYFUNCTION("IF(C8056&lt;&gt;"""", GOOGLETRANSLATE(C8056, ""en"", ""te""),"""")"),"")</f>
        <v/>
      </c>
      <c r="E8056" s="2" t="s">
        <v>4513</v>
      </c>
      <c r="F8056" s="2" t="str">
        <f>IFERROR(__xludf.DUMMYFUNCTION("IF(E8056&lt;&gt;"""", GOOGLETRANSLATE(E8056, ""en"", ""te""),"""")"),"[ 'మొదటి డక్ ముందు 38 వ అత్యంత ఇన్నింగ్స్ (31)', '40 వ ఒక మ్యాచ్ రిఫరీ గా అత్యధిక మ్యాచ్లు (10)']")</f>
        <v>[ 'మొదటి డక్ ముందు 38 వ అత్యంత ఇన్నింగ్స్ (31)', '40 వ ఒక మ్యాచ్ రిఫరీ గా అత్యధిక మ్యాచ్లు (10)']</v>
      </c>
      <c r="G8056" s="2"/>
      <c r="H8056" s="2" t="str">
        <f>IFERROR(__xludf.DUMMYFUNCTION("IF(G8056&lt;&gt;"""", GOOGLETRANSLATE(G8056, ""en"", ""te""),"""")"),"")</f>
        <v/>
      </c>
      <c r="I8056" s="3"/>
    </row>
    <row r="8057" customHeight="1" spans="1:9">
      <c r="A8057" s="2"/>
      <c r="B8057" s="2" t="str">
        <f>IFERROR(__xludf.DUMMYFUNCTION("IF(A8057&lt;&gt;"""", GOOGLETRANSLATE(A8057, ""en"", ""te""),"""")"),"")</f>
        <v/>
      </c>
      <c r="C8057" s="2"/>
      <c r="D8057" s="2" t="str">
        <f>IFERROR(__xludf.DUMMYFUNCTION("IF(C8057&lt;&gt;"""", GOOGLETRANSLATE(C8057, ""en"", ""te""),"""")"),"")</f>
        <v/>
      </c>
      <c r="E8057" s="2"/>
      <c r="F8057" s="2" t="str">
        <f>IFERROR(__xludf.DUMMYFUNCTION("IF(E8057&lt;&gt;"""", GOOGLETRANSLATE(E8057, ""en"", ""te""),"""")"),"")</f>
        <v/>
      </c>
      <c r="G8057" s="2"/>
      <c r="H8057" s="2" t="str">
        <f>IFERROR(__xludf.DUMMYFUNCTION("IF(G8057&lt;&gt;"""", GOOGLETRANSLATE(G8057, ""en"", ""te""),"""")"),"")</f>
        <v/>
      </c>
      <c r="I8057" s="3"/>
    </row>
    <row r="8058" customHeight="1" spans="1:9">
      <c r="A8058" s="2"/>
      <c r="B8058" s="2" t="str">
        <f>IFERROR(__xludf.DUMMYFUNCTION("IF(A8058&lt;&gt;"""", GOOGLETRANSLATE(A8058, ""en"", ""te""),"""")"),"")</f>
        <v/>
      </c>
      <c r="C8058" s="2"/>
      <c r="D8058" s="2" t="str">
        <f>IFERROR(__xludf.DUMMYFUNCTION("IF(C8058&lt;&gt;"""", GOOGLETRANSLATE(C8058, ""en"", ""te""),"""")"),"")</f>
        <v/>
      </c>
      <c r="E8058" s="2"/>
      <c r="F8058" s="2" t="str">
        <f>IFERROR(__xludf.DUMMYFUNCTION("IF(E8058&lt;&gt;"""", GOOGLETRANSLATE(E8058, ""en"", ""te""),"""")"),"")</f>
        <v/>
      </c>
      <c r="G8058" s="2"/>
      <c r="H8058" s="2" t="str">
        <f>IFERROR(__xludf.DUMMYFUNCTION("IF(G8058&lt;&gt;"""", GOOGLETRANSLATE(G8058, ""en"", ""te""),"""")"),"")</f>
        <v/>
      </c>
      <c r="I8058" s="3"/>
    </row>
    <row r="8059" customHeight="1" spans="1:9">
      <c r="A8059" s="2"/>
      <c r="B8059" s="2" t="str">
        <f>IFERROR(__xludf.DUMMYFUNCTION("IF(A8059&lt;&gt;"""", GOOGLETRANSLATE(A8059, ""en"", ""te""),"""")"),"")</f>
        <v/>
      </c>
      <c r="C8059" s="2"/>
      <c r="D8059" s="2" t="str">
        <f>IFERROR(__xludf.DUMMYFUNCTION("IF(C8059&lt;&gt;"""", GOOGLETRANSLATE(C8059, ""en"", ""te""),"""")"),"")</f>
        <v/>
      </c>
      <c r="E8059" s="2"/>
      <c r="F8059" s="2" t="str">
        <f>IFERROR(__xludf.DUMMYFUNCTION("IF(E8059&lt;&gt;"""", GOOGLETRANSLATE(E8059, ""en"", ""te""),"""")"),"")</f>
        <v/>
      </c>
      <c r="G8059" s="2" t="s">
        <v>2811</v>
      </c>
      <c r="H8059" s="2" t="str">
        <f>IFERROR(__xludf.DUMMYFUNCTION("IF(G8059&lt;&gt;"""", GOOGLETRANSLATE(G8059, ""en"", ""te""),"""")"),"[18 వ అంపాయర్ (28) గా అత్యధిక మ్యాచ్లు ']")</f>
        <v>[18 వ అంపాయర్ (28) గా అత్యధిక మ్యాచ్లు ']</v>
      </c>
      <c r="I8059" s="3"/>
    </row>
    <row r="8060" customHeight="1" spans="1:9">
      <c r="A8060" s="2"/>
      <c r="B8060" s="2" t="str">
        <f>IFERROR(__xludf.DUMMYFUNCTION("IF(A8060&lt;&gt;"""", GOOGLETRANSLATE(A8060, ""en"", ""te""),"""")"),"")</f>
        <v/>
      </c>
      <c r="C8060" s="2"/>
      <c r="D8060" s="2" t="str">
        <f>IFERROR(__xludf.DUMMYFUNCTION("IF(C8060&lt;&gt;"""", GOOGLETRANSLATE(C8060, ""en"", ""te""),"""")"),"")</f>
        <v/>
      </c>
      <c r="E8060" s="2"/>
      <c r="F8060" s="2" t="str">
        <f>IFERROR(__xludf.DUMMYFUNCTION("IF(E8060&lt;&gt;"""", GOOGLETRANSLATE(E8060, ""en"", ""te""),"""")"),"")</f>
        <v/>
      </c>
      <c r="G8060" s="2"/>
      <c r="H8060" s="2" t="str">
        <f>IFERROR(__xludf.DUMMYFUNCTION("IF(G8060&lt;&gt;"""", GOOGLETRANSLATE(G8060, ""en"", ""te""),"""")"),"")</f>
        <v/>
      </c>
      <c r="I8060" s="3"/>
    </row>
    <row r="8061" customHeight="1" spans="1:9">
      <c r="A8061" s="2"/>
      <c r="B8061" s="2" t="str">
        <f>IFERROR(__xludf.DUMMYFUNCTION("IF(A8061&lt;&gt;"""", GOOGLETRANSLATE(A8061, ""en"", ""te""),"""")"),"")</f>
        <v/>
      </c>
      <c r="C8061" s="2"/>
      <c r="D8061" s="2" t="str">
        <f>IFERROR(__xludf.DUMMYFUNCTION("IF(C8061&lt;&gt;"""", GOOGLETRANSLATE(C8061, ""en"", ""te""),"""")"),"")</f>
        <v/>
      </c>
      <c r="E8061" s="2"/>
      <c r="F8061" s="2" t="str">
        <f>IFERROR(__xludf.DUMMYFUNCTION("IF(E8061&lt;&gt;"""", GOOGLETRANSLATE(E8061, ""en"", ""te""),"""")"),"")</f>
        <v/>
      </c>
      <c r="G8061" s="2"/>
      <c r="H8061" s="2" t="str">
        <f>IFERROR(__xludf.DUMMYFUNCTION("IF(G8061&lt;&gt;"""", GOOGLETRANSLATE(G8061, ""en"", ""te""),"""")"),"")</f>
        <v/>
      </c>
      <c r="I8061" s="3"/>
    </row>
    <row r="8062" customHeight="1" spans="1:9">
      <c r="A8062" s="2"/>
      <c r="B8062" s="2" t="str">
        <f>IFERROR(__xludf.DUMMYFUNCTION("IF(A8062&lt;&gt;"""", GOOGLETRANSLATE(A8062, ""en"", ""te""),"""")"),"")</f>
        <v/>
      </c>
      <c r="C8062" s="2"/>
      <c r="D8062" s="2" t="str">
        <f>IFERROR(__xludf.DUMMYFUNCTION("IF(C8062&lt;&gt;"""", GOOGLETRANSLATE(C8062, ""en"", ""te""),"""")"),"")</f>
        <v/>
      </c>
      <c r="E8062" s="2"/>
      <c r="F8062" s="2" t="str">
        <f>IFERROR(__xludf.DUMMYFUNCTION("IF(E8062&lt;&gt;"""", GOOGLETRANSLATE(E8062, ""en"", ""te""),"""")"),"")</f>
        <v/>
      </c>
      <c r="G8062" s="2"/>
      <c r="H8062" s="2" t="str">
        <f>IFERROR(__xludf.DUMMYFUNCTION("IF(G8062&lt;&gt;"""", GOOGLETRANSLATE(G8062, ""en"", ""te""),"""")"),"")</f>
        <v/>
      </c>
      <c r="I8062" s="3"/>
    </row>
    <row r="8063" customHeight="1" spans="1:9">
      <c r="A8063" s="2" t="s">
        <v>4514</v>
      </c>
      <c r="B8063" s="2" t="str">
        <f>IFERROR(__xludf.DUMMYFUNCTION("IF(A8063&lt;&gt;"""", GOOGLETRANSLATE(A8063, ""en"", ""te""),"""")"),"[ 'వరుస 2 వ అత్యధిక వికెట్లు (22)', 'వరుస 3 వ అత్యధిక క్యాచ్లు (15)', '10th ఒక సిరీస్లో అత్యధిక స్టంపింగ్లు (7)', 'ఒక వికెట్ కీపర్ సిరీస్లో 6 వ అత్యధిక పరుగులు (388) ',' 4 వ ఇన్నింగ్స్ లో అత్యధిక క్యాచ్లు (3) ',' 200 పరుగులు మరియు ఒక ఇన్నింగ్స్ లో ఒక సిరీ"&amp;"స్ ',' 9 వ అత్యంత స్టంపింగ్లు (3) లో 10 వికెట్కీపింగ్ తొలగింపులకు ']")</f>
        <v>[ 'వరుస 2 వ అత్యధిక వికెట్లు (22)', 'వరుస 3 వ అత్యధిక క్యాచ్లు (15)', '10th ఒక సిరీస్లో అత్యధిక స్టంపింగ్లు (7)', 'ఒక వికెట్ కీపర్ సిరీస్లో 6 వ అత్యధిక పరుగులు (388) ',' 4 వ ఇన్నింగ్స్ లో అత్యధిక క్యాచ్లు (3) ',' 200 పరుగులు మరియు ఒక ఇన్నింగ్స్ లో ఒక సిరీస్ ',' 9 వ అత్యంత స్టంపింగ్లు (3) లో 10 వికెట్కీపింగ్ తొలగింపులకు ']</v>
      </c>
      <c r="C8063" s="2"/>
      <c r="D8063" s="2" t="str">
        <f>IFERROR(__xludf.DUMMYFUNCTION("IF(C8063&lt;&gt;"""", GOOGLETRANSLATE(C8063, ""en"", ""te""),"""")"),"")</f>
        <v/>
      </c>
      <c r="E8063" s="2" t="s">
        <v>4515</v>
      </c>
      <c r="F8063" s="2" t="str">
        <f>IFERROR(__xludf.DUMMYFUNCTION("IF(E8063&lt;&gt;"""", GOOGLETRANSLATE(E8063, ""en"", ""te""),"""")"),"[ '50 వ ఒక సిరీస్లో అత్యధిక పరుగులు (441)', 'ఒక వికెట్ కీపర్ సిరీస్లో 6 వ అత్యధిక పరుగులు (388)', ఒక ఇన్నింగ్స్ లో, '4 వ అత్యధిక క్యాచ్లు' వంద (909) లేకుండా ఒక వృత్తిలో 44 వ అత్యధిక పరుగులు ' (3) ',' 18 వ కెరీర్ లో అత్యధిక వికెట్లు (48) ',' 5 వ ఇన్నింగ్స్"&amp;" వరుస (5) ',' 2 వ అత్యధిక వికెట్లు లో అత్యధిక వికెట్లు (22) ',' 14 వ కెరీర్ లో అత్యధిక క్యాచ్లు (32) ' , 'ఇన్నింగ్స్ (3) 21 వ అత్యధిక క్యాచ్లు' 'వరుస 3 వ అత్యధిక క్యాచ్లు (15)', '19 వ కెరీర్ స్టంపింగ్లు (16)', '10th ఒక సిరీస్లో అత్యధిక స్టంపింగ్లు (7)']")</f>
        <v>[ '50 వ ఒక సిరీస్లో అత్యధిక పరుగులు (441)', 'ఒక వికెట్ కీపర్ సిరీస్లో 6 వ అత్యధిక పరుగులు (388)', ఒక ఇన్నింగ్స్ లో, '4 వ అత్యధిక క్యాచ్లు' వంద (909) లేకుండా ఒక వృత్తిలో 44 వ అత్యధిక పరుగులు ' (3) ',' 18 వ కెరీర్ లో అత్యధిక వికెట్లు (48) ',' 5 వ ఇన్నింగ్స్ వరుస (5) ',' 2 వ అత్యధిక వికెట్లు లో అత్యధిక వికెట్లు (22) ',' 14 వ కెరీర్ లో అత్యధిక క్యాచ్లు (32) ' , 'ఇన్నింగ్స్ (3) 21 వ అత్యధిక క్యాచ్లు' 'వరుస 3 వ అత్యధిక క్యాచ్లు (15)', '19 వ కెరీర్ స్టంపింగ్లు (16)', '10th ఒక సిరీస్లో అత్యధిక స్టంపింగ్లు (7)']</v>
      </c>
      <c r="G8063" s="2" t="s">
        <v>4516</v>
      </c>
      <c r="H8063" s="2" t="str">
        <f>IFERROR(__xludf.DUMMYFUNCTION("IF(G8063&lt;&gt;"""", GOOGLETRANSLATE(G8063, ""en"", ""te""),"""")"),"[ 'ఇన్నింగ్స్ లో 9 వ అత్యంత స్టంపింగ్లు (3)' '22 వ అత్యధిక ఆరో వికెట్కు భాగస్వామ్యం (49)', '22 వ కెరీర్ స్టంపింగ్లు (11)', '13 వ అత్యంత ఇన్నింగ్స్ లో సాధించిన బైస్ (6)']")</f>
        <v>[ 'ఇన్నింగ్స్ లో 9 వ అత్యంత స్టంపింగ్లు (3)' '22 వ అత్యధిక ఆరో వికెట్కు భాగస్వామ్యం (49)', '22 వ కెరీర్ స్టంపింగ్లు (11)', '13 వ అత్యంత ఇన్నింగ్స్ లో సాధించిన బైస్ (6)']</v>
      </c>
      <c r="I8063" s="3"/>
    </row>
    <row r="8064" customHeight="1" spans="1:9">
      <c r="A8064" s="2"/>
      <c r="B8064" s="2" t="str">
        <f>IFERROR(__xludf.DUMMYFUNCTION("IF(A8064&lt;&gt;"""", GOOGLETRANSLATE(A8064, ""en"", ""te""),"""")"),"")</f>
        <v/>
      </c>
      <c r="C8064" s="2"/>
      <c r="D8064" s="2" t="str">
        <f>IFERROR(__xludf.DUMMYFUNCTION("IF(C8064&lt;&gt;"""", GOOGLETRANSLATE(C8064, ""en"", ""te""),"""")"),"")</f>
        <v/>
      </c>
      <c r="E8064" s="2"/>
      <c r="F8064" s="2" t="str">
        <f>IFERROR(__xludf.DUMMYFUNCTION("IF(E8064&lt;&gt;"""", GOOGLETRANSLATE(E8064, ""en"", ""te""),"""")"),"")</f>
        <v/>
      </c>
      <c r="G8064" s="2"/>
      <c r="H8064" s="2" t="str">
        <f>IFERROR(__xludf.DUMMYFUNCTION("IF(G8064&lt;&gt;"""", GOOGLETRANSLATE(G8064, ""en"", ""te""),"""")"),"")</f>
        <v/>
      </c>
      <c r="I8064" s="3"/>
    </row>
    <row r="8065" customHeight="1" spans="1:9">
      <c r="A8065" s="2"/>
      <c r="B8065" s="2" t="str">
        <f>IFERROR(__xludf.DUMMYFUNCTION("IF(A8065&lt;&gt;"""", GOOGLETRANSLATE(A8065, ""en"", ""te""),"""")"),"")</f>
        <v/>
      </c>
      <c r="C8065" s="2"/>
      <c r="D8065" s="2" t="str">
        <f>IFERROR(__xludf.DUMMYFUNCTION("IF(C8065&lt;&gt;"""", GOOGLETRANSLATE(C8065, ""en"", ""te""),"""")"),"")</f>
        <v/>
      </c>
      <c r="E8065" s="2"/>
      <c r="F8065" s="2" t="str">
        <f>IFERROR(__xludf.DUMMYFUNCTION("IF(E8065&lt;&gt;"""", GOOGLETRANSLATE(E8065, ""en"", ""te""),"""")"),"")</f>
        <v/>
      </c>
      <c r="G8065" s="2"/>
      <c r="H8065" s="2" t="str">
        <f>IFERROR(__xludf.DUMMYFUNCTION("IF(G8065&lt;&gt;"""", GOOGLETRANSLATE(G8065, ""en"", ""te""),"""")"),"")</f>
        <v/>
      </c>
      <c r="I8065" s="3"/>
    </row>
    <row r="8066" customHeight="1" spans="1:9">
      <c r="A8066" s="2"/>
      <c r="B8066" s="2" t="str">
        <f>IFERROR(__xludf.DUMMYFUNCTION("IF(A8066&lt;&gt;"""", GOOGLETRANSLATE(A8066, ""en"", ""te""),"""")"),"")</f>
        <v/>
      </c>
      <c r="C8066" s="2"/>
      <c r="D8066" s="2" t="str">
        <f>IFERROR(__xludf.DUMMYFUNCTION("IF(C8066&lt;&gt;"""", GOOGLETRANSLATE(C8066, ""en"", ""te""),"""")"),"")</f>
        <v/>
      </c>
      <c r="E8066" s="2"/>
      <c r="F8066" s="2" t="str">
        <f>IFERROR(__xludf.DUMMYFUNCTION("IF(E8066&lt;&gt;"""", GOOGLETRANSLATE(E8066, ""en"", ""te""),"""")"),"")</f>
        <v/>
      </c>
      <c r="G8066" s="2"/>
      <c r="H8066" s="2" t="str">
        <f>IFERROR(__xludf.DUMMYFUNCTION("IF(G8066&lt;&gt;"""", GOOGLETRANSLATE(G8066, ""en"", ""te""),"""")"),"")</f>
        <v/>
      </c>
      <c r="I8066" s="3"/>
    </row>
    <row r="8067" customHeight="1" spans="1:9">
      <c r="A8067" s="2"/>
      <c r="B8067" s="2" t="str">
        <f>IFERROR(__xludf.DUMMYFUNCTION("IF(A8067&lt;&gt;"""", GOOGLETRANSLATE(A8067, ""en"", ""te""),"""")"),"")</f>
        <v/>
      </c>
      <c r="C8067" s="2"/>
      <c r="D8067" s="2" t="str">
        <f>IFERROR(__xludf.DUMMYFUNCTION("IF(C8067&lt;&gt;"""", GOOGLETRANSLATE(C8067, ""en"", ""te""),"""")"),"")</f>
        <v/>
      </c>
      <c r="E8067" s="2"/>
      <c r="F8067" s="2" t="str">
        <f>IFERROR(__xludf.DUMMYFUNCTION("IF(E8067&lt;&gt;"""", GOOGLETRANSLATE(E8067, ""en"", ""te""),"""")"),"")</f>
        <v/>
      </c>
      <c r="G8067" s="2"/>
      <c r="H8067" s="2" t="str">
        <f>IFERROR(__xludf.DUMMYFUNCTION("IF(G8067&lt;&gt;"""", GOOGLETRANSLATE(G8067, ""en"", ""te""),"""")"),"")</f>
        <v/>
      </c>
      <c r="I8067" s="3"/>
    </row>
    <row r="8068" customHeight="1" spans="1:9">
      <c r="A8068" s="2"/>
      <c r="B8068" s="2" t="str">
        <f>IFERROR(__xludf.DUMMYFUNCTION("IF(A8068&lt;&gt;"""", GOOGLETRANSLATE(A8068, ""en"", ""te""),"""")"),"")</f>
        <v/>
      </c>
      <c r="C8068" s="2"/>
      <c r="D8068" s="2" t="str">
        <f>IFERROR(__xludf.DUMMYFUNCTION("IF(C8068&lt;&gt;"""", GOOGLETRANSLATE(C8068, ""en"", ""te""),"""")"),"")</f>
        <v/>
      </c>
      <c r="E8068" s="2"/>
      <c r="F8068" s="2" t="str">
        <f>IFERROR(__xludf.DUMMYFUNCTION("IF(E8068&lt;&gt;"""", GOOGLETRANSLATE(E8068, ""en"", ""te""),"""")"),"")</f>
        <v/>
      </c>
      <c r="G8068" s="2"/>
      <c r="H8068" s="2" t="str">
        <f>IFERROR(__xludf.DUMMYFUNCTION("IF(G8068&lt;&gt;"""", GOOGLETRANSLATE(G8068, ""en"", ""te""),"""")"),"")</f>
        <v/>
      </c>
      <c r="I8068" s="3"/>
    </row>
    <row r="8069" customHeight="1" spans="1:9">
      <c r="A8069" s="2"/>
      <c r="B8069" s="2" t="str">
        <f>IFERROR(__xludf.DUMMYFUNCTION("IF(A8069&lt;&gt;"""", GOOGLETRANSLATE(A8069, ""en"", ""te""),"""")"),"")</f>
        <v/>
      </c>
      <c r="C8069" s="2"/>
      <c r="D8069" s="2" t="str">
        <f>IFERROR(__xludf.DUMMYFUNCTION("IF(C8069&lt;&gt;"""", GOOGLETRANSLATE(C8069, ""en"", ""te""),"""")"),"")</f>
        <v/>
      </c>
      <c r="E8069" s="2"/>
      <c r="F8069" s="2" t="str">
        <f>IFERROR(__xludf.DUMMYFUNCTION("IF(E8069&lt;&gt;"""", GOOGLETRANSLATE(E8069, ""en"", ""te""),"""")"),"")</f>
        <v/>
      </c>
      <c r="G8069" s="2"/>
      <c r="H8069" s="2" t="str">
        <f>IFERROR(__xludf.DUMMYFUNCTION("IF(G8069&lt;&gt;"""", GOOGLETRANSLATE(G8069, ""en"", ""te""),"""")"),"")</f>
        <v/>
      </c>
      <c r="I8069" s="3"/>
    </row>
    <row r="8070" customHeight="1" spans="1:9">
      <c r="A8070" s="2"/>
      <c r="B8070" s="2" t="str">
        <f>IFERROR(__xludf.DUMMYFUNCTION("IF(A8070&lt;&gt;"""", GOOGLETRANSLATE(A8070, ""en"", ""te""),"""")"),"")</f>
        <v/>
      </c>
      <c r="C8070" s="2"/>
      <c r="D8070" s="2" t="str">
        <f>IFERROR(__xludf.DUMMYFUNCTION("IF(C8070&lt;&gt;"""", GOOGLETRANSLATE(C8070, ""en"", ""te""),"""")"),"")</f>
        <v/>
      </c>
      <c r="E8070" s="2"/>
      <c r="F8070" s="2" t="str">
        <f>IFERROR(__xludf.DUMMYFUNCTION("IF(E8070&lt;&gt;"""", GOOGLETRANSLATE(E8070, ""en"", ""te""),"""")"),"")</f>
        <v/>
      </c>
      <c r="G8070" s="2"/>
      <c r="H8070" s="2" t="str">
        <f>IFERROR(__xludf.DUMMYFUNCTION("IF(G8070&lt;&gt;"""", GOOGLETRANSLATE(G8070, ""en"", ""te""),"""")"),"")</f>
        <v/>
      </c>
      <c r="I8070" s="3"/>
    </row>
    <row r="8071" customHeight="1" spans="1:9">
      <c r="A8071" s="2"/>
      <c r="B8071" s="2" t="str">
        <f>IFERROR(__xludf.DUMMYFUNCTION("IF(A8071&lt;&gt;"""", GOOGLETRANSLATE(A8071, ""en"", ""te""),"""")"),"")</f>
        <v/>
      </c>
      <c r="C8071" s="2"/>
      <c r="D8071" s="2" t="str">
        <f>IFERROR(__xludf.DUMMYFUNCTION("IF(C8071&lt;&gt;"""", GOOGLETRANSLATE(C8071, ""en"", ""te""),"""")"),"")</f>
        <v/>
      </c>
      <c r="E8071" s="2"/>
      <c r="F8071" s="2" t="str">
        <f>IFERROR(__xludf.DUMMYFUNCTION("IF(E8071&lt;&gt;"""", GOOGLETRANSLATE(E8071, ""en"", ""te""),"""")"),"")</f>
        <v/>
      </c>
      <c r="G8071" s="2"/>
      <c r="H8071" s="2" t="str">
        <f>IFERROR(__xludf.DUMMYFUNCTION("IF(G8071&lt;&gt;"""", GOOGLETRANSLATE(G8071, ""en"", ""te""),"""")"),"")</f>
        <v/>
      </c>
      <c r="I8071" s="3"/>
    </row>
    <row r="8072" customHeight="1" spans="1:9">
      <c r="A8072" s="2"/>
      <c r="B8072" s="2" t="str">
        <f>IFERROR(__xludf.DUMMYFUNCTION("IF(A8072&lt;&gt;"""", GOOGLETRANSLATE(A8072, ""en"", ""te""),"""")"),"")</f>
        <v/>
      </c>
      <c r="C8072" s="2"/>
      <c r="D8072" s="2" t="str">
        <f>IFERROR(__xludf.DUMMYFUNCTION("IF(C8072&lt;&gt;"""", GOOGLETRANSLATE(C8072, ""en"", ""te""),"""")"),"")</f>
        <v/>
      </c>
      <c r="E8072" s="2"/>
      <c r="F8072" s="2" t="str">
        <f>IFERROR(__xludf.DUMMYFUNCTION("IF(E8072&lt;&gt;"""", GOOGLETRANSLATE(E8072, ""en"", ""te""),"""")"),"")</f>
        <v/>
      </c>
      <c r="G8072" s="2"/>
      <c r="H8072" s="2" t="str">
        <f>IFERROR(__xludf.DUMMYFUNCTION("IF(G8072&lt;&gt;"""", GOOGLETRANSLATE(G8072, ""en"", ""te""),"""")"),"")</f>
        <v/>
      </c>
      <c r="I8072" s="3"/>
    </row>
    <row r="8073" customHeight="1" spans="1:9">
      <c r="A8073" s="2"/>
      <c r="B8073" s="2" t="str">
        <f>IFERROR(__xludf.DUMMYFUNCTION("IF(A8073&lt;&gt;"""", GOOGLETRANSLATE(A8073, ""en"", ""te""),"""")"),"")</f>
        <v/>
      </c>
      <c r="C8073" s="2"/>
      <c r="D8073" s="2" t="str">
        <f>IFERROR(__xludf.DUMMYFUNCTION("IF(C8073&lt;&gt;"""", GOOGLETRANSLATE(C8073, ""en"", ""te""),"""")"),"")</f>
        <v/>
      </c>
      <c r="E8073" s="2"/>
      <c r="F8073" s="2" t="str">
        <f>IFERROR(__xludf.DUMMYFUNCTION("IF(E8073&lt;&gt;"""", GOOGLETRANSLATE(E8073, ""en"", ""te""),"""")"),"")</f>
        <v/>
      </c>
      <c r="G8073" s="2"/>
      <c r="H8073" s="2" t="str">
        <f>IFERROR(__xludf.DUMMYFUNCTION("IF(G8073&lt;&gt;"""", GOOGLETRANSLATE(G8073, ""en"", ""te""),"""")"),"")</f>
        <v/>
      </c>
      <c r="I8073" s="3"/>
    </row>
    <row r="8074" customHeight="1" spans="1:9">
      <c r="A8074" s="2"/>
      <c r="B8074" s="2" t="str">
        <f>IFERROR(__xludf.DUMMYFUNCTION("IF(A8074&lt;&gt;"""", GOOGLETRANSLATE(A8074, ""en"", ""te""),"""")"),"")</f>
        <v/>
      </c>
      <c r="C8074" s="2"/>
      <c r="D8074" s="2" t="str">
        <f>IFERROR(__xludf.DUMMYFUNCTION("IF(C8074&lt;&gt;"""", GOOGLETRANSLATE(C8074, ""en"", ""te""),"""")"),"")</f>
        <v/>
      </c>
      <c r="E8074" s="2"/>
      <c r="F8074" s="2" t="str">
        <f>IFERROR(__xludf.DUMMYFUNCTION("IF(E8074&lt;&gt;"""", GOOGLETRANSLATE(E8074, ""en"", ""te""),"""")"),"")</f>
        <v/>
      </c>
      <c r="G8074" s="2"/>
      <c r="H8074" s="2" t="str">
        <f>IFERROR(__xludf.DUMMYFUNCTION("IF(G8074&lt;&gt;"""", GOOGLETRANSLATE(G8074, ""en"", ""te""),"""")"),"")</f>
        <v/>
      </c>
      <c r="I8074" s="3"/>
    </row>
    <row r="8075" customHeight="1" spans="1:9">
      <c r="A8075" s="2"/>
      <c r="B8075" s="2" t="str">
        <f>IFERROR(__xludf.DUMMYFUNCTION("IF(A8075&lt;&gt;"""", GOOGLETRANSLATE(A8075, ""en"", ""te""),"""")"),"")</f>
        <v/>
      </c>
      <c r="C8075" s="2"/>
      <c r="D8075" s="2" t="str">
        <f>IFERROR(__xludf.DUMMYFUNCTION("IF(C8075&lt;&gt;"""", GOOGLETRANSLATE(C8075, ""en"", ""te""),"""")"),"")</f>
        <v/>
      </c>
      <c r="E8075" s="2"/>
      <c r="F8075" s="2" t="str">
        <f>IFERROR(__xludf.DUMMYFUNCTION("IF(E8075&lt;&gt;"""", GOOGLETRANSLATE(E8075, ""en"", ""te""),"""")"),"")</f>
        <v/>
      </c>
      <c r="G8075" s="2"/>
      <c r="H8075" s="2" t="str">
        <f>IFERROR(__xludf.DUMMYFUNCTION("IF(G8075&lt;&gt;"""", GOOGLETRANSLATE(G8075, ""en"", ""te""),"""")"),"")</f>
        <v/>
      </c>
      <c r="I8075" s="3"/>
    </row>
    <row r="8076" customHeight="1" spans="1:9">
      <c r="A8076" s="2"/>
      <c r="B8076" s="2" t="str">
        <f>IFERROR(__xludf.DUMMYFUNCTION("IF(A8076&lt;&gt;"""", GOOGLETRANSLATE(A8076, ""en"", ""te""),"""")"),"")</f>
        <v/>
      </c>
      <c r="C8076" s="2"/>
      <c r="D8076" s="2" t="str">
        <f>IFERROR(__xludf.DUMMYFUNCTION("IF(C8076&lt;&gt;"""", GOOGLETRANSLATE(C8076, ""en"", ""te""),"""")"),"")</f>
        <v/>
      </c>
      <c r="E8076" s="2"/>
      <c r="F8076" s="2" t="str">
        <f>IFERROR(__xludf.DUMMYFUNCTION("IF(E8076&lt;&gt;"""", GOOGLETRANSLATE(E8076, ""en"", ""te""),"""")"),"")</f>
        <v/>
      </c>
      <c r="G8076" s="2"/>
      <c r="H8076" s="2" t="str">
        <f>IFERROR(__xludf.DUMMYFUNCTION("IF(G8076&lt;&gt;"""", GOOGLETRANSLATE(G8076, ""en"", ""te""),"""")"),"")</f>
        <v/>
      </c>
      <c r="I8076" s="3"/>
    </row>
    <row r="8077" customHeight="1" spans="1:9">
      <c r="A8077" s="2"/>
      <c r="B8077" s="2" t="str">
        <f>IFERROR(__xludf.DUMMYFUNCTION("IF(A8077&lt;&gt;"""", GOOGLETRANSLATE(A8077, ""en"", ""te""),"""")"),"")</f>
        <v/>
      </c>
      <c r="C8077" s="2"/>
      <c r="D8077" s="2" t="str">
        <f>IFERROR(__xludf.DUMMYFUNCTION("IF(C8077&lt;&gt;"""", GOOGLETRANSLATE(C8077, ""en"", ""te""),"""")"),"")</f>
        <v/>
      </c>
      <c r="E8077" s="2"/>
      <c r="F8077" s="2" t="str">
        <f>IFERROR(__xludf.DUMMYFUNCTION("IF(E8077&lt;&gt;"""", GOOGLETRANSLATE(E8077, ""en"", ""te""),"""")"),"")</f>
        <v/>
      </c>
      <c r="G8077" s="2"/>
      <c r="H8077" s="2" t="str">
        <f>IFERROR(__xludf.DUMMYFUNCTION("IF(G8077&lt;&gt;"""", GOOGLETRANSLATE(G8077, ""en"", ""te""),"""")"),"")</f>
        <v/>
      </c>
      <c r="I8077" s="3"/>
    </row>
    <row r="8078" customHeight="1" spans="1:9">
      <c r="A8078" s="2"/>
      <c r="B8078" s="2" t="str">
        <f>IFERROR(__xludf.DUMMYFUNCTION("IF(A8078&lt;&gt;"""", GOOGLETRANSLATE(A8078, ""en"", ""te""),"""")"),"")</f>
        <v/>
      </c>
      <c r="C8078" s="2"/>
      <c r="D8078" s="2" t="str">
        <f>IFERROR(__xludf.DUMMYFUNCTION("IF(C8078&lt;&gt;"""", GOOGLETRANSLATE(C8078, ""en"", ""te""),"""")"),"")</f>
        <v/>
      </c>
      <c r="E8078" s="2"/>
      <c r="F8078" s="2" t="str">
        <f>IFERROR(__xludf.DUMMYFUNCTION("IF(E8078&lt;&gt;"""", GOOGLETRANSLATE(E8078, ""en"", ""te""),"""")"),"")</f>
        <v/>
      </c>
      <c r="G8078" s="2"/>
      <c r="H8078" s="2" t="str">
        <f>IFERROR(__xludf.DUMMYFUNCTION("IF(G8078&lt;&gt;"""", GOOGLETRANSLATE(G8078, ""en"", ""te""),"""")"),"")</f>
        <v/>
      </c>
      <c r="I8078" s="3"/>
    </row>
    <row r="8079" customHeight="1" spans="1:9">
      <c r="A8079" s="2"/>
      <c r="B8079" s="2" t="str">
        <f>IFERROR(__xludf.DUMMYFUNCTION("IF(A8079&lt;&gt;"""", GOOGLETRANSLATE(A8079, ""en"", ""te""),"""")"),"")</f>
        <v/>
      </c>
      <c r="C8079" s="2" t="s">
        <v>4517</v>
      </c>
      <c r="D8079" s="2" t="str">
        <f>IFERROR(__xludf.DUMMYFUNCTION("IF(C8079&lt;&gt;"""", GOOGLETRANSLATE(C8079, ""en"", ""te""),"""")"),"[ '25 పిన్న క్రీడాకారులు (17y 189d)']")</f>
        <v>[ '25 పిన్న క్రీడాకారులు (17y 189d)']</v>
      </c>
      <c r="E8079" s="2"/>
      <c r="F8079" s="2" t="str">
        <f>IFERROR(__xludf.DUMMYFUNCTION("IF(E8079&lt;&gt;"""", GOOGLETRANSLATE(E8079, ""en"", ""te""),"""")"),"")</f>
        <v/>
      </c>
      <c r="G8079" s="2"/>
      <c r="H8079" s="2" t="str">
        <f>IFERROR(__xludf.DUMMYFUNCTION("IF(G8079&lt;&gt;"""", GOOGLETRANSLATE(G8079, ""en"", ""te""),"""")"),"")</f>
        <v/>
      </c>
      <c r="I8079" s="3"/>
    </row>
    <row r="8080" customHeight="1" spans="1:9">
      <c r="A8080" s="2"/>
      <c r="B8080" s="2" t="str">
        <f>IFERROR(__xludf.DUMMYFUNCTION("IF(A8080&lt;&gt;"""", GOOGLETRANSLATE(A8080, ""en"", ""te""),"""")"),"")</f>
        <v/>
      </c>
      <c r="C8080" s="2"/>
      <c r="D8080" s="2" t="str">
        <f>IFERROR(__xludf.DUMMYFUNCTION("IF(C8080&lt;&gt;"""", GOOGLETRANSLATE(C8080, ""en"", ""te""),"""")"),"")</f>
        <v/>
      </c>
      <c r="E8080" s="2"/>
      <c r="F8080" s="2" t="str">
        <f>IFERROR(__xludf.DUMMYFUNCTION("IF(E8080&lt;&gt;"""", GOOGLETRANSLATE(E8080, ""en"", ""te""),"""")"),"")</f>
        <v/>
      </c>
      <c r="G8080" s="2"/>
      <c r="H8080" s="2" t="str">
        <f>IFERROR(__xludf.DUMMYFUNCTION("IF(G8080&lt;&gt;"""", GOOGLETRANSLATE(G8080, ""en"", ""te""),"""")"),"")</f>
        <v/>
      </c>
      <c r="I8080" s="3"/>
    </row>
    <row r="8081" customHeight="1" spans="1:9">
      <c r="A8081" s="2" t="s">
        <v>4518</v>
      </c>
      <c r="B8081" s="2" t="str">
        <f>IFERROR(__xludf.DUMMYFUNCTION("IF(A8081&lt;&gt;"""", GOOGLETRANSLATE(A8081, ""en"", ""te""),"""")"),"[ '2 వ చెత్త కెరీర్ బౌలింగ్ సరాసరి (అర్హత లేకుండా) (294.00)']")</f>
        <v>[ '2 వ చెత్త కెరీర్ బౌలింగ్ సరాసరి (అర్హత లేకుండా) (294.00)']</v>
      </c>
      <c r="C8081" s="2" t="s">
        <v>4518</v>
      </c>
      <c r="D8081" s="2" t="str">
        <f>IFERROR(__xludf.DUMMYFUNCTION("IF(C8081&lt;&gt;"""", GOOGLETRANSLATE(C8081, ""en"", ""te""),"""")"),"[ '2 వ చెత్త కెరీర్ బౌలింగ్ సరాసరి (అర్హత లేకుండా) (294.00)']")</f>
        <v>[ '2 వ చెత్త కెరీర్ బౌలింగ్ సరాసరి (అర్హత లేకుండా) (294.00)']</v>
      </c>
      <c r="E8081" s="2"/>
      <c r="F8081" s="2" t="str">
        <f>IFERROR(__xludf.DUMMYFUNCTION("IF(E8081&lt;&gt;"""", GOOGLETRANSLATE(E8081, ""en"", ""te""),"""")"),"")</f>
        <v/>
      </c>
      <c r="G8081" s="2"/>
      <c r="H8081" s="2" t="str">
        <f>IFERROR(__xludf.DUMMYFUNCTION("IF(G8081&lt;&gt;"""", GOOGLETRANSLATE(G8081, ""en"", ""te""),"""")"),"")</f>
        <v/>
      </c>
      <c r="I8081" s="3"/>
    </row>
    <row r="8082" customHeight="1" spans="1:9">
      <c r="A8082" s="2"/>
      <c r="B8082" s="2" t="str">
        <f>IFERROR(__xludf.DUMMYFUNCTION("IF(A8082&lt;&gt;"""", GOOGLETRANSLATE(A8082, ""en"", ""te""),"""")"),"")</f>
        <v/>
      </c>
      <c r="C8082" s="2"/>
      <c r="D8082" s="2" t="str">
        <f>IFERROR(__xludf.DUMMYFUNCTION("IF(C8082&lt;&gt;"""", GOOGLETRANSLATE(C8082, ""en"", ""te""),"""")"),"")</f>
        <v/>
      </c>
      <c r="E8082" s="2"/>
      <c r="F8082" s="2" t="str">
        <f>IFERROR(__xludf.DUMMYFUNCTION("IF(E8082&lt;&gt;"""", GOOGLETRANSLATE(E8082, ""en"", ""te""),"""")"),"")</f>
        <v/>
      </c>
      <c r="G8082" s="2"/>
      <c r="H8082" s="2" t="str">
        <f>IFERROR(__xludf.DUMMYFUNCTION("IF(G8082&lt;&gt;"""", GOOGLETRANSLATE(G8082, ""en"", ""te""),"""")"),"")</f>
        <v/>
      </c>
      <c r="I8082" s="3"/>
    </row>
    <row r="8083" customHeight="1" spans="1:9">
      <c r="A8083" s="2"/>
      <c r="B8083" s="2" t="str">
        <f>IFERROR(__xludf.DUMMYFUNCTION("IF(A8083&lt;&gt;"""", GOOGLETRANSLATE(A8083, ""en"", ""te""),"""")"),"")</f>
        <v/>
      </c>
      <c r="C8083" s="2"/>
      <c r="D8083" s="2" t="str">
        <f>IFERROR(__xludf.DUMMYFUNCTION("IF(C8083&lt;&gt;"""", GOOGLETRANSLATE(C8083, ""en"", ""te""),"""")"),"")</f>
        <v/>
      </c>
      <c r="E8083" s="2"/>
      <c r="F8083" s="2" t="str">
        <f>IFERROR(__xludf.DUMMYFUNCTION("IF(E8083&lt;&gt;"""", GOOGLETRANSLATE(E8083, ""en"", ""te""),"""")"),"")</f>
        <v/>
      </c>
      <c r="G8083" s="2"/>
      <c r="H8083" s="2" t="str">
        <f>IFERROR(__xludf.DUMMYFUNCTION("IF(G8083&lt;&gt;"""", GOOGLETRANSLATE(G8083, ""en"", ""te""),"""")"),"")</f>
        <v/>
      </c>
      <c r="I8083" s="3"/>
    </row>
    <row r="8084" customHeight="1" spans="1:9">
      <c r="A8084" s="2"/>
      <c r="B8084" s="2" t="str">
        <f>IFERROR(__xludf.DUMMYFUNCTION("IF(A8084&lt;&gt;"""", GOOGLETRANSLATE(A8084, ""en"", ""te""),"""")"),"")</f>
        <v/>
      </c>
      <c r="C8084" s="2"/>
      <c r="D8084" s="2" t="str">
        <f>IFERROR(__xludf.DUMMYFUNCTION("IF(C8084&lt;&gt;"""", GOOGLETRANSLATE(C8084, ""en"", ""te""),"""")"),"")</f>
        <v/>
      </c>
      <c r="E8084" s="2"/>
      <c r="F8084" s="2" t="str">
        <f>IFERROR(__xludf.DUMMYFUNCTION("IF(E8084&lt;&gt;"""", GOOGLETRANSLATE(E8084, ""en"", ""te""),"""")"),"")</f>
        <v/>
      </c>
      <c r="G8084" s="2"/>
      <c r="H8084" s="2" t="str">
        <f>IFERROR(__xludf.DUMMYFUNCTION("IF(G8084&lt;&gt;"""", GOOGLETRANSLATE(G8084, ""en"", ""te""),"""")"),"")</f>
        <v/>
      </c>
      <c r="I8084" s="3"/>
    </row>
    <row r="8085" customHeight="1" spans="1:9">
      <c r="A8085" s="2"/>
      <c r="B8085" s="2" t="str">
        <f>IFERROR(__xludf.DUMMYFUNCTION("IF(A8085&lt;&gt;"""", GOOGLETRANSLATE(A8085, ""en"", ""te""),"""")"),"")</f>
        <v/>
      </c>
      <c r="C8085" s="2"/>
      <c r="D8085" s="2" t="str">
        <f>IFERROR(__xludf.DUMMYFUNCTION("IF(C8085&lt;&gt;"""", GOOGLETRANSLATE(C8085, ""en"", ""te""),"""")"),"")</f>
        <v/>
      </c>
      <c r="E8085" s="2"/>
      <c r="F8085" s="2" t="str">
        <f>IFERROR(__xludf.DUMMYFUNCTION("IF(E8085&lt;&gt;"""", GOOGLETRANSLATE(E8085, ""en"", ""te""),"""")"),"")</f>
        <v/>
      </c>
      <c r="G8085" s="2"/>
      <c r="H8085" s="2" t="str">
        <f>IFERROR(__xludf.DUMMYFUNCTION("IF(G8085&lt;&gt;"""", GOOGLETRANSLATE(G8085, ""en"", ""te""),"""")"),"")</f>
        <v/>
      </c>
      <c r="I8085" s="3"/>
    </row>
    <row r="8086" customHeight="1" spans="1:9">
      <c r="A8086" s="2"/>
      <c r="B8086" s="2" t="str">
        <f>IFERROR(__xludf.DUMMYFUNCTION("IF(A8086&lt;&gt;"""", GOOGLETRANSLATE(A8086, ""en"", ""te""),"""")"),"")</f>
        <v/>
      </c>
      <c r="C8086" s="2"/>
      <c r="D8086" s="2" t="str">
        <f>IFERROR(__xludf.DUMMYFUNCTION("IF(C8086&lt;&gt;"""", GOOGLETRANSLATE(C8086, ""en"", ""te""),"""")"),"")</f>
        <v/>
      </c>
      <c r="E8086" s="2"/>
      <c r="F8086" s="2" t="str">
        <f>IFERROR(__xludf.DUMMYFUNCTION("IF(E8086&lt;&gt;"""", GOOGLETRANSLATE(E8086, ""en"", ""te""),"""")"),"")</f>
        <v/>
      </c>
      <c r="G8086" s="2"/>
      <c r="H8086" s="2" t="str">
        <f>IFERROR(__xludf.DUMMYFUNCTION("IF(G8086&lt;&gt;"""", GOOGLETRANSLATE(G8086, ""en"", ""te""),"""")"),"")</f>
        <v/>
      </c>
      <c r="I8086" s="3"/>
    </row>
    <row r="8087" customHeight="1" spans="1:9">
      <c r="A8087" s="2"/>
      <c r="B8087" s="2" t="str">
        <f>IFERROR(__xludf.DUMMYFUNCTION("IF(A8087&lt;&gt;"""", GOOGLETRANSLATE(A8087, ""en"", ""te""),"""")"),"")</f>
        <v/>
      </c>
      <c r="C8087" s="2"/>
      <c r="D8087" s="2" t="str">
        <f>IFERROR(__xludf.DUMMYFUNCTION("IF(C8087&lt;&gt;"""", GOOGLETRANSLATE(C8087, ""en"", ""te""),"""")"),"")</f>
        <v/>
      </c>
      <c r="E8087" s="2"/>
      <c r="F8087" s="2" t="str">
        <f>IFERROR(__xludf.DUMMYFUNCTION("IF(E8087&lt;&gt;"""", GOOGLETRANSLATE(E8087, ""en"", ""te""),"""")"),"")</f>
        <v/>
      </c>
      <c r="G8087" s="2"/>
      <c r="H8087" s="2" t="str">
        <f>IFERROR(__xludf.DUMMYFUNCTION("IF(G8087&lt;&gt;"""", GOOGLETRANSLATE(G8087, ""en"", ""te""),"""")"),"")</f>
        <v/>
      </c>
      <c r="I8087" s="3"/>
    </row>
    <row r="8088" customHeight="1" spans="1:9">
      <c r="A8088" s="2"/>
      <c r="B8088" s="2" t="str">
        <f>IFERROR(__xludf.DUMMYFUNCTION("IF(A8088&lt;&gt;"""", GOOGLETRANSLATE(A8088, ""en"", ""te""),"""")"),"")</f>
        <v/>
      </c>
      <c r="C8088" s="2"/>
      <c r="D8088" s="2" t="str">
        <f>IFERROR(__xludf.DUMMYFUNCTION("IF(C8088&lt;&gt;"""", GOOGLETRANSLATE(C8088, ""en"", ""te""),"""")"),"")</f>
        <v/>
      </c>
      <c r="E8088" s="2"/>
      <c r="F8088" s="2" t="str">
        <f>IFERROR(__xludf.DUMMYFUNCTION("IF(E8088&lt;&gt;"""", GOOGLETRANSLATE(E8088, ""en"", ""te""),"""")"),"")</f>
        <v/>
      </c>
      <c r="G8088" s="2"/>
      <c r="H8088" s="2" t="str">
        <f>IFERROR(__xludf.DUMMYFUNCTION("IF(G8088&lt;&gt;"""", GOOGLETRANSLATE(G8088, ""en"", ""te""),"""")"),"")</f>
        <v/>
      </c>
      <c r="I8088" s="3"/>
    </row>
    <row r="8089" customHeight="1" spans="1:9">
      <c r="A8089" s="2"/>
      <c r="B8089" s="2" t="str">
        <f>IFERROR(__xludf.DUMMYFUNCTION("IF(A8089&lt;&gt;"""", GOOGLETRANSLATE(A8089, ""en"", ""te""),"""")"),"")</f>
        <v/>
      </c>
      <c r="C8089" s="2"/>
      <c r="D8089" s="2" t="str">
        <f>IFERROR(__xludf.DUMMYFUNCTION("IF(C8089&lt;&gt;"""", GOOGLETRANSLATE(C8089, ""en"", ""te""),"""")"),"")</f>
        <v/>
      </c>
      <c r="E8089" s="2"/>
      <c r="F8089" s="2" t="str">
        <f>IFERROR(__xludf.DUMMYFUNCTION("IF(E8089&lt;&gt;"""", GOOGLETRANSLATE(E8089, ""en"", ""te""),"""")"),"")</f>
        <v/>
      </c>
      <c r="G8089" s="2"/>
      <c r="H8089" s="2" t="str">
        <f>IFERROR(__xludf.DUMMYFUNCTION("IF(G8089&lt;&gt;"""", GOOGLETRANSLATE(G8089, ""en"", ""te""),"""")"),"")</f>
        <v/>
      </c>
      <c r="I8089" s="3"/>
    </row>
    <row r="8090" customHeight="1" spans="1:9">
      <c r="A8090" s="2"/>
      <c r="B8090" s="2" t="str">
        <f>IFERROR(__xludf.DUMMYFUNCTION("IF(A8090&lt;&gt;"""", GOOGLETRANSLATE(A8090, ""en"", ""te""),"""")"),"")</f>
        <v/>
      </c>
      <c r="C8090" s="2"/>
      <c r="D8090" s="2" t="str">
        <f>IFERROR(__xludf.DUMMYFUNCTION("IF(C8090&lt;&gt;"""", GOOGLETRANSLATE(C8090, ""en"", ""te""),"""")"),"")</f>
        <v/>
      </c>
      <c r="E8090" s="2"/>
      <c r="F8090" s="2" t="str">
        <f>IFERROR(__xludf.DUMMYFUNCTION("IF(E8090&lt;&gt;"""", GOOGLETRANSLATE(E8090, ""en"", ""te""),"""")"),"")</f>
        <v/>
      </c>
      <c r="G8090" s="2"/>
      <c r="H8090" s="2" t="str">
        <f>IFERROR(__xludf.DUMMYFUNCTION("IF(G8090&lt;&gt;"""", GOOGLETRANSLATE(G8090, ""en"", ""te""),"""")"),"")</f>
        <v/>
      </c>
      <c r="I8090" s="3"/>
    </row>
    <row r="8091" customHeight="1" spans="1:9">
      <c r="A8091" s="2"/>
      <c r="B8091" s="2" t="str">
        <f>IFERROR(__xludf.DUMMYFUNCTION("IF(A8091&lt;&gt;"""", GOOGLETRANSLATE(A8091, ""en"", ""te""),"""")"),"")</f>
        <v/>
      </c>
      <c r="C8091" s="2"/>
      <c r="D8091" s="2" t="str">
        <f>IFERROR(__xludf.DUMMYFUNCTION("IF(C8091&lt;&gt;"""", GOOGLETRANSLATE(C8091, ""en"", ""te""),"""")"),"")</f>
        <v/>
      </c>
      <c r="E8091" s="2"/>
      <c r="F8091" s="2" t="str">
        <f>IFERROR(__xludf.DUMMYFUNCTION("IF(E8091&lt;&gt;"""", GOOGLETRANSLATE(E8091, ""en"", ""te""),"""")"),"")</f>
        <v/>
      </c>
      <c r="G8091" s="2"/>
      <c r="H8091" s="2" t="str">
        <f>IFERROR(__xludf.DUMMYFUNCTION("IF(G8091&lt;&gt;"""", GOOGLETRANSLATE(G8091, ""en"", ""te""),"""")"),"")</f>
        <v/>
      </c>
      <c r="I8091" s="3"/>
    </row>
    <row r="8092" customHeight="1" spans="1:9">
      <c r="A8092" s="2"/>
      <c r="B8092" s="2" t="str">
        <f>IFERROR(__xludf.DUMMYFUNCTION("IF(A8092&lt;&gt;"""", GOOGLETRANSLATE(A8092, ""en"", ""te""),"""")"),"")</f>
        <v/>
      </c>
      <c r="C8092" s="2"/>
      <c r="D8092" s="2" t="str">
        <f>IFERROR(__xludf.DUMMYFUNCTION("IF(C8092&lt;&gt;"""", GOOGLETRANSLATE(C8092, ""en"", ""te""),"""")"),"")</f>
        <v/>
      </c>
      <c r="E8092" s="2"/>
      <c r="F8092" s="2" t="str">
        <f>IFERROR(__xludf.DUMMYFUNCTION("IF(E8092&lt;&gt;"""", GOOGLETRANSLATE(E8092, ""en"", ""te""),"""")"),"")</f>
        <v/>
      </c>
      <c r="G8092" s="2"/>
      <c r="H8092" s="2" t="str">
        <f>IFERROR(__xludf.DUMMYFUNCTION("IF(G8092&lt;&gt;"""", GOOGLETRANSLATE(G8092, ""en"", ""te""),"""")"),"")</f>
        <v/>
      </c>
      <c r="I8092" s="3"/>
    </row>
    <row r="8093" customHeight="1" spans="1:9">
      <c r="A8093" s="2"/>
      <c r="B8093" s="2" t="str">
        <f>IFERROR(__xludf.DUMMYFUNCTION("IF(A8093&lt;&gt;"""", GOOGLETRANSLATE(A8093, ""en"", ""te""),"""")"),"")</f>
        <v/>
      </c>
      <c r="C8093" s="2"/>
      <c r="D8093" s="2" t="str">
        <f>IFERROR(__xludf.DUMMYFUNCTION("IF(C8093&lt;&gt;"""", GOOGLETRANSLATE(C8093, ""en"", ""te""),"""")"),"")</f>
        <v/>
      </c>
      <c r="E8093" s="2"/>
      <c r="F8093" s="2" t="str">
        <f>IFERROR(__xludf.DUMMYFUNCTION("IF(E8093&lt;&gt;"""", GOOGLETRANSLATE(E8093, ""en"", ""te""),"""")"),"")</f>
        <v/>
      </c>
      <c r="G8093" s="2"/>
      <c r="H8093" s="2" t="str">
        <f>IFERROR(__xludf.DUMMYFUNCTION("IF(G8093&lt;&gt;"""", GOOGLETRANSLATE(G8093, ""en"", ""te""),"""")"),"")</f>
        <v/>
      </c>
      <c r="I8093" s="3"/>
    </row>
    <row r="8094" customHeight="1" spans="1:9">
      <c r="A8094" s="2"/>
      <c r="B8094" s="2" t="str">
        <f>IFERROR(__xludf.DUMMYFUNCTION("IF(A8094&lt;&gt;"""", GOOGLETRANSLATE(A8094, ""en"", ""te""),"""")"),"")</f>
        <v/>
      </c>
      <c r="C8094" s="2"/>
      <c r="D8094" s="2" t="str">
        <f>IFERROR(__xludf.DUMMYFUNCTION("IF(C8094&lt;&gt;"""", GOOGLETRANSLATE(C8094, ""en"", ""te""),"""")"),"")</f>
        <v/>
      </c>
      <c r="E8094" s="2"/>
      <c r="F8094" s="2" t="str">
        <f>IFERROR(__xludf.DUMMYFUNCTION("IF(E8094&lt;&gt;"""", GOOGLETRANSLATE(E8094, ""en"", ""te""),"""")"),"")</f>
        <v/>
      </c>
      <c r="G8094" s="2"/>
      <c r="H8094" s="2" t="str">
        <f>IFERROR(__xludf.DUMMYFUNCTION("IF(G8094&lt;&gt;"""", GOOGLETRANSLATE(G8094, ""en"", ""te""),"""")"),"")</f>
        <v/>
      </c>
      <c r="I8094" s="3"/>
    </row>
    <row r="8095" customHeight="1" spans="1:9">
      <c r="A8095" s="2"/>
      <c r="B8095" s="2" t="str">
        <f>IFERROR(__xludf.DUMMYFUNCTION("IF(A8095&lt;&gt;"""", GOOGLETRANSLATE(A8095, ""en"", ""te""),"""")"),"")</f>
        <v/>
      </c>
      <c r="C8095" s="2"/>
      <c r="D8095" s="2" t="str">
        <f>IFERROR(__xludf.DUMMYFUNCTION("IF(C8095&lt;&gt;"""", GOOGLETRANSLATE(C8095, ""en"", ""te""),"""")"),"")</f>
        <v/>
      </c>
      <c r="E8095" s="2"/>
      <c r="F8095" s="2" t="str">
        <f>IFERROR(__xludf.DUMMYFUNCTION("IF(E8095&lt;&gt;"""", GOOGLETRANSLATE(E8095, ""en"", ""te""),"""")"),"")</f>
        <v/>
      </c>
      <c r="G8095" s="2"/>
      <c r="H8095" s="2" t="str">
        <f>IFERROR(__xludf.DUMMYFUNCTION("IF(G8095&lt;&gt;"""", GOOGLETRANSLATE(G8095, ""en"", ""te""),"""")"),"")</f>
        <v/>
      </c>
      <c r="I8095" s="3"/>
    </row>
    <row r="8096" customHeight="1" spans="1:9">
      <c r="A8096" s="2"/>
      <c r="B8096" s="2" t="str">
        <f>IFERROR(__xludf.DUMMYFUNCTION("IF(A8096&lt;&gt;"""", GOOGLETRANSLATE(A8096, ""en"", ""te""),"""")"),"")</f>
        <v/>
      </c>
      <c r="C8096" s="2"/>
      <c r="D8096" s="2" t="str">
        <f>IFERROR(__xludf.DUMMYFUNCTION("IF(C8096&lt;&gt;"""", GOOGLETRANSLATE(C8096, ""en"", ""te""),"""")"),"")</f>
        <v/>
      </c>
      <c r="E8096" s="2"/>
      <c r="F8096" s="2" t="str">
        <f>IFERROR(__xludf.DUMMYFUNCTION("IF(E8096&lt;&gt;"""", GOOGLETRANSLATE(E8096, ""en"", ""te""),"""")"),"")</f>
        <v/>
      </c>
      <c r="G8096" s="2"/>
      <c r="H8096" s="2" t="str">
        <f>IFERROR(__xludf.DUMMYFUNCTION("IF(G8096&lt;&gt;"""", GOOGLETRANSLATE(G8096, ""en"", ""te""),"""")"),"")</f>
        <v/>
      </c>
      <c r="I8096" s="3"/>
    </row>
    <row r="8097" customHeight="1" spans="1:9">
      <c r="A8097" s="2"/>
      <c r="B8097" s="2" t="str">
        <f>IFERROR(__xludf.DUMMYFUNCTION("IF(A8097&lt;&gt;"""", GOOGLETRANSLATE(A8097, ""en"", ""te""),"""")"),"")</f>
        <v/>
      </c>
      <c r="C8097" s="2"/>
      <c r="D8097" s="2" t="str">
        <f>IFERROR(__xludf.DUMMYFUNCTION("IF(C8097&lt;&gt;"""", GOOGLETRANSLATE(C8097, ""en"", ""te""),"""")"),"")</f>
        <v/>
      </c>
      <c r="E8097" s="2"/>
      <c r="F8097" s="2" t="str">
        <f>IFERROR(__xludf.DUMMYFUNCTION("IF(E8097&lt;&gt;"""", GOOGLETRANSLATE(E8097, ""en"", ""te""),"""")"),"")</f>
        <v/>
      </c>
      <c r="G8097" s="2"/>
      <c r="H8097" s="2" t="str">
        <f>IFERROR(__xludf.DUMMYFUNCTION("IF(G8097&lt;&gt;"""", GOOGLETRANSLATE(G8097, ""en"", ""te""),"""")"),"")</f>
        <v/>
      </c>
      <c r="I8097" s="3"/>
    </row>
    <row r="8098" customHeight="1" spans="1:9">
      <c r="A8098" s="2"/>
      <c r="B8098" s="2" t="str">
        <f>IFERROR(__xludf.DUMMYFUNCTION("IF(A8098&lt;&gt;"""", GOOGLETRANSLATE(A8098, ""en"", ""te""),"""")"),"")</f>
        <v/>
      </c>
      <c r="C8098" s="2"/>
      <c r="D8098" s="2" t="str">
        <f>IFERROR(__xludf.DUMMYFUNCTION("IF(C8098&lt;&gt;"""", GOOGLETRANSLATE(C8098, ""en"", ""te""),"""")"),"")</f>
        <v/>
      </c>
      <c r="E8098" s="2"/>
      <c r="F8098" s="2" t="str">
        <f>IFERROR(__xludf.DUMMYFUNCTION("IF(E8098&lt;&gt;"""", GOOGLETRANSLATE(E8098, ""en"", ""te""),"""")"),"")</f>
        <v/>
      </c>
      <c r="G8098" s="2"/>
      <c r="H8098" s="2" t="str">
        <f>IFERROR(__xludf.DUMMYFUNCTION("IF(G8098&lt;&gt;"""", GOOGLETRANSLATE(G8098, ""en"", ""te""),"""")"),"")</f>
        <v/>
      </c>
      <c r="I8098" s="3"/>
    </row>
    <row r="8099" customHeight="1" spans="1:9">
      <c r="A8099" s="2"/>
      <c r="B8099" s="2" t="str">
        <f>IFERROR(__xludf.DUMMYFUNCTION("IF(A8099&lt;&gt;"""", GOOGLETRANSLATE(A8099, ""en"", ""te""),"""")"),"")</f>
        <v/>
      </c>
      <c r="C8099" s="2"/>
      <c r="D8099" s="2" t="str">
        <f>IFERROR(__xludf.DUMMYFUNCTION("IF(C8099&lt;&gt;"""", GOOGLETRANSLATE(C8099, ""en"", ""te""),"""")"),"")</f>
        <v/>
      </c>
      <c r="E8099" s="2"/>
      <c r="F8099" s="2" t="str">
        <f>IFERROR(__xludf.DUMMYFUNCTION("IF(E8099&lt;&gt;"""", GOOGLETRANSLATE(E8099, ""en"", ""te""),"""")"),"")</f>
        <v/>
      </c>
      <c r="G8099" s="2"/>
      <c r="H8099" s="2" t="str">
        <f>IFERROR(__xludf.DUMMYFUNCTION("IF(G8099&lt;&gt;"""", GOOGLETRANSLATE(G8099, ""en"", ""te""),"""")"),"")</f>
        <v/>
      </c>
      <c r="I8099" s="3"/>
    </row>
    <row r="8100" customHeight="1" spans="1:9">
      <c r="A8100" s="2"/>
      <c r="B8100" s="2" t="str">
        <f>IFERROR(__xludf.DUMMYFUNCTION("IF(A8100&lt;&gt;"""", GOOGLETRANSLATE(A8100, ""en"", ""te""),"""")"),"")</f>
        <v/>
      </c>
      <c r="C8100" s="2"/>
      <c r="D8100" s="2" t="str">
        <f>IFERROR(__xludf.DUMMYFUNCTION("IF(C8100&lt;&gt;"""", GOOGLETRANSLATE(C8100, ""en"", ""te""),"""")"),"")</f>
        <v/>
      </c>
      <c r="E8100" s="2"/>
      <c r="F8100" s="2" t="str">
        <f>IFERROR(__xludf.DUMMYFUNCTION("IF(E8100&lt;&gt;"""", GOOGLETRANSLATE(E8100, ""en"", ""te""),"""")"),"")</f>
        <v/>
      </c>
      <c r="G8100" s="2"/>
      <c r="H8100" s="2" t="str">
        <f>IFERROR(__xludf.DUMMYFUNCTION("IF(G8100&lt;&gt;"""", GOOGLETRANSLATE(G8100, ""en"", ""te""),"""")"),"")</f>
        <v/>
      </c>
      <c r="I8100" s="3"/>
    </row>
    <row r="8101" customHeight="1" spans="1:9">
      <c r="A8101" s="2"/>
      <c r="B8101" s="2" t="str">
        <f>IFERROR(__xludf.DUMMYFUNCTION("IF(A8101&lt;&gt;"""", GOOGLETRANSLATE(A8101, ""en"", ""te""),"""")"),"")</f>
        <v/>
      </c>
      <c r="C8101" s="2"/>
      <c r="D8101" s="2" t="str">
        <f>IFERROR(__xludf.DUMMYFUNCTION("IF(C8101&lt;&gt;"""", GOOGLETRANSLATE(C8101, ""en"", ""te""),"""")"),"")</f>
        <v/>
      </c>
      <c r="E8101" s="2"/>
      <c r="F8101" s="2" t="str">
        <f>IFERROR(__xludf.DUMMYFUNCTION("IF(E8101&lt;&gt;"""", GOOGLETRANSLATE(E8101, ""en"", ""te""),"""")"),"")</f>
        <v/>
      </c>
      <c r="G8101" s="2"/>
      <c r="H8101" s="2" t="str">
        <f>IFERROR(__xludf.DUMMYFUNCTION("IF(G8101&lt;&gt;"""", GOOGLETRANSLATE(G8101, ""en"", ""te""),"""")"),"")</f>
        <v/>
      </c>
      <c r="I8101" s="3"/>
    </row>
    <row r="8102" customHeight="1" spans="1:9">
      <c r="A8102" s="2"/>
      <c r="B8102" s="2" t="str">
        <f>IFERROR(__xludf.DUMMYFUNCTION("IF(A8102&lt;&gt;"""", GOOGLETRANSLATE(A8102, ""en"", ""te""),"""")"),"")</f>
        <v/>
      </c>
      <c r="C8102" s="2"/>
      <c r="D8102" s="2" t="str">
        <f>IFERROR(__xludf.DUMMYFUNCTION("IF(C8102&lt;&gt;"""", GOOGLETRANSLATE(C8102, ""en"", ""te""),"""")"),"")</f>
        <v/>
      </c>
      <c r="E8102" s="2"/>
      <c r="F8102" s="2" t="str">
        <f>IFERROR(__xludf.DUMMYFUNCTION("IF(E8102&lt;&gt;"""", GOOGLETRANSLATE(E8102, ""en"", ""te""),"""")"),"")</f>
        <v/>
      </c>
      <c r="G8102" s="2"/>
      <c r="H8102" s="2" t="str">
        <f>IFERROR(__xludf.DUMMYFUNCTION("IF(G8102&lt;&gt;"""", GOOGLETRANSLATE(G8102, ""en"", ""te""),"""")"),"")</f>
        <v/>
      </c>
      <c r="I8102" s="3"/>
    </row>
    <row r="8103" customHeight="1" spans="1:9">
      <c r="A8103" s="2"/>
      <c r="B8103" s="2" t="str">
        <f>IFERROR(__xludf.DUMMYFUNCTION("IF(A8103&lt;&gt;"""", GOOGLETRANSLATE(A8103, ""en"", ""te""),"""")"),"")</f>
        <v/>
      </c>
      <c r="C8103" s="2"/>
      <c r="D8103" s="2" t="str">
        <f>IFERROR(__xludf.DUMMYFUNCTION("IF(C8103&lt;&gt;"""", GOOGLETRANSLATE(C8103, ""en"", ""te""),"""")"),"")</f>
        <v/>
      </c>
      <c r="E8103" s="2"/>
      <c r="F8103" s="2" t="str">
        <f>IFERROR(__xludf.DUMMYFUNCTION("IF(E8103&lt;&gt;"""", GOOGLETRANSLATE(E8103, ""en"", ""te""),"""")"),"")</f>
        <v/>
      </c>
      <c r="G8103" s="2"/>
      <c r="H8103" s="2" t="str">
        <f>IFERROR(__xludf.DUMMYFUNCTION("IF(G8103&lt;&gt;"""", GOOGLETRANSLATE(G8103, ""en"", ""te""),"""")"),"")</f>
        <v/>
      </c>
      <c r="I8103" s="3"/>
    </row>
    <row r="8104" customHeight="1" spans="1:9">
      <c r="A8104" s="2"/>
      <c r="B8104" s="2" t="str">
        <f>IFERROR(__xludf.DUMMYFUNCTION("IF(A8104&lt;&gt;"""", GOOGLETRANSLATE(A8104, ""en"", ""te""),"""")"),"")</f>
        <v/>
      </c>
      <c r="C8104" s="2"/>
      <c r="D8104" s="2" t="str">
        <f>IFERROR(__xludf.DUMMYFUNCTION("IF(C8104&lt;&gt;"""", GOOGLETRANSLATE(C8104, ""en"", ""te""),"""")"),"")</f>
        <v/>
      </c>
      <c r="E8104" s="2"/>
      <c r="F8104" s="2" t="str">
        <f>IFERROR(__xludf.DUMMYFUNCTION("IF(E8104&lt;&gt;"""", GOOGLETRANSLATE(E8104, ""en"", ""te""),"""")"),"")</f>
        <v/>
      </c>
      <c r="G8104" s="2"/>
      <c r="H8104" s="2" t="str">
        <f>IFERROR(__xludf.DUMMYFUNCTION("IF(G8104&lt;&gt;"""", GOOGLETRANSLATE(G8104, ""en"", ""te""),"""")"),"")</f>
        <v/>
      </c>
      <c r="I8104" s="3"/>
    </row>
    <row r="8105" customHeight="1" spans="1:9">
      <c r="A8105" s="2"/>
      <c r="B8105" s="2" t="str">
        <f>IFERROR(__xludf.DUMMYFUNCTION("IF(A8105&lt;&gt;"""", GOOGLETRANSLATE(A8105, ""en"", ""te""),"""")"),"")</f>
        <v/>
      </c>
      <c r="C8105" s="2"/>
      <c r="D8105" s="2" t="str">
        <f>IFERROR(__xludf.DUMMYFUNCTION("IF(C8105&lt;&gt;"""", GOOGLETRANSLATE(C8105, ""en"", ""te""),"""")"),"")</f>
        <v/>
      </c>
      <c r="E8105" s="2"/>
      <c r="F8105" s="2" t="str">
        <f>IFERROR(__xludf.DUMMYFUNCTION("IF(E8105&lt;&gt;"""", GOOGLETRANSLATE(E8105, ""en"", ""te""),"""")"),"")</f>
        <v/>
      </c>
      <c r="G8105" s="2"/>
      <c r="H8105" s="2" t="str">
        <f>IFERROR(__xludf.DUMMYFUNCTION("IF(G8105&lt;&gt;"""", GOOGLETRANSLATE(G8105, ""en"", ""te""),"""")"),"")</f>
        <v/>
      </c>
      <c r="I8105" s="3"/>
    </row>
    <row r="8106" customHeight="1" spans="1:9">
      <c r="A8106" s="2"/>
      <c r="B8106" s="2" t="str">
        <f>IFERROR(__xludf.DUMMYFUNCTION("IF(A8106&lt;&gt;"""", GOOGLETRANSLATE(A8106, ""en"", ""te""),"""")"),"")</f>
        <v/>
      </c>
      <c r="C8106" s="2"/>
      <c r="D8106" s="2" t="str">
        <f>IFERROR(__xludf.DUMMYFUNCTION("IF(C8106&lt;&gt;"""", GOOGLETRANSLATE(C8106, ""en"", ""te""),"""")"),"")</f>
        <v/>
      </c>
      <c r="E8106" s="2"/>
      <c r="F8106" s="2" t="str">
        <f>IFERROR(__xludf.DUMMYFUNCTION("IF(E8106&lt;&gt;"""", GOOGLETRANSLATE(E8106, ""en"", ""te""),"""")"),"")</f>
        <v/>
      </c>
      <c r="G8106" s="2"/>
      <c r="H8106" s="2" t="str">
        <f>IFERROR(__xludf.DUMMYFUNCTION("IF(G8106&lt;&gt;"""", GOOGLETRANSLATE(G8106, ""en"", ""te""),"""")"),"")</f>
        <v/>
      </c>
      <c r="I8106" s="3"/>
    </row>
    <row r="8107" customHeight="1" spans="1:9">
      <c r="A8107" s="2"/>
      <c r="B8107" s="2" t="str">
        <f>IFERROR(__xludf.DUMMYFUNCTION("IF(A8107&lt;&gt;"""", GOOGLETRANSLATE(A8107, ""en"", ""te""),"""")"),"")</f>
        <v/>
      </c>
      <c r="C8107" s="2"/>
      <c r="D8107" s="2" t="str">
        <f>IFERROR(__xludf.DUMMYFUNCTION("IF(C8107&lt;&gt;"""", GOOGLETRANSLATE(C8107, ""en"", ""te""),"""")"),"")</f>
        <v/>
      </c>
      <c r="E8107" s="2"/>
      <c r="F8107" s="2" t="str">
        <f>IFERROR(__xludf.DUMMYFUNCTION("IF(E8107&lt;&gt;"""", GOOGLETRANSLATE(E8107, ""en"", ""te""),"""")"),"")</f>
        <v/>
      </c>
      <c r="G8107" s="2"/>
      <c r="H8107" s="2" t="str">
        <f>IFERROR(__xludf.DUMMYFUNCTION("IF(G8107&lt;&gt;"""", GOOGLETRANSLATE(G8107, ""en"", ""te""),"""")"),"")</f>
        <v/>
      </c>
      <c r="I8107" s="3"/>
    </row>
    <row r="8108" customHeight="1" spans="1:9">
      <c r="A8108" s="2"/>
      <c r="B8108" s="2" t="str">
        <f>IFERROR(__xludf.DUMMYFUNCTION("IF(A8108&lt;&gt;"""", GOOGLETRANSLATE(A8108, ""en"", ""te""),"""")"),"")</f>
        <v/>
      </c>
      <c r="C8108" s="2"/>
      <c r="D8108" s="2" t="str">
        <f>IFERROR(__xludf.DUMMYFUNCTION("IF(C8108&lt;&gt;"""", GOOGLETRANSLATE(C8108, ""en"", ""te""),"""")"),"")</f>
        <v/>
      </c>
      <c r="E8108" s="2"/>
      <c r="F8108" s="2" t="str">
        <f>IFERROR(__xludf.DUMMYFUNCTION("IF(E8108&lt;&gt;"""", GOOGLETRANSLATE(E8108, ""en"", ""te""),"""")"),"")</f>
        <v/>
      </c>
      <c r="G8108" s="2"/>
      <c r="H8108" s="2" t="str">
        <f>IFERROR(__xludf.DUMMYFUNCTION("IF(G8108&lt;&gt;"""", GOOGLETRANSLATE(G8108, ""en"", ""te""),"""")"),"")</f>
        <v/>
      </c>
      <c r="I8108" s="3"/>
    </row>
    <row r="8109" customHeight="1" spans="1:9">
      <c r="A8109" s="2"/>
      <c r="B8109" s="2" t="str">
        <f>IFERROR(__xludf.DUMMYFUNCTION("IF(A8109&lt;&gt;"""", GOOGLETRANSLATE(A8109, ""en"", ""te""),"""")"),"")</f>
        <v/>
      </c>
      <c r="C8109" s="2"/>
      <c r="D8109" s="2" t="str">
        <f>IFERROR(__xludf.DUMMYFUNCTION("IF(C8109&lt;&gt;"""", GOOGLETRANSLATE(C8109, ""en"", ""te""),"""")"),"")</f>
        <v/>
      </c>
      <c r="E8109" s="2"/>
      <c r="F8109" s="2" t="str">
        <f>IFERROR(__xludf.DUMMYFUNCTION("IF(E8109&lt;&gt;"""", GOOGLETRANSLATE(E8109, ""en"", ""te""),"""")"),"")</f>
        <v/>
      </c>
      <c r="G8109" s="2"/>
      <c r="H8109" s="2" t="str">
        <f>IFERROR(__xludf.DUMMYFUNCTION("IF(G8109&lt;&gt;"""", GOOGLETRANSLATE(G8109, ""en"", ""te""),"""")"),"")</f>
        <v/>
      </c>
      <c r="I8109" s="3"/>
    </row>
    <row r="8110" customHeight="1" spans="1:9">
      <c r="A8110" s="2"/>
      <c r="B8110" s="2" t="str">
        <f>IFERROR(__xludf.DUMMYFUNCTION("IF(A8110&lt;&gt;"""", GOOGLETRANSLATE(A8110, ""en"", ""te""),"""")"),"")</f>
        <v/>
      </c>
      <c r="C8110" s="2"/>
      <c r="D8110" s="2" t="str">
        <f>IFERROR(__xludf.DUMMYFUNCTION("IF(C8110&lt;&gt;"""", GOOGLETRANSLATE(C8110, ""en"", ""te""),"""")"),"")</f>
        <v/>
      </c>
      <c r="E8110" s="2"/>
      <c r="F8110" s="2" t="str">
        <f>IFERROR(__xludf.DUMMYFUNCTION("IF(E8110&lt;&gt;"""", GOOGLETRANSLATE(E8110, ""en"", ""te""),"""")"),"")</f>
        <v/>
      </c>
      <c r="G8110" s="2"/>
      <c r="H8110" s="2" t="str">
        <f>IFERROR(__xludf.DUMMYFUNCTION("IF(G8110&lt;&gt;"""", GOOGLETRANSLATE(G8110, ""en"", ""te""),"""")"),"")</f>
        <v/>
      </c>
      <c r="I8110" s="3"/>
    </row>
    <row r="8111" customHeight="1" spans="1:9">
      <c r="A8111" s="2" t="s">
        <v>942</v>
      </c>
      <c r="B8111" s="2" t="str">
        <f>IFERROR(__xludf.DUMMYFUNCTION("IF(A8111&lt;&gt;"""", GOOGLETRANSLATE(A8111, ""en"", ""te""),"""")"),"[ 'వరుస 2nd అత్యంత బాతులు (5)']")</f>
        <v>[ 'వరుస 2nd అత్యంత బాతులు (5)']</v>
      </c>
      <c r="C8111" s="2" t="s">
        <v>4519</v>
      </c>
      <c r="D8111" s="2" t="str">
        <f>IFERROR(__xludf.DUMMYFUNCTION("IF(C8111&lt;&gt;"""", GOOGLETRANSLATE(C8111, ""en"", ""te""),"""")"),"[ '39 వ అత్యధిక కెరీర్ లో బాతులు (17)', 'వరుస 2nd అత్యంత బాతులు (5)', 'ఐదు వికెట్ల లో-ఒక-ఇన్నింగ్స్ తీసుకోవాలని 45 వ పిన్న వయస్కుడిగా నిలిచాడు (20y 141d)']")</f>
        <v>[ '39 వ అత్యధిక కెరీర్ లో బాతులు (17)', 'వరుస 2nd అత్యంత బాతులు (5)', 'ఐదు వికెట్ల లో-ఒక-ఇన్నింగ్స్ తీసుకోవాలని 45 వ పిన్న వయస్కుడిగా నిలిచాడు (20y 141d)']</v>
      </c>
      <c r="E8111" s="2" t="s">
        <v>4520</v>
      </c>
      <c r="F8111" s="2" t="str">
        <f>IFERROR(__xludf.DUMMYFUNCTION("IF(E8111&lt;&gt;"""", GOOGLETRANSLATE(E8111, ""en"", ""te""),"""")"),"[ 'ఒక సిరీస్లో 6 వ అత్యంత బాతులు (3)', '1 వ వరుస బాతులు (4)']")</f>
        <v>[ 'ఒక సిరీస్లో 6 వ అత్యంత బాతులు (3)', '1 వ వరుస బాతులు (4)']</v>
      </c>
      <c r="G8111" s="2"/>
      <c r="H8111" s="2" t="str">
        <f>IFERROR(__xludf.DUMMYFUNCTION("IF(G8111&lt;&gt;"""", GOOGLETRANSLATE(G8111, ""en"", ""te""),"""")"),"")</f>
        <v/>
      </c>
      <c r="I8111" s="3"/>
    </row>
    <row r="8112" customHeight="1" spans="1:9">
      <c r="A8112" s="2"/>
      <c r="B8112" s="2" t="str">
        <f>IFERROR(__xludf.DUMMYFUNCTION("IF(A8112&lt;&gt;"""", GOOGLETRANSLATE(A8112, ""en"", ""te""),"""")"),"")</f>
        <v/>
      </c>
      <c r="C8112" s="2"/>
      <c r="D8112" s="2" t="str">
        <f>IFERROR(__xludf.DUMMYFUNCTION("IF(C8112&lt;&gt;"""", GOOGLETRANSLATE(C8112, ""en"", ""te""),"""")"),"")</f>
        <v/>
      </c>
      <c r="E8112" s="2"/>
      <c r="F8112" s="2" t="str">
        <f>IFERROR(__xludf.DUMMYFUNCTION("IF(E8112&lt;&gt;"""", GOOGLETRANSLATE(E8112, ""en"", ""te""),"""")"),"")</f>
        <v/>
      </c>
      <c r="G8112" s="2"/>
      <c r="H8112" s="2" t="str">
        <f>IFERROR(__xludf.DUMMYFUNCTION("IF(G8112&lt;&gt;"""", GOOGLETRANSLATE(G8112, ""en"", ""te""),"""")"),"")</f>
        <v/>
      </c>
      <c r="I8112" s="3"/>
    </row>
    <row r="8113" customHeight="1" spans="1:9">
      <c r="A8113" s="2"/>
      <c r="B8113" s="2" t="str">
        <f>IFERROR(__xludf.DUMMYFUNCTION("IF(A8113&lt;&gt;"""", GOOGLETRANSLATE(A8113, ""en"", ""te""),"""")"),"")</f>
        <v/>
      </c>
      <c r="C8113" s="2"/>
      <c r="D8113" s="2" t="str">
        <f>IFERROR(__xludf.DUMMYFUNCTION("IF(C8113&lt;&gt;"""", GOOGLETRANSLATE(C8113, ""en"", ""te""),"""")"),"")</f>
        <v/>
      </c>
      <c r="E8113" s="2" t="s">
        <v>2562</v>
      </c>
      <c r="F8113" s="2" t="str">
        <f>IFERROR(__xludf.DUMMYFUNCTION("IF(E8113&lt;&gt;"""", GOOGLETRANSLATE(E8113, ""en"", ""te""),"""")"),"[ '21 వ ఒక సిరీస్లో అత్యధిక స్టంపింగ్లు (4)']")</f>
        <v>[ '21 వ ఒక సిరీస్లో అత్యధిక స్టంపింగ్లు (4)']</v>
      </c>
      <c r="G8113" s="2"/>
      <c r="H8113" s="2" t="str">
        <f>IFERROR(__xludf.DUMMYFUNCTION("IF(G8113&lt;&gt;"""", GOOGLETRANSLATE(G8113, ""en"", ""te""),"""")"),"")</f>
        <v/>
      </c>
      <c r="I8113" s="3"/>
    </row>
    <row r="8114" customHeight="1" spans="1:9">
      <c r="A8114" s="2"/>
      <c r="B8114" s="2" t="str">
        <f>IFERROR(__xludf.DUMMYFUNCTION("IF(A8114&lt;&gt;"""", GOOGLETRANSLATE(A8114, ""en"", ""te""),"""")"),"")</f>
        <v/>
      </c>
      <c r="C8114" s="2"/>
      <c r="D8114" s="2" t="str">
        <f>IFERROR(__xludf.DUMMYFUNCTION("IF(C8114&lt;&gt;"""", GOOGLETRANSLATE(C8114, ""en"", ""te""),"""")"),"")</f>
        <v/>
      </c>
      <c r="E8114" s="2"/>
      <c r="F8114" s="2" t="str">
        <f>IFERROR(__xludf.DUMMYFUNCTION("IF(E8114&lt;&gt;"""", GOOGLETRANSLATE(E8114, ""en"", ""te""),"""")"),"")</f>
        <v/>
      </c>
      <c r="G8114" s="2"/>
      <c r="H8114" s="2" t="str">
        <f>IFERROR(__xludf.DUMMYFUNCTION("IF(G8114&lt;&gt;"""", GOOGLETRANSLATE(G8114, ""en"", ""te""),"""")"),"")</f>
        <v/>
      </c>
      <c r="I8114" s="3"/>
    </row>
    <row r="8115" customHeight="1" spans="1:9">
      <c r="A8115" s="2"/>
      <c r="B8115" s="2" t="str">
        <f>IFERROR(__xludf.DUMMYFUNCTION("IF(A8115&lt;&gt;"""", GOOGLETRANSLATE(A8115, ""en"", ""te""),"""")"),"")</f>
        <v/>
      </c>
      <c r="C8115" s="2"/>
      <c r="D8115" s="2" t="str">
        <f>IFERROR(__xludf.DUMMYFUNCTION("IF(C8115&lt;&gt;"""", GOOGLETRANSLATE(C8115, ""en"", ""te""),"""")"),"")</f>
        <v/>
      </c>
      <c r="E8115" s="2"/>
      <c r="F8115" s="2" t="str">
        <f>IFERROR(__xludf.DUMMYFUNCTION("IF(E8115&lt;&gt;"""", GOOGLETRANSLATE(E8115, ""en"", ""te""),"""")"),"")</f>
        <v/>
      </c>
      <c r="G8115" s="2"/>
      <c r="H8115" s="2" t="str">
        <f>IFERROR(__xludf.DUMMYFUNCTION("IF(G8115&lt;&gt;"""", GOOGLETRANSLATE(G8115, ""en"", ""te""),"""")"),"")</f>
        <v/>
      </c>
      <c r="I8115" s="3"/>
    </row>
    <row r="8116" customHeight="1" spans="1:9">
      <c r="A8116" s="2"/>
      <c r="B8116" s="2" t="str">
        <f>IFERROR(__xludf.DUMMYFUNCTION("IF(A8116&lt;&gt;"""", GOOGLETRANSLATE(A8116, ""en"", ""te""),"""")"),"")</f>
        <v/>
      </c>
      <c r="C8116" s="2"/>
      <c r="D8116" s="2" t="str">
        <f>IFERROR(__xludf.DUMMYFUNCTION("IF(C8116&lt;&gt;"""", GOOGLETRANSLATE(C8116, ""en"", ""te""),"""")"),"")</f>
        <v/>
      </c>
      <c r="E8116" s="2"/>
      <c r="F8116" s="2" t="str">
        <f>IFERROR(__xludf.DUMMYFUNCTION("IF(E8116&lt;&gt;"""", GOOGLETRANSLATE(E8116, ""en"", ""te""),"""")"),"")</f>
        <v/>
      </c>
      <c r="G8116" s="2"/>
      <c r="H8116" s="2" t="str">
        <f>IFERROR(__xludf.DUMMYFUNCTION("IF(G8116&lt;&gt;"""", GOOGLETRANSLATE(G8116, ""en"", ""te""),"""")"),"")</f>
        <v/>
      </c>
      <c r="I8116" s="3"/>
    </row>
    <row r="8117" customHeight="1" spans="1:9">
      <c r="A8117" s="2"/>
      <c r="B8117" s="2" t="str">
        <f>IFERROR(__xludf.DUMMYFUNCTION("IF(A8117&lt;&gt;"""", GOOGLETRANSLATE(A8117, ""en"", ""te""),"""")"),"")</f>
        <v/>
      </c>
      <c r="C8117" s="2"/>
      <c r="D8117" s="2" t="str">
        <f>IFERROR(__xludf.DUMMYFUNCTION("IF(C8117&lt;&gt;"""", GOOGLETRANSLATE(C8117, ""en"", ""te""),"""")"),"")</f>
        <v/>
      </c>
      <c r="E8117" s="2"/>
      <c r="F8117" s="2" t="str">
        <f>IFERROR(__xludf.DUMMYFUNCTION("IF(E8117&lt;&gt;"""", GOOGLETRANSLATE(E8117, ""en"", ""te""),"""")"),"")</f>
        <v/>
      </c>
      <c r="G8117" s="2" t="s">
        <v>4521</v>
      </c>
      <c r="H8117" s="2" t="str">
        <f>IFERROR(__xludf.DUMMYFUNCTION("IF(G8117&lt;&gt;"""", GOOGLETRANSLATE(G8117, ""en"", ""te""),"""")"),"[ 'మొదటి డక్ ముందు 49 వ అత్యంత ఇన్నింగ్స్ (15)', 'ఐదవ వికెట్ (79 *) 20 అత్యధిక భాగస్వామ్యం']")</f>
        <v>[ 'మొదటి డక్ ముందు 49 వ అత్యంత ఇన్నింగ్స్ (15)', 'ఐదవ వికెట్ (79 *) 20 అత్యధిక భాగస్వామ్యం']</v>
      </c>
      <c r="I8117" s="3"/>
    </row>
    <row r="8118" customHeight="1" spans="1:9">
      <c r="A8118" s="2"/>
      <c r="B8118" s="2" t="str">
        <f>IFERROR(__xludf.DUMMYFUNCTION("IF(A8118&lt;&gt;"""", GOOGLETRANSLATE(A8118, ""en"", ""te""),"""")"),"")</f>
        <v/>
      </c>
      <c r="C8118" s="2"/>
      <c r="D8118" s="2" t="str">
        <f>IFERROR(__xludf.DUMMYFUNCTION("IF(C8118&lt;&gt;"""", GOOGLETRANSLATE(C8118, ""en"", ""te""),"""")"),"")</f>
        <v/>
      </c>
      <c r="E8118" s="2"/>
      <c r="F8118" s="2" t="str">
        <f>IFERROR(__xludf.DUMMYFUNCTION("IF(E8118&lt;&gt;"""", GOOGLETRANSLATE(E8118, ""en"", ""te""),"""")"),"")</f>
        <v/>
      </c>
      <c r="G8118" s="2"/>
      <c r="H8118" s="2" t="str">
        <f>IFERROR(__xludf.DUMMYFUNCTION("IF(G8118&lt;&gt;"""", GOOGLETRANSLATE(G8118, ""en"", ""te""),"""")"),"")</f>
        <v/>
      </c>
      <c r="I8118" s="3"/>
    </row>
    <row r="8119" customHeight="1" spans="1:9">
      <c r="A8119" s="2" t="s">
        <v>4522</v>
      </c>
      <c r="B8119" s="2" t="str">
        <f>IFERROR(__xludf.DUMMYFUNCTION("IF(A8119&lt;&gt;"""", GOOGLETRANSLATE(A8119, ""en"", ""te""),"""")"),"[ 'ఒక కెప్టెన్తో ఒక ఇన్నింగ్స్ లో 1 వ బెస్ట్ ఫిగర్స్ (5)']")</f>
        <v>[ 'ఒక కెప్టెన్తో ఒక ఇన్నింగ్స్ లో 1 వ బెస్ట్ ఫిగర్స్ (5)']</v>
      </c>
      <c r="C8119" s="2"/>
      <c r="D8119" s="2" t="str">
        <f>IFERROR(__xludf.DUMMYFUNCTION("IF(C8119&lt;&gt;"""", GOOGLETRANSLATE(C8119, ""en"", ""te""),"""")"),"")</f>
        <v/>
      </c>
      <c r="E8119" s="2"/>
      <c r="F8119" s="2" t="str">
        <f>IFERROR(__xludf.DUMMYFUNCTION("IF(E8119&lt;&gt;"""", GOOGLETRANSLATE(E8119, ""en"", ""te""),"""")"),"")</f>
        <v/>
      </c>
      <c r="G8119" s="2" t="s">
        <v>4523</v>
      </c>
      <c r="H8119" s="2" t="str">
        <f>IFERROR(__xludf.DUMMYFUNCTION("IF(G8119&lt;&gt;"""", GOOGLETRANSLATE(G8119, ""en"", ""te""),"""")"),"[ '13 వ ఇన్నింగ్స్ లో బెస్ట్ ఫిగర్స్ (5/7)', '22 వ ఒక క్యాలెండర్ సంవత్సరంలో అత్యధిక వికెట్లు (20)', ఒక సింగిల్ '7th అత్యుత్తమ బౌలింగ్ ఇన్నింగ్స్ లో విశ్లేషించడం (5/7)', '19 వ అత్యధిక వికెట్లు భూమి (10) ',' ఒక కెప్టెన్ (5) ',' 20 వ అత్యధిక వికెట్లు తీసుకున"&amp;"్న క్యాచ్ మరియు బౌల్డ్ (3) ',' ఆరవ వికెట్కు 30 వ అత్యధిక భాగస్వామ్యం (44) ',' 28th చాలా ద్వారా ఒక ఇన్నింగ్స్ లో 1 వ బెస్ట్ ఫిగర్స్ కెప్టెన్ (17) గా పేర్కొంటే ']")</f>
        <v>[ '13 వ ఇన్నింగ్స్ లో బెస్ట్ ఫిగర్స్ (5/7)', '22 వ ఒక క్యాలెండర్ సంవత్సరంలో అత్యధిక వికెట్లు (20)', ఒక సింగిల్ '7th అత్యుత్తమ బౌలింగ్ ఇన్నింగ్స్ లో విశ్లేషించడం (5/7)', '19 వ అత్యధిక వికెట్లు భూమి (10) ',' ఒక కెప్టెన్ (5) ',' 20 వ అత్యధిక వికెట్లు తీసుకున్న క్యాచ్ మరియు బౌల్డ్ (3) ',' ఆరవ వికెట్కు 30 వ అత్యధిక భాగస్వామ్యం (44) ',' 28th చాలా ద్వారా ఒక ఇన్నింగ్స్ లో 1 వ బెస్ట్ ఫిగర్స్ కెప్టెన్ (17) గా పేర్కొంటే ']</v>
      </c>
      <c r="I8119" s="3"/>
    </row>
    <row r="8120" customHeight="1" spans="1:9">
      <c r="A8120" s="2"/>
      <c r="B8120" s="2" t="str">
        <f>IFERROR(__xludf.DUMMYFUNCTION("IF(A8120&lt;&gt;"""", GOOGLETRANSLATE(A8120, ""en"", ""te""),"""")"),"")</f>
        <v/>
      </c>
      <c r="C8120" s="2"/>
      <c r="D8120" s="2" t="str">
        <f>IFERROR(__xludf.DUMMYFUNCTION("IF(C8120&lt;&gt;"""", GOOGLETRANSLATE(C8120, ""en"", ""te""),"""")"),"")</f>
        <v/>
      </c>
      <c r="E8120" s="2"/>
      <c r="F8120" s="2" t="str">
        <f>IFERROR(__xludf.DUMMYFUNCTION("IF(E8120&lt;&gt;"""", GOOGLETRANSLATE(E8120, ""en"", ""te""),"""")"),"")</f>
        <v/>
      </c>
      <c r="G8120" s="2"/>
      <c r="H8120" s="2" t="str">
        <f>IFERROR(__xludf.DUMMYFUNCTION("IF(G8120&lt;&gt;"""", GOOGLETRANSLATE(G8120, ""en"", ""te""),"""")"),"")</f>
        <v/>
      </c>
      <c r="I8120" s="3"/>
    </row>
    <row r="8121" customHeight="1" spans="1:9">
      <c r="A8121" s="2" t="s">
        <v>4524</v>
      </c>
      <c r="B8121" s="2" t="str">
        <f>IFERROR(__xludf.DUMMYFUNCTION("IF(A8121&lt;&gt;"""", GOOGLETRANSLATE(A8121, ""en"", ""te""),"""")"),"[ 'ఏడవ వికెట్కు 4 వ అత్యధిక భాగస్వామ్యం (77)']")</f>
        <v>[ 'ఏడవ వికెట్కు 4 వ అత్యధిక భాగస్వామ్యం (77)']</v>
      </c>
      <c r="C8121" s="2"/>
      <c r="D8121" s="2" t="str">
        <f>IFERROR(__xludf.DUMMYFUNCTION("IF(C8121&lt;&gt;"""", GOOGLETRANSLATE(C8121, ""en"", ""te""),"""")"),"")</f>
        <v/>
      </c>
      <c r="E8121" s="2"/>
      <c r="F8121" s="2" t="str">
        <f>IFERROR(__xludf.DUMMYFUNCTION("IF(E8121&lt;&gt;"""", GOOGLETRANSLATE(E8121, ""en"", ""te""),"""")"),"")</f>
        <v/>
      </c>
      <c r="G8121" s="2" t="s">
        <v>4525</v>
      </c>
      <c r="H8121" s="2" t="str">
        <f>IFERROR(__xludf.DUMMYFUNCTION("IF(G8121&lt;&gt;"""", GOOGLETRANSLATE(G8121, ""en"", ""te""),"""")"),"[ '20 వ అత్యుత్తమ ఇన్నింగ్స్ లో విశ్లేషణలు బౌలింగ్ (2/4)', 'ఇన్నింగ్స్ లో 15 వ అత్యధిక క్యాచ్లు (3)', 'ఏడవ వికెట్ (77) 4 వ అత్యధిక భాగస్వామ్యం']")</f>
        <v>[ '20 వ అత్యుత్తమ ఇన్నింగ్స్ లో విశ్లేషణలు బౌలింగ్ (2/4)', 'ఇన్నింగ్స్ లో 15 వ అత్యధిక క్యాచ్లు (3)', 'ఏడవ వికెట్ (77) 4 వ అత్యధిక భాగస్వామ్యం']</v>
      </c>
      <c r="I8121" s="3"/>
    </row>
    <row r="8122" customHeight="1" spans="1:9">
      <c r="A8122" s="2"/>
      <c r="B8122" s="2" t="str">
        <f>IFERROR(__xludf.DUMMYFUNCTION("IF(A8122&lt;&gt;"""", GOOGLETRANSLATE(A8122, ""en"", ""te""),"""")"),"")</f>
        <v/>
      </c>
      <c r="C8122" s="2"/>
      <c r="D8122" s="2" t="str">
        <f>IFERROR(__xludf.DUMMYFUNCTION("IF(C8122&lt;&gt;"""", GOOGLETRANSLATE(C8122, ""en"", ""te""),"""")"),"")</f>
        <v/>
      </c>
      <c r="E8122" s="2"/>
      <c r="F8122" s="2" t="str">
        <f>IFERROR(__xludf.DUMMYFUNCTION("IF(E8122&lt;&gt;"""", GOOGLETRANSLATE(E8122, ""en"", ""te""),"""")"),"")</f>
        <v/>
      </c>
      <c r="G8122" s="2"/>
      <c r="H8122" s="2" t="str">
        <f>IFERROR(__xludf.DUMMYFUNCTION("IF(G8122&lt;&gt;"""", GOOGLETRANSLATE(G8122, ""en"", ""te""),"""")"),"")</f>
        <v/>
      </c>
      <c r="I8122" s="3"/>
    </row>
    <row r="8123" customHeight="1" spans="1:9">
      <c r="A8123" s="2" t="s">
        <v>4526</v>
      </c>
      <c r="B8123" s="2" t="str">
        <f>IFERROR(__xludf.DUMMYFUNCTION("IF(A8123&lt;&gt;"""", GOOGLETRANSLATE(A8123, ""en"", ""te""),"""")"),"[ 'ఇన్నింగ్స్ లో 1 వ అత్యధిక వికెట్లు (5)', '1 వ ఇన్నింగ్స్ లో అత్యధిక క్యాచ్లు (5)']")</f>
        <v>[ 'ఇన్నింగ్స్ లో 1 వ అత్యధిక వికెట్లు (5)', '1 వ ఇన్నింగ్స్ లో అత్యధిక క్యాచ్లు (5)']</v>
      </c>
      <c r="C8123" s="2"/>
      <c r="D8123" s="2" t="str">
        <f>IFERROR(__xludf.DUMMYFUNCTION("IF(C8123&lt;&gt;"""", GOOGLETRANSLATE(C8123, ""en"", ""te""),"""")"),"")</f>
        <v/>
      </c>
      <c r="E8123" s="2" t="s">
        <v>4527</v>
      </c>
      <c r="F8123" s="2" t="str">
        <f>IFERROR(__xludf.DUMMYFUNCTION("IF(E8123&lt;&gt;"""", GOOGLETRANSLATE(E8123, ""en"", ""te""),"""")"),"[ 'తొమ్మిదవ వికెట్కు 40 వ అత్యధిక భాగస్వామ్యం (69)']")</f>
        <v>[ 'తొమ్మిదవ వికెట్కు 40 వ అత్యధిక భాగస్వామ్యం (69)']</v>
      </c>
      <c r="G8123" s="2" t="s">
        <v>4528</v>
      </c>
      <c r="H8123" s="2" t="str">
        <f>IFERROR(__xludf.DUMMYFUNCTION("IF(G8123&lt;&gt;"""", GOOGLETRANSLATE(G8123, ""en"", ""te""),"""")"),"[ 'ఇన్నింగ్స్ లో 1 వ అత్యధిక వికెట్లు (5)', '26th కెరీర్లో అత్యధిక క్యాచ్లు (15)', '1 వ ఇన్నింగ్స్ లో అత్యధిక క్యాచ్లు (5)', '18 వ అత్యంత ఇన్నింగ్స్ లో సాధించిన బైస్ (7)']")</f>
        <v>[ 'ఇన్నింగ్స్ లో 1 వ అత్యధిక వికెట్లు (5)', '26th కెరీర్లో అత్యధిక క్యాచ్లు (15)', '1 వ ఇన్నింగ్స్ లో అత్యధిక క్యాచ్లు (5)', '18 వ అత్యంత ఇన్నింగ్స్ లో సాధించిన బైస్ (7)']</v>
      </c>
      <c r="I8123" s="3"/>
    </row>
    <row r="8124" customHeight="1" spans="1:9">
      <c r="A8124" s="2"/>
      <c r="B8124" s="2" t="str">
        <f>IFERROR(__xludf.DUMMYFUNCTION("IF(A8124&lt;&gt;"""", GOOGLETRANSLATE(A8124, ""en"", ""te""),"""")"),"")</f>
        <v/>
      </c>
      <c r="C8124" s="2"/>
      <c r="D8124" s="2" t="str">
        <f>IFERROR(__xludf.DUMMYFUNCTION("IF(C8124&lt;&gt;"""", GOOGLETRANSLATE(C8124, ""en"", ""te""),"""")"),"")</f>
        <v/>
      </c>
      <c r="E8124" s="2"/>
      <c r="F8124" s="2" t="str">
        <f>IFERROR(__xludf.DUMMYFUNCTION("IF(E8124&lt;&gt;"""", GOOGLETRANSLATE(E8124, ""en"", ""te""),"""")"),"")</f>
        <v/>
      </c>
      <c r="G8124" s="2"/>
      <c r="H8124" s="2" t="str">
        <f>IFERROR(__xludf.DUMMYFUNCTION("IF(G8124&lt;&gt;"""", GOOGLETRANSLATE(G8124, ""en"", ""te""),"""")"),"")</f>
        <v/>
      </c>
      <c r="I8124" s="3"/>
    </row>
    <row r="8125" customHeight="1" spans="1:9">
      <c r="A8125" s="2"/>
      <c r="B8125" s="2" t="str">
        <f>IFERROR(__xludf.DUMMYFUNCTION("IF(A8125&lt;&gt;"""", GOOGLETRANSLATE(A8125, ""en"", ""te""),"""")"),"")</f>
        <v/>
      </c>
      <c r="C8125" s="2"/>
      <c r="D8125" s="2" t="str">
        <f>IFERROR(__xludf.DUMMYFUNCTION("IF(C8125&lt;&gt;"""", GOOGLETRANSLATE(C8125, ""en"", ""te""),"""")"),"")</f>
        <v/>
      </c>
      <c r="E8125" s="2"/>
      <c r="F8125" s="2" t="str">
        <f>IFERROR(__xludf.DUMMYFUNCTION("IF(E8125&lt;&gt;"""", GOOGLETRANSLATE(E8125, ""en"", ""te""),"""")"),"")</f>
        <v/>
      </c>
      <c r="G8125" s="2"/>
      <c r="H8125" s="2" t="str">
        <f>IFERROR(__xludf.DUMMYFUNCTION("IF(G8125&lt;&gt;"""", GOOGLETRANSLATE(G8125, ""en"", ""te""),"""")"),"")</f>
        <v/>
      </c>
      <c r="I8125" s="3"/>
    </row>
    <row r="8126" customHeight="1" spans="1:9">
      <c r="A8126" s="2"/>
      <c r="B8126" s="2" t="str">
        <f>IFERROR(__xludf.DUMMYFUNCTION("IF(A8126&lt;&gt;"""", GOOGLETRANSLATE(A8126, ""en"", ""te""),"""")"),"")</f>
        <v/>
      </c>
      <c r="C8126" s="2"/>
      <c r="D8126" s="2" t="str">
        <f>IFERROR(__xludf.DUMMYFUNCTION("IF(C8126&lt;&gt;"""", GOOGLETRANSLATE(C8126, ""en"", ""te""),"""")"),"")</f>
        <v/>
      </c>
      <c r="E8126" s="2"/>
      <c r="F8126" s="2" t="str">
        <f>IFERROR(__xludf.DUMMYFUNCTION("IF(E8126&lt;&gt;"""", GOOGLETRANSLATE(E8126, ""en"", ""te""),"""")"),"")</f>
        <v/>
      </c>
      <c r="G8126" s="2"/>
      <c r="H8126" s="2" t="str">
        <f>IFERROR(__xludf.DUMMYFUNCTION("IF(G8126&lt;&gt;"""", GOOGLETRANSLATE(G8126, ""en"", ""te""),"""")"),"")</f>
        <v/>
      </c>
      <c r="I8126" s="3"/>
    </row>
    <row r="8127" customHeight="1" spans="1:9">
      <c r="A8127" s="2"/>
      <c r="B8127" s="2" t="str">
        <f>IFERROR(__xludf.DUMMYFUNCTION("IF(A8127&lt;&gt;"""", GOOGLETRANSLATE(A8127, ""en"", ""te""),"""")"),"")</f>
        <v/>
      </c>
      <c r="C8127" s="2"/>
      <c r="D8127" s="2" t="str">
        <f>IFERROR(__xludf.DUMMYFUNCTION("IF(C8127&lt;&gt;"""", GOOGLETRANSLATE(C8127, ""en"", ""te""),"""")"),"")</f>
        <v/>
      </c>
      <c r="E8127" s="2"/>
      <c r="F8127" s="2" t="str">
        <f>IFERROR(__xludf.DUMMYFUNCTION("IF(E8127&lt;&gt;"""", GOOGLETRANSLATE(E8127, ""en"", ""te""),"""")"),"")</f>
        <v/>
      </c>
      <c r="G8127" s="2"/>
      <c r="H8127" s="2" t="str">
        <f>IFERROR(__xludf.DUMMYFUNCTION("IF(G8127&lt;&gt;"""", GOOGLETRANSLATE(G8127, ""en"", ""te""),"""")"),"")</f>
        <v/>
      </c>
      <c r="I8127" s="3"/>
    </row>
    <row r="8128" customHeight="1" spans="1:9">
      <c r="A8128" s="2"/>
      <c r="B8128" s="2" t="str">
        <f>IFERROR(__xludf.DUMMYFUNCTION("IF(A8128&lt;&gt;"""", GOOGLETRANSLATE(A8128, ""en"", ""te""),"""")"),"")</f>
        <v/>
      </c>
      <c r="C8128" s="2"/>
      <c r="D8128" s="2" t="str">
        <f>IFERROR(__xludf.DUMMYFUNCTION("IF(C8128&lt;&gt;"""", GOOGLETRANSLATE(C8128, ""en"", ""te""),"""")"),"")</f>
        <v/>
      </c>
      <c r="E8128" s="2"/>
      <c r="F8128" s="2" t="str">
        <f>IFERROR(__xludf.DUMMYFUNCTION("IF(E8128&lt;&gt;"""", GOOGLETRANSLATE(E8128, ""en"", ""te""),"""")"),"")</f>
        <v/>
      </c>
      <c r="G8128" s="2"/>
      <c r="H8128" s="2" t="str">
        <f>IFERROR(__xludf.DUMMYFUNCTION("IF(G8128&lt;&gt;"""", GOOGLETRANSLATE(G8128, ""en"", ""te""),"""")"),"")</f>
        <v/>
      </c>
      <c r="I8128" s="3"/>
    </row>
    <row r="8129" customHeight="1" spans="1:9">
      <c r="A8129" s="2"/>
      <c r="B8129" s="2" t="str">
        <f>IFERROR(__xludf.DUMMYFUNCTION("IF(A8129&lt;&gt;"""", GOOGLETRANSLATE(A8129, ""en"", ""te""),"""")"),"")</f>
        <v/>
      </c>
      <c r="C8129" s="2"/>
      <c r="D8129" s="2" t="str">
        <f>IFERROR(__xludf.DUMMYFUNCTION("IF(C8129&lt;&gt;"""", GOOGLETRANSLATE(C8129, ""en"", ""te""),"""")"),"")</f>
        <v/>
      </c>
      <c r="E8129" s="2"/>
      <c r="F8129" s="2" t="str">
        <f>IFERROR(__xludf.DUMMYFUNCTION("IF(E8129&lt;&gt;"""", GOOGLETRANSLATE(E8129, ""en"", ""te""),"""")"),"")</f>
        <v/>
      </c>
      <c r="G8129" s="2"/>
      <c r="H8129" s="2" t="str">
        <f>IFERROR(__xludf.DUMMYFUNCTION("IF(G8129&lt;&gt;"""", GOOGLETRANSLATE(G8129, ""en"", ""te""),"""")"),"")</f>
        <v/>
      </c>
      <c r="I8129" s="3"/>
    </row>
    <row r="8130" customHeight="1" spans="1:9">
      <c r="A8130" s="2" t="s">
        <v>4529</v>
      </c>
      <c r="B8130" s="2" t="str">
        <f>IFERROR(__xludf.DUMMYFUNCTION("IF(A8130&lt;&gt;"""", GOOGLETRANSLATE(A8130, ""en"", ""te""),"""")"),"[ 'ఇన్నింగ్స్ లో 5 వ అత్యధిక వికెట్లు (6)' 'ఇన్నింగ్స్ లో 5 వ అత్యధిక క్యాచ్లు (6)', వరుస, '7 వ అత్యధిక వికెట్లు' రెండు దేశాలకు ప్రాతినిధ్యం '' మొదటి డక్ (51) ముందు 6 వ అత్యంత ఇన్నింగ్స్, (20) ',' వరుస 5 వ అత్యధిక క్యాచ్లు (20) ',' ఎ ఏబది ఇన్నింగ్స్ లో ఐద"&amp;"ు తొలగింపులకు ',' మొదటి డక్ (71) ముందు రెండు దేశాల ',' 4 వ అత్యంత ఇన్నింగ్స్ టోర్నిలో ']")</f>
        <v>[ 'ఇన్నింగ్స్ లో 5 వ అత్యధిక వికెట్లు (6)' 'ఇన్నింగ్స్ లో 5 వ అత్యధిక క్యాచ్లు (6)', వరుస, '7 వ అత్యధిక వికెట్లు' రెండు దేశాలకు ప్రాతినిధ్యం '' మొదటి డక్ (51) ముందు 6 వ అత్యంత ఇన్నింగ్స్, (20) ',' వరుస 5 వ అత్యధిక క్యాచ్లు (20) ',' ఎ ఏబది ఇన్నింగ్స్ లో ఐదు తొలగింపులకు ',' మొదటి డక్ (71) ముందు రెండు దేశాల ',' 4 వ అత్యంత ఇన్నింగ్స్ టోర్నిలో ']</v>
      </c>
      <c r="C8130" s="2" t="s">
        <v>4530</v>
      </c>
      <c r="D8130" s="2" t="str">
        <f>IFERROR(__xludf.DUMMYFUNCTION("IF(C8130&lt;&gt;"""", GOOGLETRANSLATE(C8130, ""en"", ""te""),"""")"),"[ '12 వ అత్యధిక ఇన్నింగ్స్ లో సమ్మె రేటు (225.00)', 'మొదటి డక్ ముందు 6 వ అత్యంత ఇన్నింగ్స్ (51)', '37 వ అతి తక్కువ బాతులు కెరీర్ లో (26.5)', '36 వ అత్యధిక వికెట్లు కెరీర్లో (133)', '5 వ ఒక ఇన్నింగ్స్ లో అత్యధిక వికెట్లు (6) ',' ఒక మ్యాచ్లో 8 వ అత్యధిక విక"&amp;"ెట్లు (9) ',' 32 వ కెరీర్ లో అత్యధిక క్యాచ్లు (128) ',' 5 వ ఇన్నింగ్స్ లో అత్యధిక క్యాచ్లు (6) ',' 8 వ అత్యధిక క్యాచ్లు లో ఒక మ్యాచ్ (9) ']")</f>
        <v>[ '12 వ అత్యధిక ఇన్నింగ్స్ లో సమ్మె రేటు (225.00)', 'మొదటి డక్ ముందు 6 వ అత్యంత ఇన్నింగ్స్ (51)', '37 వ అతి తక్కువ బాతులు కెరీర్ లో (26.5)', '36 వ అత్యధిక వికెట్లు కెరీర్లో (133)', '5 వ ఒక ఇన్నింగ్స్ లో అత్యధిక వికెట్లు (6) ',' ఒక మ్యాచ్లో 8 వ అత్యధిక వికెట్లు (9) ',' 32 వ కెరీర్ లో అత్యధిక క్యాచ్లు (128) ',' 5 వ ఇన్నింగ్స్ లో అత్యధిక క్యాచ్లు (6) ',' 8 వ అత్యధిక క్యాచ్లు లో ఒక మ్యాచ్ (9) ']</v>
      </c>
      <c r="E8130" s="2" t="s">
        <v>4531</v>
      </c>
      <c r="F8130" s="2" t="str">
        <f>IFERROR(__xludf.DUMMYFUNCTION("IF(E8130&lt;&gt;"""", GOOGLETRANSLATE(E8130, ""en"", ""te""),"""")"),"[ 'ప్రదర్శనల మధ్య 14 వ లాంగెస్ట్ వ్యవధిలో (8y 130d)', 'కెరీర్లో 40 వ అత్యధిక వికెట్లు (72)', 'ఇన్నింగ్స్ లో 16 వ అత్యధిక వికెట్లు (5)', '7th' మొదటి డక్ (30) ముందు 40 వ అత్యంత ఇన్నింగ్స్ ఒక సిరీస్లో అత్యధిక వికెట్లు (20) ',' 38 వ కెరీర్ లో అత్యధిక క్యాచ్లు"&amp;" (68) ',' 11 వ ఇన్నింగ్స్ లో అత్యధిక క్యాచ్లు (5) ',' 5 వ అత్యధిక క్యాచ్లు వరుస (20) ']")</f>
        <v>[ 'ప్రదర్శనల మధ్య 14 వ లాంగెస్ట్ వ్యవధిలో (8y 130d)', 'కెరీర్లో 40 వ అత్యధిక వికెట్లు (72)', 'ఇన్నింగ్స్ లో 16 వ అత్యధిక వికెట్లు (5)', '7th' మొదటి డక్ (30) ముందు 40 వ అత్యంత ఇన్నింగ్స్ ఒక సిరీస్లో అత్యధిక వికెట్లు (20) ',' 38 వ కెరీర్ లో అత్యధిక క్యాచ్లు (68) ',' 11 వ ఇన్నింగ్స్ లో అత్యధిక క్యాచ్లు (5) ',' 5 వ అత్యధిక క్యాచ్లు వరుస (20) ']</v>
      </c>
      <c r="G8130" s="2"/>
      <c r="H8130" s="2" t="str">
        <f>IFERROR(__xludf.DUMMYFUNCTION("IF(G8130&lt;&gt;"""", GOOGLETRANSLATE(G8130, ""en"", ""te""),"""")"),"")</f>
        <v/>
      </c>
      <c r="I8130" s="3"/>
    </row>
    <row r="8131" customHeight="1" spans="1:9">
      <c r="A8131" s="2"/>
      <c r="B8131" s="2" t="str">
        <f>IFERROR(__xludf.DUMMYFUNCTION("IF(A8131&lt;&gt;"""", GOOGLETRANSLATE(A8131, ""en"", ""te""),"""")"),"")</f>
        <v/>
      </c>
      <c r="C8131" s="2"/>
      <c r="D8131" s="2" t="str">
        <f>IFERROR(__xludf.DUMMYFUNCTION("IF(C8131&lt;&gt;"""", GOOGLETRANSLATE(C8131, ""en"", ""te""),"""")"),"")</f>
        <v/>
      </c>
      <c r="E8131" s="2"/>
      <c r="F8131" s="2" t="str">
        <f>IFERROR(__xludf.DUMMYFUNCTION("IF(E8131&lt;&gt;"""", GOOGLETRANSLATE(E8131, ""en"", ""te""),"""")"),"")</f>
        <v/>
      </c>
      <c r="G8131" s="2" t="s">
        <v>4532</v>
      </c>
      <c r="H8131" s="2" t="str">
        <f>IFERROR(__xludf.DUMMYFUNCTION("IF(G8131&lt;&gt;"""", GOOGLETRANSLATE(G8131, ""en"", ""te""),"""")"),"[ 'మొదటి డక్ ముందు 37 వ అత్యంత ఇన్నింగ్స్ (13)', 'ఒక క్యాలెండర్ సంవత్సరంలో 37 వ అత్యధిక వికెట్లు (19)', '11 వ అత్యధిక వికెట్లు తీసుకున్న ఎల్బిడబ్ల్యు (10)', 'రెండవ వికెట్కు 49 వ అత్యధిక భాగస్వామ్యం (84)']")</f>
        <v>[ 'మొదటి డక్ ముందు 37 వ అత్యంత ఇన్నింగ్స్ (13)', 'ఒక క్యాలెండర్ సంవత్సరంలో 37 వ అత్యధిక వికెట్లు (19)', '11 వ అత్యధిక వికెట్లు తీసుకున్న ఎల్బిడబ్ల్యు (10)', 'రెండవ వికెట్కు 49 వ అత్యధిక భాగస్వామ్యం (84)']</v>
      </c>
      <c r="I8131" s="3"/>
    </row>
    <row r="8132" customHeight="1" spans="1:9">
      <c r="A8132" s="2"/>
      <c r="B8132" s="2" t="str">
        <f>IFERROR(__xludf.DUMMYFUNCTION("IF(A8132&lt;&gt;"""", GOOGLETRANSLATE(A8132, ""en"", ""te""),"""")"),"")</f>
        <v/>
      </c>
      <c r="C8132" s="2"/>
      <c r="D8132" s="2" t="str">
        <f>IFERROR(__xludf.DUMMYFUNCTION("IF(C8132&lt;&gt;"""", GOOGLETRANSLATE(C8132, ""en"", ""te""),"""")"),"")</f>
        <v/>
      </c>
      <c r="E8132" s="2"/>
      <c r="F8132" s="2" t="str">
        <f>IFERROR(__xludf.DUMMYFUNCTION("IF(E8132&lt;&gt;"""", GOOGLETRANSLATE(E8132, ""en"", ""te""),"""")"),"")</f>
        <v/>
      </c>
      <c r="G8132" s="2"/>
      <c r="H8132" s="2" t="str">
        <f>IFERROR(__xludf.DUMMYFUNCTION("IF(G8132&lt;&gt;"""", GOOGLETRANSLATE(G8132, ""en"", ""te""),"""")"),"")</f>
        <v/>
      </c>
      <c r="I8132" s="3"/>
    </row>
    <row r="8133" customHeight="1" spans="1:9">
      <c r="A8133" s="2"/>
      <c r="B8133" s="2" t="str">
        <f>IFERROR(__xludf.DUMMYFUNCTION("IF(A8133&lt;&gt;"""", GOOGLETRANSLATE(A8133, ""en"", ""te""),"""")"),"")</f>
        <v/>
      </c>
      <c r="C8133" s="2"/>
      <c r="D8133" s="2" t="str">
        <f>IFERROR(__xludf.DUMMYFUNCTION("IF(C8133&lt;&gt;"""", GOOGLETRANSLATE(C8133, ""en"", ""te""),"""")"),"")</f>
        <v/>
      </c>
      <c r="E8133" s="2"/>
      <c r="F8133" s="2" t="str">
        <f>IFERROR(__xludf.DUMMYFUNCTION("IF(E8133&lt;&gt;"""", GOOGLETRANSLATE(E8133, ""en"", ""te""),"""")"),"")</f>
        <v/>
      </c>
      <c r="G8133" s="2" t="s">
        <v>4533</v>
      </c>
      <c r="H8133" s="2" t="str">
        <f>IFERROR(__xludf.DUMMYFUNCTION("IF(G8133&lt;&gt;"""", GOOGLETRANSLATE(G8133, ""en"", ""te""),"""")"),"[ 'పదవ వికెట్కు 24 అత్యధిక భాగస్వామ్యం (20)']")</f>
        <v>[ 'పదవ వికెట్కు 24 అత్యధిక భాగస్వామ్యం (20)']</v>
      </c>
      <c r="I8133" s="3"/>
    </row>
    <row r="8134" customHeight="1" spans="1:9">
      <c r="A8134" s="2"/>
      <c r="B8134" s="2" t="str">
        <f>IFERROR(__xludf.DUMMYFUNCTION("IF(A8134&lt;&gt;"""", GOOGLETRANSLATE(A8134, ""en"", ""te""),"""")"),"")</f>
        <v/>
      </c>
      <c r="C8134" s="2"/>
      <c r="D8134" s="2" t="str">
        <f>IFERROR(__xludf.DUMMYFUNCTION("IF(C8134&lt;&gt;"""", GOOGLETRANSLATE(C8134, ""en"", ""te""),"""")"),"")</f>
        <v/>
      </c>
      <c r="E8134" s="2"/>
      <c r="F8134" s="2" t="str">
        <f>IFERROR(__xludf.DUMMYFUNCTION("IF(E8134&lt;&gt;"""", GOOGLETRANSLATE(E8134, ""en"", ""te""),"""")"),"")</f>
        <v/>
      </c>
      <c r="G8134" s="2"/>
      <c r="H8134" s="2" t="str">
        <f>IFERROR(__xludf.DUMMYFUNCTION("IF(G8134&lt;&gt;"""", GOOGLETRANSLATE(G8134, ""en"", ""te""),"""")"),"")</f>
        <v/>
      </c>
      <c r="I8134" s="3"/>
    </row>
    <row r="8135" customHeight="1" spans="1:9">
      <c r="A8135" s="2"/>
      <c r="B8135" s="2" t="str">
        <f>IFERROR(__xludf.DUMMYFUNCTION("IF(A8135&lt;&gt;"""", GOOGLETRANSLATE(A8135, ""en"", ""te""),"""")"),"")</f>
        <v/>
      </c>
      <c r="C8135" s="2"/>
      <c r="D8135" s="2" t="str">
        <f>IFERROR(__xludf.DUMMYFUNCTION("IF(C8135&lt;&gt;"""", GOOGLETRANSLATE(C8135, ""en"", ""te""),"""")"),"")</f>
        <v/>
      </c>
      <c r="E8135" s="2" t="s">
        <v>4534</v>
      </c>
      <c r="F8135" s="2" t="str">
        <f>IFERROR(__xludf.DUMMYFUNCTION("IF(E8135&lt;&gt;"""", GOOGLETRANSLATE(E8135, ""en"", ""te""),"""")"),"[ '12 వ ఇన్నింగ్స్ లో అత్యధిక పరుగులు (బ్యాటింగ్ స్థానంలో ప్రకారం) (46)']")</f>
        <v>[ '12 వ ఇన్నింగ్స్ లో అత్యధిక పరుగులు (బ్యాటింగ్ స్థానంలో ప్రకారం) (46)']</v>
      </c>
      <c r="G8135" s="2"/>
      <c r="H8135" s="2" t="str">
        <f>IFERROR(__xludf.DUMMYFUNCTION("IF(G8135&lt;&gt;"""", GOOGLETRANSLATE(G8135, ""en"", ""te""),"""")"),"")</f>
        <v/>
      </c>
      <c r="I8135" s="3"/>
    </row>
    <row r="8136" customHeight="1" spans="1:9">
      <c r="A8136" s="2"/>
      <c r="B8136" s="2" t="str">
        <f>IFERROR(__xludf.DUMMYFUNCTION("IF(A8136&lt;&gt;"""", GOOGLETRANSLATE(A8136, ""en"", ""te""),"""")"),"")</f>
        <v/>
      </c>
      <c r="C8136" s="2"/>
      <c r="D8136" s="2" t="str">
        <f>IFERROR(__xludf.DUMMYFUNCTION("IF(C8136&lt;&gt;"""", GOOGLETRANSLATE(C8136, ""en"", ""te""),"""")"),"")</f>
        <v/>
      </c>
      <c r="E8136" s="2"/>
      <c r="F8136" s="2" t="str">
        <f>IFERROR(__xludf.DUMMYFUNCTION("IF(E8136&lt;&gt;"""", GOOGLETRANSLATE(E8136, ""en"", ""te""),"""")"),"")</f>
        <v/>
      </c>
      <c r="G8136" s="2"/>
      <c r="H8136" s="2" t="str">
        <f>IFERROR(__xludf.DUMMYFUNCTION("IF(G8136&lt;&gt;"""", GOOGLETRANSLATE(G8136, ""en"", ""te""),"""")"),"")</f>
        <v/>
      </c>
      <c r="I8136" s="3"/>
    </row>
    <row r="8137" customHeight="1" spans="1:9">
      <c r="A8137" s="2"/>
      <c r="B8137" s="2" t="str">
        <f>IFERROR(__xludf.DUMMYFUNCTION("IF(A8137&lt;&gt;"""", GOOGLETRANSLATE(A8137, ""en"", ""te""),"""")"),"")</f>
        <v/>
      </c>
      <c r="C8137" s="2"/>
      <c r="D8137" s="2" t="str">
        <f>IFERROR(__xludf.DUMMYFUNCTION("IF(C8137&lt;&gt;"""", GOOGLETRANSLATE(C8137, ""en"", ""te""),"""")"),"")</f>
        <v/>
      </c>
      <c r="E8137" s="2"/>
      <c r="F8137" s="2" t="str">
        <f>IFERROR(__xludf.DUMMYFUNCTION("IF(E8137&lt;&gt;"""", GOOGLETRANSLATE(E8137, ""en"", ""te""),"""")"),"")</f>
        <v/>
      </c>
      <c r="G8137" s="2"/>
      <c r="H8137" s="2" t="str">
        <f>IFERROR(__xludf.DUMMYFUNCTION("IF(G8137&lt;&gt;"""", GOOGLETRANSLATE(G8137, ""en"", ""te""),"""")"),"")</f>
        <v/>
      </c>
      <c r="I8137" s="3"/>
    </row>
    <row r="8138" customHeight="1" spans="1:9">
      <c r="A8138" s="2" t="s">
        <v>4535</v>
      </c>
      <c r="B8138" s="2" t="str">
        <f>IFERROR(__xludf.DUMMYFUNCTION("IF(A8138&lt;&gt;"""", GOOGLETRANSLATE(A8138, ""en"", ""te""),"""")"),"[ '6 వ అత్యుత్తమ బౌలింగ్ ఇన్నింగ్స్ లో విశ్లేషించడం (4/4)', '4 వ అత్యంత నాలుగు వికెట్లు-ఇన్-ఒక-ఇన్నింగ్స్ కెరీర్లో (3)']")</f>
        <v>[ '6 వ అత్యుత్తమ బౌలింగ్ ఇన్నింగ్స్ లో విశ్లేషించడం (4/4)', '4 వ అత్యంత నాలుగు వికెట్లు-ఇన్-ఒక-ఇన్నింగ్స్ కెరీర్లో (3)']</v>
      </c>
      <c r="C8138" s="2"/>
      <c r="D8138" s="2" t="str">
        <f>IFERROR(__xludf.DUMMYFUNCTION("IF(C8138&lt;&gt;"""", GOOGLETRANSLATE(C8138, ""en"", ""te""),"""")"),"")</f>
        <v/>
      </c>
      <c r="E8138" s="2"/>
      <c r="F8138" s="2" t="str">
        <f>IFERROR(__xludf.DUMMYFUNCTION("IF(E8138&lt;&gt;"""", GOOGLETRANSLATE(E8138, ""en"", ""te""),"""")"),"")</f>
        <v/>
      </c>
      <c r="G8138" s="2" t="s">
        <v>4536</v>
      </c>
      <c r="H8138" s="2" t="str">
        <f>IFERROR(__xludf.DUMMYFUNCTION("IF(G8138&lt;&gt;"""", GOOGLETRANSLATE(G8138, ""en"", ""te""),"""")"),"[ '27 ఒక ఇన్నింగ్స్ లోని బెస్ట్ ఫిగర్స్ (5/13)', 'ఒక క్యాలెండర్ సంవత్సరంలో 9 వ అత్యధిక వికెట్లు (24)', '6 వ అత్యుత్తమ బౌలింగ్ ఇన్నింగ్స్ లో విశ్లేషించడం (4/4)', '4 వ అత్యంత నాలుగు wickets- లో-ఒక-ఇన్నింగ్స్ కెరీర్లో (3) ',' 44 వ అత్యధిక వికెట్లు బౌల్డ్ తీస"&amp;"ుకున్న (10) ']")</f>
        <v>[ '27 ఒక ఇన్నింగ్స్ లోని బెస్ట్ ఫిగర్స్ (5/13)', 'ఒక క్యాలెండర్ సంవత్సరంలో 9 వ అత్యధిక వికెట్లు (24)', '6 వ అత్యుత్తమ బౌలింగ్ ఇన్నింగ్స్ లో విశ్లేషించడం (4/4)', '4 వ అత్యంత నాలుగు wickets- లో-ఒక-ఇన్నింగ్స్ కెరీర్లో (3) ',' 44 వ అత్యధిక వికెట్లు బౌల్డ్ తీసుకున్న (10) ']</v>
      </c>
      <c r="I8138" s="3"/>
    </row>
    <row r="8139" customHeight="1" spans="1:9">
      <c r="A8139" s="2"/>
      <c r="B8139" s="2" t="str">
        <f>IFERROR(__xludf.DUMMYFUNCTION("IF(A8139&lt;&gt;"""", GOOGLETRANSLATE(A8139, ""en"", ""te""),"""")"),"")</f>
        <v/>
      </c>
      <c r="C8139" s="2"/>
      <c r="D8139" s="2" t="str">
        <f>IFERROR(__xludf.DUMMYFUNCTION("IF(C8139&lt;&gt;"""", GOOGLETRANSLATE(C8139, ""en"", ""te""),"""")"),"")</f>
        <v/>
      </c>
      <c r="E8139" s="2"/>
      <c r="F8139" s="2" t="str">
        <f>IFERROR(__xludf.DUMMYFUNCTION("IF(E8139&lt;&gt;"""", GOOGLETRANSLATE(E8139, ""en"", ""te""),"""")"),"")</f>
        <v/>
      </c>
      <c r="G8139" s="2"/>
      <c r="H8139" s="2" t="str">
        <f>IFERROR(__xludf.DUMMYFUNCTION("IF(G8139&lt;&gt;"""", GOOGLETRANSLATE(G8139, ""en"", ""te""),"""")"),"")</f>
        <v/>
      </c>
      <c r="I8139" s="3"/>
    </row>
    <row r="8140" customHeight="1" spans="1:9">
      <c r="A8140" s="2"/>
      <c r="B8140" s="2" t="str">
        <f>IFERROR(__xludf.DUMMYFUNCTION("IF(A8140&lt;&gt;"""", GOOGLETRANSLATE(A8140, ""en"", ""te""),"""")"),"")</f>
        <v/>
      </c>
      <c r="C8140" s="2"/>
      <c r="D8140" s="2" t="str">
        <f>IFERROR(__xludf.DUMMYFUNCTION("IF(C8140&lt;&gt;"""", GOOGLETRANSLATE(C8140, ""en"", ""te""),"""")"),"")</f>
        <v/>
      </c>
      <c r="E8140" s="2"/>
      <c r="F8140" s="2" t="str">
        <f>IFERROR(__xludf.DUMMYFUNCTION("IF(E8140&lt;&gt;"""", GOOGLETRANSLATE(E8140, ""en"", ""te""),"""")"),"")</f>
        <v/>
      </c>
      <c r="G8140" s="2"/>
      <c r="H8140" s="2" t="str">
        <f>IFERROR(__xludf.DUMMYFUNCTION("IF(G8140&lt;&gt;"""", GOOGLETRANSLATE(G8140, ""en"", ""te""),"""")"),"")</f>
        <v/>
      </c>
      <c r="I8140" s="3"/>
    </row>
    <row r="8141" customHeight="1" spans="1:9">
      <c r="A8141" s="2"/>
      <c r="B8141" s="2" t="str">
        <f>IFERROR(__xludf.DUMMYFUNCTION("IF(A8141&lt;&gt;"""", GOOGLETRANSLATE(A8141, ""en"", ""te""),"""")"),"")</f>
        <v/>
      </c>
      <c r="C8141" s="2"/>
      <c r="D8141" s="2" t="str">
        <f>IFERROR(__xludf.DUMMYFUNCTION("IF(C8141&lt;&gt;"""", GOOGLETRANSLATE(C8141, ""en"", ""te""),"""")"),"")</f>
        <v/>
      </c>
      <c r="E8141" s="2"/>
      <c r="F8141" s="2" t="str">
        <f>IFERROR(__xludf.DUMMYFUNCTION("IF(E8141&lt;&gt;"""", GOOGLETRANSLATE(E8141, ""en"", ""te""),"""")"),"")</f>
        <v/>
      </c>
      <c r="G8141" s="2" t="s">
        <v>4537</v>
      </c>
      <c r="H8141" s="2" t="str">
        <f>IFERROR(__xludf.DUMMYFUNCTION("IF(G8141&lt;&gt;"""", GOOGLETRANSLATE(G8141, ""en"", ""te""),"""")"),"[ '27 ఉత్తమ కెరీర్ బౌలింగ్ సరాసరి (అర్హత లేకుండా) (6,66)']")</f>
        <v>[ '27 ఉత్తమ కెరీర్ బౌలింగ్ సరాసరి (అర్హత లేకుండా) (6,66)']</v>
      </c>
      <c r="I8141" s="3"/>
    </row>
    <row r="8142" customHeight="1" spans="1:9">
      <c r="A8142" s="2"/>
      <c r="B8142" s="2" t="str">
        <f>IFERROR(__xludf.DUMMYFUNCTION("IF(A8142&lt;&gt;"""", GOOGLETRANSLATE(A8142, ""en"", ""te""),"""")"),"")</f>
        <v/>
      </c>
      <c r="C8142" s="2"/>
      <c r="D8142" s="2" t="str">
        <f>IFERROR(__xludf.DUMMYFUNCTION("IF(C8142&lt;&gt;"""", GOOGLETRANSLATE(C8142, ""en"", ""te""),"""")"),"")</f>
        <v/>
      </c>
      <c r="E8142" s="2"/>
      <c r="F8142" s="2" t="str">
        <f>IFERROR(__xludf.DUMMYFUNCTION("IF(E8142&lt;&gt;"""", GOOGLETRANSLATE(E8142, ""en"", ""te""),"""")"),"")</f>
        <v/>
      </c>
      <c r="G8142" s="2"/>
      <c r="H8142" s="2" t="str">
        <f>IFERROR(__xludf.DUMMYFUNCTION("IF(G8142&lt;&gt;"""", GOOGLETRANSLATE(G8142, ""en"", ""te""),"""")"),"")</f>
        <v/>
      </c>
      <c r="I8142" s="3"/>
    </row>
    <row r="8143" customHeight="1" spans="1:9">
      <c r="A8143" s="2"/>
      <c r="B8143" s="2" t="str">
        <f>IFERROR(__xludf.DUMMYFUNCTION("IF(A8143&lt;&gt;"""", GOOGLETRANSLATE(A8143, ""en"", ""te""),"""")"),"")</f>
        <v/>
      </c>
      <c r="C8143" s="2"/>
      <c r="D8143" s="2" t="str">
        <f>IFERROR(__xludf.DUMMYFUNCTION("IF(C8143&lt;&gt;"""", GOOGLETRANSLATE(C8143, ""en"", ""te""),"""")"),"")</f>
        <v/>
      </c>
      <c r="E8143" s="2"/>
      <c r="F8143" s="2" t="str">
        <f>IFERROR(__xludf.DUMMYFUNCTION("IF(E8143&lt;&gt;"""", GOOGLETRANSLATE(E8143, ""en"", ""te""),"""")"),"")</f>
        <v/>
      </c>
      <c r="G8143" s="2" t="s">
        <v>4538</v>
      </c>
      <c r="H8143" s="2" t="str">
        <f>IFERROR(__xludf.DUMMYFUNCTION("IF(G8143&lt;&gt;"""", GOOGLETRANSLATE(G8143, ""en"", ""te""),"""")"),"[ 'ఆరవ వికెట్కు 38 వ అత్యధిక భాగస్వామ్యం (42)']")</f>
        <v>[ 'ఆరవ వికెట్కు 38 వ అత్యధిక భాగస్వామ్యం (42)']</v>
      </c>
      <c r="I8143" s="3"/>
    </row>
    <row r="8144" customHeight="1" spans="1:9">
      <c r="A8144" s="2"/>
      <c r="B8144" s="2" t="str">
        <f>IFERROR(__xludf.DUMMYFUNCTION("IF(A8144&lt;&gt;"""", GOOGLETRANSLATE(A8144, ""en"", ""te""),"""")"),"")</f>
        <v/>
      </c>
      <c r="C8144" s="2"/>
      <c r="D8144" s="2" t="str">
        <f>IFERROR(__xludf.DUMMYFUNCTION("IF(C8144&lt;&gt;"""", GOOGLETRANSLATE(C8144, ""en"", ""te""),"""")"),"")</f>
        <v/>
      </c>
      <c r="E8144" s="2"/>
      <c r="F8144" s="2" t="str">
        <f>IFERROR(__xludf.DUMMYFUNCTION("IF(E8144&lt;&gt;"""", GOOGLETRANSLATE(E8144, ""en"", ""te""),"""")"),"")</f>
        <v/>
      </c>
      <c r="G8144" s="2" t="s">
        <v>4539</v>
      </c>
      <c r="H8144" s="2" t="str">
        <f>IFERROR(__xludf.DUMMYFUNCTION("IF(G8144&lt;&gt;"""", GOOGLETRANSLATE(G8144, ""en"", ""te""),"""")"),"[ '20 వ ఇన్నింగ్స్ లో బెస్ట్ ఫిగర్స్ (5/15)', '13 వ ఒక క్యాలెండర్ సంవత్సరంలో అత్యధిక వికెట్లు (24)', '15 వ అత్యుత్తమ బౌలింగ్ ఇన్నింగ్స్ లో విశ్లేషించడం (5/15)', '16 వ అత్యంత నాలుగు wickets- లో-ఒక-ఇన్నింగ్స్ కెరీర్లో (2) ',' 17 వ బౌలర్ / బ్యాట్స్ కలయికలు ("&amp;"3) ',' 45 వ బౌలర్ / ఫీల్డర్ కలయికలు (6) ']")</f>
        <v>[ '20 వ ఇన్నింగ్స్ లో బెస్ట్ ఫిగర్స్ (5/15)', '13 వ ఒక క్యాలెండర్ సంవత్సరంలో అత్యధిక వికెట్లు (24)', '15 వ అత్యుత్తమ బౌలింగ్ ఇన్నింగ్స్ లో విశ్లేషించడం (5/15)', '16 వ అత్యంత నాలుగు wickets- లో-ఒక-ఇన్నింగ్స్ కెరీర్లో (2) ',' 17 వ బౌలర్ / బ్యాట్స్ కలయికలు (3) ',' 45 వ బౌలర్ / ఫీల్డర్ కలయికలు (6) ']</v>
      </c>
      <c r="I8144" s="3"/>
    </row>
    <row r="8145" customHeight="1" spans="1:9">
      <c r="A8145" s="2" t="s">
        <v>4540</v>
      </c>
      <c r="B8145" s="2" t="str">
        <f>IFERROR(__xludf.DUMMYFUNCTION("IF(A8145&lt;&gt;"""", GOOGLETRANSLATE(A8145, ""en"", ""te""),"""")"),"[ 'ఇన్నింగ్స్ లో 1 వ అత్యధిక క్యాచ్లు (4)']")</f>
        <v>[ 'ఇన్నింగ్స్ లో 1 వ అత్యధిక క్యాచ్లు (4)']</v>
      </c>
      <c r="C8145" s="2"/>
      <c r="D8145" s="2" t="str">
        <f>IFERROR(__xludf.DUMMYFUNCTION("IF(C8145&lt;&gt;"""", GOOGLETRANSLATE(C8145, ""en"", ""te""),"""")"),"")</f>
        <v/>
      </c>
      <c r="E8145" s="2"/>
      <c r="F8145" s="2" t="str">
        <f>IFERROR(__xludf.DUMMYFUNCTION("IF(E8145&lt;&gt;"""", GOOGLETRANSLATE(E8145, ""en"", ""te""),"""")"),"")</f>
        <v/>
      </c>
      <c r="G8145" s="2" t="s">
        <v>4541</v>
      </c>
      <c r="H8145" s="2" t="str">
        <f>IFERROR(__xludf.DUMMYFUNCTION("IF(G8145&lt;&gt;"""", GOOGLETRANSLATE(G8145, ""en"", ""te""),"""")"),"[ '20 వ అత్యుత్తమ ఇన్నింగ్స్ లో విశ్లేషణలు బౌలింగ్ (2/4)', '21 వ బౌలింగ్ సరాసరి (అర్హత లేకుండా) (6.22) ఉత్తమ జీవితం '' ఇన్నింగ్స్ లో 1 వ అత్యధిక క్యాచ్లు (4) ']")</f>
        <v>[ '20 వ అత్యుత్తమ ఇన్నింగ్స్ లో విశ్లేషణలు బౌలింగ్ (2/4)', '21 వ బౌలింగ్ సరాసరి (అర్హత లేకుండా) (6.22) ఉత్తమ జీవితం '' ఇన్నింగ్స్ లో 1 వ అత్యధిక క్యాచ్లు (4) ']</v>
      </c>
      <c r="I8145" s="3"/>
    </row>
    <row r="8146" customHeight="1" spans="1:9">
      <c r="A8146" s="2"/>
      <c r="B8146" s="2" t="str">
        <f>IFERROR(__xludf.DUMMYFUNCTION("IF(A8146&lt;&gt;"""", GOOGLETRANSLATE(A8146, ""en"", ""te""),"""")"),"")</f>
        <v/>
      </c>
      <c r="C8146" s="2"/>
      <c r="D8146" s="2" t="str">
        <f>IFERROR(__xludf.DUMMYFUNCTION("IF(C8146&lt;&gt;"""", GOOGLETRANSLATE(C8146, ""en"", ""te""),"""")"),"")</f>
        <v/>
      </c>
      <c r="E8146" s="2"/>
      <c r="F8146" s="2" t="str">
        <f>IFERROR(__xludf.DUMMYFUNCTION("IF(E8146&lt;&gt;"""", GOOGLETRANSLATE(E8146, ""en"", ""te""),"""")"),"")</f>
        <v/>
      </c>
      <c r="G8146" s="2" t="s">
        <v>3687</v>
      </c>
      <c r="H8146" s="2" t="str">
        <f>IFERROR(__xludf.DUMMYFUNCTION("IF(G8146&lt;&gt;"""", GOOGLETRANSLATE(G8146, ""en"", ""te""),"""")"),"[ 'పదవ వికెట్కు 36 వ అత్యధిక భాగస్వామ్యం (17 *)']")</f>
        <v>[ 'పదవ వికెట్కు 36 వ అత్యధిక భాగస్వామ్యం (17 *)']</v>
      </c>
      <c r="I8146" s="3"/>
    </row>
    <row r="8147" customHeight="1" spans="1:9">
      <c r="A8147" s="2"/>
      <c r="B8147" s="2" t="str">
        <f>IFERROR(__xludf.DUMMYFUNCTION("IF(A8147&lt;&gt;"""", GOOGLETRANSLATE(A8147, ""en"", ""te""),"""")"),"")</f>
        <v/>
      </c>
      <c r="C8147" s="2"/>
      <c r="D8147" s="2" t="str">
        <f>IFERROR(__xludf.DUMMYFUNCTION("IF(C8147&lt;&gt;"""", GOOGLETRANSLATE(C8147, ""en"", ""te""),"""")"),"")</f>
        <v/>
      </c>
      <c r="E8147" s="2"/>
      <c r="F8147" s="2" t="str">
        <f>IFERROR(__xludf.DUMMYFUNCTION("IF(E8147&lt;&gt;"""", GOOGLETRANSLATE(E8147, ""en"", ""te""),"""")"),"")</f>
        <v/>
      </c>
      <c r="G8147" s="2" t="s">
        <v>4542</v>
      </c>
      <c r="H8147" s="2" t="str">
        <f>IFERROR(__xludf.DUMMYFUNCTION("IF(G8147&lt;&gt;"""", GOOGLETRANSLATE(G8147, ""en"", ""te""),"""")"),"[ 'కెప్టెన్సీ తొలి 25 ఓల్డెస్ట్ కాప్టెన్ (32y 18d)']")</f>
        <v>[ 'కెప్టెన్సీ తొలి 25 ఓల్డెస్ట్ కాప్టెన్ (32y 18d)']</v>
      </c>
      <c r="I8147" s="3"/>
    </row>
    <row r="8148" customHeight="1" spans="1:9">
      <c r="A8148" s="2"/>
      <c r="B8148" s="2" t="str">
        <f>IFERROR(__xludf.DUMMYFUNCTION("IF(A8148&lt;&gt;"""", GOOGLETRANSLATE(A8148, ""en"", ""te""),"""")"),"")</f>
        <v/>
      </c>
      <c r="C8148" s="2"/>
      <c r="D8148" s="2" t="str">
        <f>IFERROR(__xludf.DUMMYFUNCTION("IF(C8148&lt;&gt;"""", GOOGLETRANSLATE(C8148, ""en"", ""te""),"""")"),"")</f>
        <v/>
      </c>
      <c r="E8148" s="2"/>
      <c r="F8148" s="2" t="str">
        <f>IFERROR(__xludf.DUMMYFUNCTION("IF(E8148&lt;&gt;"""", GOOGLETRANSLATE(E8148, ""en"", ""te""),"""")"),"")</f>
        <v/>
      </c>
      <c r="G8148" s="2"/>
      <c r="H8148" s="2" t="str">
        <f>IFERROR(__xludf.DUMMYFUNCTION("IF(G8148&lt;&gt;"""", GOOGLETRANSLATE(G8148, ""en"", ""te""),"""")"),"")</f>
        <v/>
      </c>
      <c r="I8148" s="3"/>
    </row>
    <row r="8149" customHeight="1" spans="1:9">
      <c r="A8149" s="2"/>
      <c r="B8149" s="2" t="str">
        <f>IFERROR(__xludf.DUMMYFUNCTION("IF(A8149&lt;&gt;"""", GOOGLETRANSLATE(A8149, ""en"", ""te""),"""")"),"")</f>
        <v/>
      </c>
      <c r="C8149" s="2"/>
      <c r="D8149" s="2" t="str">
        <f>IFERROR(__xludf.DUMMYFUNCTION("IF(C8149&lt;&gt;"""", GOOGLETRANSLATE(C8149, ""en"", ""te""),"""")"),"")</f>
        <v/>
      </c>
      <c r="E8149" s="2"/>
      <c r="F8149" s="2" t="str">
        <f>IFERROR(__xludf.DUMMYFUNCTION("IF(E8149&lt;&gt;"""", GOOGLETRANSLATE(E8149, ""en"", ""te""),"""")"),"")</f>
        <v/>
      </c>
      <c r="G8149" s="2" t="s">
        <v>4543</v>
      </c>
      <c r="H8149" s="2" t="str">
        <f>IFERROR(__xludf.DUMMYFUNCTION("IF(G8149&lt;&gt;"""", GOOGLETRANSLATE(G8149, ""en"", ""te""),"""")"),"[ 'అత్యధిక వికెట్లు ఇన్నింగ్స్ లో 21 వ అత్యధిక పరుగులు (62 *)', '19 వ అత్యధిక కెరీర్ బ్యాటింగ్ సగటు (26.80)', '34 వ అత్యంత ఇన్నింగ్స్ తొలి డక్ ముందు (14)', '32 వ అత్యంత స్టంపింగ్లు కెరీర్లో (5)' ]")</f>
        <v>[ 'అత్యధిక వికెట్లు ఇన్నింగ్స్ లో 21 వ అత్యధిక పరుగులు (62 *)', '19 వ అత్యధిక కెరీర్ బ్యాటింగ్ సగటు (26.80)', '34 వ అత్యంత ఇన్నింగ్స్ తొలి డక్ ముందు (14)', '32 వ అత్యంత స్టంపింగ్లు కెరీర్లో (5)' ]</v>
      </c>
      <c r="I8149" s="3"/>
    </row>
    <row r="8150" customHeight="1" spans="1:9">
      <c r="A8150" s="2"/>
      <c r="B8150" s="2" t="str">
        <f>IFERROR(__xludf.DUMMYFUNCTION("IF(A8150&lt;&gt;"""", GOOGLETRANSLATE(A8150, ""en"", ""te""),"""")"),"")</f>
        <v/>
      </c>
      <c r="C8150" s="2"/>
      <c r="D8150" s="2" t="str">
        <f>IFERROR(__xludf.DUMMYFUNCTION("IF(C8150&lt;&gt;"""", GOOGLETRANSLATE(C8150, ""en"", ""te""),"""")"),"")</f>
        <v/>
      </c>
      <c r="E8150" s="2"/>
      <c r="F8150" s="2" t="str">
        <f>IFERROR(__xludf.DUMMYFUNCTION("IF(E8150&lt;&gt;"""", GOOGLETRANSLATE(E8150, ""en"", ""te""),"""")"),"")</f>
        <v/>
      </c>
      <c r="G8150" s="2"/>
      <c r="H8150" s="2" t="str">
        <f>IFERROR(__xludf.DUMMYFUNCTION("IF(G8150&lt;&gt;"""", GOOGLETRANSLATE(G8150, ""en"", ""te""),"""")"),"")</f>
        <v/>
      </c>
      <c r="I8150" s="3"/>
    </row>
    <row r="8151" customHeight="1" spans="1:9">
      <c r="A8151" s="2"/>
      <c r="B8151" s="2" t="str">
        <f>IFERROR(__xludf.DUMMYFUNCTION("IF(A8151&lt;&gt;"""", GOOGLETRANSLATE(A8151, ""en"", ""te""),"""")"),"")</f>
        <v/>
      </c>
      <c r="C8151" s="2"/>
      <c r="D8151" s="2" t="str">
        <f>IFERROR(__xludf.DUMMYFUNCTION("IF(C8151&lt;&gt;"""", GOOGLETRANSLATE(C8151, ""en"", ""te""),"""")"),"")</f>
        <v/>
      </c>
      <c r="E8151" s="2"/>
      <c r="F8151" s="2" t="str">
        <f>IFERROR(__xludf.DUMMYFUNCTION("IF(E8151&lt;&gt;"""", GOOGLETRANSLATE(E8151, ""en"", ""te""),"""")"),"")</f>
        <v/>
      </c>
      <c r="G8151" s="2" t="s">
        <v>4544</v>
      </c>
      <c r="H8151" s="2" t="str">
        <f>IFERROR(__xludf.DUMMYFUNCTION("IF(G8151&lt;&gt;"""", GOOGLETRANSLATE(G8151, ""en"", ""te""),"""")"),"[ '26 అత్యుత్తమ ఇన్నింగ్స్ లో విశ్లేషణలు బౌలింగ్ (2/3)', '20 వ అత్యధిక వికెట్లు తీసుకున్న క్యాచ్ మరియు బౌల్డ్ (3)']")</f>
        <v>[ '26 అత్యుత్తమ ఇన్నింగ్స్ లో విశ్లేషణలు బౌలింగ్ (2/3)', '20 వ అత్యధిక వికెట్లు తీసుకున్న క్యాచ్ మరియు బౌల్డ్ (3)']</v>
      </c>
      <c r="I8151" s="3"/>
    </row>
    <row r="8152" customHeight="1" spans="1:9">
      <c r="A8152" s="2" t="s">
        <v>4545</v>
      </c>
      <c r="B8152" s="2" t="str">
        <f>IFERROR(__xludf.DUMMYFUNCTION("IF(A8152&lt;&gt;"""", GOOGLETRANSLATE(A8152, ""en"", ""te""),"""")"),"[ '4 వ అత్యధిక ఒక ఇన్నింగ్స్లో పరుగుల శాతం (64.25)', '10th ఒక క్యాలెండర్ సంవత్సరంలో అత్యధిక పరుగులు (572)']")</f>
        <v>[ '4 వ అత్యధిక ఒక ఇన్నింగ్స్లో పరుగుల శాతం (64.25)', '10th ఒక క్యాలెండర్ సంవత్సరంలో అత్యధిక పరుగులు (572)']</v>
      </c>
      <c r="C8152" s="2"/>
      <c r="D8152" s="2" t="str">
        <f>IFERROR(__xludf.DUMMYFUNCTION("IF(C8152&lt;&gt;"""", GOOGLETRANSLATE(C8152, ""en"", ""te""),"""")"),"")</f>
        <v/>
      </c>
      <c r="E8152" s="2" t="s">
        <v>4546</v>
      </c>
      <c r="F8152" s="2" t="str">
        <f>IFERROR(__xludf.DUMMYFUNCTION("IF(E8152&lt;&gt;"""", GOOGLETRANSLATE(E8152, ""en"", ""te""),"""")"),"[ '17 వ అత్యధిక తొలి వంద (151)' '16 వ పరాజయం వైపు (151) ఒక మ్యాచ్లో అత్యధిక పరుగులు', 'ఒక ఇన్నింగ్స్లో పరుగుల 4 వ అత్యధిక శాతం (64.25)', 'ఎనిమిదవ వికెట్కు 28 అత్యధిక భాగస్వామ్యం (83) ']")</f>
        <v>[ '17 వ అత్యధిక తొలి వంద (151)' '16 వ పరాజయం వైపు (151) ఒక మ్యాచ్లో అత్యధిక పరుగులు', 'ఒక ఇన్నింగ్స్లో పరుగుల 4 వ అత్యధిక శాతం (64.25)', 'ఎనిమిదవ వికెట్కు 28 అత్యధిక భాగస్వామ్యం (83) ']</v>
      </c>
      <c r="G8152" s="2" t="s">
        <v>4547</v>
      </c>
      <c r="H8152" s="2" t="str">
        <f>IFERROR(__xludf.DUMMYFUNCTION("IF(G8152&lt;&gt;"""", GOOGLETRANSLATE(G8152, ""en"", ""te""),"""")"),"[ '30 వ ఇన్నింగ్స్ లో అత్యధిక పరుగులు (107 *)', '10th ఒక క్యాలెండర్ సంవత్సరంలో అత్యధిక పరుగులు (572)', '22 వ ఇన్నింగ్స్ లో అత్యధిక పరుగులు (బ్యాటింగ్ స్థానంలో ప్రకారం) (107 *)', '15 వ అత్యధిక కెరీర్ బ్యాటింగ్ సగటు (37.27) ',' 34 వ అత్యధిక కెరీర్ సమ్మె రేట"&amp;"ు (140.96) ',' కెరీర్లో 17 వ లేవు బాతులు (23) ',' తొలి వికెట్కు (125) కోసం 34 వ అత్యధిక భాగస్వామ్యం ']")</f>
        <v>[ '30 వ ఇన్నింగ్స్ లో అత్యధిక పరుగులు (107 *)', '10th ఒక క్యాలెండర్ సంవత్సరంలో అత్యధిక పరుగులు (572)', '22 వ ఇన్నింగ్స్ లో అత్యధిక పరుగులు (బ్యాటింగ్ స్థానంలో ప్రకారం) (107 *)', '15 వ అత్యధిక కెరీర్ బ్యాటింగ్ సగటు (37.27) ',' 34 వ అత్యధిక కెరీర్ సమ్మె రేటు (140.96) ',' కెరీర్లో 17 వ లేవు బాతులు (23) ',' తొలి వికెట్కు (125) కోసం 34 వ అత్యధిక భాగస్వామ్యం ']</v>
      </c>
      <c r="I8152" s="3"/>
    </row>
    <row r="8153" customHeight="1" spans="1:9">
      <c r="A8153" s="2" t="s">
        <v>352</v>
      </c>
      <c r="B8153" s="2" t="str">
        <f>IFERROR(__xludf.DUMMYFUNCTION("IF(A8153&lt;&gt;"""", GOOGLETRANSLATE(A8153, ""en"", ""te""),"""")"),"[ 'బ్యాటింగ్ ప్రారంభించుటకు మరియు అదే మ్యాచ్ లో బౌలింగ్']")</f>
        <v>[ 'బ్యాటింగ్ ప్రారంభించుటకు మరియు అదే మ్యాచ్ లో బౌలింగ్']</v>
      </c>
      <c r="C8153" s="2"/>
      <c r="D8153" s="2" t="str">
        <f>IFERROR(__xludf.DUMMYFUNCTION("IF(C8153&lt;&gt;"""", GOOGLETRANSLATE(C8153, ""en"", ""te""),"""")"),"")</f>
        <v/>
      </c>
      <c r="E8153" s="2" t="s">
        <v>4548</v>
      </c>
      <c r="F8153" s="2" t="str">
        <f>IFERROR(__xludf.DUMMYFUNCTION("IF(E8153&lt;&gt;"""", GOOGLETRANSLATE(E8153, ""en"", ""te""),"""")"),"[ '34 వ అత్యంత కెప్టెన్ (356) ద్వారా సిరీస్లో పరుగులు' 'గత మ్యాచ్లో 11 వ హండ్రెడ్ (104)', '45 వ ఉత్తమ కెరీర్ సగటు బౌలింగ్' 40 వ అత్యంత వృద్ధ ఆటగాడు తొలి వంద (32y 49d) స్కోర్ '(24.00 ) ',' 29th ఉత్తమ కెరీర్ ఆర్థిక రేటు (3.74) ']")</f>
        <v>[ '34 వ అత్యంత కెప్టెన్ (356) ద్వారా సిరీస్లో పరుగులు' 'గత మ్యాచ్లో 11 వ హండ్రెడ్ (104)', '45 వ ఉత్తమ కెరీర్ సగటు బౌలింగ్' 40 వ అత్యంత వృద్ధ ఆటగాడు తొలి వంద (32y 49d) స్కోర్ '(24.00 ) ',' 29th ఉత్తమ కెరీర్ ఆర్థిక రేటు (3.74) ']</v>
      </c>
      <c r="G8153" s="2" t="s">
        <v>4549</v>
      </c>
      <c r="H8153" s="2" t="str">
        <f>IFERROR(__xludf.DUMMYFUNCTION("IF(G8153&lt;&gt;"""", GOOGLETRANSLATE(G8153, ""en"", ""te""),"""")"),"[ '15 వ కెరీర్ లో బాతులు (24)', '17 వ అత్యుత్తమ ఇన్నింగ్స్ లో బౌలింగ్ విశ్లేషణలు (3/7)', 'ఒక కెప్టెన్తో 20 ఒక ఇన్నింగ్స్ లోని బెస్ట్ ఫిగర్స్ (3)', '15 వ అత్యంత ఇన్నింగ్స్ లో క్యాచ్లు ( 3) ',' 31 అత్యధిక మ్యాచ్లు కెప్టెన్గా (21) ',' ఒక జట్టు కెప్టెన్గా 18 "&amp;"వ వరుస మ్యాచ్లు (21 *) ']")</f>
        <v>[ '15 వ కెరీర్ లో బాతులు (24)', '17 వ అత్యుత్తమ ఇన్నింగ్స్ లో బౌలింగ్ విశ్లేషణలు (3/7)', 'ఒక కెప్టెన్తో 20 ఒక ఇన్నింగ్స్ లోని బెస్ట్ ఫిగర్స్ (3)', '15 వ అత్యంత ఇన్నింగ్స్ లో క్యాచ్లు ( 3) ',' 31 అత్యధిక మ్యాచ్లు కెప్టెన్గా (21) ',' ఒక జట్టు కెప్టెన్గా 18 వ వరుస మ్యాచ్లు (21 *) ']</v>
      </c>
      <c r="I8153" s="3"/>
    </row>
    <row r="8154" customHeight="1" spans="1:9">
      <c r="A8154" s="2" t="s">
        <v>4550</v>
      </c>
      <c r="B8154" s="2" t="str">
        <f>IFERROR(__xludf.DUMMYFUNCTION("IF(A8154&lt;&gt;"""", GOOGLETRANSLATE(A8154, ""en"", ""te""),"""")"),"[ 'బ్యాటింగ్ ప్రారంభించుటకు మరియు అదే మ్యాచ్ లో బౌలింగ్', '3 వ అత్యంత ఇన్నింగ్స్ లో నడుస్తుంది (బ్యాటింగ్ స్థానం) (54)', 'ఇన్నింగ్స్ లో 2 వ అత్యధిక స్ట్రైక్ రేట్ (391.66)', '1 వ అత్యంత ఇన్నింగ్స్ లో పనికత్తెలయొద్ద (2) ',' పదవ వికెట్కు 10 వ అత్యధిక భాగస్వ"&amp;"ామ్యం (26 *) ']")</f>
        <v>[ 'బ్యాటింగ్ ప్రారంభించుటకు మరియు అదే మ్యాచ్ లో బౌలింగ్', '3 వ అత్యంత ఇన్నింగ్స్ లో నడుస్తుంది (బ్యాటింగ్ స్థానం) (54)', 'ఇన్నింగ్స్ లో 2 వ అత్యధిక స్ట్రైక్ రేట్ (391.66)', '1 వ అత్యంత ఇన్నింగ్స్ లో పనికత్తెలయొద్ద (2) ',' పదవ వికెట్కు 10 వ అత్యధిక భాగస్వామ్యం (26 *) ']</v>
      </c>
      <c r="C8154" s="2"/>
      <c r="D8154" s="2" t="str">
        <f>IFERROR(__xludf.DUMMYFUNCTION("IF(C8154&lt;&gt;"""", GOOGLETRANSLATE(C8154, ""en"", ""te""),"""")"),"")</f>
        <v/>
      </c>
      <c r="E8154" s="2" t="s">
        <v>4551</v>
      </c>
      <c r="F8154" s="2" t="str">
        <f>IFERROR(__xludf.DUMMYFUNCTION("IF(E8154&lt;&gt;"""", GOOGLETRANSLATE(E8154, ""en"", ""te""),"""")"),"[ '35 వ ఉత్తమ కెరీర్ సమ్మె రేటు (31.1)', '15 వ అరంగేట్రంలోనే ఇన్నింగ్స్ లోని బెస్ట్ ఫిగర్స్ (4)', '13 వ వరుస నాలుగు వికెట్లు-ఇన్-ఒక-ఇన్నింగ్స్ (2)']")</f>
        <v>[ '35 వ ఉత్తమ కెరీర్ సమ్మె రేటు (31.1)', '15 వ అరంగేట్రంలోనే ఇన్నింగ్స్ లోని బెస్ట్ ఫిగర్స్ (4)', '13 వ వరుస నాలుగు వికెట్లు-ఇన్-ఒక-ఇన్నింగ్స్ (2)']</v>
      </c>
      <c r="G8154" s="2" t="s">
        <v>4552</v>
      </c>
      <c r="H8154" s="2" t="str">
        <f>IFERROR(__xludf.DUMMYFUNCTION("IF(G8154&lt;&gt;"""", GOOGLETRANSLATE(G8154, ""en"", ""te""),"""")"),"[ '3 వ అత్యంత ఇన్నింగ్స్ లో నడుస్తుంది (బ్యాటింగ్ స్థానం) (54)', ఒక ఇన్నింగ్స్ లో 'ఇన్నింగ్స్ లో 42 వ ఎక్కువ సిక్స్ (7)' '2 వ అత్యధిక సమ్మె ఇన్నింగ్స్ లో రేటు (391.66)', '24 వ బెస్ట్ ఫిగర్స్ (5/17) ',' 30th ఒక క్యాలెండర్ సంవత్సరంలో అత్యధిక వికెట్లు (21) '"&amp;",' 16 వ అత్యంత నాలుగు వికెట్లు-ఇన్-ఒక-ఇన్నింగ్స్ కెరీర్లో (2) ',' 17 వ బౌలర్ / బ్యాట్స్ కలయికలు (3) ' '20 వ అత్యధిక వికెట్లు తీసుకున్న బౌల్డ్ (14)', '48 వ అత్యంత ఆకర్షించింది తీసుకోబడిన వికెట్ల అత్యధిక వికెట్లు (5)', '32 వ అత్యధిక వికెట్లు తీసుకున్న ఎల్బి"&amp;"డబ్ల్యు (5)', 'తొమ్మిదవ వికెట్కు 26 అత్యధిక భాగస్వామ్యం (31 *)' 'పదవ వికెట్ను (26 *) కోసం 10 వ అత్యధిక భాగస్వామ్యం', '19 వ కెరీర్ పనికత్తెలయొద్ద (3)', '1 వ ఇన్నింగ్స్ లో వచ్చిన ఎక్కువ పనికత్తెలయొద్ద (2)']")</f>
        <v>[ '3 వ అత్యంత ఇన్నింగ్స్ లో నడుస్తుంది (బ్యాటింగ్ స్థానం) (54)', ఒక ఇన్నింగ్స్ లో 'ఇన్నింగ్స్ లో 42 వ ఎక్కువ సిక్స్ (7)' '2 వ అత్యధిక సమ్మె ఇన్నింగ్స్ లో రేటు (391.66)', '24 వ బెస్ట్ ఫిగర్స్ (5/17) ',' 30th ఒక క్యాలెండర్ సంవత్సరంలో అత్యధిక వికెట్లు (21) ',' 16 వ అత్యంత నాలుగు వికెట్లు-ఇన్-ఒక-ఇన్నింగ్స్ కెరీర్లో (2) ',' 17 వ బౌలర్ / బ్యాట్స్ కలయికలు (3) ' '20 వ అత్యధిక వికెట్లు తీసుకున్న బౌల్డ్ (14)', '48 వ అత్యంత ఆకర్షించింది తీసుకోబడిన వికెట్ల అత్యధిక వికెట్లు (5)', '32 వ అత్యధిక వికెట్లు తీసుకున్న ఎల్బిడబ్ల్యు (5)', 'తొమ్మిదవ వికెట్కు 26 అత్యధిక భాగస్వామ్యం (31 *)' 'పదవ వికెట్ను (26 *) కోసం 10 వ అత్యధిక భాగస్వామ్యం', '19 వ కెరీర్ పనికత్తెలయొద్ద (3)', '1 వ ఇన్నింగ్స్ లో వచ్చిన ఎక్కువ పనికత్తెలయొద్ద (2)']</v>
      </c>
      <c r="I8154" s="3"/>
    </row>
    <row r="8155" customHeight="1" spans="1:9">
      <c r="A8155" s="2"/>
      <c r="B8155" s="2" t="str">
        <f>IFERROR(__xludf.DUMMYFUNCTION("IF(A8155&lt;&gt;"""", GOOGLETRANSLATE(A8155, ""en"", ""te""),"""")"),"")</f>
        <v/>
      </c>
      <c r="C8155" s="2"/>
      <c r="D8155" s="2" t="str">
        <f>IFERROR(__xludf.DUMMYFUNCTION("IF(C8155&lt;&gt;"""", GOOGLETRANSLATE(C8155, ""en"", ""te""),"""")"),"")</f>
        <v/>
      </c>
      <c r="E8155" s="2"/>
      <c r="F8155" s="2" t="str">
        <f>IFERROR(__xludf.DUMMYFUNCTION("IF(E8155&lt;&gt;"""", GOOGLETRANSLATE(E8155, ""en"", ""te""),"""")"),"")</f>
        <v/>
      </c>
      <c r="G8155" s="2" t="s">
        <v>4553</v>
      </c>
      <c r="H8155" s="2" t="str">
        <f>IFERROR(__xludf.DUMMYFUNCTION("IF(G8155&lt;&gt;"""", GOOGLETRANSLATE(G8155, ""en"", ""te""),"""")"),"[ 'వికెట్ను కాపాడుకున్నాడు చేసిన 16 వ కెప్టెన్ల (5)', '13 వ ఇన్నింగ్స్ లో అత్యధిక క్యాచ్లు (3)']")</f>
        <v>[ 'వికెట్ను కాపాడుకున్నాడు చేసిన 16 వ కెప్టెన్ల (5)', '13 వ ఇన్నింగ్స్ లో అత్యధిక క్యాచ్లు (3)']</v>
      </c>
      <c r="I8155" s="3"/>
    </row>
    <row r="8156" customHeight="1" spans="1:9">
      <c r="A8156" s="2"/>
      <c r="B8156" s="2" t="str">
        <f>IFERROR(__xludf.DUMMYFUNCTION("IF(A8156&lt;&gt;"""", GOOGLETRANSLATE(A8156, ""en"", ""te""),"""")"),"")</f>
        <v/>
      </c>
      <c r="C8156" s="2"/>
      <c r="D8156" s="2" t="str">
        <f>IFERROR(__xludf.DUMMYFUNCTION("IF(C8156&lt;&gt;"""", GOOGLETRANSLATE(C8156, ""en"", ""te""),"""")"),"")</f>
        <v/>
      </c>
      <c r="E8156" s="2"/>
      <c r="F8156" s="2" t="str">
        <f>IFERROR(__xludf.DUMMYFUNCTION("IF(E8156&lt;&gt;"""", GOOGLETRANSLATE(E8156, ""en"", ""te""),"""")"),"")</f>
        <v/>
      </c>
      <c r="G8156" s="2"/>
      <c r="H8156" s="2" t="str">
        <f>IFERROR(__xludf.DUMMYFUNCTION("IF(G8156&lt;&gt;"""", GOOGLETRANSLATE(G8156, ""en"", ""te""),"""")"),"")</f>
        <v/>
      </c>
      <c r="I8156" s="3"/>
    </row>
    <row r="8157" customHeight="1" spans="1:9">
      <c r="A8157" s="2" t="s">
        <v>4554</v>
      </c>
      <c r="B8157" s="2" t="str">
        <f>IFERROR(__xludf.DUMMYFUNCTION("IF(A8157&lt;&gt;"""", GOOGLETRANSLATE(A8157, ""en"", ""te""),"""")"),"[ 'ఇన్నింగ్స్ లో 1 వ అత్యంత పనికత్తెలయొద్ద (2)' '3 వ అత్యుత్తమ ఇన్నింగ్స్ లో విశ్లేషణలు బౌలింగ్ (5/4)',]")</f>
        <v>[ 'ఇన్నింగ్స్ లో 1 వ అత్యంత పనికత్తెలయొద్ద (2)' '3 వ అత్యుత్తమ ఇన్నింగ్స్ లో విశ్లేషణలు బౌలింగ్ (5/4)',]</v>
      </c>
      <c r="C8157" s="2"/>
      <c r="D8157" s="2" t="str">
        <f>IFERROR(__xludf.DUMMYFUNCTION("IF(C8157&lt;&gt;"""", GOOGLETRANSLATE(C8157, ""en"", ""te""),"""")"),"")</f>
        <v/>
      </c>
      <c r="E8157" s="2"/>
      <c r="F8157" s="2" t="str">
        <f>IFERROR(__xludf.DUMMYFUNCTION("IF(E8157&lt;&gt;"""", GOOGLETRANSLATE(E8157, ""en"", ""te""),"""")"),"")</f>
        <v/>
      </c>
      <c r="G8157" s="2" t="s">
        <v>4555</v>
      </c>
      <c r="H8157" s="2" t="str">
        <f>IFERROR(__xludf.DUMMYFUNCTION("IF(G8157&lt;&gt;"""", GOOGLETRANSLATE(G8157, ""en"", ""te""),"""")"),"[ 'ఇన్నింగ్స్ లో 8 వ బెస్ట్ ఫిగర్స్ (5/4)', 'ఇన్నింగ్స్ లో 3 వ అత్యుత్తమ బౌలింగ్ విశ్లేషణలు (5/4)', '1st ఇందులో అత్యంత పనికత్తెలయొద్ద' 42 వ సగటు (అర్హత లేకుండా) (8.40) బౌలింగ్ ఉత్తమ కెరీర్లో ' ఇన్నింగ్స్ (2) ']")</f>
        <v>[ 'ఇన్నింగ్స్ లో 8 వ బెస్ట్ ఫిగర్స్ (5/4)', 'ఇన్నింగ్స్ లో 3 వ అత్యుత్తమ బౌలింగ్ విశ్లేషణలు (5/4)', '1st ఇందులో అత్యంత పనికత్తెలయొద్ద' 42 వ సగటు (అర్హత లేకుండా) (8.40) బౌలింగ్ ఉత్తమ కెరీర్లో ' ఇన్నింగ్స్ (2) ']</v>
      </c>
      <c r="I8157" s="3"/>
    </row>
    <row r="8158" customHeight="1" spans="1:9">
      <c r="A8158" s="2"/>
      <c r="B8158" s="2" t="str">
        <f>IFERROR(__xludf.DUMMYFUNCTION("IF(A8158&lt;&gt;"""", GOOGLETRANSLATE(A8158, ""en"", ""te""),"""")"),"")</f>
        <v/>
      </c>
      <c r="C8158" s="2"/>
      <c r="D8158" s="2" t="str">
        <f>IFERROR(__xludf.DUMMYFUNCTION("IF(C8158&lt;&gt;"""", GOOGLETRANSLATE(C8158, ""en"", ""te""),"""")"),"")</f>
        <v/>
      </c>
      <c r="E8158" s="2"/>
      <c r="F8158" s="2" t="str">
        <f>IFERROR(__xludf.DUMMYFUNCTION("IF(E8158&lt;&gt;"""", GOOGLETRANSLATE(E8158, ""en"", ""te""),"""")"),"")</f>
        <v/>
      </c>
      <c r="G8158" s="2"/>
      <c r="H8158" s="2" t="str">
        <f>IFERROR(__xludf.DUMMYFUNCTION("IF(G8158&lt;&gt;"""", GOOGLETRANSLATE(G8158, ""en"", ""te""),"""")"),"")</f>
        <v/>
      </c>
      <c r="I8158" s="3"/>
    </row>
    <row r="8159" customHeight="1" spans="1:9">
      <c r="A8159" s="2"/>
      <c r="B8159" s="2" t="str">
        <f>IFERROR(__xludf.DUMMYFUNCTION("IF(A8159&lt;&gt;"""", GOOGLETRANSLATE(A8159, ""en"", ""te""),"""")"),"")</f>
        <v/>
      </c>
      <c r="C8159" s="2"/>
      <c r="D8159" s="2" t="str">
        <f>IFERROR(__xludf.DUMMYFUNCTION("IF(C8159&lt;&gt;"""", GOOGLETRANSLATE(C8159, ""en"", ""te""),"""")"),"")</f>
        <v/>
      </c>
      <c r="E8159" s="2"/>
      <c r="F8159" s="2" t="str">
        <f>IFERROR(__xludf.DUMMYFUNCTION("IF(E8159&lt;&gt;"""", GOOGLETRANSLATE(E8159, ""en"", ""te""),"""")"),"")</f>
        <v/>
      </c>
      <c r="G8159" s="2" t="s">
        <v>4556</v>
      </c>
      <c r="H8159" s="2" t="str">
        <f>IFERROR(__xludf.DUMMYFUNCTION("IF(G8159&lt;&gt;"""", GOOGLETRANSLATE(G8159, ""en"", ""te""),"""")"),"[ 'ఎనిమిదవ వికెట్కు 19 అత్యధిక భాగస్వామ్యం (44)']")</f>
        <v>[ 'ఎనిమిదవ వికెట్కు 19 అత్యధిక భాగస్వామ్యం (44)']</v>
      </c>
      <c r="I8159" s="3"/>
    </row>
    <row r="8160" customHeight="1" spans="1:9">
      <c r="A8160" s="2"/>
      <c r="B8160" s="2" t="str">
        <f>IFERROR(__xludf.DUMMYFUNCTION("IF(A8160&lt;&gt;"""", GOOGLETRANSLATE(A8160, ""en"", ""te""),"""")"),"")</f>
        <v/>
      </c>
      <c r="C8160" s="2"/>
      <c r="D8160" s="2" t="str">
        <f>IFERROR(__xludf.DUMMYFUNCTION("IF(C8160&lt;&gt;"""", GOOGLETRANSLATE(C8160, ""en"", ""te""),"""")"),"")</f>
        <v/>
      </c>
      <c r="E8160" s="2"/>
      <c r="F8160" s="2" t="str">
        <f>IFERROR(__xludf.DUMMYFUNCTION("IF(E8160&lt;&gt;"""", GOOGLETRANSLATE(E8160, ""en"", ""te""),"""")"),"")</f>
        <v/>
      </c>
      <c r="G8160" s="2"/>
      <c r="H8160" s="2" t="str">
        <f>IFERROR(__xludf.DUMMYFUNCTION("IF(G8160&lt;&gt;"""", GOOGLETRANSLATE(G8160, ""en"", ""te""),"""")"),"")</f>
        <v/>
      </c>
      <c r="I8160" s="3"/>
    </row>
    <row r="8161" customHeight="1" spans="1:9">
      <c r="A8161" s="2"/>
      <c r="B8161" s="2" t="str">
        <f>IFERROR(__xludf.DUMMYFUNCTION("IF(A8161&lt;&gt;"""", GOOGLETRANSLATE(A8161, ""en"", ""te""),"""")"),"")</f>
        <v/>
      </c>
      <c r="C8161" s="2"/>
      <c r="D8161" s="2" t="str">
        <f>IFERROR(__xludf.DUMMYFUNCTION("IF(C8161&lt;&gt;"""", GOOGLETRANSLATE(C8161, ""en"", ""te""),"""")"),"")</f>
        <v/>
      </c>
      <c r="E8161" s="2"/>
      <c r="F8161" s="2" t="str">
        <f>IFERROR(__xludf.DUMMYFUNCTION("IF(E8161&lt;&gt;"""", GOOGLETRANSLATE(E8161, ""en"", ""te""),"""")"),"")</f>
        <v/>
      </c>
      <c r="G8161" s="2" t="s">
        <v>2984</v>
      </c>
      <c r="H8161" s="2" t="str">
        <f>IFERROR(__xludf.DUMMYFUNCTION("IF(G8161&lt;&gt;"""", GOOGLETRANSLATE(G8161, ""en"", ""te""),"""")"),"[ '13 వ ఇన్నింగ్స్ లో అత్యధిక క్యాచ్లు (3)']")</f>
        <v>[ '13 వ ఇన్నింగ్స్ లో అత్యధిక క్యాచ్లు (3)']</v>
      </c>
      <c r="I8161" s="3"/>
    </row>
    <row r="8162" customHeight="1" spans="1:9">
      <c r="A8162" s="2" t="s">
        <v>4557</v>
      </c>
      <c r="B8162" s="2" t="str">
        <f>IFERROR(__xludf.DUMMYFUNCTION("IF(A8162&lt;&gt;"""", GOOGLETRANSLATE(A8162, ""en"", ""te""),"""")"),"[ 'ఒక కెప్టెన్తో ఒక ఇన్నింగ్స్ లో 4 వ ఉత్తమ బొమ్మలు (4)']")</f>
        <v>[ 'ఒక కెప్టెన్తో ఒక ఇన్నింగ్స్ లో 4 వ ఉత్తమ బొమ్మలు (4)']</v>
      </c>
      <c r="C8162" s="2"/>
      <c r="D8162" s="2" t="str">
        <f>IFERROR(__xludf.DUMMYFUNCTION("IF(C8162&lt;&gt;"""", GOOGLETRANSLATE(C8162, ""en"", ""te""),"""")"),"")</f>
        <v/>
      </c>
      <c r="E8162" s="2"/>
      <c r="F8162" s="2" t="str">
        <f>IFERROR(__xludf.DUMMYFUNCTION("IF(E8162&lt;&gt;"""", GOOGLETRANSLATE(E8162, ""en"", ""te""),"""")"),"")</f>
        <v/>
      </c>
      <c r="G8162" s="2" t="s">
        <v>4558</v>
      </c>
      <c r="H8162" s="2" t="str">
        <f>IFERROR(__xludf.DUMMYFUNCTION("IF(G8162&lt;&gt;"""", GOOGLETRANSLATE(G8162, ""en"", ""te""),"""")"),"[ 'ఒక కెప్టెన్తో ఒక ఇన్నింగ్స్ లో 4 వ ఉత్తమ బొమ్మలు (4)' '7th అత్యుత్తమ బౌలింగ్ ఇన్నింగ్స్ లో విశ్లేషించడం (2/3)', '32 వ ఉత్తమ కెరీర్ బౌలింగ్ సరాసరి (అర్హత లేకుండా) (7.12)']")</f>
        <v>[ 'ఒక కెప్టెన్తో ఒక ఇన్నింగ్స్ లో 4 వ ఉత్తమ బొమ్మలు (4)' '7th అత్యుత్తమ బౌలింగ్ ఇన్నింగ్స్ లో విశ్లేషించడం (2/3)', '32 వ ఉత్తమ కెరీర్ బౌలింగ్ సరాసరి (అర్హత లేకుండా) (7.12)']</v>
      </c>
      <c r="I8162" s="3"/>
    </row>
    <row r="8163" customHeight="1" spans="1:9">
      <c r="A8163" s="2"/>
      <c r="B8163" s="2" t="str">
        <f>IFERROR(__xludf.DUMMYFUNCTION("IF(A8163&lt;&gt;"""", GOOGLETRANSLATE(A8163, ""en"", ""te""),"""")"),"")</f>
        <v/>
      </c>
      <c r="C8163" s="2"/>
      <c r="D8163" s="2" t="str">
        <f>IFERROR(__xludf.DUMMYFUNCTION("IF(C8163&lt;&gt;"""", GOOGLETRANSLATE(C8163, ""en"", ""te""),"""")"),"")</f>
        <v/>
      </c>
      <c r="E8163" s="2"/>
      <c r="F8163" s="2" t="str">
        <f>IFERROR(__xludf.DUMMYFUNCTION("IF(E8163&lt;&gt;"""", GOOGLETRANSLATE(E8163, ""en"", ""te""),"""")"),"")</f>
        <v/>
      </c>
      <c r="G8163" s="2" t="s">
        <v>4559</v>
      </c>
      <c r="H8163" s="2" t="str">
        <f>IFERROR(__xludf.DUMMYFUNCTION("IF(G8163&lt;&gt;"""", GOOGLETRANSLATE(G8163, ""en"", ""te""),"""")"),"[ 'తొలి 40 వ ఓల్డెస్ట్ క్రీడాకారులు (41y 76d)']")</f>
        <v>[ 'తొలి 40 వ ఓల్డెస్ట్ క్రీడాకారులు (41y 76d)']</v>
      </c>
      <c r="I8163" s="3"/>
    </row>
    <row r="8164" customHeight="1" spans="1:9">
      <c r="A8164" s="2"/>
      <c r="B8164" s="2" t="str">
        <f>IFERROR(__xludf.DUMMYFUNCTION("IF(A8164&lt;&gt;"""", GOOGLETRANSLATE(A8164, ""en"", ""te""),"""")"),"")</f>
        <v/>
      </c>
      <c r="C8164" s="2"/>
      <c r="D8164" s="2" t="str">
        <f>IFERROR(__xludf.DUMMYFUNCTION("IF(C8164&lt;&gt;"""", GOOGLETRANSLATE(C8164, ""en"", ""te""),"""")"),"")</f>
        <v/>
      </c>
      <c r="E8164" s="2"/>
      <c r="F8164" s="2" t="str">
        <f>IFERROR(__xludf.DUMMYFUNCTION("IF(E8164&lt;&gt;"""", GOOGLETRANSLATE(E8164, ""en"", ""te""),"""")"),"")</f>
        <v/>
      </c>
      <c r="G8164" s="2"/>
      <c r="H8164" s="2" t="str">
        <f>IFERROR(__xludf.DUMMYFUNCTION("IF(G8164&lt;&gt;"""", GOOGLETRANSLATE(G8164, ""en"", ""te""),"""")"),"")</f>
        <v/>
      </c>
      <c r="I8164" s="3"/>
    </row>
    <row r="8165" customHeight="1" spans="1:9">
      <c r="A8165" s="2"/>
      <c r="B8165" s="2" t="str">
        <f>IFERROR(__xludf.DUMMYFUNCTION("IF(A8165&lt;&gt;"""", GOOGLETRANSLATE(A8165, ""en"", ""te""),"""")"),"")</f>
        <v/>
      </c>
      <c r="C8165" s="2"/>
      <c r="D8165" s="2" t="str">
        <f>IFERROR(__xludf.DUMMYFUNCTION("IF(C8165&lt;&gt;"""", GOOGLETRANSLATE(C8165, ""en"", ""te""),"""")"),"")</f>
        <v/>
      </c>
      <c r="E8165" s="2"/>
      <c r="F8165" s="2" t="str">
        <f>IFERROR(__xludf.DUMMYFUNCTION("IF(E8165&lt;&gt;"""", GOOGLETRANSLATE(E8165, ""en"", ""te""),"""")"),"")</f>
        <v/>
      </c>
      <c r="G8165" s="2"/>
      <c r="H8165" s="2" t="str">
        <f>IFERROR(__xludf.DUMMYFUNCTION("IF(G8165&lt;&gt;"""", GOOGLETRANSLATE(G8165, ""en"", ""te""),"""")"),"")</f>
        <v/>
      </c>
      <c r="I8165" s="3"/>
    </row>
    <row r="8166" customHeight="1" spans="1:9">
      <c r="A8166" s="2" t="s">
        <v>4560</v>
      </c>
      <c r="B8166" s="2" t="str">
        <f>IFERROR(__xludf.DUMMYFUNCTION("IF(A8166&lt;&gt;"""", GOOGLETRANSLATE(A8166, ""en"", ""te""),"""")"),"[ 'ఇన్నింగ్స్ లో 1 వ అత్యంత పనికత్తెలయొద్ద (2)' '8 వ అత్యుత్తమ ఇన్నింగ్స్ లో విశ్లేషణలు బౌలింగ్ (1/1)',]")</f>
        <v>[ 'ఇన్నింగ్స్ లో 1 వ అత్యంత పనికత్తెలయొద్ద (2)' '8 వ అత్యుత్తమ ఇన్నింగ్స్ లో విశ్లేషణలు బౌలింగ్ (1/1)',]</v>
      </c>
      <c r="C8166" s="2"/>
      <c r="D8166" s="2" t="str">
        <f>IFERROR(__xludf.DUMMYFUNCTION("IF(C8166&lt;&gt;"""", GOOGLETRANSLATE(C8166, ""en"", ""te""),"""")"),"")</f>
        <v/>
      </c>
      <c r="E8166" s="2"/>
      <c r="F8166" s="2" t="str">
        <f>IFERROR(__xludf.DUMMYFUNCTION("IF(E8166&lt;&gt;"""", GOOGLETRANSLATE(E8166, ""en"", ""te""),"""")"),"")</f>
        <v/>
      </c>
      <c r="G8166" s="2" t="s">
        <v>4561</v>
      </c>
      <c r="H8166" s="2" t="str">
        <f>IFERROR(__xludf.DUMMYFUNCTION("IF(G8166&lt;&gt;"""", GOOGLETRANSLATE(G8166, ""en"", ""te""),"""")"),"[ '8 వ అత్యుత్తమ ఇన్నింగ్స్ లో విశ్లేషణలు బౌలింగ్ (1/1)', '15 వ ఉత్తమ కెరీర్ బౌలింగ్ సరాసరి (అర్హత లేకుండా) (5.25)', 'ఇన్నింగ్స్ లో 1 వ అత్యంత పనికత్తెలయొద్ద (2)']")</f>
        <v>[ '8 వ అత్యుత్తమ ఇన్నింగ్స్ లో విశ్లేషణలు బౌలింగ్ (1/1)', '15 వ ఉత్తమ కెరీర్ బౌలింగ్ సరాసరి (అర్హత లేకుండా) (5.25)', 'ఇన్నింగ్స్ లో 1 వ అత్యంత పనికత్తెలయొద్ద (2)']</v>
      </c>
      <c r="I8166" s="3"/>
    </row>
    <row r="8167" customHeight="1" spans="1:9">
      <c r="A8167" s="2"/>
      <c r="B8167" s="2" t="str">
        <f>IFERROR(__xludf.DUMMYFUNCTION("IF(A8167&lt;&gt;"""", GOOGLETRANSLATE(A8167, ""en"", ""te""),"""")"),"")</f>
        <v/>
      </c>
      <c r="C8167" s="2"/>
      <c r="D8167" s="2" t="str">
        <f>IFERROR(__xludf.DUMMYFUNCTION("IF(C8167&lt;&gt;"""", GOOGLETRANSLATE(C8167, ""en"", ""te""),"""")"),"")</f>
        <v/>
      </c>
      <c r="E8167" s="2"/>
      <c r="F8167" s="2" t="str">
        <f>IFERROR(__xludf.DUMMYFUNCTION("IF(E8167&lt;&gt;"""", GOOGLETRANSLATE(E8167, ""en"", ""te""),"""")"),"")</f>
        <v/>
      </c>
      <c r="G8167" s="2"/>
      <c r="H8167" s="2" t="str">
        <f>IFERROR(__xludf.DUMMYFUNCTION("IF(G8167&lt;&gt;"""", GOOGLETRANSLATE(G8167, ""en"", ""te""),"""")"),"")</f>
        <v/>
      </c>
      <c r="I8167" s="3"/>
    </row>
    <row r="8168" customHeight="1" spans="1:9">
      <c r="A8168" s="2"/>
      <c r="B8168" s="2" t="str">
        <f>IFERROR(__xludf.DUMMYFUNCTION("IF(A8168&lt;&gt;"""", GOOGLETRANSLATE(A8168, ""en"", ""te""),"""")"),"")</f>
        <v/>
      </c>
      <c r="C8168" s="2"/>
      <c r="D8168" s="2" t="str">
        <f>IFERROR(__xludf.DUMMYFUNCTION("IF(C8168&lt;&gt;"""", GOOGLETRANSLATE(C8168, ""en"", ""te""),"""")"),"")</f>
        <v/>
      </c>
      <c r="E8168" s="2"/>
      <c r="F8168" s="2" t="str">
        <f>IFERROR(__xludf.DUMMYFUNCTION("IF(E8168&lt;&gt;"""", GOOGLETRANSLATE(E8168, ""en"", ""te""),"""")"),"")</f>
        <v/>
      </c>
      <c r="G8168" s="2" t="s">
        <v>4562</v>
      </c>
      <c r="H8168" s="2" t="str">
        <f>IFERROR(__xludf.DUMMYFUNCTION("IF(G8168&lt;&gt;"""", GOOGLETRANSLATE(G8168, ""en"", ""te""),"""")"),"[ 'నాలుగవ వికెట్కు 46 వ అత్యధిక భాగస్వామ్యం (83 *)']")</f>
        <v>[ 'నాలుగవ వికెట్కు 46 వ అత్యధిక భాగస్వామ్యం (83 *)']</v>
      </c>
      <c r="I8168" s="3"/>
    </row>
    <row r="8169" customHeight="1" spans="1:9">
      <c r="A8169" s="2"/>
      <c r="B8169" s="2" t="str">
        <f>IFERROR(__xludf.DUMMYFUNCTION("IF(A8169&lt;&gt;"""", GOOGLETRANSLATE(A8169, ""en"", ""te""),"""")"),"")</f>
        <v/>
      </c>
      <c r="C8169" s="2"/>
      <c r="D8169" s="2" t="str">
        <f>IFERROR(__xludf.DUMMYFUNCTION("IF(C8169&lt;&gt;"""", GOOGLETRANSLATE(C8169, ""en"", ""te""),"""")"),"")</f>
        <v/>
      </c>
      <c r="E8169" s="2"/>
      <c r="F8169" s="2" t="str">
        <f>IFERROR(__xludf.DUMMYFUNCTION("IF(E8169&lt;&gt;"""", GOOGLETRANSLATE(E8169, ""en"", ""te""),"""")"),"")</f>
        <v/>
      </c>
      <c r="G8169" s="2" t="s">
        <v>4563</v>
      </c>
      <c r="H8169" s="2" t="str">
        <f>IFERROR(__xludf.DUMMYFUNCTION("IF(G8169&lt;&gt;"""", GOOGLETRANSLATE(G8169, ""en"", ""te""),"""")"),"[ '12 వ అత్యుత్తమ ఇన్నింగ్స్ లో విశ్లేషణలు బౌలింగ్ (3/2)', '25 వ ఉత్తమ కెరీర్ బౌలింగ్ సరాసరి (అర్హత లేకుండా) (5.87)' ఒక 'ఇన్నింగ్స్ లో 41 వ ఉత్తమ ఆర్థిక రేటు (0.66)', '12 వ అత్యంత పనికత్తెలయొద్ద ఇన్నింగ్స్ (2) ']")</f>
        <v>[ '12 వ అత్యుత్తమ ఇన్నింగ్స్ లో విశ్లేషణలు బౌలింగ్ (3/2)', '25 వ ఉత్తమ కెరీర్ బౌలింగ్ సరాసరి (అర్హత లేకుండా) (5.87)' ఒక 'ఇన్నింగ్స్ లో 41 వ ఉత్తమ ఆర్థిక రేటు (0.66)', '12 వ అత్యంత పనికత్తెలయొద్ద ఇన్నింగ్స్ (2) ']</v>
      </c>
      <c r="I8169" s="3"/>
    </row>
    <row r="8170" customHeight="1" spans="1:9">
      <c r="A8170" s="2"/>
      <c r="B8170" s="2" t="str">
        <f>IFERROR(__xludf.DUMMYFUNCTION("IF(A8170&lt;&gt;"""", GOOGLETRANSLATE(A8170, ""en"", ""te""),"""")"),"")</f>
        <v/>
      </c>
      <c r="C8170" s="2"/>
      <c r="D8170" s="2" t="str">
        <f>IFERROR(__xludf.DUMMYFUNCTION("IF(C8170&lt;&gt;"""", GOOGLETRANSLATE(C8170, ""en"", ""te""),"""")"),"")</f>
        <v/>
      </c>
      <c r="E8170" s="2"/>
      <c r="F8170" s="2" t="str">
        <f>IFERROR(__xludf.DUMMYFUNCTION("IF(E8170&lt;&gt;"""", GOOGLETRANSLATE(E8170, ""en"", ""te""),"""")"),"")</f>
        <v/>
      </c>
      <c r="G8170" s="2" t="s">
        <v>4564</v>
      </c>
      <c r="H8170" s="2" t="str">
        <f>IFERROR(__xludf.DUMMYFUNCTION("IF(G8170&lt;&gt;"""", GOOGLETRANSLATE(G8170, ""en"", ""te""),"""")"),"[ '34 వ ఉత్తమ కెరీర్ బౌలింగ్ సరాసరి (అర్హత లేకుండా) (7.75)']")</f>
        <v>[ '34 వ ఉత్తమ కెరీర్ బౌలింగ్ సరాసరి (అర్హత లేకుండా) (7.75)']</v>
      </c>
      <c r="I8170" s="3"/>
    </row>
    <row r="8171" customHeight="1" spans="1:9">
      <c r="A8171" s="2"/>
      <c r="B8171" s="2" t="str">
        <f>IFERROR(__xludf.DUMMYFUNCTION("IF(A8171&lt;&gt;"""", GOOGLETRANSLATE(A8171, ""en"", ""te""),"""")"),"")</f>
        <v/>
      </c>
      <c r="C8171" s="2"/>
      <c r="D8171" s="2" t="str">
        <f>IFERROR(__xludf.DUMMYFUNCTION("IF(C8171&lt;&gt;"""", GOOGLETRANSLATE(C8171, ""en"", ""te""),"""")"),"")</f>
        <v/>
      </c>
      <c r="E8171" s="2"/>
      <c r="F8171" s="2" t="str">
        <f>IFERROR(__xludf.DUMMYFUNCTION("IF(E8171&lt;&gt;"""", GOOGLETRANSLATE(E8171, ""en"", ""te""),"""")"),"")</f>
        <v/>
      </c>
      <c r="G8171" s="2"/>
      <c r="H8171" s="2" t="str">
        <f>IFERROR(__xludf.DUMMYFUNCTION("IF(G8171&lt;&gt;"""", GOOGLETRANSLATE(G8171, ""en"", ""te""),"""")"),"")</f>
        <v/>
      </c>
      <c r="I8171" s="3"/>
    </row>
    <row r="8172" customHeight="1" spans="1:9">
      <c r="A8172" s="2"/>
      <c r="B8172" s="2" t="str">
        <f>IFERROR(__xludf.DUMMYFUNCTION("IF(A8172&lt;&gt;"""", GOOGLETRANSLATE(A8172, ""en"", ""te""),"""")"),"")</f>
        <v/>
      </c>
      <c r="C8172" s="2"/>
      <c r="D8172" s="2" t="str">
        <f>IFERROR(__xludf.DUMMYFUNCTION("IF(C8172&lt;&gt;"""", GOOGLETRANSLATE(C8172, ""en"", ""te""),"""")"),"")</f>
        <v/>
      </c>
      <c r="E8172" s="2"/>
      <c r="F8172" s="2" t="str">
        <f>IFERROR(__xludf.DUMMYFUNCTION("IF(E8172&lt;&gt;"""", GOOGLETRANSLATE(E8172, ""en"", ""te""),"""")"),"")</f>
        <v/>
      </c>
      <c r="G8172" s="2"/>
      <c r="H8172" s="2" t="str">
        <f>IFERROR(__xludf.DUMMYFUNCTION("IF(G8172&lt;&gt;"""", GOOGLETRANSLATE(G8172, ""en"", ""te""),"""")"),"")</f>
        <v/>
      </c>
      <c r="I8172" s="3"/>
    </row>
    <row r="8173" customHeight="1" spans="1:9">
      <c r="A8173" s="2"/>
      <c r="B8173" s="2" t="str">
        <f>IFERROR(__xludf.DUMMYFUNCTION("IF(A8173&lt;&gt;"""", GOOGLETRANSLATE(A8173, ""en"", ""te""),"""")"),"")</f>
        <v/>
      </c>
      <c r="C8173" s="2"/>
      <c r="D8173" s="2" t="str">
        <f>IFERROR(__xludf.DUMMYFUNCTION("IF(C8173&lt;&gt;"""", GOOGLETRANSLATE(C8173, ""en"", ""te""),"""")"),"")</f>
        <v/>
      </c>
      <c r="E8173" s="2"/>
      <c r="F8173" s="2" t="str">
        <f>IFERROR(__xludf.DUMMYFUNCTION("IF(E8173&lt;&gt;"""", GOOGLETRANSLATE(E8173, ""en"", ""te""),"""")"),"")</f>
        <v/>
      </c>
      <c r="G8173" s="2"/>
      <c r="H8173" s="2" t="str">
        <f>IFERROR(__xludf.DUMMYFUNCTION("IF(G8173&lt;&gt;"""", GOOGLETRANSLATE(G8173, ""en"", ""te""),"""")"),"")</f>
        <v/>
      </c>
      <c r="I8173" s="3"/>
    </row>
    <row r="8174" customHeight="1" spans="1:9">
      <c r="A8174" s="2"/>
      <c r="B8174" s="2" t="str">
        <f>IFERROR(__xludf.DUMMYFUNCTION("IF(A8174&lt;&gt;"""", GOOGLETRANSLATE(A8174, ""en"", ""te""),"""")"),"")</f>
        <v/>
      </c>
      <c r="C8174" s="2"/>
      <c r="D8174" s="2" t="str">
        <f>IFERROR(__xludf.DUMMYFUNCTION("IF(C8174&lt;&gt;"""", GOOGLETRANSLATE(C8174, ""en"", ""te""),"""")"),"")</f>
        <v/>
      </c>
      <c r="E8174" s="2"/>
      <c r="F8174" s="2" t="str">
        <f>IFERROR(__xludf.DUMMYFUNCTION("IF(E8174&lt;&gt;"""", GOOGLETRANSLATE(E8174, ""en"", ""te""),"""")"),"")</f>
        <v/>
      </c>
      <c r="G8174" s="2" t="s">
        <v>4565</v>
      </c>
      <c r="H8174" s="2" t="str">
        <f>IFERROR(__xludf.DUMMYFUNCTION("IF(G8174&lt;&gt;"""", GOOGLETRANSLATE(G8174, ""en"", ""te""),"""")"),"[ '42 వ ఒక క్యాలెండర్ సంవత్సరంలో అత్యధిక వికెట్లు (19)', 'ఒక కెప్టెన్తో ఒక ఇన్నింగ్స్ లో 20 వ బెస్ట్ ఫిగర్స్ (3)', '45 వ బౌలర్ / ఫీల్డర్ కలయికలు (6)', '22 వ ఓల్డెస్ట్ కాప్టెన్ (39y 17d)', 'కెప్టెన్సీ తొలి 20 వ ఓల్డెస్ట్ కాప్టెన్ (38y 156d)']")</f>
        <v>[ '42 వ ఒక క్యాలెండర్ సంవత్సరంలో అత్యధిక వికెట్లు (19)', 'ఒక కెప్టెన్తో ఒక ఇన్నింగ్స్ లో 20 వ బెస్ట్ ఫిగర్స్ (3)', '45 వ బౌలర్ / ఫీల్డర్ కలయికలు (6)', '22 వ ఓల్డెస్ట్ కాప్టెన్ (39y 17d)', 'కెప్టెన్సీ తొలి 20 వ ఓల్డెస్ట్ కాప్టెన్ (38y 156d)']</v>
      </c>
      <c r="I8174" s="3"/>
    </row>
    <row r="8175" customHeight="1" spans="1:9">
      <c r="A8175" s="2" t="s">
        <v>667</v>
      </c>
      <c r="B8175" s="2" t="str">
        <f>IFERROR(__xludf.DUMMYFUNCTION("IF(A8175&lt;&gt;"""", GOOGLETRANSLATE(A8175, ""en"", ""te""),"""")"),"[ 'ఇన్నింగ్స్ లో 1 వ అత్యంత పనికత్తెలయొద్ద (2)']")</f>
        <v>[ 'ఇన్నింగ్స్ లో 1 వ అత్యంత పనికత్తెలయొద్ద (2)']</v>
      </c>
      <c r="C8175" s="2"/>
      <c r="D8175" s="2" t="str">
        <f>IFERROR(__xludf.DUMMYFUNCTION("IF(C8175&lt;&gt;"""", GOOGLETRANSLATE(C8175, ""en"", ""te""),"""")"),"")</f>
        <v/>
      </c>
      <c r="E8175" s="2"/>
      <c r="F8175" s="2" t="str">
        <f>IFERROR(__xludf.DUMMYFUNCTION("IF(E8175&lt;&gt;"""", GOOGLETRANSLATE(E8175, ""en"", ""te""),"""")"),"")</f>
        <v/>
      </c>
      <c r="G8175" s="2" t="s">
        <v>4566</v>
      </c>
      <c r="H8175" s="2" t="str">
        <f>IFERROR(__xludf.DUMMYFUNCTION("IF(G8175&lt;&gt;"""", GOOGLETRANSLATE(G8175, ""en"", ""te""),"""")"),"[ 'ఇన్నింగ్స్ లో 1 వ అత్యంత పనికత్తెలయొద్ద (2)', 'పదవ వికెట్ను (15 *) కోసం 47 వ అత్యధిక భాగస్వామ్యం']")</f>
        <v>[ 'ఇన్నింగ్స్ లో 1 వ అత్యంత పనికత్తెలయొద్ద (2)', 'పదవ వికెట్ను (15 *) కోసం 47 వ అత్యధిక భాగస్వామ్యం']</v>
      </c>
      <c r="I8175" s="3"/>
    </row>
    <row r="8176" customHeight="1" spans="1:9">
      <c r="A8176" s="2"/>
      <c r="B8176" s="2" t="str">
        <f>IFERROR(__xludf.DUMMYFUNCTION("IF(A8176&lt;&gt;"""", GOOGLETRANSLATE(A8176, ""en"", ""te""),"""")"),"")</f>
        <v/>
      </c>
      <c r="C8176" s="2"/>
      <c r="D8176" s="2" t="str">
        <f>IFERROR(__xludf.DUMMYFUNCTION("IF(C8176&lt;&gt;"""", GOOGLETRANSLATE(C8176, ""en"", ""te""),"""")"),"")</f>
        <v/>
      </c>
      <c r="E8176" s="2"/>
      <c r="F8176" s="2" t="str">
        <f>IFERROR(__xludf.DUMMYFUNCTION("IF(E8176&lt;&gt;"""", GOOGLETRANSLATE(E8176, ""en"", ""te""),"""")"),"")</f>
        <v/>
      </c>
      <c r="G8176" s="2"/>
      <c r="H8176" s="2" t="str">
        <f>IFERROR(__xludf.DUMMYFUNCTION("IF(G8176&lt;&gt;"""", GOOGLETRANSLATE(G8176, ""en"", ""te""),"""")"),"")</f>
        <v/>
      </c>
      <c r="I8176" s="3"/>
    </row>
    <row r="8177" customHeight="1" spans="1:9">
      <c r="A8177" s="2"/>
      <c r="B8177" s="2" t="str">
        <f>IFERROR(__xludf.DUMMYFUNCTION("IF(A8177&lt;&gt;"""", GOOGLETRANSLATE(A8177, ""en"", ""te""),"""")"),"")</f>
        <v/>
      </c>
      <c r="C8177" s="2"/>
      <c r="D8177" s="2" t="str">
        <f>IFERROR(__xludf.DUMMYFUNCTION("IF(C8177&lt;&gt;"""", GOOGLETRANSLATE(C8177, ""en"", ""te""),"""")"),"")</f>
        <v/>
      </c>
      <c r="E8177" s="2"/>
      <c r="F8177" s="2" t="str">
        <f>IFERROR(__xludf.DUMMYFUNCTION("IF(E8177&lt;&gt;"""", GOOGLETRANSLATE(E8177, ""en"", ""te""),"""")"),"")</f>
        <v/>
      </c>
      <c r="G8177" s="2"/>
      <c r="H8177" s="2" t="str">
        <f>IFERROR(__xludf.DUMMYFUNCTION("IF(G8177&lt;&gt;"""", GOOGLETRANSLATE(G8177, ""en"", ""te""),"""")"),"")</f>
        <v/>
      </c>
      <c r="I8177" s="3"/>
    </row>
    <row r="8178" customHeight="1" spans="1:9">
      <c r="A8178" s="2"/>
      <c r="B8178" s="2" t="str">
        <f>IFERROR(__xludf.DUMMYFUNCTION("IF(A8178&lt;&gt;"""", GOOGLETRANSLATE(A8178, ""en"", ""te""),"""")"),"")</f>
        <v/>
      </c>
      <c r="C8178" s="2"/>
      <c r="D8178" s="2" t="str">
        <f>IFERROR(__xludf.DUMMYFUNCTION("IF(C8178&lt;&gt;"""", GOOGLETRANSLATE(C8178, ""en"", ""te""),"""")"),"")</f>
        <v/>
      </c>
      <c r="E8178" s="2"/>
      <c r="F8178" s="2" t="str">
        <f>IFERROR(__xludf.DUMMYFUNCTION("IF(E8178&lt;&gt;"""", GOOGLETRANSLATE(E8178, ""en"", ""te""),"""")"),"")</f>
        <v/>
      </c>
      <c r="G8178" s="2" t="s">
        <v>933</v>
      </c>
      <c r="H8178" s="2" t="str">
        <f>IFERROR(__xludf.DUMMYFUNCTION("IF(G8178&lt;&gt;"""", GOOGLETRANSLATE(G8178, ""en"", ""te""),"""")"),"[ '15 వ ఇన్నింగ్స్ లో అత్యధిక క్యాచ్లు (3)']")</f>
        <v>[ '15 వ ఇన్నింగ్స్ లో అత్యధిక క్యాచ్లు (3)']</v>
      </c>
      <c r="I8178" s="3"/>
    </row>
    <row r="8179" customHeight="1" spans="1:9">
      <c r="A8179" s="2"/>
      <c r="B8179" s="2" t="str">
        <f>IFERROR(__xludf.DUMMYFUNCTION("IF(A8179&lt;&gt;"""", GOOGLETRANSLATE(A8179, ""en"", ""te""),"""")"),"")</f>
        <v/>
      </c>
      <c r="C8179" s="2"/>
      <c r="D8179" s="2" t="str">
        <f>IFERROR(__xludf.DUMMYFUNCTION("IF(C8179&lt;&gt;"""", GOOGLETRANSLATE(C8179, ""en"", ""te""),"""")"),"")</f>
        <v/>
      </c>
      <c r="E8179" s="2"/>
      <c r="F8179" s="2" t="str">
        <f>IFERROR(__xludf.DUMMYFUNCTION("IF(E8179&lt;&gt;"""", GOOGLETRANSLATE(E8179, ""en"", ""te""),"""")"),"")</f>
        <v/>
      </c>
      <c r="G8179" s="2"/>
      <c r="H8179" s="2" t="str">
        <f>IFERROR(__xludf.DUMMYFUNCTION("IF(G8179&lt;&gt;"""", GOOGLETRANSLATE(G8179, ""en"", ""te""),"""")"),"")</f>
        <v/>
      </c>
      <c r="I8179" s="3"/>
    </row>
    <row r="8180" customHeight="1" spans="1:9">
      <c r="A8180" s="2"/>
      <c r="B8180" s="2" t="str">
        <f>IFERROR(__xludf.DUMMYFUNCTION("IF(A8180&lt;&gt;"""", GOOGLETRANSLATE(A8180, ""en"", ""te""),"""")"),"")</f>
        <v/>
      </c>
      <c r="C8180" s="2"/>
      <c r="D8180" s="2" t="str">
        <f>IFERROR(__xludf.DUMMYFUNCTION("IF(C8180&lt;&gt;"""", GOOGLETRANSLATE(C8180, ""en"", ""te""),"""")"),"")</f>
        <v/>
      </c>
      <c r="E8180" s="2"/>
      <c r="F8180" s="2" t="str">
        <f>IFERROR(__xludf.DUMMYFUNCTION("IF(E8180&lt;&gt;"""", GOOGLETRANSLATE(E8180, ""en"", ""te""),"""")"),"")</f>
        <v/>
      </c>
      <c r="G8180" s="2" t="s">
        <v>4567</v>
      </c>
      <c r="H8180" s="2" t="str">
        <f>IFERROR(__xludf.DUMMYFUNCTION("IF(G8180&lt;&gt;"""", GOOGLETRANSLATE(G8180, ""en"", ""te""),"""")"),"[ '13 వ ఇన్నింగ్స్ లో అత్యధిక పరుగులు (బ్యాటింగ్ స్థానంలో ప్రకారం) (77 *)', '19 వ ఇన్నింగ్స్ లో అత్యధిక పరుగులు ఒక కెప్టెన్తో (77 *)', 'కెరీర్లో 22 వ లేవు బాతులు (11)', '21 వ బెస్ట్ ఫిగర్స్ ఒక కెప్టెన్ (3) ',' నాలుగవ వికెట్కు 29 అత్యధిక భాగస్వామ్యం (69 *)"&amp;" ',' ఆరవ వికెట్కు 15 అత్యధిక భాగస్వామ్యం (54 *) ద్వారా ఇన్నింగ్స్ ',' కెప్టెన్సీ తొలి 32 వ ఓల్డెస్ట్ కెప్టెన్లు లో (31y 202d) ']")</f>
        <v>[ '13 వ ఇన్నింగ్స్ లో అత్యధిక పరుగులు (బ్యాటింగ్ స్థానంలో ప్రకారం) (77 *)', '19 వ ఇన్నింగ్స్ లో అత్యధిక పరుగులు ఒక కెప్టెన్తో (77 *)', 'కెరీర్లో 22 వ లేవు బాతులు (11)', '21 వ బెస్ట్ ఫిగర్స్ ఒక కెప్టెన్ (3) ',' నాలుగవ వికెట్కు 29 అత్యధిక భాగస్వామ్యం (69 *) ',' ఆరవ వికెట్కు 15 అత్యధిక భాగస్వామ్యం (54 *) ద్వారా ఇన్నింగ్స్ ',' కెప్టెన్సీ తొలి 32 వ ఓల్డెస్ట్ కెప్టెన్లు లో (31y 202d) ']</v>
      </c>
      <c r="I8180" s="3"/>
    </row>
    <row r="8181" customHeight="1" spans="1:9">
      <c r="A8181" s="2" t="s">
        <v>4568</v>
      </c>
      <c r="B8181" s="2" t="str">
        <f>IFERROR(__xludf.DUMMYFUNCTION("IF(A8181&lt;&gt;"""", GOOGLETRANSLATE(A8181, ""en"", ""te""),"""")"),"[ '3 వ అత్యధిక కెరీర్ సమ్మె రేటు (158.52)', '1 వ ఇన్నింగ్స్ లో అత్యధిక క్యాచ్లు (4)']")</f>
        <v>[ '3 వ అత్యధిక కెరీర్ సమ్మె రేటు (158.52)', '1 వ ఇన్నింగ్స్ లో అత్యధిక క్యాచ్లు (4)']</v>
      </c>
      <c r="C8181" s="2"/>
      <c r="D8181" s="2" t="str">
        <f>IFERROR(__xludf.DUMMYFUNCTION("IF(C8181&lt;&gt;"""", GOOGLETRANSLATE(C8181, ""en"", ""te""),"""")"),"")</f>
        <v/>
      </c>
      <c r="E8181" s="2"/>
      <c r="F8181" s="2" t="str">
        <f>IFERROR(__xludf.DUMMYFUNCTION("IF(E8181&lt;&gt;"""", GOOGLETRANSLATE(E8181, ""en"", ""te""),"""")"),"")</f>
        <v/>
      </c>
      <c r="G8181" s="2" t="s">
        <v>4569</v>
      </c>
      <c r="H8181" s="2" t="str">
        <f>IFERROR(__xludf.DUMMYFUNCTION("IF(G8181&lt;&gt;"""", GOOGLETRANSLATE(G8181, ""en"", ""te""),"""")"),"[ '38 వ ఒక క్యాలెండర్ సంవత్సరంలో అత్యధిక పరుగులు (408)', '15 వ ఇన్నింగ్స్ లో అత్యధిక పరుగులు (బ్యాటింగ్ స్థానంలో ప్రకారం) (92 *)', '41 వ ఒకే మైదానంలో అత్యధిక పరుగులు (281)', '3 వ అత్యధిక కెరీర్ సమ్మె రేటు (158.52) ',' ఇన్నింగ్స్ లో 34 వ అత్యధిక స్ట్రైక్"&amp;" రేట్ (287.50) ',' 47 వ లేవు ఫోర్లు, సిక్సర్లు నుండి ఇన్నింగ్స్ లో కెరీర్ లో బాతులు (14) ',' 42 వ ఎక్కువ సిక్స్ (7) ',' 29 వ అత్యధిక పరుగులు ఒక ఇన్నింగ్స్ లో ఒక ఇన్నింగ్స్ (78) ',' 1 వ అత్యధిక క్యాచ్లు లో (4) ',' 17 వ పిన్న కాప్టెన్ (23y 196d) ']")</f>
        <v>[ '38 వ ఒక క్యాలెండర్ సంవత్సరంలో అత్యధిక పరుగులు (408)', '15 వ ఇన్నింగ్స్ లో అత్యధిక పరుగులు (బ్యాటింగ్ స్థానంలో ప్రకారం) (92 *)', '41 వ ఒకే మైదానంలో అత్యధిక పరుగులు (281)', '3 వ అత్యధిక కెరీర్ సమ్మె రేటు (158.52) ',' ఇన్నింగ్స్ లో 34 వ అత్యధిక స్ట్రైక్ రేట్ (287.50) ',' 47 వ లేవు ఫోర్లు, సిక్సర్లు నుండి ఇన్నింగ్స్ లో కెరీర్ లో బాతులు (14) ',' 42 వ ఎక్కువ సిక్స్ (7) ',' 29 వ అత్యధిక పరుగులు ఒక ఇన్నింగ్స్ లో ఒక ఇన్నింగ్స్ (78) ',' 1 వ అత్యధిక క్యాచ్లు లో (4) ',' 17 వ పిన్న కాప్టెన్ (23y 196d) ']</v>
      </c>
      <c r="I8181" s="3"/>
    </row>
    <row r="8182" customHeight="1" spans="1:9">
      <c r="A8182" s="2"/>
      <c r="B8182" s="2" t="str">
        <f>IFERROR(__xludf.DUMMYFUNCTION("IF(A8182&lt;&gt;"""", GOOGLETRANSLATE(A8182, ""en"", ""te""),"""")"),"")</f>
        <v/>
      </c>
      <c r="C8182" s="2"/>
      <c r="D8182" s="2" t="str">
        <f>IFERROR(__xludf.DUMMYFUNCTION("IF(C8182&lt;&gt;"""", GOOGLETRANSLATE(C8182, ""en"", ""te""),"""")"),"")</f>
        <v/>
      </c>
      <c r="E8182" s="2"/>
      <c r="F8182" s="2" t="str">
        <f>IFERROR(__xludf.DUMMYFUNCTION("IF(E8182&lt;&gt;"""", GOOGLETRANSLATE(E8182, ""en"", ""te""),"""")"),"")</f>
        <v/>
      </c>
      <c r="G8182" s="2" t="s">
        <v>933</v>
      </c>
      <c r="H8182" s="2" t="str">
        <f>IFERROR(__xludf.DUMMYFUNCTION("IF(G8182&lt;&gt;"""", GOOGLETRANSLATE(G8182, ""en"", ""te""),"""")"),"[ '15 వ ఇన్నింగ్స్ లో అత్యధిక క్యాచ్లు (3)']")</f>
        <v>[ '15 వ ఇన్నింగ్స్ లో అత్యధిక క్యాచ్లు (3)']</v>
      </c>
      <c r="I8182" s="3"/>
    </row>
    <row r="8183" customHeight="1" spans="1:9">
      <c r="A8183" s="2"/>
      <c r="B8183" s="2" t="str">
        <f>IFERROR(__xludf.DUMMYFUNCTION("IF(A8183&lt;&gt;"""", GOOGLETRANSLATE(A8183, ""en"", ""te""),"""")"),"")</f>
        <v/>
      </c>
      <c r="C8183" s="2"/>
      <c r="D8183" s="2" t="str">
        <f>IFERROR(__xludf.DUMMYFUNCTION("IF(C8183&lt;&gt;"""", GOOGLETRANSLATE(C8183, ""en"", ""te""),"""")"),"")</f>
        <v/>
      </c>
      <c r="E8183" s="2"/>
      <c r="F8183" s="2" t="str">
        <f>IFERROR(__xludf.DUMMYFUNCTION("IF(E8183&lt;&gt;"""", GOOGLETRANSLATE(E8183, ""en"", ""te""),"""")"),"")</f>
        <v/>
      </c>
      <c r="G8183" s="2"/>
      <c r="H8183" s="2" t="str">
        <f>IFERROR(__xludf.DUMMYFUNCTION("IF(G8183&lt;&gt;"""", GOOGLETRANSLATE(G8183, ""en"", ""te""),"""")"),"")</f>
        <v/>
      </c>
      <c r="I8183" s="3"/>
    </row>
    <row r="8184" customHeight="1" spans="1:9">
      <c r="A8184" s="2"/>
      <c r="B8184" s="2" t="str">
        <f>IFERROR(__xludf.DUMMYFUNCTION("IF(A8184&lt;&gt;"""", GOOGLETRANSLATE(A8184, ""en"", ""te""),"""")"),"")</f>
        <v/>
      </c>
      <c r="C8184" s="2"/>
      <c r="D8184" s="2" t="str">
        <f>IFERROR(__xludf.DUMMYFUNCTION("IF(C8184&lt;&gt;"""", GOOGLETRANSLATE(C8184, ""en"", ""te""),"""")"),"")</f>
        <v/>
      </c>
      <c r="E8184" s="2"/>
      <c r="F8184" s="2" t="str">
        <f>IFERROR(__xludf.DUMMYFUNCTION("IF(E8184&lt;&gt;"""", GOOGLETRANSLATE(E8184, ""en"", ""te""),"""")"),"")</f>
        <v/>
      </c>
      <c r="G8184" s="2" t="s">
        <v>4570</v>
      </c>
      <c r="H8184" s="2" t="str">
        <f>IFERROR(__xludf.DUMMYFUNCTION("IF(G8184&lt;&gt;"""", GOOGLETRANSLATE(G8184, ""en"", ""te""),"""")"),"[ 'కెరీర్లో 47 వ లేవు బాతులు (14)', 'ఐదవ వికెట్కు 22 అత్యధిక భాగస్వామ్యం (79)', '17 వ అత్యధిక కెరీర్ (6) లో స్టంపింగ్లు']")</f>
        <v>[ 'కెరీర్లో 47 వ లేవు బాతులు (14)', 'ఐదవ వికెట్కు 22 అత్యధిక భాగస్వామ్యం (79)', '17 వ అత్యధిక కెరీర్ (6) లో స్టంపింగ్లు']</v>
      </c>
      <c r="I8184" s="3"/>
    </row>
    <row r="8185" customHeight="1" spans="1:9">
      <c r="A8185" s="2" t="s">
        <v>4571</v>
      </c>
      <c r="B8185" s="2" t="str">
        <f>IFERROR(__xludf.DUMMYFUNCTION("IF(A8185&lt;&gt;"""", GOOGLETRANSLATE(A8185, ""en"", ""te""),"""")"),"[ '8 వ ఎక్కువ (72 *) ఒక ఇన్నింగ్స్ లో నడుస్తుంది (బ్యాటింగ్ స్థానం)']")</f>
        <v>[ '8 వ ఎక్కువ (72 *) ఒక ఇన్నింగ్స్ లో నడుస్తుంది (బ్యాటింగ్ స్థానం)']</v>
      </c>
      <c r="C8185" s="2"/>
      <c r="D8185" s="2" t="str">
        <f>IFERROR(__xludf.DUMMYFUNCTION("IF(C8185&lt;&gt;"""", GOOGLETRANSLATE(C8185, ""en"", ""te""),"""")"),"")</f>
        <v/>
      </c>
      <c r="E8185" s="2"/>
      <c r="F8185" s="2" t="str">
        <f>IFERROR(__xludf.DUMMYFUNCTION("IF(E8185&lt;&gt;"""", GOOGLETRANSLATE(E8185, ""en"", ""te""),"""")"),"")</f>
        <v/>
      </c>
      <c r="G8185" s="2" t="s">
        <v>4571</v>
      </c>
      <c r="H8185" s="2" t="str">
        <f>IFERROR(__xludf.DUMMYFUNCTION("IF(G8185&lt;&gt;"""", GOOGLETRANSLATE(G8185, ""en"", ""te""),"""")"),"[ '8 వ ఎక్కువ (72 *) ఒక ఇన్నింగ్స్ లో నడుస్తుంది (బ్యాటింగ్ స్థానం)']")</f>
        <v>[ '8 వ ఎక్కువ (72 *) ఒక ఇన్నింగ్స్ లో నడుస్తుంది (బ్యాటింగ్ స్థానం)']</v>
      </c>
      <c r="I8185" s="3"/>
    </row>
    <row r="8186" customHeight="1" spans="1:9">
      <c r="A8186" s="2"/>
      <c r="B8186" s="2" t="str">
        <f>IFERROR(__xludf.DUMMYFUNCTION("IF(A8186&lt;&gt;"""", GOOGLETRANSLATE(A8186, ""en"", ""te""),"""")"),"")</f>
        <v/>
      </c>
      <c r="C8186" s="2"/>
      <c r="D8186" s="2" t="str">
        <f>IFERROR(__xludf.DUMMYFUNCTION("IF(C8186&lt;&gt;"""", GOOGLETRANSLATE(C8186, ""en"", ""te""),"""")"),"")</f>
        <v/>
      </c>
      <c r="E8186" s="2"/>
      <c r="F8186" s="2" t="str">
        <f>IFERROR(__xludf.DUMMYFUNCTION("IF(E8186&lt;&gt;"""", GOOGLETRANSLATE(E8186, ""en"", ""te""),"""")"),"")</f>
        <v/>
      </c>
      <c r="G8186" s="2"/>
      <c r="H8186" s="2" t="str">
        <f>IFERROR(__xludf.DUMMYFUNCTION("IF(G8186&lt;&gt;"""", GOOGLETRANSLATE(G8186, ""en"", ""te""),"""")"),"")</f>
        <v/>
      </c>
      <c r="I8186" s="3"/>
    </row>
    <row r="8187" customHeight="1" spans="1:9">
      <c r="A8187" s="2"/>
      <c r="B8187" s="2" t="str">
        <f>IFERROR(__xludf.DUMMYFUNCTION("IF(A8187&lt;&gt;"""", GOOGLETRANSLATE(A8187, ""en"", ""te""),"""")"),"")</f>
        <v/>
      </c>
      <c r="C8187" s="2"/>
      <c r="D8187" s="2" t="str">
        <f>IFERROR(__xludf.DUMMYFUNCTION("IF(C8187&lt;&gt;"""", GOOGLETRANSLATE(C8187, ""en"", ""te""),"""")"),"")</f>
        <v/>
      </c>
      <c r="E8187" s="2"/>
      <c r="F8187" s="2" t="str">
        <f>IFERROR(__xludf.DUMMYFUNCTION("IF(E8187&lt;&gt;"""", GOOGLETRANSLATE(E8187, ""en"", ""te""),"""")"),"")</f>
        <v/>
      </c>
      <c r="G8187" s="2"/>
      <c r="H8187" s="2" t="str">
        <f>IFERROR(__xludf.DUMMYFUNCTION("IF(G8187&lt;&gt;"""", GOOGLETRANSLATE(G8187, ""en"", ""te""),"""")"),"")</f>
        <v/>
      </c>
      <c r="I8187" s="3"/>
    </row>
    <row r="8188" customHeight="1" spans="1:9">
      <c r="A8188" s="2" t="s">
        <v>4572</v>
      </c>
      <c r="B8188" s="2" t="str">
        <f>IFERROR(__xludf.DUMMYFUNCTION("IF(A8188&lt;&gt;"""", GOOGLETRANSLATE(A8188, ""en"", ""te""),"""")"),"[ '5 వ పిన్న కాప్టెన్ (19y 286d)']")</f>
        <v>[ '5 వ పిన్న కాప్టెన్ (19y 286d)']</v>
      </c>
      <c r="C8188" s="2"/>
      <c r="D8188" s="2" t="str">
        <f>IFERROR(__xludf.DUMMYFUNCTION("IF(C8188&lt;&gt;"""", GOOGLETRANSLATE(C8188, ""en"", ""te""),"""")"),"")</f>
        <v/>
      </c>
      <c r="E8188" s="2"/>
      <c r="F8188" s="2" t="str">
        <f>IFERROR(__xludf.DUMMYFUNCTION("IF(E8188&lt;&gt;"""", GOOGLETRANSLATE(E8188, ""en"", ""te""),"""")"),"")</f>
        <v/>
      </c>
      <c r="G8188" s="2" t="s">
        <v>4573</v>
      </c>
      <c r="H8188" s="2" t="str">
        <f>IFERROR(__xludf.DUMMYFUNCTION("IF(G8188&lt;&gt;"""", GOOGLETRANSLATE(G8188, ""en"", ""te""),"""")"),"[ '29 కెరీర్ లో బాతులు (10)', '5 వ పిన్న కాప్టెన్ (19y 286d)', 'వికెట్ (6) ఉంచింది చేసిన 8 వ కెప్టెన్ల']")</f>
        <v>[ '29 కెరీర్ లో బాతులు (10)', '5 వ పిన్న కాప్టెన్ (19y 286d)', 'వికెట్ (6) ఉంచింది చేసిన 8 వ కెప్టెన్ల']</v>
      </c>
      <c r="I8188" s="3"/>
    </row>
    <row r="8189" customHeight="1" spans="1:9">
      <c r="A8189" s="2"/>
      <c r="B8189" s="2" t="str">
        <f>IFERROR(__xludf.DUMMYFUNCTION("IF(A8189&lt;&gt;"""", GOOGLETRANSLATE(A8189, ""en"", ""te""),"""")"),"")</f>
        <v/>
      </c>
      <c r="C8189" s="2"/>
      <c r="D8189" s="2" t="str">
        <f>IFERROR(__xludf.DUMMYFUNCTION("IF(C8189&lt;&gt;"""", GOOGLETRANSLATE(C8189, ""en"", ""te""),"""")"),"")</f>
        <v/>
      </c>
      <c r="E8189" s="2"/>
      <c r="F8189" s="2" t="str">
        <f>IFERROR(__xludf.DUMMYFUNCTION("IF(E8189&lt;&gt;"""", GOOGLETRANSLATE(E8189, ""en"", ""te""),"""")"),"")</f>
        <v/>
      </c>
      <c r="G8189" s="2"/>
      <c r="H8189" s="2" t="str">
        <f>IFERROR(__xludf.DUMMYFUNCTION("IF(G8189&lt;&gt;"""", GOOGLETRANSLATE(G8189, ""en"", ""te""),"""")"),"")</f>
        <v/>
      </c>
      <c r="I8189" s="3"/>
    </row>
    <row r="8190" customHeight="1" spans="1:9">
      <c r="A8190" s="2"/>
      <c r="B8190" s="2" t="str">
        <f>IFERROR(__xludf.DUMMYFUNCTION("IF(A8190&lt;&gt;"""", GOOGLETRANSLATE(A8190, ""en"", ""te""),"""")"),"")</f>
        <v/>
      </c>
      <c r="C8190" s="2"/>
      <c r="D8190" s="2" t="str">
        <f>IFERROR(__xludf.DUMMYFUNCTION("IF(C8190&lt;&gt;"""", GOOGLETRANSLATE(C8190, ""en"", ""te""),"""")"),"")</f>
        <v/>
      </c>
      <c r="E8190" s="2"/>
      <c r="F8190" s="2" t="str">
        <f>IFERROR(__xludf.DUMMYFUNCTION("IF(E8190&lt;&gt;"""", GOOGLETRANSLATE(E8190, ""en"", ""te""),"""")"),"")</f>
        <v/>
      </c>
      <c r="G8190" s="2" t="s">
        <v>4574</v>
      </c>
      <c r="H8190" s="2" t="str">
        <f>IFERROR(__xludf.DUMMYFUNCTION("IF(G8190&lt;&gt;"""", GOOGLETRANSLATE(G8190, ""en"", ""te""),"""")"),"[ '20 వ చెత్త ఇన్నింగ్స్ లో ఆర్థిక రేటు (15.50)']")</f>
        <v>[ '20 వ చెత్త ఇన్నింగ్స్ లో ఆర్థిక రేటు (15.50)']</v>
      </c>
      <c r="I8190" s="3"/>
    </row>
    <row r="8191" customHeight="1" spans="1:9">
      <c r="A8191" s="2"/>
      <c r="B8191" s="2" t="str">
        <f>IFERROR(__xludf.DUMMYFUNCTION("IF(A8191&lt;&gt;"""", GOOGLETRANSLATE(A8191, ""en"", ""te""),"""")"),"")</f>
        <v/>
      </c>
      <c r="C8191" s="2"/>
      <c r="D8191" s="2" t="str">
        <f>IFERROR(__xludf.DUMMYFUNCTION("IF(C8191&lt;&gt;"""", GOOGLETRANSLATE(C8191, ""en"", ""te""),"""")"),"")</f>
        <v/>
      </c>
      <c r="E8191" s="2"/>
      <c r="F8191" s="2" t="str">
        <f>IFERROR(__xludf.DUMMYFUNCTION("IF(E8191&lt;&gt;"""", GOOGLETRANSLATE(E8191, ""en"", ""te""),"""")"),"")</f>
        <v/>
      </c>
      <c r="G8191" s="2" t="s">
        <v>4575</v>
      </c>
      <c r="H8191" s="2" t="str">
        <f>IFERROR(__xludf.DUMMYFUNCTION("IF(G8191&lt;&gt;"""", GOOGLETRANSLATE(G8191, ""en"", ""te""),"""")"),"[40 వ చెత్త కెరీర్ బౌలింగ్ సరాసరి (అర్హత లేకుండా) (63.33) ']")</f>
        <v>[40 వ చెత్త కెరీర్ బౌలింగ్ సరాసరి (అర్హత లేకుండా) (63.33) ']</v>
      </c>
      <c r="I8191" s="3"/>
    </row>
    <row r="8192" customHeight="1" spans="1:9">
      <c r="A8192" s="2"/>
      <c r="B8192" s="2" t="str">
        <f>IFERROR(__xludf.DUMMYFUNCTION("IF(A8192&lt;&gt;"""", GOOGLETRANSLATE(A8192, ""en"", ""te""),"""")"),"")</f>
        <v/>
      </c>
      <c r="C8192" s="2"/>
      <c r="D8192" s="2" t="str">
        <f>IFERROR(__xludf.DUMMYFUNCTION("IF(C8192&lt;&gt;"""", GOOGLETRANSLATE(C8192, ""en"", ""te""),"""")"),"")</f>
        <v/>
      </c>
      <c r="E8192" s="2"/>
      <c r="F8192" s="2" t="str">
        <f>IFERROR(__xludf.DUMMYFUNCTION("IF(E8192&lt;&gt;"""", GOOGLETRANSLATE(E8192, ""en"", ""te""),"""")"),"")</f>
        <v/>
      </c>
      <c r="G8192" s="2"/>
      <c r="H8192" s="2" t="str">
        <f>IFERROR(__xludf.DUMMYFUNCTION("IF(G8192&lt;&gt;"""", GOOGLETRANSLATE(G8192, ""en"", ""te""),"""")"),"")</f>
        <v/>
      </c>
      <c r="I8192" s="3"/>
    </row>
    <row r="8193" customHeight="1" spans="1:9">
      <c r="A8193" s="2"/>
      <c r="B8193" s="2" t="str">
        <f>IFERROR(__xludf.DUMMYFUNCTION("IF(A8193&lt;&gt;"""", GOOGLETRANSLATE(A8193, ""en"", ""te""),"""")"),"")</f>
        <v/>
      </c>
      <c r="C8193" s="2"/>
      <c r="D8193" s="2" t="str">
        <f>IFERROR(__xludf.DUMMYFUNCTION("IF(C8193&lt;&gt;"""", GOOGLETRANSLATE(C8193, ""en"", ""te""),"""")"),"")</f>
        <v/>
      </c>
      <c r="E8193" s="2"/>
      <c r="F8193" s="2" t="str">
        <f>IFERROR(__xludf.DUMMYFUNCTION("IF(E8193&lt;&gt;"""", GOOGLETRANSLATE(E8193, ""en"", ""te""),"""")"),"")</f>
        <v/>
      </c>
      <c r="G8193" s="2" t="s">
        <v>4576</v>
      </c>
      <c r="H8193" s="2" t="str">
        <f>IFERROR(__xludf.DUMMYFUNCTION("IF(G8193&lt;&gt;"""", GOOGLETRANSLATE(G8193, ""en"", ""te""),"""")"),"[ '27 చెత్త కెరీర్ బౌలింగ్ సరాసరి (అర్హత లేకుండా) (74.00)']")</f>
        <v>[ '27 చెత్త కెరీర్ బౌలింగ్ సరాసరి (అర్హత లేకుండా) (74.00)']</v>
      </c>
      <c r="I8193" s="3"/>
    </row>
    <row r="8194" customHeight="1" spans="1:9">
      <c r="A8194" s="2"/>
      <c r="B8194" s="2" t="str">
        <f>IFERROR(__xludf.DUMMYFUNCTION("IF(A8194&lt;&gt;"""", GOOGLETRANSLATE(A8194, ""en"", ""te""),"""")"),"")</f>
        <v/>
      </c>
      <c r="C8194" s="2"/>
      <c r="D8194" s="2" t="str">
        <f>IFERROR(__xludf.DUMMYFUNCTION("IF(C8194&lt;&gt;"""", GOOGLETRANSLATE(C8194, ""en"", ""te""),"""")"),"")</f>
        <v/>
      </c>
      <c r="E8194" s="2"/>
      <c r="F8194" s="2" t="str">
        <f>IFERROR(__xludf.DUMMYFUNCTION("IF(E8194&lt;&gt;"""", GOOGLETRANSLATE(E8194, ""en"", ""te""),"""")"),"")</f>
        <v/>
      </c>
      <c r="G8194" s="2"/>
      <c r="H8194" s="2" t="str">
        <f>IFERROR(__xludf.DUMMYFUNCTION("IF(G8194&lt;&gt;"""", GOOGLETRANSLATE(G8194, ""en"", ""te""),"""")"),"")</f>
        <v/>
      </c>
      <c r="I8194" s="3"/>
    </row>
    <row r="8195" customHeight="1" spans="1:9">
      <c r="A8195" s="2"/>
      <c r="B8195" s="2" t="str">
        <f>IFERROR(__xludf.DUMMYFUNCTION("IF(A8195&lt;&gt;"""", GOOGLETRANSLATE(A8195, ""en"", ""te""),"""")"),"")</f>
        <v/>
      </c>
      <c r="C8195" s="2"/>
      <c r="D8195" s="2" t="str">
        <f>IFERROR(__xludf.DUMMYFUNCTION("IF(C8195&lt;&gt;"""", GOOGLETRANSLATE(C8195, ""en"", ""te""),"""")"),"")</f>
        <v/>
      </c>
      <c r="E8195" s="2"/>
      <c r="F8195" s="2" t="str">
        <f>IFERROR(__xludf.DUMMYFUNCTION("IF(E8195&lt;&gt;"""", GOOGLETRANSLATE(E8195, ""en"", ""te""),"""")"),"")</f>
        <v/>
      </c>
      <c r="G8195" s="2"/>
      <c r="H8195" s="2" t="str">
        <f>IFERROR(__xludf.DUMMYFUNCTION("IF(G8195&lt;&gt;"""", GOOGLETRANSLATE(G8195, ""en"", ""te""),"""")"),"")</f>
        <v/>
      </c>
      <c r="I8195" s="3"/>
    </row>
    <row r="8196" customHeight="1" spans="1:9">
      <c r="A8196" s="2"/>
      <c r="B8196" s="2" t="str">
        <f>IFERROR(__xludf.DUMMYFUNCTION("IF(A8196&lt;&gt;"""", GOOGLETRANSLATE(A8196, ""en"", ""te""),"""")"),"")</f>
        <v/>
      </c>
      <c r="C8196" s="2"/>
      <c r="D8196" s="2" t="str">
        <f>IFERROR(__xludf.DUMMYFUNCTION("IF(C8196&lt;&gt;"""", GOOGLETRANSLATE(C8196, ""en"", ""te""),"""")"),"")</f>
        <v/>
      </c>
      <c r="E8196" s="2"/>
      <c r="F8196" s="2" t="str">
        <f>IFERROR(__xludf.DUMMYFUNCTION("IF(E8196&lt;&gt;"""", GOOGLETRANSLATE(E8196, ""en"", ""te""),"""")"),"")</f>
        <v/>
      </c>
      <c r="G8196" s="2"/>
      <c r="H8196" s="2" t="str">
        <f>IFERROR(__xludf.DUMMYFUNCTION("IF(G8196&lt;&gt;"""", GOOGLETRANSLATE(G8196, ""en"", ""te""),"""")"),"")</f>
        <v/>
      </c>
      <c r="I8196" s="3"/>
    </row>
    <row r="8197" customHeight="1" spans="1:9">
      <c r="A8197" s="2"/>
      <c r="B8197" s="2" t="str">
        <f>IFERROR(__xludf.DUMMYFUNCTION("IF(A8197&lt;&gt;"""", GOOGLETRANSLATE(A8197, ""en"", ""te""),"""")"),"")</f>
        <v/>
      </c>
      <c r="C8197" s="2"/>
      <c r="D8197" s="2" t="str">
        <f>IFERROR(__xludf.DUMMYFUNCTION("IF(C8197&lt;&gt;"""", GOOGLETRANSLATE(C8197, ""en"", ""te""),"""")"),"")</f>
        <v/>
      </c>
      <c r="E8197" s="2"/>
      <c r="F8197" s="2" t="str">
        <f>IFERROR(__xludf.DUMMYFUNCTION("IF(E8197&lt;&gt;"""", GOOGLETRANSLATE(E8197, ""en"", ""te""),"""")"),"")</f>
        <v/>
      </c>
      <c r="G8197" s="2"/>
      <c r="H8197" s="2" t="str">
        <f>IFERROR(__xludf.DUMMYFUNCTION("IF(G8197&lt;&gt;"""", GOOGLETRANSLATE(G8197, ""en"", ""te""),"""")"),"")</f>
        <v/>
      </c>
      <c r="I8197" s="3"/>
    </row>
    <row r="8198" customHeight="1" spans="1:9">
      <c r="A8198" s="2"/>
      <c r="B8198" s="2" t="str">
        <f>IFERROR(__xludf.DUMMYFUNCTION("IF(A8198&lt;&gt;"""", GOOGLETRANSLATE(A8198, ""en"", ""te""),"""")"),"")</f>
        <v/>
      </c>
      <c r="C8198" s="2"/>
      <c r="D8198" s="2" t="str">
        <f>IFERROR(__xludf.DUMMYFUNCTION("IF(C8198&lt;&gt;"""", GOOGLETRANSLATE(C8198, ""en"", ""te""),"""")"),"")</f>
        <v/>
      </c>
      <c r="E8198" s="2"/>
      <c r="F8198" s="2" t="str">
        <f>IFERROR(__xludf.DUMMYFUNCTION("IF(E8198&lt;&gt;"""", GOOGLETRANSLATE(E8198, ""en"", ""te""),"""")"),"")</f>
        <v/>
      </c>
      <c r="G8198" s="2"/>
      <c r="H8198" s="2" t="str">
        <f>IFERROR(__xludf.DUMMYFUNCTION("IF(G8198&lt;&gt;"""", GOOGLETRANSLATE(G8198, ""en"", ""te""),"""")"),"")</f>
        <v/>
      </c>
      <c r="I8198" s="3"/>
    </row>
    <row r="8199" customHeight="1" spans="1:9">
      <c r="A8199" s="2"/>
      <c r="B8199" s="2" t="str">
        <f>IFERROR(__xludf.DUMMYFUNCTION("IF(A8199&lt;&gt;"""", GOOGLETRANSLATE(A8199, ""en"", ""te""),"""")"),"")</f>
        <v/>
      </c>
      <c r="C8199" s="2"/>
      <c r="D8199" s="2" t="str">
        <f>IFERROR(__xludf.DUMMYFUNCTION("IF(C8199&lt;&gt;"""", GOOGLETRANSLATE(C8199, ""en"", ""te""),"""")"),"")</f>
        <v/>
      </c>
      <c r="E8199" s="2"/>
      <c r="F8199" s="2" t="str">
        <f>IFERROR(__xludf.DUMMYFUNCTION("IF(E8199&lt;&gt;"""", GOOGLETRANSLATE(E8199, ""en"", ""te""),"""")"),"")</f>
        <v/>
      </c>
      <c r="G8199" s="2"/>
      <c r="H8199" s="2" t="str">
        <f>IFERROR(__xludf.DUMMYFUNCTION("IF(G8199&lt;&gt;"""", GOOGLETRANSLATE(G8199, ""en"", ""te""),"""")"),"")</f>
        <v/>
      </c>
      <c r="I8199" s="3"/>
    </row>
    <row r="8200" customHeight="1" spans="1:9">
      <c r="A8200" s="2"/>
      <c r="B8200" s="2" t="str">
        <f>IFERROR(__xludf.DUMMYFUNCTION("IF(A8200&lt;&gt;"""", GOOGLETRANSLATE(A8200, ""en"", ""te""),"""")"),"")</f>
        <v/>
      </c>
      <c r="C8200" s="2"/>
      <c r="D8200" s="2" t="str">
        <f>IFERROR(__xludf.DUMMYFUNCTION("IF(C8200&lt;&gt;"""", GOOGLETRANSLATE(C8200, ""en"", ""te""),"""")"),"")</f>
        <v/>
      </c>
      <c r="E8200" s="2"/>
      <c r="F8200" s="2" t="str">
        <f>IFERROR(__xludf.DUMMYFUNCTION("IF(E8200&lt;&gt;"""", GOOGLETRANSLATE(E8200, ""en"", ""te""),"""")"),"")</f>
        <v/>
      </c>
      <c r="G8200" s="2"/>
      <c r="H8200" s="2" t="str">
        <f>IFERROR(__xludf.DUMMYFUNCTION("IF(G8200&lt;&gt;"""", GOOGLETRANSLATE(G8200, ""en"", ""te""),"""")"),"")</f>
        <v/>
      </c>
      <c r="I8200" s="3"/>
    </row>
    <row r="8201" customHeight="1" spans="1:9">
      <c r="A8201" s="2"/>
      <c r="B8201" s="2" t="str">
        <f>IFERROR(__xludf.DUMMYFUNCTION("IF(A8201&lt;&gt;"""", GOOGLETRANSLATE(A8201, ""en"", ""te""),"""")"),"")</f>
        <v/>
      </c>
      <c r="C8201" s="2"/>
      <c r="D8201" s="2" t="str">
        <f>IFERROR(__xludf.DUMMYFUNCTION("IF(C8201&lt;&gt;"""", GOOGLETRANSLATE(C8201, ""en"", ""te""),"""")"),"")</f>
        <v/>
      </c>
      <c r="E8201" s="2"/>
      <c r="F8201" s="2" t="str">
        <f>IFERROR(__xludf.DUMMYFUNCTION("IF(E8201&lt;&gt;"""", GOOGLETRANSLATE(E8201, ""en"", ""te""),"""")"),"")</f>
        <v/>
      </c>
      <c r="G8201" s="2"/>
      <c r="H8201" s="2" t="str">
        <f>IFERROR(__xludf.DUMMYFUNCTION("IF(G8201&lt;&gt;"""", GOOGLETRANSLATE(G8201, ""en"", ""te""),"""")"),"")</f>
        <v/>
      </c>
      <c r="I8201" s="3"/>
    </row>
    <row r="8202" customHeight="1" spans="1:9">
      <c r="A8202" s="2"/>
      <c r="B8202" s="2" t="str">
        <f>IFERROR(__xludf.DUMMYFUNCTION("IF(A8202&lt;&gt;"""", GOOGLETRANSLATE(A8202, ""en"", ""te""),"""")"),"")</f>
        <v/>
      </c>
      <c r="C8202" s="2"/>
      <c r="D8202" s="2" t="str">
        <f>IFERROR(__xludf.DUMMYFUNCTION("IF(C8202&lt;&gt;"""", GOOGLETRANSLATE(C8202, ""en"", ""te""),"""")"),"")</f>
        <v/>
      </c>
      <c r="E8202" s="2"/>
      <c r="F8202" s="2" t="str">
        <f>IFERROR(__xludf.DUMMYFUNCTION("IF(E8202&lt;&gt;"""", GOOGLETRANSLATE(E8202, ""en"", ""te""),"""")"),"")</f>
        <v/>
      </c>
      <c r="G8202" s="2"/>
      <c r="H8202" s="2" t="str">
        <f>IFERROR(__xludf.DUMMYFUNCTION("IF(G8202&lt;&gt;"""", GOOGLETRANSLATE(G8202, ""en"", ""te""),"""")"),"")</f>
        <v/>
      </c>
      <c r="I8202" s="3"/>
    </row>
    <row r="8203" customHeight="1" spans="1:9">
      <c r="A8203" s="2"/>
      <c r="B8203" s="2" t="str">
        <f>IFERROR(__xludf.DUMMYFUNCTION("IF(A8203&lt;&gt;"""", GOOGLETRANSLATE(A8203, ""en"", ""te""),"""")"),"")</f>
        <v/>
      </c>
      <c r="C8203" s="2"/>
      <c r="D8203" s="2" t="str">
        <f>IFERROR(__xludf.DUMMYFUNCTION("IF(C8203&lt;&gt;"""", GOOGLETRANSLATE(C8203, ""en"", ""te""),"""")"),"")</f>
        <v/>
      </c>
      <c r="E8203" s="2"/>
      <c r="F8203" s="2" t="str">
        <f>IFERROR(__xludf.DUMMYFUNCTION("IF(E8203&lt;&gt;"""", GOOGLETRANSLATE(E8203, ""en"", ""te""),"""")"),"")</f>
        <v/>
      </c>
      <c r="G8203" s="2"/>
      <c r="H8203" s="2" t="str">
        <f>IFERROR(__xludf.DUMMYFUNCTION("IF(G8203&lt;&gt;"""", GOOGLETRANSLATE(G8203, ""en"", ""te""),"""")"),"")</f>
        <v/>
      </c>
      <c r="I8203" s="3"/>
    </row>
    <row r="8204" customHeight="1" spans="1:9">
      <c r="A8204" s="2" t="s">
        <v>4577</v>
      </c>
      <c r="B8204" s="2" t="str">
        <f>IFERROR(__xludf.DUMMYFUNCTION("IF(A8204&lt;&gt;"""", GOOGLETRANSLATE(A8204, ""en"", ""te""),"""")"),"[ 'చాలా 5 వ ఇన్నింగ్స్ లో నడుస్తుంది (బ్యాటింగ్ స్థానం) (52)']")</f>
        <v>[ 'చాలా 5 వ ఇన్నింగ్స్ లో నడుస్తుంది (బ్యాటింగ్ స్థానం) (52)']</v>
      </c>
      <c r="C8204" s="2"/>
      <c r="D8204" s="2" t="str">
        <f>IFERROR(__xludf.DUMMYFUNCTION("IF(C8204&lt;&gt;"""", GOOGLETRANSLATE(C8204, ""en"", ""te""),"""")"),"")</f>
        <v/>
      </c>
      <c r="E8204" s="2" t="s">
        <v>3270</v>
      </c>
      <c r="F8204" s="2" t="str">
        <f>IFERROR(__xludf.DUMMYFUNCTION("IF(E8204&lt;&gt;"""", GOOGLETRANSLATE(E8204, ""en"", ""te""),"""")"),"[ '36 వ ఉత్తమ కెరీర్ బౌలింగ్ సరాసరి (అర్హత లేకుండా) (12.00)']")</f>
        <v>[ '36 వ ఉత్తమ కెరీర్ బౌలింగ్ సరాసరి (అర్హత లేకుండా) (12.00)']</v>
      </c>
      <c r="G8204" s="2" t="s">
        <v>4578</v>
      </c>
      <c r="H8204" s="2" t="str">
        <f>IFERROR(__xludf.DUMMYFUNCTION("IF(G8204&lt;&gt;"""", GOOGLETRANSLATE(G8204, ""en"", ""te""),"""")"),"[ 'చాలా 5 వ (బ్యాటింగ్ స్థానం) ఒక ఇన్నింగ్స్ లో నడుస్తుంది (52)', 'ఏడవ వికెట్కు 14 అత్యధిక భాగస్వామ్యం (63)']")</f>
        <v>[ 'చాలా 5 వ (బ్యాటింగ్ స్థానం) ఒక ఇన్నింగ్స్ లో నడుస్తుంది (52)', 'ఏడవ వికెట్కు 14 అత్యధిక భాగస్వామ్యం (63)']</v>
      </c>
      <c r="I8204" s="3"/>
    </row>
    <row r="8205" customHeight="1" spans="1:9">
      <c r="A8205" s="2"/>
      <c r="B8205" s="2" t="str">
        <f>IFERROR(__xludf.DUMMYFUNCTION("IF(A8205&lt;&gt;"""", GOOGLETRANSLATE(A8205, ""en"", ""te""),"""")"),"")</f>
        <v/>
      </c>
      <c r="C8205" s="2"/>
      <c r="D8205" s="2" t="str">
        <f>IFERROR(__xludf.DUMMYFUNCTION("IF(C8205&lt;&gt;"""", GOOGLETRANSLATE(C8205, ""en"", ""te""),"""")"),"")</f>
        <v/>
      </c>
      <c r="E8205" s="2"/>
      <c r="F8205" s="2" t="str">
        <f>IFERROR(__xludf.DUMMYFUNCTION("IF(E8205&lt;&gt;"""", GOOGLETRANSLATE(E8205, ""en"", ""te""),"""")"),"")</f>
        <v/>
      </c>
      <c r="G8205" s="2"/>
      <c r="H8205" s="2" t="str">
        <f>IFERROR(__xludf.DUMMYFUNCTION("IF(G8205&lt;&gt;"""", GOOGLETRANSLATE(G8205, ""en"", ""te""),"""")"),"")</f>
        <v/>
      </c>
      <c r="I8205" s="3"/>
    </row>
    <row r="8206" customHeight="1" spans="1:9">
      <c r="A8206" s="2" t="s">
        <v>4579</v>
      </c>
      <c r="B8206" s="2" t="str">
        <f>IFERROR(__xludf.DUMMYFUNCTION("IF(A8206&lt;&gt;"""", GOOGLETRANSLATE(A8206, ""en"", ""te""),"""")"),"[ '10 వ ఇన్నింగ్స్ లో అత్యధిక పరుగులు (బ్యాటింగ్ స్థానంలో ప్రకారం) (22 *)']")</f>
        <v>[ '10 వ ఇన్నింగ్స్ లో అత్యధిక పరుగులు (బ్యాటింగ్ స్థానంలో ప్రకారం) (22 *)']</v>
      </c>
      <c r="C8206" s="2"/>
      <c r="D8206" s="2" t="str">
        <f>IFERROR(__xludf.DUMMYFUNCTION("IF(C8206&lt;&gt;"""", GOOGLETRANSLATE(C8206, ""en"", ""te""),"""")"),"")</f>
        <v/>
      </c>
      <c r="E8206" s="2"/>
      <c r="F8206" s="2" t="str">
        <f>IFERROR(__xludf.DUMMYFUNCTION("IF(E8206&lt;&gt;"""", GOOGLETRANSLATE(E8206, ""en"", ""te""),"""")"),"")</f>
        <v/>
      </c>
      <c r="G8206" s="2" t="s">
        <v>4580</v>
      </c>
      <c r="H8206" s="2" t="str">
        <f>IFERROR(__xludf.DUMMYFUNCTION("IF(G8206&lt;&gt;"""", GOOGLETRANSLATE(G8206, ""en"", ""te""),"""")"),"[ '10 వ ఇన్నింగ్స్ లో అత్యధిక పరుగులు (22 *) (బ్యాటింగ్ స్థానం)', 'తొమ్మిదవ వికెట్కు 46 వ అత్యధిక భాగస్వామ్యం (26 *)']")</f>
        <v>[ '10 వ ఇన్నింగ్స్ లో అత్యధిక పరుగులు (22 *) (బ్యాటింగ్ స్థానం)', 'తొమ్మిదవ వికెట్కు 46 వ అత్యధిక భాగస్వామ్యం (26 *)']</v>
      </c>
      <c r="I8206" s="3"/>
    </row>
    <row r="8207" customHeight="1" spans="1:9">
      <c r="A8207" s="2"/>
      <c r="B8207" s="2" t="str">
        <f>IFERROR(__xludf.DUMMYFUNCTION("IF(A8207&lt;&gt;"""", GOOGLETRANSLATE(A8207, ""en"", ""te""),"""")"),"")</f>
        <v/>
      </c>
      <c r="C8207" s="2"/>
      <c r="D8207" s="2" t="str">
        <f>IFERROR(__xludf.DUMMYFUNCTION("IF(C8207&lt;&gt;"""", GOOGLETRANSLATE(C8207, ""en"", ""te""),"""")"),"")</f>
        <v/>
      </c>
      <c r="E8207" s="2"/>
      <c r="F8207" s="2" t="str">
        <f>IFERROR(__xludf.DUMMYFUNCTION("IF(E8207&lt;&gt;"""", GOOGLETRANSLATE(E8207, ""en"", ""te""),"""")"),"")</f>
        <v/>
      </c>
      <c r="G8207" s="2"/>
      <c r="H8207" s="2" t="str">
        <f>IFERROR(__xludf.DUMMYFUNCTION("IF(G8207&lt;&gt;"""", GOOGLETRANSLATE(G8207, ""en"", ""te""),"""")"),"")</f>
        <v/>
      </c>
      <c r="I8207" s="3"/>
    </row>
    <row r="8208" customHeight="1" spans="1:9">
      <c r="A8208" s="2"/>
      <c r="B8208" s="2" t="str">
        <f>IFERROR(__xludf.DUMMYFUNCTION("IF(A8208&lt;&gt;"""", GOOGLETRANSLATE(A8208, ""en"", ""te""),"""")"),"")</f>
        <v/>
      </c>
      <c r="C8208" s="2"/>
      <c r="D8208" s="2" t="str">
        <f>IFERROR(__xludf.DUMMYFUNCTION("IF(C8208&lt;&gt;"""", GOOGLETRANSLATE(C8208, ""en"", ""te""),"""")"),"")</f>
        <v/>
      </c>
      <c r="E8208" s="2" t="s">
        <v>4581</v>
      </c>
      <c r="F8208" s="2" t="str">
        <f>IFERROR(__xludf.DUMMYFUNCTION("IF(E8208&lt;&gt;"""", GOOGLETRANSLATE(E8208, ""en"", ""te""),"""")"),"[ '21 వ వరుస (3) లో అన్ని టాస్ గెలిచి']")</f>
        <v>[ '21 వ వరుస (3) లో అన్ని టాస్ గెలిచి']</v>
      </c>
      <c r="G8208" s="2"/>
      <c r="H8208" s="2" t="str">
        <f>IFERROR(__xludf.DUMMYFUNCTION("IF(G8208&lt;&gt;"""", GOOGLETRANSLATE(G8208, ""en"", ""te""),"""")"),"")</f>
        <v/>
      </c>
      <c r="I8208" s="3"/>
    </row>
    <row r="8209" customHeight="1" spans="1:9">
      <c r="A8209" s="2"/>
      <c r="B8209" s="2" t="str">
        <f>IFERROR(__xludf.DUMMYFUNCTION("IF(A8209&lt;&gt;"""", GOOGLETRANSLATE(A8209, ""en"", ""te""),"""")"),"")</f>
        <v/>
      </c>
      <c r="C8209" s="2"/>
      <c r="D8209" s="2" t="str">
        <f>IFERROR(__xludf.DUMMYFUNCTION("IF(C8209&lt;&gt;"""", GOOGLETRANSLATE(C8209, ""en"", ""te""),"""")"),"")</f>
        <v/>
      </c>
      <c r="E8209" s="2"/>
      <c r="F8209" s="2" t="str">
        <f>IFERROR(__xludf.DUMMYFUNCTION("IF(E8209&lt;&gt;"""", GOOGLETRANSLATE(E8209, ""en"", ""te""),"""")"),"")</f>
        <v/>
      </c>
      <c r="G8209" s="2"/>
      <c r="H8209" s="2" t="str">
        <f>IFERROR(__xludf.DUMMYFUNCTION("IF(G8209&lt;&gt;"""", GOOGLETRANSLATE(G8209, ""en"", ""te""),"""")"),"")</f>
        <v/>
      </c>
      <c r="I8209" s="3"/>
    </row>
    <row r="8210" customHeight="1" spans="1:9">
      <c r="A8210" s="2"/>
      <c r="B8210" s="2" t="str">
        <f>IFERROR(__xludf.DUMMYFUNCTION("IF(A8210&lt;&gt;"""", GOOGLETRANSLATE(A8210, ""en"", ""te""),"""")"),"")</f>
        <v/>
      </c>
      <c r="C8210" s="2"/>
      <c r="D8210" s="2" t="str">
        <f>IFERROR(__xludf.DUMMYFUNCTION("IF(C8210&lt;&gt;"""", GOOGLETRANSLATE(C8210, ""en"", ""te""),"""")"),"")</f>
        <v/>
      </c>
      <c r="E8210" s="2"/>
      <c r="F8210" s="2" t="str">
        <f>IFERROR(__xludf.DUMMYFUNCTION("IF(E8210&lt;&gt;"""", GOOGLETRANSLATE(E8210, ""en"", ""te""),"""")"),"")</f>
        <v/>
      </c>
      <c r="G8210" s="2"/>
      <c r="H8210" s="2" t="str">
        <f>IFERROR(__xludf.DUMMYFUNCTION("IF(G8210&lt;&gt;"""", GOOGLETRANSLATE(G8210, ""en"", ""te""),"""")"),"")</f>
        <v/>
      </c>
      <c r="I8210" s="3"/>
    </row>
    <row r="8211" customHeight="1" spans="1:9">
      <c r="A8211" s="2" t="s">
        <v>4582</v>
      </c>
      <c r="B8211" s="2" t="str">
        <f>IFERROR(__xludf.DUMMYFUNCTION("IF(A8211&lt;&gt;"""", GOOGLETRANSLATE(A8211, ""en"", ""te""),"""")"),"[ 'ఒక వృత్తిలో 6 వ అత్యధిక పరుగులు వంద (2764) లేకుండా' '5 వ పిన్న ఆటగాడు ఐదు వికెట్ల లో-ఒక-ఇన్నింగ్స్ (18y 361d) తీసుకోవాలని',]")</f>
        <v>[ 'ఒక వృత్తిలో 6 వ అత్యధిక పరుగులు వంద (2764) లేకుండా' '5 వ పిన్న ఆటగాడు ఐదు వికెట్ల లో-ఒక-ఇన్నింగ్స్ (18y 361d) తీసుకోవాలని',]</v>
      </c>
      <c r="C8211" s="2"/>
      <c r="D8211" s="2" t="str">
        <f>IFERROR(__xludf.DUMMYFUNCTION("IF(C8211&lt;&gt;"""", GOOGLETRANSLATE(C8211, ""en"", ""te""),"""")"),"")</f>
        <v/>
      </c>
      <c r="E8211" s="2" t="s">
        <v>4583</v>
      </c>
      <c r="F8211" s="2" t="str">
        <f>IFERROR(__xludf.DUMMYFUNCTION("IF(E8211&lt;&gt;"""", GOOGLETRANSLATE(E8211, ""en"", ""te""),"""")"),"[ '20 వ అత్యంత వంద (1954) లేకుండా ఒక వృత్తిలో పరుగులు' '14 వ ఒక ఇన్నింగ్స్ లోని బెస్ట్ ఫిగర్స్ పరాజయం వైపు (5) ఉన్నప్పుడు', '5 వ పిన్న ఆటగాడు ఐదు వికెట్ల లో-ఒక-ఇన్నింగ్స్ (18y తీసుకోవాలని 361d) ']")</f>
        <v>[ '20 వ అత్యంత వంద (1954) లేకుండా ఒక వృత్తిలో పరుగులు' '14 వ ఒక ఇన్నింగ్స్ లోని బెస్ట్ ఫిగర్స్ పరాజయం వైపు (5) ఉన్నప్పుడు', '5 వ పిన్న ఆటగాడు ఐదు వికెట్ల లో-ఒక-ఇన్నింగ్స్ (18y తీసుకోవాలని 361d) ']</v>
      </c>
      <c r="G8211" s="2" t="s">
        <v>4584</v>
      </c>
      <c r="H8211" s="2" t="str">
        <f>IFERROR(__xludf.DUMMYFUNCTION("IF(G8211&lt;&gt;"""", GOOGLETRANSLATE(G8211, ""en"", ""te""),"""")"),"[ 'మూడో వికెట్కు (109) కోసం 27 అత్యధిక భాగస్వామ్యం']")</f>
        <v>[ 'మూడో వికెట్కు (109) కోసం 27 అత్యధిక భాగస్వామ్యం']</v>
      </c>
      <c r="I8211" s="3"/>
    </row>
    <row r="8212" customHeight="1" spans="1:9">
      <c r="A8212" s="2" t="s">
        <v>4585</v>
      </c>
      <c r="B8212" s="2" t="str">
        <f>IFERROR(__xludf.DUMMYFUNCTION("IF(A8212&lt;&gt;"""", GOOGLETRANSLATE(A8212, ""en"", ""te""),"""")"),"[ 'ఇన్నింగ్స్ లో 7 వ అత్యధిక స్ట్రైక్ రేట్ (252.94)', 'ఒకే మైదానంలో 6 వ అత్యధిక వికెట్లు (75)', '1 వ వరుస నాలుగు వికెట్లు-ఇన్-ఒక-ఇన్నింగ్స్ (3)', '7 వ అత్యధిక వికెట్లు తీసుకున్న LBW (57) ',' 8 వ ఒక ఇన్నింగ్స్ లోని బెస్ట్ ఫిగర్స్ ఉన్నప్పుడు పరాజయం వైపు "&amp;"(4) ',' 10 వ కెరీర్ లో అత్యంత పనికత్తెలయొద్ద (4) ',' 6 వ బౌలర్ / ఫీల్డర్ కలయికలు (9) ']")</f>
        <v>[ 'ఇన్నింగ్స్ లో 7 వ అత్యధిక స్ట్రైక్ రేట్ (252.94)', 'ఒకే మైదానంలో 6 వ అత్యధిక వికెట్లు (75)', '1 వ వరుస నాలుగు వికెట్లు-ఇన్-ఒక-ఇన్నింగ్స్ (3)', '7 వ అత్యధిక వికెట్లు తీసుకున్న LBW (57) ',' 8 వ ఒక ఇన్నింగ్స్ లోని బెస్ట్ ఫిగర్స్ ఉన్నప్పుడు పరాజయం వైపు (4) ',' 10 వ కెరీర్ లో అత్యంత పనికత్తెలయొద్ద (4) ',' 6 వ బౌలర్ / ఫీల్డర్ కలయికలు (9) ']</v>
      </c>
      <c r="C8212" s="2" t="s">
        <v>4586</v>
      </c>
      <c r="D8212" s="2" t="str">
        <f>IFERROR(__xludf.DUMMYFUNCTION("IF(C8212&lt;&gt;"""", GOOGLETRANSLATE(C8212, ""en"", ""te""),"""")"),"[ 'ఇన్నింగ్స్ లో 7 వ అత్యధిక స్ట్రైక్ రేట్ (252.94)', '17 వ చెత్త కెరీర్ సగటు (59.75) బౌలింగ్', '48 వ చెత్త కెరీర్లో సమ్మె రేటు (107.6)', '38 వ అత్యంత ఒక మ్యాచ్లో సాధించిన పరుగులు (263)']")</f>
        <v>[ 'ఇన్నింగ్స్ లో 7 వ అత్యధిక స్ట్రైక్ రేట్ (252.94)', '17 వ చెత్త కెరీర్ సగటు (59.75) బౌలింగ్', '48 వ చెత్త కెరీర్లో సమ్మె రేటు (107.6)', '38 వ అత్యంత ఒక మ్యాచ్లో సాధించిన పరుగులు (263)']</v>
      </c>
      <c r="E8212" s="2" t="s">
        <v>4587</v>
      </c>
      <c r="F8212" s="2" t="str">
        <f>IFERROR(__xludf.DUMMYFUNCTION("IF(E8212&lt;&gt;"""", GOOGLETRANSLATE(E8212, ""en"", ""te""),"""")"),"[ '34 వ కెరీర్ లో అత్యధిక వికెట్లు (207)', '36 వ ఒక క్యాలెండర్ సంవత్సరంలో అత్యధిక వికెట్లు (45)', 'ఒకే మైదానంలో 6 వ అత్యధిక వికెట్లు (75)', '15 వ అత్యంత ఐదు-వికెట్ల లో-ఒక-ఇన్నింగ్స్ ఒక వృత్తిలో (4) ',' 36 వ అత్యంత నాలుగు వికెట్లు-ఇన్-ఒక-ఇన్నింగ్స్ కెరీర్"&amp;"లో (9) ',' 1 వ వరుస నాలుగు వికెట్లు-ఇన్-ఒక-ఇన్నింగ్స్ (3) ',' 42 వ అత్యంత బంతుల్లో కెరీర్లో బౌల్డ్ (7965) ',' 42 వ కెరీర్ లో సాధించిన అత్యధిక పరుగులు (6065) ',' 25 వ బౌలర్ / బ్యాట్స్ కలయికలు (8) ',' 24 వ అత్యధిక వికెట్లు తీసుకున్న బౌల్డ్ (57) ',' 7 వ అత్య"&amp;"ధిక వికెట్లు తీసుకున్న ఎల్బిడబ్ల్యు (57 ) ',' 18 వ అత్యధిక వికెట్లు స్టంప్ (17) ',' 45 వ వేగవంతమైన 100 వికెట్లు (తీసుకోవాలి 69) ',' 31 150 వికెట్లు (108) ',' 16 వ వేగంగా 200 వికెట్లు (141) ',' 45 వ అత్యంత వేగంగా ఒక జట్టు వరుస మ్యాచ్లు (74) ']")</f>
        <v>[ '34 వ కెరీర్ లో అత్యధిక వికెట్లు (207)', '36 వ ఒక క్యాలెండర్ సంవత్సరంలో అత్యధిక వికెట్లు (45)', 'ఒకే మైదానంలో 6 వ అత్యధిక వికెట్లు (75)', '15 వ అత్యంత ఐదు-వికెట్ల లో-ఒక-ఇన్నింగ్స్ ఒక వృత్తిలో (4) ',' 36 వ అత్యంత నాలుగు వికెట్లు-ఇన్-ఒక-ఇన్నింగ్స్ కెరీర్లో (9) ',' 1 వ వరుస నాలుగు వికెట్లు-ఇన్-ఒక-ఇన్నింగ్స్ (3) ',' 42 వ అత్యంత బంతుల్లో కెరీర్లో బౌల్డ్ (7965) ',' 42 వ కెరీర్ లో సాధించిన అత్యధిక పరుగులు (6065) ',' 25 వ బౌలర్ / బ్యాట్స్ కలయికలు (8) ',' 24 వ అత్యధిక వికెట్లు తీసుకున్న బౌల్డ్ (57) ',' 7 వ అత్యధిక వికెట్లు తీసుకున్న ఎల్బిడబ్ల్యు (57 ) ',' 18 వ అత్యధిక వికెట్లు స్టంప్ (17) ',' 45 వ వేగవంతమైన 100 వికెట్లు (తీసుకోవాలి 69) ',' 31 150 వికెట్లు (108) ',' 16 వ వేగంగా 200 వికెట్లు (141) ',' 45 వ అత్యంత వేగంగా ఒక జట్టు వరుస మ్యాచ్లు (74) ']</v>
      </c>
      <c r="G8212" s="2" t="s">
        <v>4588</v>
      </c>
      <c r="H8212" s="2" t="str">
        <f>IFERROR(__xludf.DUMMYFUNCTION("IF(G8212&lt;&gt;"""", GOOGLETRANSLATE(G8212, ""en"", ""te""),"""")"),"[ '32 వ కెరీర్ బాతులు (5)', '8 వ ఒక ఇన్నింగ్స్ లోని బెస్ట్ ఫిగర్స్ ఉన్నప్పుడు పరాజయం వైపు (4)', '19 వ ఉత్తమ కెరీర్ సగటు (19.04) బౌలింగ్', '35 వ ఉత్తమ కెరీర్ ఆర్థిక రేటు (6.88)' '27 ఉత్తమ కెరీర్ సమ్మె రేటు (16.5)', 'ఇన్నింగ్స్ లో 31 ఉత్తమ సమ్మె రేటు (4.5)"&amp;"', '6 వ బౌలర్ / ఫీల్డర్ కలయికలు (9)', '14 వ అత్యంత' 38 వ అత్యధిక వికెట్లు బౌల్డ్ (11) తీసుకున్న ' వికెట్లు తీసుకున్న క్యాచ్ మరియు బౌల్డ్ (3) ',' 14 వ అత్యధిక వికెట్లు తీసుకున్న ఎల్బిడబ్ల్యు (7) ',' 8 వ అత్యధిక వికెట్లు కెరీర్ (4) లో 'తీసిన స్టంప్ (8)', '1"&amp;"0 వ అత్యంత పనికత్తెలయొద్ద]")</f>
        <v>[ '32 వ కెరీర్ బాతులు (5)', '8 వ ఒక ఇన్నింగ్స్ లోని బెస్ట్ ఫిగర్స్ ఉన్నప్పుడు పరాజయం వైపు (4)', '19 వ ఉత్తమ కెరీర్ సగటు (19.04) బౌలింగ్', '35 వ ఉత్తమ కెరీర్ ఆర్థిక రేటు (6.88)' '27 ఉత్తమ కెరీర్ సమ్మె రేటు (16.5)', 'ఇన్నింగ్స్ లో 31 ఉత్తమ సమ్మె రేటు (4.5)', '6 వ బౌలర్ / ఫీల్డర్ కలయికలు (9)', '14 వ అత్యంత' 38 వ అత్యధిక వికెట్లు బౌల్డ్ (11) తీసుకున్న ' వికెట్లు తీసుకున్న క్యాచ్ మరియు బౌల్డ్ (3) ',' 14 వ అత్యధిక వికెట్లు తీసుకున్న ఎల్బిడబ్ల్యు (7) ',' 8 వ అత్యధిక వికెట్లు కెరీర్ (4) లో 'తీసిన స్టంప్ (8)', '10 వ అత్యంత పనికత్తెలయొద్ద]</v>
      </c>
      <c r="I8212" s="3"/>
    </row>
    <row r="8213" customHeight="1" spans="1:9">
      <c r="A8213" s="2"/>
      <c r="B8213" s="2" t="str">
        <f>IFERROR(__xludf.DUMMYFUNCTION("IF(A8213&lt;&gt;"""", GOOGLETRANSLATE(A8213, ""en"", ""te""),"""")"),"")</f>
        <v/>
      </c>
      <c r="C8213" s="2"/>
      <c r="D8213" s="2" t="str">
        <f>IFERROR(__xludf.DUMMYFUNCTION("IF(C8213&lt;&gt;"""", GOOGLETRANSLATE(C8213, ""en"", ""te""),"""")"),"")</f>
        <v/>
      </c>
      <c r="E8213" s="2"/>
      <c r="F8213" s="2" t="str">
        <f>IFERROR(__xludf.DUMMYFUNCTION("IF(E8213&lt;&gt;"""", GOOGLETRANSLATE(E8213, ""en"", ""te""),"""")"),"")</f>
        <v/>
      </c>
      <c r="G8213" s="2"/>
      <c r="H8213" s="2" t="str">
        <f>IFERROR(__xludf.DUMMYFUNCTION("IF(G8213&lt;&gt;"""", GOOGLETRANSLATE(G8213, ""en"", ""te""),"""")"),"")</f>
        <v/>
      </c>
      <c r="I8213" s="3"/>
    </row>
    <row r="8214" customHeight="1" spans="1:9">
      <c r="A8214" s="2"/>
      <c r="B8214" s="2" t="str">
        <f>IFERROR(__xludf.DUMMYFUNCTION("IF(A8214&lt;&gt;"""", GOOGLETRANSLATE(A8214, ""en"", ""te""),"""")"),"")</f>
        <v/>
      </c>
      <c r="C8214" s="2"/>
      <c r="D8214" s="2" t="str">
        <f>IFERROR(__xludf.DUMMYFUNCTION("IF(C8214&lt;&gt;"""", GOOGLETRANSLATE(C8214, ""en"", ""te""),"""")"),"")</f>
        <v/>
      </c>
      <c r="E8214" s="2" t="s">
        <v>2700</v>
      </c>
      <c r="F8214" s="2" t="str">
        <f>IFERROR(__xludf.DUMMYFUNCTION("IF(E8214&lt;&gt;"""", GOOGLETRANSLATE(E8214, ""en"", ""te""),"""")"),"[ '13 వ వరుస నాలుగు వికెట్లు-ఇన్-ఒక-ఇన్నింగ్స్ (2)']")</f>
        <v>[ '13 వ వరుస నాలుగు వికెట్లు-ఇన్-ఒక-ఇన్నింగ్స్ (2)']</v>
      </c>
      <c r="G8214" s="2"/>
      <c r="H8214" s="2" t="str">
        <f>IFERROR(__xludf.DUMMYFUNCTION("IF(G8214&lt;&gt;"""", GOOGLETRANSLATE(G8214, ""en"", ""te""),"""")"),"")</f>
        <v/>
      </c>
      <c r="I8214" s="3"/>
    </row>
    <row r="8215" customHeight="1" spans="1:9">
      <c r="A8215" s="2"/>
      <c r="B8215" s="2" t="str">
        <f>IFERROR(__xludf.DUMMYFUNCTION("IF(A8215&lt;&gt;"""", GOOGLETRANSLATE(A8215, ""en"", ""te""),"""")"),"")</f>
        <v/>
      </c>
      <c r="C8215" s="2"/>
      <c r="D8215" s="2" t="str">
        <f>IFERROR(__xludf.DUMMYFUNCTION("IF(C8215&lt;&gt;"""", GOOGLETRANSLATE(C8215, ""en"", ""te""),"""")"),"")</f>
        <v/>
      </c>
      <c r="E8215" s="2"/>
      <c r="F8215" s="2" t="str">
        <f>IFERROR(__xludf.DUMMYFUNCTION("IF(E8215&lt;&gt;"""", GOOGLETRANSLATE(E8215, ""en"", ""te""),"""")"),"")</f>
        <v/>
      </c>
      <c r="G8215" s="2"/>
      <c r="H8215" s="2" t="str">
        <f>IFERROR(__xludf.DUMMYFUNCTION("IF(G8215&lt;&gt;"""", GOOGLETRANSLATE(G8215, ""en"", ""te""),"""")"),"")</f>
        <v/>
      </c>
      <c r="I8215" s="3"/>
    </row>
    <row r="8216" customHeight="1" spans="1:9">
      <c r="A8216" s="2"/>
      <c r="B8216" s="2" t="str">
        <f>IFERROR(__xludf.DUMMYFUNCTION("IF(A8216&lt;&gt;"""", GOOGLETRANSLATE(A8216, ""en"", ""te""),"""")"),"")</f>
        <v/>
      </c>
      <c r="C8216" s="2"/>
      <c r="D8216" s="2" t="str">
        <f>IFERROR(__xludf.DUMMYFUNCTION("IF(C8216&lt;&gt;"""", GOOGLETRANSLATE(C8216, ""en"", ""te""),"""")"),"")</f>
        <v/>
      </c>
      <c r="E8216" s="2"/>
      <c r="F8216" s="2" t="str">
        <f>IFERROR(__xludf.DUMMYFUNCTION("IF(E8216&lt;&gt;"""", GOOGLETRANSLATE(E8216, ""en"", ""te""),"""")"),"")</f>
        <v/>
      </c>
      <c r="G8216" s="2"/>
      <c r="H8216" s="2" t="str">
        <f>IFERROR(__xludf.DUMMYFUNCTION("IF(G8216&lt;&gt;"""", GOOGLETRANSLATE(G8216, ""en"", ""te""),"""")"),"")</f>
        <v/>
      </c>
      <c r="I8216" s="3"/>
    </row>
    <row r="8217" customHeight="1" spans="1:9">
      <c r="A8217" s="2"/>
      <c r="B8217" s="2" t="str">
        <f>IFERROR(__xludf.DUMMYFUNCTION("IF(A8217&lt;&gt;"""", GOOGLETRANSLATE(A8217, ""en"", ""te""),"""")"),"")</f>
        <v/>
      </c>
      <c r="C8217" s="2" t="s">
        <v>4589</v>
      </c>
      <c r="D8217" s="2" t="str">
        <f>IFERROR(__xludf.DUMMYFUNCTION("IF(C8217&lt;&gt;"""", GOOGLETRANSLATE(C8217, ""en"", ""te""),"""")"),"[ '20 వ చెత్త ఇన్నింగ్స్ లో ఆర్థిక రేటు (6,80)']")</f>
        <v>[ '20 వ చెత్త ఇన్నింగ్స్ లో ఆర్థిక రేటు (6,80)']</v>
      </c>
      <c r="E8217" s="2"/>
      <c r="F8217" s="2" t="str">
        <f>IFERROR(__xludf.DUMMYFUNCTION("IF(E8217&lt;&gt;"""", GOOGLETRANSLATE(E8217, ""en"", ""te""),"""")"),"")</f>
        <v/>
      </c>
      <c r="G8217" s="2"/>
      <c r="H8217" s="2" t="str">
        <f>IFERROR(__xludf.DUMMYFUNCTION("IF(G8217&lt;&gt;"""", GOOGLETRANSLATE(G8217, ""en"", ""te""),"""")"),"")</f>
        <v/>
      </c>
      <c r="I8217" s="3"/>
    </row>
    <row r="8218" customHeight="1" spans="1:9">
      <c r="A8218" s="2"/>
      <c r="B8218" s="2" t="str">
        <f>IFERROR(__xludf.DUMMYFUNCTION("IF(A8218&lt;&gt;"""", GOOGLETRANSLATE(A8218, ""en"", ""te""),"""")"),"")</f>
        <v/>
      </c>
      <c r="C8218" s="2"/>
      <c r="D8218" s="2" t="str">
        <f>IFERROR(__xludf.DUMMYFUNCTION("IF(C8218&lt;&gt;"""", GOOGLETRANSLATE(C8218, ""en"", ""te""),"""")"),"")</f>
        <v/>
      </c>
      <c r="E8218" s="2" t="s">
        <v>4590</v>
      </c>
      <c r="F8218" s="2" t="str">
        <f>IFERROR(__xludf.DUMMYFUNCTION("IF(E8218&lt;&gt;"""", GOOGLETRANSLATE(E8218, ""en"", ""te""),"""")"),"[ 'ఆరవ వికెట్కు 50 వ అత్యధిక భాగస్వామ్యం (123 *)']")</f>
        <v>[ 'ఆరవ వికెట్కు 50 వ అత్యధిక భాగస్వామ్యం (123 *)']</v>
      </c>
      <c r="G8218" s="2"/>
      <c r="H8218" s="2" t="str">
        <f>IFERROR(__xludf.DUMMYFUNCTION("IF(G8218&lt;&gt;"""", GOOGLETRANSLATE(G8218, ""en"", ""te""),"""")"),"")</f>
        <v/>
      </c>
      <c r="I8218" s="3"/>
    </row>
    <row r="8219" customHeight="1" spans="1:9">
      <c r="A8219" s="2"/>
      <c r="B8219" s="2" t="str">
        <f>IFERROR(__xludf.DUMMYFUNCTION("IF(A8219&lt;&gt;"""", GOOGLETRANSLATE(A8219, ""en"", ""te""),"""")"),"")</f>
        <v/>
      </c>
      <c r="C8219" s="2"/>
      <c r="D8219" s="2" t="str">
        <f>IFERROR(__xludf.DUMMYFUNCTION("IF(C8219&lt;&gt;"""", GOOGLETRANSLATE(C8219, ""en"", ""te""),"""")"),"")</f>
        <v/>
      </c>
      <c r="E8219" s="2"/>
      <c r="F8219" s="2" t="str">
        <f>IFERROR(__xludf.DUMMYFUNCTION("IF(E8219&lt;&gt;"""", GOOGLETRANSLATE(E8219, ""en"", ""te""),"""")"),"")</f>
        <v/>
      </c>
      <c r="G8219" s="2"/>
      <c r="H8219" s="2" t="str">
        <f>IFERROR(__xludf.DUMMYFUNCTION("IF(G8219&lt;&gt;"""", GOOGLETRANSLATE(G8219, ""en"", ""te""),"""")"),"")</f>
        <v/>
      </c>
      <c r="I8219" s="3"/>
    </row>
    <row r="8220" customHeight="1" spans="1:9">
      <c r="A8220" s="2" t="s">
        <v>4591</v>
      </c>
      <c r="B8220" s="2" t="str">
        <f>IFERROR(__xludf.DUMMYFUNCTION("IF(A8220&lt;&gt;"""", GOOGLETRANSLATE(A8220, ""en"", ""te""),"""")"),"[ 'ప్రవేశం (145) పై వంద']")</f>
        <v>[ 'ప్రవేశం (145) పై వంద']</v>
      </c>
      <c r="C8220" s="2" t="s">
        <v>4592</v>
      </c>
      <c r="D8220" s="2" t="str">
        <f>IFERROR(__xludf.DUMMYFUNCTION("IF(C8220&lt;&gt;"""", GOOGLETRANSLATE(C8220, ""en"", ""te""),"""")"),"[ '50 వ తొలి మ్యాచ్లో అత్యధిక పరుగులు (151)', '35 వ చెత్త కెరీర్ (అర్హత లేకుండా) సగటు బౌలింగ్ (149,00)']")</f>
        <v>[ '50 వ తొలి మ్యాచ్లో అత్యధిక పరుగులు (151)', '35 వ చెత్త కెరీర్ (అర్హత లేకుండా) సగటు బౌలింగ్ (149,00)']</v>
      </c>
      <c r="E8220" s="2"/>
      <c r="F8220" s="2" t="str">
        <f>IFERROR(__xludf.DUMMYFUNCTION("IF(E8220&lt;&gt;"""", GOOGLETRANSLATE(E8220, ""en"", ""te""),"""")"),"")</f>
        <v/>
      </c>
      <c r="G8220" s="2"/>
      <c r="H8220" s="2" t="str">
        <f>IFERROR(__xludf.DUMMYFUNCTION("IF(G8220&lt;&gt;"""", GOOGLETRANSLATE(G8220, ""en"", ""te""),"""")"),"")</f>
        <v/>
      </c>
      <c r="I8220" s="3"/>
    </row>
    <row r="8221" customHeight="1" spans="1:9">
      <c r="A8221" s="2"/>
      <c r="B8221" s="2" t="str">
        <f>IFERROR(__xludf.DUMMYFUNCTION("IF(A8221&lt;&gt;"""", GOOGLETRANSLATE(A8221, ""en"", ""te""),"""")"),"")</f>
        <v/>
      </c>
      <c r="C8221" s="2"/>
      <c r="D8221" s="2" t="str">
        <f>IFERROR(__xludf.DUMMYFUNCTION("IF(C8221&lt;&gt;"""", GOOGLETRANSLATE(C8221, ""en"", ""te""),"""")"),"")</f>
        <v/>
      </c>
      <c r="E8221" s="2"/>
      <c r="F8221" s="2" t="str">
        <f>IFERROR(__xludf.DUMMYFUNCTION("IF(E8221&lt;&gt;"""", GOOGLETRANSLATE(E8221, ""en"", ""te""),"""")"),"")</f>
        <v/>
      </c>
      <c r="G8221" s="2"/>
      <c r="H8221" s="2" t="str">
        <f>IFERROR(__xludf.DUMMYFUNCTION("IF(G8221&lt;&gt;"""", GOOGLETRANSLATE(G8221, ""en"", ""te""),"""")"),"")</f>
        <v/>
      </c>
      <c r="I8221" s="3"/>
    </row>
    <row r="8222" customHeight="1" spans="1:9">
      <c r="A8222" s="2" t="s">
        <v>4593</v>
      </c>
      <c r="B8222" s="2" t="str">
        <f>IFERROR(__xludf.DUMMYFUNCTION("IF(A8222&lt;&gt;"""", GOOGLETRANSLATE(A8222, ""en"", ""te""),"""")"),"[ '10 వ పిన్న ఆటగాడు వంద (19y 352d) స్కోర్']")</f>
        <v>[ '10 వ పిన్న ఆటగాడు వంద (19y 352d) స్కోర్']</v>
      </c>
      <c r="C8222" s="2"/>
      <c r="D8222" s="2" t="str">
        <f>IFERROR(__xludf.DUMMYFUNCTION("IF(C8222&lt;&gt;"""", GOOGLETRANSLATE(C8222, ""en"", ""te""),"""")"),"")</f>
        <v/>
      </c>
      <c r="E8222" s="2" t="s">
        <v>4594</v>
      </c>
      <c r="F8222" s="2" t="str">
        <f>IFERROR(__xludf.DUMMYFUNCTION("IF(E8222&lt;&gt;"""", GOOGLETRANSLATE(E8222, ""en"", ""te""),"""")"),"[ '45 వ వేగవంతమైన 1000 పరుగులు (29)' '10 వ పిన్న ఆటగాడు వంద (19y 352d) స్కోర్',]")</f>
        <v>[ '45 వ వేగవంతమైన 1000 పరుగులు (29)' '10 వ పిన్న ఆటగాడు వంద (19y 352d) స్కోర్',]</v>
      </c>
      <c r="G8222" s="2"/>
      <c r="H8222" s="2" t="str">
        <f>IFERROR(__xludf.DUMMYFUNCTION("IF(G8222&lt;&gt;"""", GOOGLETRANSLATE(G8222, ""en"", ""te""),"""")"),"")</f>
        <v/>
      </c>
      <c r="I8222" s="3"/>
    </row>
    <row r="8223" customHeight="1" spans="1:9">
      <c r="A8223" s="2"/>
      <c r="B8223" s="2" t="str">
        <f>IFERROR(__xludf.DUMMYFUNCTION("IF(A8223&lt;&gt;"""", GOOGLETRANSLATE(A8223, ""en"", ""te""),"""")"),"")</f>
        <v/>
      </c>
      <c r="C8223" s="2"/>
      <c r="D8223" s="2" t="str">
        <f>IFERROR(__xludf.DUMMYFUNCTION("IF(C8223&lt;&gt;"""", GOOGLETRANSLATE(C8223, ""en"", ""te""),"""")"),"")</f>
        <v/>
      </c>
      <c r="E8223" s="2"/>
      <c r="F8223" s="2" t="str">
        <f>IFERROR(__xludf.DUMMYFUNCTION("IF(E8223&lt;&gt;"""", GOOGLETRANSLATE(E8223, ""en"", ""te""),"""")"),"")</f>
        <v/>
      </c>
      <c r="G8223" s="2"/>
      <c r="H8223" s="2" t="str">
        <f>IFERROR(__xludf.DUMMYFUNCTION("IF(G8223&lt;&gt;"""", GOOGLETRANSLATE(G8223, ""en"", ""te""),"""")"),"")</f>
        <v/>
      </c>
      <c r="I8223" s="3"/>
    </row>
    <row r="8224" customHeight="1" spans="1:9">
      <c r="A8224" s="2"/>
      <c r="B8224" s="2" t="str">
        <f>IFERROR(__xludf.DUMMYFUNCTION("IF(A8224&lt;&gt;"""", GOOGLETRANSLATE(A8224, ""en"", ""te""),"""")"),"")</f>
        <v/>
      </c>
      <c r="C8224" s="2"/>
      <c r="D8224" s="2" t="str">
        <f>IFERROR(__xludf.DUMMYFUNCTION("IF(C8224&lt;&gt;"""", GOOGLETRANSLATE(C8224, ""en"", ""te""),"""")"),"")</f>
        <v/>
      </c>
      <c r="E8224" s="2"/>
      <c r="F8224" s="2" t="str">
        <f>IFERROR(__xludf.DUMMYFUNCTION("IF(E8224&lt;&gt;"""", GOOGLETRANSLATE(E8224, ""en"", ""te""),"""")"),"")</f>
        <v/>
      </c>
      <c r="G8224" s="2"/>
      <c r="H8224" s="2" t="str">
        <f>IFERROR(__xludf.DUMMYFUNCTION("IF(G8224&lt;&gt;"""", GOOGLETRANSLATE(G8224, ""en"", ""te""),"""")"),"")</f>
        <v/>
      </c>
      <c r="I8224" s="3"/>
    </row>
    <row r="8225" customHeight="1" spans="1:9">
      <c r="A8225" s="2" t="s">
        <v>4595</v>
      </c>
      <c r="B8225" s="2" t="str">
        <f>IFERROR(__xludf.DUMMYFUNCTION("IF(A8225&lt;&gt;"""", GOOGLETRANSLATE(A8225, ""en"", ""te""),"""")"),"[ 'ఒకే క్రీడా న 1 వ అత్యధిక వికెట్లు (27)', '8 వ ఉత్తమ కెరీర్ సమ్మె రేటు (14.2)']")</f>
        <v>[ 'ఒకే క్రీడా న 1 వ అత్యధిక వికెట్లు (27)', '8 వ ఉత్తమ కెరీర్ సమ్మె రేటు (14.2)']</v>
      </c>
      <c r="C8225" s="2" t="s">
        <v>4596</v>
      </c>
      <c r="D8225" s="2" t="str">
        <f>IFERROR(__xludf.DUMMYFUNCTION("IF(C8225&lt;&gt;"""", GOOGLETRANSLATE(C8225, ""en"", ""te""),"""")"),"[ '39 వ అత్యధిక ఇన్నింగ్స్ లో సమ్మె రేటు (177.77)']")</f>
        <v>[ '39 వ అత్యధిక ఇన్నింగ్స్ లో సమ్మె రేటు (177.77)']</v>
      </c>
      <c r="E8225" s="2"/>
      <c r="F8225" s="2" t="str">
        <f>IFERROR(__xludf.DUMMYFUNCTION("IF(E8225&lt;&gt;"""", GOOGLETRANSLATE(E8225, ""en"", ""te""),"""")"),"")</f>
        <v/>
      </c>
      <c r="G8225" s="2" t="s">
        <v>4597</v>
      </c>
      <c r="H8225" s="2" t="str">
        <f>IFERROR(__xludf.DUMMYFUNCTION("IF(G8225&lt;&gt;"""", GOOGLETRANSLATE(G8225, ""en"", ""te""),"""")"),"[ '23 ఒక క్యాలెండర్ సంవత్సరంలో అత్యధిక వికెట్లు (22)', '1st ఒకే మైదానంలో అత్యధిక వికెట్లు (27)', '9 వ సగటు (16.97) బౌలింగ్ ఉత్తమ జీవితం' '8 వ ఉత్తమ కెరీర్ సమ్మె రేటు (14.2)', ' 45 వ బౌలర్ / ఫీల్డర్ కలయికలు (6) ',' 48 వ అత్యధిక వికెట్లు తీసుకున్న బౌల్డ్ ("&amp;"10) ',' 42 వ అత్యధిక వికెట్లు తీసుకున్న ఆకర్షించింది (32) ',' 39 వ అత్యధిక వికెట్లు ఒక ఫీల్డర్ చేత క్యాచ్ తీసుకున్న (27) ',' 48 వ అత్యధిక వికెట్లు ఒక వికెట్ కీపర్ చే కాట్ తీసుకోకూడదు (5) ']")</f>
        <v>[ '23 ఒక క్యాలెండర్ సంవత్సరంలో అత్యధిక వికెట్లు (22)', '1st ఒకే మైదానంలో అత్యధిక వికెట్లు (27)', '9 వ సగటు (16.97) బౌలింగ్ ఉత్తమ జీవితం' '8 వ ఉత్తమ కెరీర్ సమ్మె రేటు (14.2)', ' 45 వ బౌలర్ / ఫీల్డర్ కలయికలు (6) ',' 48 వ అత్యధిక వికెట్లు తీసుకున్న బౌల్డ్ (10) ',' 42 వ అత్యధిక వికెట్లు తీసుకున్న ఆకర్షించింది (32) ',' 39 వ అత్యధిక వికెట్లు ఒక ఫీల్డర్ చేత క్యాచ్ తీసుకున్న (27) ',' 48 వ అత్యధిక వికెట్లు ఒక వికెట్ కీపర్ చే కాట్ తీసుకోకూడదు (5) ']</v>
      </c>
      <c r="I8225" s="3"/>
    </row>
    <row r="8226" customHeight="1" spans="1:9">
      <c r="A8226" s="2"/>
      <c r="B8226" s="2" t="str">
        <f>IFERROR(__xludf.DUMMYFUNCTION("IF(A8226&lt;&gt;"""", GOOGLETRANSLATE(A8226, ""en"", ""te""),"""")"),"")</f>
        <v/>
      </c>
      <c r="C8226" s="2"/>
      <c r="D8226" s="2" t="str">
        <f>IFERROR(__xludf.DUMMYFUNCTION("IF(C8226&lt;&gt;"""", GOOGLETRANSLATE(C8226, ""en"", ""te""),"""")"),"")</f>
        <v/>
      </c>
      <c r="E8226" s="2"/>
      <c r="F8226" s="2" t="str">
        <f>IFERROR(__xludf.DUMMYFUNCTION("IF(E8226&lt;&gt;"""", GOOGLETRANSLATE(E8226, ""en"", ""te""),"""")"),"")</f>
        <v/>
      </c>
      <c r="G8226" s="2"/>
      <c r="H8226" s="2" t="str">
        <f>IFERROR(__xludf.DUMMYFUNCTION("IF(G8226&lt;&gt;"""", GOOGLETRANSLATE(G8226, ""en"", ""te""),"""")"),"")</f>
        <v/>
      </c>
      <c r="I8226" s="3"/>
    </row>
    <row r="8227" customHeight="1" spans="1:9">
      <c r="A8227" s="2" t="s">
        <v>4598</v>
      </c>
      <c r="B8227" s="2" t="str">
        <f>IFERROR(__xludf.DUMMYFUNCTION("IF(A8227&lt;&gt;"""", GOOGLETRANSLATE(A8227, ""en"", ""te""),"""")"),"[ 'కెరీర్లో 1st లేవు బాతులు (53)']")</f>
        <v>[ 'కెరీర్లో 1st లేవు బాతులు (53)']</v>
      </c>
      <c r="C8227" s="2"/>
      <c r="D8227" s="2" t="str">
        <f>IFERROR(__xludf.DUMMYFUNCTION("IF(C8227&lt;&gt;"""", GOOGLETRANSLATE(C8227, ""en"", ""te""),"""")"),"")</f>
        <v/>
      </c>
      <c r="E8227" s="2"/>
      <c r="F8227" s="2" t="str">
        <f>IFERROR(__xludf.DUMMYFUNCTION("IF(E8227&lt;&gt;"""", GOOGLETRANSLATE(E8227, ""en"", ""te""),"""")"),"")</f>
        <v/>
      </c>
      <c r="G8227" s="2" t="s">
        <v>4599</v>
      </c>
      <c r="H8227" s="2" t="str">
        <f>IFERROR(__xludf.DUMMYFUNCTION("IF(G8227&lt;&gt;"""", GOOGLETRANSLATE(G8227, ""en"", ""te""),"""")"),"[ 'కెరీర్లో 1st లేవు బాతులు (53)', 'ఒక డక్ లేకుండా 8 వ వరుస ఇన్నింగ్స్ (53 *)']")</f>
        <v>[ 'కెరీర్లో 1st లేవు బాతులు (53)', 'ఒక డక్ లేకుండా 8 వ వరుస ఇన్నింగ్స్ (53 *)']</v>
      </c>
      <c r="I8227" s="3"/>
    </row>
    <row r="8228" customHeight="1" spans="1:9">
      <c r="A8228" s="2"/>
      <c r="B8228" s="2" t="str">
        <f>IFERROR(__xludf.DUMMYFUNCTION("IF(A8228&lt;&gt;"""", GOOGLETRANSLATE(A8228, ""en"", ""te""),"""")"),"")</f>
        <v/>
      </c>
      <c r="C8228" s="2"/>
      <c r="D8228" s="2" t="str">
        <f>IFERROR(__xludf.DUMMYFUNCTION("IF(C8228&lt;&gt;"""", GOOGLETRANSLATE(C8228, ""en"", ""te""),"""")"),"")</f>
        <v/>
      </c>
      <c r="E8228" s="2"/>
      <c r="F8228" s="2" t="str">
        <f>IFERROR(__xludf.DUMMYFUNCTION("IF(E8228&lt;&gt;"""", GOOGLETRANSLATE(E8228, ""en"", ""te""),"""")"),"")</f>
        <v/>
      </c>
      <c r="G8228" s="2"/>
      <c r="H8228" s="2" t="str">
        <f>IFERROR(__xludf.DUMMYFUNCTION("IF(G8228&lt;&gt;"""", GOOGLETRANSLATE(G8228, ""en"", ""te""),"""")"),"")</f>
        <v/>
      </c>
      <c r="I8228" s="3"/>
    </row>
    <row r="8229" customHeight="1" spans="1:9">
      <c r="A8229" s="2"/>
      <c r="B8229" s="2" t="str">
        <f>IFERROR(__xludf.DUMMYFUNCTION("IF(A8229&lt;&gt;"""", GOOGLETRANSLATE(A8229, ""en"", ""te""),"""")"),"")</f>
        <v/>
      </c>
      <c r="C8229" s="2"/>
      <c r="D8229" s="2" t="str">
        <f>IFERROR(__xludf.DUMMYFUNCTION("IF(C8229&lt;&gt;"""", GOOGLETRANSLATE(C8229, ""en"", ""te""),"""")"),"")</f>
        <v/>
      </c>
      <c r="E8229" s="2"/>
      <c r="F8229" s="2" t="str">
        <f>IFERROR(__xludf.DUMMYFUNCTION("IF(E8229&lt;&gt;"""", GOOGLETRANSLATE(E8229, ""en"", ""te""),"""")"),"")</f>
        <v/>
      </c>
      <c r="G8229" s="2"/>
      <c r="H8229" s="2" t="str">
        <f>IFERROR(__xludf.DUMMYFUNCTION("IF(G8229&lt;&gt;"""", GOOGLETRANSLATE(G8229, ""en"", ""te""),"""")"),"")</f>
        <v/>
      </c>
      <c r="I8229" s="3"/>
    </row>
    <row r="8230" customHeight="1" spans="1:9">
      <c r="A8230" s="2"/>
      <c r="B8230" s="2" t="str">
        <f>IFERROR(__xludf.DUMMYFUNCTION("IF(A8230&lt;&gt;"""", GOOGLETRANSLATE(A8230, ""en"", ""te""),"""")"),"")</f>
        <v/>
      </c>
      <c r="C8230" s="2"/>
      <c r="D8230" s="2" t="str">
        <f>IFERROR(__xludf.DUMMYFUNCTION("IF(C8230&lt;&gt;"""", GOOGLETRANSLATE(C8230, ""en"", ""te""),"""")"),"")</f>
        <v/>
      </c>
      <c r="E8230" s="2"/>
      <c r="F8230" s="2" t="str">
        <f>IFERROR(__xludf.DUMMYFUNCTION("IF(E8230&lt;&gt;"""", GOOGLETRANSLATE(E8230, ""en"", ""te""),"""")"),"")</f>
        <v/>
      </c>
      <c r="G8230" s="2"/>
      <c r="H8230" s="2" t="str">
        <f>IFERROR(__xludf.DUMMYFUNCTION("IF(G8230&lt;&gt;"""", GOOGLETRANSLATE(G8230, ""en"", ""te""),"""")"),"")</f>
        <v/>
      </c>
      <c r="I8230" s="3"/>
    </row>
    <row r="8231" customHeight="1" spans="1:9">
      <c r="A8231" s="2"/>
      <c r="B8231" s="2" t="str">
        <f>IFERROR(__xludf.DUMMYFUNCTION("IF(A8231&lt;&gt;"""", GOOGLETRANSLATE(A8231, ""en"", ""te""),"""")"),"")</f>
        <v/>
      </c>
      <c r="C8231" s="2"/>
      <c r="D8231" s="2" t="str">
        <f>IFERROR(__xludf.DUMMYFUNCTION("IF(C8231&lt;&gt;"""", GOOGLETRANSLATE(C8231, ""en"", ""te""),"""")"),"")</f>
        <v/>
      </c>
      <c r="E8231" s="2"/>
      <c r="F8231" s="2" t="str">
        <f>IFERROR(__xludf.DUMMYFUNCTION("IF(E8231&lt;&gt;"""", GOOGLETRANSLATE(E8231, ""en"", ""te""),"""")"),"")</f>
        <v/>
      </c>
      <c r="G8231" s="2"/>
      <c r="H8231" s="2" t="str">
        <f>IFERROR(__xludf.DUMMYFUNCTION("IF(G8231&lt;&gt;"""", GOOGLETRANSLATE(G8231, ""en"", ""te""),"""")"),"")</f>
        <v/>
      </c>
      <c r="I8231" s="3"/>
    </row>
    <row r="8232" customHeight="1" spans="1:9">
      <c r="A8232" s="2"/>
      <c r="B8232" s="2" t="str">
        <f>IFERROR(__xludf.DUMMYFUNCTION("IF(A8232&lt;&gt;"""", GOOGLETRANSLATE(A8232, ""en"", ""te""),"""")"),"")</f>
        <v/>
      </c>
      <c r="C8232" s="2"/>
      <c r="D8232" s="2" t="str">
        <f>IFERROR(__xludf.DUMMYFUNCTION("IF(C8232&lt;&gt;"""", GOOGLETRANSLATE(C8232, ""en"", ""te""),"""")"),"")</f>
        <v/>
      </c>
      <c r="E8232" s="2"/>
      <c r="F8232" s="2" t="str">
        <f>IFERROR(__xludf.DUMMYFUNCTION("IF(E8232&lt;&gt;"""", GOOGLETRANSLATE(E8232, ""en"", ""te""),"""")"),"")</f>
        <v/>
      </c>
      <c r="G8232" s="2"/>
      <c r="H8232" s="2" t="str">
        <f>IFERROR(__xludf.DUMMYFUNCTION("IF(G8232&lt;&gt;"""", GOOGLETRANSLATE(G8232, ""en"", ""te""),"""")"),"")</f>
        <v/>
      </c>
      <c r="I8232" s="3"/>
    </row>
    <row r="8233" customHeight="1" spans="1:9">
      <c r="A8233" s="2"/>
      <c r="B8233" s="2" t="str">
        <f>IFERROR(__xludf.DUMMYFUNCTION("IF(A8233&lt;&gt;"""", GOOGLETRANSLATE(A8233, ""en"", ""te""),"""")"),"")</f>
        <v/>
      </c>
      <c r="C8233" s="2"/>
      <c r="D8233" s="2" t="str">
        <f>IFERROR(__xludf.DUMMYFUNCTION("IF(C8233&lt;&gt;"""", GOOGLETRANSLATE(C8233, ""en"", ""te""),"""")"),"")</f>
        <v/>
      </c>
      <c r="E8233" s="2"/>
      <c r="F8233" s="2" t="str">
        <f>IFERROR(__xludf.DUMMYFUNCTION("IF(E8233&lt;&gt;"""", GOOGLETRANSLATE(E8233, ""en"", ""te""),"""")"),"")</f>
        <v/>
      </c>
      <c r="G8233" s="2"/>
      <c r="H8233" s="2" t="str">
        <f>IFERROR(__xludf.DUMMYFUNCTION("IF(G8233&lt;&gt;"""", GOOGLETRANSLATE(G8233, ""en"", ""te""),"""")"),"")</f>
        <v/>
      </c>
      <c r="I8233" s="3"/>
    </row>
    <row r="8234" customHeight="1" spans="1:9">
      <c r="A8234" s="2" t="s">
        <v>399</v>
      </c>
      <c r="B8234" s="2" t="str">
        <f>IFERROR(__xludf.DUMMYFUNCTION("IF(A8234&lt;&gt;"""", GOOGLETRANSLATE(A8234, ""en"", ""te""),"""")"),"[ 'తొలి పెయిర్']")</f>
        <v>[ 'తొలి పెయిర్']</v>
      </c>
      <c r="C8234" s="2"/>
      <c r="D8234" s="2" t="str">
        <f>IFERROR(__xludf.DUMMYFUNCTION("IF(C8234&lt;&gt;"""", GOOGLETRANSLATE(C8234, ""en"", ""te""),"""")"),"")</f>
        <v/>
      </c>
      <c r="E8234" s="2"/>
      <c r="F8234" s="2" t="str">
        <f>IFERROR(__xludf.DUMMYFUNCTION("IF(E8234&lt;&gt;"""", GOOGLETRANSLATE(E8234, ""en"", ""te""),"""")"),"")</f>
        <v/>
      </c>
      <c r="G8234" s="2"/>
      <c r="H8234" s="2" t="str">
        <f>IFERROR(__xludf.DUMMYFUNCTION("IF(G8234&lt;&gt;"""", GOOGLETRANSLATE(G8234, ""en"", ""te""),"""")"),"")</f>
        <v/>
      </c>
      <c r="I8234" s="3"/>
    </row>
    <row r="8235" customHeight="1" spans="1:9">
      <c r="A8235" s="2"/>
      <c r="B8235" s="2" t="str">
        <f>IFERROR(__xludf.DUMMYFUNCTION("IF(A8235&lt;&gt;"""", GOOGLETRANSLATE(A8235, ""en"", ""te""),"""")"),"")</f>
        <v/>
      </c>
      <c r="C8235" s="2"/>
      <c r="D8235" s="2" t="str">
        <f>IFERROR(__xludf.DUMMYFUNCTION("IF(C8235&lt;&gt;"""", GOOGLETRANSLATE(C8235, ""en"", ""te""),"""")"),"")</f>
        <v/>
      </c>
      <c r="E8235" s="2"/>
      <c r="F8235" s="2" t="str">
        <f>IFERROR(__xludf.DUMMYFUNCTION("IF(E8235&lt;&gt;"""", GOOGLETRANSLATE(E8235, ""en"", ""te""),"""")"),"")</f>
        <v/>
      </c>
      <c r="G8235" s="2"/>
      <c r="H8235" s="2" t="str">
        <f>IFERROR(__xludf.DUMMYFUNCTION("IF(G8235&lt;&gt;"""", GOOGLETRANSLATE(G8235, ""en"", ""te""),"""")"),"")</f>
        <v/>
      </c>
      <c r="I8235" s="3"/>
    </row>
    <row r="8236" customHeight="1" spans="1:9">
      <c r="A8236" s="2" t="s">
        <v>4600</v>
      </c>
      <c r="B8236" s="2" t="str">
        <f>IFERROR(__xludf.DUMMYFUNCTION("IF(A8236&lt;&gt;"""", GOOGLETRANSLATE(A8236, ""en"", ""te""),"""")"),"[ 'హండ్రెడ్ తొలి (113)' '2 వ అత్యంత ఇన్నింగ్స్ లో నడుస్తుంది (బ్యాటింగ్ స్థానం) (113)',]")</f>
        <v>[ 'హండ్రెడ్ తొలి (113)' '2 వ అత్యంత ఇన్నింగ్స్ లో నడుస్తుంది (బ్యాటింగ్ స్థానం) (113)',]</v>
      </c>
      <c r="C8236" s="2" t="s">
        <v>4601</v>
      </c>
      <c r="D8236" s="2" t="str">
        <f>IFERROR(__xludf.DUMMYFUNCTION("IF(C8236&lt;&gt;"""", GOOGLETRANSLATE(C8236, ""en"", ""te""),"""")"),"[ '30 వ పిన్న ఆటగాడు వంద (20y 108d) స్కోర్' '2 వ అత్యంత ఇన్నింగ్స్ లో నడుస్తుంది (బ్యాటింగ్ స్థానం) (113)',]")</f>
        <v>[ '30 వ పిన్న ఆటగాడు వంద (20y 108d) స్కోర్' '2 వ అత్యంత ఇన్నింగ్స్ లో నడుస్తుంది (బ్యాటింగ్ స్థానం) (113)',]</v>
      </c>
      <c r="E8236" s="2"/>
      <c r="F8236" s="2" t="str">
        <f>IFERROR(__xludf.DUMMYFUNCTION("IF(E8236&lt;&gt;"""", GOOGLETRANSLATE(E8236, ""en"", ""te""),"""")"),"")</f>
        <v/>
      </c>
      <c r="G8236" s="2" t="s">
        <v>4602</v>
      </c>
      <c r="H8236" s="2" t="str">
        <f>IFERROR(__xludf.DUMMYFUNCTION("IF(G8236&lt;&gt;"""", GOOGLETRANSLATE(G8236, ""en"", ""te""),"""")"),"[ '19 వరుస మ్యాచ్లు ప్రదర్శనల మధ్య బృందం (50) తప్పిన' 'ప్రదర్శనల మధ్య 28 లాంగెస్ట్ వ్యవధిలో (5 సం 251d)']")</f>
        <v>[ '19 వరుస మ్యాచ్లు ప్రదర్శనల మధ్య బృందం (50) తప్పిన' 'ప్రదర్శనల మధ్య 28 లాంగెస్ట్ వ్యవధిలో (5 సం 251d)']</v>
      </c>
      <c r="I8236" s="3"/>
    </row>
    <row r="8237" customHeight="1" spans="1:9">
      <c r="A8237" s="2"/>
      <c r="B8237" s="2" t="str">
        <f>IFERROR(__xludf.DUMMYFUNCTION("IF(A8237&lt;&gt;"""", GOOGLETRANSLATE(A8237, ""en"", ""te""),"""")"),"")</f>
        <v/>
      </c>
      <c r="C8237" s="2"/>
      <c r="D8237" s="2" t="str">
        <f>IFERROR(__xludf.DUMMYFUNCTION("IF(C8237&lt;&gt;"""", GOOGLETRANSLATE(C8237, ""en"", ""te""),"""")"),"")</f>
        <v/>
      </c>
      <c r="E8237" s="2"/>
      <c r="F8237" s="2" t="str">
        <f>IFERROR(__xludf.DUMMYFUNCTION("IF(E8237&lt;&gt;"""", GOOGLETRANSLATE(E8237, ""en"", ""te""),"""")"),"")</f>
        <v/>
      </c>
      <c r="G8237" s="2"/>
      <c r="H8237" s="2" t="str">
        <f>IFERROR(__xludf.DUMMYFUNCTION("IF(G8237&lt;&gt;"""", GOOGLETRANSLATE(G8237, ""en"", ""te""),"""")"),"")</f>
        <v/>
      </c>
      <c r="I8237" s="3"/>
    </row>
    <row r="8238" customHeight="1" spans="1:9">
      <c r="A8238" s="2"/>
      <c r="B8238" s="2" t="str">
        <f>IFERROR(__xludf.DUMMYFUNCTION("IF(A8238&lt;&gt;"""", GOOGLETRANSLATE(A8238, ""en"", ""te""),"""")"),"")</f>
        <v/>
      </c>
      <c r="C8238" s="2"/>
      <c r="D8238" s="2" t="str">
        <f>IFERROR(__xludf.DUMMYFUNCTION("IF(C8238&lt;&gt;"""", GOOGLETRANSLATE(C8238, ""en"", ""te""),"""")"),"")</f>
        <v/>
      </c>
      <c r="E8238" s="2"/>
      <c r="F8238" s="2" t="str">
        <f>IFERROR(__xludf.DUMMYFUNCTION("IF(E8238&lt;&gt;"""", GOOGLETRANSLATE(E8238, ""en"", ""te""),"""")"),"")</f>
        <v/>
      </c>
      <c r="G8238" s="2"/>
      <c r="H8238" s="2" t="str">
        <f>IFERROR(__xludf.DUMMYFUNCTION("IF(G8238&lt;&gt;"""", GOOGLETRANSLATE(G8238, ""en"", ""te""),"""")"),"")</f>
        <v/>
      </c>
      <c r="I8238" s="3"/>
    </row>
    <row r="8239" customHeight="1" spans="1:9">
      <c r="A8239" s="2" t="s">
        <v>3030</v>
      </c>
      <c r="B8239" s="2" t="str">
        <f>IFERROR(__xludf.DUMMYFUNCTION("IF(A8239&lt;&gt;"""", GOOGLETRANSLATE(A8239, ""en"", ""te""),"""")"),"[ '4 వ అత్యుత్తమ ఇన్నింగ్స్ (3/3) విశ్లేషణలలో బౌలింగ్']")</f>
        <v>[ '4 వ అత్యుత్తమ ఇన్నింగ్స్ (3/3) విశ్లేషణలలో బౌలింగ్']</v>
      </c>
      <c r="C8239" s="2" t="s">
        <v>3030</v>
      </c>
      <c r="D8239" s="2" t="str">
        <f>IFERROR(__xludf.DUMMYFUNCTION("IF(C8239&lt;&gt;"""", GOOGLETRANSLATE(C8239, ""en"", ""te""),"""")"),"[ '4 వ అత్యుత్తమ ఇన్నింగ్స్ (3/3) విశ్లేషణలలో బౌలింగ్']")</f>
        <v>[ '4 వ అత్యుత్తమ ఇన్నింగ్స్ (3/3) విశ్లేషణలలో బౌలింగ్']</v>
      </c>
      <c r="E8239" s="2" t="s">
        <v>4603</v>
      </c>
      <c r="F8239" s="2" t="str">
        <f>IFERROR(__xludf.DUMMYFUNCTION("IF(E8239&lt;&gt;"""", GOOGLETRANSLATE(E8239, ""en"", ""te""),"""")"),"[18 వ ఇన్నింగ్స్ లో అత్యధిక పరుగులు (బ్యాటింగ్ స్థానంలో ప్రకారం) (115) ',' 19 చెత్త కెరీర్ బౌలింగ్ సరాసరి (52.29) ',' 36 వ చెత్త కెరీర్లో సమ్మె రేటు (60.5) ']")</f>
        <v>[18 వ ఇన్నింగ్స్ లో అత్యధిక పరుగులు (బ్యాటింగ్ స్థానంలో ప్రకారం) (115) ',' 19 చెత్త కెరీర్ బౌలింగ్ సరాసరి (52.29) ',' 36 వ చెత్త కెరీర్లో సమ్మె రేటు (60.5) ']</v>
      </c>
      <c r="G8239" s="2"/>
      <c r="H8239" s="2" t="str">
        <f>IFERROR(__xludf.DUMMYFUNCTION("IF(G8239&lt;&gt;"""", GOOGLETRANSLATE(G8239, ""en"", ""te""),"""")"),"")</f>
        <v/>
      </c>
      <c r="I8239" s="3"/>
    </row>
    <row r="8240" customHeight="1" spans="1:9">
      <c r="A8240" s="2"/>
      <c r="B8240" s="2" t="str">
        <f>IFERROR(__xludf.DUMMYFUNCTION("IF(A8240&lt;&gt;"""", GOOGLETRANSLATE(A8240, ""en"", ""te""),"""")"),"")</f>
        <v/>
      </c>
      <c r="C8240" s="2"/>
      <c r="D8240" s="2" t="str">
        <f>IFERROR(__xludf.DUMMYFUNCTION("IF(C8240&lt;&gt;"""", GOOGLETRANSLATE(C8240, ""en"", ""te""),"""")"),"")</f>
        <v/>
      </c>
      <c r="E8240" s="2"/>
      <c r="F8240" s="2" t="str">
        <f>IFERROR(__xludf.DUMMYFUNCTION("IF(E8240&lt;&gt;"""", GOOGLETRANSLATE(E8240, ""en"", ""te""),"""")"),"")</f>
        <v/>
      </c>
      <c r="G8240" s="2"/>
      <c r="H8240" s="2" t="str">
        <f>IFERROR(__xludf.DUMMYFUNCTION("IF(G8240&lt;&gt;"""", GOOGLETRANSLATE(G8240, ""en"", ""te""),"""")"),"")</f>
        <v/>
      </c>
      <c r="I8240" s="3"/>
    </row>
    <row r="8241" customHeight="1" spans="1:9">
      <c r="A8241" s="2"/>
      <c r="B8241" s="2" t="str">
        <f>IFERROR(__xludf.DUMMYFUNCTION("IF(A8241&lt;&gt;"""", GOOGLETRANSLATE(A8241, ""en"", ""te""),"""")"),"")</f>
        <v/>
      </c>
      <c r="C8241" s="2"/>
      <c r="D8241" s="2" t="str">
        <f>IFERROR(__xludf.DUMMYFUNCTION("IF(C8241&lt;&gt;"""", GOOGLETRANSLATE(C8241, ""en"", ""te""),"""")"),"")</f>
        <v/>
      </c>
      <c r="E8241" s="2"/>
      <c r="F8241" s="2" t="str">
        <f>IFERROR(__xludf.DUMMYFUNCTION("IF(E8241&lt;&gt;"""", GOOGLETRANSLATE(E8241, ""en"", ""te""),"""")"),"")</f>
        <v/>
      </c>
      <c r="G8241" s="2"/>
      <c r="H8241" s="2" t="str">
        <f>IFERROR(__xludf.DUMMYFUNCTION("IF(G8241&lt;&gt;"""", GOOGLETRANSLATE(G8241, ""en"", ""te""),"""")"),"")</f>
        <v/>
      </c>
      <c r="I8241" s="3"/>
    </row>
    <row r="8242" customHeight="1" spans="1:9">
      <c r="A8242" s="2"/>
      <c r="B8242" s="2" t="str">
        <f>IFERROR(__xludf.DUMMYFUNCTION("IF(A8242&lt;&gt;"""", GOOGLETRANSLATE(A8242, ""en"", ""te""),"""")"),"")</f>
        <v/>
      </c>
      <c r="C8242" s="2"/>
      <c r="D8242" s="2" t="str">
        <f>IFERROR(__xludf.DUMMYFUNCTION("IF(C8242&lt;&gt;"""", GOOGLETRANSLATE(C8242, ""en"", ""te""),"""")"),"")</f>
        <v/>
      </c>
      <c r="E8242" s="2"/>
      <c r="F8242" s="2" t="str">
        <f>IFERROR(__xludf.DUMMYFUNCTION("IF(E8242&lt;&gt;"""", GOOGLETRANSLATE(E8242, ""en"", ""te""),"""")"),"")</f>
        <v/>
      </c>
      <c r="G8242" s="2"/>
      <c r="H8242" s="2" t="str">
        <f>IFERROR(__xludf.DUMMYFUNCTION("IF(G8242&lt;&gt;"""", GOOGLETRANSLATE(G8242, ""en"", ""te""),"""")"),"")</f>
        <v/>
      </c>
      <c r="I8242" s="3"/>
    </row>
    <row r="8243" customHeight="1" spans="1:9">
      <c r="A8243" s="2"/>
      <c r="B8243" s="2" t="str">
        <f>IFERROR(__xludf.DUMMYFUNCTION("IF(A8243&lt;&gt;"""", GOOGLETRANSLATE(A8243, ""en"", ""te""),"""")"),"")</f>
        <v/>
      </c>
      <c r="C8243" s="2"/>
      <c r="D8243" s="2" t="str">
        <f>IFERROR(__xludf.DUMMYFUNCTION("IF(C8243&lt;&gt;"""", GOOGLETRANSLATE(C8243, ""en"", ""te""),"""")"),"")</f>
        <v/>
      </c>
      <c r="E8243" s="2"/>
      <c r="F8243" s="2" t="str">
        <f>IFERROR(__xludf.DUMMYFUNCTION("IF(E8243&lt;&gt;"""", GOOGLETRANSLATE(E8243, ""en"", ""te""),"""")"),"")</f>
        <v/>
      </c>
      <c r="G8243" s="2"/>
      <c r="H8243" s="2" t="str">
        <f>IFERROR(__xludf.DUMMYFUNCTION("IF(G8243&lt;&gt;"""", GOOGLETRANSLATE(G8243, ""en"", ""te""),"""")"),"")</f>
        <v/>
      </c>
      <c r="I8243" s="3"/>
    </row>
    <row r="8244" customHeight="1" spans="1:9">
      <c r="A8244" s="2"/>
      <c r="B8244" s="2" t="str">
        <f>IFERROR(__xludf.DUMMYFUNCTION("IF(A8244&lt;&gt;"""", GOOGLETRANSLATE(A8244, ""en"", ""te""),"""")"),"")</f>
        <v/>
      </c>
      <c r="C8244" s="2"/>
      <c r="D8244" s="2" t="str">
        <f>IFERROR(__xludf.DUMMYFUNCTION("IF(C8244&lt;&gt;"""", GOOGLETRANSLATE(C8244, ""en"", ""te""),"""")"),"")</f>
        <v/>
      </c>
      <c r="E8244" s="2"/>
      <c r="F8244" s="2" t="str">
        <f>IFERROR(__xludf.DUMMYFUNCTION("IF(E8244&lt;&gt;"""", GOOGLETRANSLATE(E8244, ""en"", ""te""),"""")"),"")</f>
        <v/>
      </c>
      <c r="G8244" s="2"/>
      <c r="H8244" s="2" t="str">
        <f>IFERROR(__xludf.DUMMYFUNCTION("IF(G8244&lt;&gt;"""", GOOGLETRANSLATE(G8244, ""en"", ""te""),"""")"),"")</f>
        <v/>
      </c>
      <c r="I8244" s="3"/>
    </row>
    <row r="8245" customHeight="1" spans="1:9">
      <c r="A8245" s="2"/>
      <c r="B8245" s="2" t="str">
        <f>IFERROR(__xludf.DUMMYFUNCTION("IF(A8245&lt;&gt;"""", GOOGLETRANSLATE(A8245, ""en"", ""te""),"""")"),"")</f>
        <v/>
      </c>
      <c r="C8245" s="2"/>
      <c r="D8245" s="2" t="str">
        <f>IFERROR(__xludf.DUMMYFUNCTION("IF(C8245&lt;&gt;"""", GOOGLETRANSLATE(C8245, ""en"", ""te""),"""")"),"")</f>
        <v/>
      </c>
      <c r="E8245" s="2"/>
      <c r="F8245" s="2" t="str">
        <f>IFERROR(__xludf.DUMMYFUNCTION("IF(E8245&lt;&gt;"""", GOOGLETRANSLATE(E8245, ""en"", ""te""),"""")"),"")</f>
        <v/>
      </c>
      <c r="G8245" s="2"/>
      <c r="H8245" s="2" t="str">
        <f>IFERROR(__xludf.DUMMYFUNCTION("IF(G8245&lt;&gt;"""", GOOGLETRANSLATE(G8245, ""en"", ""te""),"""")"),"")</f>
        <v/>
      </c>
      <c r="I8245" s="3"/>
    </row>
    <row r="8246" customHeight="1" spans="1:9">
      <c r="A8246" s="2" t="s">
        <v>4604</v>
      </c>
      <c r="B8246" s="2" t="str">
        <f>IFERROR(__xludf.DUMMYFUNCTION("IF(A8246&lt;&gt;"""", GOOGLETRANSLATE(A8246, ""en"", ""te""),"""")"),"[ 'తొలి ఇన్నింగ్స్లో 1st బెస్ట్ ఫిగర్స్ (5)']")</f>
        <v>[ 'తొలి ఇన్నింగ్స్లో 1st బెస్ట్ ఫిగర్స్ (5)']</v>
      </c>
      <c r="C8246" s="2" t="s">
        <v>761</v>
      </c>
      <c r="D8246" s="2" t="str">
        <f>IFERROR(__xludf.DUMMYFUNCTION("IF(C8246&lt;&gt;"""", GOOGLETRANSLATE(C8246, ""en"", ""te""),"""")"),"[ 'తొలి ఇన్నింగ్స్లో 22 బెస్ట్ ఫిగర్స్ (6)']")</f>
        <v>[ 'తొలి ఇన్నింగ్స్లో 22 బెస్ట్ ఫిగర్స్ (6)']</v>
      </c>
      <c r="E8246" s="2"/>
      <c r="F8246" s="2" t="str">
        <f>IFERROR(__xludf.DUMMYFUNCTION("IF(E8246&lt;&gt;"""", GOOGLETRANSLATE(E8246, ""en"", ""te""),"""")"),"")</f>
        <v/>
      </c>
      <c r="G8246" s="2" t="s">
        <v>4605</v>
      </c>
      <c r="H8246" s="2" t="str">
        <f>IFERROR(__xludf.DUMMYFUNCTION("IF(G8246&lt;&gt;"""", GOOGLETRANSLATE(G8246, ""en"", ""te""),"""")"),"[ '16 వ ఇన్నింగ్స్ లో బెస్ట్ ఫిగర్స్ (5/13)', '1st అరంగేట్రంలోనే ఇన్నింగ్స్ లోని బెస్ట్ ఫిగర్స్ (5)' లో 'ఇన్నింగ్స్ లో 11 వ అత్యుత్తమ బౌలింగ్ విశ్లేషణలు (5/13)', '15 వ అత్యధిక క్యాచ్లు ఒక ఇన్నింగ్స్ (3) ']")</f>
        <v>[ '16 వ ఇన్నింగ్స్ లో బెస్ట్ ఫిగర్స్ (5/13)', '1st అరంగేట్రంలోనే ఇన్నింగ్స్ లోని బెస్ట్ ఫిగర్స్ (5)' లో 'ఇన్నింగ్స్ లో 11 వ అత్యుత్తమ బౌలింగ్ విశ్లేషణలు (5/13)', '15 వ అత్యధిక క్యాచ్లు ఒక ఇన్నింగ్స్ (3) ']</v>
      </c>
      <c r="I8246" s="3"/>
    </row>
    <row r="8247" customHeight="1" spans="1:9">
      <c r="A8247" s="2"/>
      <c r="B8247" s="2" t="str">
        <f>IFERROR(__xludf.DUMMYFUNCTION("IF(A8247&lt;&gt;"""", GOOGLETRANSLATE(A8247, ""en"", ""te""),"""")"),"")</f>
        <v/>
      </c>
      <c r="C8247" s="2"/>
      <c r="D8247" s="2" t="str">
        <f>IFERROR(__xludf.DUMMYFUNCTION("IF(C8247&lt;&gt;"""", GOOGLETRANSLATE(C8247, ""en"", ""te""),"""")"),"")</f>
        <v/>
      </c>
      <c r="E8247" s="2"/>
      <c r="F8247" s="2" t="str">
        <f>IFERROR(__xludf.DUMMYFUNCTION("IF(E8247&lt;&gt;"""", GOOGLETRANSLATE(E8247, ""en"", ""te""),"""")"),"")</f>
        <v/>
      </c>
      <c r="G8247" s="2"/>
      <c r="H8247" s="2" t="str">
        <f>IFERROR(__xludf.DUMMYFUNCTION("IF(G8247&lt;&gt;"""", GOOGLETRANSLATE(G8247, ""en"", ""te""),"""")"),"")</f>
        <v/>
      </c>
      <c r="I8247" s="3"/>
    </row>
    <row r="8248" customHeight="1" spans="1:9">
      <c r="A8248" s="2" t="s">
        <v>4606</v>
      </c>
      <c r="B8248" s="2" t="str">
        <f>IFERROR(__xludf.DUMMYFUNCTION("IF(A8248&lt;&gt;"""", GOOGLETRANSLATE(A8248, ""en"", ""te""),"""")"),"[ '10 వ పిన్న క్రీడాకారులు (16y 320d)', '1st పిన్న ఆటగాడు పది వికెట్లు లో ఒక మ్యాచ్ తీసుకోవాలని (18y 40D)']")</f>
        <v>[ '10 వ పిన్న క్రీడాకారులు (16y 320d)', '1st పిన్న ఆటగాడు పది వికెట్లు లో ఒక మ్యాచ్ తీసుకోవాలని (18y 40D)']</v>
      </c>
      <c r="C8248" s="2" t="s">
        <v>4607</v>
      </c>
      <c r="D8248" s="2" t="str">
        <f>IFERROR(__xludf.DUMMYFUNCTION("IF(C8248&lt;&gt;"""", GOOGLETRANSLATE(C8248, ""en"", ""te""),"""")"),"[18 వ వరుస ఐదు వికెట్ల లో-ఒక-ఇన్నింగ్స్ (3) ', పది wickets- తీసుకోవాలని' ఐదు వికెట్ల తేడాతో-ఒక ఇన్నింగ్స్లో తీసుకోవాలని 4 వ పిన్న వయస్కుడిగా నిలిచాడు (18y 32d) ',' 1st పిన్న ఆటగాడు లో-ఒక-మ్యాచ్ (18y 40D) ',' 10 వ పిన్న క్రీడాకారులు (16y 320d) ']")</f>
        <v>[18 వ వరుస ఐదు వికెట్ల లో-ఒక-ఇన్నింగ్స్ (3) ', పది wickets- తీసుకోవాలని' ఐదు వికెట్ల తేడాతో-ఒక ఇన్నింగ్స్లో తీసుకోవాలని 4 వ పిన్న వయస్కుడిగా నిలిచాడు (18y 32d) ',' 1st పిన్న ఆటగాడు లో-ఒక-మ్యాచ్ (18y 40D) ',' 10 వ పిన్న క్రీడాకారులు (16y 320d) ']</v>
      </c>
      <c r="E8248" s="2"/>
      <c r="F8248" s="2" t="str">
        <f>IFERROR(__xludf.DUMMYFUNCTION("IF(E8248&lt;&gt;"""", GOOGLETRANSLATE(E8248, ""en"", ""te""),"""")"),"")</f>
        <v/>
      </c>
      <c r="G8248" s="2"/>
      <c r="H8248" s="2" t="str">
        <f>IFERROR(__xludf.DUMMYFUNCTION("IF(G8248&lt;&gt;"""", GOOGLETRANSLATE(G8248, ""en"", ""te""),"""")"),"")</f>
        <v/>
      </c>
      <c r="I8248" s="3"/>
    </row>
    <row r="8249" customHeight="1" spans="1:9">
      <c r="A8249" s="2"/>
      <c r="B8249" s="2" t="str">
        <f>IFERROR(__xludf.DUMMYFUNCTION("IF(A8249&lt;&gt;"""", GOOGLETRANSLATE(A8249, ""en"", ""te""),"""")"),"")</f>
        <v/>
      </c>
      <c r="C8249" s="2"/>
      <c r="D8249" s="2" t="str">
        <f>IFERROR(__xludf.DUMMYFUNCTION("IF(C8249&lt;&gt;"""", GOOGLETRANSLATE(C8249, ""en"", ""te""),"""")"),"")</f>
        <v/>
      </c>
      <c r="E8249" s="2"/>
      <c r="F8249" s="2" t="str">
        <f>IFERROR(__xludf.DUMMYFUNCTION("IF(E8249&lt;&gt;"""", GOOGLETRANSLATE(E8249, ""en"", ""te""),"""")"),"")</f>
        <v/>
      </c>
      <c r="G8249" s="2"/>
      <c r="H8249" s="2" t="str">
        <f>IFERROR(__xludf.DUMMYFUNCTION("IF(G8249&lt;&gt;"""", GOOGLETRANSLATE(G8249, ""en"", ""te""),"""")"),"")</f>
        <v/>
      </c>
      <c r="I8249" s="3"/>
    </row>
    <row r="8250" customHeight="1" spans="1:9">
      <c r="A8250" s="2"/>
      <c r="B8250" s="2" t="str">
        <f>IFERROR(__xludf.DUMMYFUNCTION("IF(A8250&lt;&gt;"""", GOOGLETRANSLATE(A8250, ""en"", ""te""),"""")"),"")</f>
        <v/>
      </c>
      <c r="C8250" s="2"/>
      <c r="D8250" s="2" t="str">
        <f>IFERROR(__xludf.DUMMYFUNCTION("IF(C8250&lt;&gt;"""", GOOGLETRANSLATE(C8250, ""en"", ""te""),"""")"),"")</f>
        <v/>
      </c>
      <c r="E8250" s="2"/>
      <c r="F8250" s="2" t="str">
        <f>IFERROR(__xludf.DUMMYFUNCTION("IF(E8250&lt;&gt;"""", GOOGLETRANSLATE(E8250, ""en"", ""te""),"""")"),"")</f>
        <v/>
      </c>
      <c r="G8250" s="2"/>
      <c r="H8250" s="2" t="str">
        <f>IFERROR(__xludf.DUMMYFUNCTION("IF(G8250&lt;&gt;"""", GOOGLETRANSLATE(G8250, ""en"", ""te""),"""")"),"")</f>
        <v/>
      </c>
      <c r="I8250" s="3"/>
    </row>
    <row r="8251" customHeight="1" spans="1:9">
      <c r="A8251" s="2" t="s">
        <v>4608</v>
      </c>
      <c r="B8251" s="2" t="str">
        <f>IFERROR(__xludf.DUMMYFUNCTION("IF(A8251&lt;&gt;"""", GOOGLETRANSLATE(A8251, ""en"", ""te""),"""")"),"[ '9 వ చెత్త కెరీర్ బౌలింగ్ సరాసరి (57.00)']")</f>
        <v>[ '9 వ చెత్త కెరీర్ బౌలింగ్ సరాసరి (57.00)']</v>
      </c>
      <c r="C8251" s="2" t="s">
        <v>4609</v>
      </c>
      <c r="D8251" s="2" t="str">
        <f>IFERROR(__xludf.DUMMYFUNCTION("IF(C8251&lt;&gt;"""", GOOGLETRANSLATE(C8251, ""en"", ""te""),"""")"),"[ '23 చెత్త కెరీర్ బౌలింగ్ సరాసరి (57.05)', '23 వ చెత్త కెరీర్లో సమ్మె రేటు (123.8)']")</f>
        <v>[ '23 చెత్త కెరీర్ బౌలింగ్ సరాసరి (57.05)', '23 వ చెత్త కెరీర్లో సమ్మె రేటు (123.8)']</v>
      </c>
      <c r="E8251" s="2" t="s">
        <v>4610</v>
      </c>
      <c r="F8251" s="2" t="str">
        <f>IFERROR(__xludf.DUMMYFUNCTION("IF(E8251&lt;&gt;"""", GOOGLETRANSLATE(E8251, ""en"", ""te""),"""")"),"[ '9 వ చెత్త కెరీర్ బౌలింగ్ సరాసరి (57.00)', '23 వ చెత్త కెరీర్లో సమ్మె రేటు (65.1)', '45 వ అంపైర్ గా అత్యధిక మ్యాచ్లు (54)']")</f>
        <v>[ '9 వ చెత్త కెరీర్ బౌలింగ్ సరాసరి (57.00)', '23 వ చెత్త కెరీర్లో సమ్మె రేటు (65.1)', '45 వ అంపైర్ గా అత్యధిక మ్యాచ్లు (54)']</v>
      </c>
      <c r="G8251" s="2"/>
      <c r="H8251" s="2" t="str">
        <f>IFERROR(__xludf.DUMMYFUNCTION("IF(G8251&lt;&gt;"""", GOOGLETRANSLATE(G8251, ""en"", ""te""),"""")"),"")</f>
        <v/>
      </c>
      <c r="I8251" s="3"/>
    </row>
    <row r="8252" customHeight="1" spans="1:9">
      <c r="A8252" s="2"/>
      <c r="B8252" s="2" t="str">
        <f>IFERROR(__xludf.DUMMYFUNCTION("IF(A8252&lt;&gt;"""", GOOGLETRANSLATE(A8252, ""en"", ""te""),"""")"),"")</f>
        <v/>
      </c>
      <c r="C8252" s="2"/>
      <c r="D8252" s="2" t="str">
        <f>IFERROR(__xludf.DUMMYFUNCTION("IF(C8252&lt;&gt;"""", GOOGLETRANSLATE(C8252, ""en"", ""te""),"""")"),"")</f>
        <v/>
      </c>
      <c r="E8252" s="2"/>
      <c r="F8252" s="2" t="str">
        <f>IFERROR(__xludf.DUMMYFUNCTION("IF(E8252&lt;&gt;"""", GOOGLETRANSLATE(E8252, ""en"", ""te""),"""")"),"")</f>
        <v/>
      </c>
      <c r="G8252" s="2"/>
      <c r="H8252" s="2" t="str">
        <f>IFERROR(__xludf.DUMMYFUNCTION("IF(G8252&lt;&gt;"""", GOOGLETRANSLATE(G8252, ""en"", ""te""),"""")"),"")</f>
        <v/>
      </c>
      <c r="I8252" s="3"/>
    </row>
    <row r="8253" customHeight="1" spans="1:9">
      <c r="A8253" s="2"/>
      <c r="B8253" s="2" t="str">
        <f>IFERROR(__xludf.DUMMYFUNCTION("IF(A8253&lt;&gt;"""", GOOGLETRANSLATE(A8253, ""en"", ""te""),"""")"),"")</f>
        <v/>
      </c>
      <c r="C8253" s="2"/>
      <c r="D8253" s="2" t="str">
        <f>IFERROR(__xludf.DUMMYFUNCTION("IF(C8253&lt;&gt;"""", GOOGLETRANSLATE(C8253, ""en"", ""te""),"""")"),"")</f>
        <v/>
      </c>
      <c r="E8253" s="2"/>
      <c r="F8253" s="2" t="str">
        <f>IFERROR(__xludf.DUMMYFUNCTION("IF(E8253&lt;&gt;"""", GOOGLETRANSLATE(E8253, ""en"", ""te""),"""")"),"")</f>
        <v/>
      </c>
      <c r="G8253" s="2"/>
      <c r="H8253" s="2" t="str">
        <f>IFERROR(__xludf.DUMMYFUNCTION("IF(G8253&lt;&gt;"""", GOOGLETRANSLATE(G8253, ""en"", ""te""),"""")"),"")</f>
        <v/>
      </c>
      <c r="I8253" s="3"/>
    </row>
    <row r="8254" customHeight="1" spans="1:9">
      <c r="A8254" s="2"/>
      <c r="B8254" s="2" t="str">
        <f>IFERROR(__xludf.DUMMYFUNCTION("IF(A8254&lt;&gt;"""", GOOGLETRANSLATE(A8254, ""en"", ""te""),"""")"),"")</f>
        <v/>
      </c>
      <c r="C8254" s="2"/>
      <c r="D8254" s="2" t="str">
        <f>IFERROR(__xludf.DUMMYFUNCTION("IF(C8254&lt;&gt;"""", GOOGLETRANSLATE(C8254, ""en"", ""te""),"""")"),"")</f>
        <v/>
      </c>
      <c r="E8254" s="2"/>
      <c r="F8254" s="2" t="str">
        <f>IFERROR(__xludf.DUMMYFUNCTION("IF(E8254&lt;&gt;"""", GOOGLETRANSLATE(E8254, ""en"", ""te""),"""")"),"")</f>
        <v/>
      </c>
      <c r="G8254" s="2"/>
      <c r="H8254" s="2" t="str">
        <f>IFERROR(__xludf.DUMMYFUNCTION("IF(G8254&lt;&gt;"""", GOOGLETRANSLATE(G8254, ""en"", ""te""),"""")"),"")</f>
        <v/>
      </c>
      <c r="I8254" s="3"/>
    </row>
    <row r="8255" customHeight="1" spans="1:9">
      <c r="A8255" s="2"/>
      <c r="B8255" s="2" t="str">
        <f>IFERROR(__xludf.DUMMYFUNCTION("IF(A8255&lt;&gt;"""", GOOGLETRANSLATE(A8255, ""en"", ""te""),"""")"),"")</f>
        <v/>
      </c>
      <c r="C8255" s="2"/>
      <c r="D8255" s="2" t="str">
        <f>IFERROR(__xludf.DUMMYFUNCTION("IF(C8255&lt;&gt;"""", GOOGLETRANSLATE(C8255, ""en"", ""te""),"""")"),"")</f>
        <v/>
      </c>
      <c r="E8255" s="2" t="s">
        <v>4611</v>
      </c>
      <c r="F8255" s="2" t="str">
        <f>IFERROR(__xludf.DUMMYFUNCTION("IF(E8255&lt;&gt;"""", GOOGLETRANSLATE(E8255, ""en"", ""te""),"""")"),"[ '36 వ వరుస మ్యాచ్లు ఆడి మధ్య జట్టు (131) కోసం తప్పిన']")</f>
        <v>[ '36 వ వరుస మ్యాచ్లు ఆడి మధ్య జట్టు (131) కోసం తప్పిన']</v>
      </c>
      <c r="G8255" s="2"/>
      <c r="H8255" s="2" t="str">
        <f>IFERROR(__xludf.DUMMYFUNCTION("IF(G8255&lt;&gt;"""", GOOGLETRANSLATE(G8255, ""en"", ""te""),"""")"),"")</f>
        <v/>
      </c>
      <c r="I8255" s="3"/>
    </row>
    <row r="8256" customHeight="1" spans="1:9">
      <c r="A8256" s="2" t="s">
        <v>4612</v>
      </c>
      <c r="B8256" s="2" t="str">
        <f>IFERROR(__xludf.DUMMYFUNCTION("IF(A8256&lt;&gt;"""", GOOGLETRANSLATE(A8256, ""en"", ""te""),"""")"),"[ 'పదవ వికెట్కు 5 వ అత్యధిక భాగస్వామ్యం (52)', '1 వ ఇన్నింగ్స్ లో అత్యధిక పరుగులు (బ్యాటింగ్ స్థానంలో ప్రకారం) (110 *)']")</f>
        <v>[ 'పదవ వికెట్కు 5 వ అత్యధిక భాగస్వామ్యం (52)', '1 వ ఇన్నింగ్స్ లో అత్యధిక పరుగులు (బ్యాటింగ్ స్థానంలో ప్రకారం) (110 *)']</v>
      </c>
      <c r="C8256" s="2"/>
      <c r="D8256" s="2" t="str">
        <f>IFERROR(__xludf.DUMMYFUNCTION("IF(C8256&lt;&gt;"""", GOOGLETRANSLATE(C8256, ""en"", ""te""),"""")"),"")</f>
        <v/>
      </c>
      <c r="E8256" s="2" t="s">
        <v>4613</v>
      </c>
      <c r="F8256" s="2" t="str">
        <f>IFERROR(__xludf.DUMMYFUNCTION("IF(E8256&lt;&gt;"""", GOOGLETRANSLATE(E8256, ""en"", ""te""),"""")"),"[ '29 వ అత్యధిక ఇన్నింగ్స్ తొలి డక్ ముందు (17)', 'పదవ వికెట్ను (52) 5 వ అత్యధిక భాగస్వామ్యం']")</f>
        <v>[ '29 వ అత్యధిక ఇన్నింగ్స్ తొలి డక్ ముందు (17)', 'పదవ వికెట్ను (52) 5 వ అత్యధిక భాగస్వామ్యం']</v>
      </c>
      <c r="G8256" s="2" t="s">
        <v>4614</v>
      </c>
      <c r="H8256" s="2" t="str">
        <f>IFERROR(__xludf.DUMMYFUNCTION("IF(G8256&lt;&gt;"""", GOOGLETRANSLATE(G8256, ""en"", ""te""),"""")"),"[ '33 వ కెరీర్ లో అత్యధిక పరుగులు (998)', '18 వ ఇన్నింగ్స్ (110 *) లో అత్యధిక పరుగులు' 'ఒక క్యాలెండర్ సంవత్సరంలో 49 వ అత్యధిక పరుగులు (348)', '1 వ ఇన్నింగ్స్ లో అత్యధిక పరుగులు (బ్యాటింగ్ స్థానంలో ద్వారా) (110 *) ',' 27 వ పరాజయం వైపు ఒక మ్యాచ్లో అత్యధిక "&amp;"పరుగులు (66 *) ',' 34 వ కెరీర్ అర్ధ (3) ',' 23 వ వరుస ఇన్నింగ్స్లో డకౌట్ లేకుండా (36) ',' 34 వ అత్యంత కెరీర్లో బాతులు (5) ',' నాలుగవ వికెట్ (93 *) 11 వ అత్యధిక భాగస్వామ్యం ',' ఏడవ వికెట్కు 26 అత్యధిక భాగస్వామ్యం (38) ']")</f>
        <v>[ '33 వ కెరీర్ లో అత్యధిక పరుగులు (998)', '18 వ ఇన్నింగ్స్ (110 *) లో అత్యధిక పరుగులు' 'ఒక క్యాలెండర్ సంవత్సరంలో 49 వ అత్యధిక పరుగులు (348)', '1 వ ఇన్నింగ్స్ లో అత్యధిక పరుగులు (బ్యాటింగ్ స్థానంలో ద్వారా) (110 *) ',' 27 వ పరాజయం వైపు ఒక మ్యాచ్లో అత్యధిక పరుగులు (66 *) ',' 34 వ కెరీర్ అర్ధ (3) ',' 23 వ వరుస ఇన్నింగ్స్లో డకౌట్ లేకుండా (36) ',' 34 వ అత్యంత కెరీర్లో బాతులు (5) ',' నాలుగవ వికెట్ (93 *) 11 వ అత్యధిక భాగస్వామ్యం ',' ఏడవ వికెట్కు 26 అత్యధిక భాగస్వామ్యం (38) ']</v>
      </c>
      <c r="I8256" s="3"/>
    </row>
    <row r="8257" customHeight="1" spans="1:9">
      <c r="A8257" s="2"/>
      <c r="B8257" s="2" t="str">
        <f>IFERROR(__xludf.DUMMYFUNCTION("IF(A8257&lt;&gt;"""", GOOGLETRANSLATE(A8257, ""en"", ""te""),"""")"),"")</f>
        <v/>
      </c>
      <c r="C8257" s="2"/>
      <c r="D8257" s="2" t="str">
        <f>IFERROR(__xludf.DUMMYFUNCTION("IF(C8257&lt;&gt;"""", GOOGLETRANSLATE(C8257, ""en"", ""te""),"""")"),"")</f>
        <v/>
      </c>
      <c r="E8257" s="2"/>
      <c r="F8257" s="2" t="str">
        <f>IFERROR(__xludf.DUMMYFUNCTION("IF(E8257&lt;&gt;"""", GOOGLETRANSLATE(E8257, ""en"", ""te""),"""")"),"")</f>
        <v/>
      </c>
      <c r="G8257" s="2"/>
      <c r="H8257" s="2" t="str">
        <f>IFERROR(__xludf.DUMMYFUNCTION("IF(G8257&lt;&gt;"""", GOOGLETRANSLATE(G8257, ""en"", ""te""),"""")"),"")</f>
        <v/>
      </c>
      <c r="I8257" s="3"/>
    </row>
    <row r="8258" customHeight="1" spans="1:9">
      <c r="A8258" s="2"/>
      <c r="B8258" s="2" t="str">
        <f>IFERROR(__xludf.DUMMYFUNCTION("IF(A8258&lt;&gt;"""", GOOGLETRANSLATE(A8258, ""en"", ""te""),"""")"),"")</f>
        <v/>
      </c>
      <c r="C8258" s="2"/>
      <c r="D8258" s="2" t="str">
        <f>IFERROR(__xludf.DUMMYFUNCTION("IF(C8258&lt;&gt;"""", GOOGLETRANSLATE(C8258, ""en"", ""te""),"""")"),"")</f>
        <v/>
      </c>
      <c r="E8258" s="2"/>
      <c r="F8258" s="2" t="str">
        <f>IFERROR(__xludf.DUMMYFUNCTION("IF(E8258&lt;&gt;"""", GOOGLETRANSLATE(E8258, ""en"", ""te""),"""")"),"")</f>
        <v/>
      </c>
      <c r="G8258" s="2"/>
      <c r="H8258" s="2" t="str">
        <f>IFERROR(__xludf.DUMMYFUNCTION("IF(G8258&lt;&gt;"""", GOOGLETRANSLATE(G8258, ""en"", ""te""),"""")"),"")</f>
        <v/>
      </c>
      <c r="I8258" s="3"/>
    </row>
    <row r="8259" customHeight="1" spans="1:9">
      <c r="A8259" s="2"/>
      <c r="B8259" s="2" t="str">
        <f>IFERROR(__xludf.DUMMYFUNCTION("IF(A8259&lt;&gt;"""", GOOGLETRANSLATE(A8259, ""en"", ""te""),"""")"),"")</f>
        <v/>
      </c>
      <c r="C8259" s="2"/>
      <c r="D8259" s="2" t="str">
        <f>IFERROR(__xludf.DUMMYFUNCTION("IF(C8259&lt;&gt;"""", GOOGLETRANSLATE(C8259, ""en"", ""te""),"""")"),"")</f>
        <v/>
      </c>
      <c r="E8259" s="2" t="s">
        <v>4615</v>
      </c>
      <c r="F8259" s="2" t="str">
        <f>IFERROR(__xludf.DUMMYFUNCTION("IF(E8259&lt;&gt;"""", GOOGLETRANSLATE(E8259, ""en"", ""te""),"""")"),"[ '31 పిన్న ఆటగాడు ఐదు వికెట్ల లో-ఒక-ఇన్నింగ్స్ తీసుకోవాలని (21y 278d)']")</f>
        <v>[ '31 పిన్న ఆటగాడు ఐదు వికెట్ల లో-ఒక-ఇన్నింగ్స్ తీసుకోవాలని (21y 278d)']</v>
      </c>
      <c r="G8259" s="2"/>
      <c r="H8259" s="2" t="str">
        <f>IFERROR(__xludf.DUMMYFUNCTION("IF(G8259&lt;&gt;"""", GOOGLETRANSLATE(G8259, ""en"", ""te""),"""")"),"")</f>
        <v/>
      </c>
      <c r="I8259" s="3"/>
    </row>
    <row r="8260" customHeight="1" spans="1:9">
      <c r="A8260" s="2" t="s">
        <v>4616</v>
      </c>
      <c r="B8260" s="2" t="str">
        <f>IFERROR(__xludf.DUMMYFUNCTION("IF(A8260&lt;&gt;"""", GOOGLETRANSLATE(A8260, ""en"", ""te""),"""")"),"[ 'ఇన్నింగ్స్ లో 8 వ అత్యధిక పరుగులు (బ్యాటింగ్ స్థానంలో ప్రకారం) (16 *)', '3 వ అత్యధిక క్యాచ్లు ఒక ఇన్నింగ్స్ లో (3)']")</f>
        <v>[ 'ఇన్నింగ్స్ లో 8 వ అత్యధిక పరుగులు (బ్యాటింగ్ స్థానంలో ప్రకారం) (16 *)', '3 వ అత్యధిక క్యాచ్లు ఒక ఇన్నింగ్స్ లో (3)']</v>
      </c>
      <c r="C8260" s="2"/>
      <c r="D8260" s="2" t="str">
        <f>IFERROR(__xludf.DUMMYFUNCTION("IF(C8260&lt;&gt;"""", GOOGLETRANSLATE(C8260, ""en"", ""te""),"""")"),"")</f>
        <v/>
      </c>
      <c r="E8260" s="2"/>
      <c r="F8260" s="2" t="str">
        <f>IFERROR(__xludf.DUMMYFUNCTION("IF(E8260&lt;&gt;"""", GOOGLETRANSLATE(E8260, ""en"", ""te""),"""")"),"")</f>
        <v/>
      </c>
      <c r="G8260" s="2" t="s">
        <v>4617</v>
      </c>
      <c r="H8260" s="2" t="str">
        <f>IFERROR(__xludf.DUMMYFUNCTION("IF(G8260&lt;&gt;"""", GOOGLETRANSLATE(G8260, ""en"", ""te""),"""")"),"[ 'ఇన్నింగ్స్ లో 8 వ అత్యధిక పరుగులు (బ్యాటింగ్ స్థానంలో ప్రకారం) (16 *)', '16 వ కెరీర్ బాతులు (6)', '20 వ అత్యుత్తమ బౌలింగ్ ఇన్నింగ్స్ లో విశ్లేషించడం (3/3)', '44 వ ఉత్తమ కెరీర్ ఆర్థిక రేటు (5.74) ',' 14 వ చెత్త సగటు (27.03) ',' 11 వ చెత్త కెరీర్లో సమ్మె"&amp;" రేటు బౌలింగ్ 'కెరీర్ (28.2)', '36 వ అత్యధిక వికెట్లు తీసుకున్న ఎల్బిడబ్ల్యు (6)', '36 వ కెరీర్ లో అత్యధిక క్యాచ్లు (22), 'ఇన్నింగ్స్ లో 3 వ అత్యధిక క్యాచ్లు (3)', 'తొమ్మిదవ వికెట్కు 14 అత్యధిక భాగస్వామ్యం (24 *)', '41 వ కెరీర్ పనికత్తెలయొద్ద (5)', '12 వ "&amp;"ఇన్నింగ్స్ లో వచ్చిన ఎక్కువ పనికత్తెలయొద్ద (2)']")</f>
        <v>[ 'ఇన్నింగ్స్ లో 8 వ అత్యధిక పరుగులు (బ్యాటింగ్ స్థానంలో ప్రకారం) (16 *)', '16 వ కెరీర్ బాతులు (6)', '20 వ అత్యుత్తమ బౌలింగ్ ఇన్నింగ్స్ లో విశ్లేషించడం (3/3)', '44 వ ఉత్తమ కెరీర్ ఆర్థిక రేటు (5.74) ',' 14 వ చెత్త సగటు (27.03) ',' 11 వ చెత్త కెరీర్లో సమ్మె రేటు బౌలింగ్ 'కెరీర్ (28.2)', '36 వ అత్యధిక వికెట్లు తీసుకున్న ఎల్బిడబ్ల్యు (6)', '36 వ కెరీర్ లో అత్యధిక క్యాచ్లు (22), 'ఇన్నింగ్స్ లో 3 వ అత్యధిక క్యాచ్లు (3)', 'తొమ్మిదవ వికెట్కు 14 అత్యధిక భాగస్వామ్యం (24 *)', '41 వ కెరీర్ పనికత్తెలయొద్ద (5)', '12 వ ఇన్నింగ్స్ లో వచ్చిన ఎక్కువ పనికత్తెలయొద్ద (2)']</v>
      </c>
      <c r="I8260" s="3"/>
    </row>
    <row r="8261" customHeight="1" spans="1:9">
      <c r="A8261" s="2"/>
      <c r="B8261" s="2" t="str">
        <f>IFERROR(__xludf.DUMMYFUNCTION("IF(A8261&lt;&gt;"""", GOOGLETRANSLATE(A8261, ""en"", ""te""),"""")"),"")</f>
        <v/>
      </c>
      <c r="C8261" s="2"/>
      <c r="D8261" s="2" t="str">
        <f>IFERROR(__xludf.DUMMYFUNCTION("IF(C8261&lt;&gt;"""", GOOGLETRANSLATE(C8261, ""en"", ""te""),"""")"),"")</f>
        <v/>
      </c>
      <c r="E8261" s="2" t="s">
        <v>4618</v>
      </c>
      <c r="F8261" s="2" t="str">
        <f>IFERROR(__xludf.DUMMYFUNCTION("IF(E8261&lt;&gt;"""", GOOGLETRANSLATE(E8261, ""en"", ""te""),"""")"),"[ 'ప్రదర్శనల మధ్య 13 వ లాంగెస్ట్ వ్యవధిలో (8y 144d)']")</f>
        <v>[ 'ప్రదర్శనల మధ్య 13 వ లాంగెస్ట్ వ్యవధిలో (8y 144d)']</v>
      </c>
      <c r="G8261" s="2"/>
      <c r="H8261" s="2" t="str">
        <f>IFERROR(__xludf.DUMMYFUNCTION("IF(G8261&lt;&gt;"""", GOOGLETRANSLATE(G8261, ""en"", ""te""),"""")"),"")</f>
        <v/>
      </c>
      <c r="I8261" s="3"/>
    </row>
    <row r="8262" customHeight="1" spans="1:9">
      <c r="A8262" s="2"/>
      <c r="B8262" s="2" t="str">
        <f>IFERROR(__xludf.DUMMYFUNCTION("IF(A8262&lt;&gt;"""", GOOGLETRANSLATE(A8262, ""en"", ""te""),"""")"),"")</f>
        <v/>
      </c>
      <c r="C8262" s="2"/>
      <c r="D8262" s="2" t="str">
        <f>IFERROR(__xludf.DUMMYFUNCTION("IF(C8262&lt;&gt;"""", GOOGLETRANSLATE(C8262, ""en"", ""te""),"""")"),"")</f>
        <v/>
      </c>
      <c r="E8262" s="2" t="s">
        <v>4619</v>
      </c>
      <c r="F8262" s="2" t="str">
        <f>IFERROR(__xludf.DUMMYFUNCTION("IF(E8262&lt;&gt;"""", GOOGLETRANSLATE(E8262, ""en"", ""te""),"""")"),"[ '47 వ పిన్న కాప్టెన్ (25y 92d)']")</f>
        <v>[ '47 వ పిన్న కాప్టెన్ (25y 92d)']</v>
      </c>
      <c r="G8262" s="2"/>
      <c r="H8262" s="2" t="str">
        <f>IFERROR(__xludf.DUMMYFUNCTION("IF(G8262&lt;&gt;"""", GOOGLETRANSLATE(G8262, ""en"", ""te""),"""")"),"")</f>
        <v/>
      </c>
      <c r="I8262" s="3"/>
    </row>
    <row r="8263" customHeight="1" spans="1:9">
      <c r="A8263" s="2"/>
      <c r="B8263" s="2" t="str">
        <f>IFERROR(__xludf.DUMMYFUNCTION("IF(A8263&lt;&gt;"""", GOOGLETRANSLATE(A8263, ""en"", ""te""),"""")"),"")</f>
        <v/>
      </c>
      <c r="C8263" s="2"/>
      <c r="D8263" s="2" t="str">
        <f>IFERROR(__xludf.DUMMYFUNCTION("IF(C8263&lt;&gt;"""", GOOGLETRANSLATE(C8263, ""en"", ""te""),"""")"),"")</f>
        <v/>
      </c>
      <c r="E8263" s="2"/>
      <c r="F8263" s="2" t="str">
        <f>IFERROR(__xludf.DUMMYFUNCTION("IF(E8263&lt;&gt;"""", GOOGLETRANSLATE(E8263, ""en"", ""te""),"""")"),"")</f>
        <v/>
      </c>
      <c r="G8263" s="2"/>
      <c r="H8263" s="2" t="str">
        <f>IFERROR(__xludf.DUMMYFUNCTION("IF(G8263&lt;&gt;"""", GOOGLETRANSLATE(G8263, ""en"", ""te""),"""")"),"")</f>
        <v/>
      </c>
      <c r="I8263" s="3"/>
    </row>
    <row r="8264" customHeight="1" spans="1:9">
      <c r="A8264" s="2"/>
      <c r="B8264" s="2" t="str">
        <f>IFERROR(__xludf.DUMMYFUNCTION("IF(A8264&lt;&gt;"""", GOOGLETRANSLATE(A8264, ""en"", ""te""),"""")"),"")</f>
        <v/>
      </c>
      <c r="C8264" s="2"/>
      <c r="D8264" s="2" t="str">
        <f>IFERROR(__xludf.DUMMYFUNCTION("IF(C8264&lt;&gt;"""", GOOGLETRANSLATE(C8264, ""en"", ""te""),"""")"),"")</f>
        <v/>
      </c>
      <c r="E8264" s="2"/>
      <c r="F8264" s="2" t="str">
        <f>IFERROR(__xludf.DUMMYFUNCTION("IF(E8264&lt;&gt;"""", GOOGLETRANSLATE(E8264, ""en"", ""te""),"""")"),"")</f>
        <v/>
      </c>
      <c r="G8264" s="2"/>
      <c r="H8264" s="2" t="str">
        <f>IFERROR(__xludf.DUMMYFUNCTION("IF(G8264&lt;&gt;"""", GOOGLETRANSLATE(G8264, ""en"", ""te""),"""")"),"")</f>
        <v/>
      </c>
      <c r="I8264" s="3"/>
    </row>
    <row r="8265" customHeight="1" spans="1:9">
      <c r="A8265" s="2"/>
      <c r="B8265" s="2" t="str">
        <f>IFERROR(__xludf.DUMMYFUNCTION("IF(A8265&lt;&gt;"""", GOOGLETRANSLATE(A8265, ""en"", ""te""),"""")"),"")</f>
        <v/>
      </c>
      <c r="C8265" s="2"/>
      <c r="D8265" s="2" t="str">
        <f>IFERROR(__xludf.DUMMYFUNCTION("IF(C8265&lt;&gt;"""", GOOGLETRANSLATE(C8265, ""en"", ""te""),"""")"),"")</f>
        <v/>
      </c>
      <c r="E8265" s="2"/>
      <c r="F8265" s="2" t="str">
        <f>IFERROR(__xludf.DUMMYFUNCTION("IF(E8265&lt;&gt;"""", GOOGLETRANSLATE(E8265, ""en"", ""te""),"""")"),"")</f>
        <v/>
      </c>
      <c r="G8265" s="2"/>
      <c r="H8265" s="2" t="str">
        <f>IFERROR(__xludf.DUMMYFUNCTION("IF(G8265&lt;&gt;"""", GOOGLETRANSLATE(G8265, ""en"", ""te""),"""")"),"")</f>
        <v/>
      </c>
      <c r="I8265" s="3"/>
    </row>
    <row r="8266" customHeight="1" spans="1:9">
      <c r="A8266" s="2"/>
      <c r="B8266" s="2" t="str">
        <f>IFERROR(__xludf.DUMMYFUNCTION("IF(A8266&lt;&gt;"""", GOOGLETRANSLATE(A8266, ""en"", ""te""),"""")"),"")</f>
        <v/>
      </c>
      <c r="C8266" s="2"/>
      <c r="D8266" s="2" t="str">
        <f>IFERROR(__xludf.DUMMYFUNCTION("IF(C8266&lt;&gt;"""", GOOGLETRANSLATE(C8266, ""en"", ""te""),"""")"),"")</f>
        <v/>
      </c>
      <c r="E8266" s="2"/>
      <c r="F8266" s="2" t="str">
        <f>IFERROR(__xludf.DUMMYFUNCTION("IF(E8266&lt;&gt;"""", GOOGLETRANSLATE(E8266, ""en"", ""te""),"""")"),"")</f>
        <v/>
      </c>
      <c r="G8266" s="2"/>
      <c r="H8266" s="2" t="str">
        <f>IFERROR(__xludf.DUMMYFUNCTION("IF(G8266&lt;&gt;"""", GOOGLETRANSLATE(G8266, ""en"", ""te""),"""")"),"")</f>
        <v/>
      </c>
      <c r="I8266" s="3"/>
    </row>
    <row r="8267" customHeight="1" spans="1:9">
      <c r="A8267" s="2"/>
      <c r="B8267" s="2" t="str">
        <f>IFERROR(__xludf.DUMMYFUNCTION("IF(A8267&lt;&gt;"""", GOOGLETRANSLATE(A8267, ""en"", ""te""),"""")"),"")</f>
        <v/>
      </c>
      <c r="C8267" s="2"/>
      <c r="D8267" s="2" t="str">
        <f>IFERROR(__xludf.DUMMYFUNCTION("IF(C8267&lt;&gt;"""", GOOGLETRANSLATE(C8267, ""en"", ""te""),"""")"),"")</f>
        <v/>
      </c>
      <c r="E8267" s="2"/>
      <c r="F8267" s="2" t="str">
        <f>IFERROR(__xludf.DUMMYFUNCTION("IF(E8267&lt;&gt;"""", GOOGLETRANSLATE(E8267, ""en"", ""te""),"""")"),"")</f>
        <v/>
      </c>
      <c r="G8267" s="2"/>
      <c r="H8267" s="2" t="str">
        <f>IFERROR(__xludf.DUMMYFUNCTION("IF(G8267&lt;&gt;"""", GOOGLETRANSLATE(G8267, ""en"", ""te""),"""")"),"")</f>
        <v/>
      </c>
      <c r="I8267" s="3"/>
    </row>
    <row r="8268" customHeight="1" spans="1:9">
      <c r="A8268" s="2"/>
      <c r="B8268" s="2" t="str">
        <f>IFERROR(__xludf.DUMMYFUNCTION("IF(A8268&lt;&gt;"""", GOOGLETRANSLATE(A8268, ""en"", ""te""),"""")"),"")</f>
        <v/>
      </c>
      <c r="C8268" s="2"/>
      <c r="D8268" s="2" t="str">
        <f>IFERROR(__xludf.DUMMYFUNCTION("IF(C8268&lt;&gt;"""", GOOGLETRANSLATE(C8268, ""en"", ""te""),"""")"),"")</f>
        <v/>
      </c>
      <c r="E8268" s="2"/>
      <c r="F8268" s="2" t="str">
        <f>IFERROR(__xludf.DUMMYFUNCTION("IF(E8268&lt;&gt;"""", GOOGLETRANSLATE(E8268, ""en"", ""te""),"""")"),"")</f>
        <v/>
      </c>
      <c r="G8268" s="2"/>
      <c r="H8268" s="2" t="str">
        <f>IFERROR(__xludf.DUMMYFUNCTION("IF(G8268&lt;&gt;"""", GOOGLETRANSLATE(G8268, ""en"", ""te""),"""")"),"")</f>
        <v/>
      </c>
      <c r="I8268" s="3"/>
    </row>
    <row r="8269" customHeight="1" spans="1:9">
      <c r="A8269" s="2"/>
      <c r="B8269" s="2" t="str">
        <f>IFERROR(__xludf.DUMMYFUNCTION("IF(A8269&lt;&gt;"""", GOOGLETRANSLATE(A8269, ""en"", ""te""),"""")"),"")</f>
        <v/>
      </c>
      <c r="C8269" s="2"/>
      <c r="D8269" s="2" t="str">
        <f>IFERROR(__xludf.DUMMYFUNCTION("IF(C8269&lt;&gt;"""", GOOGLETRANSLATE(C8269, ""en"", ""te""),"""")"),"")</f>
        <v/>
      </c>
      <c r="E8269" s="2"/>
      <c r="F8269" s="2" t="str">
        <f>IFERROR(__xludf.DUMMYFUNCTION("IF(E8269&lt;&gt;"""", GOOGLETRANSLATE(E8269, ""en"", ""te""),"""")"),"")</f>
        <v/>
      </c>
      <c r="G8269" s="2"/>
      <c r="H8269" s="2" t="str">
        <f>IFERROR(__xludf.DUMMYFUNCTION("IF(G8269&lt;&gt;"""", GOOGLETRANSLATE(G8269, ""en"", ""te""),"""")"),"")</f>
        <v/>
      </c>
      <c r="I8269" s="3"/>
    </row>
    <row r="8270" customHeight="1" spans="1:9">
      <c r="A8270" s="2"/>
      <c r="B8270" s="2" t="str">
        <f>IFERROR(__xludf.DUMMYFUNCTION("IF(A8270&lt;&gt;"""", GOOGLETRANSLATE(A8270, ""en"", ""te""),"""")"),"")</f>
        <v/>
      </c>
      <c r="C8270" s="2"/>
      <c r="D8270" s="2" t="str">
        <f>IFERROR(__xludf.DUMMYFUNCTION("IF(C8270&lt;&gt;"""", GOOGLETRANSLATE(C8270, ""en"", ""te""),"""")"),"")</f>
        <v/>
      </c>
      <c r="E8270" s="2"/>
      <c r="F8270" s="2" t="str">
        <f>IFERROR(__xludf.DUMMYFUNCTION("IF(E8270&lt;&gt;"""", GOOGLETRANSLATE(E8270, ""en"", ""te""),"""")"),"")</f>
        <v/>
      </c>
      <c r="G8270" s="2"/>
      <c r="H8270" s="2" t="str">
        <f>IFERROR(__xludf.DUMMYFUNCTION("IF(G8270&lt;&gt;"""", GOOGLETRANSLATE(G8270, ""en"", ""te""),"""")"),"")</f>
        <v/>
      </c>
      <c r="I8270" s="3"/>
    </row>
    <row r="8271" customHeight="1" spans="1:9">
      <c r="A8271" s="2"/>
      <c r="B8271" s="2" t="str">
        <f>IFERROR(__xludf.DUMMYFUNCTION("IF(A8271&lt;&gt;"""", GOOGLETRANSLATE(A8271, ""en"", ""te""),"""")"),"")</f>
        <v/>
      </c>
      <c r="C8271" s="2"/>
      <c r="D8271" s="2" t="str">
        <f>IFERROR(__xludf.DUMMYFUNCTION("IF(C8271&lt;&gt;"""", GOOGLETRANSLATE(C8271, ""en"", ""te""),"""")"),"")</f>
        <v/>
      </c>
      <c r="E8271" s="2"/>
      <c r="F8271" s="2" t="str">
        <f>IFERROR(__xludf.DUMMYFUNCTION("IF(E8271&lt;&gt;"""", GOOGLETRANSLATE(E8271, ""en"", ""te""),"""")"),"")</f>
        <v/>
      </c>
      <c r="G8271" s="2"/>
      <c r="H8271" s="2" t="str">
        <f>IFERROR(__xludf.DUMMYFUNCTION("IF(G8271&lt;&gt;"""", GOOGLETRANSLATE(G8271, ""en"", ""te""),"""")"),"")</f>
        <v/>
      </c>
      <c r="I8271" s="3"/>
    </row>
    <row r="8272" customHeight="1" spans="1:9">
      <c r="A8272" s="2"/>
      <c r="B8272" s="2" t="str">
        <f>IFERROR(__xludf.DUMMYFUNCTION("IF(A8272&lt;&gt;"""", GOOGLETRANSLATE(A8272, ""en"", ""te""),"""")"),"")</f>
        <v/>
      </c>
      <c r="C8272" s="2"/>
      <c r="D8272" s="2" t="str">
        <f>IFERROR(__xludf.DUMMYFUNCTION("IF(C8272&lt;&gt;"""", GOOGLETRANSLATE(C8272, ""en"", ""te""),"""")"),"")</f>
        <v/>
      </c>
      <c r="E8272" s="2"/>
      <c r="F8272" s="2" t="str">
        <f>IFERROR(__xludf.DUMMYFUNCTION("IF(E8272&lt;&gt;"""", GOOGLETRANSLATE(E8272, ""en"", ""te""),"""")"),"")</f>
        <v/>
      </c>
      <c r="G8272" s="2"/>
      <c r="H8272" s="2" t="str">
        <f>IFERROR(__xludf.DUMMYFUNCTION("IF(G8272&lt;&gt;"""", GOOGLETRANSLATE(G8272, ""en"", ""te""),"""")"),"")</f>
        <v/>
      </c>
      <c r="I8272" s="3"/>
    </row>
    <row r="8273" customHeight="1" spans="1:9">
      <c r="A8273" s="2" t="s">
        <v>1807</v>
      </c>
      <c r="B8273" s="2" t="str">
        <f>IFERROR(__xludf.DUMMYFUNCTION("IF(A8273&lt;&gt;"""", GOOGLETRANSLATE(A8273, ""en"", ""te""),"""")"),"[ 'ఒక కెప్టెన్తో పెయిర్']")</f>
        <v>[ 'ఒక కెప్టెన్తో పెయిర్']</v>
      </c>
      <c r="C8273" s="2"/>
      <c r="D8273" s="2" t="str">
        <f>IFERROR(__xludf.DUMMYFUNCTION("IF(C8273&lt;&gt;"""", GOOGLETRANSLATE(C8273, ""en"", ""te""),"""")"),"")</f>
        <v/>
      </c>
      <c r="E8273" s="2" t="s">
        <v>4620</v>
      </c>
      <c r="F8273" s="2" t="str">
        <f>IFERROR(__xludf.DUMMYFUNCTION("IF(E8273&lt;&gt;"""", GOOGLETRANSLATE(E8273, ""en"", ""te""),"""")"),"[ 'కెరీర్ లో 24 వ అత్యంత బాతులు (18)', '6 వ అత్యధిక వరుస బాతులు (3)', '19 చెత్త కెరీర్ సగటు (అర్హత లేకుండా) బౌలింగ్' 14 వ అత్యంత వంద (2168) లేకుండా ఒక వృత్తిలో పరుగులు '(142.00) ',' 37 వ అత్యంత కెప్టెన్ (69) గా పేర్కొంటే ']")</f>
        <v>[ 'కెరీర్ లో 24 వ అత్యంత బాతులు (18)', '6 వ అత్యధిక వరుస బాతులు (3)', '19 చెత్త కెరీర్ సగటు (అర్హత లేకుండా) బౌలింగ్' 14 వ అత్యంత వంద (2168) లేకుండా ఒక వృత్తిలో పరుగులు '(142.00) ',' 37 వ అత్యంత కెప్టెన్ (69) గా పేర్కొంటే ']</v>
      </c>
      <c r="G8273" s="2"/>
      <c r="H8273" s="2" t="str">
        <f>IFERROR(__xludf.DUMMYFUNCTION("IF(G8273&lt;&gt;"""", GOOGLETRANSLATE(G8273, ""en"", ""te""),"""")"),"")</f>
        <v/>
      </c>
      <c r="I8273" s="3"/>
    </row>
    <row r="8274" customHeight="1" spans="1:9">
      <c r="A8274" s="2"/>
      <c r="B8274" s="2" t="str">
        <f>IFERROR(__xludf.DUMMYFUNCTION("IF(A8274&lt;&gt;"""", GOOGLETRANSLATE(A8274, ""en"", ""te""),"""")"),"")</f>
        <v/>
      </c>
      <c r="C8274" s="2"/>
      <c r="D8274" s="2" t="str">
        <f>IFERROR(__xludf.DUMMYFUNCTION("IF(C8274&lt;&gt;"""", GOOGLETRANSLATE(C8274, ""en"", ""te""),"""")"),"")</f>
        <v/>
      </c>
      <c r="E8274" s="2"/>
      <c r="F8274" s="2" t="str">
        <f>IFERROR(__xludf.DUMMYFUNCTION("IF(E8274&lt;&gt;"""", GOOGLETRANSLATE(E8274, ""en"", ""te""),"""")"),"")</f>
        <v/>
      </c>
      <c r="G8274" s="2"/>
      <c r="H8274" s="2" t="str">
        <f>IFERROR(__xludf.DUMMYFUNCTION("IF(G8274&lt;&gt;"""", GOOGLETRANSLATE(G8274, ""en"", ""te""),"""")"),"")</f>
        <v/>
      </c>
      <c r="I8274" s="3"/>
    </row>
    <row r="8275" customHeight="1" spans="1:9">
      <c r="A8275" s="2"/>
      <c r="B8275" s="2" t="str">
        <f>IFERROR(__xludf.DUMMYFUNCTION("IF(A8275&lt;&gt;"""", GOOGLETRANSLATE(A8275, ""en"", ""te""),"""")"),"")</f>
        <v/>
      </c>
      <c r="C8275" s="2"/>
      <c r="D8275" s="2" t="str">
        <f>IFERROR(__xludf.DUMMYFUNCTION("IF(C8275&lt;&gt;"""", GOOGLETRANSLATE(C8275, ""en"", ""te""),"""")"),"")</f>
        <v/>
      </c>
      <c r="E8275" s="2"/>
      <c r="F8275" s="2" t="str">
        <f>IFERROR(__xludf.DUMMYFUNCTION("IF(E8275&lt;&gt;"""", GOOGLETRANSLATE(E8275, ""en"", ""te""),"""")"),"")</f>
        <v/>
      </c>
      <c r="G8275" s="2"/>
      <c r="H8275" s="2" t="str">
        <f>IFERROR(__xludf.DUMMYFUNCTION("IF(G8275&lt;&gt;"""", GOOGLETRANSLATE(G8275, ""en"", ""te""),"""")"),"")</f>
        <v/>
      </c>
      <c r="I8275" s="3"/>
    </row>
    <row r="8276" customHeight="1" spans="1:9">
      <c r="A8276" s="2"/>
      <c r="B8276" s="2" t="str">
        <f>IFERROR(__xludf.DUMMYFUNCTION("IF(A8276&lt;&gt;"""", GOOGLETRANSLATE(A8276, ""en"", ""te""),"""")"),"")</f>
        <v/>
      </c>
      <c r="C8276" s="2"/>
      <c r="D8276" s="2" t="str">
        <f>IFERROR(__xludf.DUMMYFUNCTION("IF(C8276&lt;&gt;"""", GOOGLETRANSLATE(C8276, ""en"", ""te""),"""")"),"")</f>
        <v/>
      </c>
      <c r="E8276" s="2"/>
      <c r="F8276" s="2" t="str">
        <f>IFERROR(__xludf.DUMMYFUNCTION("IF(E8276&lt;&gt;"""", GOOGLETRANSLATE(E8276, ""en"", ""te""),"""")"),"")</f>
        <v/>
      </c>
      <c r="G8276" s="2"/>
      <c r="H8276" s="2" t="str">
        <f>IFERROR(__xludf.DUMMYFUNCTION("IF(G8276&lt;&gt;"""", GOOGLETRANSLATE(G8276, ""en"", ""te""),"""")"),"")</f>
        <v/>
      </c>
      <c r="I8276" s="3"/>
    </row>
    <row r="8277" customHeight="1" spans="1:9">
      <c r="A8277" s="2"/>
      <c r="B8277" s="2" t="str">
        <f>IFERROR(__xludf.DUMMYFUNCTION("IF(A8277&lt;&gt;"""", GOOGLETRANSLATE(A8277, ""en"", ""te""),"""")"),"")</f>
        <v/>
      </c>
      <c r="C8277" s="2"/>
      <c r="D8277" s="2" t="str">
        <f>IFERROR(__xludf.DUMMYFUNCTION("IF(C8277&lt;&gt;"""", GOOGLETRANSLATE(C8277, ""en"", ""te""),"""")"),"")</f>
        <v/>
      </c>
      <c r="E8277" s="2" t="s">
        <v>4621</v>
      </c>
      <c r="F8277" s="2" t="str">
        <f>IFERROR(__xludf.DUMMYFUNCTION("IF(E8277&lt;&gt;"""", GOOGLETRANSLATE(E8277, ""en"", ""te""),"""")"),"[ '24 చెత్త కెరీర్లో ఆర్థిక రేటు (5.83)', '49 వ పిన్న క్రీడాకారులు (17y 307d)']")</f>
        <v>[ '24 చెత్త కెరీర్లో ఆర్థిక రేటు (5.83)', '49 వ పిన్న క్రీడాకారులు (17y 307d)']</v>
      </c>
      <c r="G8277" s="2"/>
      <c r="H8277" s="2" t="str">
        <f>IFERROR(__xludf.DUMMYFUNCTION("IF(G8277&lt;&gt;"""", GOOGLETRANSLATE(G8277, ""en"", ""te""),"""")"),"")</f>
        <v/>
      </c>
      <c r="I8277" s="3"/>
    </row>
    <row r="8278" customHeight="1" spans="1:9">
      <c r="A8278" s="2"/>
      <c r="B8278" s="2" t="str">
        <f>IFERROR(__xludf.DUMMYFUNCTION("IF(A8278&lt;&gt;"""", GOOGLETRANSLATE(A8278, ""en"", ""te""),"""")"),"")</f>
        <v/>
      </c>
      <c r="C8278" s="2"/>
      <c r="D8278" s="2" t="str">
        <f>IFERROR(__xludf.DUMMYFUNCTION("IF(C8278&lt;&gt;"""", GOOGLETRANSLATE(C8278, ""en"", ""te""),"""")"),"")</f>
        <v/>
      </c>
      <c r="E8278" s="2"/>
      <c r="F8278" s="2" t="str">
        <f>IFERROR(__xludf.DUMMYFUNCTION("IF(E8278&lt;&gt;"""", GOOGLETRANSLATE(E8278, ""en"", ""te""),"""")"),"")</f>
        <v/>
      </c>
      <c r="G8278" s="2"/>
      <c r="H8278" s="2" t="str">
        <f>IFERROR(__xludf.DUMMYFUNCTION("IF(G8278&lt;&gt;"""", GOOGLETRANSLATE(G8278, ""en"", ""te""),"""")"),"")</f>
        <v/>
      </c>
      <c r="I8278" s="3"/>
    </row>
    <row r="8279" customHeight="1" spans="1:9">
      <c r="A8279" s="2"/>
      <c r="B8279" s="2" t="str">
        <f>IFERROR(__xludf.DUMMYFUNCTION("IF(A8279&lt;&gt;"""", GOOGLETRANSLATE(A8279, ""en"", ""te""),"""")"),"")</f>
        <v/>
      </c>
      <c r="C8279" s="2"/>
      <c r="D8279" s="2" t="str">
        <f>IFERROR(__xludf.DUMMYFUNCTION("IF(C8279&lt;&gt;"""", GOOGLETRANSLATE(C8279, ""en"", ""te""),"""")"),"")</f>
        <v/>
      </c>
      <c r="E8279" s="2"/>
      <c r="F8279" s="2" t="str">
        <f>IFERROR(__xludf.DUMMYFUNCTION("IF(E8279&lt;&gt;"""", GOOGLETRANSLATE(E8279, ""en"", ""te""),"""")"),"")</f>
        <v/>
      </c>
      <c r="G8279" s="2"/>
      <c r="H8279" s="2" t="str">
        <f>IFERROR(__xludf.DUMMYFUNCTION("IF(G8279&lt;&gt;"""", GOOGLETRANSLATE(G8279, ""en"", ""te""),"""")"),"")</f>
        <v/>
      </c>
      <c r="I8279" s="3"/>
    </row>
    <row r="8280" customHeight="1" spans="1:9">
      <c r="A8280" s="2"/>
      <c r="B8280" s="2" t="str">
        <f>IFERROR(__xludf.DUMMYFUNCTION("IF(A8280&lt;&gt;"""", GOOGLETRANSLATE(A8280, ""en"", ""te""),"""")"),"")</f>
        <v/>
      </c>
      <c r="C8280" s="2"/>
      <c r="D8280" s="2" t="str">
        <f>IFERROR(__xludf.DUMMYFUNCTION("IF(C8280&lt;&gt;"""", GOOGLETRANSLATE(C8280, ""en"", ""te""),"""")"),"")</f>
        <v/>
      </c>
      <c r="E8280" s="2"/>
      <c r="F8280" s="2" t="str">
        <f>IFERROR(__xludf.DUMMYFUNCTION("IF(E8280&lt;&gt;"""", GOOGLETRANSLATE(E8280, ""en"", ""te""),"""")"),"")</f>
        <v/>
      </c>
      <c r="G8280" s="2"/>
      <c r="H8280" s="2" t="str">
        <f>IFERROR(__xludf.DUMMYFUNCTION("IF(G8280&lt;&gt;"""", GOOGLETRANSLATE(G8280, ""en"", ""te""),"""")"),"")</f>
        <v/>
      </c>
      <c r="I8280" s="3"/>
    </row>
    <row r="8281" customHeight="1" spans="1:9">
      <c r="A8281" s="2"/>
      <c r="B8281" s="2" t="str">
        <f>IFERROR(__xludf.DUMMYFUNCTION("IF(A8281&lt;&gt;"""", GOOGLETRANSLATE(A8281, ""en"", ""te""),"""")"),"")</f>
        <v/>
      </c>
      <c r="C8281" s="2"/>
      <c r="D8281" s="2" t="str">
        <f>IFERROR(__xludf.DUMMYFUNCTION("IF(C8281&lt;&gt;"""", GOOGLETRANSLATE(C8281, ""en"", ""te""),"""")"),"")</f>
        <v/>
      </c>
      <c r="E8281" s="2"/>
      <c r="F8281" s="2" t="str">
        <f>IFERROR(__xludf.DUMMYFUNCTION("IF(E8281&lt;&gt;"""", GOOGLETRANSLATE(E8281, ""en"", ""te""),"""")"),"")</f>
        <v/>
      </c>
      <c r="G8281" s="2"/>
      <c r="H8281" s="2" t="str">
        <f>IFERROR(__xludf.DUMMYFUNCTION("IF(G8281&lt;&gt;"""", GOOGLETRANSLATE(G8281, ""en"", ""te""),"""")"),"")</f>
        <v/>
      </c>
      <c r="I8281" s="3"/>
    </row>
    <row r="8282" customHeight="1" spans="1:9">
      <c r="A8282" s="2"/>
      <c r="B8282" s="2" t="str">
        <f>IFERROR(__xludf.DUMMYFUNCTION("IF(A8282&lt;&gt;"""", GOOGLETRANSLATE(A8282, ""en"", ""te""),"""")"),"")</f>
        <v/>
      </c>
      <c r="C8282" s="2"/>
      <c r="D8282" s="2" t="str">
        <f>IFERROR(__xludf.DUMMYFUNCTION("IF(C8282&lt;&gt;"""", GOOGLETRANSLATE(C8282, ""en"", ""te""),"""")"),"")</f>
        <v/>
      </c>
      <c r="E8282" s="2"/>
      <c r="F8282" s="2" t="str">
        <f>IFERROR(__xludf.DUMMYFUNCTION("IF(E8282&lt;&gt;"""", GOOGLETRANSLATE(E8282, ""en"", ""te""),"""")"),"")</f>
        <v/>
      </c>
      <c r="G8282" s="2"/>
      <c r="H8282" s="2" t="str">
        <f>IFERROR(__xludf.DUMMYFUNCTION("IF(G8282&lt;&gt;"""", GOOGLETRANSLATE(G8282, ""en"", ""te""),"""")"),"")</f>
        <v/>
      </c>
      <c r="I8282" s="3"/>
    </row>
    <row r="8283" customHeight="1" spans="1:9">
      <c r="A8283" s="2"/>
      <c r="B8283" s="2" t="str">
        <f>IFERROR(__xludf.DUMMYFUNCTION("IF(A8283&lt;&gt;"""", GOOGLETRANSLATE(A8283, ""en"", ""te""),"""")"),"")</f>
        <v/>
      </c>
      <c r="C8283" s="2"/>
      <c r="D8283" s="2" t="str">
        <f>IFERROR(__xludf.DUMMYFUNCTION("IF(C8283&lt;&gt;"""", GOOGLETRANSLATE(C8283, ""en"", ""te""),"""")"),"")</f>
        <v/>
      </c>
      <c r="E8283" s="2"/>
      <c r="F8283" s="2" t="str">
        <f>IFERROR(__xludf.DUMMYFUNCTION("IF(E8283&lt;&gt;"""", GOOGLETRANSLATE(E8283, ""en"", ""te""),"""")"),"")</f>
        <v/>
      </c>
      <c r="G8283" s="2"/>
      <c r="H8283" s="2" t="str">
        <f>IFERROR(__xludf.DUMMYFUNCTION("IF(G8283&lt;&gt;"""", GOOGLETRANSLATE(G8283, ""en"", ""te""),"""")"),"")</f>
        <v/>
      </c>
      <c r="I8283" s="3"/>
    </row>
    <row r="8284" customHeight="1" spans="1:9">
      <c r="A8284" s="2" t="s">
        <v>4622</v>
      </c>
      <c r="B8284" s="2" t="str">
        <f>IFERROR(__xludf.DUMMYFUNCTION("IF(A8284&lt;&gt;"""", GOOGLETRANSLATE(A8284, ""en"", ""te""),"""")"),"[ 'ఏడవ వికెట్ (127) 4 వ అత్యధిక భాగస్వామ్యం']")</f>
        <v>[ 'ఏడవ వికెట్ (127) 4 వ అత్యధిక భాగస్వామ్యం']</v>
      </c>
      <c r="C8284" s="2"/>
      <c r="D8284" s="2" t="str">
        <f>IFERROR(__xludf.DUMMYFUNCTION("IF(C8284&lt;&gt;"""", GOOGLETRANSLATE(C8284, ""en"", ""te""),"""")"),"")</f>
        <v/>
      </c>
      <c r="E8284" s="2" t="s">
        <v>4623</v>
      </c>
      <c r="F8284" s="2" t="str">
        <f>IFERROR(__xludf.DUMMYFUNCTION("IF(E8284&lt;&gt;"""", GOOGLETRANSLATE(E8284, ""en"", ""te""),"""")"),"[ '35 వ ఒకే మైదానంలో అత్యధిక పరుగులు (1169)', '15 వ అత్యంత ఇన్నింగ్స్ తొలి డక్ (45) ముందు' '22 వ కెరీర్ లో అతి తక్కువ బాతులు (39)', 'రెండవ వికెట్కు 19 అత్యధిక భాగస్వామ్యం (220)', 'ఆరవ వికెట్కు 38 వ అత్యధిక భాగస్వామ్యం (128)', 'ఏడవ వికెట్కు 4 వ అత్యధిక భా"&amp;"గస్వామ్యం (127)']")</f>
        <v>[ '35 వ ఒకే మైదానంలో అత్యధిక పరుగులు (1169)', '15 వ అత్యంత ఇన్నింగ్స్ తొలి డక్ (45) ముందు' '22 వ కెరీర్ లో అతి తక్కువ బాతులు (39)', 'రెండవ వికెట్కు 19 అత్యధిక భాగస్వామ్యం (220)', 'ఆరవ వికెట్కు 38 వ అత్యధిక భాగస్వామ్యం (128)', 'ఏడవ వికెట్కు 4 వ అత్యధిక భాగస్వామ్యం (127)']</v>
      </c>
      <c r="G8284" s="2"/>
      <c r="H8284" s="2" t="str">
        <f>IFERROR(__xludf.DUMMYFUNCTION("IF(G8284&lt;&gt;"""", GOOGLETRANSLATE(G8284, ""en"", ""te""),"""")"),"")</f>
        <v/>
      </c>
      <c r="I8284" s="3"/>
    </row>
    <row r="8285" customHeight="1" spans="1:9">
      <c r="A8285" s="2"/>
      <c r="B8285" s="2" t="str">
        <f>IFERROR(__xludf.DUMMYFUNCTION("IF(A8285&lt;&gt;"""", GOOGLETRANSLATE(A8285, ""en"", ""te""),"""")"),"")</f>
        <v/>
      </c>
      <c r="C8285" s="2"/>
      <c r="D8285" s="2" t="str">
        <f>IFERROR(__xludf.DUMMYFUNCTION("IF(C8285&lt;&gt;"""", GOOGLETRANSLATE(C8285, ""en"", ""te""),"""")"),"")</f>
        <v/>
      </c>
      <c r="E8285" s="2"/>
      <c r="F8285" s="2" t="str">
        <f>IFERROR(__xludf.DUMMYFUNCTION("IF(E8285&lt;&gt;"""", GOOGLETRANSLATE(E8285, ""en"", ""te""),"""")"),"")</f>
        <v/>
      </c>
      <c r="G8285" s="2"/>
      <c r="H8285" s="2" t="str">
        <f>IFERROR(__xludf.DUMMYFUNCTION("IF(G8285&lt;&gt;"""", GOOGLETRANSLATE(G8285, ""en"", ""te""),"""")"),"")</f>
        <v/>
      </c>
      <c r="I8285" s="3"/>
    </row>
    <row r="8286" customHeight="1" spans="1:9">
      <c r="A8286" s="2"/>
      <c r="B8286" s="2" t="str">
        <f>IFERROR(__xludf.DUMMYFUNCTION("IF(A8286&lt;&gt;"""", GOOGLETRANSLATE(A8286, ""en"", ""te""),"""")"),"")</f>
        <v/>
      </c>
      <c r="C8286" s="2"/>
      <c r="D8286" s="2" t="str">
        <f>IFERROR(__xludf.DUMMYFUNCTION("IF(C8286&lt;&gt;"""", GOOGLETRANSLATE(C8286, ""en"", ""te""),"""")"),"")</f>
        <v/>
      </c>
      <c r="E8286" s="2"/>
      <c r="F8286" s="2" t="str">
        <f>IFERROR(__xludf.DUMMYFUNCTION("IF(E8286&lt;&gt;"""", GOOGLETRANSLATE(E8286, ""en"", ""te""),"""")"),"")</f>
        <v/>
      </c>
      <c r="G8286" s="2"/>
      <c r="H8286" s="2" t="str">
        <f>IFERROR(__xludf.DUMMYFUNCTION("IF(G8286&lt;&gt;"""", GOOGLETRANSLATE(G8286, ""en"", ""te""),"""")"),"")</f>
        <v/>
      </c>
      <c r="I8286" s="3"/>
    </row>
    <row r="8287" customHeight="1" spans="1:9">
      <c r="A8287" s="2"/>
      <c r="B8287" s="2" t="str">
        <f>IFERROR(__xludf.DUMMYFUNCTION("IF(A8287&lt;&gt;"""", GOOGLETRANSLATE(A8287, ""en"", ""te""),"""")"),"")</f>
        <v/>
      </c>
      <c r="C8287" s="2"/>
      <c r="D8287" s="2" t="str">
        <f>IFERROR(__xludf.DUMMYFUNCTION("IF(C8287&lt;&gt;"""", GOOGLETRANSLATE(C8287, ""en"", ""te""),"""")"),"")</f>
        <v/>
      </c>
      <c r="E8287" s="2"/>
      <c r="F8287" s="2" t="str">
        <f>IFERROR(__xludf.DUMMYFUNCTION("IF(E8287&lt;&gt;"""", GOOGLETRANSLATE(E8287, ""en"", ""te""),"""")"),"")</f>
        <v/>
      </c>
      <c r="G8287" s="2"/>
      <c r="H8287" s="2" t="str">
        <f>IFERROR(__xludf.DUMMYFUNCTION("IF(G8287&lt;&gt;"""", GOOGLETRANSLATE(G8287, ""en"", ""te""),"""")"),"")</f>
        <v/>
      </c>
      <c r="I8287" s="3"/>
    </row>
    <row r="8288" customHeight="1" spans="1:9">
      <c r="A8288" s="2"/>
      <c r="B8288" s="2" t="str">
        <f>IFERROR(__xludf.DUMMYFUNCTION("IF(A8288&lt;&gt;"""", GOOGLETRANSLATE(A8288, ""en"", ""te""),"""")"),"")</f>
        <v/>
      </c>
      <c r="C8288" s="2"/>
      <c r="D8288" s="2" t="str">
        <f>IFERROR(__xludf.DUMMYFUNCTION("IF(C8288&lt;&gt;"""", GOOGLETRANSLATE(C8288, ""en"", ""te""),"""")"),"")</f>
        <v/>
      </c>
      <c r="E8288" s="2"/>
      <c r="F8288" s="2" t="str">
        <f>IFERROR(__xludf.DUMMYFUNCTION("IF(E8288&lt;&gt;"""", GOOGLETRANSLATE(E8288, ""en"", ""te""),"""")"),"")</f>
        <v/>
      </c>
      <c r="G8288" s="2"/>
      <c r="H8288" s="2" t="str">
        <f>IFERROR(__xludf.DUMMYFUNCTION("IF(G8288&lt;&gt;"""", GOOGLETRANSLATE(G8288, ""en"", ""te""),"""")"),"")</f>
        <v/>
      </c>
      <c r="I8288" s="3"/>
    </row>
    <row r="8289" customHeight="1" spans="1:9">
      <c r="A8289" s="2"/>
      <c r="B8289" s="2" t="str">
        <f>IFERROR(__xludf.DUMMYFUNCTION("IF(A8289&lt;&gt;"""", GOOGLETRANSLATE(A8289, ""en"", ""te""),"""")"),"")</f>
        <v/>
      </c>
      <c r="C8289" s="2"/>
      <c r="D8289" s="2" t="str">
        <f>IFERROR(__xludf.DUMMYFUNCTION("IF(C8289&lt;&gt;"""", GOOGLETRANSLATE(C8289, ""en"", ""te""),"""")"),"")</f>
        <v/>
      </c>
      <c r="E8289" s="2"/>
      <c r="F8289" s="2" t="str">
        <f>IFERROR(__xludf.DUMMYFUNCTION("IF(E8289&lt;&gt;"""", GOOGLETRANSLATE(E8289, ""en"", ""te""),"""")"),"")</f>
        <v/>
      </c>
      <c r="G8289" s="2"/>
      <c r="H8289" s="2" t="str">
        <f>IFERROR(__xludf.DUMMYFUNCTION("IF(G8289&lt;&gt;"""", GOOGLETRANSLATE(G8289, ""en"", ""te""),"""")"),"")</f>
        <v/>
      </c>
      <c r="I8289" s="3"/>
    </row>
    <row r="8290" customHeight="1" spans="1:9">
      <c r="A8290" s="2"/>
      <c r="B8290" s="2" t="str">
        <f>IFERROR(__xludf.DUMMYFUNCTION("IF(A8290&lt;&gt;"""", GOOGLETRANSLATE(A8290, ""en"", ""te""),"""")"),"")</f>
        <v/>
      </c>
      <c r="C8290" s="2"/>
      <c r="D8290" s="2" t="str">
        <f>IFERROR(__xludf.DUMMYFUNCTION("IF(C8290&lt;&gt;"""", GOOGLETRANSLATE(C8290, ""en"", ""te""),"""")"),"")</f>
        <v/>
      </c>
      <c r="E8290" s="2"/>
      <c r="F8290" s="2" t="str">
        <f>IFERROR(__xludf.DUMMYFUNCTION("IF(E8290&lt;&gt;"""", GOOGLETRANSLATE(E8290, ""en"", ""te""),"""")"),"")</f>
        <v/>
      </c>
      <c r="G8290" s="2"/>
      <c r="H8290" s="2" t="str">
        <f>IFERROR(__xludf.DUMMYFUNCTION("IF(G8290&lt;&gt;"""", GOOGLETRANSLATE(G8290, ""en"", ""te""),"""")"),"")</f>
        <v/>
      </c>
      <c r="I8290" s="3"/>
    </row>
    <row r="8291" customHeight="1" spans="1:9">
      <c r="A8291" s="2"/>
      <c r="B8291" s="2" t="str">
        <f>IFERROR(__xludf.DUMMYFUNCTION("IF(A8291&lt;&gt;"""", GOOGLETRANSLATE(A8291, ""en"", ""te""),"""")"),"")</f>
        <v/>
      </c>
      <c r="C8291" s="2"/>
      <c r="D8291" s="2" t="str">
        <f>IFERROR(__xludf.DUMMYFUNCTION("IF(C8291&lt;&gt;"""", GOOGLETRANSLATE(C8291, ""en"", ""te""),"""")"),"")</f>
        <v/>
      </c>
      <c r="E8291" s="2"/>
      <c r="F8291" s="2" t="str">
        <f>IFERROR(__xludf.DUMMYFUNCTION("IF(E8291&lt;&gt;"""", GOOGLETRANSLATE(E8291, ""en"", ""te""),"""")"),"")</f>
        <v/>
      </c>
      <c r="G8291" s="2"/>
      <c r="H8291" s="2" t="str">
        <f>IFERROR(__xludf.DUMMYFUNCTION("IF(G8291&lt;&gt;"""", GOOGLETRANSLATE(G8291, ""en"", ""te""),"""")"),"")</f>
        <v/>
      </c>
      <c r="I8291" s="3"/>
    </row>
    <row r="8292" customHeight="1" spans="1:9">
      <c r="A8292" s="2"/>
      <c r="B8292" s="2" t="str">
        <f>IFERROR(__xludf.DUMMYFUNCTION("IF(A8292&lt;&gt;"""", GOOGLETRANSLATE(A8292, ""en"", ""te""),"""")"),"")</f>
        <v/>
      </c>
      <c r="C8292" s="2"/>
      <c r="D8292" s="2" t="str">
        <f>IFERROR(__xludf.DUMMYFUNCTION("IF(C8292&lt;&gt;"""", GOOGLETRANSLATE(C8292, ""en"", ""te""),"""")"),"")</f>
        <v/>
      </c>
      <c r="E8292" s="2" t="s">
        <v>4624</v>
      </c>
      <c r="F8292" s="2" t="str">
        <f>IFERROR(__xludf.DUMMYFUNCTION("IF(E8292&lt;&gt;"""", GOOGLETRANSLATE(E8292, ""en"", ""te""),"""")"),"[ 'తొలి 49 వ ఓల్డెస్ట్ క్రీడాకారులు (36y 255d)', '34 వ ఓల్డెస్ట్ క్రీడాకారులు (40y 283d)']")</f>
        <v>[ 'తొలి 49 వ ఓల్డెస్ట్ క్రీడాకారులు (36y 255d)', '34 వ ఓల్డెస్ట్ క్రీడాకారులు (40y 283d)']</v>
      </c>
      <c r="G8292" s="2"/>
      <c r="H8292" s="2" t="str">
        <f>IFERROR(__xludf.DUMMYFUNCTION("IF(G8292&lt;&gt;"""", GOOGLETRANSLATE(G8292, ""en"", ""te""),"""")"),"")</f>
        <v/>
      </c>
      <c r="I8292" s="3"/>
    </row>
    <row r="8293" customHeight="1" spans="1:9">
      <c r="A8293" s="2"/>
      <c r="B8293" s="2" t="str">
        <f>IFERROR(__xludf.DUMMYFUNCTION("IF(A8293&lt;&gt;"""", GOOGLETRANSLATE(A8293, ""en"", ""te""),"""")"),"")</f>
        <v/>
      </c>
      <c r="C8293" s="2" t="s">
        <v>4625</v>
      </c>
      <c r="D8293" s="2" t="str">
        <f>IFERROR(__xludf.DUMMYFUNCTION("IF(C8293&lt;&gt;"""", GOOGLETRANSLATE(C8293, ""en"", ""te""),"""")"),"[ '16 వ పిన్న ఆటగాడు ఐదు వికెట్ల లో-ఒక-ఇన్నింగ్స్ తీసుకోవాలని (19y 61d)']")</f>
        <v>[ '16 వ పిన్న ఆటగాడు ఐదు వికెట్ల లో-ఒక-ఇన్నింగ్స్ తీసుకోవాలని (19y 61d)']</v>
      </c>
      <c r="E8293" s="2"/>
      <c r="F8293" s="2" t="str">
        <f>IFERROR(__xludf.DUMMYFUNCTION("IF(E8293&lt;&gt;"""", GOOGLETRANSLATE(E8293, ""en"", ""te""),"""")"),"")</f>
        <v/>
      </c>
      <c r="G8293" s="2"/>
      <c r="H8293" s="2" t="str">
        <f>IFERROR(__xludf.DUMMYFUNCTION("IF(G8293&lt;&gt;"""", GOOGLETRANSLATE(G8293, ""en"", ""te""),"""")"),"")</f>
        <v/>
      </c>
      <c r="I8293" s="3"/>
    </row>
    <row r="8294" customHeight="1" spans="1:9">
      <c r="A8294" s="2"/>
      <c r="B8294" s="2" t="str">
        <f>IFERROR(__xludf.DUMMYFUNCTION("IF(A8294&lt;&gt;"""", GOOGLETRANSLATE(A8294, ""en"", ""te""),"""")"),"")</f>
        <v/>
      </c>
      <c r="C8294" s="2"/>
      <c r="D8294" s="2" t="str">
        <f>IFERROR(__xludf.DUMMYFUNCTION("IF(C8294&lt;&gt;"""", GOOGLETRANSLATE(C8294, ""en"", ""te""),"""")"),"")</f>
        <v/>
      </c>
      <c r="E8294" s="2"/>
      <c r="F8294" s="2" t="str">
        <f>IFERROR(__xludf.DUMMYFUNCTION("IF(E8294&lt;&gt;"""", GOOGLETRANSLATE(E8294, ""en"", ""te""),"""")"),"")</f>
        <v/>
      </c>
      <c r="G8294" s="2"/>
      <c r="H8294" s="2" t="str">
        <f>IFERROR(__xludf.DUMMYFUNCTION("IF(G8294&lt;&gt;"""", GOOGLETRANSLATE(G8294, ""en"", ""te""),"""")"),"")</f>
        <v/>
      </c>
      <c r="I8294" s="3"/>
    </row>
    <row r="8295" customHeight="1" spans="1:9">
      <c r="A8295" s="2" t="s">
        <v>4626</v>
      </c>
      <c r="B8295" s="2" t="str">
        <f>IFERROR(__xludf.DUMMYFUNCTION("IF(A8295&lt;&gt;"""", GOOGLETRANSLATE(A8295, ""en"", ""te""),"""")"),"[ 'హండ్రెడ్ మరియు ఒక మ్యాచ్లో ఒక డక్', 'ఒక ఇన్నింగ్స్లో ద్వారా బ్యాట్ నిదర్శన (85 *)']")</f>
        <v>[ 'హండ్రెడ్ మరియు ఒక మ్యాచ్లో ఒక డక్', 'ఒక ఇన్నింగ్స్లో ద్వారా బ్యాట్ నిదర్శన (85 *)']</v>
      </c>
      <c r="C8295" s="2"/>
      <c r="D8295" s="2" t="str">
        <f>IFERROR(__xludf.DUMMYFUNCTION("IF(C8295&lt;&gt;"""", GOOGLETRANSLATE(C8295, ""en"", ""te""),"""")"),"")</f>
        <v/>
      </c>
      <c r="E8295" s="2" t="s">
        <v>4627</v>
      </c>
      <c r="F8295" s="2" t="str">
        <f>IFERROR(__xludf.DUMMYFUNCTION("IF(E8295&lt;&gt;"""", GOOGLETRANSLATE(E8295, ""en"", ""te""),"""")"),"[ 'మొదటి డక్ (40) ముందు 21 వ అత్యంత ఇన్నింగ్స్' '36 వ కెరీర్ లో అతి తక్కువ బాతులు (29.5)']")</f>
        <v>[ 'మొదటి డక్ (40) ముందు 21 వ అత్యంత ఇన్నింగ్స్' '36 వ కెరీర్ లో అతి తక్కువ బాతులు (29.5)']</v>
      </c>
      <c r="G8295" s="2"/>
      <c r="H8295" s="2" t="str">
        <f>IFERROR(__xludf.DUMMYFUNCTION("IF(G8295&lt;&gt;"""", GOOGLETRANSLATE(G8295, ""en"", ""te""),"""")"),"")</f>
        <v/>
      </c>
      <c r="I8295" s="3"/>
    </row>
    <row r="8296" customHeight="1" spans="1:9">
      <c r="A8296" s="2"/>
      <c r="B8296" s="2" t="str">
        <f>IFERROR(__xludf.DUMMYFUNCTION("IF(A8296&lt;&gt;"""", GOOGLETRANSLATE(A8296, ""en"", ""te""),"""")"),"")</f>
        <v/>
      </c>
      <c r="C8296" s="2"/>
      <c r="D8296" s="2" t="str">
        <f>IFERROR(__xludf.DUMMYFUNCTION("IF(C8296&lt;&gt;"""", GOOGLETRANSLATE(C8296, ""en"", ""te""),"""")"),"")</f>
        <v/>
      </c>
      <c r="E8296" s="2"/>
      <c r="F8296" s="2" t="str">
        <f>IFERROR(__xludf.DUMMYFUNCTION("IF(E8296&lt;&gt;"""", GOOGLETRANSLATE(E8296, ""en"", ""te""),"""")"),"")</f>
        <v/>
      </c>
      <c r="G8296" s="2" t="s">
        <v>4628</v>
      </c>
      <c r="H8296" s="2" t="str">
        <f>IFERROR(__xludf.DUMMYFUNCTION("IF(G8296&lt;&gt;"""", GOOGLETRANSLATE(G8296, ""en"", ""te""),"""")"),"[ '14 వ తొలి మ్యాచ్లో అత్యధిక పరుగులు (71)']")</f>
        <v>[ '14 వ తొలి మ్యాచ్లో అత్యధిక పరుగులు (71)']</v>
      </c>
      <c r="I8296" s="3"/>
    </row>
    <row r="8297" customHeight="1" spans="1:9">
      <c r="A8297" s="2"/>
      <c r="B8297" s="2" t="str">
        <f>IFERROR(__xludf.DUMMYFUNCTION("IF(A8297&lt;&gt;"""", GOOGLETRANSLATE(A8297, ""en"", ""te""),"""")"),"")</f>
        <v/>
      </c>
      <c r="C8297" s="2"/>
      <c r="D8297" s="2" t="str">
        <f>IFERROR(__xludf.DUMMYFUNCTION("IF(C8297&lt;&gt;"""", GOOGLETRANSLATE(C8297, ""en"", ""te""),"""")"),"")</f>
        <v/>
      </c>
      <c r="E8297" s="2"/>
      <c r="F8297" s="2" t="str">
        <f>IFERROR(__xludf.DUMMYFUNCTION("IF(E8297&lt;&gt;"""", GOOGLETRANSLATE(E8297, ""en"", ""te""),"""")"),"")</f>
        <v/>
      </c>
      <c r="G8297" s="2"/>
      <c r="H8297" s="2" t="str">
        <f>IFERROR(__xludf.DUMMYFUNCTION("IF(G8297&lt;&gt;"""", GOOGLETRANSLATE(G8297, ""en"", ""te""),"""")"),"")</f>
        <v/>
      </c>
      <c r="I8297" s="3"/>
    </row>
    <row r="8298" customHeight="1" spans="1:9">
      <c r="A8298" s="2" t="s">
        <v>4629</v>
      </c>
      <c r="B8298" s="2" t="str">
        <f>IFERROR(__xludf.DUMMYFUNCTION("IF(A8298&lt;&gt;"""", GOOGLETRANSLATE(A8298, ""en"", ""te""),"""")"),"[ 'ఒక ఇన్నింగ్స్ లో 5 వ ఉత్తమ గణాంకాలు పరాజయం వైపు (4) ఉన్నప్పుడు', '8 వ అత్యధిక వికెట్లు బౌల్డ్ తీసుకోకూడదు (25)']")</f>
        <v>[ 'ఒక ఇన్నింగ్స్ లో 5 వ ఉత్తమ గణాంకాలు పరాజయం వైపు (4) ఉన్నప్పుడు', '8 వ అత్యధిక వికెట్లు బౌల్డ్ తీసుకోకూడదు (25)']</v>
      </c>
      <c r="C8298" s="2"/>
      <c r="D8298" s="2" t="str">
        <f>IFERROR(__xludf.DUMMYFUNCTION("IF(C8298&lt;&gt;"""", GOOGLETRANSLATE(C8298, ""en"", ""te""),"""")"),"")</f>
        <v/>
      </c>
      <c r="E8298" s="2" t="s">
        <v>4630</v>
      </c>
      <c r="F8298" s="2" t="str">
        <f>IFERROR(__xludf.DUMMYFUNCTION("IF(E8298&lt;&gt;"""", GOOGLETRANSLATE(E8298, ""en"", ""te""),"""")"),"[ '45 వ చెత్త కెరీర్ బౌలింగ్ సరాసరి (31.06)', '43 వ చెత్త కెరీర్లో ఆర్థిక రేటు (4.10)', '31 పిన్న కాప్టెన్ (23y 161d)']")</f>
        <v>[ '45 వ చెత్త కెరీర్ బౌలింగ్ సరాసరి (31.06)', '43 వ చెత్త కెరీర్లో ఆర్థిక రేటు (4.10)', '31 పిన్న కాప్టెన్ (23y 161d)']</v>
      </c>
      <c r="G8298" s="2" t="s">
        <v>4631</v>
      </c>
      <c r="H8298" s="2" t="str">
        <f>IFERROR(__xludf.DUMMYFUNCTION("IF(G8298&lt;&gt;"""", GOOGLETRANSLATE(G8298, ""en"", ""te""),"""")"),"[ '25 మొదటి డక్ ముందు అత్యంత ఇన్నింగ్స్ (17)', '(18 *) ఒక ఇన్నింగ్స్ లో 12 వ అత్యధిక పరుగులు (బ్యాటింగ్ స్థానంలో ద్వారా)' '16 వ అత్యంత బాతులు కెరీర్లో (6)', '30 వ కెరీర్ లో అత్యధిక వికెట్లు (55 ) ',' 42 వ ఇన్నింగ్స్ లో బెస్ట్ ఫిగర్స్ (5/28) ',' 37 వ ఒక క్"&amp;"యాలెండర్ సంవత్సరంలో అత్యధిక వికెట్లు (19) ',' 16 వ అత్యుత్తమ బౌలింగ్ ఇన్నింగ్స్ లో విశ్లేషించడం (2/2) ', '21 వ ఉత్తమ బొమ్మలు ఒక కెప్టెన్తో ఒక ఇన్నింగ్స్తో ఇన్నింగ్స్లో (3) ',' 5 వ ఉత్తమ సంఖ్యలు ఉన్నప్పుడు పరాజయం వైపు (4) ',' 18 వ ఉత్తమ కెరీర్ ఆర్థిక రేటు"&amp;" (5.36) ',' ఇన్నింగ్స్ లో 41 వ ఉత్తమ ఆర్థిక రేటు (0.66) ' '13 వ అత్యంత నాలుగు వికెట్లు-ఇన్-ఒక-ఇన్నింగ్స్ కెరీర్లో (2)', '23 వ కెరీర్ (1274) లో బౌల్డ్ చాలా బంతుల్లో', '28th కెరీర్లో సాధించిన అత్యధిక పరుగులు (1139)', '8 వ అత్యధిక వికెట్లు తీసుకున్న బౌల్డ్ ("&amp;"25) ',' 46 వ అత్యధిక వికెట్లు తీసుకున్న ఆకర్షించింది (25) ',' 45 వ అత్యధిక వికెట్లు ఒక ఫీల్డర్ చేత క్యాచ్ తీసుకున్న (21) ',' పదవ వికెట్కు 12 వ అత్యధిక భాగస్వామ్యం (17) ',' 17 వ పిన్న కాప్టెన్ (20y 348d) ',' 11 వ కెరీర్ పనికత్తెలయొద్ద (9) ']")</f>
        <v>[ '25 మొదటి డక్ ముందు అత్యంత ఇన్నింగ్స్ (17)', '(18 *) ఒక ఇన్నింగ్స్ లో 12 వ అత్యధిక పరుగులు (బ్యాటింగ్ స్థానంలో ద్వారా)' '16 వ అత్యంత బాతులు కెరీర్లో (6)', '30 వ కెరీర్ లో అత్యధిక వికెట్లు (55 ) ',' 42 వ ఇన్నింగ్స్ లో బెస్ట్ ఫిగర్స్ (5/28) ',' 37 వ ఒక క్యాలెండర్ సంవత్సరంలో అత్యధిక వికెట్లు (19) ',' 16 వ అత్యుత్తమ బౌలింగ్ ఇన్నింగ్స్ లో విశ్లేషించడం (2/2) ', '21 వ ఉత్తమ బొమ్మలు ఒక కెప్టెన్తో ఒక ఇన్నింగ్స్తో ఇన్నింగ్స్లో (3) ',' 5 వ ఉత్తమ సంఖ్యలు ఉన్నప్పుడు పరాజయం వైపు (4) ',' 18 వ ఉత్తమ కెరీర్ ఆర్థిక రేటు (5.36) ',' ఇన్నింగ్స్ లో 41 వ ఉత్తమ ఆర్థిక రేటు (0.66) ' '13 వ అత్యంత నాలుగు వికెట్లు-ఇన్-ఒక-ఇన్నింగ్స్ కెరీర్లో (2)', '23 వ కెరీర్ (1274) లో బౌల్డ్ చాలా బంతుల్లో', '28th కెరీర్లో సాధించిన అత్యధిక పరుగులు (1139)', '8 వ అత్యధిక వికెట్లు తీసుకున్న బౌల్డ్ (25) ',' 46 వ అత్యధిక వికెట్లు తీసుకున్న ఆకర్షించింది (25) ',' 45 వ అత్యధిక వికెట్లు ఒక ఫీల్డర్ చేత క్యాచ్ తీసుకున్న (21) ',' పదవ వికెట్కు 12 వ అత్యధిక భాగస్వామ్యం (17) ',' 17 వ పిన్న కాప్టెన్ (20y 348d) ',' 11 వ కెరీర్ పనికత్తెలయొద్ద (9) ']</v>
      </c>
      <c r="I8298" s="3"/>
    </row>
    <row r="8299" customHeight="1" spans="1:9">
      <c r="A8299" s="2"/>
      <c r="B8299" s="2" t="str">
        <f>IFERROR(__xludf.DUMMYFUNCTION("IF(A8299&lt;&gt;"""", GOOGLETRANSLATE(A8299, ""en"", ""te""),"""")"),"")</f>
        <v/>
      </c>
      <c r="C8299" s="2"/>
      <c r="D8299" s="2" t="str">
        <f>IFERROR(__xludf.DUMMYFUNCTION("IF(C8299&lt;&gt;"""", GOOGLETRANSLATE(C8299, ""en"", ""te""),"""")"),"")</f>
        <v/>
      </c>
      <c r="E8299" s="2"/>
      <c r="F8299" s="2" t="str">
        <f>IFERROR(__xludf.DUMMYFUNCTION("IF(E8299&lt;&gt;"""", GOOGLETRANSLATE(E8299, ""en"", ""te""),"""")"),"")</f>
        <v/>
      </c>
      <c r="G8299" s="2"/>
      <c r="H8299" s="2" t="str">
        <f>IFERROR(__xludf.DUMMYFUNCTION("IF(G8299&lt;&gt;"""", GOOGLETRANSLATE(G8299, ""en"", ""te""),"""")"),"")</f>
        <v/>
      </c>
      <c r="I8299" s="3"/>
    </row>
    <row r="8300" customHeight="1" spans="1:9">
      <c r="A8300" s="2"/>
      <c r="B8300" s="2" t="str">
        <f>IFERROR(__xludf.DUMMYFUNCTION("IF(A8300&lt;&gt;"""", GOOGLETRANSLATE(A8300, ""en"", ""te""),"""")"),"")</f>
        <v/>
      </c>
      <c r="C8300" s="2"/>
      <c r="D8300" s="2" t="str">
        <f>IFERROR(__xludf.DUMMYFUNCTION("IF(C8300&lt;&gt;"""", GOOGLETRANSLATE(C8300, ""en"", ""te""),"""")"),"")</f>
        <v/>
      </c>
      <c r="E8300" s="2"/>
      <c r="F8300" s="2" t="str">
        <f>IFERROR(__xludf.DUMMYFUNCTION("IF(E8300&lt;&gt;"""", GOOGLETRANSLATE(E8300, ""en"", ""te""),"""")"),"")</f>
        <v/>
      </c>
      <c r="G8300" s="2"/>
      <c r="H8300" s="2" t="str">
        <f>IFERROR(__xludf.DUMMYFUNCTION("IF(G8300&lt;&gt;"""", GOOGLETRANSLATE(G8300, ""en"", ""te""),"""")"),"")</f>
        <v/>
      </c>
      <c r="I8300" s="3"/>
    </row>
    <row r="8301" customHeight="1" spans="1:9">
      <c r="A8301" s="2"/>
      <c r="B8301" s="2" t="str">
        <f>IFERROR(__xludf.DUMMYFUNCTION("IF(A8301&lt;&gt;"""", GOOGLETRANSLATE(A8301, ""en"", ""te""),"""")"),"")</f>
        <v/>
      </c>
      <c r="C8301" s="2"/>
      <c r="D8301" s="2" t="str">
        <f>IFERROR(__xludf.DUMMYFUNCTION("IF(C8301&lt;&gt;"""", GOOGLETRANSLATE(C8301, ""en"", ""te""),"""")"),"")</f>
        <v/>
      </c>
      <c r="E8301" s="2"/>
      <c r="F8301" s="2" t="str">
        <f>IFERROR(__xludf.DUMMYFUNCTION("IF(E8301&lt;&gt;"""", GOOGLETRANSLATE(E8301, ""en"", ""te""),"""")"),"")</f>
        <v/>
      </c>
      <c r="G8301" s="2"/>
      <c r="H8301" s="2" t="str">
        <f>IFERROR(__xludf.DUMMYFUNCTION("IF(G8301&lt;&gt;"""", GOOGLETRANSLATE(G8301, ""en"", ""te""),"""")"),"")</f>
        <v/>
      </c>
      <c r="I8301" s="3"/>
    </row>
    <row r="8302" customHeight="1" spans="1:9">
      <c r="A8302" s="2"/>
      <c r="B8302" s="2" t="str">
        <f>IFERROR(__xludf.DUMMYFUNCTION("IF(A8302&lt;&gt;"""", GOOGLETRANSLATE(A8302, ""en"", ""te""),"""")"),"")</f>
        <v/>
      </c>
      <c r="C8302" s="2"/>
      <c r="D8302" s="2" t="str">
        <f>IFERROR(__xludf.DUMMYFUNCTION("IF(C8302&lt;&gt;"""", GOOGLETRANSLATE(C8302, ""en"", ""te""),"""")"),"")</f>
        <v/>
      </c>
      <c r="E8302" s="2"/>
      <c r="F8302" s="2" t="str">
        <f>IFERROR(__xludf.DUMMYFUNCTION("IF(E8302&lt;&gt;"""", GOOGLETRANSLATE(E8302, ""en"", ""te""),"""")"),"")</f>
        <v/>
      </c>
      <c r="G8302" s="2"/>
      <c r="H8302" s="2" t="str">
        <f>IFERROR(__xludf.DUMMYFUNCTION("IF(G8302&lt;&gt;"""", GOOGLETRANSLATE(G8302, ""en"", ""te""),"""")"),"")</f>
        <v/>
      </c>
      <c r="I8302" s="3"/>
    </row>
    <row r="8303" customHeight="1" spans="1:9">
      <c r="A8303" s="2"/>
      <c r="B8303" s="2" t="str">
        <f>IFERROR(__xludf.DUMMYFUNCTION("IF(A8303&lt;&gt;"""", GOOGLETRANSLATE(A8303, ""en"", ""te""),"""")"),"")</f>
        <v/>
      </c>
      <c r="C8303" s="2"/>
      <c r="D8303" s="2" t="str">
        <f>IFERROR(__xludf.DUMMYFUNCTION("IF(C8303&lt;&gt;"""", GOOGLETRANSLATE(C8303, ""en"", ""te""),"""")"),"")</f>
        <v/>
      </c>
      <c r="E8303" s="2"/>
      <c r="F8303" s="2" t="str">
        <f>IFERROR(__xludf.DUMMYFUNCTION("IF(E8303&lt;&gt;"""", GOOGLETRANSLATE(E8303, ""en"", ""te""),"""")"),"")</f>
        <v/>
      </c>
      <c r="G8303" s="2"/>
      <c r="H8303" s="2" t="str">
        <f>IFERROR(__xludf.DUMMYFUNCTION("IF(G8303&lt;&gt;"""", GOOGLETRANSLATE(G8303, ""en"", ""te""),"""")"),"")</f>
        <v/>
      </c>
      <c r="I8303" s="3"/>
    </row>
    <row r="8304" customHeight="1" spans="1:9">
      <c r="A8304" s="2"/>
      <c r="B8304" s="2" t="str">
        <f>IFERROR(__xludf.DUMMYFUNCTION("IF(A8304&lt;&gt;"""", GOOGLETRANSLATE(A8304, ""en"", ""te""),"""")"),"")</f>
        <v/>
      </c>
      <c r="C8304" s="2"/>
      <c r="D8304" s="2" t="str">
        <f>IFERROR(__xludf.DUMMYFUNCTION("IF(C8304&lt;&gt;"""", GOOGLETRANSLATE(C8304, ""en"", ""te""),"""")"),"")</f>
        <v/>
      </c>
      <c r="E8304" s="2"/>
      <c r="F8304" s="2" t="str">
        <f>IFERROR(__xludf.DUMMYFUNCTION("IF(E8304&lt;&gt;"""", GOOGLETRANSLATE(E8304, ""en"", ""te""),"""")"),"")</f>
        <v/>
      </c>
      <c r="G8304" s="2"/>
      <c r="H8304" s="2" t="str">
        <f>IFERROR(__xludf.DUMMYFUNCTION("IF(G8304&lt;&gt;"""", GOOGLETRANSLATE(G8304, ""en"", ""te""),"""")"),"")</f>
        <v/>
      </c>
      <c r="I8304" s="3"/>
    </row>
    <row r="8305" customHeight="1" spans="1:9">
      <c r="A8305" s="2"/>
      <c r="B8305" s="2" t="str">
        <f>IFERROR(__xludf.DUMMYFUNCTION("IF(A8305&lt;&gt;"""", GOOGLETRANSLATE(A8305, ""en"", ""te""),"""")"),"")</f>
        <v/>
      </c>
      <c r="C8305" s="2"/>
      <c r="D8305" s="2" t="str">
        <f>IFERROR(__xludf.DUMMYFUNCTION("IF(C8305&lt;&gt;"""", GOOGLETRANSLATE(C8305, ""en"", ""te""),"""")"),"")</f>
        <v/>
      </c>
      <c r="E8305" s="2"/>
      <c r="F8305" s="2" t="str">
        <f>IFERROR(__xludf.DUMMYFUNCTION("IF(E8305&lt;&gt;"""", GOOGLETRANSLATE(E8305, ""en"", ""te""),"""")"),"")</f>
        <v/>
      </c>
      <c r="G8305" s="2"/>
      <c r="H8305" s="2" t="str">
        <f>IFERROR(__xludf.DUMMYFUNCTION("IF(G8305&lt;&gt;"""", GOOGLETRANSLATE(G8305, ""en"", ""te""),"""")"),"")</f>
        <v/>
      </c>
      <c r="I8305" s="3"/>
    </row>
    <row r="8306" customHeight="1" spans="1:9">
      <c r="A8306" s="2"/>
      <c r="B8306" s="2" t="str">
        <f>IFERROR(__xludf.DUMMYFUNCTION("IF(A8306&lt;&gt;"""", GOOGLETRANSLATE(A8306, ""en"", ""te""),"""")"),"")</f>
        <v/>
      </c>
      <c r="C8306" s="2"/>
      <c r="D8306" s="2" t="str">
        <f>IFERROR(__xludf.DUMMYFUNCTION("IF(C8306&lt;&gt;"""", GOOGLETRANSLATE(C8306, ""en"", ""te""),"""")"),"")</f>
        <v/>
      </c>
      <c r="E8306" s="2"/>
      <c r="F8306" s="2" t="str">
        <f>IFERROR(__xludf.DUMMYFUNCTION("IF(E8306&lt;&gt;"""", GOOGLETRANSLATE(E8306, ""en"", ""te""),"""")"),"")</f>
        <v/>
      </c>
      <c r="G8306" s="2"/>
      <c r="H8306" s="2" t="str">
        <f>IFERROR(__xludf.DUMMYFUNCTION("IF(G8306&lt;&gt;"""", GOOGLETRANSLATE(G8306, ""en"", ""te""),"""")"),"")</f>
        <v/>
      </c>
      <c r="I8306" s="3"/>
    </row>
    <row r="8307" customHeight="1" spans="1:9">
      <c r="A8307" s="2"/>
      <c r="B8307" s="2" t="str">
        <f>IFERROR(__xludf.DUMMYFUNCTION("IF(A8307&lt;&gt;"""", GOOGLETRANSLATE(A8307, ""en"", ""te""),"""")"),"")</f>
        <v/>
      </c>
      <c r="C8307" s="2"/>
      <c r="D8307" s="2" t="str">
        <f>IFERROR(__xludf.DUMMYFUNCTION("IF(C8307&lt;&gt;"""", GOOGLETRANSLATE(C8307, ""en"", ""te""),"""")"),"")</f>
        <v/>
      </c>
      <c r="E8307" s="2"/>
      <c r="F8307" s="2" t="str">
        <f>IFERROR(__xludf.DUMMYFUNCTION("IF(E8307&lt;&gt;"""", GOOGLETRANSLATE(E8307, ""en"", ""te""),"""")"),"")</f>
        <v/>
      </c>
      <c r="G8307" s="2"/>
      <c r="H8307" s="2" t="str">
        <f>IFERROR(__xludf.DUMMYFUNCTION("IF(G8307&lt;&gt;"""", GOOGLETRANSLATE(G8307, ""en"", ""te""),"""")"),"")</f>
        <v/>
      </c>
      <c r="I8307" s="3"/>
    </row>
    <row r="8308" customHeight="1" spans="1:9">
      <c r="A8308" s="2" t="s">
        <v>4632</v>
      </c>
      <c r="B8308" s="2" t="str">
        <f>IFERROR(__xludf.DUMMYFUNCTION("IF(A8308&lt;&gt;"""", GOOGLETRANSLATE(A8308, ""en"", ""te""),"""")"),"[ 'ఇన్నింగ్స్ లో 4 వ అత్యధిక క్యాచ్లు (3)', '3 వ వరుస నాలుగు వికెట్లు-ఇన్-ఒక-ఇన్నింగ్స్ (2)', '4 వ అత్యుత్తమ బౌలింగ్ (6/20) ఇన్నింగ్స్ విశ్లేషణలలో']")</f>
        <v>[ 'ఇన్నింగ్స్ లో 4 వ అత్యధిక క్యాచ్లు (3)', '3 వ వరుస నాలుగు వికెట్లు-ఇన్-ఒక-ఇన్నింగ్స్ (2)', '4 వ అత్యుత్తమ బౌలింగ్ (6/20) ఇన్నింగ్స్ విశ్లేషణలలో']</v>
      </c>
      <c r="C8308" s="2"/>
      <c r="D8308" s="2" t="str">
        <f>IFERROR(__xludf.DUMMYFUNCTION("IF(C8308&lt;&gt;"""", GOOGLETRANSLATE(C8308, ""en"", ""te""),"""")"),"")</f>
        <v/>
      </c>
      <c r="E8308" s="2" t="s">
        <v>4633</v>
      </c>
      <c r="F8308" s="2" t="str">
        <f>IFERROR(__xludf.DUMMYFUNCTION("IF(E8308&lt;&gt;"""", GOOGLETRANSLATE(E8308, ""en"", ""te""),"""")"),"[ 'ఇన్నింగ్స్ లో 9 వ బెస్ట్ ఫిగర్స్ (6/20)', '4 వ అత్యుత్తమ బౌలింగ్ ఇన్నింగ్స్ లో విశ్లేషించడం (6/20)', 'ఒకే మైదానంలో 8 వ అత్యధిక వికెట్లు (17)', '11 వ ఉత్తమ ఇన్నింగ్స్ లో సంఖ్యలు పరాజయం వైపు (4) ',' 38 వ ఉత్తమ కెరీర్ సగటు (19.52) ',' 24 వ ఉత్తమ కెరీర్ "&amp;"సమ్మె రేటు బౌలింగ్ ఉన్నప్పుడు (33.5) ',' 38 వ అత్యంత నాలుగు వికెట్లు-ఇన్-ఒక-ఇన్నింగ్స్ కెరీర్లో (3) ',' 3 వ వరుస నాలుగు వికెట్లు-ఇన్-ఒక-ఇన్నింగ్స్ (2) ',' ఐదు వికెట్ల లో-ఒక-ఇన్నింగ్స్ (23y 251d) పడుతుంది 33 వ పిన్న ఆటగాడు ',' 31 అత్యధిక వికెట్లు క్యాచ్ మర"&amp;"ియు బౌల్డ్ తీసుకోకూడదు ( 5) ',' ఇన్నింగ్స్ లో 4 వ అత్యధిక క్యాచ్లు (3) ']")</f>
        <v>[ 'ఇన్నింగ్స్ లో 9 వ బెస్ట్ ఫిగర్స్ (6/20)', '4 వ అత్యుత్తమ బౌలింగ్ ఇన్నింగ్స్ లో విశ్లేషించడం (6/20)', 'ఒకే మైదానంలో 8 వ అత్యధిక వికెట్లు (17)', '11 వ ఉత్తమ ఇన్నింగ్స్ లో సంఖ్యలు పరాజయం వైపు (4) ',' 38 వ ఉత్తమ కెరీర్ సగటు (19.52) ',' 24 వ ఉత్తమ కెరీర్ సమ్మె రేటు బౌలింగ్ ఉన్నప్పుడు (33.5) ',' 38 వ అత్యంత నాలుగు వికెట్లు-ఇన్-ఒక-ఇన్నింగ్స్ కెరీర్లో (3) ',' 3 వ వరుస నాలుగు వికెట్లు-ఇన్-ఒక-ఇన్నింగ్స్ (2) ',' ఐదు వికెట్ల లో-ఒక-ఇన్నింగ్స్ (23y 251d) పడుతుంది 33 వ పిన్న ఆటగాడు ',' 31 అత్యధిక వికెట్లు క్యాచ్ మరియు బౌల్డ్ తీసుకోకూడదు ( 5) ',' ఇన్నింగ్స్ లో 4 వ అత్యధిక క్యాచ్లు (3) ']</v>
      </c>
      <c r="G8308" s="2" t="s">
        <v>4634</v>
      </c>
      <c r="H8308" s="2" t="str">
        <f>IFERROR(__xludf.DUMMYFUNCTION("IF(G8308&lt;&gt;"""", GOOGLETRANSLATE(G8308, ""en"", ""te""),"""")"),"[ '34 వ అత్యుత్తమ ఇన్నింగ్స్ లో బౌలింగ్ విశ్లేషణలు (3/5)', '34 వ ఉత్తమ కెరీర్ బౌలింగ్ సరాసరి (18.46)', '14 వ ఉత్తమ కెరీర్ ఆర్థిక రేటు (5.28)', '45 వ ఉత్తమ కెరీర్ సమ్మె రేటు (20.9)', ' ఒక ఇన్నింగ్స్ లో 33 వ ఉత్తమ సమ్మె రేటు (4.0) ',' 33 వ చెత్త ఇన్నింగ్స్ "&amp;"లో ఆర్థిక రేటు (14.50) ',' 47 వ కెరీర్ లో బౌల్డ్ చాలా బంతుల్లో (902) ',' 36 వ అత్యధిక వికెట్లు తీసుకున్న ఎల్బిడబ్ల్యు (6) ',' 18 వ తీసుకున్న అత్యధిక వికెట్లు స్టంప్ (9) ']")</f>
        <v>[ '34 వ అత్యుత్తమ ఇన్నింగ్స్ లో బౌలింగ్ విశ్లేషణలు (3/5)', '34 వ ఉత్తమ కెరీర్ బౌలింగ్ సరాసరి (18.46)', '14 వ ఉత్తమ కెరీర్ ఆర్థిక రేటు (5.28)', '45 వ ఉత్తమ కెరీర్ సమ్మె రేటు (20.9)', ' ఒక ఇన్నింగ్స్ లో 33 వ ఉత్తమ సమ్మె రేటు (4.0) ',' 33 వ చెత్త ఇన్నింగ్స్ లో ఆర్థిక రేటు (14.50) ',' 47 వ కెరీర్ లో బౌల్డ్ చాలా బంతుల్లో (902) ',' 36 వ అత్యధిక వికెట్లు తీసుకున్న ఎల్బిడబ్ల్యు (6) ',' 18 వ తీసుకున్న అత్యధిక వికెట్లు స్టంప్ (9) ']</v>
      </c>
      <c r="I8308" s="3"/>
    </row>
    <row r="8309" customHeight="1" spans="1:9">
      <c r="A8309" s="2"/>
      <c r="B8309" s="2" t="str">
        <f>IFERROR(__xludf.DUMMYFUNCTION("IF(A8309&lt;&gt;"""", GOOGLETRANSLATE(A8309, ""en"", ""te""),"""")"),"")</f>
        <v/>
      </c>
      <c r="C8309" s="2"/>
      <c r="D8309" s="2" t="str">
        <f>IFERROR(__xludf.DUMMYFUNCTION("IF(C8309&lt;&gt;"""", GOOGLETRANSLATE(C8309, ""en"", ""te""),"""")"),"")</f>
        <v/>
      </c>
      <c r="E8309" s="2"/>
      <c r="F8309" s="2" t="str">
        <f>IFERROR(__xludf.DUMMYFUNCTION("IF(E8309&lt;&gt;"""", GOOGLETRANSLATE(E8309, ""en"", ""te""),"""")"),"")</f>
        <v/>
      </c>
      <c r="G8309" s="2"/>
      <c r="H8309" s="2" t="str">
        <f>IFERROR(__xludf.DUMMYFUNCTION("IF(G8309&lt;&gt;"""", GOOGLETRANSLATE(G8309, ""en"", ""te""),"""")"),"")</f>
        <v/>
      </c>
      <c r="I8309" s="3"/>
    </row>
    <row r="8310" customHeight="1" spans="1:9">
      <c r="A8310" s="2"/>
      <c r="B8310" s="2" t="str">
        <f>IFERROR(__xludf.DUMMYFUNCTION("IF(A8310&lt;&gt;"""", GOOGLETRANSLATE(A8310, ""en"", ""te""),"""")"),"")</f>
        <v/>
      </c>
      <c r="C8310" s="2"/>
      <c r="D8310" s="2" t="str">
        <f>IFERROR(__xludf.DUMMYFUNCTION("IF(C8310&lt;&gt;"""", GOOGLETRANSLATE(C8310, ""en"", ""te""),"""")"),"")</f>
        <v/>
      </c>
      <c r="E8310" s="2" t="s">
        <v>4635</v>
      </c>
      <c r="F8310" s="2" t="str">
        <f>IFERROR(__xludf.DUMMYFUNCTION("IF(E8310&lt;&gt;"""", GOOGLETRANSLATE(E8310, ""en"", ""te""),"""")"),"[ '48 వ వరుస (3) లో అన్ని టాస్ గెలిచి']")</f>
        <v>[ '48 వ వరుస (3) లో అన్ని టాస్ గెలిచి']</v>
      </c>
      <c r="G8310" s="2"/>
      <c r="H8310" s="2" t="str">
        <f>IFERROR(__xludf.DUMMYFUNCTION("IF(G8310&lt;&gt;"""", GOOGLETRANSLATE(G8310, ""en"", ""te""),"""")"),"")</f>
        <v/>
      </c>
      <c r="I8310" s="3"/>
    </row>
    <row r="8311" customHeight="1" spans="1:9">
      <c r="A8311" s="2" t="s">
        <v>399</v>
      </c>
      <c r="B8311" s="2" t="str">
        <f>IFERROR(__xludf.DUMMYFUNCTION("IF(A8311&lt;&gt;"""", GOOGLETRANSLATE(A8311, ""en"", ""te""),"""")"),"[ 'తొలి పెయిర్']")</f>
        <v>[ 'తొలి పెయిర్']</v>
      </c>
      <c r="C8311" s="2"/>
      <c r="D8311" s="2" t="str">
        <f>IFERROR(__xludf.DUMMYFUNCTION("IF(C8311&lt;&gt;"""", GOOGLETRANSLATE(C8311, ""en"", ""te""),"""")"),"")</f>
        <v/>
      </c>
      <c r="E8311" s="2"/>
      <c r="F8311" s="2" t="str">
        <f>IFERROR(__xludf.DUMMYFUNCTION("IF(E8311&lt;&gt;"""", GOOGLETRANSLATE(E8311, ""en"", ""te""),"""")"),"")</f>
        <v/>
      </c>
      <c r="G8311" s="2"/>
      <c r="H8311" s="2" t="str">
        <f>IFERROR(__xludf.DUMMYFUNCTION("IF(G8311&lt;&gt;"""", GOOGLETRANSLATE(G8311, ""en"", ""te""),"""")"),"")</f>
        <v/>
      </c>
      <c r="I8311" s="3"/>
    </row>
    <row r="8312" customHeight="1" spans="1:9">
      <c r="A8312" s="2"/>
      <c r="B8312" s="2" t="str">
        <f>IFERROR(__xludf.DUMMYFUNCTION("IF(A8312&lt;&gt;"""", GOOGLETRANSLATE(A8312, ""en"", ""te""),"""")"),"")</f>
        <v/>
      </c>
      <c r="C8312" s="2"/>
      <c r="D8312" s="2" t="str">
        <f>IFERROR(__xludf.DUMMYFUNCTION("IF(C8312&lt;&gt;"""", GOOGLETRANSLATE(C8312, ""en"", ""te""),"""")"),"")</f>
        <v/>
      </c>
      <c r="E8312" s="2"/>
      <c r="F8312" s="2" t="str">
        <f>IFERROR(__xludf.DUMMYFUNCTION("IF(E8312&lt;&gt;"""", GOOGLETRANSLATE(E8312, ""en"", ""te""),"""")"),"")</f>
        <v/>
      </c>
      <c r="G8312" s="2"/>
      <c r="H8312" s="2" t="str">
        <f>IFERROR(__xludf.DUMMYFUNCTION("IF(G8312&lt;&gt;"""", GOOGLETRANSLATE(G8312, ""en"", ""te""),"""")"),"")</f>
        <v/>
      </c>
      <c r="I8312" s="3"/>
    </row>
    <row r="8313" customHeight="1" spans="1:9">
      <c r="A8313" s="2" t="s">
        <v>4636</v>
      </c>
      <c r="B8313" s="2" t="str">
        <f>IFERROR(__xludf.DUMMYFUNCTION("IF(A8313&lt;&gt;"""", GOOGLETRANSLATE(A8313, ""en"", ""te""),"""")"),"[ 'వికెట్ను కాపాడుకున్నాడు చేసిన 10 వ కెప్టెన్ల (12)', 'కెరీర్ (35) 10 వ అత్యంత స్టంపింగ్లు']")</f>
        <v>[ 'వికెట్ను కాపాడుకున్నాడు చేసిన 10 వ కెప్టెన్ల (12)', 'కెరీర్ (35) 10 వ అత్యంత స్టంపింగ్లు']</v>
      </c>
      <c r="C8313" s="2" t="s">
        <v>4637</v>
      </c>
      <c r="D8313" s="2" t="str">
        <f>IFERROR(__xludf.DUMMYFUNCTION("IF(C8313&lt;&gt;"""", GOOGLETRANSLATE(C8313, ""en"", ""te""),"""")"),"[ '48 వ పిన్న కాప్టెన్ (25y 313d)', '10 వ కెప్టెన్ల వికెట్ (12) ఉంచింది చేసిన', '36 వ అత్యధిక ఇన్నింగ్స్ బై (556 / 4D) గూడా ఇవ్వకుండా మొత్తం']")</f>
        <v>[ '48 వ పిన్న కాప్టెన్ (25y 313d)', '10 వ కెప్టెన్ల వికెట్ (12) ఉంచింది చేసిన', '36 వ అత్యధిక ఇన్నింగ్స్ బై (556 / 4D) గూడా ఇవ్వకుండా మొత్తం']</v>
      </c>
      <c r="E8313" s="2" t="s">
        <v>4638</v>
      </c>
      <c r="F8313" s="2" t="str">
        <f>IFERROR(__xludf.DUMMYFUNCTION("IF(E8313&lt;&gt;"""", GOOGLETRANSLATE(E8313, ""en"", ""te""),"""")"),"[ 'పదవ వికెట్ను (54 *) కోసం 27 అత్యధిక భాగస్వామ్యం', '43 వ (3) వరుస అన్ని టాస్ గెలిచి', '8 వ కెప్టెన్ల ఎవరు ఉండేది వికెట్' 27 వ వంద (1818) లేకుండా ఒక వృత్తిలో పరుగులు ' కెరీర్లో కెరీర్ లో ఒక ఇన్నింగ్స్ (5) ',' 30 వ అత్యధిక క్యాచ్లు (91) ',' 10 వ అత్యంత స్"&amp;"టంపింగ్లు కెరీర్ లో (30) ',' 26th అత్యధిక వికెట్లు (126) ',' 16 వ అత్యధిక వికెట్లు (35) ', 'వరుస (4) 21 వ అత్యంత స్టంపింగ్లు']")</f>
        <v>[ 'పదవ వికెట్ను (54 *) కోసం 27 అత్యధిక భాగస్వామ్యం', '43 వ (3) వరుస అన్ని టాస్ గెలిచి', '8 వ కెప్టెన్ల ఎవరు ఉండేది వికెట్' 27 వ వంద (1818) లేకుండా ఒక వృత్తిలో పరుగులు ' కెరీర్లో కెరీర్ లో ఒక ఇన్నింగ్స్ (5) ',' 30 వ అత్యధిక క్యాచ్లు (91) ',' 10 వ అత్యంత స్టంపింగ్లు కెరీర్ లో (30) ',' 26th అత్యధిక వికెట్లు (126) ',' 16 వ అత్యధిక వికెట్లు (35) ', 'వరుస (4) 21 వ అత్యంత స్టంపింగ్లు']</v>
      </c>
      <c r="G8313" s="2"/>
      <c r="H8313" s="2" t="str">
        <f>IFERROR(__xludf.DUMMYFUNCTION("IF(G8313&lt;&gt;"""", GOOGLETRANSLATE(G8313, ""en"", ""te""),"""")"),"")</f>
        <v/>
      </c>
      <c r="I8313" s="3"/>
    </row>
    <row r="8314" customHeight="1" spans="1:9">
      <c r="A8314" s="2"/>
      <c r="B8314" s="2" t="str">
        <f>IFERROR(__xludf.DUMMYFUNCTION("IF(A8314&lt;&gt;"""", GOOGLETRANSLATE(A8314, ""en"", ""te""),"""")"),"")</f>
        <v/>
      </c>
      <c r="C8314" s="2"/>
      <c r="D8314" s="2" t="str">
        <f>IFERROR(__xludf.DUMMYFUNCTION("IF(C8314&lt;&gt;"""", GOOGLETRANSLATE(C8314, ""en"", ""te""),"""")"),"")</f>
        <v/>
      </c>
      <c r="E8314" s="2"/>
      <c r="F8314" s="2" t="str">
        <f>IFERROR(__xludf.DUMMYFUNCTION("IF(E8314&lt;&gt;"""", GOOGLETRANSLATE(E8314, ""en"", ""te""),"""")"),"")</f>
        <v/>
      </c>
      <c r="G8314" s="2"/>
      <c r="H8314" s="2" t="str">
        <f>IFERROR(__xludf.DUMMYFUNCTION("IF(G8314&lt;&gt;"""", GOOGLETRANSLATE(G8314, ""en"", ""te""),"""")"),"")</f>
        <v/>
      </c>
      <c r="I8314" s="3"/>
    </row>
    <row r="8315" customHeight="1" spans="1:9">
      <c r="A8315" s="2"/>
      <c r="B8315" s="2" t="str">
        <f>IFERROR(__xludf.DUMMYFUNCTION("IF(A8315&lt;&gt;"""", GOOGLETRANSLATE(A8315, ""en"", ""te""),"""")"),"")</f>
        <v/>
      </c>
      <c r="C8315" s="2"/>
      <c r="D8315" s="2" t="str">
        <f>IFERROR(__xludf.DUMMYFUNCTION("IF(C8315&lt;&gt;"""", GOOGLETRANSLATE(C8315, ""en"", ""te""),"""")"),"")</f>
        <v/>
      </c>
      <c r="E8315" s="2"/>
      <c r="F8315" s="2" t="str">
        <f>IFERROR(__xludf.DUMMYFUNCTION("IF(E8315&lt;&gt;"""", GOOGLETRANSLATE(E8315, ""en"", ""te""),"""")"),"")</f>
        <v/>
      </c>
      <c r="G8315" s="2" t="s">
        <v>4639</v>
      </c>
      <c r="H8315" s="2" t="str">
        <f>IFERROR(__xludf.DUMMYFUNCTION("IF(G8315&lt;&gt;"""", GOOGLETRANSLATE(G8315, ""en"", ""te""),"""")"),"[ '11 వ కెరీర్ బాతులు (7)', '36 వ కెరీర్ లో అత్యధిక క్యాచ్లు (22)', 'ఎనిమిదవ వికెట్కు 47 వ అత్యధిక భాగస్వామ్యం (21 *)']")</f>
        <v>[ '11 వ కెరీర్ బాతులు (7)', '36 వ కెరీర్ లో అత్యధిక క్యాచ్లు (22)', 'ఎనిమిదవ వికెట్కు 47 వ అత్యధిక భాగస్వామ్యం (21 *)']</v>
      </c>
      <c r="I8315" s="3"/>
    </row>
    <row r="8316" customHeight="1" spans="1:9">
      <c r="A8316" s="2" t="s">
        <v>4640</v>
      </c>
      <c r="B8316" s="2" t="str">
        <f>IFERROR(__xludf.DUMMYFUNCTION("IF(A8316&lt;&gt;"""", GOOGLETRANSLATE(A8316, ""en"", ""te""),"""")"),"[ 'ఒక వికెట్ 3 వ అత్యంత ఇన్నింగ్స్ లో నడుస్తుంది (176)', '2 వ అత్యధిక ఇన్నింగ్స్ బై (715 / 6d) గూడా ఇవ్వకుండా మొత్తం' 'ఒక సిరీస్లో 6 వ అత్యంత బాతులు (3)']")</f>
        <v>[ 'ఒక వికెట్ 3 వ అత్యంత ఇన్నింగ్స్ లో నడుస్తుంది (176)', '2 వ అత్యధిక ఇన్నింగ్స్ బై (715 / 6d) గూడా ఇవ్వకుండా మొత్తం' 'ఒక సిరీస్లో 6 వ అత్యంత బాతులు (3)']</v>
      </c>
      <c r="C8316" s="2" t="s">
        <v>4641</v>
      </c>
      <c r="D8316" s="2" t="str">
        <f>IFERROR(__xludf.DUMMYFUNCTION("IF(C8316&lt;&gt;"""", GOOGLETRANSLATE(C8316, ""en"", ""te""),"""")"),"[ 'ఒక ఇన్నింగ్స్లో పరుగుల 33 వ అత్యధిక శాతం (58.13)', '39 వ అత్యంత వంద (1134) లేకుండా ఒక వృత్తిలో పరుగులు' '2 వ అత్యధిక ఇన్నింగ్స్ బై (715 / 6d) గూడా ఇవ్వకుండా మొత్తం']")</f>
        <v>[ 'ఒక ఇన్నింగ్స్లో పరుగుల 33 వ అత్యధిక శాతం (58.13)', '39 వ అత్యంత వంద (1134) లేకుండా ఒక వృత్తిలో పరుగులు' '2 వ అత్యధిక ఇన్నింగ్స్ బై (715 / 6d) గూడా ఇవ్వకుండా మొత్తం']</v>
      </c>
      <c r="E8316" s="2" t="s">
        <v>4642</v>
      </c>
      <c r="F8316" s="2" t="str">
        <f>IFERROR(__xludf.DUMMYFUNCTION("IF(E8316&lt;&gt;"""", GOOGLETRANSLATE(E8316, ""en"", ""te""),"""")"),"[వరుస, 'వికెట్కీపర్గా (302) శ్రేణిలో 45 వ అత్యధిక పరుగులు' 'అత్యధిక వికెట్లు 3 వ అత్యంత ఇన్నింగ్స్ లో నడుస్తుంది (176)', '6 వ అత్యంత బాతులు' 34 వ ఇన్నింగ్స్ (176) అత్యధిక పరుగులు ' (3) ',' 44 వ ఇన్నింగ్స్ లో వచ్చిన ఎక్కువ సిక్స్ (8) ',' ఇన్నింగ్స్ లో ఫోర్"&amp;"లు, సిక్సర్లు నుండి 26 అత్యధిక పరుగులు (112) ',' ఒక ఇన్నింగ్స్లో పరుగుల 50 వ అత్యధిక శాతం (54.50) ']")</f>
        <v>[వరుస, 'వికెట్కీపర్గా (302) శ్రేణిలో 45 వ అత్యధిక పరుగులు' 'అత్యధిక వికెట్లు 3 వ అత్యంత ఇన్నింగ్స్ లో నడుస్తుంది (176)', '6 వ అత్యంత బాతులు' 34 వ ఇన్నింగ్స్ (176) అత్యధిక పరుగులు ' (3) ',' 44 వ ఇన్నింగ్స్ లో వచ్చిన ఎక్కువ సిక్స్ (8) ',' ఇన్నింగ్స్ లో ఫోర్లు, సిక్సర్లు నుండి 26 అత్యధిక పరుగులు (112) ',' ఒక ఇన్నింగ్స్లో పరుగుల 50 వ అత్యధిక శాతం (54.50) ']</v>
      </c>
      <c r="G8316" s="2" t="s">
        <v>4643</v>
      </c>
      <c r="H8316" s="2" t="str">
        <f>IFERROR(__xludf.DUMMYFUNCTION("IF(G8316&lt;&gt;"""", GOOGLETRANSLATE(G8316, ""en"", ""te""),"""")"),"[ '36 వ ఒకే మైదానంలో అత్యధిక పరుగులు (290)', '15 వ ఇన్నింగ్స్ లో అత్యధిక క్యాచ్లు (3)', 'వికెట్ (1) ఉంచింది చేసిన 33 వ కెప్టెన్ల']")</f>
        <v>[ '36 వ ఒకే మైదానంలో అత్యధిక పరుగులు (290)', '15 వ ఇన్నింగ్స్ లో అత్యధిక క్యాచ్లు (3)', 'వికెట్ (1) ఉంచింది చేసిన 33 వ కెప్టెన్ల']</v>
      </c>
      <c r="I8316" s="3"/>
    </row>
    <row r="8317" customHeight="1" spans="1:9">
      <c r="A8317" s="2"/>
      <c r="B8317" s="2" t="str">
        <f>IFERROR(__xludf.DUMMYFUNCTION("IF(A8317&lt;&gt;"""", GOOGLETRANSLATE(A8317, ""en"", ""te""),"""")"),"")</f>
        <v/>
      </c>
      <c r="C8317" s="2"/>
      <c r="D8317" s="2" t="str">
        <f>IFERROR(__xludf.DUMMYFUNCTION("IF(C8317&lt;&gt;"""", GOOGLETRANSLATE(C8317, ""en"", ""te""),"""")"),"")</f>
        <v/>
      </c>
      <c r="E8317" s="2"/>
      <c r="F8317" s="2" t="str">
        <f>IFERROR(__xludf.DUMMYFUNCTION("IF(E8317&lt;&gt;"""", GOOGLETRANSLATE(E8317, ""en"", ""te""),"""")"),"")</f>
        <v/>
      </c>
      <c r="G8317" s="2"/>
      <c r="H8317" s="2" t="str">
        <f>IFERROR(__xludf.DUMMYFUNCTION("IF(G8317&lt;&gt;"""", GOOGLETRANSLATE(G8317, ""en"", ""te""),"""")"),"")</f>
        <v/>
      </c>
      <c r="I8317" s="3"/>
    </row>
    <row r="8318" customHeight="1" spans="1:9">
      <c r="A8318" s="2"/>
      <c r="B8318" s="2" t="str">
        <f>IFERROR(__xludf.DUMMYFUNCTION("IF(A8318&lt;&gt;"""", GOOGLETRANSLATE(A8318, ""en"", ""te""),"""")"),"")</f>
        <v/>
      </c>
      <c r="C8318" s="2"/>
      <c r="D8318" s="2" t="str">
        <f>IFERROR(__xludf.DUMMYFUNCTION("IF(C8318&lt;&gt;"""", GOOGLETRANSLATE(C8318, ""en"", ""te""),"""")"),"")</f>
        <v/>
      </c>
      <c r="E8318" s="2"/>
      <c r="F8318" s="2" t="str">
        <f>IFERROR(__xludf.DUMMYFUNCTION("IF(E8318&lt;&gt;"""", GOOGLETRANSLATE(E8318, ""en"", ""te""),"""")"),"")</f>
        <v/>
      </c>
      <c r="G8318" s="2"/>
      <c r="H8318" s="2" t="str">
        <f>IFERROR(__xludf.DUMMYFUNCTION("IF(G8318&lt;&gt;"""", GOOGLETRANSLATE(G8318, ""en"", ""te""),"""")"),"")</f>
        <v/>
      </c>
      <c r="I8318" s="3"/>
    </row>
    <row r="8319" customHeight="1" spans="1:9">
      <c r="A8319" s="2"/>
      <c r="B8319" s="2" t="str">
        <f>IFERROR(__xludf.DUMMYFUNCTION("IF(A8319&lt;&gt;"""", GOOGLETRANSLATE(A8319, ""en"", ""te""),"""")"),"")</f>
        <v/>
      </c>
      <c r="C8319" s="2"/>
      <c r="D8319" s="2" t="str">
        <f>IFERROR(__xludf.DUMMYFUNCTION("IF(C8319&lt;&gt;"""", GOOGLETRANSLATE(C8319, ""en"", ""te""),"""")"),"")</f>
        <v/>
      </c>
      <c r="E8319" s="2" t="s">
        <v>4644</v>
      </c>
      <c r="F8319" s="2" t="str">
        <f>IFERROR(__xludf.DUMMYFUNCTION("IF(E8319&lt;&gt;"""", GOOGLETRANSLATE(E8319, ""en"", ""te""),"""")"),"[ '12 వ లాంగెస్ట్ ప్రదర్శనల మధ్య వ్యవధిలో (8y 201d)', '27 వ వరుస మ్యాచ్లు ఆడి మధ్య జట్టు (145) కోసం తప్పిన']")</f>
        <v>[ '12 వ లాంగెస్ట్ ప్రదర్శనల మధ్య వ్యవధిలో (8y 201d)', '27 వ వరుస మ్యాచ్లు ఆడి మధ్య జట్టు (145) కోసం తప్పిన']</v>
      </c>
      <c r="G8319" s="2"/>
      <c r="H8319" s="2" t="str">
        <f>IFERROR(__xludf.DUMMYFUNCTION("IF(G8319&lt;&gt;"""", GOOGLETRANSLATE(G8319, ""en"", ""te""),"""")"),"")</f>
        <v/>
      </c>
      <c r="I8319" s="3"/>
    </row>
    <row r="8320" customHeight="1" spans="1:9">
      <c r="A8320" s="2"/>
      <c r="B8320" s="2" t="str">
        <f>IFERROR(__xludf.DUMMYFUNCTION("IF(A8320&lt;&gt;"""", GOOGLETRANSLATE(A8320, ""en"", ""te""),"""")"),"")</f>
        <v/>
      </c>
      <c r="C8320" s="2"/>
      <c r="D8320" s="2" t="str">
        <f>IFERROR(__xludf.DUMMYFUNCTION("IF(C8320&lt;&gt;"""", GOOGLETRANSLATE(C8320, ""en"", ""te""),"""")"),"")</f>
        <v/>
      </c>
      <c r="E8320" s="2"/>
      <c r="F8320" s="2" t="str">
        <f>IFERROR(__xludf.DUMMYFUNCTION("IF(E8320&lt;&gt;"""", GOOGLETRANSLATE(E8320, ""en"", ""te""),"""")"),"")</f>
        <v/>
      </c>
      <c r="G8320" s="2"/>
      <c r="H8320" s="2" t="str">
        <f>IFERROR(__xludf.DUMMYFUNCTION("IF(G8320&lt;&gt;"""", GOOGLETRANSLATE(G8320, ""en"", ""te""),"""")"),"")</f>
        <v/>
      </c>
      <c r="I8320" s="3"/>
    </row>
    <row r="8321" customHeight="1" spans="1:9">
      <c r="A8321" s="2"/>
      <c r="B8321" s="2" t="str">
        <f>IFERROR(__xludf.DUMMYFUNCTION("IF(A8321&lt;&gt;"""", GOOGLETRANSLATE(A8321, ""en"", ""te""),"""")"),"")</f>
        <v/>
      </c>
      <c r="C8321" s="2"/>
      <c r="D8321" s="2" t="str">
        <f>IFERROR(__xludf.DUMMYFUNCTION("IF(C8321&lt;&gt;"""", GOOGLETRANSLATE(C8321, ""en"", ""te""),"""")"),"")</f>
        <v/>
      </c>
      <c r="E8321" s="2"/>
      <c r="F8321" s="2" t="str">
        <f>IFERROR(__xludf.DUMMYFUNCTION("IF(E8321&lt;&gt;"""", GOOGLETRANSLATE(E8321, ""en"", ""te""),"""")"),"")</f>
        <v/>
      </c>
      <c r="G8321" s="2"/>
      <c r="H8321" s="2" t="str">
        <f>IFERROR(__xludf.DUMMYFUNCTION("IF(G8321&lt;&gt;"""", GOOGLETRANSLATE(G8321, ""en"", ""te""),"""")"),"")</f>
        <v/>
      </c>
      <c r="I8321" s="3"/>
    </row>
    <row r="8322" customHeight="1" spans="1:9">
      <c r="A8322" s="2"/>
      <c r="B8322" s="2" t="str">
        <f>IFERROR(__xludf.DUMMYFUNCTION("IF(A8322&lt;&gt;"""", GOOGLETRANSLATE(A8322, ""en"", ""te""),"""")"),"")</f>
        <v/>
      </c>
      <c r="C8322" s="2"/>
      <c r="D8322" s="2" t="str">
        <f>IFERROR(__xludf.DUMMYFUNCTION("IF(C8322&lt;&gt;"""", GOOGLETRANSLATE(C8322, ""en"", ""te""),"""")"),"")</f>
        <v/>
      </c>
      <c r="E8322" s="2"/>
      <c r="F8322" s="2" t="str">
        <f>IFERROR(__xludf.DUMMYFUNCTION("IF(E8322&lt;&gt;"""", GOOGLETRANSLATE(E8322, ""en"", ""te""),"""")"),"")</f>
        <v/>
      </c>
      <c r="G8322" s="2"/>
      <c r="H8322" s="2" t="str">
        <f>IFERROR(__xludf.DUMMYFUNCTION("IF(G8322&lt;&gt;"""", GOOGLETRANSLATE(G8322, ""en"", ""te""),"""")"),"")</f>
        <v/>
      </c>
      <c r="I8322" s="3"/>
    </row>
    <row r="8323" customHeight="1" spans="1:9">
      <c r="A8323" s="2"/>
      <c r="B8323" s="2" t="str">
        <f>IFERROR(__xludf.DUMMYFUNCTION("IF(A8323&lt;&gt;"""", GOOGLETRANSLATE(A8323, ""en"", ""te""),"""")"),"")</f>
        <v/>
      </c>
      <c r="C8323" s="2"/>
      <c r="D8323" s="2" t="str">
        <f>IFERROR(__xludf.DUMMYFUNCTION("IF(C8323&lt;&gt;"""", GOOGLETRANSLATE(C8323, ""en"", ""te""),"""")"),"")</f>
        <v/>
      </c>
      <c r="E8323" s="2"/>
      <c r="F8323" s="2" t="str">
        <f>IFERROR(__xludf.DUMMYFUNCTION("IF(E8323&lt;&gt;"""", GOOGLETRANSLATE(E8323, ""en"", ""te""),"""")"),"")</f>
        <v/>
      </c>
      <c r="G8323" s="2"/>
      <c r="H8323" s="2" t="str">
        <f>IFERROR(__xludf.DUMMYFUNCTION("IF(G8323&lt;&gt;"""", GOOGLETRANSLATE(G8323, ""en"", ""te""),"""")"),"")</f>
        <v/>
      </c>
      <c r="I8323" s="3"/>
    </row>
    <row r="8324" customHeight="1" spans="1:9">
      <c r="A8324" s="2"/>
      <c r="B8324" s="2" t="str">
        <f>IFERROR(__xludf.DUMMYFUNCTION("IF(A8324&lt;&gt;"""", GOOGLETRANSLATE(A8324, ""en"", ""te""),"""")"),"")</f>
        <v/>
      </c>
      <c r="C8324" s="2"/>
      <c r="D8324" s="2" t="str">
        <f>IFERROR(__xludf.DUMMYFUNCTION("IF(C8324&lt;&gt;"""", GOOGLETRANSLATE(C8324, ""en"", ""te""),"""")"),"")</f>
        <v/>
      </c>
      <c r="E8324" s="2"/>
      <c r="F8324" s="2" t="str">
        <f>IFERROR(__xludf.DUMMYFUNCTION("IF(E8324&lt;&gt;"""", GOOGLETRANSLATE(E8324, ""en"", ""te""),"""")"),"")</f>
        <v/>
      </c>
      <c r="G8324" s="2"/>
      <c r="H8324" s="2" t="str">
        <f>IFERROR(__xludf.DUMMYFUNCTION("IF(G8324&lt;&gt;"""", GOOGLETRANSLATE(G8324, ""en"", ""te""),"""")"),"")</f>
        <v/>
      </c>
      <c r="I8324" s="3"/>
    </row>
    <row r="8325" customHeight="1" spans="1:9">
      <c r="A8325" s="2"/>
      <c r="B8325" s="2" t="str">
        <f>IFERROR(__xludf.DUMMYFUNCTION("IF(A8325&lt;&gt;"""", GOOGLETRANSLATE(A8325, ""en"", ""te""),"""")"),"")</f>
        <v/>
      </c>
      <c r="C8325" s="2"/>
      <c r="D8325" s="2" t="str">
        <f>IFERROR(__xludf.DUMMYFUNCTION("IF(C8325&lt;&gt;"""", GOOGLETRANSLATE(C8325, ""en"", ""te""),"""")"),"")</f>
        <v/>
      </c>
      <c r="E8325" s="2"/>
      <c r="F8325" s="2" t="str">
        <f>IFERROR(__xludf.DUMMYFUNCTION("IF(E8325&lt;&gt;"""", GOOGLETRANSLATE(E8325, ""en"", ""te""),"""")"),"")</f>
        <v/>
      </c>
      <c r="G8325" s="2"/>
      <c r="H8325" s="2" t="str">
        <f>IFERROR(__xludf.DUMMYFUNCTION("IF(G8325&lt;&gt;"""", GOOGLETRANSLATE(G8325, ""en"", ""te""),"""")"),"")</f>
        <v/>
      </c>
      <c r="I8325" s="3"/>
    </row>
    <row r="8326" customHeight="1" spans="1:9">
      <c r="A8326" s="2"/>
      <c r="B8326" s="2" t="str">
        <f>IFERROR(__xludf.DUMMYFUNCTION("IF(A8326&lt;&gt;"""", GOOGLETRANSLATE(A8326, ""en"", ""te""),"""")"),"")</f>
        <v/>
      </c>
      <c r="C8326" s="2"/>
      <c r="D8326" s="2" t="str">
        <f>IFERROR(__xludf.DUMMYFUNCTION("IF(C8326&lt;&gt;"""", GOOGLETRANSLATE(C8326, ""en"", ""te""),"""")"),"")</f>
        <v/>
      </c>
      <c r="E8326" s="2"/>
      <c r="F8326" s="2" t="str">
        <f>IFERROR(__xludf.DUMMYFUNCTION("IF(E8326&lt;&gt;"""", GOOGLETRANSLATE(E8326, ""en"", ""te""),"""")"),"")</f>
        <v/>
      </c>
      <c r="G8326" s="2"/>
      <c r="H8326" s="2" t="str">
        <f>IFERROR(__xludf.DUMMYFUNCTION("IF(G8326&lt;&gt;"""", GOOGLETRANSLATE(G8326, ""en"", ""te""),"""")"),"")</f>
        <v/>
      </c>
      <c r="I8326" s="3"/>
    </row>
    <row r="8327" customHeight="1" spans="1:9">
      <c r="A8327" s="2"/>
      <c r="B8327" s="2" t="str">
        <f>IFERROR(__xludf.DUMMYFUNCTION("IF(A8327&lt;&gt;"""", GOOGLETRANSLATE(A8327, ""en"", ""te""),"""")"),"")</f>
        <v/>
      </c>
      <c r="C8327" s="2"/>
      <c r="D8327" s="2" t="str">
        <f>IFERROR(__xludf.DUMMYFUNCTION("IF(C8327&lt;&gt;"""", GOOGLETRANSLATE(C8327, ""en"", ""te""),"""")"),"")</f>
        <v/>
      </c>
      <c r="E8327" s="2"/>
      <c r="F8327" s="2" t="str">
        <f>IFERROR(__xludf.DUMMYFUNCTION("IF(E8327&lt;&gt;"""", GOOGLETRANSLATE(E8327, ""en"", ""te""),"""")"),"")</f>
        <v/>
      </c>
      <c r="G8327" s="2" t="s">
        <v>4645</v>
      </c>
      <c r="H8327" s="2" t="str">
        <f>IFERROR(__xludf.DUMMYFUNCTION("IF(G8327&lt;&gt;"""", GOOGLETRANSLATE(G8327, ""en"", ""te""),"""")"),"[ '36 వ పరాజయం వైపు ఒక మ్యాచ్లో అత్యధిక పరుగులు (81)', 'ఒక ఇన్నింగ్స్లో పరుగుల 42 వ అత్యధిక శాతం (56.25)', 'మూడో వికెట్కు 38 వ అత్యధిక భాగస్వామ్యం (98)']")</f>
        <v>[ '36 వ పరాజయం వైపు ఒక మ్యాచ్లో అత్యధిక పరుగులు (81)', 'ఒక ఇన్నింగ్స్లో పరుగుల 42 వ అత్యధిక శాతం (56.25)', 'మూడో వికెట్కు 38 వ అత్యధిక భాగస్వామ్యం (98)']</v>
      </c>
      <c r="I8327" s="3"/>
    </row>
    <row r="8328" customHeight="1" spans="1:9">
      <c r="A8328" s="2"/>
      <c r="B8328" s="2" t="str">
        <f>IFERROR(__xludf.DUMMYFUNCTION("IF(A8328&lt;&gt;"""", GOOGLETRANSLATE(A8328, ""en"", ""te""),"""")"),"")</f>
        <v/>
      </c>
      <c r="C8328" s="2"/>
      <c r="D8328" s="2" t="str">
        <f>IFERROR(__xludf.DUMMYFUNCTION("IF(C8328&lt;&gt;"""", GOOGLETRANSLATE(C8328, ""en"", ""te""),"""")"),"")</f>
        <v/>
      </c>
      <c r="E8328" s="2"/>
      <c r="F8328" s="2" t="str">
        <f>IFERROR(__xludf.DUMMYFUNCTION("IF(E8328&lt;&gt;"""", GOOGLETRANSLATE(E8328, ""en"", ""te""),"""")"),"")</f>
        <v/>
      </c>
      <c r="G8328" s="2"/>
      <c r="H8328" s="2" t="str">
        <f>IFERROR(__xludf.DUMMYFUNCTION("IF(G8328&lt;&gt;"""", GOOGLETRANSLATE(G8328, ""en"", ""te""),"""")"),"")</f>
        <v/>
      </c>
      <c r="I8328" s="3"/>
    </row>
    <row r="8329" customHeight="1" spans="1:9">
      <c r="A8329" s="2"/>
      <c r="B8329" s="2" t="str">
        <f>IFERROR(__xludf.DUMMYFUNCTION("IF(A8329&lt;&gt;"""", GOOGLETRANSLATE(A8329, ""en"", ""te""),"""")"),"")</f>
        <v/>
      </c>
      <c r="C8329" s="2"/>
      <c r="D8329" s="2" t="str">
        <f>IFERROR(__xludf.DUMMYFUNCTION("IF(C8329&lt;&gt;"""", GOOGLETRANSLATE(C8329, ""en"", ""te""),"""")"),"")</f>
        <v/>
      </c>
      <c r="E8329" s="2"/>
      <c r="F8329" s="2" t="str">
        <f>IFERROR(__xludf.DUMMYFUNCTION("IF(E8329&lt;&gt;"""", GOOGLETRANSLATE(E8329, ""en"", ""te""),"""")"),"")</f>
        <v/>
      </c>
      <c r="G8329" s="2"/>
      <c r="H8329" s="2" t="str">
        <f>IFERROR(__xludf.DUMMYFUNCTION("IF(G8329&lt;&gt;"""", GOOGLETRANSLATE(G8329, ""en"", ""te""),"""")"),"")</f>
        <v/>
      </c>
      <c r="I8329" s="3"/>
    </row>
    <row r="8330" customHeight="1" spans="1:9">
      <c r="A8330" s="2"/>
      <c r="B8330" s="2" t="str">
        <f>IFERROR(__xludf.DUMMYFUNCTION("IF(A8330&lt;&gt;"""", GOOGLETRANSLATE(A8330, ""en"", ""te""),"""")"),"")</f>
        <v/>
      </c>
      <c r="C8330" s="2"/>
      <c r="D8330" s="2" t="str">
        <f>IFERROR(__xludf.DUMMYFUNCTION("IF(C8330&lt;&gt;"""", GOOGLETRANSLATE(C8330, ""en"", ""te""),"""")"),"")</f>
        <v/>
      </c>
      <c r="E8330" s="2"/>
      <c r="F8330" s="2" t="str">
        <f>IFERROR(__xludf.DUMMYFUNCTION("IF(E8330&lt;&gt;"""", GOOGLETRANSLATE(E8330, ""en"", ""te""),"""")"),"")</f>
        <v/>
      </c>
      <c r="G8330" s="2"/>
      <c r="H8330" s="2" t="str">
        <f>IFERROR(__xludf.DUMMYFUNCTION("IF(G8330&lt;&gt;"""", GOOGLETRANSLATE(G8330, ""en"", ""te""),"""")"),"")</f>
        <v/>
      </c>
      <c r="I8330" s="3"/>
    </row>
    <row r="8331" customHeight="1" spans="1:9">
      <c r="A8331" s="2" t="s">
        <v>4646</v>
      </c>
      <c r="B8331" s="2" t="str">
        <f>IFERROR(__xludf.DUMMYFUNCTION("IF(A8331&lt;&gt;"""", GOOGLETRANSLATE(A8331, ""en"", ""te""),"""")"),"[ 'ఒక మ్యాచ్లో ప్రతి ఇన్నింగ్స్లో హండ్రెడ్', 'వరుస మ్యాచ్లలో 3 వ యాభైల్లో (11)', 'ఒక కెప్టెన్తో పెయిర్']")</f>
        <v>[ 'ఒక మ్యాచ్లో ప్రతి ఇన్నింగ్స్లో హండ్రెడ్', 'వరుస మ్యాచ్లలో 3 వ యాభైల్లో (11)', 'ఒక కెప్టెన్తో పెయిర్']</v>
      </c>
      <c r="C8331" s="2" t="s">
        <v>4647</v>
      </c>
      <c r="D8331" s="2" t="str">
        <f>IFERROR(__xludf.DUMMYFUNCTION("IF(C8331&lt;&gt;"""", GOOGLETRANSLATE(C8331, ""en"", ""te""),"""")"),"[ 'వరుస మ్యాచ్లలో 3 వ యాభైల్లో (11)', '1000 పరుగులు వేగంగా 35 వ (21)', 'నాలుగవ వికెట్కు (266) కోసం 33 వ అత్యధిక భాగస్వామ్యం']")</f>
        <v>[ 'వరుస మ్యాచ్లలో 3 వ యాభైల్లో (11)', '1000 పరుగులు వేగంగా 35 వ (21)', 'నాలుగవ వికెట్కు (266) కోసం 33 వ అత్యధిక భాగస్వామ్యం']</v>
      </c>
      <c r="E8331" s="2"/>
      <c r="F8331" s="2" t="str">
        <f>IFERROR(__xludf.DUMMYFUNCTION("IF(E8331&lt;&gt;"""", GOOGLETRANSLATE(E8331, ""en"", ""te""),"""")"),"")</f>
        <v/>
      </c>
      <c r="G8331" s="2"/>
      <c r="H8331" s="2" t="str">
        <f>IFERROR(__xludf.DUMMYFUNCTION("IF(G8331&lt;&gt;"""", GOOGLETRANSLATE(G8331, ""en"", ""te""),"""")"),"")</f>
        <v/>
      </c>
      <c r="I8331" s="3"/>
    </row>
    <row r="8332" customHeight="1" spans="1:9">
      <c r="A8332" s="2" t="s">
        <v>4648</v>
      </c>
      <c r="B8332" s="2" t="str">
        <f>IFERROR(__xludf.DUMMYFUNCTION("IF(A8332&lt;&gt;"""", GOOGLETRANSLATE(A8332, ""en"", ""te""),"""")"),"[ 'తొమ్మిదవ వికెట్కు 3 వ అత్యధిక భాగస్వామ్యం (184)', '7 వ అత్యుత్తమ బౌలింగ్ ఇన్నింగ్స్ లో విశ్లేషించడం (3/4)', '1000 పరుగులు, 50 వికెట్లు, 50 క్యాచ్లు', '5 వ వరుస మ్యాచ్లు జట్టు (54 ) ',' ఒక డక్ (62 *) లేకుండా (477) ',' 6 వ అత్యధిక వరుస ఇన్నింగ్స్లో ఒకే మ"&amp;"ైదానంలో 2 వ అత్యధిక పరుగులు ',' 3 వ అత్యుత్తమ బౌలింగ్ ఇన్నింగ్స్ లో విశ్లేషించడం (2/1) ',' 1 వ అత్యధిక వికెట్లు తీసుకున్న హిట్ వికెట్ (1) ',' ఒకే మైదానంలో 9 వ అత్యధిక పరుగులు (3046) ']")</f>
        <v>[ 'తొమ్మిదవ వికెట్కు 3 వ అత్యధిక భాగస్వామ్యం (184)', '7 వ అత్యుత్తమ బౌలింగ్ ఇన్నింగ్స్ లో విశ్లేషించడం (3/4)', '1000 పరుగులు, 50 వికెట్లు, 50 క్యాచ్లు', '5 వ వరుస మ్యాచ్లు జట్టు (54 ) ',' ఒక డక్ (62 *) లేకుండా (477) ',' 6 వ అత్యధిక వరుస ఇన్నింగ్స్లో ఒకే మైదానంలో 2 వ అత్యధిక పరుగులు ',' 3 వ అత్యుత్తమ బౌలింగ్ ఇన్నింగ్స్ లో విశ్లేషించడం (2/1) ',' 1 వ అత్యధిక వికెట్లు తీసుకున్న హిట్ వికెట్ (1) ',' ఒకే మైదానంలో 9 వ అత్యధిక పరుగులు (3046) ']</v>
      </c>
      <c r="C8332" s="2" t="s">
        <v>4649</v>
      </c>
      <c r="D8332" s="2" t="str">
        <f>IFERROR(__xludf.DUMMYFUNCTION("IF(C8332&lt;&gt;"""", GOOGLETRANSLATE(C8332, ""en"", ""te""),"""")"),"[ '47 వ చెత్త కెరీర్లో ఆర్థిక రేటు (3.44)', 'తొలి మ్యాచ్లో 33 వ బెస్ట్ ఫిగర్స్ (8)', 'తొమ్మిదవ వికెట్ (184) 3 వ అత్యధిక భాగస్వామ్యం']")</f>
        <v>[ '47 వ చెత్త కెరీర్లో ఆర్థిక రేటు (3.44)', 'తొలి మ్యాచ్లో 33 వ బెస్ట్ ఫిగర్స్ (8)', 'తొమ్మిదవ వికెట్ (184) 3 వ అత్యధిక భాగస్వామ్యం']</v>
      </c>
      <c r="E8332" s="2" t="s">
        <v>4650</v>
      </c>
      <c r="F8332" s="2" t="str">
        <f>IFERROR(__xludf.DUMMYFUNCTION("IF(E8332&lt;&gt;"""", GOOGLETRANSLATE(E8332, ""en"", ""te""),"""")"),"[ '13 వ ఒకే మైదానంలో అత్యధిక పరుగులు (1773)', '30 వ అత్యంత ఇన్నింగ్స్ తొలి డక్ ముందు (36)', '7 వ అత్యుత్తమ బౌలింగ్ ఇన్నింగ్స్ లో విశ్లేషించడం (3/4)', '44th చెత్త కెరీర్ సగటు బౌలింగ్ (47.01) ',' ఇన్నింగ్స్ లో 15 వ చెత్త ఆర్థిక రేటు (11.80) ']")</f>
        <v>[ '13 వ ఒకే మైదానంలో అత్యధిక పరుగులు (1773)', '30 వ అత్యంత ఇన్నింగ్స్ తొలి డక్ ముందు (36)', '7 వ అత్యుత్తమ బౌలింగ్ ఇన్నింగ్స్ లో విశ్లేషించడం (3/4)', '44th చెత్త కెరీర్ సగటు బౌలింగ్ (47.01) ',' ఇన్నింగ్స్ లో 15 వ చెత్త ఆర్థిక రేటు (11.80) ']</v>
      </c>
      <c r="G8332" s="2" t="s">
        <v>4651</v>
      </c>
      <c r="H8332" s="2" t="str">
        <f>IFERROR(__xludf.DUMMYFUNCTION("IF(G8332&lt;&gt;"""", GOOGLETRANSLATE(G8332, ""en"", ""te""),"""")"),"[ '35 వ కెరీర్ లో అత్యధిక పరుగులు (1507)', '35 వ ఒక క్యాలెండర్ సంవత్సరంలో అత్యధిక పరుగులు (414)', '27 వ ఇన్నింగ్స్ లో అత్యధిక పరుగులు (బ్యాటింగ్ స్థానంలో ప్రకారం) (54)', '2nd ఒకే మైదానంలో అత్యధిక పరుగులు (477) ',' ఒక డక్ లేకుండా 6 వ అత్యధిక వరుస ఇన్నింగ్"&amp;"స్ (62 *) ',' కెరీర్లో 14 వ అతి తక్కువ బాతులు (40.5) ',' 43 వ కెరీర్ లో వచ్చిన ఎక్కువ సిక్స్ (48) ',' 39 వ కెరీర్ ఫోర్లు (122) ',' 3 వ అత్యుత్తమ బౌలింగ్ ఒకే నేలపై ఒక ఇన్నింగ్స్ (2/1) ',' 30 వ అత్యధిక వికెట్లు విశ్లేషణలలో (12) ',' 1 వ అత్యధిక వికెట్లు తీస"&amp;"ిన హిట్ వికెట్ (1) ',' 21 వ కెరీర్ లో అత్యధిక క్యాచ్లు (32 ) ',' ఏడవ వికెట్కు 20 వ అత్యధిక భాగస్వామ్యం (57) ',' 11 వ కెరీర్ లో అత్యధిక మ్యాచ్లు (89) ',' ఒక జట్టు 5 వ వరుస మ్యాచ్లు (54) ',' 13 వ లాంగెస్ట్ కెరీర్లు (13y 210d) ']")</f>
        <v>[ '35 వ కెరీర్ లో అత్యధిక పరుగులు (1507)', '35 వ ఒక క్యాలెండర్ సంవత్సరంలో అత్యధిక పరుగులు (414)', '27 వ ఇన్నింగ్స్ లో అత్యధిక పరుగులు (బ్యాటింగ్ స్థానంలో ప్రకారం) (54)', '2nd ఒకే మైదానంలో అత్యధిక పరుగులు (477) ',' ఒక డక్ లేకుండా 6 వ అత్యధిక వరుస ఇన్నింగ్స్ (62 *) ',' కెరీర్లో 14 వ అతి తక్కువ బాతులు (40.5) ',' 43 వ కెరీర్ లో వచ్చిన ఎక్కువ సిక్స్ (48) ',' 39 వ కెరీర్ ఫోర్లు (122) ',' 3 వ అత్యుత్తమ బౌలింగ్ ఒకే నేలపై ఒక ఇన్నింగ్స్ (2/1) ',' 30 వ అత్యధిక వికెట్లు విశ్లేషణలలో (12) ',' 1 వ అత్యధిక వికెట్లు తీసిన హిట్ వికెట్ (1) ',' 21 వ కెరీర్ లో అత్యధిక క్యాచ్లు (32 ) ',' ఏడవ వికెట్కు 20 వ అత్యధిక భాగస్వామ్యం (57) ',' 11 వ కెరీర్ లో అత్యధిక మ్యాచ్లు (89) ',' ఒక జట్టు 5 వ వరుస మ్యాచ్లు (54) ',' 13 వ లాంగెస్ట్ కెరీర్లు (13y 210d) ']</v>
      </c>
      <c r="I8332" s="3"/>
    </row>
    <row r="8333" customHeight="1" spans="1:9">
      <c r="A8333" s="2" t="s">
        <v>4652</v>
      </c>
      <c r="B8333" s="2" t="str">
        <f>IFERROR(__xludf.DUMMYFUNCTION("IF(A8333&lt;&gt;"""", GOOGLETRANSLATE(A8333, ""en"", ""te""),"""")"),"[ '5 వ పిన్న ఆటగాడు పది వికెట్లు లో ఒక మ్యాచ్ (19y 3) తీసుకోవాలని', '6 వ ఇన్నింగ్స్ లో సాధించిన అత్యధిక పరుగులు (246)', '6 వ అత్యధిక వరుస బాతులు (3)', 'బ్యాటింగ్ తెరవడం మరియు ఒకే మ్యాచ్ లో బౌలింగ్ ']")</f>
        <v>[ '5 వ పిన్న ఆటగాడు పది వికెట్లు లో ఒక మ్యాచ్ (19y 3) తీసుకోవాలని', '6 వ ఇన్నింగ్స్ లో సాధించిన అత్యధిక పరుగులు (246)', '6 వ అత్యధిక వరుస బాతులు (3)', 'బ్యాటింగ్ తెరవడం మరియు ఒకే మ్యాచ్ లో బౌలింగ్ ']</v>
      </c>
      <c r="C8333" s="2" t="s">
        <v>4653</v>
      </c>
      <c r="D8333" s="2" t="str">
        <f>IFERROR(__xludf.DUMMYFUNCTION("IF(C8333&lt;&gt;"""", GOOGLETRANSLATE(C8333, ""en"", ""te""),"""")"),"[ '36 వ చెత్త ఇన్నింగ్స్ లో సమ్మె రేటు (348.0)', '22 వ అరంగేట్రంలోనే ఇన్నింగ్స్ లోని బెస్ట్ ఫిగర్స్ (6)', 'ఐదు వికెట్ల లో-ఒక-ఇన్నింగ్స్ (18y 361d) తీసుకోవాలని 15 వ పిన్న ఆటగాడు', ' 5 వ పిన్న ఆటగాడు పది వికెట్లు లో ఒక మ్యాచ్ (19y 3) తీసుకోవాలని ',' 6 వ ఇన్"&amp;"నింగ్స్ లో సాధించిన అత్యధిక పరుగులు (246) ',' 48 వ 100 వికెట్లు (24) వేగంగా ']")</f>
        <v>[ '36 వ చెత్త ఇన్నింగ్స్ లో సమ్మె రేటు (348.0)', '22 వ అరంగేట్రంలోనే ఇన్నింగ్స్ లోని బెస్ట్ ఫిగర్స్ (6)', 'ఐదు వికెట్ల లో-ఒక-ఇన్నింగ్స్ (18y 361d) తీసుకోవాలని 15 వ పిన్న ఆటగాడు', ' 5 వ పిన్న ఆటగాడు పది వికెట్లు లో ఒక మ్యాచ్ (19y 3) తీసుకోవాలని ',' 6 వ ఇన్నింగ్స్ లో సాధించిన అత్యధిక పరుగులు (246) ',' 48 వ 100 వికెట్లు (24) వేగంగా ']</v>
      </c>
      <c r="E8333" s="2" t="s">
        <v>1335</v>
      </c>
      <c r="F8333" s="2" t="str">
        <f>IFERROR(__xludf.DUMMYFUNCTION("IF(E8333&lt;&gt;"""", GOOGLETRANSLATE(E8333, ""en"", ""te""),"""")"),"[ 'ఒక సిరీస్లో 6 వ అత్యంత బాతులు (3)', '6 వ అత్యధిక వరుస బాతులు (3)']")</f>
        <v>[ 'ఒక సిరీస్లో 6 వ అత్యంత బాతులు (3)', '6 వ అత్యధిక వరుస బాతులు (3)']</v>
      </c>
      <c r="G8333" s="2" t="s">
        <v>4654</v>
      </c>
      <c r="H8333" s="2" t="str">
        <f>IFERROR(__xludf.DUMMYFUNCTION("IF(G8333&lt;&gt;"""", GOOGLETRANSLATE(G8333, ""en"", ""te""),"""")"),"[ '20 వ చెత్త కెరీర్ బౌలింగ్ సరాసరి (అర్హత లేకుండా) (82.50)', 'తొమ్మిదవ వికెట్ (33) కోసం 23 అత్యధిక భాగస్వామ్యం']")</f>
        <v>[ '20 వ చెత్త కెరీర్ బౌలింగ్ సరాసరి (అర్హత లేకుండా) (82.50)', 'తొమ్మిదవ వికెట్ (33) కోసం 23 అత్యధిక భాగస్వామ్యం']</v>
      </c>
      <c r="I8333" s="3"/>
    </row>
    <row r="8334" customHeight="1" spans="1:9">
      <c r="A8334" s="2"/>
      <c r="B8334" s="2" t="str">
        <f>IFERROR(__xludf.DUMMYFUNCTION("IF(A8334&lt;&gt;"""", GOOGLETRANSLATE(A8334, ""en"", ""te""),"""")"),"")</f>
        <v/>
      </c>
      <c r="C8334" s="2"/>
      <c r="D8334" s="2" t="str">
        <f>IFERROR(__xludf.DUMMYFUNCTION("IF(C8334&lt;&gt;"""", GOOGLETRANSLATE(C8334, ""en"", ""te""),"""")"),"")</f>
        <v/>
      </c>
      <c r="E8334" s="2"/>
      <c r="F8334" s="2" t="str">
        <f>IFERROR(__xludf.DUMMYFUNCTION("IF(E8334&lt;&gt;"""", GOOGLETRANSLATE(E8334, ""en"", ""te""),"""")"),"")</f>
        <v/>
      </c>
      <c r="G8334" s="2"/>
      <c r="H8334" s="2" t="str">
        <f>IFERROR(__xludf.DUMMYFUNCTION("IF(G8334&lt;&gt;"""", GOOGLETRANSLATE(G8334, ""en"", ""te""),"""")"),"")</f>
        <v/>
      </c>
      <c r="I8334" s="3"/>
    </row>
    <row r="8335" customHeight="1" spans="1:9">
      <c r="A8335" s="2" t="s">
        <v>2704</v>
      </c>
      <c r="B8335" s="2" t="str">
        <f>IFERROR(__xludf.DUMMYFUNCTION("IF(A8335&lt;&gt;"""", GOOGLETRANSLATE(A8335, ""en"", ""te""),"""")"),"[ 'కెరీర్లో 7 వ అత్యంత జతల (3)']")</f>
        <v>[ 'కెరీర్లో 7 వ అత్యంత జతల (3)']</v>
      </c>
      <c r="C8335" s="2" t="s">
        <v>4655</v>
      </c>
      <c r="D8335" s="2" t="str">
        <f>IFERROR(__xludf.DUMMYFUNCTION("IF(C8335&lt;&gt;"""", GOOGLETRANSLATE(C8335, ""en"", ""te""),"""")"),"[ 'కెరీర్లో 7 వ అత్యంత జతల (3)', '22 వ బెస్ట్ ఫిగర్స్ ప్రవేశం (6) ఒక ఇన్నింగ్స్ లో' '22 వ చెత్త కెరీర్ సగటు (57.32) బౌలింగ్']")</f>
        <v>[ 'కెరీర్లో 7 వ అత్యంత జతల (3)', '22 వ బెస్ట్ ఫిగర్స్ ప్రవేశం (6) ఒక ఇన్నింగ్స్ లో' '22 వ చెత్త కెరీర్ సగటు (57.32) బౌలింగ్']</v>
      </c>
      <c r="E8335" s="2" t="s">
        <v>4656</v>
      </c>
      <c r="F8335" s="2" t="str">
        <f>IFERROR(__xludf.DUMMYFUNCTION("IF(E8335&lt;&gt;"""", GOOGLETRANSLATE(E8335, ""en"", ""te""),"""")"),"[ '16 వ చెత్త కెరీర్ బౌలింగ్ సరాసరి (53.50)', '20 వ చెత్త కెరీర్లో సమ్మె రేటు (66.2)']")</f>
        <v>[ '16 వ చెత్త కెరీర్ బౌలింగ్ సరాసరి (53.50)', '20 వ చెత్త కెరీర్లో సమ్మె రేటు (66.2)']</v>
      </c>
      <c r="G8335" s="2"/>
      <c r="H8335" s="2" t="str">
        <f>IFERROR(__xludf.DUMMYFUNCTION("IF(G8335&lt;&gt;"""", GOOGLETRANSLATE(G8335, ""en"", ""te""),"""")"),"")</f>
        <v/>
      </c>
      <c r="I8335" s="3"/>
    </row>
    <row r="8336" customHeight="1" spans="1:9">
      <c r="A8336" s="2"/>
      <c r="B8336" s="2" t="str">
        <f>IFERROR(__xludf.DUMMYFUNCTION("IF(A8336&lt;&gt;"""", GOOGLETRANSLATE(A8336, ""en"", ""te""),"""")"),"")</f>
        <v/>
      </c>
      <c r="C8336" s="2"/>
      <c r="D8336" s="2" t="str">
        <f>IFERROR(__xludf.DUMMYFUNCTION("IF(C8336&lt;&gt;"""", GOOGLETRANSLATE(C8336, ""en"", ""te""),"""")"),"")</f>
        <v/>
      </c>
      <c r="E8336" s="2"/>
      <c r="F8336" s="2" t="str">
        <f>IFERROR(__xludf.DUMMYFUNCTION("IF(E8336&lt;&gt;"""", GOOGLETRANSLATE(E8336, ""en"", ""te""),"""")"),"")</f>
        <v/>
      </c>
      <c r="G8336" s="2"/>
      <c r="H8336" s="2" t="str">
        <f>IFERROR(__xludf.DUMMYFUNCTION("IF(G8336&lt;&gt;"""", GOOGLETRANSLATE(G8336, ""en"", ""te""),"""")"),"")</f>
        <v/>
      </c>
      <c r="I8336" s="3"/>
    </row>
    <row r="8337" customHeight="1" spans="1:9">
      <c r="A8337" s="2" t="s">
        <v>4657</v>
      </c>
      <c r="B8337" s="2" t="str">
        <f>IFERROR(__xludf.DUMMYFUNCTION("IF(A8337&lt;&gt;"""", GOOGLETRANSLATE(A8337, ""en"", ""te""),"""")"),"[ '3 వ పిన్న క్రీడాకారులు (15y 128d)', 'ఇన్నింగ్స్ లో 10 వ చెత్త ఆర్థిక రేటు (7.05)', '2 వ పిన్న క్రీడాకారులు (15y 116d)']")</f>
        <v>[ '3 వ పిన్న క్రీడాకారులు (15y 128d)', 'ఇన్నింగ్స్ లో 10 వ చెత్త ఆర్థిక రేటు (7.05)', '2 వ పిన్న క్రీడాకారులు (15y 116d)']</v>
      </c>
      <c r="C8337" s="2" t="s">
        <v>4658</v>
      </c>
      <c r="D8337" s="2" t="str">
        <f>IFERROR(__xludf.DUMMYFUNCTION("IF(C8337&lt;&gt;"""", GOOGLETRANSLATE(C8337, ""en"", ""te""),"""")"),"[ '10 వ చెత్త ఇన్నింగ్స్ లో ఆర్థిక రేటు (7.05)', '3 వ పిన్న క్రీడాకారులు (15y 128d)']")</f>
        <v>[ '10 వ చెత్త ఇన్నింగ్స్ లో ఆర్థిక రేటు (7.05)', '3 వ పిన్న క్రీడాకారులు (15y 128d)']</v>
      </c>
      <c r="E8337" s="2" t="s">
        <v>4659</v>
      </c>
      <c r="F8337" s="2" t="str">
        <f>IFERROR(__xludf.DUMMYFUNCTION("IF(E8337&lt;&gt;"""", GOOGLETRANSLATE(E8337, ""en"", ""te""),"""")"),"[ '2nd పిన్న క్రీడాకారులు (15y 116d)']")</f>
        <v>[ '2nd పిన్న క్రీడాకారులు (15y 116d)']</v>
      </c>
      <c r="G8337" s="2"/>
      <c r="H8337" s="2" t="str">
        <f>IFERROR(__xludf.DUMMYFUNCTION("IF(G8337&lt;&gt;"""", GOOGLETRANSLATE(G8337, ""en"", ""te""),"""")"),"")</f>
        <v/>
      </c>
      <c r="I8337" s="3"/>
    </row>
    <row r="8338" customHeight="1" spans="1:9">
      <c r="A8338" s="2"/>
      <c r="B8338" s="2" t="str">
        <f>IFERROR(__xludf.DUMMYFUNCTION("IF(A8338&lt;&gt;"""", GOOGLETRANSLATE(A8338, ""en"", ""te""),"""")"),"")</f>
        <v/>
      </c>
      <c r="C8338" s="2"/>
      <c r="D8338" s="2" t="str">
        <f>IFERROR(__xludf.DUMMYFUNCTION("IF(C8338&lt;&gt;"""", GOOGLETRANSLATE(C8338, ""en"", ""te""),"""")"),"")</f>
        <v/>
      </c>
      <c r="E8338" s="2"/>
      <c r="F8338" s="2" t="str">
        <f>IFERROR(__xludf.DUMMYFUNCTION("IF(E8338&lt;&gt;"""", GOOGLETRANSLATE(E8338, ""en"", ""te""),"""")"),"")</f>
        <v/>
      </c>
      <c r="G8338" s="2"/>
      <c r="H8338" s="2" t="str">
        <f>IFERROR(__xludf.DUMMYFUNCTION("IF(G8338&lt;&gt;"""", GOOGLETRANSLATE(G8338, ""en"", ""te""),"""")"),"")</f>
        <v/>
      </c>
      <c r="I8338" s="3"/>
    </row>
    <row r="8339" customHeight="1" spans="1:9">
      <c r="A8339" s="2"/>
      <c r="B8339" s="2" t="str">
        <f>IFERROR(__xludf.DUMMYFUNCTION("IF(A8339&lt;&gt;"""", GOOGLETRANSLATE(A8339, ""en"", ""te""),"""")"),"")</f>
        <v/>
      </c>
      <c r="C8339" s="2"/>
      <c r="D8339" s="2" t="str">
        <f>IFERROR(__xludf.DUMMYFUNCTION("IF(C8339&lt;&gt;"""", GOOGLETRANSLATE(C8339, ""en"", ""te""),"""")"),"")</f>
        <v/>
      </c>
      <c r="E8339" s="2"/>
      <c r="F8339" s="2" t="str">
        <f>IFERROR(__xludf.DUMMYFUNCTION("IF(E8339&lt;&gt;"""", GOOGLETRANSLATE(E8339, ""en"", ""te""),"""")"),"")</f>
        <v/>
      </c>
      <c r="G8339" s="2"/>
      <c r="H8339" s="2" t="str">
        <f>IFERROR(__xludf.DUMMYFUNCTION("IF(G8339&lt;&gt;"""", GOOGLETRANSLATE(G8339, ""en"", ""te""),"""")"),"")</f>
        <v/>
      </c>
      <c r="I8339" s="3"/>
    </row>
    <row r="8340" customHeight="1" spans="1:9">
      <c r="A8340" s="2" t="s">
        <v>4660</v>
      </c>
      <c r="B8340" s="2" t="str">
        <f>IFERROR(__xludf.DUMMYFUNCTION("IF(A8340&lt;&gt;"""", GOOGLETRANSLATE(A8340, ""en"", ""te""),"""")"),"[ 'ఏడవ వికెట్కు 3 వ అత్యధిక భాగస్వామ్యం (82)']")</f>
        <v>[ 'ఏడవ వికెట్కు 3 వ అత్యధిక భాగస్వామ్యం (82)']</v>
      </c>
      <c r="C8340" s="2"/>
      <c r="D8340" s="2" t="str">
        <f>IFERROR(__xludf.DUMMYFUNCTION("IF(C8340&lt;&gt;"""", GOOGLETRANSLATE(C8340, ""en"", ""te""),"""")"),"")</f>
        <v/>
      </c>
      <c r="E8340" s="2"/>
      <c r="F8340" s="2" t="str">
        <f>IFERROR(__xludf.DUMMYFUNCTION("IF(E8340&lt;&gt;"""", GOOGLETRANSLATE(E8340, ""en"", ""te""),"""")"),"")</f>
        <v/>
      </c>
      <c r="G8340" s="2" t="s">
        <v>4660</v>
      </c>
      <c r="H8340" s="2" t="str">
        <f>IFERROR(__xludf.DUMMYFUNCTION("IF(G8340&lt;&gt;"""", GOOGLETRANSLATE(G8340, ""en"", ""te""),"""")"),"[ 'ఏడవ వికెట్కు 3 వ అత్యధిక భాగస్వామ్యం (82)']")</f>
        <v>[ 'ఏడవ వికెట్కు 3 వ అత్యధిక భాగస్వామ్యం (82)']</v>
      </c>
      <c r="I8340" s="3"/>
    </row>
    <row r="8341" customHeight="1" spans="1:9">
      <c r="A8341" s="2"/>
      <c r="B8341" s="2" t="str">
        <f>IFERROR(__xludf.DUMMYFUNCTION("IF(A8341&lt;&gt;"""", GOOGLETRANSLATE(A8341, ""en"", ""te""),"""")"),"")</f>
        <v/>
      </c>
      <c r="C8341" s="2"/>
      <c r="D8341" s="2" t="str">
        <f>IFERROR(__xludf.DUMMYFUNCTION("IF(C8341&lt;&gt;"""", GOOGLETRANSLATE(C8341, ""en"", ""te""),"""")"),"")</f>
        <v/>
      </c>
      <c r="E8341" s="2"/>
      <c r="F8341" s="2" t="str">
        <f>IFERROR(__xludf.DUMMYFUNCTION("IF(E8341&lt;&gt;"""", GOOGLETRANSLATE(E8341, ""en"", ""te""),"""")"),"")</f>
        <v/>
      </c>
      <c r="G8341" s="2"/>
      <c r="H8341" s="2" t="str">
        <f>IFERROR(__xludf.DUMMYFUNCTION("IF(G8341&lt;&gt;"""", GOOGLETRANSLATE(G8341, ""en"", ""te""),"""")"),"")</f>
        <v/>
      </c>
      <c r="I8341" s="3"/>
    </row>
    <row r="8342" customHeight="1" spans="1:9">
      <c r="A8342" s="2"/>
      <c r="B8342" s="2" t="str">
        <f>IFERROR(__xludf.DUMMYFUNCTION("IF(A8342&lt;&gt;"""", GOOGLETRANSLATE(A8342, ""en"", ""te""),"""")"),"")</f>
        <v/>
      </c>
      <c r="C8342" s="2"/>
      <c r="D8342" s="2" t="str">
        <f>IFERROR(__xludf.DUMMYFUNCTION("IF(C8342&lt;&gt;"""", GOOGLETRANSLATE(C8342, ""en"", ""te""),"""")"),"")</f>
        <v/>
      </c>
      <c r="E8342" s="2"/>
      <c r="F8342" s="2" t="str">
        <f>IFERROR(__xludf.DUMMYFUNCTION("IF(E8342&lt;&gt;"""", GOOGLETRANSLATE(E8342, ""en"", ""te""),"""")"),"")</f>
        <v/>
      </c>
      <c r="G8342" s="2"/>
      <c r="H8342" s="2" t="str">
        <f>IFERROR(__xludf.DUMMYFUNCTION("IF(G8342&lt;&gt;"""", GOOGLETRANSLATE(G8342, ""en"", ""te""),"""")"),"")</f>
        <v/>
      </c>
      <c r="I8342" s="3"/>
    </row>
    <row r="8343" customHeight="1" spans="1:9">
      <c r="A8343" s="2" t="s">
        <v>814</v>
      </c>
      <c r="B8343" s="2" t="str">
        <f>IFERROR(__xludf.DUMMYFUNCTION("IF(A8343&lt;&gt;"""", GOOGLETRANSLATE(A8343, ""en"", ""te""),"""")"),"[ 'ఒక ఇన్నింగ్స్ లో 8 వ బెస్ట్ ఫిగర్స్ ఉన్నప్పుడు పరాజయం వైపు (4)']")</f>
        <v>[ 'ఒక ఇన్నింగ్స్ లో 8 వ బెస్ట్ ఫిగర్స్ ఉన్నప్పుడు పరాజయం వైపు (4)']</v>
      </c>
      <c r="C8343" s="2"/>
      <c r="D8343" s="2" t="str">
        <f>IFERROR(__xludf.DUMMYFUNCTION("IF(C8343&lt;&gt;"""", GOOGLETRANSLATE(C8343, ""en"", ""te""),"""")"),"")</f>
        <v/>
      </c>
      <c r="E8343" s="2" t="s">
        <v>4661</v>
      </c>
      <c r="F8343" s="2" t="str">
        <f>IFERROR(__xludf.DUMMYFUNCTION("IF(E8343&lt;&gt;"""", GOOGLETRANSLATE(E8343, ""en"", ""te""),"""")"),"[ '49 వ ఉత్తమ కెరీర్ సమ్మె రేటు (31.9)', '27 చెత్త కెరీర్లో ఆర్థిక రేటు (5.81)']")</f>
        <v>[ '49 వ ఉత్తమ కెరీర్ సమ్మె రేటు (31.9)', '27 చెత్త కెరీర్లో ఆర్థిక రేటు (5.81)']</v>
      </c>
      <c r="G8343" s="2" t="s">
        <v>4662</v>
      </c>
      <c r="H8343" s="2" t="str">
        <f>IFERROR(__xludf.DUMMYFUNCTION("IF(G8343&lt;&gt;"""", GOOGLETRANSLATE(G8343, ""en"", ""te""),"""")"),"[ '21 వ ఇన్నింగ్స్ లో అత్యధిక పరుగులు (బ్యాటింగ్ స్థానంలో ప్రకారం) (34 *)', '8 వ ఒక ఇన్నింగ్స్ లోని బెస్ట్ ఫిగర్స్ ఉన్నప్పుడు పరాజయం వైపు (4)', 'పదవ వికెట్కు 11 వ అత్యధిక భాగస్వామ్యం (25 *)']")</f>
        <v>[ '21 వ ఇన్నింగ్స్ లో అత్యధిక పరుగులు (బ్యాటింగ్ స్థానంలో ప్రకారం) (34 *)', '8 వ ఒక ఇన్నింగ్స్ లోని బెస్ట్ ఫిగర్స్ ఉన్నప్పుడు పరాజయం వైపు (4)', 'పదవ వికెట్కు 11 వ అత్యధిక భాగస్వామ్యం (25 *)']</v>
      </c>
      <c r="I8343" s="3"/>
    </row>
    <row r="8344" customHeight="1" spans="1:9">
      <c r="A8344" s="2"/>
      <c r="B8344" s="2" t="str">
        <f>IFERROR(__xludf.DUMMYFUNCTION("IF(A8344&lt;&gt;"""", GOOGLETRANSLATE(A8344, ""en"", ""te""),"""")"),"")</f>
        <v/>
      </c>
      <c r="C8344" s="2"/>
      <c r="D8344" s="2" t="str">
        <f>IFERROR(__xludf.DUMMYFUNCTION("IF(C8344&lt;&gt;"""", GOOGLETRANSLATE(C8344, ""en"", ""te""),"""")"),"")</f>
        <v/>
      </c>
      <c r="E8344" s="2"/>
      <c r="F8344" s="2" t="str">
        <f>IFERROR(__xludf.DUMMYFUNCTION("IF(E8344&lt;&gt;"""", GOOGLETRANSLATE(E8344, ""en"", ""te""),"""")"),"")</f>
        <v/>
      </c>
      <c r="G8344" s="2"/>
      <c r="H8344" s="2" t="str">
        <f>IFERROR(__xludf.DUMMYFUNCTION("IF(G8344&lt;&gt;"""", GOOGLETRANSLATE(G8344, ""en"", ""te""),"""")"),"")</f>
        <v/>
      </c>
      <c r="I8344" s="3"/>
    </row>
    <row r="8345" customHeight="1" spans="1:9">
      <c r="A8345" s="2"/>
      <c r="B8345" s="2" t="str">
        <f>IFERROR(__xludf.DUMMYFUNCTION("IF(A8345&lt;&gt;"""", GOOGLETRANSLATE(A8345, ""en"", ""te""),"""")"),"")</f>
        <v/>
      </c>
      <c r="C8345" s="2"/>
      <c r="D8345" s="2" t="str">
        <f>IFERROR(__xludf.DUMMYFUNCTION("IF(C8345&lt;&gt;"""", GOOGLETRANSLATE(C8345, ""en"", ""te""),"""")"),"")</f>
        <v/>
      </c>
      <c r="E8345" s="2"/>
      <c r="F8345" s="2" t="str">
        <f>IFERROR(__xludf.DUMMYFUNCTION("IF(E8345&lt;&gt;"""", GOOGLETRANSLATE(E8345, ""en"", ""te""),"""")"),"")</f>
        <v/>
      </c>
      <c r="G8345" s="2"/>
      <c r="H8345" s="2" t="str">
        <f>IFERROR(__xludf.DUMMYFUNCTION("IF(G8345&lt;&gt;"""", GOOGLETRANSLATE(G8345, ""en"", ""te""),"""")"),"")</f>
        <v/>
      </c>
      <c r="I8345" s="3"/>
    </row>
    <row r="8346" customHeight="1" spans="1:9">
      <c r="A8346" s="2"/>
      <c r="B8346" s="2" t="str">
        <f>IFERROR(__xludf.DUMMYFUNCTION("IF(A8346&lt;&gt;"""", GOOGLETRANSLATE(A8346, ""en"", ""te""),"""")"),"")</f>
        <v/>
      </c>
      <c r="C8346" s="2"/>
      <c r="D8346" s="2" t="str">
        <f>IFERROR(__xludf.DUMMYFUNCTION("IF(C8346&lt;&gt;"""", GOOGLETRANSLATE(C8346, ""en"", ""te""),"""")"),"")</f>
        <v/>
      </c>
      <c r="E8346" s="2"/>
      <c r="F8346" s="2" t="str">
        <f>IFERROR(__xludf.DUMMYFUNCTION("IF(E8346&lt;&gt;"""", GOOGLETRANSLATE(E8346, ""en"", ""te""),"""")"),"")</f>
        <v/>
      </c>
      <c r="G8346" s="2"/>
      <c r="H8346" s="2" t="str">
        <f>IFERROR(__xludf.DUMMYFUNCTION("IF(G8346&lt;&gt;"""", GOOGLETRANSLATE(G8346, ""en"", ""te""),"""")"),"")</f>
        <v/>
      </c>
      <c r="I8346" s="3"/>
    </row>
    <row r="8347" customHeight="1" spans="1:9">
      <c r="A8347" s="2"/>
      <c r="B8347" s="2" t="str">
        <f>IFERROR(__xludf.DUMMYFUNCTION("IF(A8347&lt;&gt;"""", GOOGLETRANSLATE(A8347, ""en"", ""te""),"""")"),"")</f>
        <v/>
      </c>
      <c r="C8347" s="2"/>
      <c r="D8347" s="2" t="str">
        <f>IFERROR(__xludf.DUMMYFUNCTION("IF(C8347&lt;&gt;"""", GOOGLETRANSLATE(C8347, ""en"", ""te""),"""")"),"")</f>
        <v/>
      </c>
      <c r="E8347" s="2"/>
      <c r="F8347" s="2" t="str">
        <f>IFERROR(__xludf.DUMMYFUNCTION("IF(E8347&lt;&gt;"""", GOOGLETRANSLATE(E8347, ""en"", ""te""),"""")"),"")</f>
        <v/>
      </c>
      <c r="G8347" s="2"/>
      <c r="H8347" s="2" t="str">
        <f>IFERROR(__xludf.DUMMYFUNCTION("IF(G8347&lt;&gt;"""", GOOGLETRANSLATE(G8347, ""en"", ""te""),"""")"),"")</f>
        <v/>
      </c>
      <c r="I8347" s="3"/>
    </row>
    <row r="8348" customHeight="1" spans="1:9">
      <c r="A8348" s="2"/>
      <c r="B8348" s="2" t="str">
        <f>IFERROR(__xludf.DUMMYFUNCTION("IF(A8348&lt;&gt;"""", GOOGLETRANSLATE(A8348, ""en"", ""te""),"""")"),"")</f>
        <v/>
      </c>
      <c r="C8348" s="2"/>
      <c r="D8348" s="2" t="str">
        <f>IFERROR(__xludf.DUMMYFUNCTION("IF(C8348&lt;&gt;"""", GOOGLETRANSLATE(C8348, ""en"", ""te""),"""")"),"")</f>
        <v/>
      </c>
      <c r="E8348" s="2"/>
      <c r="F8348" s="2" t="str">
        <f>IFERROR(__xludf.DUMMYFUNCTION("IF(E8348&lt;&gt;"""", GOOGLETRANSLATE(E8348, ""en"", ""te""),"""")"),"")</f>
        <v/>
      </c>
      <c r="G8348" s="2"/>
      <c r="H8348" s="2" t="str">
        <f>IFERROR(__xludf.DUMMYFUNCTION("IF(G8348&lt;&gt;"""", GOOGLETRANSLATE(G8348, ""en"", ""te""),"""")"),"")</f>
        <v/>
      </c>
      <c r="I8348" s="3"/>
    </row>
    <row r="8349" customHeight="1" spans="1:9">
      <c r="A8349" s="2" t="s">
        <v>4663</v>
      </c>
      <c r="B8349" s="2" t="str">
        <f>IFERROR(__xludf.DUMMYFUNCTION("IF(A8349&lt;&gt;"""", GOOGLETRANSLATE(A8349, ""en"", ""te""),"""")"),"[ 'ఒక ఇన్నింగ్స్ లో ఒక ప్రత్యామ్నాయంగా 3 వ అత్యధిక క్యాచ్లు (3)', '10 వ లాంగెస్ట్ కెరీర్లు (18y 104d)', 'ఒకే మైదానంలో 4 వ అత్యధిక వికెట్లు (94)', '6 వ బౌలర్ / బ్యాట్స్ కలయికలు (10)', '1000 పరుగులు మరియు 100 వికెట్లు', '1000 పరుగులు, 50 వికెట్లు, 50 క్యాచ"&amp;"్లు', 'ఒక జట్టు కెప్టెన్గా 9 వ వరుస మ్యాచ్లు (26)', '4 వ చెత్త కెరీర్ బౌలింగ్ సరాసరి (36.35)', '3 వ అత్యంత నడుస్తుంది వంద లేకుండా ఒక కెరీర్ (2961) ']")</f>
        <v>[ 'ఒక ఇన్నింగ్స్ లో ఒక ప్రత్యామ్నాయంగా 3 వ అత్యధిక క్యాచ్లు (3)', '10 వ లాంగెస్ట్ కెరీర్లు (18y 104d)', 'ఒకే మైదానంలో 4 వ అత్యధిక వికెట్లు (94)', '6 వ బౌలర్ / బ్యాట్స్ కలయికలు (10)', '1000 పరుగులు మరియు 100 వికెట్లు', '1000 పరుగులు, 50 వికెట్లు, 50 క్యాచ్లు', 'ఒక జట్టు కెప్టెన్గా 9 వ వరుస మ్యాచ్లు (26)', '4 వ చెత్త కెరీర్ బౌలింగ్ సరాసరి (36.35)', '3 వ అత్యంత నడుస్తుంది వంద లేకుండా ఒక కెరీర్ (2961) ']</v>
      </c>
      <c r="C8349" s="2" t="s">
        <v>4664</v>
      </c>
      <c r="D8349" s="2" t="str">
        <f>IFERROR(__xludf.DUMMYFUNCTION("IF(C8349&lt;&gt;"""", GOOGLETRANSLATE(C8349, ""en"", ""te""),"""")"),"[ 'ఇన్నింగ్స్ (3) లో ఒక ప్రత్యామ్నాయంగా 3 వ అత్యధిక క్యాచ్లు' 'ఒక ఆటలో బదులు 6 వ అత్యధిక క్యాచ్లు (3)', '42 వ పిన్న క్రీడాకారులు (18y 34d)', '44th పిన్న కాప్టెన్ (25y 277d)' ]")</f>
        <v>[ 'ఇన్నింగ్స్ (3) లో ఒక ప్రత్యామ్నాయంగా 3 వ అత్యధిక క్యాచ్లు' 'ఒక ఆటలో బదులు 6 వ అత్యధిక క్యాచ్లు (3)', '42 వ పిన్న క్రీడాకారులు (18y 34d)', '44th పిన్న కాప్టెన్ (25y 277d)' ]</v>
      </c>
      <c r="E8349" s="2" t="s">
        <v>4665</v>
      </c>
      <c r="F8349" s="2" t="str">
        <f>IFERROR(__xludf.DUMMYFUNCTION("IF(E8349&lt;&gt;"""", GOOGLETRANSLATE(E8349, ""en"", ""te""),"""")"),"[ 'వంద (1787) లేకుండా ఒక వృత్తిలో 29 వ అత్యధిక పరుగులు' '35 వ అత్యధిక సమ్మె ఇన్నింగ్స్ లో రేటు (275.00)', '45 వ కెరీర్ బాతులు (15)', '20 వ అత్యధిక వికెట్లు కెరీర్లో (270)' '37 వ ఇన్నింగ్స్ లో బెస్ట్ ఫిగర్స్ (6/26)', '20 వ ఒక క్యాలెండర్ సంవత్సరంలో అత్యధిక "&amp;"వికెట్లు (49)', '4 వ ఒకే మైదానంలో అత్యధిక వికెట్లు (94)', '26 ఒక ఇన్నింగ్స్ లోని బెస్ట్ ఫిగర్స్ ద్వారా కెప్టెన్ (4) ',' 43 వ అత్యంత నాలుగు వికెట్లు-ఇన్-ఒక-ఇన్నింగ్స్ కెరీర్లో (8) ',' ఐదు వికెట్ల లో-ఒక-ఇన్నింగ్స్ తీసుకోవాలని 48 వ పిన్న వయస్కుడిగా నిలిచాడు"&amp;" (22y 314d) ',' 17 వ అత్యంత కెరీర్లో బౌల్ చేయబడిన బంతులలో (10922) ',' 12 వ కెరీర్ లో సాధించిన అత్యధిక పరుగులు (8893) ',' 6 వ బౌలర్ / బ్యాట్స్ కలయికలు (10) ',' 15 వ బౌలర్ / ఫీల్డర్ కలయికలు (36) ',' 31 అత్యధిక వికెట్లు బౌల్డ్ తీసుకున్న ( 54) ',' 19 వ అత్యధి"&amp;"క వికెట్లు తీసుకున్న ఆకర్షించింది (175) ',' 23 వ అత్యధిక వికెట్లు ఒక ఫీల్డర్ (122) ',' 17 వ అత్యధిక వికెట్లు తీసుకున్న వికెట్ కీపర్ చే కాట్ (53) ',' 20 వ అత్యధిక వికెట్లు తీసుకున్న ఎల్బిడబ్ల్యు (పట్టుకుంటే తీసుకున్న 39) ',' 43 వ 150 వికెట్లు (120) ',' 25 "&amp;"వ వేగంగా 200 వికెట్లు (157) ',' 17 వ 250 వికెట్లు వేగంగా (194) ',' 10 వ లాన్ వేగంగా చేష్ట కెరీర్లు (18y 104d) ',' 24 వ అత్యధిక మ్యాచ్లు కెప్టెన్గా (88) ',' 20 వ వరుస మ్యాచ్లు ఒక జట్టు కెప్టెన్గా (45) ',' 48 వ ఓల్డెస్ట్ కాప్టెన్ (36y 153d) ']")</f>
        <v>[ 'వంద (1787) లేకుండా ఒక వృత్తిలో 29 వ అత్యధిక పరుగులు' '35 వ అత్యధిక సమ్మె ఇన్నింగ్స్ లో రేటు (275.00)', '45 వ కెరీర్ బాతులు (15)', '20 వ అత్యధిక వికెట్లు కెరీర్లో (270)' '37 వ ఇన్నింగ్స్ లో బెస్ట్ ఫిగర్స్ (6/26)', '20 వ ఒక క్యాలెండర్ సంవత్సరంలో అత్యధిక వికెట్లు (49)', '4 వ ఒకే మైదానంలో అత్యధిక వికెట్లు (94)', '26 ఒక ఇన్నింగ్స్ లోని బెస్ట్ ఫిగర్స్ ద్వారా కెప్టెన్ (4) ',' 43 వ అత్యంత నాలుగు వికెట్లు-ఇన్-ఒక-ఇన్నింగ్స్ కెరీర్లో (8) ',' ఐదు వికెట్ల లో-ఒక-ఇన్నింగ్స్ తీసుకోవాలని 48 వ పిన్న వయస్కుడిగా నిలిచాడు (22y 314d) ',' 17 వ అత్యంత కెరీర్లో బౌల్ చేయబడిన బంతులలో (10922) ',' 12 వ కెరీర్ లో సాధించిన అత్యధిక పరుగులు (8893) ',' 6 వ బౌలర్ / బ్యాట్స్ కలయికలు (10) ',' 15 వ బౌలర్ / ఫీల్డర్ కలయికలు (36) ',' 31 అత్యధిక వికెట్లు బౌల్డ్ తీసుకున్న ( 54) ',' 19 వ అత్యధిక వికెట్లు తీసుకున్న ఆకర్షించింది (175) ',' 23 వ అత్యధిక వికెట్లు ఒక ఫీల్డర్ (122) ',' 17 వ అత్యధిక వికెట్లు తీసుకున్న వికెట్ కీపర్ చే కాట్ (53) ',' 20 వ అత్యధిక వికెట్లు తీసుకున్న ఎల్బిడబ్ల్యు (పట్టుకుంటే తీసుకున్న 39) ',' 43 వ 150 వికెట్లు (120) ',' 25 వ వేగంగా 200 వికెట్లు (157) ',' 17 వ 250 వికెట్లు వేగంగా (194) ',' 10 వ లాన్ వేగంగా చేష్ట కెరీర్లు (18y 104d) ',' 24 వ అత్యధిక మ్యాచ్లు కెప్టెన్గా (88) ',' 20 వ వరుస మ్యాచ్లు ఒక జట్టు కెప్టెన్గా (45) ',' 48 వ ఓల్డెస్ట్ కాప్టెన్ (36y 153d) ']</v>
      </c>
      <c r="G8349" s="2" t="s">
        <v>4666</v>
      </c>
      <c r="H8349" s="2" t="str">
        <f>IFERROR(__xludf.DUMMYFUNCTION("IF(G8349&lt;&gt;"""", GOOGLETRANSLATE(G8349, ""en"", ""te""),"""")"),"[ '16 వ ఇన్నింగ్స్ లో అత్యధిక పరుగులు (బ్యాటింగ్ స్థానంలో ప్రకారం) (36)', '13 వ కెరీర్ బాతులు (6)', '4 వ చెత్త కెరీర్ బౌలింగ్ సరాసరి (36.35)', '33 వ చెత్త కెరీర్లో ఆర్థిక రేటు (8.04)' '7th చెత్త కెరీర్లో సమ్మె రేటు (27.1)', '19 వ కెరీర్ లో బౌల్డ్ చాలా బంత"&amp;"ుల్లో (1139)', '13 వ కెరీర్ లో సాధించిన అత్యధిక పరుగులు (1527)', '12 వ ఇన్నింగ్స్ లో సాధించిన అత్యధిక పరుగులు (63)', ' 48 వ అత్యంత బౌల్డ్ వికెట్లు తీసుకున్నారు (10) ',' 43 వ అత్యధిక వికెట్లు ఒక ఫీల్డర్ చేత క్యాచ్ తీసుకున్న (26) ',' 15 వ ఇన్నింగ్స్ లో అత్య"&amp;"ధిక క్యాచ్లు (3) ',' 18 వ అత్యధిక మ్యాచ్లు కెప్టెన్గా (28) ',' 20 వ అత్యంత ఒక జట్టు కెప్టెన్గా ఒక జట్టు కెప్టెన్గా (45) ',' 9 వ వరుస మ్యాచ్లు వంటి వరుస పోటీలలో (26) ',' 13 వ వరుస అన్ని టాస్ గెలిచిన (3) ']")</f>
        <v>[ '16 వ ఇన్నింగ్స్ లో అత్యధిక పరుగులు (బ్యాటింగ్ స్థానంలో ప్రకారం) (36)', '13 వ కెరీర్ బాతులు (6)', '4 వ చెత్త కెరీర్ బౌలింగ్ సరాసరి (36.35)', '33 వ చెత్త కెరీర్లో ఆర్థిక రేటు (8.04)' '7th చెత్త కెరీర్లో సమ్మె రేటు (27.1)', '19 వ కెరీర్ లో బౌల్డ్ చాలా బంతుల్లో (1139)', '13 వ కెరీర్ లో సాధించిన అత్యధిక పరుగులు (1527)', '12 వ ఇన్నింగ్స్ లో సాధించిన అత్యధిక పరుగులు (63)', ' 48 వ అత్యంత బౌల్డ్ వికెట్లు తీసుకున్నారు (10) ',' 43 వ అత్యధిక వికెట్లు ఒక ఫీల్డర్ చేత క్యాచ్ తీసుకున్న (26) ',' 15 వ ఇన్నింగ్స్ లో అత్యధిక క్యాచ్లు (3) ',' 18 వ అత్యధిక మ్యాచ్లు కెప్టెన్గా (28) ',' 20 వ అత్యంత ఒక జట్టు కెప్టెన్గా ఒక జట్టు కెప్టెన్గా (45) ',' 9 వ వరుస మ్యాచ్లు వంటి వరుస పోటీలలో (26) ',' 13 వ వరుస అన్ని టాస్ గెలిచిన (3) ']</v>
      </c>
      <c r="I8349" s="3"/>
    </row>
    <row r="8350" customHeight="1" spans="1:9">
      <c r="A8350" s="2"/>
      <c r="B8350" s="2" t="str">
        <f>IFERROR(__xludf.DUMMYFUNCTION("IF(A8350&lt;&gt;"""", GOOGLETRANSLATE(A8350, ""en"", ""te""),"""")"),"")</f>
        <v/>
      </c>
      <c r="C8350" s="2"/>
      <c r="D8350" s="2" t="str">
        <f>IFERROR(__xludf.DUMMYFUNCTION("IF(C8350&lt;&gt;"""", GOOGLETRANSLATE(C8350, ""en"", ""te""),"""")"),"")</f>
        <v/>
      </c>
      <c r="E8350" s="2" t="s">
        <v>4667</v>
      </c>
      <c r="F8350" s="2" t="str">
        <f>IFERROR(__xludf.DUMMYFUNCTION("IF(E8350&lt;&gt;"""", GOOGLETRANSLATE(E8350, ""en"", ""te""),"""")"),"[ 'సగటు (51.73) బౌలింగ్ 22 చెత్త జీవితం' '12 వ చెత్త కెరీర్లో సమ్మె రేటు (70.1)', 'పదవ వికెట్ను (46) కోసం 49 వ అత్యధిక భాగస్వామ్యం']")</f>
        <v>[ 'సగటు (51.73) బౌలింగ్ 22 చెత్త జీవితం' '12 వ చెత్త కెరీర్లో సమ్మె రేటు (70.1)', 'పదవ వికెట్ను (46) కోసం 49 వ అత్యధిక భాగస్వామ్యం']</v>
      </c>
      <c r="G8350" s="2"/>
      <c r="H8350" s="2" t="str">
        <f>IFERROR(__xludf.DUMMYFUNCTION("IF(G8350&lt;&gt;"""", GOOGLETRANSLATE(G8350, ""en"", ""te""),"""")"),"")</f>
        <v/>
      </c>
      <c r="I8350" s="3"/>
    </row>
    <row r="8351" customHeight="1" spans="1:9">
      <c r="A8351" s="2"/>
      <c r="B8351" s="2" t="str">
        <f>IFERROR(__xludf.DUMMYFUNCTION("IF(A8351&lt;&gt;"""", GOOGLETRANSLATE(A8351, ""en"", ""te""),"""")"),"")</f>
        <v/>
      </c>
      <c r="C8351" s="2"/>
      <c r="D8351" s="2" t="str">
        <f>IFERROR(__xludf.DUMMYFUNCTION("IF(C8351&lt;&gt;"""", GOOGLETRANSLATE(C8351, ""en"", ""te""),"""")"),"")</f>
        <v/>
      </c>
      <c r="E8351" s="2"/>
      <c r="F8351" s="2" t="str">
        <f>IFERROR(__xludf.DUMMYFUNCTION("IF(E8351&lt;&gt;"""", GOOGLETRANSLATE(E8351, ""en"", ""te""),"""")"),"")</f>
        <v/>
      </c>
      <c r="G8351" s="2"/>
      <c r="H8351" s="2" t="str">
        <f>IFERROR(__xludf.DUMMYFUNCTION("IF(G8351&lt;&gt;"""", GOOGLETRANSLATE(G8351, ""en"", ""te""),"""")"),"")</f>
        <v/>
      </c>
      <c r="I8351" s="3"/>
    </row>
    <row r="8352" customHeight="1" spans="1:9">
      <c r="A8352" s="2"/>
      <c r="B8352" s="2" t="str">
        <f>IFERROR(__xludf.DUMMYFUNCTION("IF(A8352&lt;&gt;"""", GOOGLETRANSLATE(A8352, ""en"", ""te""),"""")"),"")</f>
        <v/>
      </c>
      <c r="C8352" s="2"/>
      <c r="D8352" s="2" t="str">
        <f>IFERROR(__xludf.DUMMYFUNCTION("IF(C8352&lt;&gt;"""", GOOGLETRANSLATE(C8352, ""en"", ""te""),"""")"),"")</f>
        <v/>
      </c>
      <c r="E8352" s="2"/>
      <c r="F8352" s="2" t="str">
        <f>IFERROR(__xludf.DUMMYFUNCTION("IF(E8352&lt;&gt;"""", GOOGLETRANSLATE(E8352, ""en"", ""te""),"""")"),"")</f>
        <v/>
      </c>
      <c r="G8352" s="2"/>
      <c r="H8352" s="2" t="str">
        <f>IFERROR(__xludf.DUMMYFUNCTION("IF(G8352&lt;&gt;"""", GOOGLETRANSLATE(G8352, ""en"", ""te""),"""")"),"")</f>
        <v/>
      </c>
      <c r="I8352" s="3"/>
    </row>
    <row r="8353" customHeight="1" spans="1:9">
      <c r="A8353" s="2"/>
      <c r="B8353" s="2" t="str">
        <f>IFERROR(__xludf.DUMMYFUNCTION("IF(A8353&lt;&gt;"""", GOOGLETRANSLATE(A8353, ""en"", ""te""),"""")"),"")</f>
        <v/>
      </c>
      <c r="C8353" s="2"/>
      <c r="D8353" s="2" t="str">
        <f>IFERROR(__xludf.DUMMYFUNCTION("IF(C8353&lt;&gt;"""", GOOGLETRANSLATE(C8353, ""en"", ""te""),"""")"),"")</f>
        <v/>
      </c>
      <c r="E8353" s="2"/>
      <c r="F8353" s="2" t="str">
        <f>IFERROR(__xludf.DUMMYFUNCTION("IF(E8353&lt;&gt;"""", GOOGLETRANSLATE(E8353, ""en"", ""te""),"""")"),"")</f>
        <v/>
      </c>
      <c r="G8353" s="2"/>
      <c r="H8353" s="2" t="str">
        <f>IFERROR(__xludf.DUMMYFUNCTION("IF(G8353&lt;&gt;"""", GOOGLETRANSLATE(G8353, ""en"", ""te""),"""")"),"")</f>
        <v/>
      </c>
      <c r="I8353" s="3"/>
    </row>
    <row r="8354" customHeight="1" spans="1:9">
      <c r="A8354" s="2"/>
      <c r="B8354" s="2" t="str">
        <f>IFERROR(__xludf.DUMMYFUNCTION("IF(A8354&lt;&gt;"""", GOOGLETRANSLATE(A8354, ""en"", ""te""),"""")"),"")</f>
        <v/>
      </c>
      <c r="C8354" s="2"/>
      <c r="D8354" s="2" t="str">
        <f>IFERROR(__xludf.DUMMYFUNCTION("IF(C8354&lt;&gt;"""", GOOGLETRANSLATE(C8354, ""en"", ""te""),"""")"),"")</f>
        <v/>
      </c>
      <c r="E8354" s="2"/>
      <c r="F8354" s="2" t="str">
        <f>IFERROR(__xludf.DUMMYFUNCTION("IF(E8354&lt;&gt;"""", GOOGLETRANSLATE(E8354, ""en"", ""te""),"""")"),"")</f>
        <v/>
      </c>
      <c r="G8354" s="2"/>
      <c r="H8354" s="2" t="str">
        <f>IFERROR(__xludf.DUMMYFUNCTION("IF(G8354&lt;&gt;"""", GOOGLETRANSLATE(G8354, ""en"", ""te""),"""")"),"")</f>
        <v/>
      </c>
      <c r="I8354" s="3"/>
    </row>
    <row r="8355" customHeight="1" spans="1:9">
      <c r="A8355" s="2"/>
      <c r="B8355" s="2" t="str">
        <f>IFERROR(__xludf.DUMMYFUNCTION("IF(A8355&lt;&gt;"""", GOOGLETRANSLATE(A8355, ""en"", ""te""),"""")"),"")</f>
        <v/>
      </c>
      <c r="C8355" s="2"/>
      <c r="D8355" s="2" t="str">
        <f>IFERROR(__xludf.DUMMYFUNCTION("IF(C8355&lt;&gt;"""", GOOGLETRANSLATE(C8355, ""en"", ""te""),"""")"),"")</f>
        <v/>
      </c>
      <c r="E8355" s="2"/>
      <c r="F8355" s="2" t="str">
        <f>IFERROR(__xludf.DUMMYFUNCTION("IF(E8355&lt;&gt;"""", GOOGLETRANSLATE(E8355, ""en"", ""te""),"""")"),"")</f>
        <v/>
      </c>
      <c r="G8355" s="2" t="s">
        <v>4668</v>
      </c>
      <c r="H8355" s="2" t="str">
        <f>IFERROR(__xludf.DUMMYFUNCTION("IF(G8355&lt;&gt;"""", GOOGLETRANSLATE(G8355, ""en"", ""te""),"""")"),"[ 'ఏడవ వికెట్కు 37 వ అత్యధిక భాగస్వామ్యం (49 *)']")</f>
        <v>[ 'ఏడవ వికెట్కు 37 వ అత్యధిక భాగస్వామ్యం (49 *)']</v>
      </c>
      <c r="I8355" s="3"/>
    </row>
    <row r="8356" customHeight="1" spans="1:9">
      <c r="A8356" s="2"/>
      <c r="B8356" s="2" t="str">
        <f>IFERROR(__xludf.DUMMYFUNCTION("IF(A8356&lt;&gt;"""", GOOGLETRANSLATE(A8356, ""en"", ""te""),"""")"),"")</f>
        <v/>
      </c>
      <c r="C8356" s="2"/>
      <c r="D8356" s="2" t="str">
        <f>IFERROR(__xludf.DUMMYFUNCTION("IF(C8356&lt;&gt;"""", GOOGLETRANSLATE(C8356, ""en"", ""te""),"""")"),"")</f>
        <v/>
      </c>
      <c r="E8356" s="2"/>
      <c r="F8356" s="2" t="str">
        <f>IFERROR(__xludf.DUMMYFUNCTION("IF(E8356&lt;&gt;"""", GOOGLETRANSLATE(E8356, ""en"", ""te""),"""")"),"")</f>
        <v/>
      </c>
      <c r="G8356" s="2"/>
      <c r="H8356" s="2" t="str">
        <f>IFERROR(__xludf.DUMMYFUNCTION("IF(G8356&lt;&gt;"""", GOOGLETRANSLATE(G8356, ""en"", ""te""),"""")"),"")</f>
        <v/>
      </c>
      <c r="I8356" s="3"/>
    </row>
    <row r="8357" customHeight="1" spans="1:9">
      <c r="A8357" s="2"/>
      <c r="B8357" s="2" t="str">
        <f>IFERROR(__xludf.DUMMYFUNCTION("IF(A8357&lt;&gt;"""", GOOGLETRANSLATE(A8357, ""en"", ""te""),"""")"),"")</f>
        <v/>
      </c>
      <c r="C8357" s="2"/>
      <c r="D8357" s="2" t="str">
        <f>IFERROR(__xludf.DUMMYFUNCTION("IF(C8357&lt;&gt;"""", GOOGLETRANSLATE(C8357, ""en"", ""te""),"""")"),"")</f>
        <v/>
      </c>
      <c r="E8357" s="2"/>
      <c r="F8357" s="2" t="str">
        <f>IFERROR(__xludf.DUMMYFUNCTION("IF(E8357&lt;&gt;"""", GOOGLETRANSLATE(E8357, ""en"", ""te""),"""")"),"")</f>
        <v/>
      </c>
      <c r="G8357" s="2"/>
      <c r="H8357" s="2" t="str">
        <f>IFERROR(__xludf.DUMMYFUNCTION("IF(G8357&lt;&gt;"""", GOOGLETRANSLATE(G8357, ""en"", ""te""),"""")"),"")</f>
        <v/>
      </c>
      <c r="I8357" s="3"/>
    </row>
    <row r="8358" customHeight="1" spans="1:9">
      <c r="A8358" s="2"/>
      <c r="B8358" s="2" t="str">
        <f>IFERROR(__xludf.DUMMYFUNCTION("IF(A8358&lt;&gt;"""", GOOGLETRANSLATE(A8358, ""en"", ""te""),"""")"),"")</f>
        <v/>
      </c>
      <c r="C8358" s="2"/>
      <c r="D8358" s="2" t="str">
        <f>IFERROR(__xludf.DUMMYFUNCTION("IF(C8358&lt;&gt;"""", GOOGLETRANSLATE(C8358, ""en"", ""te""),"""")"),"")</f>
        <v/>
      </c>
      <c r="E8358" s="2"/>
      <c r="F8358" s="2" t="str">
        <f>IFERROR(__xludf.DUMMYFUNCTION("IF(E8358&lt;&gt;"""", GOOGLETRANSLATE(E8358, ""en"", ""te""),"""")"),"")</f>
        <v/>
      </c>
      <c r="G8358" s="2"/>
      <c r="H8358" s="2" t="str">
        <f>IFERROR(__xludf.DUMMYFUNCTION("IF(G8358&lt;&gt;"""", GOOGLETRANSLATE(G8358, ""en"", ""te""),"""")"),"")</f>
        <v/>
      </c>
      <c r="I8358" s="3"/>
    </row>
    <row r="8359" customHeight="1" spans="1:9">
      <c r="A8359" s="2" t="s">
        <v>4669</v>
      </c>
      <c r="B8359" s="2" t="str">
        <f>IFERROR(__xludf.DUMMYFUNCTION("IF(A8359&lt;&gt;"""", GOOGLETRANSLATE(A8359, ""en"", ""te""),"""")"),"[ '1st షార్టేస్ట్ క్రీడాకారులు (22y 316d) నివసించారు']")</f>
        <v>[ '1st షార్టేస్ట్ క్రీడాకారులు (22y 316d) నివసించారు']</v>
      </c>
      <c r="C8359" s="2" t="s">
        <v>4669</v>
      </c>
      <c r="D8359" s="2" t="str">
        <f>IFERROR(__xludf.DUMMYFUNCTION("IF(C8359&lt;&gt;"""", GOOGLETRANSLATE(C8359, ""en"", ""te""),"""")"),"[ '1st షార్టేస్ట్ క్రీడాకారులు (22y 316d) నివసించారు']")</f>
        <v>[ '1st షార్టేస్ట్ క్రీడాకారులు (22y 316d) నివసించారు']</v>
      </c>
      <c r="E8359" s="2" t="s">
        <v>4670</v>
      </c>
      <c r="F8359" s="2" t="str">
        <f>IFERROR(__xludf.DUMMYFUNCTION("IF(E8359&lt;&gt;"""", GOOGLETRANSLATE(E8359, ""en"", ""te""),"""")"),"[ '13 వ వరుస నాలుగు వికెట్లు-ఇన్-ఒక-ఇన్నింగ్స్ (2)', '1st షార్టేస్ట్ క్రీడాకారులు నివసించారు (22y 316d)']")</f>
        <v>[ '13 వ వరుస నాలుగు వికెట్లు-ఇన్-ఒక-ఇన్నింగ్స్ (2)', '1st షార్టేస్ట్ క్రీడాకారులు నివసించారు (22y 316d)']</v>
      </c>
      <c r="G8359" s="2"/>
      <c r="H8359" s="2" t="str">
        <f>IFERROR(__xludf.DUMMYFUNCTION("IF(G8359&lt;&gt;"""", GOOGLETRANSLATE(G8359, ""en"", ""te""),"""")"),"")</f>
        <v/>
      </c>
      <c r="I8359" s="3"/>
    </row>
    <row r="8360" customHeight="1" spans="1:9">
      <c r="A8360" s="2"/>
      <c r="B8360" s="2" t="str">
        <f>IFERROR(__xludf.DUMMYFUNCTION("IF(A8360&lt;&gt;"""", GOOGLETRANSLATE(A8360, ""en"", ""te""),"""")"),"")</f>
        <v/>
      </c>
      <c r="C8360" s="2"/>
      <c r="D8360" s="2" t="str">
        <f>IFERROR(__xludf.DUMMYFUNCTION("IF(C8360&lt;&gt;"""", GOOGLETRANSLATE(C8360, ""en"", ""te""),"""")"),"")</f>
        <v/>
      </c>
      <c r="E8360" s="2"/>
      <c r="F8360" s="2" t="str">
        <f>IFERROR(__xludf.DUMMYFUNCTION("IF(E8360&lt;&gt;"""", GOOGLETRANSLATE(E8360, ""en"", ""te""),"""")"),"")</f>
        <v/>
      </c>
      <c r="G8360" s="2"/>
      <c r="H8360" s="2" t="str">
        <f>IFERROR(__xludf.DUMMYFUNCTION("IF(G8360&lt;&gt;"""", GOOGLETRANSLATE(G8360, ""en"", ""te""),"""")"),"")</f>
        <v/>
      </c>
      <c r="I8360" s="3"/>
    </row>
    <row r="8361" customHeight="1" spans="1:9">
      <c r="A8361" s="2" t="s">
        <v>4671</v>
      </c>
      <c r="B8361" s="2" t="str">
        <f>IFERROR(__xludf.DUMMYFUNCTION("IF(A8361&lt;&gt;"""", GOOGLETRANSLATE(A8361, ""en"", ""te""),"""")"),"[ 'ఇన్నింగ్స్ లో 9 వ అత్యధిక పరుగులు (బ్యాటింగ్ స్థానంలో ప్రకారం) (111)', '1000 పరుగులు మరియు 100 వికెట్లు', '6 వ అత్యధిక వరుస బాతులు (3)', '6 వ ఓల్డెస్ట్ ఐదు వికెట్ల తేడాతో in- కన్య ఆటగాడు ఒక-ఇన్నింగ్స్ (35y 199d) ',' 1000 పరుగులు మరియు 100 వికెట్లు ']")</f>
        <v>[ 'ఇన్నింగ్స్ లో 9 వ అత్యధిక పరుగులు (బ్యాటింగ్ స్థానంలో ప్రకారం) (111)', '1000 పరుగులు మరియు 100 వికెట్లు', '6 వ అత్యధిక వరుస బాతులు (3)', '6 వ ఓల్డెస్ట్ ఐదు వికెట్ల తేడాతో in- కన్య ఆటగాడు ఒక-ఇన్నింగ్స్ (35y 199d) ',' 1000 పరుగులు మరియు 100 వికెట్లు ']</v>
      </c>
      <c r="C8361" s="2" t="s">
        <v>4672</v>
      </c>
      <c r="D8361" s="2" t="str">
        <f>IFERROR(__xludf.DUMMYFUNCTION("IF(C8361&lt;&gt;"""", GOOGLETRANSLATE(C8361, ""en"", ""te""),"""")"),"[ 'ఇన్నింగ్స్ లో 36 వ ఎక్కువ సిక్స్ (6)' '9 వ అత్యంత ఇన్నింగ్స్ లో నడుస్తుంది (బ్యాటింగ్ స్థానం) (111)',]")</f>
        <v>[ 'ఇన్నింగ్స్ లో 36 వ ఎక్కువ సిక్స్ (6)' '9 వ అత్యంత ఇన్నింగ్స్ లో నడుస్తుంది (బ్యాటింగ్ స్థానం) (111)',]</v>
      </c>
      <c r="E8361" s="2" t="s">
        <v>4673</v>
      </c>
      <c r="F8361" s="2" t="str">
        <f>IFERROR(__xludf.DUMMYFUNCTION("IF(E8361&lt;&gt;"""", GOOGLETRANSLATE(E8361, ""en"", ""te""),"""")"),"[ '45 వ కెరీర్ బాతులు (15)', '6 వ అత్యధిక వరుస బాతులు (3)', ఒక తీసుకోవాలని 'అయిదు వికెట్లు-ఇన్-ఒక-ఇన్నింగ్స్ (35y 199d) పడుతుంది 11 వ ఓల్డెస్ట్ ఆటగాడు', '6 వ అత్యంత వృద్ధ ఆటగాడు ఐదు వికెట్ల తేడాతో-ఒక ఇన్నింగ్స్లో తొలి (35y 199d) ',' 35 వ అత్యధిక వికెట్లు "&amp;"క్యాచ్ మరియు బౌల్డ్ తీసుకోకూడదు (10) ',' 28th అత్యధిక వికెట్లు తీసుకున్న స్టంప్ (12) ']")</f>
        <v>[ '45 వ కెరీర్ బాతులు (15)', '6 వ అత్యధిక వరుస బాతులు (3)', ఒక తీసుకోవాలని 'అయిదు వికెట్లు-ఇన్-ఒక-ఇన్నింగ్స్ (35y 199d) పడుతుంది 11 వ ఓల్డెస్ట్ ఆటగాడు', '6 వ అత్యంత వృద్ధ ఆటగాడు ఐదు వికెట్ల తేడాతో-ఒక ఇన్నింగ్స్లో తొలి (35y 199d) ',' 35 వ అత్యధిక వికెట్లు క్యాచ్ మరియు బౌల్డ్ తీసుకోకూడదు (10) ',' 28th అత్యధిక వికెట్లు తీసుకున్న స్టంప్ (12) ']</v>
      </c>
      <c r="G8361" s="2" t="s">
        <v>4674</v>
      </c>
      <c r="H8361" s="2" t="str">
        <f>IFERROR(__xludf.DUMMYFUNCTION("IF(G8361&lt;&gt;"""", GOOGLETRANSLATE(G8361, ""en"", ""te""),"""")"),"[ '16 వ పురాతన దేశం ఆటగాళ్ళు (50y 191d)']")</f>
        <v>[ '16 వ పురాతన దేశం ఆటగాళ్ళు (50y 191d)']</v>
      </c>
      <c r="I8361" s="3"/>
    </row>
    <row r="8362" customHeight="1" spans="1:9">
      <c r="A8362" s="2"/>
      <c r="B8362" s="2" t="str">
        <f>IFERROR(__xludf.DUMMYFUNCTION("IF(A8362&lt;&gt;"""", GOOGLETRANSLATE(A8362, ""en"", ""te""),"""")"),"")</f>
        <v/>
      </c>
      <c r="C8362" s="2"/>
      <c r="D8362" s="2" t="str">
        <f>IFERROR(__xludf.DUMMYFUNCTION("IF(C8362&lt;&gt;"""", GOOGLETRANSLATE(C8362, ""en"", ""te""),"""")"),"")</f>
        <v/>
      </c>
      <c r="E8362" s="2"/>
      <c r="F8362" s="2" t="str">
        <f>IFERROR(__xludf.DUMMYFUNCTION("IF(E8362&lt;&gt;"""", GOOGLETRANSLATE(E8362, ""en"", ""te""),"""")"),"")</f>
        <v/>
      </c>
      <c r="G8362" s="2" t="s">
        <v>3311</v>
      </c>
      <c r="H8362" s="2" t="str">
        <f>IFERROR(__xludf.DUMMYFUNCTION("IF(G8362&lt;&gt;"""", GOOGLETRANSLATE(G8362, ""en"", ""te""),"""")"),"[ 'కెరీర్లో 29 వ లేవు బాతులు (10)']")</f>
        <v>[ 'కెరీర్లో 29 వ లేవు బాతులు (10)']</v>
      </c>
      <c r="I8362" s="3"/>
    </row>
    <row r="8363" customHeight="1" spans="1:9">
      <c r="A8363" s="2"/>
      <c r="B8363" s="2" t="str">
        <f>IFERROR(__xludf.DUMMYFUNCTION("IF(A8363&lt;&gt;"""", GOOGLETRANSLATE(A8363, ""en"", ""te""),"""")"),"")</f>
        <v/>
      </c>
      <c r="C8363" s="2"/>
      <c r="D8363" s="2" t="str">
        <f>IFERROR(__xludf.DUMMYFUNCTION("IF(C8363&lt;&gt;"""", GOOGLETRANSLATE(C8363, ""en"", ""te""),"""")"),"")</f>
        <v/>
      </c>
      <c r="E8363" s="2"/>
      <c r="F8363" s="2" t="str">
        <f>IFERROR(__xludf.DUMMYFUNCTION("IF(E8363&lt;&gt;"""", GOOGLETRANSLATE(E8363, ""en"", ""te""),"""")"),"")</f>
        <v/>
      </c>
      <c r="G8363" s="2"/>
      <c r="H8363" s="2" t="str">
        <f>IFERROR(__xludf.DUMMYFUNCTION("IF(G8363&lt;&gt;"""", GOOGLETRANSLATE(G8363, ""en"", ""te""),"""")"),"")</f>
        <v/>
      </c>
      <c r="I8363" s="3"/>
    </row>
    <row r="8364" customHeight="1" spans="1:9">
      <c r="A8364" s="2" t="s">
        <v>4675</v>
      </c>
      <c r="B8364" s="2" t="str">
        <f>IFERROR(__xludf.DUMMYFUNCTION("IF(A8364&lt;&gt;"""", GOOGLETRANSLATE(A8364, ""en"", ""te""),"""")"),"[ 'వికెట్ను కాపాడుకున్నాడు చేసిన 2 వ కెప్టెన్ల (28)', '4 వ అత్యధిక ఇన్నింగ్స్ బై గూడా ఇవ్వకుండా మొత్తం (687 / 6d)', 'అత్యధిక వికెట్లు ఇన్నింగ్స్ లో 4 వ అత్యధిక పరుగులు (219 *)', '2000 పరుగులు మరియు 100 వికెట్కీపింగ్ తొలగింపులకు ',' కెరీర్ లో 7 వ అత్యధిక "&amp;"వికెట్లు (233) ',' 8 వ కెరీర్లో అత్యధిక క్యాచ్లు (187) ',' వికెట్ను కాపాడుకున్నాడు చేసిన 8 వ కెప్టెన్ల (30) ',' 6 వ అత్యంత స్టంపింగ్లు కెరీర్లో (46) ',' 10 వ అత్యంత 99 (199, 299 etc) (99) ',' 6 వ అత్యధిక వరుస బాతులు (3) అవుటయ్యాడు 1st ఒకే క్రీడా (2616) లో"&amp;" (12) ',' 2 వ అత్యధిక పరుగులు ఇన్నింగ్స్ లో సాధించిన బైస్ ',' ',' 200 పరుగులు మరియు వికెట్ను కాపాడుకున్నాడు చేసిన వరుస ',' కెరీర్ లో 3 వ అత్యధిక వికెట్లు (61) ',' 3 వ కెప్టెన్ల 10 వికెట్కీపింగ్ వికెట్లు (23) ',' 5 వ అత్యధిక క్యాచ్లు కెరీర్లో (32) ',' 3 వ"&amp;" జీవితంలో అత్యధిక స్టంపింగ్లు (29) ',' 4 వ అత్యంత ఇన్నింగ్స్ (10) ',' 8 వ ఒకే మైదానంలో అత్యధిక పరుగులు (392) ',' 6 వ కెరీర్ స్టంపింగ్లు (90) ',' 2 వ అత్యధిక పరుగులు సాధించింది బైస్ ఒకే నేలపై (4257) ']")</f>
        <v>[ 'వికెట్ను కాపాడుకున్నాడు చేసిన 2 వ కెప్టెన్ల (28)', '4 వ అత్యధిక ఇన్నింగ్స్ బై గూడా ఇవ్వకుండా మొత్తం (687 / 6d)', 'అత్యధిక వికెట్లు ఇన్నింగ్స్ లో 4 వ అత్యధిక పరుగులు (219 *)', '2000 పరుగులు మరియు 100 వికెట్కీపింగ్ తొలగింపులకు ',' కెరీర్ లో 7 వ అత్యధిక వికెట్లు (233) ',' 8 వ కెరీర్లో అత్యధిక క్యాచ్లు (187) ',' వికెట్ను కాపాడుకున్నాడు చేసిన 8 వ కెప్టెన్ల (30) ',' 6 వ అత్యంత స్టంపింగ్లు కెరీర్లో (46) ',' 10 వ అత్యంత 99 (199, 299 etc) (99) ',' 6 వ అత్యధిక వరుస బాతులు (3) అవుటయ్యాడు 1st ఒకే క్రీడా (2616) లో (12) ',' 2 వ అత్యధిక పరుగులు ఇన్నింగ్స్ లో సాధించిన బైస్ ',' ',' 200 పరుగులు మరియు వికెట్ను కాపాడుకున్నాడు చేసిన వరుస ',' కెరీర్ లో 3 వ అత్యధిక వికెట్లు (61) ',' 3 వ కెప్టెన్ల 10 వికెట్కీపింగ్ వికెట్లు (23) ',' 5 వ అత్యధిక క్యాచ్లు కెరీర్లో (32) ',' 3 వ జీవితంలో అత్యధిక స్టంపింగ్లు (29) ',' 4 వ అత్యంత ఇన్నింగ్స్ (10) ',' 8 వ ఒకే మైదానంలో అత్యధిక పరుగులు (392) ',' 6 వ కెరీర్ స్టంపింగ్లు (90) ',' 2 వ అత్యధిక పరుగులు సాధించింది బైస్ ఒకే నేలపై (4257) ']</v>
      </c>
      <c r="C8364" s="2" t="s">
        <v>4676</v>
      </c>
      <c r="D8364" s="2" t="str">
        <f>IFERROR(__xludf.DUMMYFUNCTION("IF(C8364&lt;&gt;"""", GOOGLETRANSLATE(C8364, ""en"", ""te""),"""")"),"[ '11 వ ఇన్నింగ్స్ లో అత్యధిక పరుగులు (బ్యాటింగ్ స్థానంలో ప్రకారం) (200)', 'అత్యధిక వికెట్లు ఇన్నింగ్స్ లో 4 వ అత్యధిక పరుగులు (219 *)', '41 వ అత్యధిక పరుగులు ఒకే క్రీడా (1249)' 'న 27 వ ఒక వృత్తిలో డబుల్ సెంచరీలు (3) ',' ఎనిమిదవ వికెట్కు 28 అత్యధిక భాగస్వ"&amp;"ామ్యం (144 *) ',' 39 వ పిన్న క్రీడాకారులు (18y 17d) ',' 36 వ కెప్టెన్గా అత్యధిక మ్యాచ్లు (34) ',' 29th వరుస మ్యాచ్లు ఒక జట్టు కెప్టెన్గా (27) ',' 22 వ పిన్న కాప్టెన్ (24y 165d) ',' వికెట్ (28) ఉంచింది చేసిన 2 వ కెప్టెన్ల ',' 41 వ కెరీర్ లో అత్యధిక వికెట్ల"&amp;"ు (113) ',' 43 వ కెరీర్ లో అత్యధిక క్యాచ్లు ( 98) ',' 29th కెరీర్ స్టంపింగ్లు (15) ',' 4 వ అత్యధిక ఇన్నింగ్స్ బై గూడా ఇవ్వకుండా మొత్తం (687 / 6d) ']")</f>
        <v>[ '11 వ ఇన్నింగ్స్ లో అత్యధిక పరుగులు (బ్యాటింగ్ స్థానంలో ప్రకారం) (200)', 'అత్యధిక వికెట్లు ఇన్నింగ్స్ లో 4 వ అత్యధిక పరుగులు (219 *)', '41 వ అత్యధిక పరుగులు ఒకే క్రీడా (1249)' 'న 27 వ ఒక వృత్తిలో డబుల్ సెంచరీలు (3) ',' ఎనిమిదవ వికెట్కు 28 అత్యధిక భాగస్వామ్యం (144 *) ',' 39 వ పిన్న క్రీడాకారులు (18y 17d) ',' 36 వ కెప్టెన్గా అత్యధిక మ్యాచ్లు (34) ',' 29th వరుస మ్యాచ్లు ఒక జట్టు కెప్టెన్గా (27) ',' 22 వ పిన్న కాప్టెన్ (24y 165d) ',' వికెట్ (28) ఉంచింది చేసిన 2 వ కెప్టెన్ల ',' 41 వ కెరీర్ లో అత్యధిక వికెట్లు (113) ',' 43 వ కెరీర్ లో అత్యధిక క్యాచ్లు ( 98) ',' 29th కెరీర్ స్టంపింగ్లు (15) ',' 4 వ అత్యధిక ఇన్నింగ్స్ బై గూడా ఇవ్వకుండా మొత్తం (687 / 6d) ']</v>
      </c>
      <c r="E8364" s="2" t="s">
        <v>4677</v>
      </c>
      <c r="F8364" s="2" t="str">
        <f>IFERROR(__xludf.DUMMYFUNCTION("IF(E8364&lt;&gt;"""", GOOGLETRANSLATE(E8364, ""en"", ""te""),"""")"),"[ '15 వ ఇన్నింగ్స్ లో అత్యధిక పరుగులు (బ్యాటింగ్ స్థానంలో ప్రకారం) (144)', 'ఒకే మైదానంలో 2 వ అత్యధిక పరుగులు (2616)', 'ఒక వికెట్ కీపర్ సిరీస్లో 14 అత్యధిక పరుగులు (407)', '19 వ అత్యధిక పరుగులు అత్యధిక వికెట్లు ఇన్నింగ్స్ లో (144) ',' ఇన్నింగ్స్ లో 37 వ అ"&amp;"త్యధిక స్ట్రైక్ రేట్ (272.72) ',' 34 వ కెరీర్ తొంభైల (4) ',' 1 వ 99 (199, 299 etc) (99) అవుటయ్యాడు ',' 6 వ అత్యధిక వరుస బాతులు (3) ',' ఒక ఇన్నింగ్స్లో పరుగులు 44 వ అత్యధిక శాతం (55.17) ',' ఫాస్టెస్ట్ 6000 పరుగులు (201) ',' ఏడవ వికెట్ (101) కోసం 46 వ అత్"&amp;"యధిక భాగస్వామ్యం '46 వ 'ఒక జట్టు కోసం 21 వ వరుస మ్యాచ్లు (92)', '17 వ అత్యంత ప్లేయర్ ఆఫ్ ది సిరీస్ అవార్డులు (5)', '30 వ వరుస మ్యాచ్లు ఒక జట్టు కెప్టెన్గా (37)', '29th పిన్న కాప్టెన్ ( 24y 157d) ',' వికెట్ (30 ఉంచింది చేసిన 8 వ కెప్టెన్ల) ',' కెరీర్ లో 7 "&amp;"వ అత్యధిక వికెట్లు (233) ',' 16 వ ఇన్నింగ్స్ లో అత్యధిక వికెట్లు (5) ',' 8 వ అత్యధిక క్యాచ్లు కెరీర్లో (187) ' , '11 వ ఇన్నింగ్స్ (5) అత్యధిక క్యాచ్లు' 'కెరీర్లో 6 వ అత్యంత స్టంపింగ్లు (46)', '7th ఒక సిరీస్లో అత్యధిక స్టంపింగ్లు (5 ) ',' 10 వ అత్యంత బైలు"&amp;" ఇన్నింగ్స్ 12 (సాధించిన) ']")</f>
        <v>[ '15 వ ఇన్నింగ్స్ లో అత్యధిక పరుగులు (బ్యాటింగ్ స్థానంలో ప్రకారం) (144)', 'ఒకే మైదానంలో 2 వ అత్యధిక పరుగులు (2616)', 'ఒక వికెట్ కీపర్ సిరీస్లో 14 అత్యధిక పరుగులు (407)', '19 వ అత్యధిక పరుగులు అత్యధిక వికెట్లు ఇన్నింగ్స్ లో (144) ',' ఇన్నింగ్స్ లో 37 వ అత్యధిక స్ట్రైక్ రేట్ (272.72) ',' 34 వ కెరీర్ తొంభైల (4) ',' 1 వ 99 (199, 299 etc) (99) అవుటయ్యాడు ',' 6 వ అత్యధిక వరుస బాతులు (3) ',' ఒక ఇన్నింగ్స్లో పరుగులు 44 వ అత్యధిక శాతం (55.17) ',' ఫాస్టెస్ట్ 6000 పరుగులు (201) ',' ఏడవ వికెట్ (101) కోసం 46 వ అత్యధిక భాగస్వామ్యం '46 వ 'ఒక జట్టు కోసం 21 వ వరుస మ్యాచ్లు (92)', '17 వ అత్యంత ప్లేయర్ ఆఫ్ ది సిరీస్ అవార్డులు (5)', '30 వ వరుస మ్యాచ్లు ఒక జట్టు కెప్టెన్గా (37)', '29th పిన్న కాప్టెన్ ( 24y 157d) ',' వికెట్ (30 ఉంచింది చేసిన 8 వ కెప్టెన్ల) ',' కెరీర్ లో 7 వ అత్యధిక వికెట్లు (233) ',' 16 వ ఇన్నింగ్స్ లో అత్యధిక వికెట్లు (5) ',' 8 వ అత్యధిక క్యాచ్లు కెరీర్లో (187) ' , '11 వ ఇన్నింగ్స్ (5) అత్యధిక క్యాచ్లు' 'కెరీర్లో 6 వ అత్యంత స్టంపింగ్లు (46)', '7th ఒక సిరీస్లో అత్యధిక స్టంపింగ్లు (5 ) ',' 10 వ అత్యంత బైలు ఇన్నింగ్స్ 12 (సాధించిన) ']</v>
      </c>
      <c r="G8364" s="2" t="s">
        <v>4678</v>
      </c>
      <c r="H8364" s="2" t="str">
        <f>IFERROR(__xludf.DUMMYFUNCTION("IF(G8364&lt;&gt;"""", GOOGLETRANSLATE(G8364, ""en"", ""te""),"""")"),"[ '46 వ కెరీర్ లో అత్యధిక పరుగులు (1282)', '44th ఒక క్యాలెండర్ సంవత్సరంలో అత్యధిక పరుగులు (397)', '8 వ ఒకే మైదానంలో అత్యధిక పరుగులు (392)', '35 వ అత్యధిక వికెట్లు ఇన్నింగ్స్ లో అత్యధిక పరుగులు (72 *) ',' ఒక డక్ లేకుండా 40 వ వరుస ఇన్నింగ్స్ (33) ',' కెరీర"&amp;"్లో 41 వ అతి తక్కువ బాతులు (15.4) ',' 32 వ కెరీర్ బాతులు (5) ',' ఐదవ వికెట్కు 13 వ అత్యధిక భాగస్వామ్యం (84) ',' ఏడవ వికెట్కు 42 వ అత్యధిక భాగస్వామ్యం (48) ',' 12 వ కెరీర్ లో అత్యధిక మ్యాచ్లు (86) ',' 16 వ లాంగెస్ట్ కెరీర్లు (13y 104d) ',' 28th అత్యధిక మ్య"&amp;"ాచ్లు కెప్టెన్గా (23) ',' 27th పిన్న కాప్టెన్ (24y 155d) ',' 3 వ కెప్టెన్ల వికెట్ (23) ఉంచింది చేసిన ',' ఒక జట్టు కెప్టెన్గా 29 వరుస మ్యాచ్లు (37) ',' 3 వ అత్యధిక కెరీర్ లో వికెట్లు (61) ',' 5 వ అత్యధిక క్యాచ్లు లో కెరీర్ (32) ',' 3 వ అత్యంత స్టంపింగ్లు క"&amp;"ెరీర్లో (29) ',' 4 వ అత్యంత ఇన్నింగ్స్ లో సాధించిన బైస్ (10) ']")</f>
        <v>[ '46 వ కెరీర్ లో అత్యధిక పరుగులు (1282)', '44th ఒక క్యాలెండర్ సంవత్సరంలో అత్యధిక పరుగులు (397)', '8 వ ఒకే మైదానంలో అత్యధిక పరుగులు (392)', '35 వ అత్యధిక వికెట్లు ఇన్నింగ్స్ లో అత్యధిక పరుగులు (72 *) ',' ఒక డక్ లేకుండా 40 వ వరుస ఇన్నింగ్స్ (33) ',' కెరీర్లో 41 వ అతి తక్కువ బాతులు (15.4) ',' 32 వ కెరీర్ బాతులు (5) ',' ఐదవ వికెట్కు 13 వ అత్యధిక భాగస్వామ్యం (84) ',' ఏడవ వికెట్కు 42 వ అత్యధిక భాగస్వామ్యం (48) ',' 12 వ కెరీర్ లో అత్యధిక మ్యాచ్లు (86) ',' 16 వ లాంగెస్ట్ కెరీర్లు (13y 104d) ',' 28th అత్యధిక మ్యాచ్లు కెప్టెన్గా (23) ',' 27th పిన్న కాప్టెన్ (24y 155d) ',' 3 వ కెప్టెన్ల వికెట్ (23) ఉంచింది చేసిన ',' ఒక జట్టు కెప్టెన్గా 29 వరుస మ్యాచ్లు (37) ',' 3 వ అత్యధిక కెరీర్ లో వికెట్లు (61) ',' 5 వ అత్యధిక క్యాచ్లు లో కెరీర్ (32) ',' 3 వ అత్యంత స్టంపింగ్లు కెరీర్లో (29) ',' 4 వ అత్యంత ఇన్నింగ్స్ లో సాధించిన బైస్ (10) ']</v>
      </c>
      <c r="I8364" s="3"/>
    </row>
    <row r="8365" customHeight="1" spans="1:9">
      <c r="A8365" s="2"/>
      <c r="B8365" s="2" t="str">
        <f>IFERROR(__xludf.DUMMYFUNCTION("IF(A8365&lt;&gt;"""", GOOGLETRANSLATE(A8365, ""en"", ""te""),"""")"),"")</f>
        <v/>
      </c>
      <c r="C8365" s="2"/>
      <c r="D8365" s="2" t="str">
        <f>IFERROR(__xludf.DUMMYFUNCTION("IF(C8365&lt;&gt;"""", GOOGLETRANSLATE(C8365, ""en"", ""te""),"""")"),"")</f>
        <v/>
      </c>
      <c r="E8365" s="2"/>
      <c r="F8365" s="2" t="str">
        <f>IFERROR(__xludf.DUMMYFUNCTION("IF(E8365&lt;&gt;"""", GOOGLETRANSLATE(E8365, ""en"", ""te""),"""")"),"")</f>
        <v/>
      </c>
      <c r="G8365" s="2"/>
      <c r="H8365" s="2" t="str">
        <f>IFERROR(__xludf.DUMMYFUNCTION("IF(G8365&lt;&gt;"""", GOOGLETRANSLATE(G8365, ""en"", ""te""),"""")"),"")</f>
        <v/>
      </c>
      <c r="I8365" s="3"/>
    </row>
    <row r="8366" customHeight="1" spans="1:9">
      <c r="A8366" s="2"/>
      <c r="B8366" s="2" t="str">
        <f>IFERROR(__xludf.DUMMYFUNCTION("IF(A8366&lt;&gt;"""", GOOGLETRANSLATE(A8366, ""en"", ""te""),"""")"),"")</f>
        <v/>
      </c>
      <c r="C8366" s="2"/>
      <c r="D8366" s="2" t="str">
        <f>IFERROR(__xludf.DUMMYFUNCTION("IF(C8366&lt;&gt;"""", GOOGLETRANSLATE(C8366, ""en"", ""te""),"""")"),"")</f>
        <v/>
      </c>
      <c r="E8366" s="2"/>
      <c r="F8366" s="2" t="str">
        <f>IFERROR(__xludf.DUMMYFUNCTION("IF(E8366&lt;&gt;"""", GOOGLETRANSLATE(E8366, ""en"", ""te""),"""")"),"")</f>
        <v/>
      </c>
      <c r="G8366" s="2"/>
      <c r="H8366" s="2" t="str">
        <f>IFERROR(__xludf.DUMMYFUNCTION("IF(G8366&lt;&gt;"""", GOOGLETRANSLATE(G8366, ""en"", ""te""),"""")"),"")</f>
        <v/>
      </c>
      <c r="I8366" s="3"/>
    </row>
    <row r="8367" customHeight="1" spans="1:9">
      <c r="A8367" s="2"/>
      <c r="B8367" s="2" t="str">
        <f>IFERROR(__xludf.DUMMYFUNCTION("IF(A8367&lt;&gt;"""", GOOGLETRANSLATE(A8367, ""en"", ""te""),"""")"),"")</f>
        <v/>
      </c>
      <c r="C8367" s="2"/>
      <c r="D8367" s="2" t="str">
        <f>IFERROR(__xludf.DUMMYFUNCTION("IF(C8367&lt;&gt;"""", GOOGLETRANSLATE(C8367, ""en"", ""te""),"""")"),"")</f>
        <v/>
      </c>
      <c r="E8367" s="2"/>
      <c r="F8367" s="2" t="str">
        <f>IFERROR(__xludf.DUMMYFUNCTION("IF(E8367&lt;&gt;"""", GOOGLETRANSLATE(E8367, ""en"", ""te""),"""")"),"")</f>
        <v/>
      </c>
      <c r="G8367" s="2"/>
      <c r="H8367" s="2" t="str">
        <f>IFERROR(__xludf.DUMMYFUNCTION("IF(G8367&lt;&gt;"""", GOOGLETRANSLATE(G8367, ""en"", ""te""),"""")"),"")</f>
        <v/>
      </c>
      <c r="I8367" s="3"/>
    </row>
    <row r="8368" customHeight="1" spans="1:9">
      <c r="A8368" s="2" t="s">
        <v>4679</v>
      </c>
      <c r="B8368" s="2" t="str">
        <f>IFERROR(__xludf.DUMMYFUNCTION("IF(A8368&lt;&gt;"""", GOOGLETRANSLATE(A8368, ""en"", ""te""),"""")"),"[ '5 వ ఉత్తమ కెరీర్ సమ్మె రేటు (26.5)', '3 వ అరంగేట్రంలోనే ఇన్నింగ్స్ లోని బెస్ట్ ఫిగర్స్ (5)', '2 వ వరుస ఐదు వికెట్ల లో-ఒక-ఇన్నింగ్స్ (2)', '100 వికెట్లు వేగవంతమైన 4 వ (54) ',' 3 వ అత్యంత ఇన్నింగ్స్ లో నడుస్తుంది (బ్యాటింగ్ స్థానం) (15) ',' 1st ఒక ఇన్ని"&amp;"ంగ్స్ లోని బెస్ట్ ఫిగర్స్ ఉన్నప్పుడు 50 వికెట్లు పరాజయం వైపు (5) ',' 4 వ వేగవంతమైన (33) ']")</f>
        <v>[ '5 వ ఉత్తమ కెరీర్ సమ్మె రేటు (26.5)', '3 వ అరంగేట్రంలోనే ఇన్నింగ్స్ లోని బెస్ట్ ఫిగర్స్ (5)', '2 వ వరుస ఐదు వికెట్ల లో-ఒక-ఇన్నింగ్స్ (2)', '100 వికెట్లు వేగవంతమైన 4 వ (54) ',' 3 వ అత్యంత ఇన్నింగ్స్ లో నడుస్తుంది (బ్యాటింగ్ స్థానం) (15) ',' 1st ఒక ఇన్నింగ్స్ లోని బెస్ట్ ఫిగర్స్ ఉన్నప్పుడు 50 వికెట్లు పరాజయం వైపు (5) ',' 4 వ వేగవంతమైన (33) ']</v>
      </c>
      <c r="C8368" s="2"/>
      <c r="D8368" s="2" t="str">
        <f>IFERROR(__xludf.DUMMYFUNCTION("IF(C8368&lt;&gt;"""", GOOGLETRANSLATE(C8368, ""en"", ""te""),"""")"),"")</f>
        <v/>
      </c>
      <c r="E8368" s="2" t="s">
        <v>4680</v>
      </c>
      <c r="F8368" s="2" t="str">
        <f>IFERROR(__xludf.DUMMYFUNCTION("IF(E8368&lt;&gt;"""", GOOGLETRANSLATE(E8368, ""en"", ""te""),"""")"),"[ '26 ఒక సిరీస్లో అత్యధిక వికెట్లు (20)', 'ఒకే మైదానంలో 17 వ అత్యధిక వికెట్లు (47)', '14 వ ఒక ఇన్నింగ్స్ లోని బెస్ట్ ఫిగర్స్ పరాజయం వైపు (5) ఉన్నప్పుడు', '25 వ ఉత్తమ కెరీర్ సగటు బౌలింగ్ ( 22.92) ',' 5 వ ఉత్తమ కెరీర్ సమ్మె రేటు (26.5) ',' తొలి ఇన్నింగ్స్"&amp;"లో 3 వ ఉత్తమ బొమ్మలు (5) ',' 11 వ అత్యంత ఐదు-వికెట్ల లో-ఒక-ఇన్నింగ్స్ కెరీర్లో (5) ',' 43 వ అత్యంత నాలుగు వికెట్లు-ఇన్-ఒక-ఇన్నింగ్స్ కెరీర్ (8) ',' 2 వ వరుస ఐదు వికెట్ల లో-ఒక-ఇన్నింగ్స్ (2) ',' 13 వ వరుస నాలుగు వికెట్లు-ఇన్-ఒక ఇన్నింగ్స్లో (2) ',' 11 వ పి"&amp;"న్న ఆటగాడు 50 వికెట్లు వేగంగా తీసుకుని ఐదు-వికెట్ల లో-ఒక-ఇన్నింగ్స్ (19y 285D) ',' 36 వ అత్యంత ఇన్నింగ్స్ లో సాధించిన పరుగులు (93) ',' 17 వ (27) ', '4 వ వేగవంతమైన 100 వికెట్లు (54)']")</f>
        <v>[ '26 ఒక సిరీస్లో అత్యధిక వికెట్లు (20)', 'ఒకే మైదానంలో 17 వ అత్యధిక వికెట్లు (47)', '14 వ ఒక ఇన్నింగ్స్ లోని బెస్ట్ ఫిగర్స్ పరాజయం వైపు (5) ఉన్నప్పుడు', '25 వ ఉత్తమ కెరీర్ సగటు బౌలింగ్ ( 22.92) ',' 5 వ ఉత్తమ కెరీర్ సమ్మె రేటు (26.5) ',' తొలి ఇన్నింగ్స్లో 3 వ ఉత్తమ బొమ్మలు (5) ',' 11 వ అత్యంత ఐదు-వికెట్ల లో-ఒక-ఇన్నింగ్స్ కెరీర్లో (5) ',' 43 వ అత్యంత నాలుగు వికెట్లు-ఇన్-ఒక-ఇన్నింగ్స్ కెరీర్ (8) ',' 2 వ వరుస ఐదు వికెట్ల లో-ఒక-ఇన్నింగ్స్ (2) ',' 13 వ వరుస నాలుగు వికెట్లు-ఇన్-ఒక ఇన్నింగ్స్లో (2) ',' 11 వ పిన్న ఆటగాడు 50 వికెట్లు వేగంగా తీసుకుని ఐదు-వికెట్ల లో-ఒక-ఇన్నింగ్స్ (19y 285D) ',' 36 వ అత్యంత ఇన్నింగ్స్ లో సాధించిన పరుగులు (93) ',' 17 వ (27) ', '4 వ వేగవంతమైన 100 వికెట్లు (54)']</v>
      </c>
      <c r="G8368" s="2" t="s">
        <v>4681</v>
      </c>
      <c r="H8368" s="2" t="str">
        <f>IFERROR(__xludf.DUMMYFUNCTION("IF(G8368&lt;&gt;"""", GOOGLETRANSLATE(G8368, ""en"", ""te""),"""")"),"[ '3 వ అత్యంత ఇన్నింగ్స్ లో నడుస్తుంది (బ్యాటింగ్ స్థానం) (15)', ఒక క్యాలెండర్ లో 'ఇన్నింగ్స్ లో 35 వ బెస్ట్ ఫిగర్స్ (5/22)' '22 వ అత్యధిక కెరీర్ వికెట్లు (58)', '30 వ అత్యధిక వికెట్లు సంవత్సరం (21) ',' 4 వ ఒకే మైదానంలో అత్యధిక వికెట్లు (20) ',' 1st ఒక ఇ"&amp;"న్నింగ్స్ లోని బెస్ట్ ఫిగర్స్ పరాజయం వైపు (5) ',' 41 వ ఉత్తమ కెరీర్ సగటు (21.36) ',' 20 వ ఉత్తమ బౌలింగ్ చేస్తున్నప్పుడు వృత్తి సమ్మె రేటు (15.9) ',' ఇన్నింగ్స్ లో 31 ఉత్తమ సమ్మె రేటు (4.5) ',' 34 వ చెత్త కెరీర్లో ఆర్థిక రేటు (8.03) ',' 16 వ అత్యంత నాలుగు"&amp;" వికెట్లు-ఇన్-ఒక-ఇన్నింగ్స్ కెరీర్లో (2) ',' 38 వ కెరీర్ లో బౌల్డ్ చాలా బంతుల్లో (925) ',' 24 వ అత్యధిక పరుగులు కెరీర్లో (1239) సాధించిన ',' 17 వ బౌలర్ / బ్యాట్స్ కలయికలు (3) ',' 26th బౌలర్ / ఫీల్డర్ కలయికలు (7) ',' 20 వ ఎక్కువ వికెట్లు బౌల్డ్ తీసుకోకూడదు"&amp;" (14) ',' 18 వ అత్యధిక వికెట్లు తీసుకున్న ఆకర్షించింది (39) ',' 24 వ అత్యధిక వికెట్లు ఒక ఫీల్డర్ చేత క్యాచ్ తీసుకున్న (31) ',' 13 వ అత్యధిక వికెట్లు ఒక వికెట్ కీపర్ చే కాట్ తీసుకున్న (8) ',' 32 వ ఎక్కువ వికెట్లు తీసుకున్న ఎల్బిడబ్ల్యు (5) ',' 4 వ వేగవంతమె"&amp;"ౖన 50 వికెట్లు (33) ',' 15 వ అత్యధిక క్యాచ్లు ఒక ఇన్నింగ్స్ లో (3) ',' 19 వ కెరీర్ పనికత్తెలయొద్ద (3) ']")</f>
        <v>[ '3 వ అత్యంత ఇన్నింగ్స్ లో నడుస్తుంది (బ్యాటింగ్ స్థానం) (15)', ఒక క్యాలెండర్ లో 'ఇన్నింగ్స్ లో 35 వ బెస్ట్ ఫిగర్స్ (5/22)' '22 వ అత్యధిక కెరీర్ వికెట్లు (58)', '30 వ అత్యధిక వికెట్లు సంవత్సరం (21) ',' 4 వ ఒకే మైదానంలో అత్యధిక వికెట్లు (20) ',' 1st ఒక ఇన్నింగ్స్ లోని బెస్ట్ ఫిగర్స్ పరాజయం వైపు (5) ',' 41 వ ఉత్తమ కెరీర్ సగటు (21.36) ',' 20 వ ఉత్తమ బౌలింగ్ చేస్తున్నప్పుడు వృత్తి సమ్మె రేటు (15.9) ',' ఇన్నింగ్స్ లో 31 ఉత్తమ సమ్మె రేటు (4.5) ',' 34 వ చెత్త కెరీర్లో ఆర్థిక రేటు (8.03) ',' 16 వ అత్యంత నాలుగు వికెట్లు-ఇన్-ఒక-ఇన్నింగ్స్ కెరీర్లో (2) ',' 38 వ కెరీర్ లో బౌల్డ్ చాలా బంతుల్లో (925) ',' 24 వ అత్యధిక పరుగులు కెరీర్లో (1239) సాధించిన ',' 17 వ బౌలర్ / బ్యాట్స్ కలయికలు (3) ',' 26th బౌలర్ / ఫీల్డర్ కలయికలు (7) ',' 20 వ ఎక్కువ వికెట్లు బౌల్డ్ తీసుకోకూడదు (14) ',' 18 వ అత్యధిక వికెట్లు తీసుకున్న ఆకర్షించింది (39) ',' 24 వ అత్యధిక వికెట్లు ఒక ఫీల్డర్ చేత క్యాచ్ తీసుకున్న (31) ',' 13 వ అత్యధిక వికెట్లు ఒక వికెట్ కీపర్ చే కాట్ తీసుకున్న (8) ',' 32 వ ఎక్కువ వికెట్లు తీసుకున్న ఎల్బిడబ్ల్యు (5) ',' 4 వ వేగవంతమైన 50 వికెట్లు (33) ',' 15 వ అత్యధిక క్యాచ్లు ఒక ఇన్నింగ్స్ లో (3) ',' 19 వ కెరీర్ పనికత్తెలయొద్ద (3) ']</v>
      </c>
      <c r="I8368" s="3"/>
    </row>
    <row r="8369" customHeight="1" spans="1:9">
      <c r="A8369" s="2"/>
      <c r="B8369" s="2" t="str">
        <f>IFERROR(__xludf.DUMMYFUNCTION("IF(A8369&lt;&gt;"""", GOOGLETRANSLATE(A8369, ""en"", ""te""),"""")"),"")</f>
        <v/>
      </c>
      <c r="C8369" s="2"/>
      <c r="D8369" s="2" t="str">
        <f>IFERROR(__xludf.DUMMYFUNCTION("IF(C8369&lt;&gt;"""", GOOGLETRANSLATE(C8369, ""en"", ""te""),"""")"),"")</f>
        <v/>
      </c>
      <c r="E8369" s="2" t="s">
        <v>4682</v>
      </c>
      <c r="F8369" s="2" t="str">
        <f>IFERROR(__xludf.DUMMYFUNCTION("IF(E8369&lt;&gt;"""", GOOGLETRANSLATE(E8369, ""en"", ""te""),"""")"),"[ 'ఎనిమిదవ వికెట్కు 25 అత్యధిక భాగస్వామ్యం (84)']")</f>
        <v>[ 'ఎనిమిదవ వికెట్కు 25 అత్యధిక భాగస్వామ్యం (84)']</v>
      </c>
      <c r="G8369" s="2"/>
      <c r="H8369" s="2" t="str">
        <f>IFERROR(__xludf.DUMMYFUNCTION("IF(G8369&lt;&gt;"""", GOOGLETRANSLATE(G8369, ""en"", ""te""),"""")"),"")</f>
        <v/>
      </c>
      <c r="I8369" s="3"/>
    </row>
    <row r="8370" customHeight="1" spans="1:9">
      <c r="A8370" s="2"/>
      <c r="B8370" s="2" t="str">
        <f>IFERROR(__xludf.DUMMYFUNCTION("IF(A8370&lt;&gt;"""", GOOGLETRANSLATE(A8370, ""en"", ""te""),"""")"),"")</f>
        <v/>
      </c>
      <c r="C8370" s="2"/>
      <c r="D8370" s="2" t="str">
        <f>IFERROR(__xludf.DUMMYFUNCTION("IF(C8370&lt;&gt;"""", GOOGLETRANSLATE(C8370, ""en"", ""te""),"""")"),"")</f>
        <v/>
      </c>
      <c r="E8370" s="2" t="s">
        <v>4683</v>
      </c>
      <c r="F8370" s="2" t="str">
        <f>IFERROR(__xludf.DUMMYFUNCTION("IF(E8370&lt;&gt;"""", GOOGLETRANSLATE(E8370, ""en"", ""te""),"""")"),"[ '20 వ పిన్న ఆటగాడు వంద (20y 184d) స్కోర్']")</f>
        <v>[ '20 వ పిన్న ఆటగాడు వంద (20y 184d) స్కోర్']</v>
      </c>
      <c r="G8370" s="2"/>
      <c r="H8370" s="2" t="str">
        <f>IFERROR(__xludf.DUMMYFUNCTION("IF(G8370&lt;&gt;"""", GOOGLETRANSLATE(G8370, ""en"", ""te""),"""")"),"")</f>
        <v/>
      </c>
      <c r="I8370" s="3"/>
    </row>
    <row r="8371" customHeight="1" spans="1:9">
      <c r="A8371" s="2"/>
      <c r="B8371" s="2" t="str">
        <f>IFERROR(__xludf.DUMMYFUNCTION("IF(A8371&lt;&gt;"""", GOOGLETRANSLATE(A8371, ""en"", ""te""),"""")"),"")</f>
        <v/>
      </c>
      <c r="C8371" s="2"/>
      <c r="D8371" s="2" t="str">
        <f>IFERROR(__xludf.DUMMYFUNCTION("IF(C8371&lt;&gt;"""", GOOGLETRANSLATE(C8371, ""en"", ""te""),"""")"),"")</f>
        <v/>
      </c>
      <c r="E8371" s="2"/>
      <c r="F8371" s="2" t="str">
        <f>IFERROR(__xludf.DUMMYFUNCTION("IF(E8371&lt;&gt;"""", GOOGLETRANSLATE(E8371, ""en"", ""te""),"""")"),"")</f>
        <v/>
      </c>
      <c r="G8371" s="2"/>
      <c r="H8371" s="2" t="str">
        <f>IFERROR(__xludf.DUMMYFUNCTION("IF(G8371&lt;&gt;"""", GOOGLETRANSLATE(G8371, ""en"", ""te""),"""")"),"")</f>
        <v/>
      </c>
      <c r="I8371" s="3"/>
    </row>
    <row r="8372" customHeight="1" spans="1:9">
      <c r="A8372" s="2"/>
      <c r="B8372" s="2" t="str">
        <f>IFERROR(__xludf.DUMMYFUNCTION("IF(A8372&lt;&gt;"""", GOOGLETRANSLATE(A8372, ""en"", ""te""),"""")"),"")</f>
        <v/>
      </c>
      <c r="C8372" s="2"/>
      <c r="D8372" s="2" t="str">
        <f>IFERROR(__xludf.DUMMYFUNCTION("IF(C8372&lt;&gt;"""", GOOGLETRANSLATE(C8372, ""en"", ""te""),"""")"),"")</f>
        <v/>
      </c>
      <c r="E8372" s="2"/>
      <c r="F8372" s="2" t="str">
        <f>IFERROR(__xludf.DUMMYFUNCTION("IF(E8372&lt;&gt;"""", GOOGLETRANSLATE(E8372, ""en"", ""te""),"""")"),"")</f>
        <v/>
      </c>
      <c r="G8372" s="2"/>
      <c r="H8372" s="2" t="str">
        <f>IFERROR(__xludf.DUMMYFUNCTION("IF(G8372&lt;&gt;"""", GOOGLETRANSLATE(G8372, ""en"", ""te""),"""")"),"")</f>
        <v/>
      </c>
      <c r="I8372" s="3"/>
    </row>
    <row r="8373" customHeight="1" spans="1:9">
      <c r="A8373" s="2"/>
      <c r="B8373" s="2" t="str">
        <f>IFERROR(__xludf.DUMMYFUNCTION("IF(A8373&lt;&gt;"""", GOOGLETRANSLATE(A8373, ""en"", ""te""),"""")"),"")</f>
        <v/>
      </c>
      <c r="C8373" s="2"/>
      <c r="D8373" s="2" t="str">
        <f>IFERROR(__xludf.DUMMYFUNCTION("IF(C8373&lt;&gt;"""", GOOGLETRANSLATE(C8373, ""en"", ""te""),"""")"),"")</f>
        <v/>
      </c>
      <c r="E8373" s="2"/>
      <c r="F8373" s="2" t="str">
        <f>IFERROR(__xludf.DUMMYFUNCTION("IF(E8373&lt;&gt;"""", GOOGLETRANSLATE(E8373, ""en"", ""te""),"""")"),"")</f>
        <v/>
      </c>
      <c r="G8373" s="2"/>
      <c r="H8373" s="2" t="str">
        <f>IFERROR(__xludf.DUMMYFUNCTION("IF(G8373&lt;&gt;"""", GOOGLETRANSLATE(G8373, ""en"", ""te""),"""")"),"")</f>
        <v/>
      </c>
      <c r="I8373" s="3"/>
    </row>
    <row r="8374" customHeight="1" spans="1:9">
      <c r="A8374" s="2"/>
      <c r="B8374" s="2" t="str">
        <f>IFERROR(__xludf.DUMMYFUNCTION("IF(A8374&lt;&gt;"""", GOOGLETRANSLATE(A8374, ""en"", ""te""),"""")"),"")</f>
        <v/>
      </c>
      <c r="C8374" s="2"/>
      <c r="D8374" s="2" t="str">
        <f>IFERROR(__xludf.DUMMYFUNCTION("IF(C8374&lt;&gt;"""", GOOGLETRANSLATE(C8374, ""en"", ""te""),"""")"),"")</f>
        <v/>
      </c>
      <c r="E8374" s="2" t="s">
        <v>4684</v>
      </c>
      <c r="F8374" s="2" t="str">
        <f>IFERROR(__xludf.DUMMYFUNCTION("IF(E8374&lt;&gt;"""", GOOGLETRANSLATE(E8374, ""en"", ""te""),"""")"),"[ '11 వ షార్టేస్ట్ నివసించారు క్రీడాకారులు (32y 274d)']")</f>
        <v>[ '11 వ షార్టేస్ట్ నివసించారు క్రీడాకారులు (32y 274d)']</v>
      </c>
      <c r="G8374" s="2"/>
      <c r="H8374" s="2" t="str">
        <f>IFERROR(__xludf.DUMMYFUNCTION("IF(G8374&lt;&gt;"""", GOOGLETRANSLATE(G8374, ""en"", ""te""),"""")"),"")</f>
        <v/>
      </c>
      <c r="I8374" s="3"/>
    </row>
    <row r="8375" customHeight="1" spans="1:9">
      <c r="A8375" s="2"/>
      <c r="B8375" s="2" t="str">
        <f>IFERROR(__xludf.DUMMYFUNCTION("IF(A8375&lt;&gt;"""", GOOGLETRANSLATE(A8375, ""en"", ""te""),"""")"),"")</f>
        <v/>
      </c>
      <c r="C8375" s="2"/>
      <c r="D8375" s="2" t="str">
        <f>IFERROR(__xludf.DUMMYFUNCTION("IF(C8375&lt;&gt;"""", GOOGLETRANSLATE(C8375, ""en"", ""te""),"""")"),"")</f>
        <v/>
      </c>
      <c r="E8375" s="2"/>
      <c r="F8375" s="2" t="str">
        <f>IFERROR(__xludf.DUMMYFUNCTION("IF(E8375&lt;&gt;"""", GOOGLETRANSLATE(E8375, ""en"", ""te""),"""")"),"")</f>
        <v/>
      </c>
      <c r="G8375" s="2"/>
      <c r="H8375" s="2" t="str">
        <f>IFERROR(__xludf.DUMMYFUNCTION("IF(G8375&lt;&gt;"""", GOOGLETRANSLATE(G8375, ""en"", ""te""),"""")"),"")</f>
        <v/>
      </c>
      <c r="I8375" s="3"/>
    </row>
    <row r="8376" customHeight="1" spans="1:9">
      <c r="A8376" s="2"/>
      <c r="B8376" s="2" t="str">
        <f>IFERROR(__xludf.DUMMYFUNCTION("IF(A8376&lt;&gt;"""", GOOGLETRANSLATE(A8376, ""en"", ""te""),"""")"),"")</f>
        <v/>
      </c>
      <c r="C8376" s="2"/>
      <c r="D8376" s="2" t="str">
        <f>IFERROR(__xludf.DUMMYFUNCTION("IF(C8376&lt;&gt;"""", GOOGLETRANSLATE(C8376, ""en"", ""te""),"""")"),"")</f>
        <v/>
      </c>
      <c r="E8376" s="2"/>
      <c r="F8376" s="2" t="str">
        <f>IFERROR(__xludf.DUMMYFUNCTION("IF(E8376&lt;&gt;"""", GOOGLETRANSLATE(E8376, ""en"", ""te""),"""")"),"")</f>
        <v/>
      </c>
      <c r="G8376" s="2"/>
      <c r="H8376" s="2" t="str">
        <f>IFERROR(__xludf.DUMMYFUNCTION("IF(G8376&lt;&gt;"""", GOOGLETRANSLATE(G8376, ""en"", ""te""),"""")"),"")</f>
        <v/>
      </c>
      <c r="I8376" s="3"/>
    </row>
    <row r="8377" customHeight="1" spans="1:9">
      <c r="A8377" s="2"/>
      <c r="B8377" s="2" t="str">
        <f>IFERROR(__xludf.DUMMYFUNCTION("IF(A8377&lt;&gt;"""", GOOGLETRANSLATE(A8377, ""en"", ""te""),"""")"),"")</f>
        <v/>
      </c>
      <c r="C8377" s="2"/>
      <c r="D8377" s="2" t="str">
        <f>IFERROR(__xludf.DUMMYFUNCTION("IF(C8377&lt;&gt;"""", GOOGLETRANSLATE(C8377, ""en"", ""te""),"""")"),"")</f>
        <v/>
      </c>
      <c r="E8377" s="2"/>
      <c r="F8377" s="2" t="str">
        <f>IFERROR(__xludf.DUMMYFUNCTION("IF(E8377&lt;&gt;"""", GOOGLETRANSLATE(E8377, ""en"", ""te""),"""")"),"")</f>
        <v/>
      </c>
      <c r="G8377" s="2"/>
      <c r="H8377" s="2" t="str">
        <f>IFERROR(__xludf.DUMMYFUNCTION("IF(G8377&lt;&gt;"""", GOOGLETRANSLATE(G8377, ""en"", ""te""),"""")"),"")</f>
        <v/>
      </c>
      <c r="I8377" s="3"/>
    </row>
    <row r="8378" customHeight="1" spans="1:9">
      <c r="A8378" s="2"/>
      <c r="B8378" s="2" t="str">
        <f>IFERROR(__xludf.DUMMYFUNCTION("IF(A8378&lt;&gt;"""", GOOGLETRANSLATE(A8378, ""en"", ""te""),"""")"),"")</f>
        <v/>
      </c>
      <c r="C8378" s="2"/>
      <c r="D8378" s="2" t="str">
        <f>IFERROR(__xludf.DUMMYFUNCTION("IF(C8378&lt;&gt;"""", GOOGLETRANSLATE(C8378, ""en"", ""te""),"""")"),"")</f>
        <v/>
      </c>
      <c r="E8378" s="2" t="s">
        <v>4685</v>
      </c>
      <c r="F8378" s="2" t="str">
        <f>IFERROR(__xludf.DUMMYFUNCTION("IF(E8378&lt;&gt;"""", GOOGLETRANSLATE(E8378, ""en"", ""te""),"""")"),"[ '46 వ పిన్న కాప్టెన్ (25y 91d)']")</f>
        <v>[ '46 వ పిన్న కాప్టెన్ (25y 91d)']</v>
      </c>
      <c r="G8378" s="2"/>
      <c r="H8378" s="2" t="str">
        <f>IFERROR(__xludf.DUMMYFUNCTION("IF(G8378&lt;&gt;"""", GOOGLETRANSLATE(G8378, ""en"", ""te""),"""")"),"")</f>
        <v/>
      </c>
      <c r="I8378" s="3"/>
    </row>
    <row r="8379" customHeight="1" spans="1:9">
      <c r="A8379" s="2"/>
      <c r="B8379" s="2" t="str">
        <f>IFERROR(__xludf.DUMMYFUNCTION("IF(A8379&lt;&gt;"""", GOOGLETRANSLATE(A8379, ""en"", ""te""),"""")"),"")</f>
        <v/>
      </c>
      <c r="C8379" s="2"/>
      <c r="D8379" s="2" t="str">
        <f>IFERROR(__xludf.DUMMYFUNCTION("IF(C8379&lt;&gt;"""", GOOGLETRANSLATE(C8379, ""en"", ""te""),"""")"),"")</f>
        <v/>
      </c>
      <c r="E8379" s="2"/>
      <c r="F8379" s="2" t="str">
        <f>IFERROR(__xludf.DUMMYFUNCTION("IF(E8379&lt;&gt;"""", GOOGLETRANSLATE(E8379, ""en"", ""te""),"""")"),"")</f>
        <v/>
      </c>
      <c r="G8379" s="2"/>
      <c r="H8379" s="2" t="str">
        <f>IFERROR(__xludf.DUMMYFUNCTION("IF(G8379&lt;&gt;"""", GOOGLETRANSLATE(G8379, ""en"", ""te""),"""")"),"")</f>
        <v/>
      </c>
      <c r="I8379" s="3"/>
    </row>
    <row r="8380" customHeight="1" spans="1:9">
      <c r="A8380" s="2" t="s">
        <v>4686</v>
      </c>
      <c r="B8380" s="2" t="str">
        <f>IFERROR(__xludf.DUMMYFUNCTION("IF(A8380&lt;&gt;"""", GOOGLETRANSLATE(A8380, ""en"", ""te""),"""")"),"[ '10 వ పిన్న కాప్టెన్ (22y 353d)', 'తొలి హండ్రెడ్ (114)', '1st పిన్న ఆటగాడు వంద (17y 61d) స్కోర్', 'హండ్రెడ్ మరియు ఒక మ్యాచ్లో ఒక డక్', '10 వ పిన్న కాప్టెన్ (23y 13d) ']")</f>
        <v>[ '10 వ పిన్న కాప్టెన్ (22y 353d)', 'తొలి హండ్రెడ్ (114)', '1st పిన్న ఆటగాడు వంద (17y 61d) స్కోర్', 'హండ్రెడ్ మరియు ఒక మ్యాచ్లో ఒక డక్', '10 వ పిన్న కాప్టెన్ (23y 13d) ']</v>
      </c>
      <c r="C8380" s="2" t="s">
        <v>4687</v>
      </c>
      <c r="D8380" s="2" t="str">
        <f>IFERROR(__xludf.DUMMYFUNCTION("IF(C8380&lt;&gt;"""", GOOGLETRANSLATE(C8380, ""en"", ""te""),"""")"),"[ '1st పిన్న ఆటగాడు వంద స్కోర్ (17y 61d)', 'ఐదవ వికెట్కు 22 అత్యధిక భాగస్వామ్యం (267)', '13 వ పిన్న క్రీడాకారులు (17y 61d)', '10 వ పిన్న కాప్టెన్ (22y 353d)']")</f>
        <v>[ '1st పిన్న ఆటగాడు వంద స్కోర్ (17y 61d)', 'ఐదవ వికెట్కు 22 అత్యధిక భాగస్వామ్యం (267)', '13 వ పిన్న క్రీడాకారులు (17y 61d)', '10 వ పిన్న కాప్టెన్ (22y 353d)']</v>
      </c>
      <c r="E8380" s="2" t="s">
        <v>4688</v>
      </c>
      <c r="F8380" s="2" t="str">
        <f>IFERROR(__xludf.DUMMYFUNCTION("IF(E8380&lt;&gt;"""", GOOGLETRANSLATE(E8380, ""en"", ""te""),"""")"),"[ '27 పిన్న ఆటగాడు వంద (20y 346d) స్కోర్' '50 వ వరుస మ్యాచ్లు జట్టు (71)', '14 వ పిన్న క్రీడాకారులు (16y 278d)', 'ఒక జట్టు కెప్టెన్గా 27 వరుస మ్యాచ్లు (38 ) ',' 10 వ పిన్న కాప్టెన్ (23y 13d) ']")</f>
        <v>[ '27 పిన్న ఆటగాడు వంద (20y 346d) స్కోర్' '50 వ వరుస మ్యాచ్లు జట్టు (71)', '14 వ పిన్న క్రీడాకారులు (16y 278d)', 'ఒక జట్టు కెప్టెన్గా 27 వరుస మ్యాచ్లు (38 ) ',' 10 వ పిన్న కాప్టెన్ (23y 13d) ']</v>
      </c>
      <c r="G8380" s="2" t="s">
        <v>4689</v>
      </c>
      <c r="H8380" s="2" t="str">
        <f>IFERROR(__xludf.DUMMYFUNCTION("IF(G8380&lt;&gt;"""", GOOGLETRANSLATE(G8380, ""en"", ""te""),"""")"),"[ '20 వ ఉత్తమ కెప్టెన్ ఒక ఇన్నింగ్స్ లో సంఖ్యలు (3)', '13 వ పిన్న కాప్టెన్ (23y 56d)', '26 వరుస మ్యాచ్లు ఒక జట్టు కెప్టెన్గా (38)']")</f>
        <v>[ '20 వ ఉత్తమ కెప్టెన్ ఒక ఇన్నింగ్స్ లో సంఖ్యలు (3)', '13 వ పిన్న కాప్టెన్ (23y 56d)', '26 వరుస మ్యాచ్లు ఒక జట్టు కెప్టెన్గా (38)']</v>
      </c>
      <c r="I8380" s="3"/>
    </row>
    <row r="8381" customHeight="1" spans="1:9">
      <c r="A8381" s="2"/>
      <c r="B8381" s="2" t="str">
        <f>IFERROR(__xludf.DUMMYFUNCTION("IF(A8381&lt;&gt;"""", GOOGLETRANSLATE(A8381, ""en"", ""te""),"""")"),"")</f>
        <v/>
      </c>
      <c r="C8381" s="2"/>
      <c r="D8381" s="2" t="str">
        <f>IFERROR(__xludf.DUMMYFUNCTION("IF(C8381&lt;&gt;"""", GOOGLETRANSLATE(C8381, ""en"", ""te""),"""")"),"")</f>
        <v/>
      </c>
      <c r="E8381" s="2"/>
      <c r="F8381" s="2" t="str">
        <f>IFERROR(__xludf.DUMMYFUNCTION("IF(E8381&lt;&gt;"""", GOOGLETRANSLATE(E8381, ""en"", ""te""),"""")"),"")</f>
        <v/>
      </c>
      <c r="G8381" s="2"/>
      <c r="H8381" s="2" t="str">
        <f>IFERROR(__xludf.DUMMYFUNCTION("IF(G8381&lt;&gt;"""", GOOGLETRANSLATE(G8381, ""en"", ""te""),"""")"),"")</f>
        <v/>
      </c>
      <c r="I8381" s="3"/>
    </row>
    <row r="8382" customHeight="1" spans="1:9">
      <c r="A8382" s="2"/>
      <c r="B8382" s="2" t="str">
        <f>IFERROR(__xludf.DUMMYFUNCTION("IF(A8382&lt;&gt;"""", GOOGLETRANSLATE(A8382, ""en"", ""te""),"""")"),"")</f>
        <v/>
      </c>
      <c r="C8382" s="2" t="s">
        <v>4690</v>
      </c>
      <c r="D8382" s="2" t="str">
        <f>IFERROR(__xludf.DUMMYFUNCTION("IF(C8382&lt;&gt;"""", GOOGLETRANSLATE(C8382, ""en"", ""te""),"""")"),"[ '19 పిన్న ఆటగాడు వంద (19y 349d) స్కోర్']")</f>
        <v>[ '19 పిన్న ఆటగాడు వంద (19y 349d) స్కోర్']</v>
      </c>
      <c r="E8382" s="2"/>
      <c r="F8382" s="2" t="str">
        <f>IFERROR(__xludf.DUMMYFUNCTION("IF(E8382&lt;&gt;"""", GOOGLETRANSLATE(E8382, ""en"", ""te""),"""")"),"")</f>
        <v/>
      </c>
      <c r="G8382" s="2"/>
      <c r="H8382" s="2" t="str">
        <f>IFERROR(__xludf.DUMMYFUNCTION("IF(G8382&lt;&gt;"""", GOOGLETRANSLATE(G8382, ""en"", ""te""),"""")"),"")</f>
        <v/>
      </c>
      <c r="I8382" s="3"/>
    </row>
    <row r="8383" customHeight="1" spans="1:9">
      <c r="A8383" s="2" t="s">
        <v>4691</v>
      </c>
      <c r="B8383" s="2" t="str">
        <f>IFERROR(__xludf.DUMMYFUNCTION("IF(A8383&lt;&gt;"""", GOOGLETRANSLATE(A8383, ""en"", ""te""),"""")"),"[ '1st అత్యుత్తమ బౌలింగ్ ఇన్నింగ్స్ లో విశ్లేషించడం (1/0)', ​​'5 వ ఉత్తమ కెరీర్ బౌలింగ్ సరాసరి (13.42)', '5 వ బౌలర్ / ఫీల్డర్ కలయికలు (12)']")</f>
        <v>[ '1st అత్యుత్తమ బౌలింగ్ ఇన్నింగ్స్ లో విశ్లేషించడం (1/0)', ​​'5 వ ఉత్తమ కెరీర్ బౌలింగ్ సరాసరి (13.42)', '5 వ బౌలర్ / ఫీల్డర్ కలయికలు (12)']</v>
      </c>
      <c r="C8383" s="2"/>
      <c r="D8383" s="2" t="str">
        <f>IFERROR(__xludf.DUMMYFUNCTION("IF(C8383&lt;&gt;"""", GOOGLETRANSLATE(C8383, ""en"", ""te""),"""")"),"")</f>
        <v/>
      </c>
      <c r="E8383" s="2" t="s">
        <v>4692</v>
      </c>
      <c r="F8383" s="2" t="str">
        <f>IFERROR(__xludf.DUMMYFUNCTION("IF(E8383&lt;&gt;"""", GOOGLETRANSLATE(E8383, ""en"", ""te""),"""")"),"[ '17 వ పిన్న క్రీడాకారులు (15y 216d)']")</f>
        <v>[ '17 వ పిన్న క్రీడాకారులు (15y 216d)']</v>
      </c>
      <c r="G8383" s="2" t="s">
        <v>4693</v>
      </c>
      <c r="H8383" s="2" t="str">
        <f>IFERROR(__xludf.DUMMYFUNCTION("IF(G8383&lt;&gt;"""", GOOGLETRANSLATE(G8383, ""en"", ""te""),"""")"),"[ '38 వ కెరీర్ లో అత్యధిక వికెట్లు (50)', '22 వ ఒక క్యాలెండర్ సంవత్సరంలో అత్యధిక వికెట్లు (20)', '1 వ అత్యుత్తమ బౌలింగ్ ఇన్నింగ్స్ లో విశ్లేషించడం (1/0)', ​​'6 వ ఒకే మైదానంలో అత్యధిక వికెట్లు (12 ) ',' 5 వ ఉత్తమ కెరీర్ సగటు (13.42) ',' 10 వ ఉత్తమ కెరీర్ "&amp;"ఎకానమీ రేట్ బౌలింగ్ (4.98) ',' 9 వ ఉత్తమ కెరీర్ సమ్మె రేటు (16.1) ',' ఇన్నింగ్స్ లో 33 వ ఉత్తమ సమ్మె రేటు (4.0) ',' 5 వ బౌలర్ / ఫీల్డర్ కలయికలు (12) ',' 24 వ అత్యధిక వికెట్లు ఇన్నింగ్స్ లో బౌల్డ్ (15) ',' 7 వ అత్యధిక వికెట్లు కెరీర్లో తీసుకున్న స్టంప్ (13"&amp;") ',' 15 వ అత్యంత పనికత్తెలయొద్ద (8) ',' 12 వ అత్యంత పనికత్తెలయొద్ద తీసుకున్న (2) ']")</f>
        <v>[ '38 వ కెరీర్ లో అత్యధిక వికెట్లు (50)', '22 వ ఒక క్యాలెండర్ సంవత్సరంలో అత్యధిక వికెట్లు (20)', '1 వ అత్యుత్తమ బౌలింగ్ ఇన్నింగ్స్ లో విశ్లేషించడం (1/0)', ​​'6 వ ఒకే మైదానంలో అత్యధిక వికెట్లు (12 ) ',' 5 వ ఉత్తమ కెరీర్ సగటు (13.42) ',' 10 వ ఉత్తమ కెరీర్ ఎకానమీ రేట్ బౌలింగ్ (4.98) ',' 9 వ ఉత్తమ కెరీర్ సమ్మె రేటు (16.1) ',' ఇన్నింగ్స్ లో 33 వ ఉత్తమ సమ్మె రేటు (4.0) ',' 5 వ బౌలర్ / ఫీల్డర్ కలయికలు (12) ',' 24 వ అత్యధిక వికెట్లు ఇన్నింగ్స్ లో బౌల్డ్ (15) ',' 7 వ అత్యధిక వికెట్లు కెరీర్లో తీసుకున్న స్టంప్ (13) ',' 15 వ అత్యంత పనికత్తెలయొద్ద (8) ',' 12 వ అత్యంత పనికత్తెలయొద్ద తీసుకున్న (2) ']</v>
      </c>
      <c r="I8383" s="3"/>
    </row>
    <row r="8384" customHeight="1" spans="1:9">
      <c r="A8384" s="2"/>
      <c r="B8384" s="2" t="str">
        <f>IFERROR(__xludf.DUMMYFUNCTION("IF(A8384&lt;&gt;"""", GOOGLETRANSLATE(A8384, ""en"", ""te""),"""")"),"")</f>
        <v/>
      </c>
      <c r="C8384" s="2"/>
      <c r="D8384" s="2" t="str">
        <f>IFERROR(__xludf.DUMMYFUNCTION("IF(C8384&lt;&gt;"""", GOOGLETRANSLATE(C8384, ""en"", ""te""),"""")"),"")</f>
        <v/>
      </c>
      <c r="E8384" s="2"/>
      <c r="F8384" s="2" t="str">
        <f>IFERROR(__xludf.DUMMYFUNCTION("IF(E8384&lt;&gt;"""", GOOGLETRANSLATE(E8384, ""en"", ""te""),"""")"),"")</f>
        <v/>
      </c>
      <c r="G8384" s="2"/>
      <c r="H8384" s="2" t="str">
        <f>IFERROR(__xludf.DUMMYFUNCTION("IF(G8384&lt;&gt;"""", GOOGLETRANSLATE(G8384, ""en"", ""te""),"""")"),"")</f>
        <v/>
      </c>
      <c r="I8384" s="3"/>
    </row>
    <row r="8385" customHeight="1" spans="1:9">
      <c r="A8385" s="2"/>
      <c r="B8385" s="2" t="str">
        <f>IFERROR(__xludf.DUMMYFUNCTION("IF(A8385&lt;&gt;"""", GOOGLETRANSLATE(A8385, ""en"", ""te""),"""")"),"")</f>
        <v/>
      </c>
      <c r="C8385" s="2"/>
      <c r="D8385" s="2" t="str">
        <f>IFERROR(__xludf.DUMMYFUNCTION("IF(C8385&lt;&gt;"""", GOOGLETRANSLATE(C8385, ""en"", ""te""),"""")"),"")</f>
        <v/>
      </c>
      <c r="E8385" s="2"/>
      <c r="F8385" s="2" t="str">
        <f>IFERROR(__xludf.DUMMYFUNCTION("IF(E8385&lt;&gt;"""", GOOGLETRANSLATE(E8385, ""en"", ""te""),"""")"),"")</f>
        <v/>
      </c>
      <c r="G8385" s="2"/>
      <c r="H8385" s="2" t="str">
        <f>IFERROR(__xludf.DUMMYFUNCTION("IF(G8385&lt;&gt;"""", GOOGLETRANSLATE(G8385, ""en"", ""te""),"""")"),"")</f>
        <v/>
      </c>
      <c r="I8385" s="3"/>
    </row>
    <row r="8386" customHeight="1" spans="1:9">
      <c r="A8386" s="2"/>
      <c r="B8386" s="2" t="str">
        <f>IFERROR(__xludf.DUMMYFUNCTION("IF(A8386&lt;&gt;"""", GOOGLETRANSLATE(A8386, ""en"", ""te""),"""")"),"")</f>
        <v/>
      </c>
      <c r="C8386" s="2"/>
      <c r="D8386" s="2" t="str">
        <f>IFERROR(__xludf.DUMMYFUNCTION("IF(C8386&lt;&gt;"""", GOOGLETRANSLATE(C8386, ""en"", ""te""),"""")"),"")</f>
        <v/>
      </c>
      <c r="E8386" s="2"/>
      <c r="F8386" s="2" t="str">
        <f>IFERROR(__xludf.DUMMYFUNCTION("IF(E8386&lt;&gt;"""", GOOGLETRANSLATE(E8386, ""en"", ""te""),"""")"),"")</f>
        <v/>
      </c>
      <c r="G8386" s="2"/>
      <c r="H8386" s="2" t="str">
        <f>IFERROR(__xludf.DUMMYFUNCTION("IF(G8386&lt;&gt;"""", GOOGLETRANSLATE(G8386, ""en"", ""te""),"""")"),"")</f>
        <v/>
      </c>
      <c r="I8386" s="3"/>
    </row>
    <row r="8387" customHeight="1" spans="1:9">
      <c r="A8387" s="2"/>
      <c r="B8387" s="2" t="str">
        <f>IFERROR(__xludf.DUMMYFUNCTION("IF(A8387&lt;&gt;"""", GOOGLETRANSLATE(A8387, ""en"", ""te""),"""")"),"")</f>
        <v/>
      </c>
      <c r="C8387" s="2"/>
      <c r="D8387" s="2" t="str">
        <f>IFERROR(__xludf.DUMMYFUNCTION("IF(C8387&lt;&gt;"""", GOOGLETRANSLATE(C8387, ""en"", ""te""),"""")"),"")</f>
        <v/>
      </c>
      <c r="E8387" s="2"/>
      <c r="F8387" s="2" t="str">
        <f>IFERROR(__xludf.DUMMYFUNCTION("IF(E8387&lt;&gt;"""", GOOGLETRANSLATE(E8387, ""en"", ""te""),"""")"),"")</f>
        <v/>
      </c>
      <c r="G8387" s="2"/>
      <c r="H8387" s="2" t="str">
        <f>IFERROR(__xludf.DUMMYFUNCTION("IF(G8387&lt;&gt;"""", GOOGLETRANSLATE(G8387, ""en"", ""te""),"""")"),"")</f>
        <v/>
      </c>
      <c r="I8387" s="3"/>
    </row>
    <row r="8388" customHeight="1" spans="1:9">
      <c r="A8388" s="2"/>
      <c r="B8388" s="2" t="str">
        <f>IFERROR(__xludf.DUMMYFUNCTION("IF(A8388&lt;&gt;"""", GOOGLETRANSLATE(A8388, ""en"", ""te""),"""")"),"")</f>
        <v/>
      </c>
      <c r="C8388" s="2"/>
      <c r="D8388" s="2" t="str">
        <f>IFERROR(__xludf.DUMMYFUNCTION("IF(C8388&lt;&gt;"""", GOOGLETRANSLATE(C8388, ""en"", ""te""),"""")"),"")</f>
        <v/>
      </c>
      <c r="E8388" s="2"/>
      <c r="F8388" s="2" t="str">
        <f>IFERROR(__xludf.DUMMYFUNCTION("IF(E8388&lt;&gt;"""", GOOGLETRANSLATE(E8388, ""en"", ""te""),"""")"),"")</f>
        <v/>
      </c>
      <c r="G8388" s="2"/>
      <c r="H8388" s="2" t="str">
        <f>IFERROR(__xludf.DUMMYFUNCTION("IF(G8388&lt;&gt;"""", GOOGLETRANSLATE(G8388, ""en"", ""te""),"""")"),"")</f>
        <v/>
      </c>
      <c r="I8388" s="3"/>
    </row>
    <row r="8389" customHeight="1" spans="1:9">
      <c r="A8389" s="2"/>
      <c r="B8389" s="2" t="str">
        <f>IFERROR(__xludf.DUMMYFUNCTION("IF(A8389&lt;&gt;"""", GOOGLETRANSLATE(A8389, ""en"", ""te""),"""")"),"")</f>
        <v/>
      </c>
      <c r="C8389" s="2"/>
      <c r="D8389" s="2" t="str">
        <f>IFERROR(__xludf.DUMMYFUNCTION("IF(C8389&lt;&gt;"""", GOOGLETRANSLATE(C8389, ""en"", ""te""),"""")"),"")</f>
        <v/>
      </c>
      <c r="E8389" s="2"/>
      <c r="F8389" s="2" t="str">
        <f>IFERROR(__xludf.DUMMYFUNCTION("IF(E8389&lt;&gt;"""", GOOGLETRANSLATE(E8389, ""en"", ""te""),"""")"),"")</f>
        <v/>
      </c>
      <c r="G8389" s="2"/>
      <c r="H8389" s="2" t="str">
        <f>IFERROR(__xludf.DUMMYFUNCTION("IF(G8389&lt;&gt;"""", GOOGLETRANSLATE(G8389, ""en"", ""te""),"""")"),"")</f>
        <v/>
      </c>
      <c r="I8389" s="3"/>
    </row>
    <row r="8390" customHeight="1" spans="1:9">
      <c r="A8390" s="2"/>
      <c r="B8390" s="2" t="str">
        <f>IFERROR(__xludf.DUMMYFUNCTION("IF(A8390&lt;&gt;"""", GOOGLETRANSLATE(A8390, ""en"", ""te""),"""")"),"")</f>
        <v/>
      </c>
      <c r="C8390" s="2"/>
      <c r="D8390" s="2" t="str">
        <f>IFERROR(__xludf.DUMMYFUNCTION("IF(C8390&lt;&gt;"""", GOOGLETRANSLATE(C8390, ""en"", ""te""),"""")"),"")</f>
        <v/>
      </c>
      <c r="E8390" s="2"/>
      <c r="F8390" s="2" t="str">
        <f>IFERROR(__xludf.DUMMYFUNCTION("IF(E8390&lt;&gt;"""", GOOGLETRANSLATE(E8390, ""en"", ""te""),"""")"),"")</f>
        <v/>
      </c>
      <c r="G8390" s="2"/>
      <c r="H8390" s="2" t="str">
        <f>IFERROR(__xludf.DUMMYFUNCTION("IF(G8390&lt;&gt;"""", GOOGLETRANSLATE(G8390, ""en"", ""te""),"""")"),"")</f>
        <v/>
      </c>
      <c r="I8390" s="3"/>
    </row>
    <row r="8391" customHeight="1" spans="1:9">
      <c r="A8391" s="2"/>
      <c r="B8391" s="2" t="str">
        <f>IFERROR(__xludf.DUMMYFUNCTION("IF(A8391&lt;&gt;"""", GOOGLETRANSLATE(A8391, ""en"", ""te""),"""")"),"")</f>
        <v/>
      </c>
      <c r="C8391" s="2"/>
      <c r="D8391" s="2" t="str">
        <f>IFERROR(__xludf.DUMMYFUNCTION("IF(C8391&lt;&gt;"""", GOOGLETRANSLATE(C8391, ""en"", ""te""),"""")"),"")</f>
        <v/>
      </c>
      <c r="E8391" s="2"/>
      <c r="F8391" s="2" t="str">
        <f>IFERROR(__xludf.DUMMYFUNCTION("IF(E8391&lt;&gt;"""", GOOGLETRANSLATE(E8391, ""en"", ""te""),"""")"),"")</f>
        <v/>
      </c>
      <c r="G8391" s="2"/>
      <c r="H8391" s="2" t="str">
        <f>IFERROR(__xludf.DUMMYFUNCTION("IF(G8391&lt;&gt;"""", GOOGLETRANSLATE(G8391, ""en"", ""te""),"""")"),"")</f>
        <v/>
      </c>
      <c r="I8391" s="3"/>
    </row>
    <row r="8392" customHeight="1" spans="1:9">
      <c r="A8392" s="2"/>
      <c r="B8392" s="2" t="str">
        <f>IFERROR(__xludf.DUMMYFUNCTION("IF(A8392&lt;&gt;"""", GOOGLETRANSLATE(A8392, ""en"", ""te""),"""")"),"")</f>
        <v/>
      </c>
      <c r="C8392" s="2"/>
      <c r="D8392" s="2" t="str">
        <f>IFERROR(__xludf.DUMMYFUNCTION("IF(C8392&lt;&gt;"""", GOOGLETRANSLATE(C8392, ""en"", ""te""),"""")"),"")</f>
        <v/>
      </c>
      <c r="E8392" s="2"/>
      <c r="F8392" s="2" t="str">
        <f>IFERROR(__xludf.DUMMYFUNCTION("IF(E8392&lt;&gt;"""", GOOGLETRANSLATE(E8392, ""en"", ""te""),"""")"),"")</f>
        <v/>
      </c>
      <c r="G8392" s="2" t="s">
        <v>4694</v>
      </c>
      <c r="H8392" s="2" t="str">
        <f>IFERROR(__xludf.DUMMYFUNCTION("IF(G8392&lt;&gt;"""", GOOGLETRANSLATE(G8392, ""en"", ""te""),"""")"),"[ '33 వ పరాజయం వైపు (81) ఒక మ్యాచ్లో అత్యధిక పరుగులు']")</f>
        <v>[ '33 వ పరాజయం వైపు (81) ఒక మ్యాచ్లో అత్యధిక పరుగులు']</v>
      </c>
      <c r="I8392" s="3"/>
    </row>
    <row r="8393" customHeight="1" spans="1:9">
      <c r="A8393" s="2" t="s">
        <v>4695</v>
      </c>
      <c r="B8393" s="2" t="str">
        <f>IFERROR(__xludf.DUMMYFUNCTION("IF(A8393&lt;&gt;"""", GOOGLETRANSLATE(A8393, ""en"", ""te""),"""")"),"[ 'ఇన్నింగ్స్ లో 6 వ అత్యంత స్టంపింగ్లు (3)']")</f>
        <v>[ 'ఇన్నింగ్స్ లో 6 వ అత్యంత స్టంపింగ్లు (3)']</v>
      </c>
      <c r="C8393" s="2"/>
      <c r="D8393" s="2" t="str">
        <f>IFERROR(__xludf.DUMMYFUNCTION("IF(C8393&lt;&gt;"""", GOOGLETRANSLATE(C8393, ""en"", ""te""),"""")"),"")</f>
        <v/>
      </c>
      <c r="E8393" s="2" t="s">
        <v>4696</v>
      </c>
      <c r="F8393" s="2" t="str">
        <f>IFERROR(__xludf.DUMMYFUNCTION("IF(E8393&lt;&gt;"""", GOOGLETRANSLATE(E8393, ""en"", ""te""),"""")"),"[ 'ఇన్నింగ్స్ లో 6 వ అత్యంత స్టంపింగ్లు (3)' 'ఇన్నింగ్స్ లో 17 వ అత్యధిక వికెట్లు (4)' '18 వ పిన్న క్రీడాకారులు (15y 237d)',]")</f>
        <v>[ 'ఇన్నింగ్స్ లో 6 వ అత్యంత స్టంపింగ్లు (3)' 'ఇన్నింగ్స్ లో 17 వ అత్యధిక వికెట్లు (4)' '18 వ పిన్న క్రీడాకారులు (15y 237d)',]</v>
      </c>
      <c r="G8393" s="2" t="s">
        <v>4697</v>
      </c>
      <c r="H8393" s="2" t="str">
        <f>IFERROR(__xludf.DUMMYFUNCTION("IF(G8393&lt;&gt;"""", GOOGLETRANSLATE(G8393, ""en"", ""te""),"""")"),"[18 వ కెరీర్ స్టంపింగ్లు (15) ',' 9 వ అత్యంత ఇన్నింగ్స్ లో స్టంపింగ్లు (3) ']")</f>
        <v>[18 వ కెరీర్ స్టంపింగ్లు (15) ',' 9 వ అత్యంత ఇన్నింగ్స్ లో స్టంపింగ్లు (3) ']</v>
      </c>
      <c r="I8393" s="3"/>
    </row>
    <row r="8394" customHeight="1" spans="1:9">
      <c r="A8394" s="2" t="s">
        <v>4698</v>
      </c>
      <c r="B8394" s="2" t="str">
        <f>IFERROR(__xludf.DUMMYFUNCTION("IF(A8394&lt;&gt;"""", GOOGLETRANSLATE(A8394, ""en"", ""te""),"""")"),"[ 'ఇన్నింగ్స్ (3) 6 వ అత్యంత స్టంపింగ్లు' '3 వ అత్యంత ఇన్నింగ్స్ లో నడుస్తుంది (బ్యాటింగ్ స్థానం) (113 *)', 'మూడో వికెట్కు 1st అత్యధిక భాగస్వామ్యం (236 *)']")</f>
        <v>[ 'ఇన్నింగ్స్ (3) 6 వ అత్యంత స్టంపింగ్లు' '3 వ అత్యంత ఇన్నింగ్స్ లో నడుస్తుంది (బ్యాటింగ్ స్థానం) (113 *)', 'మూడో వికెట్కు 1st అత్యధిక భాగస్వామ్యం (236 *)']</v>
      </c>
      <c r="C8394" s="2"/>
      <c r="D8394" s="2" t="str">
        <f>IFERROR(__xludf.DUMMYFUNCTION("IF(C8394&lt;&gt;"""", GOOGLETRANSLATE(C8394, ""en"", ""te""),"""")"),"")</f>
        <v/>
      </c>
      <c r="E8394" s="2" t="s">
        <v>4699</v>
      </c>
      <c r="F8394" s="2" t="str">
        <f>IFERROR(__xludf.DUMMYFUNCTION("IF(E8394&lt;&gt;"""", GOOGLETRANSLATE(E8394, ""en"", ""te""),"""")"),"[ 'ఎనిమిదవ వికెట్కు 28 అత్యధిక భాగస్వామ్యం (47)', 'మొదటి డక్ (17) ముందు 29 వ అత్యధిక ఇన్నింగ్స్' '17 వ అత్యంత ఇన్నింగ్స్ లో వికెట్లు (4)', '40 వ అత్యంత స్టంపింగ్లు కెరీర్లో (6)', ' ఒక ఇన్నింగ్స్ లో 6 వ అత్యంత స్టంపింగ్లు (3) ']")</f>
        <v>[ 'ఎనిమిదవ వికెట్కు 28 అత్యధిక భాగస్వామ్యం (47)', 'మొదటి డక్ (17) ముందు 29 వ అత్యధిక ఇన్నింగ్స్' '17 వ అత్యంత ఇన్నింగ్స్ లో వికెట్లు (4)', '40 వ అత్యంత స్టంపింగ్లు కెరీర్లో (6)', ' ఒక ఇన్నింగ్స్ లో 6 వ అత్యంత స్టంపింగ్లు (3) ']</v>
      </c>
      <c r="G8394" s="2" t="s">
        <v>4700</v>
      </c>
      <c r="H8394" s="2" t="str">
        <f>IFERROR(__xludf.DUMMYFUNCTION("IF(G8394&lt;&gt;"""", GOOGLETRANSLATE(G8394, ""en"", ""te""),"""")"),"[ '44 వ కెరీర్ లో అత్యధిక పరుగులు (858)', '12 వ ఇన్నింగ్స్ లో అత్యధిక పరుగులు (113 *)', '3 వ అత్యంత ఇన్నింగ్స్ లో నడుస్తుంది (బ్యాటింగ్ స్థానం) (113 *)', '34 వ కెరీర్ బాతులు ( 5) ',' ఏ వికెట్కు 2 వ అత్యధిక భాగస్వామ్యాల (236 *) ',' వికెట్ తేడాతో 3 వ అత్యధి"&amp;"క భాగస్వామ్యాల (3 వ) ',' మూడో వికెట్ (236 *) 1 వ అత్యధిక భాగస్వామ్యం ',' ఐదవ వికెట్కు 21 అత్యధిక భాగస్వామ్యం (64) ',' పదవ వికెట్కు 12 వ అత్యధిక భాగస్వామ్యం (17) ',' ఒక జట్టుకు 13 వ వరుస మ్యాచ్లు (52 *) ',' 16 వ అత్యధిక వికెట్లు కెరీర్లో (30) ',' 9 వ అత్యధ"&amp;"ిక కెరీర్ లో స్టంపింగ్లు ( 23) ']")</f>
        <v>[ '44 వ కెరీర్ లో అత్యధిక పరుగులు (858)', '12 వ ఇన్నింగ్స్ లో అత్యధిక పరుగులు (113 *)', '3 వ అత్యంత ఇన్నింగ్స్ లో నడుస్తుంది (బ్యాటింగ్ స్థానం) (113 *)', '34 వ కెరీర్ బాతులు ( 5) ',' ఏ వికెట్కు 2 వ అత్యధిక భాగస్వామ్యాల (236 *) ',' వికెట్ తేడాతో 3 వ అత్యధిక భాగస్వామ్యాల (3 వ) ',' మూడో వికెట్ (236 *) 1 వ అత్యధిక భాగస్వామ్యం ',' ఐదవ వికెట్కు 21 అత్యధిక భాగస్వామ్యం (64) ',' పదవ వికెట్కు 12 వ అత్యధిక భాగస్వామ్యం (17) ',' ఒక జట్టుకు 13 వ వరుస మ్యాచ్లు (52 *) ',' 16 వ అత్యధిక వికెట్లు కెరీర్లో (30) ',' 9 వ అత్యధిక కెరీర్ లో స్టంపింగ్లు ( 23) ']</v>
      </c>
      <c r="I8394" s="3"/>
    </row>
    <row r="8395" customHeight="1" spans="1:9">
      <c r="A8395" s="2"/>
      <c r="B8395" s="2" t="str">
        <f>IFERROR(__xludf.DUMMYFUNCTION("IF(A8395&lt;&gt;"""", GOOGLETRANSLATE(A8395, ""en"", ""te""),"""")"),"")</f>
        <v/>
      </c>
      <c r="C8395" s="2" t="s">
        <v>4701</v>
      </c>
      <c r="D8395" s="2" t="str">
        <f>IFERROR(__xludf.DUMMYFUNCTION("IF(C8395&lt;&gt;"""", GOOGLETRANSLATE(C8395, ""en"", ""te""),"""")"),"[ '15 వ పిన్న క్రీడాకారులు (17y 73d)']")</f>
        <v>[ '15 వ పిన్న క్రీడాకారులు (17y 73d)']</v>
      </c>
      <c r="E8395" s="2" t="s">
        <v>4702</v>
      </c>
      <c r="F8395" s="2" t="str">
        <f>IFERROR(__xludf.DUMMYFUNCTION("IF(E8395&lt;&gt;"""", GOOGLETRANSLATE(E8395, ""en"", ""te""),"""")"),"[ '20 వ పిన్న క్రీడాకారులు (16y 343d)']")</f>
        <v>[ '20 వ పిన్న క్రీడాకారులు (16y 343d)']</v>
      </c>
      <c r="G8395" s="2" t="s">
        <v>4703</v>
      </c>
      <c r="H8395" s="2" t="str">
        <f>IFERROR(__xludf.DUMMYFUNCTION("IF(G8395&lt;&gt;"""", GOOGLETRANSLATE(G8395, ""en"", ""te""),"""")"),"[ '45 వ చెత్త కెరీర్ సగటు (67.00) (అర్హత లేకుండా) బౌలింగ్', '47 వ అత్యధిక భాగస్వామ్యం పదవ వికెట్కు (15 *)']")</f>
        <v>[ '45 వ చెత్త కెరీర్ సగటు (67.00) (అర్హత లేకుండా) బౌలింగ్', '47 వ అత్యధిక భాగస్వామ్యం పదవ వికెట్కు (15 *)']</v>
      </c>
      <c r="I8395" s="3"/>
    </row>
    <row r="8396" customHeight="1" spans="1:9">
      <c r="A8396" s="2"/>
      <c r="B8396" s="2" t="str">
        <f>IFERROR(__xludf.DUMMYFUNCTION("IF(A8396&lt;&gt;"""", GOOGLETRANSLATE(A8396, ""en"", ""te""),"""")"),"")</f>
        <v/>
      </c>
      <c r="C8396" s="2"/>
      <c r="D8396" s="2" t="str">
        <f>IFERROR(__xludf.DUMMYFUNCTION("IF(C8396&lt;&gt;"""", GOOGLETRANSLATE(C8396, ""en"", ""te""),"""")"),"")</f>
        <v/>
      </c>
      <c r="E8396" s="2"/>
      <c r="F8396" s="2" t="str">
        <f>IFERROR(__xludf.DUMMYFUNCTION("IF(E8396&lt;&gt;"""", GOOGLETRANSLATE(E8396, ""en"", ""te""),"""")"),"")</f>
        <v/>
      </c>
      <c r="G8396" s="2"/>
      <c r="H8396" s="2" t="str">
        <f>IFERROR(__xludf.DUMMYFUNCTION("IF(G8396&lt;&gt;"""", GOOGLETRANSLATE(G8396, ""en"", ""te""),"""")"),"")</f>
        <v/>
      </c>
      <c r="I8396" s="3"/>
    </row>
    <row r="8397" customHeight="1" spans="1:9">
      <c r="A8397" s="2"/>
      <c r="B8397" s="2" t="str">
        <f>IFERROR(__xludf.DUMMYFUNCTION("IF(A8397&lt;&gt;"""", GOOGLETRANSLATE(A8397, ""en"", ""te""),"""")"),"")</f>
        <v/>
      </c>
      <c r="C8397" s="2"/>
      <c r="D8397" s="2" t="str">
        <f>IFERROR(__xludf.DUMMYFUNCTION("IF(C8397&lt;&gt;"""", GOOGLETRANSLATE(C8397, ""en"", ""te""),"""")"),"")</f>
        <v/>
      </c>
      <c r="E8397" s="2"/>
      <c r="F8397" s="2" t="str">
        <f>IFERROR(__xludf.DUMMYFUNCTION("IF(E8397&lt;&gt;"""", GOOGLETRANSLATE(E8397, ""en"", ""te""),"""")"),"")</f>
        <v/>
      </c>
      <c r="G8397" s="2"/>
      <c r="H8397" s="2" t="str">
        <f>IFERROR(__xludf.DUMMYFUNCTION("IF(G8397&lt;&gt;"""", GOOGLETRANSLATE(G8397, ""en"", ""te""),"""")"),"")</f>
        <v/>
      </c>
      <c r="I8397" s="3"/>
    </row>
    <row r="8398" customHeight="1" spans="1:9">
      <c r="A8398" s="2" t="s">
        <v>9</v>
      </c>
      <c r="B8398" s="2" t="str">
        <f>IFERROR(__xludf.DUMMYFUNCTION("IF(A8398&lt;&gt;"""", GOOGLETRANSLATE(A8398, ""en"", ""te""),"""")"),"[ 'హండ్రెడ్ మరియు ఒక మ్యాచ్లో ఒక డక్']")</f>
        <v>[ 'హండ్రెడ్ మరియు ఒక మ్యాచ్లో ఒక డక్']</v>
      </c>
      <c r="C8398" s="2"/>
      <c r="D8398" s="2" t="str">
        <f>IFERROR(__xludf.DUMMYFUNCTION("IF(C8398&lt;&gt;"""", GOOGLETRANSLATE(C8398, ""en"", ""te""),"""")"),"")</f>
        <v/>
      </c>
      <c r="E8398" s="2"/>
      <c r="F8398" s="2" t="str">
        <f>IFERROR(__xludf.DUMMYFUNCTION("IF(E8398&lt;&gt;"""", GOOGLETRANSLATE(E8398, ""en"", ""te""),"""")"),"")</f>
        <v/>
      </c>
      <c r="G8398" s="2"/>
      <c r="H8398" s="2" t="str">
        <f>IFERROR(__xludf.DUMMYFUNCTION("IF(G8398&lt;&gt;"""", GOOGLETRANSLATE(G8398, ""en"", ""te""),"""")"),"")</f>
        <v/>
      </c>
      <c r="I8398" s="3"/>
    </row>
    <row r="8399" customHeight="1" spans="1:9">
      <c r="A8399" s="2" t="s">
        <v>667</v>
      </c>
      <c r="B8399" s="2" t="str">
        <f>IFERROR(__xludf.DUMMYFUNCTION("IF(A8399&lt;&gt;"""", GOOGLETRANSLATE(A8399, ""en"", ""te""),"""")"),"[ 'ఇన్నింగ్స్ లో 1 వ అత్యంత పనికత్తెలయొద్ద (2)']")</f>
        <v>[ 'ఇన్నింగ్స్ లో 1 వ అత్యంత పనికత్తెలయొద్ద (2)']</v>
      </c>
      <c r="C8399" s="2"/>
      <c r="D8399" s="2" t="str">
        <f>IFERROR(__xludf.DUMMYFUNCTION("IF(C8399&lt;&gt;"""", GOOGLETRANSLATE(C8399, ""en"", ""te""),"""")"),"")</f>
        <v/>
      </c>
      <c r="E8399" s="2"/>
      <c r="F8399" s="2" t="str">
        <f>IFERROR(__xludf.DUMMYFUNCTION("IF(E8399&lt;&gt;"""", GOOGLETRANSLATE(E8399, ""en"", ""te""),"""")"),"")</f>
        <v/>
      </c>
      <c r="G8399" s="2" t="s">
        <v>667</v>
      </c>
      <c r="H8399" s="2" t="str">
        <f>IFERROR(__xludf.DUMMYFUNCTION("IF(G8399&lt;&gt;"""", GOOGLETRANSLATE(G8399, ""en"", ""te""),"""")"),"[ 'ఇన్నింగ్స్ లో 1 వ అత్యంత పనికత్తెలయొద్ద (2)']")</f>
        <v>[ 'ఇన్నింగ్స్ లో 1 వ అత్యంత పనికత్తెలయొద్ద (2)']</v>
      </c>
      <c r="I8399" s="3"/>
    </row>
    <row r="8400" customHeight="1" spans="1:9">
      <c r="A8400" s="2" t="s">
        <v>4704</v>
      </c>
      <c r="B8400" s="2" t="str">
        <f>IFERROR(__xludf.DUMMYFUNCTION("IF(A8400&lt;&gt;"""", GOOGLETRANSLATE(A8400, ""en"", ""te""),"""")"),"[ '9 వ పిన్న ఆటగాడు ఐదు వికెట్ల లో-ఒక-ఇన్నింగ్స్ తీసుకోవాలని (18y 283d)']")</f>
        <v>[ '9 వ పిన్న ఆటగాడు ఐదు వికెట్ల లో-ఒక-ఇన్నింగ్స్ తీసుకోవాలని (18y 283d)']</v>
      </c>
      <c r="C8400" s="2" t="s">
        <v>4704</v>
      </c>
      <c r="D8400" s="2" t="str">
        <f>IFERROR(__xludf.DUMMYFUNCTION("IF(C8400&lt;&gt;"""", GOOGLETRANSLATE(C8400, ""en"", ""te""),"""")"),"[ '9 వ పిన్న ఆటగాడు ఐదు వికెట్ల లో-ఒక-ఇన్నింగ్స్ తీసుకోవాలని (18y 283d)']")</f>
        <v>[ '9 వ పిన్న ఆటగాడు ఐదు వికెట్ల లో-ఒక-ఇన్నింగ్స్ తీసుకోవాలని (18y 283d)']</v>
      </c>
      <c r="E8400" s="2"/>
      <c r="F8400" s="2" t="str">
        <f>IFERROR(__xludf.DUMMYFUNCTION("IF(E8400&lt;&gt;"""", GOOGLETRANSLATE(E8400, ""en"", ""te""),"""")"),"")</f>
        <v/>
      </c>
      <c r="G8400" s="2"/>
      <c r="H8400" s="2" t="str">
        <f>IFERROR(__xludf.DUMMYFUNCTION("IF(G8400&lt;&gt;"""", GOOGLETRANSLATE(G8400, ""en"", ""te""),"""")"),"")</f>
        <v/>
      </c>
      <c r="I8400" s="3"/>
    </row>
    <row r="8401" customHeight="1" spans="1:9">
      <c r="A8401" s="2"/>
      <c r="B8401" s="2" t="str">
        <f>IFERROR(__xludf.DUMMYFUNCTION("IF(A8401&lt;&gt;"""", GOOGLETRANSLATE(A8401, ""en"", ""te""),"""")"),"")</f>
        <v/>
      </c>
      <c r="C8401" s="2"/>
      <c r="D8401" s="2" t="str">
        <f>IFERROR(__xludf.DUMMYFUNCTION("IF(C8401&lt;&gt;"""", GOOGLETRANSLATE(C8401, ""en"", ""te""),"""")"),"")</f>
        <v/>
      </c>
      <c r="E8401" s="2" t="s">
        <v>1779</v>
      </c>
      <c r="F8401" s="2" t="str">
        <f>IFERROR(__xludf.DUMMYFUNCTION("IF(E8401&lt;&gt;"""", GOOGLETRANSLATE(E8401, ""en"", ""te""),"""")"),"[ '38 వ ఒక మ్యాచ్ రిఫరీ గా అత్యధిక మ్యాచ్లు (12)']")</f>
        <v>[ '38 వ ఒక మ్యాచ్ రిఫరీ గా అత్యధిక మ్యాచ్లు (12)']</v>
      </c>
      <c r="G8401" s="2"/>
      <c r="H8401" s="2" t="str">
        <f>IFERROR(__xludf.DUMMYFUNCTION("IF(G8401&lt;&gt;"""", GOOGLETRANSLATE(G8401, ""en"", ""te""),"""")"),"")</f>
        <v/>
      </c>
      <c r="I8401" s="3"/>
    </row>
    <row r="8402" customHeight="1" spans="1:9">
      <c r="A8402" s="2"/>
      <c r="B8402" s="2" t="str">
        <f>IFERROR(__xludf.DUMMYFUNCTION("IF(A8402&lt;&gt;"""", GOOGLETRANSLATE(A8402, ""en"", ""te""),"""")"),"")</f>
        <v/>
      </c>
      <c r="C8402" s="2"/>
      <c r="D8402" s="2" t="str">
        <f>IFERROR(__xludf.DUMMYFUNCTION("IF(C8402&lt;&gt;"""", GOOGLETRANSLATE(C8402, ""en"", ""te""),"""")"),"")</f>
        <v/>
      </c>
      <c r="E8402" s="2"/>
      <c r="F8402" s="2" t="str">
        <f>IFERROR(__xludf.DUMMYFUNCTION("IF(E8402&lt;&gt;"""", GOOGLETRANSLATE(E8402, ""en"", ""te""),"""")"),"")</f>
        <v/>
      </c>
      <c r="G8402" s="2"/>
      <c r="H8402" s="2" t="str">
        <f>IFERROR(__xludf.DUMMYFUNCTION("IF(G8402&lt;&gt;"""", GOOGLETRANSLATE(G8402, ""en"", ""te""),"""")"),"")</f>
        <v/>
      </c>
      <c r="I8402" s="3"/>
    </row>
    <row r="8403" customHeight="1" spans="1:9">
      <c r="A8403" s="2"/>
      <c r="B8403" s="2" t="str">
        <f>IFERROR(__xludf.DUMMYFUNCTION("IF(A8403&lt;&gt;"""", GOOGLETRANSLATE(A8403, ""en"", ""te""),"""")"),"")</f>
        <v/>
      </c>
      <c r="C8403" s="2"/>
      <c r="D8403" s="2" t="str">
        <f>IFERROR(__xludf.DUMMYFUNCTION("IF(C8403&lt;&gt;"""", GOOGLETRANSLATE(C8403, ""en"", ""te""),"""")"),"")</f>
        <v/>
      </c>
      <c r="E8403" s="2"/>
      <c r="F8403" s="2" t="str">
        <f>IFERROR(__xludf.DUMMYFUNCTION("IF(E8403&lt;&gt;"""", GOOGLETRANSLATE(E8403, ""en"", ""te""),"""")"),"")</f>
        <v/>
      </c>
      <c r="G8403" s="2"/>
      <c r="H8403" s="2" t="str">
        <f>IFERROR(__xludf.DUMMYFUNCTION("IF(G8403&lt;&gt;"""", GOOGLETRANSLATE(G8403, ""en"", ""te""),"""")"),"")</f>
        <v/>
      </c>
      <c r="I8403" s="3"/>
    </row>
    <row r="8404" customHeight="1" spans="1:9">
      <c r="A8404" s="2" t="s">
        <v>4705</v>
      </c>
      <c r="B8404" s="2" t="str">
        <f>IFERROR(__xludf.DUMMYFUNCTION("IF(A8404&lt;&gt;"""", GOOGLETRANSLATE(A8404, ""en"", ""te""),"""")"),"[ '2 వ చెత్త కెరీర్లో సమ్మె రేటు (109.4)']")</f>
        <v>[ '2 వ చెత్త కెరీర్లో సమ్మె రేటు (109.4)']</v>
      </c>
      <c r="C8404" s="2" t="s">
        <v>4706</v>
      </c>
      <c r="D8404" s="2" t="str">
        <f>IFERROR(__xludf.DUMMYFUNCTION("IF(C8404&lt;&gt;"""", GOOGLETRANSLATE(C8404, ""en"", ""te""),"""")"),"[ '16 వ ఉత్తమ కెప్టెన్ ఒక ఇన్నింగ్స్ లో సంఖ్యలు (6)', '22 వ ప్రవేశం (6) ఒక ఇన్నింగ్స్ లోని బెస్ట్ ఫిగర్స్']")</f>
        <v>[ '16 వ ఉత్తమ కెప్టెన్ ఒక ఇన్నింగ్స్ లో సంఖ్యలు (6)', '22 వ ప్రవేశం (6) ఒక ఇన్నింగ్స్ లోని బెస్ట్ ఫిగర్స్']</v>
      </c>
      <c r="E8404" s="2" t="s">
        <v>4707</v>
      </c>
      <c r="F8404" s="2" t="str">
        <f>IFERROR(__xludf.DUMMYFUNCTION("IF(E8404&lt;&gt;"""", GOOGLETRANSLATE(E8404, ""en"", ""te""),"""")"),"[ '2 వ చెత్త కెరీర్ బౌలింగ్ సరాసరి (90.40)', '2 వ చెత్త కెరీర్లో సమ్మె రేటు (109.4)']")</f>
        <v>[ '2 వ చెత్త కెరీర్ బౌలింగ్ సరాసరి (90.40)', '2 వ చెత్త కెరీర్లో సమ్మె రేటు (109.4)']</v>
      </c>
      <c r="G8404" s="2"/>
      <c r="H8404" s="2" t="str">
        <f>IFERROR(__xludf.DUMMYFUNCTION("IF(G8404&lt;&gt;"""", GOOGLETRANSLATE(G8404, ""en"", ""te""),"""")"),"")</f>
        <v/>
      </c>
      <c r="I8404" s="3"/>
    </row>
    <row r="8405" customHeight="1" spans="1:9">
      <c r="A8405" s="2"/>
      <c r="B8405" s="2" t="str">
        <f>IFERROR(__xludf.DUMMYFUNCTION("IF(A8405&lt;&gt;"""", GOOGLETRANSLATE(A8405, ""en"", ""te""),"""")"),"")</f>
        <v/>
      </c>
      <c r="C8405" s="2"/>
      <c r="D8405" s="2" t="str">
        <f>IFERROR(__xludf.DUMMYFUNCTION("IF(C8405&lt;&gt;"""", GOOGLETRANSLATE(C8405, ""en"", ""te""),"""")"),"")</f>
        <v/>
      </c>
      <c r="E8405" s="2"/>
      <c r="F8405" s="2" t="str">
        <f>IFERROR(__xludf.DUMMYFUNCTION("IF(E8405&lt;&gt;"""", GOOGLETRANSLATE(E8405, ""en"", ""te""),"""")"),"")</f>
        <v/>
      </c>
      <c r="G8405" s="2"/>
      <c r="H8405" s="2" t="str">
        <f>IFERROR(__xludf.DUMMYFUNCTION("IF(G8405&lt;&gt;"""", GOOGLETRANSLATE(G8405, ""en"", ""te""),"""")"),"")</f>
        <v/>
      </c>
      <c r="I8405" s="3"/>
    </row>
    <row r="8406" customHeight="1" spans="1:9">
      <c r="A8406" s="2"/>
      <c r="B8406" s="2" t="str">
        <f>IFERROR(__xludf.DUMMYFUNCTION("IF(A8406&lt;&gt;"""", GOOGLETRANSLATE(A8406, ""en"", ""te""),"""")"),"")</f>
        <v/>
      </c>
      <c r="C8406" s="2"/>
      <c r="D8406" s="2" t="str">
        <f>IFERROR(__xludf.DUMMYFUNCTION("IF(C8406&lt;&gt;"""", GOOGLETRANSLATE(C8406, ""en"", ""te""),"""")"),"")</f>
        <v/>
      </c>
      <c r="E8406" s="2"/>
      <c r="F8406" s="2" t="str">
        <f>IFERROR(__xludf.DUMMYFUNCTION("IF(E8406&lt;&gt;"""", GOOGLETRANSLATE(E8406, ""en"", ""te""),"""")"),"")</f>
        <v/>
      </c>
      <c r="G8406" s="2"/>
      <c r="H8406" s="2" t="str">
        <f>IFERROR(__xludf.DUMMYFUNCTION("IF(G8406&lt;&gt;"""", GOOGLETRANSLATE(G8406, ""en"", ""te""),"""")"),"")</f>
        <v/>
      </c>
      <c r="I8406" s="3"/>
    </row>
    <row r="8407" customHeight="1" spans="1:9">
      <c r="A8407" s="2"/>
      <c r="B8407" s="2" t="str">
        <f>IFERROR(__xludf.DUMMYFUNCTION("IF(A8407&lt;&gt;"""", GOOGLETRANSLATE(A8407, ""en"", ""te""),"""")"),"")</f>
        <v/>
      </c>
      <c r="C8407" s="2"/>
      <c r="D8407" s="2" t="str">
        <f>IFERROR(__xludf.DUMMYFUNCTION("IF(C8407&lt;&gt;"""", GOOGLETRANSLATE(C8407, ""en"", ""te""),"""")"),"")</f>
        <v/>
      </c>
      <c r="E8407" s="2"/>
      <c r="F8407" s="2" t="str">
        <f>IFERROR(__xludf.DUMMYFUNCTION("IF(E8407&lt;&gt;"""", GOOGLETRANSLATE(E8407, ""en"", ""te""),"""")"),"")</f>
        <v/>
      </c>
      <c r="G8407" s="2"/>
      <c r="H8407" s="2" t="str">
        <f>IFERROR(__xludf.DUMMYFUNCTION("IF(G8407&lt;&gt;"""", GOOGLETRANSLATE(G8407, ""en"", ""te""),"""")"),"")</f>
        <v/>
      </c>
      <c r="I8407" s="3"/>
    </row>
    <row r="8408" customHeight="1" spans="1:9">
      <c r="A8408" s="2"/>
      <c r="B8408" s="2" t="str">
        <f>IFERROR(__xludf.DUMMYFUNCTION("IF(A8408&lt;&gt;"""", GOOGLETRANSLATE(A8408, ""en"", ""te""),"""")"),"")</f>
        <v/>
      </c>
      <c r="C8408" s="2"/>
      <c r="D8408" s="2" t="str">
        <f>IFERROR(__xludf.DUMMYFUNCTION("IF(C8408&lt;&gt;"""", GOOGLETRANSLATE(C8408, ""en"", ""te""),"""")"),"")</f>
        <v/>
      </c>
      <c r="E8408" s="2"/>
      <c r="F8408" s="2" t="str">
        <f>IFERROR(__xludf.DUMMYFUNCTION("IF(E8408&lt;&gt;"""", GOOGLETRANSLATE(E8408, ""en"", ""te""),"""")"),"")</f>
        <v/>
      </c>
      <c r="G8408" s="2"/>
      <c r="H8408" s="2" t="str">
        <f>IFERROR(__xludf.DUMMYFUNCTION("IF(G8408&lt;&gt;"""", GOOGLETRANSLATE(G8408, ""en"", ""te""),"""")"),"")</f>
        <v/>
      </c>
      <c r="I8408" s="3"/>
    </row>
    <row r="8409" customHeight="1" spans="1:9">
      <c r="A8409" s="2"/>
      <c r="B8409" s="2" t="str">
        <f>IFERROR(__xludf.DUMMYFUNCTION("IF(A8409&lt;&gt;"""", GOOGLETRANSLATE(A8409, ""en"", ""te""),"""")"),"")</f>
        <v/>
      </c>
      <c r="C8409" s="2"/>
      <c r="D8409" s="2" t="str">
        <f>IFERROR(__xludf.DUMMYFUNCTION("IF(C8409&lt;&gt;"""", GOOGLETRANSLATE(C8409, ""en"", ""te""),"""")"),"")</f>
        <v/>
      </c>
      <c r="E8409" s="2" t="s">
        <v>4708</v>
      </c>
      <c r="F8409" s="2" t="str">
        <f>IFERROR(__xludf.DUMMYFUNCTION("IF(E8409&lt;&gt;"""", GOOGLETRANSLATE(E8409, ""en"", ""te""),"""")"),"[ '11 వ పిన్న ఆటగాడు వంద (20y 3) స్కోర్', '12 వ అత్యుత్తమ బౌలింగ్ ఇన్నింగ్స్ లో విశ్లేషించడం (2/3)']")</f>
        <v>[ '11 వ పిన్న ఆటగాడు వంద (20y 3) స్కోర్', '12 వ అత్యుత్తమ బౌలింగ్ ఇన్నింగ్స్ లో విశ్లేషించడం (2/3)']</v>
      </c>
      <c r="G8409" s="2" t="s">
        <v>4709</v>
      </c>
      <c r="H8409" s="2" t="str">
        <f>IFERROR(__xludf.DUMMYFUNCTION("IF(G8409&lt;&gt;"""", GOOGLETRANSLATE(G8409, ""en"", ""te""),"""")"),"[ '43 వ ఇన్నింగ్స్ లో అత్యధిక పరుగులు (బ్యాటింగ్ స్థానంలో ప్రకారం) (50 *)', 'పదవ వికెట్కు 41 వ అత్యధిక భాగస్వామ్యం (16 *)']")</f>
        <v>[ '43 వ ఇన్నింగ్స్ లో అత్యధిక పరుగులు (బ్యాటింగ్ స్థానంలో ప్రకారం) (50 *)', 'పదవ వికెట్కు 41 వ అత్యధిక భాగస్వామ్యం (16 *)']</v>
      </c>
      <c r="I8409" s="3"/>
    </row>
    <row r="8410" customHeight="1" spans="1:9">
      <c r="A8410" s="2"/>
      <c r="B8410" s="2" t="str">
        <f>IFERROR(__xludf.DUMMYFUNCTION("IF(A8410&lt;&gt;"""", GOOGLETRANSLATE(A8410, ""en"", ""te""),"""")"),"")</f>
        <v/>
      </c>
      <c r="C8410" s="2"/>
      <c r="D8410" s="2" t="str">
        <f>IFERROR(__xludf.DUMMYFUNCTION("IF(C8410&lt;&gt;"""", GOOGLETRANSLATE(C8410, ""en"", ""te""),"""")"),"")</f>
        <v/>
      </c>
      <c r="E8410" s="2"/>
      <c r="F8410" s="2" t="str">
        <f>IFERROR(__xludf.DUMMYFUNCTION("IF(E8410&lt;&gt;"""", GOOGLETRANSLATE(E8410, ""en"", ""te""),"""")"),"")</f>
        <v/>
      </c>
      <c r="G8410" s="2"/>
      <c r="H8410" s="2" t="str">
        <f>IFERROR(__xludf.DUMMYFUNCTION("IF(G8410&lt;&gt;"""", GOOGLETRANSLATE(G8410, ""en"", ""te""),"""")"),"")</f>
        <v/>
      </c>
      <c r="I8410" s="3"/>
    </row>
    <row r="8411" customHeight="1" spans="1:9">
      <c r="A8411" s="2"/>
      <c r="B8411" s="2" t="str">
        <f>IFERROR(__xludf.DUMMYFUNCTION("IF(A8411&lt;&gt;"""", GOOGLETRANSLATE(A8411, ""en"", ""te""),"""")"),"")</f>
        <v/>
      </c>
      <c r="C8411" s="2"/>
      <c r="D8411" s="2" t="str">
        <f>IFERROR(__xludf.DUMMYFUNCTION("IF(C8411&lt;&gt;"""", GOOGLETRANSLATE(C8411, ""en"", ""te""),"""")"),"")</f>
        <v/>
      </c>
      <c r="E8411" s="2"/>
      <c r="F8411" s="2" t="str">
        <f>IFERROR(__xludf.DUMMYFUNCTION("IF(E8411&lt;&gt;"""", GOOGLETRANSLATE(E8411, ""en"", ""te""),"""")"),"")</f>
        <v/>
      </c>
      <c r="G8411" s="2"/>
      <c r="H8411" s="2" t="str">
        <f>IFERROR(__xludf.DUMMYFUNCTION("IF(G8411&lt;&gt;"""", GOOGLETRANSLATE(G8411, ""en"", ""te""),"""")"),"")</f>
        <v/>
      </c>
      <c r="I8411" s="3"/>
    </row>
    <row r="8412" customHeight="1" spans="1:9">
      <c r="A8412" s="2"/>
      <c r="B8412" s="2" t="str">
        <f>IFERROR(__xludf.DUMMYFUNCTION("IF(A8412&lt;&gt;"""", GOOGLETRANSLATE(A8412, ""en"", ""te""),"""")"),"")</f>
        <v/>
      </c>
      <c r="C8412" s="2"/>
      <c r="D8412" s="2" t="str">
        <f>IFERROR(__xludf.DUMMYFUNCTION("IF(C8412&lt;&gt;"""", GOOGLETRANSLATE(C8412, ""en"", ""te""),"""")"),"")</f>
        <v/>
      </c>
      <c r="E8412" s="2"/>
      <c r="F8412" s="2" t="str">
        <f>IFERROR(__xludf.DUMMYFUNCTION("IF(E8412&lt;&gt;"""", GOOGLETRANSLATE(E8412, ""en"", ""te""),"""")"),"")</f>
        <v/>
      </c>
      <c r="G8412" s="2"/>
      <c r="H8412" s="2" t="str">
        <f>IFERROR(__xludf.DUMMYFUNCTION("IF(G8412&lt;&gt;"""", GOOGLETRANSLATE(G8412, ""en"", ""te""),"""")"),"")</f>
        <v/>
      </c>
      <c r="I8412" s="3"/>
    </row>
    <row r="8413" customHeight="1" spans="1:9">
      <c r="A8413" s="2" t="s">
        <v>4710</v>
      </c>
      <c r="B8413" s="2" t="str">
        <f>IFERROR(__xludf.DUMMYFUNCTION("IF(A8413&lt;&gt;"""", GOOGLETRANSLATE(A8413, ""en"", ""te""),"""")"),"[ '1st చెత్త కెరీర్ బౌలింగ్ సరాసరి (అర్హత లేకుండా) (303.00)']")</f>
        <v>[ '1st చెత్త కెరీర్ బౌలింగ్ సరాసరి (అర్హత లేకుండా) (303.00)']</v>
      </c>
      <c r="C8413" s="2" t="s">
        <v>4710</v>
      </c>
      <c r="D8413" s="2" t="str">
        <f>IFERROR(__xludf.DUMMYFUNCTION("IF(C8413&lt;&gt;"""", GOOGLETRANSLATE(C8413, ""en"", ""te""),"""")"),"[ '1st చెత్త కెరీర్ బౌలింగ్ సరాసరి (అర్హత లేకుండా) (303.00)']")</f>
        <v>[ '1st చెత్త కెరీర్ బౌలింగ్ సరాసరి (అర్హత లేకుండా) (303.00)']</v>
      </c>
      <c r="E8413" s="2"/>
      <c r="F8413" s="2" t="str">
        <f>IFERROR(__xludf.DUMMYFUNCTION("IF(E8413&lt;&gt;"""", GOOGLETRANSLATE(E8413, ""en"", ""te""),"""")"),"")</f>
        <v/>
      </c>
      <c r="G8413" s="2" t="s">
        <v>4711</v>
      </c>
      <c r="H8413" s="2" t="str">
        <f>IFERROR(__xludf.DUMMYFUNCTION("IF(G8413&lt;&gt;"""", GOOGLETRANSLATE(G8413, ""en"", ""te""),"""")"),"[ '19 ఇన్నింగ్స్ లో అత్యధిక పరుగులు (బ్యాటింగ్ స్థానంలో ద్వారా) (28)']")</f>
        <v>[ '19 ఇన్నింగ్స్ లో అత్యధిక పరుగులు (బ్యాటింగ్ స్థానంలో ద్వారా) (28)']</v>
      </c>
      <c r="I8413" s="3"/>
    </row>
    <row r="8414" customHeight="1" spans="1:9">
      <c r="A8414" s="2"/>
      <c r="B8414" s="2" t="str">
        <f>IFERROR(__xludf.DUMMYFUNCTION("IF(A8414&lt;&gt;"""", GOOGLETRANSLATE(A8414, ""en"", ""te""),"""")"),"")</f>
        <v/>
      </c>
      <c r="C8414" s="2"/>
      <c r="D8414" s="2" t="str">
        <f>IFERROR(__xludf.DUMMYFUNCTION("IF(C8414&lt;&gt;"""", GOOGLETRANSLATE(C8414, ""en"", ""te""),"""")"),"")</f>
        <v/>
      </c>
      <c r="E8414" s="2"/>
      <c r="F8414" s="2" t="str">
        <f>IFERROR(__xludf.DUMMYFUNCTION("IF(E8414&lt;&gt;"""", GOOGLETRANSLATE(E8414, ""en"", ""te""),"""")"),"")</f>
        <v/>
      </c>
      <c r="G8414" s="2"/>
      <c r="H8414" s="2" t="str">
        <f>IFERROR(__xludf.DUMMYFUNCTION("IF(G8414&lt;&gt;"""", GOOGLETRANSLATE(G8414, ""en"", ""te""),"""")"),"")</f>
        <v/>
      </c>
      <c r="I8414" s="3"/>
    </row>
    <row r="8415" customHeight="1" spans="1:9">
      <c r="A8415" s="2" t="s">
        <v>4712</v>
      </c>
      <c r="B8415" s="2" t="str">
        <f>IFERROR(__xludf.DUMMYFUNCTION("IF(A8415&lt;&gt;"""", GOOGLETRANSLATE(A8415, ""en"", ""te""),"""")"),"[ '1st చాలా ఇన్నింగ్స్ లో నడుస్తుంది (బ్యాటింగ్ స్థానం) (23)']")</f>
        <v>[ '1st చాలా ఇన్నింగ్స్ లో నడుస్తుంది (బ్యాటింగ్ స్థానం) (23)']</v>
      </c>
      <c r="C8415" s="2"/>
      <c r="D8415" s="2" t="str">
        <f>IFERROR(__xludf.DUMMYFUNCTION("IF(C8415&lt;&gt;"""", GOOGLETRANSLATE(C8415, ""en"", ""te""),"""")"),"")</f>
        <v/>
      </c>
      <c r="E8415" s="2" t="s">
        <v>4713</v>
      </c>
      <c r="F8415" s="2" t="str">
        <f>IFERROR(__xludf.DUMMYFUNCTION("IF(E8415&lt;&gt;"""", GOOGLETRANSLATE(E8415, ""en"", ""te""),"""")"),"[ '1st ఇన్నింగ్స్ లో అత్యధిక పరుగులు (బ్యాటింగ్ స్థానంలో ద్వారా) (23)', 'తొమ్మిదవ వికెట్కు 30 వ అత్యధిక భాగస్వామ్యం (37)']")</f>
        <v>[ '1st ఇన్నింగ్స్ లో అత్యధిక పరుగులు (బ్యాటింగ్ స్థానంలో ద్వారా) (23)', 'తొమ్మిదవ వికెట్కు 30 వ అత్యధిక భాగస్వామ్యం (37)']</v>
      </c>
      <c r="G8415" s="2" t="s">
        <v>4714</v>
      </c>
      <c r="H8415" s="2" t="str">
        <f>IFERROR(__xludf.DUMMYFUNCTION("IF(G8415&lt;&gt;"""", GOOGLETRANSLATE(G8415, ""en"", ""te""),"""")"),"[ '34 వ తొలి డక్ ముందు అత్యంత ఇన్నింగ్స్ (14)', '32 వ ఇన్నింగ్స్ లో బెస్ట్ ఫిగర్స్ (5/16)', '25 వ ఉత్తమ కెరీర్ బౌలింగ్ సరాసరి (17.69)', '17 వ ఉత్తమ కెరీర్ ఆర్థిక రేటు (5.33)', ' 35 వ ఉత్తమ కెరీర్ సమ్మె రేటు (19.9) ',' 50 వ అత్యధిక వికెట్లు తీసుకున్న ఆకర్ష"&amp;"ించింది (24) ',' 45 వ అత్యధిక వికెట్లు ఒక ఫీల్డర్ చేత క్యాచ్ తీసుకున్న (21) ',' 12 వ ఇన్నింగ్స్ లో వచ్చిన ఎక్కువ పనికత్తెలయొద్ద (2) ']")</f>
        <v>[ '34 వ తొలి డక్ ముందు అత్యంత ఇన్నింగ్స్ (14)', '32 వ ఇన్నింగ్స్ లో బెస్ట్ ఫిగర్స్ (5/16)', '25 వ ఉత్తమ కెరీర్ బౌలింగ్ సరాసరి (17.69)', '17 వ ఉత్తమ కెరీర్ ఆర్థిక రేటు (5.33)', ' 35 వ ఉత్తమ కెరీర్ సమ్మె రేటు (19.9) ',' 50 వ అత్యధిక వికెట్లు తీసుకున్న ఆకర్షించింది (24) ',' 45 వ అత్యధిక వికెట్లు ఒక ఫీల్డర్ చేత క్యాచ్ తీసుకున్న (21) ',' 12 వ ఇన్నింగ్స్ లో వచ్చిన ఎక్కువ పనికత్తెలయొద్ద (2) ']</v>
      </c>
      <c r="I8415" s="3"/>
    </row>
    <row r="8416" customHeight="1" spans="1:9">
      <c r="A8416" s="2"/>
      <c r="B8416" s="2" t="str">
        <f>IFERROR(__xludf.DUMMYFUNCTION("IF(A8416&lt;&gt;"""", GOOGLETRANSLATE(A8416, ""en"", ""te""),"""")"),"")</f>
        <v/>
      </c>
      <c r="C8416" s="2"/>
      <c r="D8416" s="2" t="str">
        <f>IFERROR(__xludf.DUMMYFUNCTION("IF(C8416&lt;&gt;"""", GOOGLETRANSLATE(C8416, ""en"", ""te""),"""")"),"")</f>
        <v/>
      </c>
      <c r="E8416" s="2"/>
      <c r="F8416" s="2" t="str">
        <f>IFERROR(__xludf.DUMMYFUNCTION("IF(E8416&lt;&gt;"""", GOOGLETRANSLATE(E8416, ""en"", ""te""),"""")"),"")</f>
        <v/>
      </c>
      <c r="G8416" s="2"/>
      <c r="H8416" s="2" t="str">
        <f>IFERROR(__xludf.DUMMYFUNCTION("IF(G8416&lt;&gt;"""", GOOGLETRANSLATE(G8416, ""en"", ""te""),"""")"),"")</f>
        <v/>
      </c>
      <c r="I8416" s="3"/>
    </row>
    <row r="8417" customHeight="1" spans="1:9">
      <c r="A8417" s="2"/>
      <c r="B8417" s="2" t="str">
        <f>IFERROR(__xludf.DUMMYFUNCTION("IF(A8417&lt;&gt;"""", GOOGLETRANSLATE(A8417, ""en"", ""te""),"""")"),"")</f>
        <v/>
      </c>
      <c r="C8417" s="2"/>
      <c r="D8417" s="2" t="str">
        <f>IFERROR(__xludf.DUMMYFUNCTION("IF(C8417&lt;&gt;"""", GOOGLETRANSLATE(C8417, ""en"", ""te""),"""")"),"")</f>
        <v/>
      </c>
      <c r="E8417" s="2"/>
      <c r="F8417" s="2" t="str">
        <f>IFERROR(__xludf.DUMMYFUNCTION("IF(E8417&lt;&gt;"""", GOOGLETRANSLATE(E8417, ""en"", ""te""),"""")"),"")</f>
        <v/>
      </c>
      <c r="G8417" s="2"/>
      <c r="H8417" s="2" t="str">
        <f>IFERROR(__xludf.DUMMYFUNCTION("IF(G8417&lt;&gt;"""", GOOGLETRANSLATE(G8417, ""en"", ""te""),"""")"),"")</f>
        <v/>
      </c>
      <c r="I8417" s="3"/>
    </row>
    <row r="8418" customHeight="1" spans="1:9">
      <c r="A8418" s="2"/>
      <c r="B8418" s="2" t="str">
        <f>IFERROR(__xludf.DUMMYFUNCTION("IF(A8418&lt;&gt;"""", GOOGLETRANSLATE(A8418, ""en"", ""te""),"""")"),"")</f>
        <v/>
      </c>
      <c r="C8418" s="2"/>
      <c r="D8418" s="2" t="str">
        <f>IFERROR(__xludf.DUMMYFUNCTION("IF(C8418&lt;&gt;"""", GOOGLETRANSLATE(C8418, ""en"", ""te""),"""")"),"")</f>
        <v/>
      </c>
      <c r="E8418" s="2"/>
      <c r="F8418" s="2" t="str">
        <f>IFERROR(__xludf.DUMMYFUNCTION("IF(E8418&lt;&gt;"""", GOOGLETRANSLATE(E8418, ""en"", ""te""),"""")"),"")</f>
        <v/>
      </c>
      <c r="G8418" s="2"/>
      <c r="H8418" s="2" t="str">
        <f>IFERROR(__xludf.DUMMYFUNCTION("IF(G8418&lt;&gt;"""", GOOGLETRANSLATE(G8418, ""en"", ""te""),"""")"),"")</f>
        <v/>
      </c>
      <c r="I8418" s="3"/>
    </row>
    <row r="8419" customHeight="1" spans="1:9">
      <c r="A8419" s="2"/>
      <c r="B8419" s="2" t="str">
        <f>IFERROR(__xludf.DUMMYFUNCTION("IF(A8419&lt;&gt;"""", GOOGLETRANSLATE(A8419, ""en"", ""te""),"""")"),"")</f>
        <v/>
      </c>
      <c r="C8419" s="2"/>
      <c r="D8419" s="2" t="str">
        <f>IFERROR(__xludf.DUMMYFUNCTION("IF(C8419&lt;&gt;"""", GOOGLETRANSLATE(C8419, ""en"", ""te""),"""")"),"")</f>
        <v/>
      </c>
      <c r="E8419" s="2"/>
      <c r="F8419" s="2" t="str">
        <f>IFERROR(__xludf.DUMMYFUNCTION("IF(E8419&lt;&gt;"""", GOOGLETRANSLATE(E8419, ""en"", ""te""),"""")"),"")</f>
        <v/>
      </c>
      <c r="G8419" s="2"/>
      <c r="H8419" s="2" t="str">
        <f>IFERROR(__xludf.DUMMYFUNCTION("IF(G8419&lt;&gt;"""", GOOGLETRANSLATE(G8419, ""en"", ""te""),"""")"),"")</f>
        <v/>
      </c>
      <c r="I8419" s="3"/>
    </row>
    <row r="8420" customHeight="1" spans="1:9">
      <c r="A8420" s="2" t="s">
        <v>4715</v>
      </c>
      <c r="B8420" s="2" t="str">
        <f>IFERROR(__xludf.DUMMYFUNCTION("IF(A8420&lt;&gt;"""", GOOGLETRANSLATE(A8420, ""en"", ""te""),"""")"),"[ 'బృందం కోసం 8 వ వరుస మ్యాచ్లు (58)', '6 వ ఒక క్యాలెండర్ సంవత్సరంలో అత్యధిక వికెట్లు (30)', '9 వ అత్యధిక వికెట్లు స్టంప్ తీసుకున్న (11)']")</f>
        <v>[ 'బృందం కోసం 8 వ వరుస మ్యాచ్లు (58)', '6 వ ఒక క్యాలెండర్ సంవత్సరంలో అత్యధిక వికెట్లు (30)', '9 వ అత్యధిక వికెట్లు స్టంప్ తీసుకున్న (11)']</v>
      </c>
      <c r="C8420" s="2"/>
      <c r="D8420" s="2" t="str">
        <f>IFERROR(__xludf.DUMMYFUNCTION("IF(C8420&lt;&gt;"""", GOOGLETRANSLATE(C8420, ""en"", ""te""),"""")"),"")</f>
        <v/>
      </c>
      <c r="E8420" s="2" t="s">
        <v>4716</v>
      </c>
      <c r="F8420" s="2" t="str">
        <f>IFERROR(__xludf.DUMMYFUNCTION("IF(E8420&lt;&gt;"""", GOOGLETRANSLATE(E8420, ""en"", ""te""),"""")"),"[ '11 వ ఒక ఇన్నింగ్స్ లోని బెస్ట్ ఫిగర్స్ ఉన్నప్పుడు పరాజయం వైపు (4)', 'ఎనిమిదవ వికెట్కు 41 వ అత్యధిక భాగస్వామ్యం (44)', 'కెప్టెన్ (18) 41 వ అత్యధిక మ్యాచ్లు', '37 వ వరుస కెప్టెన్గా మ్యాచ్లు ఒక జట్టు (18 *) ']")</f>
        <v>[ '11 వ ఒక ఇన్నింగ్స్ లోని బెస్ట్ ఫిగర్స్ ఉన్నప్పుడు పరాజయం వైపు (4)', 'ఎనిమిదవ వికెట్కు 41 వ అత్యధిక భాగస్వామ్యం (44)', 'కెప్టెన్ (18) 41 వ అత్యధిక మ్యాచ్లు', '37 వ వరుస కెప్టెన్గా మ్యాచ్లు ఒక జట్టు (18 *) ']</v>
      </c>
      <c r="G8420" s="2" t="s">
        <v>4717</v>
      </c>
      <c r="H8420" s="2" t="str">
        <f>IFERROR(__xludf.DUMMYFUNCTION("IF(G8420&lt;&gt;"""", GOOGLETRANSLATE(G8420, ""en"", ""te""),"""")"),"[ '25 వ ఇన్నింగ్స్ లో అత్యధిక పరుగులు (బ్యాటింగ్ స్థానంలో ప్రకారం) (50)', 'ఒక డక్ లేకుండా 17 వరుస ఇన్నింగ్స్ (38)', 'కెరీర్లో 47 వ అతి తక్కువ బాతులు (15)', '27 వ కెరీర్ లో అత్యధిక వికెట్లు (57 ) ',' 6 వ ఒక క్యాలెండర్ సంవత్సరంలో అత్యధిక వికెట్లు (30) ',' 1"&amp;"2 వ అత్యుత్తమ బౌలింగ్ ఇన్నింగ్స్ లో విశ్లేషించడం (3/2) ',' ఒకే మైదానంలో 19 వ అత్యధిక వికెట్లు (10) ',' 45 వ ఉత్తమ కెరీర్ సగటు బౌలింగ్ (20.05) ',' 20 వ ఉత్తమ కెరీర్ ఆర్థిక రేటు (5.40) ',' ఇన్నింగ్స్ లో 41 వ ఉత్తమ ఆర్థిక రేటు (0.66) ',' కెరీర్ లో 24 వ (126"&amp;"8) లో బౌల్డ్ చాలా బంతుల్లో ',' 27 వ కెరీర్ లో సాధించిన అత్యధిక పరుగులు (1143 ) ',' 34 వ బౌలర్ / ఫీల్డర్ కలయికలు (8) ',' 44 వ అత్యధిక వికెట్లు తీసుకున్న బౌల్డ్ (10) ',' 34 వ అత్యధిక వికెట్లు తీసిన ఒక ఫీల్డర్ చేత క్యాచ్ (30) ',' 30 వ అత్యధిక వికెట్లు తీసుకు"&amp;"న్న ఆకర్షించింది (27) ', '36 వ అత్యధిక వికెట్లు తీసుకున్న ఎల్బిడబ్ల్యు (6)', '9 వ అత్యధిక వికెట్లు స్టంప్ తీసుకోకూడదు (11)', 'ఏడవ వికెట్కు 40 వ అత్యధిక భాగస్వామ్యం (32)', 'ఎనిమిదవ వికెట్కు 19 అత్యధిక భాగస్వామ్యం (28)', '8 వ ఒక జట్టు వరుస మ్యాచ్లు (58) ','"&amp;" 27 వ కెరీర్ పనికత్తెలయొద్ద (6) ']")</f>
        <v>[ '25 వ ఇన్నింగ్స్ లో అత్యధిక పరుగులు (బ్యాటింగ్ స్థానంలో ప్రకారం) (50)', 'ఒక డక్ లేకుండా 17 వరుస ఇన్నింగ్స్ (38)', 'కెరీర్లో 47 వ అతి తక్కువ బాతులు (15)', '27 వ కెరీర్ లో అత్యధిక వికెట్లు (57 ) ',' 6 వ ఒక క్యాలెండర్ సంవత్సరంలో అత్యధిక వికెట్లు (30) ',' 12 వ అత్యుత్తమ బౌలింగ్ ఇన్నింగ్స్ లో విశ్లేషించడం (3/2) ',' ఒకే మైదానంలో 19 వ అత్యధిక వికెట్లు (10) ',' 45 వ ఉత్తమ కెరీర్ సగటు బౌలింగ్ (20.05) ',' 20 వ ఉత్తమ కెరీర్ ఆర్థిక రేటు (5.40) ',' ఇన్నింగ్స్ లో 41 వ ఉత్తమ ఆర్థిక రేటు (0.66) ',' కెరీర్ లో 24 వ (1268) లో బౌల్డ్ చాలా బంతుల్లో ',' 27 వ కెరీర్ లో సాధించిన అత్యధిక పరుగులు (1143 ) ',' 34 వ బౌలర్ / ఫీల్డర్ కలయికలు (8) ',' 44 వ అత్యధిక వికెట్లు తీసుకున్న బౌల్డ్ (10) ',' 34 వ అత్యధిక వికెట్లు తీసిన ఒక ఫీల్డర్ చేత క్యాచ్ (30) ',' 30 వ అత్యధిక వికెట్లు తీసుకున్న ఆకర్షించింది (27) ', '36 వ అత్యధిక వికెట్లు తీసుకున్న ఎల్బిడబ్ల్యు (6)', '9 వ అత్యధిక వికెట్లు స్టంప్ తీసుకోకూడదు (11)', 'ఏడవ వికెట్కు 40 వ అత్యధిక భాగస్వామ్యం (32)', 'ఎనిమిదవ వికెట్కు 19 అత్యధిక భాగస్వామ్యం (28)', '8 వ ఒక జట్టు వరుస మ్యాచ్లు (58) ',' 27 వ కెరీర్ పనికత్తెలయొద్ద (6) ']</v>
      </c>
      <c r="I8420" s="3"/>
    </row>
    <row r="8421" customHeight="1" spans="1:9">
      <c r="A8421" s="2"/>
      <c r="B8421" s="2" t="str">
        <f>IFERROR(__xludf.DUMMYFUNCTION("IF(A8421&lt;&gt;"""", GOOGLETRANSLATE(A8421, ""en"", ""te""),"""")"),"")</f>
        <v/>
      </c>
      <c r="C8421" s="2"/>
      <c r="D8421" s="2" t="str">
        <f>IFERROR(__xludf.DUMMYFUNCTION("IF(C8421&lt;&gt;"""", GOOGLETRANSLATE(C8421, ""en"", ""te""),"""")"),"")</f>
        <v/>
      </c>
      <c r="E8421" s="2"/>
      <c r="F8421" s="2" t="str">
        <f>IFERROR(__xludf.DUMMYFUNCTION("IF(E8421&lt;&gt;"""", GOOGLETRANSLATE(E8421, ""en"", ""te""),"""")"),"")</f>
        <v/>
      </c>
      <c r="G8421" s="2"/>
      <c r="H8421" s="2" t="str">
        <f>IFERROR(__xludf.DUMMYFUNCTION("IF(G8421&lt;&gt;"""", GOOGLETRANSLATE(G8421, ""en"", ""te""),"""")"),"")</f>
        <v/>
      </c>
      <c r="I8421" s="3"/>
    </row>
    <row r="8422" customHeight="1" spans="1:9">
      <c r="A8422" s="2"/>
      <c r="B8422" s="2" t="str">
        <f>IFERROR(__xludf.DUMMYFUNCTION("IF(A8422&lt;&gt;"""", GOOGLETRANSLATE(A8422, ""en"", ""te""),"""")"),"")</f>
        <v/>
      </c>
      <c r="C8422" s="2"/>
      <c r="D8422" s="2" t="str">
        <f>IFERROR(__xludf.DUMMYFUNCTION("IF(C8422&lt;&gt;"""", GOOGLETRANSLATE(C8422, ""en"", ""te""),"""")"),"")</f>
        <v/>
      </c>
      <c r="E8422" s="2"/>
      <c r="F8422" s="2" t="str">
        <f>IFERROR(__xludf.DUMMYFUNCTION("IF(E8422&lt;&gt;"""", GOOGLETRANSLATE(E8422, ""en"", ""te""),"""")"),"")</f>
        <v/>
      </c>
      <c r="G8422" s="2"/>
      <c r="H8422" s="2" t="str">
        <f>IFERROR(__xludf.DUMMYFUNCTION("IF(G8422&lt;&gt;"""", GOOGLETRANSLATE(G8422, ""en"", ""te""),"""")"),"")</f>
        <v/>
      </c>
      <c r="I8422" s="3"/>
    </row>
    <row r="8423" customHeight="1" spans="1:9">
      <c r="A8423" s="2"/>
      <c r="B8423" s="2" t="str">
        <f>IFERROR(__xludf.DUMMYFUNCTION("IF(A8423&lt;&gt;"""", GOOGLETRANSLATE(A8423, ""en"", ""te""),"""")"),"")</f>
        <v/>
      </c>
      <c r="C8423" s="2"/>
      <c r="D8423" s="2" t="str">
        <f>IFERROR(__xludf.DUMMYFUNCTION("IF(C8423&lt;&gt;"""", GOOGLETRANSLATE(C8423, ""en"", ""te""),"""")"),"")</f>
        <v/>
      </c>
      <c r="E8423" s="2"/>
      <c r="F8423" s="2" t="str">
        <f>IFERROR(__xludf.DUMMYFUNCTION("IF(E8423&lt;&gt;"""", GOOGLETRANSLATE(E8423, ""en"", ""te""),"""")"),"")</f>
        <v/>
      </c>
      <c r="G8423" s="2"/>
      <c r="H8423" s="2" t="str">
        <f>IFERROR(__xludf.DUMMYFUNCTION("IF(G8423&lt;&gt;"""", GOOGLETRANSLATE(G8423, ""en"", ""te""),"""")"),"")</f>
        <v/>
      </c>
      <c r="I8423" s="3"/>
    </row>
    <row r="8424" customHeight="1" spans="1:9">
      <c r="A8424" s="2"/>
      <c r="B8424" s="2" t="str">
        <f>IFERROR(__xludf.DUMMYFUNCTION("IF(A8424&lt;&gt;"""", GOOGLETRANSLATE(A8424, ""en"", ""te""),"""")"),"")</f>
        <v/>
      </c>
      <c r="C8424" s="2"/>
      <c r="D8424" s="2" t="str">
        <f>IFERROR(__xludf.DUMMYFUNCTION("IF(C8424&lt;&gt;"""", GOOGLETRANSLATE(C8424, ""en"", ""te""),"""")"),"")</f>
        <v/>
      </c>
      <c r="E8424" s="2"/>
      <c r="F8424" s="2" t="str">
        <f>IFERROR(__xludf.DUMMYFUNCTION("IF(E8424&lt;&gt;"""", GOOGLETRANSLATE(E8424, ""en"", ""te""),"""")"),"")</f>
        <v/>
      </c>
      <c r="G8424" s="2"/>
      <c r="H8424" s="2" t="str">
        <f>IFERROR(__xludf.DUMMYFUNCTION("IF(G8424&lt;&gt;"""", GOOGLETRANSLATE(G8424, ""en"", ""te""),"""")"),"")</f>
        <v/>
      </c>
      <c r="I8424" s="3"/>
    </row>
    <row r="8425" customHeight="1" spans="1:9">
      <c r="A8425" s="2"/>
      <c r="B8425" s="2" t="str">
        <f>IFERROR(__xludf.DUMMYFUNCTION("IF(A8425&lt;&gt;"""", GOOGLETRANSLATE(A8425, ""en"", ""te""),"""")"),"")</f>
        <v/>
      </c>
      <c r="C8425" s="2"/>
      <c r="D8425" s="2" t="str">
        <f>IFERROR(__xludf.DUMMYFUNCTION("IF(C8425&lt;&gt;"""", GOOGLETRANSLATE(C8425, ""en"", ""te""),"""")"),"")</f>
        <v/>
      </c>
      <c r="E8425" s="2"/>
      <c r="F8425" s="2" t="str">
        <f>IFERROR(__xludf.DUMMYFUNCTION("IF(E8425&lt;&gt;"""", GOOGLETRANSLATE(E8425, ""en"", ""te""),"""")"),"")</f>
        <v/>
      </c>
      <c r="G8425" s="2"/>
      <c r="H8425" s="2" t="str">
        <f>IFERROR(__xludf.DUMMYFUNCTION("IF(G8425&lt;&gt;"""", GOOGLETRANSLATE(G8425, ""en"", ""te""),"""")"),"")</f>
        <v/>
      </c>
      <c r="I8425" s="3"/>
    </row>
    <row r="8426" customHeight="1" spans="1:9">
      <c r="A8426" s="2"/>
      <c r="B8426" s="2" t="str">
        <f>IFERROR(__xludf.DUMMYFUNCTION("IF(A8426&lt;&gt;"""", GOOGLETRANSLATE(A8426, ""en"", ""te""),"""")"),"")</f>
        <v/>
      </c>
      <c r="C8426" s="2"/>
      <c r="D8426" s="2" t="str">
        <f>IFERROR(__xludf.DUMMYFUNCTION("IF(C8426&lt;&gt;"""", GOOGLETRANSLATE(C8426, ""en"", ""te""),"""")"),"")</f>
        <v/>
      </c>
      <c r="E8426" s="2"/>
      <c r="F8426" s="2" t="str">
        <f>IFERROR(__xludf.DUMMYFUNCTION("IF(E8426&lt;&gt;"""", GOOGLETRANSLATE(E8426, ""en"", ""te""),"""")"),"")</f>
        <v/>
      </c>
      <c r="G8426" s="2"/>
      <c r="H8426" s="2" t="str">
        <f>IFERROR(__xludf.DUMMYFUNCTION("IF(G8426&lt;&gt;"""", GOOGLETRANSLATE(G8426, ""en"", ""te""),"""")"),"")</f>
        <v/>
      </c>
      <c r="I8426" s="3"/>
    </row>
    <row r="8427" customHeight="1" spans="1:9">
      <c r="A8427" s="2"/>
      <c r="B8427" s="2" t="str">
        <f>IFERROR(__xludf.DUMMYFUNCTION("IF(A8427&lt;&gt;"""", GOOGLETRANSLATE(A8427, ""en"", ""te""),"""")"),"")</f>
        <v/>
      </c>
      <c r="C8427" s="2"/>
      <c r="D8427" s="2" t="str">
        <f>IFERROR(__xludf.DUMMYFUNCTION("IF(C8427&lt;&gt;"""", GOOGLETRANSLATE(C8427, ""en"", ""te""),"""")"),"")</f>
        <v/>
      </c>
      <c r="E8427" s="2"/>
      <c r="F8427" s="2" t="str">
        <f>IFERROR(__xludf.DUMMYFUNCTION("IF(E8427&lt;&gt;"""", GOOGLETRANSLATE(E8427, ""en"", ""te""),"""")"),"")</f>
        <v/>
      </c>
      <c r="G8427" s="2"/>
      <c r="H8427" s="2" t="str">
        <f>IFERROR(__xludf.DUMMYFUNCTION("IF(G8427&lt;&gt;"""", GOOGLETRANSLATE(G8427, ""en"", ""te""),"""")"),"")</f>
        <v/>
      </c>
      <c r="I8427" s="3"/>
    </row>
    <row r="8428" customHeight="1" spans="1:9">
      <c r="A8428" s="2"/>
      <c r="B8428" s="2" t="str">
        <f>IFERROR(__xludf.DUMMYFUNCTION("IF(A8428&lt;&gt;"""", GOOGLETRANSLATE(A8428, ""en"", ""te""),"""")"),"")</f>
        <v/>
      </c>
      <c r="C8428" s="2"/>
      <c r="D8428" s="2" t="str">
        <f>IFERROR(__xludf.DUMMYFUNCTION("IF(C8428&lt;&gt;"""", GOOGLETRANSLATE(C8428, ""en"", ""te""),"""")"),"")</f>
        <v/>
      </c>
      <c r="E8428" s="2"/>
      <c r="F8428" s="2" t="str">
        <f>IFERROR(__xludf.DUMMYFUNCTION("IF(E8428&lt;&gt;"""", GOOGLETRANSLATE(E8428, ""en"", ""te""),"""")"),"")</f>
        <v/>
      </c>
      <c r="G8428" s="2"/>
      <c r="H8428" s="2" t="str">
        <f>IFERROR(__xludf.DUMMYFUNCTION("IF(G8428&lt;&gt;"""", GOOGLETRANSLATE(G8428, ""en"", ""te""),"""")"),"")</f>
        <v/>
      </c>
      <c r="I8428" s="3"/>
    </row>
    <row r="8429" customHeight="1" spans="1:9">
      <c r="A8429" s="2"/>
      <c r="B8429" s="2" t="str">
        <f>IFERROR(__xludf.DUMMYFUNCTION("IF(A8429&lt;&gt;"""", GOOGLETRANSLATE(A8429, ""en"", ""te""),"""")"),"")</f>
        <v/>
      </c>
      <c r="C8429" s="2"/>
      <c r="D8429" s="2" t="str">
        <f>IFERROR(__xludf.DUMMYFUNCTION("IF(C8429&lt;&gt;"""", GOOGLETRANSLATE(C8429, ""en"", ""te""),"""")"),"")</f>
        <v/>
      </c>
      <c r="E8429" s="2"/>
      <c r="F8429" s="2" t="str">
        <f>IFERROR(__xludf.DUMMYFUNCTION("IF(E8429&lt;&gt;"""", GOOGLETRANSLATE(E8429, ""en"", ""te""),"""")"),"")</f>
        <v/>
      </c>
      <c r="G8429" s="2"/>
      <c r="H8429" s="2" t="str">
        <f>IFERROR(__xludf.DUMMYFUNCTION("IF(G8429&lt;&gt;"""", GOOGLETRANSLATE(G8429, ""en"", ""te""),"""")"),"")</f>
        <v/>
      </c>
      <c r="I8429" s="3"/>
    </row>
    <row r="8430" customHeight="1" spans="1:9">
      <c r="A8430" s="2"/>
      <c r="B8430" s="2" t="str">
        <f>IFERROR(__xludf.DUMMYFUNCTION("IF(A8430&lt;&gt;"""", GOOGLETRANSLATE(A8430, ""en"", ""te""),"""")"),"")</f>
        <v/>
      </c>
      <c r="C8430" s="2"/>
      <c r="D8430" s="2" t="str">
        <f>IFERROR(__xludf.DUMMYFUNCTION("IF(C8430&lt;&gt;"""", GOOGLETRANSLATE(C8430, ""en"", ""te""),"""")"),"")</f>
        <v/>
      </c>
      <c r="E8430" s="2"/>
      <c r="F8430" s="2" t="str">
        <f>IFERROR(__xludf.DUMMYFUNCTION("IF(E8430&lt;&gt;"""", GOOGLETRANSLATE(E8430, ""en"", ""te""),"""")"),"")</f>
        <v/>
      </c>
      <c r="G8430" s="2"/>
      <c r="H8430" s="2" t="str">
        <f>IFERROR(__xludf.DUMMYFUNCTION("IF(G8430&lt;&gt;"""", GOOGLETRANSLATE(G8430, ""en"", ""te""),"""")"),"")</f>
        <v/>
      </c>
      <c r="I8430" s="3"/>
    </row>
    <row r="8431" customHeight="1" spans="1:9">
      <c r="A8431" s="2"/>
      <c r="B8431" s="2" t="str">
        <f>IFERROR(__xludf.DUMMYFUNCTION("IF(A8431&lt;&gt;"""", GOOGLETRANSLATE(A8431, ""en"", ""te""),"""")"),"")</f>
        <v/>
      </c>
      <c r="C8431" s="2"/>
      <c r="D8431" s="2" t="str">
        <f>IFERROR(__xludf.DUMMYFUNCTION("IF(C8431&lt;&gt;"""", GOOGLETRANSLATE(C8431, ""en"", ""te""),"""")"),"")</f>
        <v/>
      </c>
      <c r="E8431" s="2"/>
      <c r="F8431" s="2" t="str">
        <f>IFERROR(__xludf.DUMMYFUNCTION("IF(E8431&lt;&gt;"""", GOOGLETRANSLATE(E8431, ""en"", ""te""),"""")"),"")</f>
        <v/>
      </c>
      <c r="G8431" s="2"/>
      <c r="H8431" s="2" t="str">
        <f>IFERROR(__xludf.DUMMYFUNCTION("IF(G8431&lt;&gt;"""", GOOGLETRANSLATE(G8431, ""en"", ""te""),"""")"),"")</f>
        <v/>
      </c>
      <c r="I8431" s="3"/>
    </row>
    <row r="8432" customHeight="1" spans="1:9">
      <c r="A8432" s="2"/>
      <c r="B8432" s="2" t="str">
        <f>IFERROR(__xludf.DUMMYFUNCTION("IF(A8432&lt;&gt;"""", GOOGLETRANSLATE(A8432, ""en"", ""te""),"""")"),"")</f>
        <v/>
      </c>
      <c r="C8432" s="2"/>
      <c r="D8432" s="2" t="str">
        <f>IFERROR(__xludf.DUMMYFUNCTION("IF(C8432&lt;&gt;"""", GOOGLETRANSLATE(C8432, ""en"", ""te""),"""")"),"")</f>
        <v/>
      </c>
      <c r="E8432" s="2"/>
      <c r="F8432" s="2" t="str">
        <f>IFERROR(__xludf.DUMMYFUNCTION("IF(E8432&lt;&gt;"""", GOOGLETRANSLATE(E8432, ""en"", ""te""),"""")"),"")</f>
        <v/>
      </c>
      <c r="G8432" s="2"/>
      <c r="H8432" s="2" t="str">
        <f>IFERROR(__xludf.DUMMYFUNCTION("IF(G8432&lt;&gt;"""", GOOGLETRANSLATE(G8432, ""en"", ""te""),"""")"),"")</f>
        <v/>
      </c>
      <c r="I8432" s="3"/>
    </row>
    <row r="8433" customHeight="1" spans="1:9">
      <c r="A8433" s="2"/>
      <c r="B8433" s="2" t="str">
        <f>IFERROR(__xludf.DUMMYFUNCTION("IF(A8433&lt;&gt;"""", GOOGLETRANSLATE(A8433, ""en"", ""te""),"""")"),"")</f>
        <v/>
      </c>
      <c r="C8433" s="2"/>
      <c r="D8433" s="2" t="str">
        <f>IFERROR(__xludf.DUMMYFUNCTION("IF(C8433&lt;&gt;"""", GOOGLETRANSLATE(C8433, ""en"", ""te""),"""")"),"")</f>
        <v/>
      </c>
      <c r="E8433" s="2"/>
      <c r="F8433" s="2" t="str">
        <f>IFERROR(__xludf.DUMMYFUNCTION("IF(E8433&lt;&gt;"""", GOOGLETRANSLATE(E8433, ""en"", ""te""),"""")"),"")</f>
        <v/>
      </c>
      <c r="G8433" s="2"/>
      <c r="H8433" s="2" t="str">
        <f>IFERROR(__xludf.DUMMYFUNCTION("IF(G8433&lt;&gt;"""", GOOGLETRANSLATE(G8433, ""en"", ""te""),"""")"),"")</f>
        <v/>
      </c>
      <c r="I8433" s="3"/>
    </row>
    <row r="8434" customHeight="1" spans="1:9">
      <c r="A8434" s="2" t="s">
        <v>4718</v>
      </c>
      <c r="B8434" s="2" t="str">
        <f>IFERROR(__xludf.DUMMYFUNCTION("IF(A8434&lt;&gt;"""", GOOGLETRANSLATE(A8434, ""en"", ""te""),"""")"),"[ '4 వ అత్యధిక వరుస బాతులు (4)', '3 వ చెత్త కెరీర్లో ఎకానమీ రేట్ (3.92)', '8 వ ఒకే మైదానంలో అత్యధిక వికెట్లు (65)', '1st చెత్త కెరీర్లో ఆర్థిక రేటు (9.45)', '1 వ బౌలర్ / బ్యాట్స్ కలయికలు (4) ']")</f>
        <v>[ '4 వ అత్యధిక వరుస బాతులు (4)', '3 వ చెత్త కెరీర్లో ఎకానమీ రేట్ (3.92)', '8 వ ఒకే మైదానంలో అత్యధిక వికెట్లు (65)', '1st చెత్త కెరీర్లో ఆర్థిక రేటు (9.45)', '1 వ బౌలర్ / బ్యాట్స్ కలయికలు (4) ']</v>
      </c>
      <c r="C8434" s="2" t="s">
        <v>4719</v>
      </c>
      <c r="D8434" s="2" t="str">
        <f>IFERROR(__xludf.DUMMYFUNCTION("IF(C8434&lt;&gt;"""", GOOGLETRANSLATE(C8434, ""en"", ""te""),"""")"),"[ '4 వ అత్యధిక వరుస బాతులు (4)', '4 వ చెత్త కెరీర్ సగటు (76.77) బౌలింగ్', '3 వ చెత్త కెరీర్లో ఎకానమీ రేట్ (3.92)', '32 వ చెత్త కెరీర్లో సమ్మె రేటు (117.3)', '38 వ పిన్న ఆటగాడు తీసుకోవాలని ఐదు వికెట్లు-ఇన్-ఒక-ఇన్నింగ్స్ (20y 45d) ']")</f>
        <v>[ '4 వ అత్యధిక వరుస బాతులు (4)', '4 వ చెత్త కెరీర్ సగటు (76.77) బౌలింగ్', '3 వ చెత్త కెరీర్లో ఎకానమీ రేట్ (3.92)', '32 వ చెత్త కెరీర్లో సమ్మె రేటు (117.3)', '38 వ పిన్న ఆటగాడు తీసుకోవాలని ఐదు వికెట్లు-ఇన్-ఒక-ఇన్నింగ్స్ (20y 45d) ']</v>
      </c>
      <c r="E8434" s="2" t="s">
        <v>4720</v>
      </c>
      <c r="F8434" s="2" t="str">
        <f>IFERROR(__xludf.DUMMYFUNCTION("IF(E8434&lt;&gt;"""", GOOGLETRANSLATE(E8434, ""en"", ""te""),"""")"),"[ '37 వ ఉత్తమ ఇన్నింగ్స్ లో సంఖ్యలు (6/26)', 'ఒకే మైదానంలో 8 వ అత్యధిక వికెట్లు (65)', 'ఇన్నింగ్స్ లో 11 వ ఉత్తమ సమ్మె రేటు (5.8)', '40 వ చెత్త కెరీర్లో ఆర్థిక రేటు (5.67) ',' 15 వ అరంగేట్రంలోనే ఇన్నింగ్స్ లోని బెస్ట్ ఫిగర్స్ (4) ',' 43 వ అత్యంత నాలుగు వ"&amp;"ికెట్లు-ఇన్-ఒక-ఇన్నింగ్స్ కెరీర్లో (8) ',' 37 వ బౌలర్ / ఫీల్డర్ కలయికలు (27) ']")</f>
        <v>[ '37 వ ఉత్తమ ఇన్నింగ్స్ లో సంఖ్యలు (6/26)', 'ఒకే మైదానంలో 8 వ అత్యధిక వికెట్లు (65)', 'ఇన్నింగ్స్ లో 11 వ ఉత్తమ సమ్మె రేటు (5.8)', '40 వ చెత్త కెరీర్లో ఆర్థిక రేటు (5.67) ',' 15 వ అరంగేట్రంలోనే ఇన్నింగ్స్ లోని బెస్ట్ ఫిగర్స్ (4) ',' 43 వ అత్యంత నాలుగు వికెట్లు-ఇన్-ఒక-ఇన్నింగ్స్ కెరీర్లో (8) ',' 37 వ బౌలర్ / ఫీల్డర్ కలయికలు (27) ']</v>
      </c>
      <c r="G8434" s="2" t="s">
        <v>4721</v>
      </c>
      <c r="H8434" s="2" t="str">
        <f>IFERROR(__xludf.DUMMYFUNCTION("IF(G8434&lt;&gt;"""", GOOGLETRANSLATE(G8434, ""en"", ""te""),"""")"),"[ '11 వ చెత్త కెరీర్ బౌలింగ్ సరాసరి (32.57)', '1st చెత్త కెరీర్లో ఆర్థిక రేటు (9.45)', '1 వ బౌలర్ / బ్యాట్స్ కలయికలు (4)', '38 వ అత్యంత' 12 వ ఇన్నింగ్స్ లో సాధించిన (63) అత్యధిక పరుగులు ' వికెట్లు బౌల్డ్ తీసుకోకూడదు (11) ',' 35 వ లాంగెస్ట్ కెరీర్లు (11y 2"&amp;"99d) ']")</f>
        <v>[ '11 వ చెత్త కెరీర్ బౌలింగ్ సరాసరి (32.57)', '1st చెత్త కెరీర్లో ఆర్థిక రేటు (9.45)', '1 వ బౌలర్ / బ్యాట్స్ కలయికలు (4)', '38 వ అత్యంత' 12 వ ఇన్నింగ్స్ లో సాధించిన (63) అత్యధిక పరుగులు ' వికెట్లు బౌల్డ్ తీసుకోకూడదు (11) ',' 35 వ లాంగెస్ట్ కెరీర్లు (11y 299d) ']</v>
      </c>
      <c r="I8434" s="3"/>
    </row>
    <row r="8435" customHeight="1" spans="1:9">
      <c r="A8435" s="2"/>
      <c r="B8435" s="2" t="str">
        <f>IFERROR(__xludf.DUMMYFUNCTION("IF(A8435&lt;&gt;"""", GOOGLETRANSLATE(A8435, ""en"", ""te""),"""")"),"")</f>
        <v/>
      </c>
      <c r="C8435" s="2"/>
      <c r="D8435" s="2" t="str">
        <f>IFERROR(__xludf.DUMMYFUNCTION("IF(C8435&lt;&gt;"""", GOOGLETRANSLATE(C8435, ""en"", ""te""),"""")"),"")</f>
        <v/>
      </c>
      <c r="E8435" s="2"/>
      <c r="F8435" s="2" t="str">
        <f>IFERROR(__xludf.DUMMYFUNCTION("IF(E8435&lt;&gt;"""", GOOGLETRANSLATE(E8435, ""en"", ""te""),"""")"),"")</f>
        <v/>
      </c>
      <c r="G8435" s="2"/>
      <c r="H8435" s="2" t="str">
        <f>IFERROR(__xludf.DUMMYFUNCTION("IF(G8435&lt;&gt;"""", GOOGLETRANSLATE(G8435, ""en"", ""te""),"""")"),"")</f>
        <v/>
      </c>
      <c r="I8435" s="3"/>
    </row>
    <row r="8436" customHeight="1" spans="1:9">
      <c r="A8436" s="2" t="s">
        <v>4722</v>
      </c>
      <c r="B8436" s="2" t="str">
        <f>IFERROR(__xludf.DUMMYFUNCTION("IF(A8436&lt;&gt;"""", GOOGLETRANSLATE(A8436, ""en"", ""te""),"""")"),"[ '3 వ చెత్త కెరీర్ (161.00) (అర్హత లేకుండా) సగటు బౌలింగ్', 'ఒక ఇన్నింగ్స్ లో 5 వ బెస్ట్ ఫిగర్స్ కూడా ఓడిపోయింది వైపు (4)', 'ఇన్నింగ్స్ లో 2 వ పెద్ద పనికత్తెలయొద్ద (3)']")</f>
        <v>[ '3 వ చెత్త కెరీర్ (161.00) (అర్హత లేకుండా) సగటు బౌలింగ్', 'ఒక ఇన్నింగ్స్ లో 5 వ బెస్ట్ ఫిగర్స్ కూడా ఓడిపోయింది వైపు (4)', 'ఇన్నింగ్స్ లో 2 వ పెద్ద పనికత్తెలయొద్ద (3)']</v>
      </c>
      <c r="C8436" s="2"/>
      <c r="D8436" s="2" t="str">
        <f>IFERROR(__xludf.DUMMYFUNCTION("IF(C8436&lt;&gt;"""", GOOGLETRANSLATE(C8436, ""en"", ""te""),"""")"),"")</f>
        <v/>
      </c>
      <c r="E8436" s="2" t="s">
        <v>4723</v>
      </c>
      <c r="F8436" s="2" t="str">
        <f>IFERROR(__xludf.DUMMYFUNCTION("IF(E8436&lt;&gt;"""", GOOGLETRANSLATE(E8436, ""en"", ""te""),"""")"),"[ '3 వ చెత్త కెరీర్ బౌలింగ్ సరాసరి (అర్హత లేకుండా) (161.00)']")</f>
        <v>[ '3 వ చెత్త కెరీర్ బౌలింగ్ సరాసరి (అర్హత లేకుండా) (161.00)']</v>
      </c>
      <c r="G8436" s="2" t="s">
        <v>4724</v>
      </c>
      <c r="H8436" s="2" t="str">
        <f>IFERROR(__xludf.DUMMYFUNCTION("IF(G8436&lt;&gt;"""", GOOGLETRANSLATE(G8436, ""en"", ""te""),"""")"),"[ '9 వ అత్యుత్తమ బౌలింగ్ ఇన్నింగ్స్ లో విశ్లేషించడం (3/1)', 'ఒక ఇన్నింగ్స్ లో 5 వ ఉత్తమ సంఖ్యలు ఉన్నప్పుడు పరాజయం వైపు (4)', 'ఇన్నింగ్స్ లో 15 వ ఉత్తమ ఆర్థిక రేటు (0.25)', '25 వ అత్యధిక భాగస్వామ్యం పదవ వికెట్కు (12) ',' 2 వ అత్యంత ఇన్నింగ్స్ లో పనికత్తెల"&amp;"యొద్ద (3) ']")</f>
        <v>[ '9 వ అత్యుత్తమ బౌలింగ్ ఇన్నింగ్స్ లో విశ్లేషించడం (3/1)', 'ఒక ఇన్నింగ్స్ లో 5 వ ఉత్తమ సంఖ్యలు ఉన్నప్పుడు పరాజయం వైపు (4)', 'ఇన్నింగ్స్ లో 15 వ ఉత్తమ ఆర్థిక రేటు (0.25)', '25 వ అత్యధిక భాగస్వామ్యం పదవ వికెట్కు (12) ',' 2 వ అత్యంత ఇన్నింగ్స్ లో పనికత్తెలయొద్ద (3) ']</v>
      </c>
      <c r="I8436" s="3"/>
    </row>
    <row r="8437" customHeight="1" spans="1:9">
      <c r="A8437" s="2" t="s">
        <v>694</v>
      </c>
      <c r="B8437" s="2" t="str">
        <f>IFERROR(__xludf.DUMMYFUNCTION("IF(A8437&lt;&gt;"""", GOOGLETRANSLATE(A8437, ""en"", ""te""),"""")"),"[ '1st అత్యుత్తమ ఇన్నింగ్స్ (1/0) విశ్లేషణలలో బౌలింగ్']")</f>
        <v>[ '1st అత్యుత్తమ ఇన్నింగ్స్ (1/0) విశ్లేషణలలో బౌలింగ్']</v>
      </c>
      <c r="C8437" s="2" t="s">
        <v>694</v>
      </c>
      <c r="D8437" s="2" t="str">
        <f>IFERROR(__xludf.DUMMYFUNCTION("IF(C8437&lt;&gt;"""", GOOGLETRANSLATE(C8437, ""en"", ""te""),"""")"),"[ '1st అత్యుత్తమ ఇన్నింగ్స్ (1/0) విశ్లేషణలలో బౌలింగ్']")</f>
        <v>[ '1st అత్యుత్తమ ఇన్నింగ్స్ (1/0) విశ్లేషణలలో బౌలింగ్']</v>
      </c>
      <c r="E8437" s="2" t="s">
        <v>4725</v>
      </c>
      <c r="F8437" s="2" t="str">
        <f>IFERROR(__xludf.DUMMYFUNCTION("IF(E8437&lt;&gt;"""", GOOGLETRANSLATE(E8437, ""en"", ""te""),"""")"),"[ 'నాలుగవ వికెట్కు 44 వ అత్యధిక భాగస్వామ్యం (165 *)']")</f>
        <v>[ 'నాలుగవ వికెట్కు 44 వ అత్యధిక భాగస్వామ్యం (165 *)']</v>
      </c>
      <c r="G8437" s="2"/>
      <c r="H8437" s="2" t="str">
        <f>IFERROR(__xludf.DUMMYFUNCTION("IF(G8437&lt;&gt;"""", GOOGLETRANSLATE(G8437, ""en"", ""te""),"""")"),"")</f>
        <v/>
      </c>
      <c r="I8437" s="3"/>
    </row>
    <row r="8438" customHeight="1" spans="1:9">
      <c r="A8438" s="2"/>
      <c r="B8438" s="2" t="str">
        <f>IFERROR(__xludf.DUMMYFUNCTION("IF(A8438&lt;&gt;"""", GOOGLETRANSLATE(A8438, ""en"", ""te""),"""")"),"")</f>
        <v/>
      </c>
      <c r="C8438" s="2"/>
      <c r="D8438" s="2" t="str">
        <f>IFERROR(__xludf.DUMMYFUNCTION("IF(C8438&lt;&gt;"""", GOOGLETRANSLATE(C8438, ""en"", ""te""),"""")"),"")</f>
        <v/>
      </c>
      <c r="E8438" s="2"/>
      <c r="F8438" s="2" t="str">
        <f>IFERROR(__xludf.DUMMYFUNCTION("IF(E8438&lt;&gt;"""", GOOGLETRANSLATE(E8438, ""en"", ""te""),"""")"),"")</f>
        <v/>
      </c>
      <c r="G8438" s="2"/>
      <c r="H8438" s="2" t="str">
        <f>IFERROR(__xludf.DUMMYFUNCTION("IF(G8438&lt;&gt;"""", GOOGLETRANSLATE(G8438, ""en"", ""te""),"""")"),"")</f>
        <v/>
      </c>
      <c r="I8438" s="3"/>
    </row>
    <row r="8439" customHeight="1" spans="1:9">
      <c r="A8439" s="2" t="s">
        <v>4726</v>
      </c>
      <c r="B8439" s="2" t="str">
        <f>IFERROR(__xludf.DUMMYFUNCTION("IF(A8439&lt;&gt;"""", GOOGLETRANSLATE(A8439, ""en"", ""te""),"""")"),"[ '2nd పిన్న కాప్టెన్ (20y 297d)']")</f>
        <v>[ '2nd పిన్న కాప్టెన్ (20y 297d)']</v>
      </c>
      <c r="C8439" s="2" t="s">
        <v>4727</v>
      </c>
      <c r="D8439" s="2" t="str">
        <f>IFERROR(__xludf.DUMMYFUNCTION("IF(C8439&lt;&gt;"""", GOOGLETRANSLATE(C8439, ""en"", ""te""),"""")"),"[ 'వంద (1141) లేకుండా ఒక వృత్తిలో 38 వ అత్యధిక పరుగులు' '43 వ చెత్త కెరీర్ (అర్హత లేకుండా) సగటు బౌలింగ్ (134.00)']")</f>
        <v>[ 'వంద (1141) లేకుండా ఒక వృత్తిలో 38 వ అత్యధిక పరుగులు' '43 వ చెత్త కెరీర్ (అర్హత లేకుండా) సగటు బౌలింగ్ (134.00)']</v>
      </c>
      <c r="E8439" s="2" t="s">
        <v>4728</v>
      </c>
      <c r="F8439" s="2" t="str">
        <f>IFERROR(__xludf.DUMMYFUNCTION("IF(E8439&lt;&gt;"""", GOOGLETRANSLATE(E8439, ""en"", ""te""),"""")"),"[ '35 వ ఉత్తమ ఇన్నింగ్స్ లో సమ్మె రేటు (6.7)', 'నాలుగవ వికెట్కు (175 *) కోసం 31 అత్యధిక భాగస్వామ్యం', '2 వ పిన్న కాప్టెన్ (20y 297d)']")</f>
        <v>[ '35 వ ఉత్తమ ఇన్నింగ్స్ లో సమ్మె రేటు (6.7)', 'నాలుగవ వికెట్కు (175 *) కోసం 31 అత్యధిక భాగస్వామ్యం', '2 వ పిన్న కాప్టెన్ (20y 297d)']</v>
      </c>
      <c r="G8439" s="2"/>
      <c r="H8439" s="2" t="str">
        <f>IFERROR(__xludf.DUMMYFUNCTION("IF(G8439&lt;&gt;"""", GOOGLETRANSLATE(G8439, ""en"", ""te""),"""")"),"")</f>
        <v/>
      </c>
      <c r="I8439" s="3"/>
    </row>
    <row r="8440" customHeight="1" spans="1:9">
      <c r="A8440" s="2"/>
      <c r="B8440" s="2" t="str">
        <f>IFERROR(__xludf.DUMMYFUNCTION("IF(A8440&lt;&gt;"""", GOOGLETRANSLATE(A8440, ""en"", ""te""),"""")"),"")</f>
        <v/>
      </c>
      <c r="C8440" s="2"/>
      <c r="D8440" s="2" t="str">
        <f>IFERROR(__xludf.DUMMYFUNCTION("IF(C8440&lt;&gt;"""", GOOGLETRANSLATE(C8440, ""en"", ""te""),"""")"),"")</f>
        <v/>
      </c>
      <c r="E8440" s="2"/>
      <c r="F8440" s="2" t="str">
        <f>IFERROR(__xludf.DUMMYFUNCTION("IF(E8440&lt;&gt;"""", GOOGLETRANSLATE(E8440, ""en"", ""te""),"""")"),"")</f>
        <v/>
      </c>
      <c r="G8440" s="2"/>
      <c r="H8440" s="2" t="str">
        <f>IFERROR(__xludf.DUMMYFUNCTION("IF(G8440&lt;&gt;"""", GOOGLETRANSLATE(G8440, ""en"", ""te""),"""")"),"")</f>
        <v/>
      </c>
      <c r="I8440" s="3"/>
    </row>
    <row r="8441" customHeight="1" spans="1:9">
      <c r="A8441" s="2"/>
      <c r="B8441" s="2" t="str">
        <f>IFERROR(__xludf.DUMMYFUNCTION("IF(A8441&lt;&gt;"""", GOOGLETRANSLATE(A8441, ""en"", ""te""),"""")"),"")</f>
        <v/>
      </c>
      <c r="C8441" s="2"/>
      <c r="D8441" s="2" t="str">
        <f>IFERROR(__xludf.DUMMYFUNCTION("IF(C8441&lt;&gt;"""", GOOGLETRANSLATE(C8441, ""en"", ""te""),"""")"),"")</f>
        <v/>
      </c>
      <c r="E8441" s="2"/>
      <c r="F8441" s="2" t="str">
        <f>IFERROR(__xludf.DUMMYFUNCTION("IF(E8441&lt;&gt;"""", GOOGLETRANSLATE(E8441, ""en"", ""te""),"""")"),"")</f>
        <v/>
      </c>
      <c r="G8441" s="2"/>
      <c r="H8441" s="2" t="str">
        <f>IFERROR(__xludf.DUMMYFUNCTION("IF(G8441&lt;&gt;"""", GOOGLETRANSLATE(G8441, ""en"", ""te""),"""")"),"")</f>
        <v/>
      </c>
      <c r="I8441" s="3"/>
    </row>
    <row r="8442" customHeight="1" spans="1:9">
      <c r="A8442" s="2" t="s">
        <v>4729</v>
      </c>
      <c r="B8442" s="2" t="str">
        <f>IFERROR(__xludf.DUMMYFUNCTION("IF(A8442&lt;&gt;"""", GOOGLETRANSLATE(A8442, ""en"", ""te""),"""")"),"[ '1st చెత్త కెరీర్లో ఆర్థిక రేటు (4.16)']")</f>
        <v>[ '1st చెత్త కెరీర్లో ఆర్థిక రేటు (4.16)']</v>
      </c>
      <c r="C8442" s="2" t="s">
        <v>4730</v>
      </c>
      <c r="D8442" s="2" t="str">
        <f>IFERROR(__xludf.DUMMYFUNCTION("IF(C8442&lt;&gt;"""", GOOGLETRANSLATE(C8442, ""en"", ""te""),"""")"),"[ '1st చెత్త కెరీర్లో ఆర్థిక రేటు (4.16)' '35 వ చెత్త కెరీర్ సగటు (51.81) బౌలింగ్', 'ఇన్నింగ్స్ లో 2 వ చెత్త ఆర్థిక రేటు (8.41)', 'అయిదు వికెట్లు ఇన్ an- తీసుకోవాలని 21 వ పిన్న ఆటగాడు ఇన్నింగ్స్ (19y 213d) ']")</f>
        <v>[ '1st చెత్త కెరీర్లో ఆర్థిక రేటు (4.16)' '35 వ చెత్త కెరీర్ సగటు (51.81) బౌలింగ్', 'ఇన్నింగ్స్ లో 2 వ చెత్త ఆర్థిక రేటు (8.41)', 'అయిదు వికెట్లు ఇన్ an- తీసుకోవాలని 21 వ పిన్న ఆటగాడు ఇన్నింగ్స్ (19y 213d) ']</v>
      </c>
      <c r="E8442" s="2" t="s">
        <v>4731</v>
      </c>
      <c r="F8442" s="2" t="str">
        <f>IFERROR(__xludf.DUMMYFUNCTION("IF(E8442&lt;&gt;"""", GOOGLETRANSLATE(E8442, ""en"", ""te""),"""")"),"[ '22 చెత్త కెరీర్లో ఆర్థిక రేటు (5.84)']")</f>
        <v>[ '22 చెత్త కెరీర్లో ఆర్థిక రేటు (5.84)']</v>
      </c>
      <c r="G8442" s="2"/>
      <c r="H8442" s="2" t="str">
        <f>IFERROR(__xludf.DUMMYFUNCTION("IF(G8442&lt;&gt;"""", GOOGLETRANSLATE(G8442, ""en"", ""te""),"""")"),"")</f>
        <v/>
      </c>
      <c r="I8442" s="3"/>
    </row>
    <row r="8443" customHeight="1" spans="1:9">
      <c r="A8443" s="2"/>
      <c r="B8443" s="2" t="str">
        <f>IFERROR(__xludf.DUMMYFUNCTION("IF(A8443&lt;&gt;"""", GOOGLETRANSLATE(A8443, ""en"", ""te""),"""")"),"")</f>
        <v/>
      </c>
      <c r="C8443" s="2"/>
      <c r="D8443" s="2" t="str">
        <f>IFERROR(__xludf.DUMMYFUNCTION("IF(C8443&lt;&gt;"""", GOOGLETRANSLATE(C8443, ""en"", ""te""),"""")"),"")</f>
        <v/>
      </c>
      <c r="E8443" s="2"/>
      <c r="F8443" s="2" t="str">
        <f>IFERROR(__xludf.DUMMYFUNCTION("IF(E8443&lt;&gt;"""", GOOGLETRANSLATE(E8443, ""en"", ""te""),"""")"),"")</f>
        <v/>
      </c>
      <c r="G8443" s="2"/>
      <c r="H8443" s="2" t="str">
        <f>IFERROR(__xludf.DUMMYFUNCTION("IF(G8443&lt;&gt;"""", GOOGLETRANSLATE(G8443, ""en"", ""te""),"""")"),"")</f>
        <v/>
      </c>
      <c r="I8443" s="3"/>
    </row>
    <row r="8444" customHeight="1" spans="1:9">
      <c r="A8444" s="2"/>
      <c r="B8444" s="2" t="str">
        <f>IFERROR(__xludf.DUMMYFUNCTION("IF(A8444&lt;&gt;"""", GOOGLETRANSLATE(A8444, ""en"", ""te""),"""")"),"")</f>
        <v/>
      </c>
      <c r="C8444" s="2"/>
      <c r="D8444" s="2" t="str">
        <f>IFERROR(__xludf.DUMMYFUNCTION("IF(C8444&lt;&gt;"""", GOOGLETRANSLATE(C8444, ""en"", ""te""),"""")"),"")</f>
        <v/>
      </c>
      <c r="E8444" s="2"/>
      <c r="F8444" s="2" t="str">
        <f>IFERROR(__xludf.DUMMYFUNCTION("IF(E8444&lt;&gt;"""", GOOGLETRANSLATE(E8444, ""en"", ""te""),"""")"),"")</f>
        <v/>
      </c>
      <c r="G8444" s="2"/>
      <c r="H8444" s="2" t="str">
        <f>IFERROR(__xludf.DUMMYFUNCTION("IF(G8444&lt;&gt;"""", GOOGLETRANSLATE(G8444, ""en"", ""te""),"""")"),"")</f>
        <v/>
      </c>
      <c r="I8444" s="3"/>
    </row>
    <row r="8445" customHeight="1" spans="1:9">
      <c r="A8445" s="2"/>
      <c r="B8445" s="2" t="str">
        <f>IFERROR(__xludf.DUMMYFUNCTION("IF(A8445&lt;&gt;"""", GOOGLETRANSLATE(A8445, ""en"", ""te""),"""")"),"")</f>
        <v/>
      </c>
      <c r="C8445" s="2"/>
      <c r="D8445" s="2" t="str">
        <f>IFERROR(__xludf.DUMMYFUNCTION("IF(C8445&lt;&gt;"""", GOOGLETRANSLATE(C8445, ""en"", ""te""),"""")"),"")</f>
        <v/>
      </c>
      <c r="E8445" s="2"/>
      <c r="F8445" s="2" t="str">
        <f>IFERROR(__xludf.DUMMYFUNCTION("IF(E8445&lt;&gt;"""", GOOGLETRANSLATE(E8445, ""en"", ""te""),"""")"),"")</f>
        <v/>
      </c>
      <c r="G8445" s="2"/>
      <c r="H8445" s="2" t="str">
        <f>IFERROR(__xludf.DUMMYFUNCTION("IF(G8445&lt;&gt;"""", GOOGLETRANSLATE(G8445, ""en"", ""te""),"""")"),"")</f>
        <v/>
      </c>
      <c r="I8445" s="3"/>
    </row>
    <row r="8446" customHeight="1" spans="1:9">
      <c r="A8446" s="2"/>
      <c r="B8446" s="2" t="str">
        <f>IFERROR(__xludf.DUMMYFUNCTION("IF(A8446&lt;&gt;"""", GOOGLETRANSLATE(A8446, ""en"", ""te""),"""")"),"")</f>
        <v/>
      </c>
      <c r="C8446" s="2"/>
      <c r="D8446" s="2" t="str">
        <f>IFERROR(__xludf.DUMMYFUNCTION("IF(C8446&lt;&gt;"""", GOOGLETRANSLATE(C8446, ""en"", ""te""),"""")"),"")</f>
        <v/>
      </c>
      <c r="E8446" s="2"/>
      <c r="F8446" s="2" t="str">
        <f>IFERROR(__xludf.DUMMYFUNCTION("IF(E8446&lt;&gt;"""", GOOGLETRANSLATE(E8446, ""en"", ""te""),"""")"),"")</f>
        <v/>
      </c>
      <c r="G8446" s="2"/>
      <c r="H8446" s="2" t="str">
        <f>IFERROR(__xludf.DUMMYFUNCTION("IF(G8446&lt;&gt;"""", GOOGLETRANSLATE(G8446, ""en"", ""te""),"""")"),"")</f>
        <v/>
      </c>
      <c r="I8446" s="3"/>
    </row>
    <row r="8447" customHeight="1" spans="1:9">
      <c r="A8447" s="2"/>
      <c r="B8447" s="2" t="str">
        <f>IFERROR(__xludf.DUMMYFUNCTION("IF(A8447&lt;&gt;"""", GOOGLETRANSLATE(A8447, ""en"", ""te""),"""")"),"")</f>
        <v/>
      </c>
      <c r="C8447" s="2"/>
      <c r="D8447" s="2" t="str">
        <f>IFERROR(__xludf.DUMMYFUNCTION("IF(C8447&lt;&gt;"""", GOOGLETRANSLATE(C8447, ""en"", ""te""),"""")"),"")</f>
        <v/>
      </c>
      <c r="E8447" s="2"/>
      <c r="F8447" s="2" t="str">
        <f>IFERROR(__xludf.DUMMYFUNCTION("IF(E8447&lt;&gt;"""", GOOGLETRANSLATE(E8447, ""en"", ""te""),"""")"),"")</f>
        <v/>
      </c>
      <c r="G8447" s="2"/>
      <c r="H8447" s="2" t="str">
        <f>IFERROR(__xludf.DUMMYFUNCTION("IF(G8447&lt;&gt;"""", GOOGLETRANSLATE(G8447, ""en"", ""te""),"""")"),"")</f>
        <v/>
      </c>
      <c r="I8447" s="3"/>
    </row>
    <row r="8448" customHeight="1" spans="1:9">
      <c r="A8448" s="2"/>
      <c r="B8448" s="2" t="str">
        <f>IFERROR(__xludf.DUMMYFUNCTION("IF(A8448&lt;&gt;"""", GOOGLETRANSLATE(A8448, ""en"", ""te""),"""")"),"")</f>
        <v/>
      </c>
      <c r="C8448" s="2"/>
      <c r="D8448" s="2" t="str">
        <f>IFERROR(__xludf.DUMMYFUNCTION("IF(C8448&lt;&gt;"""", GOOGLETRANSLATE(C8448, ""en"", ""te""),"""")"),"")</f>
        <v/>
      </c>
      <c r="E8448" s="2"/>
      <c r="F8448" s="2" t="str">
        <f>IFERROR(__xludf.DUMMYFUNCTION("IF(E8448&lt;&gt;"""", GOOGLETRANSLATE(E8448, ""en"", ""te""),"""")"),"")</f>
        <v/>
      </c>
      <c r="G8448" s="2"/>
      <c r="H8448" s="2" t="str">
        <f>IFERROR(__xludf.DUMMYFUNCTION("IF(G8448&lt;&gt;"""", GOOGLETRANSLATE(G8448, ""en"", ""te""),"""")"),"")</f>
        <v/>
      </c>
      <c r="I8448" s="3"/>
    </row>
    <row r="8449" customHeight="1" spans="1:9">
      <c r="A8449" s="2"/>
      <c r="B8449" s="2" t="str">
        <f>IFERROR(__xludf.DUMMYFUNCTION("IF(A8449&lt;&gt;"""", GOOGLETRANSLATE(A8449, ""en"", ""te""),"""")"),"")</f>
        <v/>
      </c>
      <c r="C8449" s="2"/>
      <c r="D8449" s="2" t="str">
        <f>IFERROR(__xludf.DUMMYFUNCTION("IF(C8449&lt;&gt;"""", GOOGLETRANSLATE(C8449, ""en"", ""te""),"""")"),"")</f>
        <v/>
      </c>
      <c r="E8449" s="2"/>
      <c r="F8449" s="2" t="str">
        <f>IFERROR(__xludf.DUMMYFUNCTION("IF(E8449&lt;&gt;"""", GOOGLETRANSLATE(E8449, ""en"", ""te""),"""")"),"")</f>
        <v/>
      </c>
      <c r="G8449" s="2"/>
      <c r="H8449" s="2" t="str">
        <f>IFERROR(__xludf.DUMMYFUNCTION("IF(G8449&lt;&gt;"""", GOOGLETRANSLATE(G8449, ""en"", ""te""),"""")"),"")</f>
        <v/>
      </c>
      <c r="I8449" s="3"/>
    </row>
    <row r="8450" customHeight="1" spans="1:9">
      <c r="A8450" s="2"/>
      <c r="B8450" s="2" t="str">
        <f>IFERROR(__xludf.DUMMYFUNCTION("IF(A8450&lt;&gt;"""", GOOGLETRANSLATE(A8450, ""en"", ""te""),"""")"),"")</f>
        <v/>
      </c>
      <c r="C8450" s="2"/>
      <c r="D8450" s="2" t="str">
        <f>IFERROR(__xludf.DUMMYFUNCTION("IF(C8450&lt;&gt;"""", GOOGLETRANSLATE(C8450, ""en"", ""te""),"""")"),"")</f>
        <v/>
      </c>
      <c r="E8450" s="2"/>
      <c r="F8450" s="2" t="str">
        <f>IFERROR(__xludf.DUMMYFUNCTION("IF(E8450&lt;&gt;"""", GOOGLETRANSLATE(E8450, ""en"", ""te""),"""")"),"")</f>
        <v/>
      </c>
      <c r="G8450" s="2"/>
      <c r="H8450" s="2" t="str">
        <f>IFERROR(__xludf.DUMMYFUNCTION("IF(G8450&lt;&gt;"""", GOOGLETRANSLATE(G8450, ""en"", ""te""),"""")"),"")</f>
        <v/>
      </c>
      <c r="I8450" s="3"/>
    </row>
    <row r="8451" customHeight="1" spans="1:9">
      <c r="A8451" s="2"/>
      <c r="B8451" s="2" t="str">
        <f>IFERROR(__xludf.DUMMYFUNCTION("IF(A8451&lt;&gt;"""", GOOGLETRANSLATE(A8451, ""en"", ""te""),"""")"),"")</f>
        <v/>
      </c>
      <c r="C8451" s="2"/>
      <c r="D8451" s="2" t="str">
        <f>IFERROR(__xludf.DUMMYFUNCTION("IF(C8451&lt;&gt;"""", GOOGLETRANSLATE(C8451, ""en"", ""te""),"""")"),"")</f>
        <v/>
      </c>
      <c r="E8451" s="2" t="s">
        <v>4732</v>
      </c>
      <c r="F8451" s="2" t="str">
        <f>IFERROR(__xludf.DUMMYFUNCTION("IF(E8451&lt;&gt;"""", GOOGLETRANSLATE(E8451, ""en"", ""te""),"""")"),"[ '33 వ చెత్త కెరీర్ బౌలింగ్ సరాసరి (అర్హత లేకుండా) (79.00)']")</f>
        <v>[ '33 వ చెత్త కెరీర్ బౌలింగ్ సరాసరి (అర్హత లేకుండా) (79.00)']</v>
      </c>
      <c r="G8451" s="2"/>
      <c r="H8451" s="2" t="str">
        <f>IFERROR(__xludf.DUMMYFUNCTION("IF(G8451&lt;&gt;"""", GOOGLETRANSLATE(G8451, ""en"", ""te""),"""")"),"")</f>
        <v/>
      </c>
      <c r="I8451" s="3"/>
    </row>
    <row r="8452" customHeight="1" spans="1:9">
      <c r="A8452" s="2"/>
      <c r="B8452" s="2" t="str">
        <f>IFERROR(__xludf.DUMMYFUNCTION("IF(A8452&lt;&gt;"""", GOOGLETRANSLATE(A8452, ""en"", ""te""),"""")"),"")</f>
        <v/>
      </c>
      <c r="C8452" s="2"/>
      <c r="D8452" s="2" t="str">
        <f>IFERROR(__xludf.DUMMYFUNCTION("IF(C8452&lt;&gt;"""", GOOGLETRANSLATE(C8452, ""en"", ""te""),"""")"),"")</f>
        <v/>
      </c>
      <c r="E8452" s="2"/>
      <c r="F8452" s="2" t="str">
        <f>IFERROR(__xludf.DUMMYFUNCTION("IF(E8452&lt;&gt;"""", GOOGLETRANSLATE(E8452, ""en"", ""te""),"""")"),"")</f>
        <v/>
      </c>
      <c r="G8452" s="2"/>
      <c r="H8452" s="2" t="str">
        <f>IFERROR(__xludf.DUMMYFUNCTION("IF(G8452&lt;&gt;"""", GOOGLETRANSLATE(G8452, ""en"", ""te""),"""")"),"")</f>
        <v/>
      </c>
      <c r="I8452" s="3"/>
    </row>
    <row r="8453" customHeight="1" spans="1:9">
      <c r="A8453" s="2"/>
      <c r="B8453" s="2" t="str">
        <f>IFERROR(__xludf.DUMMYFUNCTION("IF(A8453&lt;&gt;"""", GOOGLETRANSLATE(A8453, ""en"", ""te""),"""")"),"")</f>
        <v/>
      </c>
      <c r="C8453" s="2"/>
      <c r="D8453" s="2" t="str">
        <f>IFERROR(__xludf.DUMMYFUNCTION("IF(C8453&lt;&gt;"""", GOOGLETRANSLATE(C8453, ""en"", ""te""),"""")"),"")</f>
        <v/>
      </c>
      <c r="E8453" s="2" t="s">
        <v>4733</v>
      </c>
      <c r="F8453" s="2" t="str">
        <f>IFERROR(__xludf.DUMMYFUNCTION("IF(E8453&lt;&gt;"""", GOOGLETRANSLATE(E8453, ""en"", ""te""),"""")"),"[ '25 షార్టేస్ట్ నివసించారు క్రీడాకారులు (44y 261d)']")</f>
        <v>[ '25 షార్టేస్ట్ నివసించారు క్రీడాకారులు (44y 261d)']</v>
      </c>
      <c r="G8453" s="2"/>
      <c r="H8453" s="2" t="str">
        <f>IFERROR(__xludf.DUMMYFUNCTION("IF(G8453&lt;&gt;"""", GOOGLETRANSLATE(G8453, ""en"", ""te""),"""")"),"")</f>
        <v/>
      </c>
      <c r="I8453" s="3"/>
    </row>
    <row r="8454" customHeight="1" spans="1:9">
      <c r="A8454" s="2"/>
      <c r="B8454" s="2" t="str">
        <f>IFERROR(__xludf.DUMMYFUNCTION("IF(A8454&lt;&gt;"""", GOOGLETRANSLATE(A8454, ""en"", ""te""),"""")"),"")</f>
        <v/>
      </c>
      <c r="C8454" s="2"/>
      <c r="D8454" s="2" t="str">
        <f>IFERROR(__xludf.DUMMYFUNCTION("IF(C8454&lt;&gt;"""", GOOGLETRANSLATE(C8454, ""en"", ""te""),"""")"),"")</f>
        <v/>
      </c>
      <c r="E8454" s="2"/>
      <c r="F8454" s="2" t="str">
        <f>IFERROR(__xludf.DUMMYFUNCTION("IF(E8454&lt;&gt;"""", GOOGLETRANSLATE(E8454, ""en"", ""te""),"""")"),"")</f>
        <v/>
      </c>
      <c r="G8454" s="2"/>
      <c r="H8454" s="2" t="str">
        <f>IFERROR(__xludf.DUMMYFUNCTION("IF(G8454&lt;&gt;"""", GOOGLETRANSLATE(G8454, ""en"", ""te""),"""")"),"")</f>
        <v/>
      </c>
      <c r="I8454" s="3"/>
    </row>
    <row r="8455" customHeight="1" spans="1:9">
      <c r="A8455" s="2"/>
      <c r="B8455" s="2" t="str">
        <f>IFERROR(__xludf.DUMMYFUNCTION("IF(A8455&lt;&gt;"""", GOOGLETRANSLATE(A8455, ""en"", ""te""),"""")"),"")</f>
        <v/>
      </c>
      <c r="C8455" s="2"/>
      <c r="D8455" s="2" t="str">
        <f>IFERROR(__xludf.DUMMYFUNCTION("IF(C8455&lt;&gt;"""", GOOGLETRANSLATE(C8455, ""en"", ""te""),"""")"),"")</f>
        <v/>
      </c>
      <c r="E8455" s="2"/>
      <c r="F8455" s="2" t="str">
        <f>IFERROR(__xludf.DUMMYFUNCTION("IF(E8455&lt;&gt;"""", GOOGLETRANSLATE(E8455, ""en"", ""te""),"""")"),"")</f>
        <v/>
      </c>
      <c r="G8455" s="2"/>
      <c r="H8455" s="2" t="str">
        <f>IFERROR(__xludf.DUMMYFUNCTION("IF(G8455&lt;&gt;"""", GOOGLETRANSLATE(G8455, ""en"", ""te""),"""")"),"")</f>
        <v/>
      </c>
      <c r="I8455" s="3"/>
    </row>
    <row r="8456" customHeight="1" spans="1:9">
      <c r="A8456" s="2"/>
      <c r="B8456" s="2" t="str">
        <f>IFERROR(__xludf.DUMMYFUNCTION("IF(A8456&lt;&gt;"""", GOOGLETRANSLATE(A8456, ""en"", ""te""),"""")"),"")</f>
        <v/>
      </c>
      <c r="C8456" s="2"/>
      <c r="D8456" s="2" t="str">
        <f>IFERROR(__xludf.DUMMYFUNCTION("IF(C8456&lt;&gt;"""", GOOGLETRANSLATE(C8456, ""en"", ""te""),"""")"),"")</f>
        <v/>
      </c>
      <c r="E8456" s="2"/>
      <c r="F8456" s="2" t="str">
        <f>IFERROR(__xludf.DUMMYFUNCTION("IF(E8456&lt;&gt;"""", GOOGLETRANSLATE(E8456, ""en"", ""te""),"""")"),"")</f>
        <v/>
      </c>
      <c r="G8456" s="2"/>
      <c r="H8456" s="2" t="str">
        <f>IFERROR(__xludf.DUMMYFUNCTION("IF(G8456&lt;&gt;"""", GOOGLETRANSLATE(G8456, ""en"", ""te""),"""")"),"")</f>
        <v/>
      </c>
      <c r="I8456" s="3"/>
    </row>
    <row r="8457" customHeight="1" spans="1:9">
      <c r="A8457" s="2"/>
      <c r="B8457" s="2" t="str">
        <f>IFERROR(__xludf.DUMMYFUNCTION("IF(A8457&lt;&gt;"""", GOOGLETRANSLATE(A8457, ""en"", ""te""),"""")"),"")</f>
        <v/>
      </c>
      <c r="C8457" s="2"/>
      <c r="D8457" s="2" t="str">
        <f>IFERROR(__xludf.DUMMYFUNCTION("IF(C8457&lt;&gt;"""", GOOGLETRANSLATE(C8457, ""en"", ""te""),"""")"),"")</f>
        <v/>
      </c>
      <c r="E8457" s="2"/>
      <c r="F8457" s="2" t="str">
        <f>IFERROR(__xludf.DUMMYFUNCTION("IF(E8457&lt;&gt;"""", GOOGLETRANSLATE(E8457, ""en"", ""te""),"""")"),"")</f>
        <v/>
      </c>
      <c r="G8457" s="2"/>
      <c r="H8457" s="2" t="str">
        <f>IFERROR(__xludf.DUMMYFUNCTION("IF(G8457&lt;&gt;"""", GOOGLETRANSLATE(G8457, ""en"", ""te""),"""")"),"")</f>
        <v/>
      </c>
      <c r="I8457" s="3"/>
    </row>
    <row r="8458" customHeight="1" spans="1:9">
      <c r="A8458" s="2"/>
      <c r="B8458" s="2" t="str">
        <f>IFERROR(__xludf.DUMMYFUNCTION("IF(A8458&lt;&gt;"""", GOOGLETRANSLATE(A8458, ""en"", ""te""),"""")"),"")</f>
        <v/>
      </c>
      <c r="C8458" s="2"/>
      <c r="D8458" s="2" t="str">
        <f>IFERROR(__xludf.DUMMYFUNCTION("IF(C8458&lt;&gt;"""", GOOGLETRANSLATE(C8458, ""en"", ""te""),"""")"),"")</f>
        <v/>
      </c>
      <c r="E8458" s="2"/>
      <c r="F8458" s="2" t="str">
        <f>IFERROR(__xludf.DUMMYFUNCTION("IF(E8458&lt;&gt;"""", GOOGLETRANSLATE(E8458, ""en"", ""te""),"""")"),"")</f>
        <v/>
      </c>
      <c r="G8458" s="2"/>
      <c r="H8458" s="2" t="str">
        <f>IFERROR(__xludf.DUMMYFUNCTION("IF(G8458&lt;&gt;"""", GOOGLETRANSLATE(G8458, ""en"", ""te""),"""")"),"")</f>
        <v/>
      </c>
      <c r="I8458" s="3"/>
    </row>
    <row r="8459" customHeight="1" spans="1:9">
      <c r="A8459" s="2"/>
      <c r="B8459" s="2" t="str">
        <f>IFERROR(__xludf.DUMMYFUNCTION("IF(A8459&lt;&gt;"""", GOOGLETRANSLATE(A8459, ""en"", ""te""),"""")"),"")</f>
        <v/>
      </c>
      <c r="C8459" s="2"/>
      <c r="D8459" s="2" t="str">
        <f>IFERROR(__xludf.DUMMYFUNCTION("IF(C8459&lt;&gt;"""", GOOGLETRANSLATE(C8459, ""en"", ""te""),"""")"),"")</f>
        <v/>
      </c>
      <c r="E8459" s="2"/>
      <c r="F8459" s="2" t="str">
        <f>IFERROR(__xludf.DUMMYFUNCTION("IF(E8459&lt;&gt;"""", GOOGLETRANSLATE(E8459, ""en"", ""te""),"""")"),"")</f>
        <v/>
      </c>
      <c r="G8459" s="2"/>
      <c r="H8459" s="2" t="str">
        <f>IFERROR(__xludf.DUMMYFUNCTION("IF(G8459&lt;&gt;"""", GOOGLETRANSLATE(G8459, ""en"", ""te""),"""")"),"")</f>
        <v/>
      </c>
      <c r="I8459" s="3"/>
    </row>
    <row r="8460" customHeight="1" spans="1:9">
      <c r="A8460" s="2" t="s">
        <v>4734</v>
      </c>
      <c r="B8460" s="2" t="str">
        <f>IFERROR(__xludf.DUMMYFUNCTION("IF(A8460&lt;&gt;"""", GOOGLETRANSLATE(A8460, ""en"", ""te""),"""")"),"[ '10 వ అత్యంత ఇన్నింగ్స్ తొలి డక్ ముందు (34)', 'ఒక ఇన్నింగ్స్ లో ఒక ప్రత్యామ్నాయంగా (2) 3 వ అత్యధిక క్యాచ్లు']")</f>
        <v>[ '10 వ అత్యంత ఇన్నింగ్స్ తొలి డక్ ముందు (34)', 'ఒక ఇన్నింగ్స్ లో ఒక ప్రత్యామ్నాయంగా (2) 3 వ అత్యధిక క్యాచ్లు']</v>
      </c>
      <c r="C8460" s="2"/>
      <c r="D8460" s="2" t="str">
        <f>IFERROR(__xludf.DUMMYFUNCTION("IF(C8460&lt;&gt;"""", GOOGLETRANSLATE(C8460, ""en"", ""te""),"""")"),"")</f>
        <v/>
      </c>
      <c r="E8460" s="2" t="s">
        <v>2246</v>
      </c>
      <c r="F8460" s="2" t="str">
        <f>IFERROR(__xludf.DUMMYFUNCTION("IF(E8460&lt;&gt;"""", GOOGLETRANSLATE(E8460, ""en"", ""te""),"""")"),"[ '39 వ చెత్త కెరీర్ బౌలింగ్ సరాసరి (అర్హత లేకుండా) (115.00)']")</f>
        <v>[ '39 వ చెత్త కెరీర్ బౌలింగ్ సరాసరి (అర్హత లేకుండా) (115.00)']</v>
      </c>
      <c r="G8460" s="2" t="s">
        <v>4735</v>
      </c>
      <c r="H8460" s="2" t="str">
        <f>IFERROR(__xludf.DUMMYFUNCTION("IF(G8460&lt;&gt;"""", GOOGLETRANSLATE(G8460, ""en"", ""te""),"""")"),"[40 వ ఇన్నింగ్స్ లో అత్యధిక పరుగులు (బ్యాటింగ్ స్థానంలో ప్రకారం) (80) ',' 48 వ అత్యధిక పరుగులు పరాజయం వైపు ఒక మ్యాచ్లో (77) ',' 30 వ అత్యంత '25 వ ఒక క్యాలెండర్ ఏడాది (463) అత్యధిక పరుగులు' ఒకే క్రీడా పరుగులు మొదటి డక్ (34) ',' ఒక డక్ లేకుండా 35 వ వరుస ఇన"&amp;"్నింగ్స్ (34) ',' కెరీర్లో 29 వ అతి తక్కువ బాతులు (21.5) ',' 40 వ అత్యధిక క్యాచ్లు ముందు (308) ',' 10 వ అత్యంత ఇన్నింగ్స్ కెరీర్లో (25) ',' 15 వ ఇన్నింగ్స్ లో అత్యధిక క్యాచ్లు (3) ',' బృందం (29) ఇన్నింగ్స్ (2) ',' 46 వ వరుస మ్యాచ్లు ప్రత్యామ్నాయంగా 3 వ అత"&amp;"్యధిక క్యాచ్లు ']")</f>
        <v>[40 వ ఇన్నింగ్స్ లో అత్యధిక పరుగులు (బ్యాటింగ్ స్థానంలో ప్రకారం) (80) ',' 48 వ అత్యధిక పరుగులు పరాజయం వైపు ఒక మ్యాచ్లో (77) ',' 30 వ అత్యంత '25 వ ఒక క్యాలెండర్ ఏడాది (463) అత్యధిక పరుగులు' ఒకే క్రీడా పరుగులు మొదటి డక్ (34) ',' ఒక డక్ లేకుండా 35 వ వరుస ఇన్నింగ్స్ (34) ',' కెరీర్లో 29 వ అతి తక్కువ బాతులు (21.5) ',' 40 వ అత్యధిక క్యాచ్లు ముందు (308) ',' 10 వ అత్యంత ఇన్నింగ్స్ కెరీర్లో (25) ',' 15 వ ఇన్నింగ్స్ లో అత్యధిక క్యాచ్లు (3) ',' బృందం (29) ఇన్నింగ్స్ (2) ',' 46 వ వరుస మ్యాచ్లు ప్రత్యామ్నాయంగా 3 వ అత్యధిక క్యాచ్లు ']</v>
      </c>
      <c r="I8460" s="3"/>
    </row>
    <row r="8461" customHeight="1" spans="1:9">
      <c r="A8461" s="2" t="s">
        <v>4736</v>
      </c>
      <c r="B8461" s="2" t="str">
        <f>IFERROR(__xludf.DUMMYFUNCTION("IF(A8461&lt;&gt;"""", GOOGLETRANSLATE(A8461, ""en"", ""te""),"""")"),"[ '6 వ పిన్న కాప్టెన్ (21y 211d)']")</f>
        <v>[ '6 వ పిన్న కాప్టెన్ (21y 211d)']</v>
      </c>
      <c r="C8461" s="2" t="s">
        <v>4737</v>
      </c>
      <c r="D8461" s="2" t="str">
        <f>IFERROR(__xludf.DUMMYFUNCTION("IF(C8461&lt;&gt;"""", GOOGLETRANSLATE(C8461, ""en"", ""te""),"""")"),"[ '50 వ పిన్న ఆటగాడు వంద (20y 343d) స్కోర్']")</f>
        <v>[ '50 వ పిన్న ఆటగాడు వంద (20y 343d) స్కోర్']</v>
      </c>
      <c r="E8461" s="2" t="s">
        <v>4738</v>
      </c>
      <c r="F8461" s="2" t="str">
        <f>IFERROR(__xludf.DUMMYFUNCTION("IF(E8461&lt;&gt;"""", GOOGLETRANSLATE(E8461, ""en"", ""te""),"""")"),"[ '36 వ పిన్న ఆటగాడు వంద (21y 97d) స్కోర్', '31 లాంగెస్ట్ వ్యక్తిగత ఇన్నింగ్స్ (బంతులతో) (161)', '1000 పరుగులు 45 వ వేగవంతమైన (29)', '45 వ మోస్ట్ సిరీస్ ప్లేయర్ ఆఫ్ అవార్డులు (3) ']")</f>
        <v>[ '36 వ పిన్న ఆటగాడు వంద (21y 97d) స్కోర్', '31 లాంగెస్ట్ వ్యక్తిగత ఇన్నింగ్స్ (బంతులతో) (161)', '1000 పరుగులు 45 వ వేగవంతమైన (29)', '45 వ మోస్ట్ సిరీస్ ప్లేయర్ ఆఫ్ అవార్డులు (3) ']</v>
      </c>
      <c r="G8461" s="2" t="s">
        <v>4736</v>
      </c>
      <c r="H8461" s="2" t="str">
        <f>IFERROR(__xludf.DUMMYFUNCTION("IF(G8461&lt;&gt;"""", GOOGLETRANSLATE(G8461, ""en"", ""te""),"""")"),"[ '6 వ పిన్న కాప్టెన్ (21y 211d)']")</f>
        <v>[ '6 వ పిన్న కాప్టెన్ (21y 211d)']</v>
      </c>
      <c r="I8461" s="3"/>
    </row>
    <row r="8462" customHeight="1" spans="1:9">
      <c r="A8462" s="2"/>
      <c r="B8462" s="2" t="str">
        <f>IFERROR(__xludf.DUMMYFUNCTION("IF(A8462&lt;&gt;"""", GOOGLETRANSLATE(A8462, ""en"", ""te""),"""")"),"")</f>
        <v/>
      </c>
      <c r="C8462" s="2"/>
      <c r="D8462" s="2" t="str">
        <f>IFERROR(__xludf.DUMMYFUNCTION("IF(C8462&lt;&gt;"""", GOOGLETRANSLATE(C8462, ""en"", ""te""),"""")"),"")</f>
        <v/>
      </c>
      <c r="E8462" s="2"/>
      <c r="F8462" s="2" t="str">
        <f>IFERROR(__xludf.DUMMYFUNCTION("IF(E8462&lt;&gt;"""", GOOGLETRANSLATE(E8462, ""en"", ""te""),"""")"),"")</f>
        <v/>
      </c>
      <c r="G8462" s="2"/>
      <c r="H8462" s="2" t="str">
        <f>IFERROR(__xludf.DUMMYFUNCTION("IF(G8462&lt;&gt;"""", GOOGLETRANSLATE(G8462, ""en"", ""te""),"""")"),"")</f>
        <v/>
      </c>
      <c r="I8462" s="3"/>
    </row>
    <row r="8463" customHeight="1" spans="1:9">
      <c r="A8463" s="2"/>
      <c r="B8463" s="2" t="str">
        <f>IFERROR(__xludf.DUMMYFUNCTION("IF(A8463&lt;&gt;"""", GOOGLETRANSLATE(A8463, ""en"", ""te""),"""")"),"")</f>
        <v/>
      </c>
      <c r="C8463" s="2"/>
      <c r="D8463" s="2" t="str">
        <f>IFERROR(__xludf.DUMMYFUNCTION("IF(C8463&lt;&gt;"""", GOOGLETRANSLATE(C8463, ""en"", ""te""),"""")"),"")</f>
        <v/>
      </c>
      <c r="E8463" s="2"/>
      <c r="F8463" s="2" t="str">
        <f>IFERROR(__xludf.DUMMYFUNCTION("IF(E8463&lt;&gt;"""", GOOGLETRANSLATE(E8463, ""en"", ""te""),"""")"),"")</f>
        <v/>
      </c>
      <c r="G8463" s="2"/>
      <c r="H8463" s="2" t="str">
        <f>IFERROR(__xludf.DUMMYFUNCTION("IF(G8463&lt;&gt;"""", GOOGLETRANSLATE(G8463, ""en"", ""te""),"""")"),"")</f>
        <v/>
      </c>
      <c r="I8463" s="3"/>
    </row>
    <row r="8464" customHeight="1" spans="1:9">
      <c r="A8464" s="2"/>
      <c r="B8464" s="2" t="str">
        <f>IFERROR(__xludf.DUMMYFUNCTION("IF(A8464&lt;&gt;"""", GOOGLETRANSLATE(A8464, ""en"", ""te""),"""")"),"")</f>
        <v/>
      </c>
      <c r="C8464" s="2"/>
      <c r="D8464" s="2" t="str">
        <f>IFERROR(__xludf.DUMMYFUNCTION("IF(C8464&lt;&gt;"""", GOOGLETRANSLATE(C8464, ""en"", ""te""),"""")"),"")</f>
        <v/>
      </c>
      <c r="E8464" s="2"/>
      <c r="F8464" s="2" t="str">
        <f>IFERROR(__xludf.DUMMYFUNCTION("IF(E8464&lt;&gt;"""", GOOGLETRANSLATE(E8464, ""en"", ""te""),"""")"),"")</f>
        <v/>
      </c>
      <c r="G8464" s="2"/>
      <c r="H8464" s="2" t="str">
        <f>IFERROR(__xludf.DUMMYFUNCTION("IF(G8464&lt;&gt;"""", GOOGLETRANSLATE(G8464, ""en"", ""te""),"""")"),"")</f>
        <v/>
      </c>
      <c r="I8464" s="3"/>
    </row>
    <row r="8465" customHeight="1" spans="1:9">
      <c r="A8465" s="2"/>
      <c r="B8465" s="2" t="str">
        <f>IFERROR(__xludf.DUMMYFUNCTION("IF(A8465&lt;&gt;"""", GOOGLETRANSLATE(A8465, ""en"", ""te""),"""")"),"")</f>
        <v/>
      </c>
      <c r="C8465" s="2"/>
      <c r="D8465" s="2" t="str">
        <f>IFERROR(__xludf.DUMMYFUNCTION("IF(C8465&lt;&gt;"""", GOOGLETRANSLATE(C8465, ""en"", ""te""),"""")"),"")</f>
        <v/>
      </c>
      <c r="E8465" s="2"/>
      <c r="F8465" s="2" t="str">
        <f>IFERROR(__xludf.DUMMYFUNCTION("IF(E8465&lt;&gt;"""", GOOGLETRANSLATE(E8465, ""en"", ""te""),"""")"),"")</f>
        <v/>
      </c>
      <c r="G8465" s="2"/>
      <c r="H8465" s="2" t="str">
        <f>IFERROR(__xludf.DUMMYFUNCTION("IF(G8465&lt;&gt;"""", GOOGLETRANSLATE(G8465, ""en"", ""te""),"""")"),"")</f>
        <v/>
      </c>
      <c r="I8465" s="3"/>
    </row>
    <row r="8466" customHeight="1" spans="1:9">
      <c r="A8466" s="2"/>
      <c r="B8466" s="2" t="str">
        <f>IFERROR(__xludf.DUMMYFUNCTION("IF(A8466&lt;&gt;"""", GOOGLETRANSLATE(A8466, ""en"", ""te""),"""")"),"")</f>
        <v/>
      </c>
      <c r="C8466" s="2"/>
      <c r="D8466" s="2" t="str">
        <f>IFERROR(__xludf.DUMMYFUNCTION("IF(C8466&lt;&gt;"""", GOOGLETRANSLATE(C8466, ""en"", ""te""),"""")"),"")</f>
        <v/>
      </c>
      <c r="E8466" s="2"/>
      <c r="F8466" s="2" t="str">
        <f>IFERROR(__xludf.DUMMYFUNCTION("IF(E8466&lt;&gt;"""", GOOGLETRANSLATE(E8466, ""en"", ""te""),"""")"),"")</f>
        <v/>
      </c>
      <c r="G8466" s="2"/>
      <c r="H8466" s="2" t="str">
        <f>IFERROR(__xludf.DUMMYFUNCTION("IF(G8466&lt;&gt;"""", GOOGLETRANSLATE(G8466, ""en"", ""te""),"""")"),"")</f>
        <v/>
      </c>
      <c r="I8466" s="3"/>
    </row>
    <row r="8467" customHeight="1" spans="1:9">
      <c r="A8467" s="2"/>
      <c r="B8467" s="2" t="str">
        <f>IFERROR(__xludf.DUMMYFUNCTION("IF(A8467&lt;&gt;"""", GOOGLETRANSLATE(A8467, ""en"", ""te""),"""")"),"")</f>
        <v/>
      </c>
      <c r="C8467" s="2"/>
      <c r="D8467" s="2" t="str">
        <f>IFERROR(__xludf.DUMMYFUNCTION("IF(C8467&lt;&gt;"""", GOOGLETRANSLATE(C8467, ""en"", ""te""),"""")"),"")</f>
        <v/>
      </c>
      <c r="E8467" s="2"/>
      <c r="F8467" s="2" t="str">
        <f>IFERROR(__xludf.DUMMYFUNCTION("IF(E8467&lt;&gt;"""", GOOGLETRANSLATE(E8467, ""en"", ""te""),"""")"),"")</f>
        <v/>
      </c>
      <c r="G8467" s="2"/>
      <c r="H8467" s="2" t="str">
        <f>IFERROR(__xludf.DUMMYFUNCTION("IF(G8467&lt;&gt;"""", GOOGLETRANSLATE(G8467, ""en"", ""te""),"""")"),"")</f>
        <v/>
      </c>
      <c r="I8467" s="3"/>
    </row>
    <row r="8468" customHeight="1" spans="1:9">
      <c r="A8468" s="2"/>
      <c r="B8468" s="2" t="str">
        <f>IFERROR(__xludf.DUMMYFUNCTION("IF(A8468&lt;&gt;"""", GOOGLETRANSLATE(A8468, ""en"", ""te""),"""")"),"")</f>
        <v/>
      </c>
      <c r="C8468" s="2"/>
      <c r="D8468" s="2" t="str">
        <f>IFERROR(__xludf.DUMMYFUNCTION("IF(C8468&lt;&gt;"""", GOOGLETRANSLATE(C8468, ""en"", ""te""),"""")"),"")</f>
        <v/>
      </c>
      <c r="E8468" s="2"/>
      <c r="F8468" s="2" t="str">
        <f>IFERROR(__xludf.DUMMYFUNCTION("IF(E8468&lt;&gt;"""", GOOGLETRANSLATE(E8468, ""en"", ""te""),"""")"),"")</f>
        <v/>
      </c>
      <c r="G8468" s="2"/>
      <c r="H8468" s="2" t="str">
        <f>IFERROR(__xludf.DUMMYFUNCTION("IF(G8468&lt;&gt;"""", GOOGLETRANSLATE(G8468, ""en"", ""te""),"""")"),"")</f>
        <v/>
      </c>
      <c r="I8468" s="3"/>
    </row>
    <row r="8469" customHeight="1" spans="1:9">
      <c r="A8469" s="2"/>
      <c r="B8469" s="2" t="str">
        <f>IFERROR(__xludf.DUMMYFUNCTION("IF(A8469&lt;&gt;"""", GOOGLETRANSLATE(A8469, ""en"", ""te""),"""")"),"")</f>
        <v/>
      </c>
      <c r="C8469" s="2"/>
      <c r="D8469" s="2" t="str">
        <f>IFERROR(__xludf.DUMMYFUNCTION("IF(C8469&lt;&gt;"""", GOOGLETRANSLATE(C8469, ""en"", ""te""),"""")"),"")</f>
        <v/>
      </c>
      <c r="E8469" s="2"/>
      <c r="F8469" s="2" t="str">
        <f>IFERROR(__xludf.DUMMYFUNCTION("IF(E8469&lt;&gt;"""", GOOGLETRANSLATE(E8469, ""en"", ""te""),"""")"),"")</f>
        <v/>
      </c>
      <c r="G8469" s="2"/>
      <c r="H8469" s="2" t="str">
        <f>IFERROR(__xludf.DUMMYFUNCTION("IF(G8469&lt;&gt;"""", GOOGLETRANSLATE(G8469, ""en"", ""te""),"""")"),"")</f>
        <v/>
      </c>
      <c r="I8469" s="3"/>
    </row>
    <row r="8470" customHeight="1" spans="1:9">
      <c r="A8470" s="2" t="s">
        <v>175</v>
      </c>
      <c r="B8470" s="2" t="str">
        <f>IFERROR(__xludf.DUMMYFUNCTION("IF(A8470&lt;&gt;"""", GOOGLETRANSLATE(A8470, ""en"", ""te""),"""")"),"[ 'ఒక సిరీస్లో 6 వ అత్యంత బాతులు (3)']")</f>
        <v>[ 'ఒక సిరీస్లో 6 వ అత్యంత బాతులు (3)']</v>
      </c>
      <c r="C8470" s="2"/>
      <c r="D8470" s="2" t="str">
        <f>IFERROR(__xludf.DUMMYFUNCTION("IF(C8470&lt;&gt;"""", GOOGLETRANSLATE(C8470, ""en"", ""te""),"""")"),"")</f>
        <v/>
      </c>
      <c r="E8470" s="2" t="s">
        <v>4739</v>
      </c>
      <c r="F8470" s="2" t="str">
        <f>IFERROR(__xludf.DUMMYFUNCTION("IF(E8470&lt;&gt;"""", GOOGLETRANSLATE(E8470, ""en"", ""te""),"""")"),"[ 'ఒక సిరీస్లో 6 వ అత్యంత బాతులు (3)', '11 వ చెత్త కెరీర్లో ఆర్థిక రేటు (5.97)', 'ఇన్నింగ్స్ లో 50 వ చెత్త ఆర్థిక రేటు (10.77)', '15 వ ఇన్నింగ్స్ లో సాధించిన అత్యధిక పరుగులు (97)']")</f>
        <v>[ 'ఒక సిరీస్లో 6 వ అత్యంత బాతులు (3)', '11 వ చెత్త కెరీర్లో ఆర్థిక రేటు (5.97)', 'ఇన్నింగ్స్ లో 50 వ చెత్త ఆర్థిక రేటు (10.77)', '15 వ ఇన్నింగ్స్ లో సాధించిన అత్యధిక పరుగులు (97)']</v>
      </c>
      <c r="G8470" s="2" t="s">
        <v>3940</v>
      </c>
      <c r="H8470" s="2" t="str">
        <f>IFERROR(__xludf.DUMMYFUNCTION("IF(G8470&lt;&gt;"""", GOOGLETRANSLATE(G8470, ""en"", ""te""),"""")"),"[ '47 వ వరుస మ్యాచ్లు ప్రదర్శనల మధ్య (37) జట్టు తప్పిన']")</f>
        <v>[ '47 వ వరుస మ్యాచ్లు ప్రదర్శనల మధ్య (37) జట్టు తప్పిన']</v>
      </c>
      <c r="I8470" s="3"/>
    </row>
    <row r="8471" customHeight="1" spans="1:9">
      <c r="A8471" s="2"/>
      <c r="B8471" s="2" t="str">
        <f>IFERROR(__xludf.DUMMYFUNCTION("IF(A8471&lt;&gt;"""", GOOGLETRANSLATE(A8471, ""en"", ""te""),"""")"),"")</f>
        <v/>
      </c>
      <c r="C8471" s="2"/>
      <c r="D8471" s="2" t="str">
        <f>IFERROR(__xludf.DUMMYFUNCTION("IF(C8471&lt;&gt;"""", GOOGLETRANSLATE(C8471, ""en"", ""te""),"""")"),"")</f>
        <v/>
      </c>
      <c r="E8471" s="2"/>
      <c r="F8471" s="2" t="str">
        <f>IFERROR(__xludf.DUMMYFUNCTION("IF(E8471&lt;&gt;"""", GOOGLETRANSLATE(E8471, ""en"", ""te""),"""")"),"")</f>
        <v/>
      </c>
      <c r="G8471" s="2"/>
      <c r="H8471" s="2" t="str">
        <f>IFERROR(__xludf.DUMMYFUNCTION("IF(G8471&lt;&gt;"""", GOOGLETRANSLATE(G8471, ""en"", ""te""),"""")"),"")</f>
        <v/>
      </c>
      <c r="I8471" s="3"/>
    </row>
    <row r="8472" customHeight="1" spans="1:9">
      <c r="A8472" s="2"/>
      <c r="B8472" s="2" t="str">
        <f>IFERROR(__xludf.DUMMYFUNCTION("IF(A8472&lt;&gt;"""", GOOGLETRANSLATE(A8472, ""en"", ""te""),"""")"),"")</f>
        <v/>
      </c>
      <c r="C8472" s="2" t="s">
        <v>4740</v>
      </c>
      <c r="D8472" s="2" t="str">
        <f>IFERROR(__xludf.DUMMYFUNCTION("IF(C8472&lt;&gt;"""", GOOGLETRANSLATE(C8472, ""en"", ""te""),"""")"),"[ '35 వ చెత్త ఇన్నింగ్స్ లో ఆర్థిక రేటు (6.50)']")</f>
        <v>[ '35 వ చెత్త ఇన్నింగ్స్ లో ఆర్థిక రేటు (6.50)']</v>
      </c>
      <c r="E8472" s="2"/>
      <c r="F8472" s="2" t="str">
        <f>IFERROR(__xludf.DUMMYFUNCTION("IF(E8472&lt;&gt;"""", GOOGLETRANSLATE(E8472, ""en"", ""te""),"""")"),"")</f>
        <v/>
      </c>
      <c r="G8472" s="2"/>
      <c r="H8472" s="2" t="str">
        <f>IFERROR(__xludf.DUMMYFUNCTION("IF(G8472&lt;&gt;"""", GOOGLETRANSLATE(G8472, ""en"", ""te""),"""")"),"")</f>
        <v/>
      </c>
      <c r="I8472" s="3"/>
    </row>
    <row r="8473" customHeight="1" spans="1:9">
      <c r="A8473" s="2"/>
      <c r="B8473" s="2" t="str">
        <f>IFERROR(__xludf.DUMMYFUNCTION("IF(A8473&lt;&gt;"""", GOOGLETRANSLATE(A8473, ""en"", ""te""),"""")"),"")</f>
        <v/>
      </c>
      <c r="C8473" s="2"/>
      <c r="D8473" s="2" t="str">
        <f>IFERROR(__xludf.DUMMYFUNCTION("IF(C8473&lt;&gt;"""", GOOGLETRANSLATE(C8473, ""en"", ""te""),"""")"),"")</f>
        <v/>
      </c>
      <c r="E8473" s="2"/>
      <c r="F8473" s="2" t="str">
        <f>IFERROR(__xludf.DUMMYFUNCTION("IF(E8473&lt;&gt;"""", GOOGLETRANSLATE(E8473, ""en"", ""te""),"""")"),"")</f>
        <v/>
      </c>
      <c r="G8473" s="2"/>
      <c r="H8473" s="2" t="str">
        <f>IFERROR(__xludf.DUMMYFUNCTION("IF(G8473&lt;&gt;"""", GOOGLETRANSLATE(G8473, ""en"", ""te""),"""")"),"")</f>
        <v/>
      </c>
      <c r="I8473" s="3"/>
    </row>
    <row r="8474" customHeight="1" spans="1:9">
      <c r="A8474" s="2"/>
      <c r="B8474" s="2" t="str">
        <f>IFERROR(__xludf.DUMMYFUNCTION("IF(A8474&lt;&gt;"""", GOOGLETRANSLATE(A8474, ""en"", ""te""),"""")"),"")</f>
        <v/>
      </c>
      <c r="C8474" s="2"/>
      <c r="D8474" s="2" t="str">
        <f>IFERROR(__xludf.DUMMYFUNCTION("IF(C8474&lt;&gt;"""", GOOGLETRANSLATE(C8474, ""en"", ""te""),"""")"),"")</f>
        <v/>
      </c>
      <c r="E8474" s="2"/>
      <c r="F8474" s="2" t="str">
        <f>IFERROR(__xludf.DUMMYFUNCTION("IF(E8474&lt;&gt;"""", GOOGLETRANSLATE(E8474, ""en"", ""te""),"""")"),"")</f>
        <v/>
      </c>
      <c r="G8474" s="2"/>
      <c r="H8474" s="2" t="str">
        <f>IFERROR(__xludf.DUMMYFUNCTION("IF(G8474&lt;&gt;"""", GOOGLETRANSLATE(G8474, ""en"", ""te""),"""")"),"")</f>
        <v/>
      </c>
      <c r="I8474" s="3"/>
    </row>
    <row r="8475" customHeight="1" spans="1:9">
      <c r="A8475" s="2"/>
      <c r="B8475" s="2" t="str">
        <f>IFERROR(__xludf.DUMMYFUNCTION("IF(A8475&lt;&gt;"""", GOOGLETRANSLATE(A8475, ""en"", ""te""),"""")"),"")</f>
        <v/>
      </c>
      <c r="C8475" s="2"/>
      <c r="D8475" s="2" t="str">
        <f>IFERROR(__xludf.DUMMYFUNCTION("IF(C8475&lt;&gt;"""", GOOGLETRANSLATE(C8475, ""en"", ""te""),"""")"),"")</f>
        <v/>
      </c>
      <c r="E8475" s="2"/>
      <c r="F8475" s="2" t="str">
        <f>IFERROR(__xludf.DUMMYFUNCTION("IF(E8475&lt;&gt;"""", GOOGLETRANSLATE(E8475, ""en"", ""te""),"""")"),"")</f>
        <v/>
      </c>
      <c r="G8475" s="2"/>
      <c r="H8475" s="2" t="str">
        <f>IFERROR(__xludf.DUMMYFUNCTION("IF(G8475&lt;&gt;"""", GOOGLETRANSLATE(G8475, ""en"", ""te""),"""")"),"")</f>
        <v/>
      </c>
      <c r="I8475" s="3"/>
    </row>
    <row r="8476" customHeight="1" spans="1:9">
      <c r="A8476" s="2" t="s">
        <v>4741</v>
      </c>
      <c r="B8476" s="2" t="str">
        <f>IFERROR(__xludf.DUMMYFUNCTION("IF(A8476&lt;&gt;"""", GOOGLETRANSLATE(A8476, ""en"", ""te""),"""")"),"[ '6 వ పిన్న కాప్టెన్ (22y 115d)', 'నూట ఒక మ్యాచ్లో ఒక డక్', 'ఎ నూట ఒక ఇన్నింగ్స్ లో ఐదు వికెట్లు', 'ఐదవ వికెట్కు 4 వ అత్యధిక భాగస్వామ్యం (359)', '9 వ పిన్న కాప్టెన్ ( (2553) ',' 9 వ పిన్న ఆటగాడు వంద (19y 341d) ',' 1st ఒకే మైదానంలో అత్యధిక వికెట్లు (122)"&amp;" ',' 9 వ అత్యధిక వికెట్లు తీసుకున్న స్కోర్ 22y 124d) ',' 3 వ అత్యంత ఒకే క్రీడా నడుస్తుంది క్యాచ్ మరియు బౌల్డ్ (16) ',' ఎ ఏబది ఇన్నింగ్స్ ',' 1000 పరుగులు, 50 వికెట్లు, 50 క్యాచ్లు ',' 5000 పరుగులు మరియు 50 ఫీల్డింగ్ వికెట్లు ',' ఐదవ వికెట్కు 3 వ అత్యధిక భ"&amp;"ాగస్వామ్యం ఐదు వికెట్లు (224) ',' 4 వ అత్యంత ప్లేయర్ ఆఫ్ ది సిరీస్ అవార్డులు (3) ',' ఒక కెప్టెన్తో ఒక ఇన్నింగ్స్ లో 1 వ బెస్ట్ ఫిగర్స్ (5) ',' 4 వ అత్యంత నాలుగు వికెట్లు-ఇన్-ఒక-ఇన్నింగ్స్ కెరీర్లో (4 ) ',' 4 వ కెరీర్ లో బౌల్డ్ చాలా బంతుల్లో (1667) ',' 5 వ"&amp;" కెరీర్ (1894) లో సాధించిన అత్యధిక పరుగులు ',' 1 వ బౌలర్ / ఫీల్డర్ కలయికలు (17) ',' ఐదవ వికెట్కు 9 వ అత్యధిక భాగస్వామ్యం (91 *) ',' 4 వ అత్యంత ప్లేయర్ ఆఫ్ ది సిరీస్ అవార్డులు (14) ',' 3 వ అత్యంత ఒకే మైదానంలో పరుగులు (4214) ',' 1st ఒకే మైదానంలో అత్యధిక వ"&amp;"ికెట్లు (210) ',' 9 వ అత్యధిక వికెట్లు తీసుకున్న స్టంప్ (44) ']")</f>
        <v>[ '6 వ పిన్న కాప్టెన్ (22y 115d)', 'నూట ఒక మ్యాచ్లో ఒక డక్', 'ఎ నూట ఒక ఇన్నింగ్స్ లో ఐదు వికెట్లు', 'ఐదవ వికెట్కు 4 వ అత్యధిక భాగస్వామ్యం (359)', '9 వ పిన్న కాప్టెన్ ( (2553) ',' 9 వ పిన్న ఆటగాడు వంద (19y 341d) ',' 1st ఒకే మైదానంలో అత్యధిక వికెట్లు (122) ',' 9 వ అత్యధిక వికెట్లు తీసుకున్న స్కోర్ 22y 124d) ',' 3 వ అత్యంత ఒకే క్రీడా నడుస్తుంది క్యాచ్ మరియు బౌల్డ్ (16) ',' ఎ ఏబది ఇన్నింగ్స్ ',' 1000 పరుగులు, 50 వికెట్లు, 50 క్యాచ్లు ',' 5000 పరుగులు మరియు 50 ఫీల్డింగ్ వికెట్లు ',' ఐదవ వికెట్కు 3 వ అత్యధిక భాగస్వామ్యం ఐదు వికెట్లు (224) ',' 4 వ అత్యంత ప్లేయర్ ఆఫ్ ది సిరీస్ అవార్డులు (3) ',' ఒక కెప్టెన్తో ఒక ఇన్నింగ్స్ లో 1 వ బెస్ట్ ఫిగర్స్ (5) ',' 4 వ అత్యంత నాలుగు వికెట్లు-ఇన్-ఒక-ఇన్నింగ్స్ కెరీర్లో (4 ) ',' 4 వ కెరీర్ లో బౌల్డ్ చాలా బంతుల్లో (1667) ',' 5 వ కెరీర్ (1894) లో సాధించిన అత్యధిక పరుగులు ',' 1 వ బౌలర్ / ఫీల్డర్ కలయికలు (17) ',' ఐదవ వికెట్కు 9 వ అత్యధిక భాగస్వామ్యం (91 *) ',' 4 వ అత్యంత ప్లేయర్ ఆఫ్ ది సిరీస్ అవార్డులు (14) ',' 3 వ అత్యంత ఒకే మైదానంలో పరుగులు (4214) ',' 1st ఒకే మైదానంలో అత్యధిక వికెట్లు (210) ',' 9 వ అత్యధిక వికెట్లు తీసుకున్న స్టంప్ (44) ']</v>
      </c>
      <c r="C8476" s="2" t="s">
        <v>4742</v>
      </c>
      <c r="D8476" s="2" t="str">
        <f>IFERROR(__xludf.DUMMYFUNCTION("IF(C8476&lt;&gt;"""", GOOGLETRANSLATE(C8476, ""en"", ""te""),"""")"),"[ '(1313) 30 వ ఒకే మైదానంలో అత్యధిక పరుగులు', '26 ఒక రోజు లో అత్యధిక పరుగులు (212)', '26 వరుస ఇన్నింగ్స్ లేకుండా డక్' 37 వ పరాజయం వైపు (217) ఒక మ్యాచ్లో అత్యధిక పరుగులు ' కెరీర్లో (62) ',' 37 వ అతి తక్కువ బాతులు (26.5) ',' 19 ఒకే మైదానంలో అత్యధిక వికెట"&amp;"్లు (63) ',' ఒక కెప్టెన్తో ఒక ఇన్నింగ్స్ లో 16 వ బెస్ట్ ఫిగర్స్ (6) ',' 35 వ ఉత్తమ ఒక లో సంఖ్యలు ఒక కెప్టెన్తో మ్యాచ్ (8) ',' 24th ఒక ఇన్నింగ్స్ లోని బెస్ట్ ఫిగర్స్ ఉన్నప్పుడు పరాజయం వైపు (7) ',' 24 వ అత్యంత అయిదు వికెట్లు-ఇన్-ఒక-ఇన్నింగ్స్ కెరీర్లో (18)"&amp;" ',' 18 వ వరుస ఐదు వికెట్లు-ఇన్-ఒక-ఇన్నింగ్స్ ఏ వికెట్కు (359) ',' ఐదవ వికెట్కు 4 వ అత్యధిక భాగస్వామ్యం (359) ',' 12 వ అత్యంత ప్లేయర్ ఆఫ్ ది సిరీస్ అవార్డులు (3) ',' 36 వ అత్యధిక భాగస్వామ్యాలు (5) ',' 6 వ పిన్న కాప్టెన్ (22y 115d) ']")</f>
        <v>[ '(1313) 30 వ ఒకే మైదానంలో అత్యధిక పరుగులు', '26 ఒక రోజు లో అత్యధిక పరుగులు (212)', '26 వరుస ఇన్నింగ్స్ లేకుండా డక్' 37 వ పరాజయం వైపు (217) ఒక మ్యాచ్లో అత్యధిక పరుగులు ' కెరీర్లో (62) ',' 37 వ అతి తక్కువ బాతులు (26.5) ',' 19 ఒకే మైదానంలో అత్యధిక వికెట్లు (63) ',' ఒక కెప్టెన్తో ఒక ఇన్నింగ్స్ లో 16 వ బెస్ట్ ఫిగర్స్ (6) ',' 35 వ ఉత్తమ ఒక లో సంఖ్యలు ఒక కెప్టెన్తో మ్యాచ్ (8) ',' 24th ఒక ఇన్నింగ్స్ లోని బెస్ట్ ఫిగర్స్ ఉన్నప్పుడు పరాజయం వైపు (7) ',' 24 వ అత్యంత అయిదు వికెట్లు-ఇన్-ఒక-ఇన్నింగ్స్ కెరీర్లో (18) ',' 18 వ వరుస ఐదు వికెట్లు-ఇన్-ఒక-ఇన్నింగ్స్ ఏ వికెట్కు (359) ',' ఐదవ వికెట్కు 4 వ అత్యధిక భాగస్వామ్యం (359) ',' 12 వ అత్యంత ప్లేయర్ ఆఫ్ ది సిరీస్ అవార్డులు (3) ',' 36 వ అత్యధిక భాగస్వామ్యాలు (5) ',' 6 వ పిన్న కాప్టెన్ (22y 115d) ']</v>
      </c>
      <c r="E8476" s="2" t="s">
        <v>4743</v>
      </c>
      <c r="F8476" s="2" t="str">
        <f>IFERROR(__xludf.DUMMYFUNCTION("IF(E8476&lt;&gt;"""", GOOGLETRANSLATE(E8476, ""en"", ""te""),"""")"),"[ 'వరుస 8 వ అత్యధిక పరుగులు (606)', '3 వ అత్యంత ఒకే మైదానంలో పరుగులు (2553)', 'ఇన్నింగ్స్ లో 35 వ అత్యధిక స్ట్రైక్ రేట్ (275.00)', '45 వ అత్యధిక తొలి వంద (134 *)', '9 వ పిన్న ఆటగాడు వంద (19y 341d) స్కోర్' 'కెరీర్లో 36 వ అత్యంత అర్ధ (57)', 'వరుస ఇన్నింగ్"&amp;"స్లో 11 వ యాభైల్లో (5)', '48 వ అత్యంత ఫోర్లు కెరీర్లో (584)', '36 వ వేగంగా 6000 పరుగులు (190) ', '21 వ కెరీర్ లో అత్యధిక వికెట్లు (269)', '27 ఒక క్యాలెండర్ సంవత్సరంలో అత్యధిక వికెట్లు (46)', '8 వ అత్యుత్తమ బౌలింగ్ ఇన్నింగ్స్ లో విశ్లేషించడం (4/8)', '1st "&amp;"చాలా ఒకే మైదానంలో వికెట్లు (122) ',' 26 బెస్ట్ కెప్టెన్ ద్వారా ఒక ఇన్నింగ్స్ లో బొమ్మలు (4) ',' 43 వ అత్యంత ఐదు-వికెట్ల లో-ఒక-ఇన్నింగ్స్ కెరీర్లో (2) ',' 22 వ అత్యంత నాలుగు వికెట్ల లో-ఒక-ఇన్నింగ్స్ కెరీర్లో (11) ',' ఐదు వికెట్ల లో-ఒక-ఇన్నింగ్స్ తీసుకోవాల"&amp;"ని 41 వ అత్యంత వృద్ధ ఆటగాడు (32y 92d) ',' 18 వ కెరీర్ (10824) ',' 19 బౌల్డ్ చాలా బంతుల్లో కెరీర్లో సాధించిన అత్యధిక పరుగులు (8037) ',' 11 వ బౌలర్ / బ్యాట్స్ కలయికలు (9) ',' 27 వ బౌలర్ / ఫీల్డర్ కలయికలు (31) ',' 26th అత్యధిక వికెట్లు తీసుకున్న బౌల్డ్ (56) "&amp;"',' 34 వ మో స్టంప్ ఆకర్షించింది తీసుకోబడిన వికెట్ల (141) ',' 9 వ అత్యధిక వికెట్లు తీసుకున్న క్యాచ్ మరియు బౌల్డ్ (16) ',' 24 వ అత్యధిక వికెట్లు ఒక ఫీల్డర్ చేత క్యాచ్ తీసుకున్న (120) ',' 10 వ అత్యధిక వికెట్లు తీసుకున్న ఎల్బిడబ్ల్యు (51) ',' 12 వ అత్యంత వికె"&amp;"ట్లు వేగంగా 200 వికెట్లు (156) ',' 18 వ వేగంగా 250 వికెట్లు (199) నాలుగవ వికెట్కు ',' 22 వ అత్యధిక భాగస్వామ్యం (150 వికెట్లు (119) ',' 24 స్టంప్ తీసుకున్న వేగవంతమైన (21) ',' 42 వ 189 *) ',' ఐదో వికెట్కు జట్టు (224) ',' తొమ్మిదవ వికెట్కు 10 వ అత్యధిక భాగస"&amp;"్వామ్యం (97) ',' 37 వ వరుస మ్యాచ్లు 3 వ అత్యధిక భాగస్వామ్యం (78) ',' చాలా ఆటగాడు-23 -ది-మ్యాచ్ అవార్డులు (22) ',' 12 వ అత్యంత ప్లేయర్ ఆఫ్ ది సిరీస్ అవార్డులు (6) ',' 9 వ పిన్న కాప్టెన్ (22y 124d) ']")</f>
        <v>[ 'వరుస 8 వ అత్యధిక పరుగులు (606)', '3 వ అత్యంత ఒకే మైదానంలో పరుగులు (2553)', 'ఇన్నింగ్స్ లో 35 వ అత్యధిక స్ట్రైక్ రేట్ (275.00)', '45 వ అత్యధిక తొలి వంద (134 *)', '9 వ పిన్న ఆటగాడు వంద (19y 341d) స్కోర్' 'కెరీర్లో 36 వ అత్యంత అర్ధ (57)', 'వరుస ఇన్నింగ్స్లో 11 వ యాభైల్లో (5)', '48 వ అత్యంత ఫోర్లు కెరీర్లో (584)', '36 వ వేగంగా 6000 పరుగులు (190) ', '21 వ కెరీర్ లో అత్యధిక వికెట్లు (269)', '27 ఒక క్యాలెండర్ సంవత్సరంలో అత్యధిక వికెట్లు (46)', '8 వ అత్యుత్తమ బౌలింగ్ ఇన్నింగ్స్ లో విశ్లేషించడం (4/8)', '1st చాలా ఒకే మైదానంలో వికెట్లు (122) ',' 26 బెస్ట్ కెప్టెన్ ద్వారా ఒక ఇన్నింగ్స్ లో బొమ్మలు (4) ',' 43 వ అత్యంత ఐదు-వికెట్ల లో-ఒక-ఇన్నింగ్స్ కెరీర్లో (2) ',' 22 వ అత్యంత నాలుగు వికెట్ల లో-ఒక-ఇన్నింగ్స్ కెరీర్లో (11) ',' ఐదు వికెట్ల లో-ఒక-ఇన్నింగ్స్ తీసుకోవాలని 41 వ అత్యంత వృద్ధ ఆటగాడు (32y 92d) ',' 18 వ కెరీర్ (10824) ',' 19 బౌల్డ్ చాలా బంతుల్లో కెరీర్లో సాధించిన అత్యధిక పరుగులు (8037) ',' 11 వ బౌలర్ / బ్యాట్స్ కలయికలు (9) ',' 27 వ బౌలర్ / ఫీల్డర్ కలయికలు (31) ',' 26th అత్యధిక వికెట్లు తీసుకున్న బౌల్డ్ (56) ',' 34 వ మో స్టంప్ ఆకర్షించింది తీసుకోబడిన వికెట్ల (141) ',' 9 వ అత్యధిక వికెట్లు తీసుకున్న క్యాచ్ మరియు బౌల్డ్ (16) ',' 24 వ అత్యధిక వికెట్లు ఒక ఫీల్డర్ చేత క్యాచ్ తీసుకున్న (120) ',' 10 వ అత్యధిక వికెట్లు తీసుకున్న ఎల్బిడబ్ల్యు (51) ',' 12 వ అత్యంత వికెట్లు వేగంగా 200 వికెట్లు (156) ',' 18 వ వేగంగా 250 వికెట్లు (199) నాలుగవ వికెట్కు ',' 22 వ అత్యధిక భాగస్వామ్యం (150 వికెట్లు (119) ',' 24 స్టంప్ తీసుకున్న వేగవంతమైన (21) ',' 42 వ 189 *) ',' ఐదో వికెట్కు జట్టు (224) ',' తొమ్మిదవ వికెట్కు 10 వ అత్యధిక భాగస్వామ్యం (97) ',' 37 వ వరుస మ్యాచ్లు 3 వ అత్యధిక భాగస్వామ్యం (78) ',' చాలా ఆటగాడు-23 -ది-మ్యాచ్ అవార్డులు (22) ',' 12 వ అత్యంత ప్లేయర్ ఆఫ్ ది సిరీస్ అవార్డులు (6) ',' 9 వ పిన్న కాప్టెన్ (22y 124d) ']</v>
      </c>
      <c r="G8476" s="2" t="s">
        <v>4744</v>
      </c>
      <c r="H8476" s="2" t="str">
        <f>IFERROR(__xludf.DUMMYFUNCTION("IF(G8476&lt;&gt;"""", GOOGLETRANSLATE(G8476, ""en"", ""te""),"""")"),"[ '31 కెరీర్లో అత్యధిక పరుగులు (1567)', '32 వ ఇన్నింగ్స్ లో అత్యధిక పరుగులు (బ్యాటింగ్ స్థానంలో ప్రకారం) (84)', '15 వ అత్యంత పరుగులు' 30 వ పరాజయం వైపు (84) ఒక మ్యాచ్లో అత్యధిక పరుగులు ' ఒకే క్రీడా (348) ',' 29th కెరీర్ అర్ధ (9) ',' ఒక డక్ లేకుండా 23 వరుస"&amp;" ఇన్నింగ్స్ (39) ',' 42 వ అతి తక్కువ బాతులు కెరీర్ లో (15.2) ',' 32 వ కెరీర్ బాతులు ( 5) ',' కెరీర్ లో 19 వ అత్యంత ఫోర్లు (163) ',' 31 మోస్ట్ ఇన్నింగ్స్ లో ఫోర్లు (11) ',' 5 వ కెరీర్ లో అత్యధిక వికెట్లు (92) ',' 32 వ ఇన్నింగ్స్ లో బెస్ట్ ఫిగర్స్ (5/20) ',"&amp;"' 36 వ ఒక క్యాలెండర్ సంవత్సరంలో అత్యధిక వికెట్లు (20) ',' ఇన్నింగ్స్ లో 25 అత్యుత్తమ బౌలింగ్ విశ్లేషణలు ఒకే నేలపై (3/8) ',' 2 వ అత్యధిక వికెట్లు (25) ',' 1 వ ఉత్తమ ఇన్నింగ్స్ లో సంఖ్యలు ఒక కెప్టెన్తో (5) ',' 33 వ ఉత్తమ కెరీర్ బౌలింగ్ సరాసరి (20.58) ',' 2"&amp;"6 ఉత్తమ కెరీర్ ఆర్థిక రేటు (6.81) ',' 50 వ ఉత్తమ కెరీర్ సమ్మె రేటు (18.1) ',' ఇన్నింగ్స్ లో 31 ఉత్తమ సమ్మె రేటు ( 4.5) ',' 4 వ అత్యంత నాలుగు వికెట్లు-ఇన్-ఒక-ఇన్నింగ్స్ కెరీర్లో (4) ',' 4 వ కెరీర్ లో బౌల్డ్ చాలా బంతుల్లో (1667) ',' 5 వ కెరీర్ లో సాధించిన అ"&amp;"త్యధిక పరుగులు (1894 ) ',' 17 వ బౌలర్ / బ్యాట్స్ కలయికలు (3) ',' 1 వ బౌలర్ / ఫీల్డర్ కలయికలు (17) ',' 8 వ అత్యధిక వికెట్లు బౌల్డ్ తీసుకున్న (18) ',' 4 వ అత్యధిక వికెట్లు ఆకర్షించింది (52) ',' 4 వ అత్యంత తీసుకున్న వికెట్లు ఒక ఫీల్డర్ చేత క్యాచ్ తీసుకున్న ("&amp;"46) ',' 33 వ అత్యధిక వికెట్లు ఒక వికెట్ కీపర్ చే కాట్ తీసుకున్న (6) ',' 14 వ అత్యధిక వికెట్లు తీసుకున్న ఎల్బిడబ్ల్యు (7) ',' 2 వ అత్యంత తీసుకోబడిన వికెట్ల స్టంప్ (15) ',' 18 వ వేగంగా 50 వికెట్లు (42) ',' మూడో వికెట్కు 20 వ అత్యధిక భాగస్వామ్యం (112) ',' నా"&amp;"లుగవ వికెట్కు (105 *) కోసం 15 అత్యధిక భాగస్వామ్యం ',' ఐదవ వికెట్ (91 *) 9 వ అత్యధిక భాగస్వామ్యం ',' కెరీర్లో 31 వ అత్యధిక మ్యాచ్లు (76) ',' 28 వ అతి ప్లేయర్ ఆఫ్ ది మ్యాచ్ అవార్డులు (5) ',' 4 వ అత్యంత ప్లేయర్ ఆఫ్ ది సిరీస్ అవార్డులు (3) ',' 18 వ లాంగెస్ట్ "&amp;"కెరీర్లు (12y 297d) ',' కెప్టెన్ 31 అత్యధిక మ్యాచ్లు (21) ',' 11 వ పిన్న కాప్టెన్ (22y 131d) ']")</f>
        <v>[ '31 కెరీర్లో అత్యధిక పరుగులు (1567)', '32 వ ఇన్నింగ్స్ లో అత్యధిక పరుగులు (బ్యాటింగ్ స్థానంలో ప్రకారం) (84)', '15 వ అత్యంత పరుగులు' 30 వ పరాజయం వైపు (84) ఒక మ్యాచ్లో అత్యధిక పరుగులు ' ఒకే క్రీడా (348) ',' 29th కెరీర్ అర్ధ (9) ',' ఒక డక్ లేకుండా 23 వరుస ఇన్నింగ్స్ (39) ',' 42 వ అతి తక్కువ బాతులు కెరీర్ లో (15.2) ',' 32 వ కెరీర్ బాతులు ( 5) ',' కెరీర్ లో 19 వ అత్యంత ఫోర్లు (163) ',' 31 మోస్ట్ ఇన్నింగ్స్ లో ఫోర్లు (11) ',' 5 వ కెరీర్ లో అత్యధిక వికెట్లు (92) ',' 32 వ ఇన్నింగ్స్ లో బెస్ట్ ఫిగర్స్ (5/20) ',' 36 వ ఒక క్యాలెండర్ సంవత్సరంలో అత్యధిక వికెట్లు (20) ',' ఇన్నింగ్స్ లో 25 అత్యుత్తమ బౌలింగ్ విశ్లేషణలు ఒకే నేలపై (3/8) ',' 2 వ అత్యధిక వికెట్లు (25) ',' 1 వ ఉత్తమ ఇన్నింగ్స్ లో సంఖ్యలు ఒక కెప్టెన్తో (5) ',' 33 వ ఉత్తమ కెరీర్ బౌలింగ్ సరాసరి (20.58) ',' 26 ఉత్తమ కెరీర్ ఆర్థిక రేటు (6.81) ',' 50 వ ఉత్తమ కెరీర్ సమ్మె రేటు (18.1) ',' ఇన్నింగ్స్ లో 31 ఉత్తమ సమ్మె రేటు ( 4.5) ',' 4 వ అత్యంత నాలుగు వికెట్లు-ఇన్-ఒక-ఇన్నింగ్స్ కెరీర్లో (4) ',' 4 వ కెరీర్ లో బౌల్డ్ చాలా బంతుల్లో (1667) ',' 5 వ కెరీర్ లో సాధించిన అత్యధిక పరుగులు (1894 ) ',' 17 వ బౌలర్ / బ్యాట్స్ కలయికలు (3) ',' 1 వ బౌలర్ / ఫీల్డర్ కలయికలు (17) ',' 8 వ అత్యధిక వికెట్లు బౌల్డ్ తీసుకున్న (18) ',' 4 వ అత్యధిక వికెట్లు ఆకర్షించింది (52) ',' 4 వ అత్యంత తీసుకున్న వికెట్లు ఒక ఫీల్డర్ చేత క్యాచ్ తీసుకున్న (46) ',' 33 వ అత్యధిక వికెట్లు ఒక వికెట్ కీపర్ చే కాట్ తీసుకున్న (6) ',' 14 వ అత్యధిక వికెట్లు తీసుకున్న ఎల్బిడబ్ల్యు (7) ',' 2 వ అత్యంత తీసుకోబడిన వికెట్ల స్టంప్ (15) ',' 18 వ వేగంగా 50 వికెట్లు (42) ',' మూడో వికెట్కు 20 వ అత్యధిక భాగస్వామ్యం (112) ',' నాలుగవ వికెట్కు (105 *) కోసం 15 అత్యధిక భాగస్వామ్యం ',' ఐదవ వికెట్ (91 *) 9 వ అత్యధిక భాగస్వామ్యం ',' కెరీర్లో 31 వ అత్యధిక మ్యాచ్లు (76) ',' 28 వ అతి ప్లేయర్ ఆఫ్ ది మ్యాచ్ అవార్డులు (5) ',' 4 వ అత్యంత ప్లేయర్ ఆఫ్ ది సిరీస్ అవార్డులు (3) ',' 18 వ లాంగెస్ట్ కెరీర్లు (12y 297d) ',' కెప్టెన్ 31 అత్యధిక మ్యాచ్లు (21) ',' 11 వ పిన్న కాప్టెన్ (22y 131d) ']</v>
      </c>
      <c r="I8476" s="3"/>
    </row>
    <row r="8477" customHeight="1" spans="1:9">
      <c r="A8477" s="2"/>
      <c r="B8477" s="2" t="str">
        <f>IFERROR(__xludf.DUMMYFUNCTION("IF(A8477&lt;&gt;"""", GOOGLETRANSLATE(A8477, ""en"", ""te""),"""")"),"")</f>
        <v/>
      </c>
      <c r="C8477" s="2"/>
      <c r="D8477" s="2" t="str">
        <f>IFERROR(__xludf.DUMMYFUNCTION("IF(C8477&lt;&gt;"""", GOOGLETRANSLATE(C8477, ""en"", ""te""),"""")"),"")</f>
        <v/>
      </c>
      <c r="E8477" s="2"/>
      <c r="F8477" s="2" t="str">
        <f>IFERROR(__xludf.DUMMYFUNCTION("IF(E8477&lt;&gt;"""", GOOGLETRANSLATE(E8477, ""en"", ""te""),"""")"),"")</f>
        <v/>
      </c>
      <c r="G8477" s="2" t="s">
        <v>4745</v>
      </c>
      <c r="H8477" s="2" t="str">
        <f>IFERROR(__xludf.DUMMYFUNCTION("IF(G8477&lt;&gt;"""", GOOGLETRANSLATE(G8477, ""en"", ""te""),"""")"),"[ '16 వ కెరీర్ బాతులు (6)', 'ఒక ఇన్నింగ్స్లో పరుగుల 46 వ అత్యధిక శాతం (54.61)']")</f>
        <v>[ '16 వ కెరీర్ బాతులు (6)', 'ఒక ఇన్నింగ్స్లో పరుగుల 46 వ అత్యధిక శాతం (54.61)']</v>
      </c>
      <c r="I8477" s="3"/>
    </row>
    <row r="8478" customHeight="1" spans="1:9">
      <c r="A8478" s="2"/>
      <c r="B8478" s="2" t="str">
        <f>IFERROR(__xludf.DUMMYFUNCTION("IF(A8478&lt;&gt;"""", GOOGLETRANSLATE(A8478, ""en"", ""te""),"""")"),"")</f>
        <v/>
      </c>
      <c r="C8478" s="2"/>
      <c r="D8478" s="2" t="str">
        <f>IFERROR(__xludf.DUMMYFUNCTION("IF(C8478&lt;&gt;"""", GOOGLETRANSLATE(C8478, ""en"", ""te""),"""")"),"")</f>
        <v/>
      </c>
      <c r="E8478" s="2"/>
      <c r="F8478" s="2" t="str">
        <f>IFERROR(__xludf.DUMMYFUNCTION("IF(E8478&lt;&gt;"""", GOOGLETRANSLATE(E8478, ""en"", ""te""),"""")"),"")</f>
        <v/>
      </c>
      <c r="G8478" s="2"/>
      <c r="H8478" s="2" t="str">
        <f>IFERROR(__xludf.DUMMYFUNCTION("IF(G8478&lt;&gt;"""", GOOGLETRANSLATE(G8478, ""en"", ""te""),"""")"),"")</f>
        <v/>
      </c>
      <c r="I8478" s="3"/>
    </row>
    <row r="8479" customHeight="1" spans="1:9">
      <c r="A8479" s="2"/>
      <c r="B8479" s="2" t="str">
        <f>IFERROR(__xludf.DUMMYFUNCTION("IF(A8479&lt;&gt;"""", GOOGLETRANSLATE(A8479, ""en"", ""te""),"""")"),"")</f>
        <v/>
      </c>
      <c r="C8479" s="2"/>
      <c r="D8479" s="2" t="str">
        <f>IFERROR(__xludf.DUMMYFUNCTION("IF(C8479&lt;&gt;"""", GOOGLETRANSLATE(C8479, ""en"", ""te""),"""")"),"")</f>
        <v/>
      </c>
      <c r="E8479" s="2"/>
      <c r="F8479" s="2" t="str">
        <f>IFERROR(__xludf.DUMMYFUNCTION("IF(E8479&lt;&gt;"""", GOOGLETRANSLATE(E8479, ""en"", ""te""),"""")"),"")</f>
        <v/>
      </c>
      <c r="G8479" s="2"/>
      <c r="H8479" s="2" t="str">
        <f>IFERROR(__xludf.DUMMYFUNCTION("IF(G8479&lt;&gt;"""", GOOGLETRANSLATE(G8479, ""en"", ""te""),"""")"),"")</f>
        <v/>
      </c>
      <c r="I8479" s="3"/>
    </row>
    <row r="8480" customHeight="1" spans="1:9">
      <c r="A8480" s="2"/>
      <c r="B8480" s="2" t="str">
        <f>IFERROR(__xludf.DUMMYFUNCTION("IF(A8480&lt;&gt;"""", GOOGLETRANSLATE(A8480, ""en"", ""te""),"""")"),"")</f>
        <v/>
      </c>
      <c r="C8480" s="2"/>
      <c r="D8480" s="2" t="str">
        <f>IFERROR(__xludf.DUMMYFUNCTION("IF(C8480&lt;&gt;"""", GOOGLETRANSLATE(C8480, ""en"", ""te""),"""")"),"")</f>
        <v/>
      </c>
      <c r="E8480" s="2"/>
      <c r="F8480" s="2" t="str">
        <f>IFERROR(__xludf.DUMMYFUNCTION("IF(E8480&lt;&gt;"""", GOOGLETRANSLATE(E8480, ""en"", ""te""),"""")"),"")</f>
        <v/>
      </c>
      <c r="G8480" s="2"/>
      <c r="H8480" s="2" t="str">
        <f>IFERROR(__xludf.DUMMYFUNCTION("IF(G8480&lt;&gt;"""", GOOGLETRANSLATE(G8480, ""en"", ""te""),"""")"),"")</f>
        <v/>
      </c>
      <c r="I8480" s="3"/>
    </row>
    <row r="8481" customHeight="1" spans="1:9">
      <c r="A8481" s="2"/>
      <c r="B8481" s="2" t="str">
        <f>IFERROR(__xludf.DUMMYFUNCTION("IF(A8481&lt;&gt;"""", GOOGLETRANSLATE(A8481, ""en"", ""te""),"""")"),"")</f>
        <v/>
      </c>
      <c r="C8481" s="2"/>
      <c r="D8481" s="2" t="str">
        <f>IFERROR(__xludf.DUMMYFUNCTION("IF(C8481&lt;&gt;"""", GOOGLETRANSLATE(C8481, ""en"", ""te""),"""")"),"")</f>
        <v/>
      </c>
      <c r="E8481" s="2"/>
      <c r="F8481" s="2" t="str">
        <f>IFERROR(__xludf.DUMMYFUNCTION("IF(E8481&lt;&gt;"""", GOOGLETRANSLATE(E8481, ""en"", ""te""),"""")"),"")</f>
        <v/>
      </c>
      <c r="G8481" s="2"/>
      <c r="H8481" s="2" t="str">
        <f>IFERROR(__xludf.DUMMYFUNCTION("IF(G8481&lt;&gt;"""", GOOGLETRANSLATE(G8481, ""en"", ""te""),"""")"),"")</f>
        <v/>
      </c>
      <c r="I8481" s="3"/>
    </row>
    <row r="8482" customHeight="1" spans="1:9">
      <c r="A8482" s="2"/>
      <c r="B8482" s="2" t="str">
        <f>IFERROR(__xludf.DUMMYFUNCTION("IF(A8482&lt;&gt;"""", GOOGLETRANSLATE(A8482, ""en"", ""te""),"""")"),"")</f>
        <v/>
      </c>
      <c r="C8482" s="2"/>
      <c r="D8482" s="2" t="str">
        <f>IFERROR(__xludf.DUMMYFUNCTION("IF(C8482&lt;&gt;"""", GOOGLETRANSLATE(C8482, ""en"", ""te""),"""")"),"")</f>
        <v/>
      </c>
      <c r="E8482" s="2"/>
      <c r="F8482" s="2" t="str">
        <f>IFERROR(__xludf.DUMMYFUNCTION("IF(E8482&lt;&gt;"""", GOOGLETRANSLATE(E8482, ""en"", ""te""),"""")"),"")</f>
        <v/>
      </c>
      <c r="G8482" s="2"/>
      <c r="H8482" s="2" t="str">
        <f>IFERROR(__xludf.DUMMYFUNCTION("IF(G8482&lt;&gt;"""", GOOGLETRANSLATE(G8482, ""en"", ""te""),"""")"),"")</f>
        <v/>
      </c>
      <c r="I8482" s="3"/>
    </row>
    <row r="8483" customHeight="1" spans="1:9">
      <c r="A8483" s="2"/>
      <c r="B8483" s="2" t="str">
        <f>IFERROR(__xludf.DUMMYFUNCTION("IF(A8483&lt;&gt;"""", GOOGLETRANSLATE(A8483, ""en"", ""te""),"""")"),"")</f>
        <v/>
      </c>
      <c r="C8483" s="2"/>
      <c r="D8483" s="2" t="str">
        <f>IFERROR(__xludf.DUMMYFUNCTION("IF(C8483&lt;&gt;"""", GOOGLETRANSLATE(C8483, ""en"", ""te""),"""")"),"")</f>
        <v/>
      </c>
      <c r="E8483" s="2"/>
      <c r="F8483" s="2" t="str">
        <f>IFERROR(__xludf.DUMMYFUNCTION("IF(E8483&lt;&gt;"""", GOOGLETRANSLATE(E8483, ""en"", ""te""),"""")"),"")</f>
        <v/>
      </c>
      <c r="G8483" s="2"/>
      <c r="H8483" s="2" t="str">
        <f>IFERROR(__xludf.DUMMYFUNCTION("IF(G8483&lt;&gt;"""", GOOGLETRANSLATE(G8483, ""en"", ""te""),"""")"),"")</f>
        <v/>
      </c>
      <c r="I8483" s="3"/>
    </row>
    <row r="8484" customHeight="1" spans="1:9">
      <c r="A8484" s="2"/>
      <c r="B8484" s="2" t="str">
        <f>IFERROR(__xludf.DUMMYFUNCTION("IF(A8484&lt;&gt;"""", GOOGLETRANSLATE(A8484, ""en"", ""te""),"""")"),"")</f>
        <v/>
      </c>
      <c r="C8484" s="2"/>
      <c r="D8484" s="2" t="str">
        <f>IFERROR(__xludf.DUMMYFUNCTION("IF(C8484&lt;&gt;"""", GOOGLETRANSLATE(C8484, ""en"", ""te""),"""")"),"")</f>
        <v/>
      </c>
      <c r="E8484" s="2" t="s">
        <v>4746</v>
      </c>
      <c r="F8484" s="2" t="str">
        <f>IFERROR(__xludf.DUMMYFUNCTION("IF(E8484&lt;&gt;"""", GOOGLETRANSLATE(E8484, ""en"", ""te""),"""")"),"[ '30 వ తొలి మ్యాచ్లో అత్యధిక పరుగులు (52)', 'మూడో వికెట్కు 38 వ అత్యధిక భాగస్వామ్యం (127)', '25 వ పిన్న క్రీడాకారులు (15y 330d)']")</f>
        <v>[ '30 వ తొలి మ్యాచ్లో అత్యధిక పరుగులు (52)', 'మూడో వికెట్కు 38 వ అత్యధిక భాగస్వామ్యం (127)', '25 వ పిన్న క్రీడాకారులు (15y 330d)']</v>
      </c>
      <c r="G8484" s="2"/>
      <c r="H8484" s="2" t="str">
        <f>IFERROR(__xludf.DUMMYFUNCTION("IF(G8484&lt;&gt;"""", GOOGLETRANSLATE(G8484, ""en"", ""te""),"""")"),"")</f>
        <v/>
      </c>
      <c r="I8484" s="3"/>
    </row>
    <row r="8485" customHeight="1" spans="1:9">
      <c r="A8485" s="2"/>
      <c r="B8485" s="2" t="str">
        <f>IFERROR(__xludf.DUMMYFUNCTION("IF(A8485&lt;&gt;"""", GOOGLETRANSLATE(A8485, ""en"", ""te""),"""")"),"")</f>
        <v/>
      </c>
      <c r="C8485" s="2"/>
      <c r="D8485" s="2" t="str">
        <f>IFERROR(__xludf.DUMMYFUNCTION("IF(C8485&lt;&gt;"""", GOOGLETRANSLATE(C8485, ""en"", ""te""),"""")"),"")</f>
        <v/>
      </c>
      <c r="E8485" s="2"/>
      <c r="F8485" s="2" t="str">
        <f>IFERROR(__xludf.DUMMYFUNCTION("IF(E8485&lt;&gt;"""", GOOGLETRANSLATE(E8485, ""en"", ""te""),"""")"),"")</f>
        <v/>
      </c>
      <c r="G8485" s="2"/>
      <c r="H8485" s="2" t="str">
        <f>IFERROR(__xludf.DUMMYFUNCTION("IF(G8485&lt;&gt;"""", GOOGLETRANSLATE(G8485, ""en"", ""te""),"""")"),"")</f>
        <v/>
      </c>
      <c r="I8485" s="3"/>
    </row>
    <row r="8486" customHeight="1" spans="1:9">
      <c r="A8486" s="2"/>
      <c r="B8486" s="2" t="str">
        <f>IFERROR(__xludf.DUMMYFUNCTION("IF(A8486&lt;&gt;"""", GOOGLETRANSLATE(A8486, ""en"", ""te""),"""")"),"")</f>
        <v/>
      </c>
      <c r="C8486" s="2"/>
      <c r="D8486" s="2" t="str">
        <f>IFERROR(__xludf.DUMMYFUNCTION("IF(C8486&lt;&gt;"""", GOOGLETRANSLATE(C8486, ""en"", ""te""),"""")"),"")</f>
        <v/>
      </c>
      <c r="E8486" s="2"/>
      <c r="F8486" s="2" t="str">
        <f>IFERROR(__xludf.DUMMYFUNCTION("IF(E8486&lt;&gt;"""", GOOGLETRANSLATE(E8486, ""en"", ""te""),"""")"),"")</f>
        <v/>
      </c>
      <c r="G8486" s="2"/>
      <c r="H8486" s="2" t="str">
        <f>IFERROR(__xludf.DUMMYFUNCTION("IF(G8486&lt;&gt;"""", GOOGLETRANSLATE(G8486, ""en"", ""te""),"""")"),"")</f>
        <v/>
      </c>
      <c r="I8486" s="3"/>
    </row>
    <row r="8487" customHeight="1" spans="1:9">
      <c r="A8487" s="2" t="s">
        <v>1828</v>
      </c>
      <c r="B8487" s="2" t="str">
        <f>IFERROR(__xludf.DUMMYFUNCTION("IF(A8487&lt;&gt;"""", GOOGLETRANSLATE(A8487, ""en"", ""te""),"""")"),"[ 'ఇన్నింగ్స్ లో 4 వ అత్యధిక క్యాచ్లు (3)']")</f>
        <v>[ 'ఇన్నింగ్స్ లో 4 వ అత్యధిక క్యాచ్లు (3)']</v>
      </c>
      <c r="C8487" s="2"/>
      <c r="D8487" s="2" t="str">
        <f>IFERROR(__xludf.DUMMYFUNCTION("IF(C8487&lt;&gt;"""", GOOGLETRANSLATE(C8487, ""en"", ""te""),"""")"),"")</f>
        <v/>
      </c>
      <c r="E8487" s="2" t="s">
        <v>4747</v>
      </c>
      <c r="F8487" s="2" t="str">
        <f>IFERROR(__xludf.DUMMYFUNCTION("IF(E8487&lt;&gt;"""", GOOGLETRANSLATE(E8487, ""en"", ""te""),"""")"),"[ 'ఇన్నింగ్స్ లో 4 వ అత్యధిక క్యాచ్లు (3)' '26 వ అధిక తొలి మ్యాచ్లో పరుగులు (53)',]")</f>
        <v>[ 'ఇన్నింగ్స్ లో 4 వ అత్యధిక క్యాచ్లు (3)' '26 వ అధిక తొలి మ్యాచ్లో పరుగులు (53)',]</v>
      </c>
      <c r="G8487" s="2" t="s">
        <v>4748</v>
      </c>
      <c r="H8487" s="2" t="str">
        <f>IFERROR(__xludf.DUMMYFUNCTION("IF(G8487&lt;&gt;"""", GOOGLETRANSLATE(G8487, ""en"", ""te""),"""")"),"[ '26 అత్యుత్తమ ఇన్నింగ్స్ (3/4) విశ్లేషణలలో బౌలింగ్']")</f>
        <v>[ '26 అత్యుత్తమ ఇన్నింగ్స్ (3/4) విశ్లేషణలలో బౌలింగ్']</v>
      </c>
      <c r="I8487" s="3"/>
    </row>
    <row r="8488" customHeight="1" spans="1:9">
      <c r="A8488" s="2" t="s">
        <v>4749</v>
      </c>
      <c r="B8488" s="2" t="str">
        <f>IFERROR(__xludf.DUMMYFUNCTION("IF(A8488&lt;&gt;"""", GOOGLETRANSLATE(A8488, ""en"", ""te""),"""")"),"[ 'ఇన్నింగ్స్ లో 9 వ అత్యంత స్టంపింగ్లు (3)']")</f>
        <v>[ 'ఇన్నింగ్స్ లో 9 వ అత్యంత స్టంపింగ్లు (3)']</v>
      </c>
      <c r="C8488" s="2"/>
      <c r="D8488" s="2" t="str">
        <f>IFERROR(__xludf.DUMMYFUNCTION("IF(C8488&lt;&gt;"""", GOOGLETRANSLATE(C8488, ""en"", ""te""),"""")"),"")</f>
        <v/>
      </c>
      <c r="E8488" s="2"/>
      <c r="F8488" s="2" t="str">
        <f>IFERROR(__xludf.DUMMYFUNCTION("IF(E8488&lt;&gt;"""", GOOGLETRANSLATE(E8488, ""en"", ""te""),"""")"),"")</f>
        <v/>
      </c>
      <c r="G8488" s="2" t="s">
        <v>4750</v>
      </c>
      <c r="H8488" s="2" t="str">
        <f>IFERROR(__xludf.DUMMYFUNCTION("IF(G8488&lt;&gt;"""", GOOGLETRANSLATE(G8488, ""en"", ""te""),"""")"),"[ '34 వ ఒక క్యాలెండర్ సంవత్సరంలో అత్యధిక పరుగులు (396)', 'మూడో వికెట్కు 44 వ అత్యధిక భాగస్వామ్యం (77)', '21 వ అత్యధిక కెరీర్ లో వికెట్లు (23) ', '21 వ అత్యంత స్టంపింగ్లు కెరీర్లో (14)', ' ఒక ఇన్నింగ్స్ లో 9 వ అత్యంత స్టంపింగ్లు (3) ']")</f>
        <v>[ '34 వ ఒక క్యాలెండర్ సంవత్సరంలో అత్యధిక పరుగులు (396)', 'మూడో వికెట్కు 44 వ అత్యధిక భాగస్వామ్యం (77)', '21 వ అత్యధిక కెరీర్ లో వికెట్లు (23) ', '21 వ అత్యంత స్టంపింగ్లు కెరీర్లో (14)', ' ఒక ఇన్నింగ్స్ లో 9 వ అత్యంత స్టంపింగ్లు (3) ']</v>
      </c>
      <c r="I8488" s="3"/>
    </row>
    <row r="8489" customHeight="1" spans="1:9">
      <c r="A8489" s="2"/>
      <c r="B8489" s="2" t="str">
        <f>IFERROR(__xludf.DUMMYFUNCTION("IF(A8489&lt;&gt;"""", GOOGLETRANSLATE(A8489, ""en"", ""te""),"""")"),"")</f>
        <v/>
      </c>
      <c r="C8489" s="2"/>
      <c r="D8489" s="2" t="str">
        <f>IFERROR(__xludf.DUMMYFUNCTION("IF(C8489&lt;&gt;"""", GOOGLETRANSLATE(C8489, ""en"", ""te""),"""")"),"")</f>
        <v/>
      </c>
      <c r="E8489" s="2"/>
      <c r="F8489" s="2" t="str">
        <f>IFERROR(__xludf.DUMMYFUNCTION("IF(E8489&lt;&gt;"""", GOOGLETRANSLATE(E8489, ""en"", ""te""),"""")"),"")</f>
        <v/>
      </c>
      <c r="G8489" s="2"/>
      <c r="H8489" s="2" t="str">
        <f>IFERROR(__xludf.DUMMYFUNCTION("IF(G8489&lt;&gt;"""", GOOGLETRANSLATE(G8489, ""en"", ""te""),"""")"),"")</f>
        <v/>
      </c>
      <c r="I8489" s="3"/>
    </row>
    <row r="8490" customHeight="1" spans="1:9">
      <c r="A8490" s="2"/>
      <c r="B8490" s="2" t="str">
        <f>IFERROR(__xludf.DUMMYFUNCTION("IF(A8490&lt;&gt;"""", GOOGLETRANSLATE(A8490, ""en"", ""te""),"""")"),"")</f>
        <v/>
      </c>
      <c r="C8490" s="2"/>
      <c r="D8490" s="2" t="str">
        <f>IFERROR(__xludf.DUMMYFUNCTION("IF(C8490&lt;&gt;"""", GOOGLETRANSLATE(C8490, ""en"", ""te""),"""")"),"")</f>
        <v/>
      </c>
      <c r="E8490" s="2"/>
      <c r="F8490" s="2" t="str">
        <f>IFERROR(__xludf.DUMMYFUNCTION("IF(E8490&lt;&gt;"""", GOOGLETRANSLATE(E8490, ""en"", ""te""),"""")"),"")</f>
        <v/>
      </c>
      <c r="G8490" s="2"/>
      <c r="H8490" s="2" t="str">
        <f>IFERROR(__xludf.DUMMYFUNCTION("IF(G8490&lt;&gt;"""", GOOGLETRANSLATE(G8490, ""en"", ""te""),"""")"),"")</f>
        <v/>
      </c>
      <c r="I8490" s="3"/>
    </row>
    <row r="8491" customHeight="1" spans="1:9">
      <c r="A8491" s="2"/>
      <c r="B8491" s="2" t="str">
        <f>IFERROR(__xludf.DUMMYFUNCTION("IF(A8491&lt;&gt;"""", GOOGLETRANSLATE(A8491, ""en"", ""te""),"""")"),"")</f>
        <v/>
      </c>
      <c r="C8491" s="2"/>
      <c r="D8491" s="2" t="str">
        <f>IFERROR(__xludf.DUMMYFUNCTION("IF(C8491&lt;&gt;"""", GOOGLETRANSLATE(C8491, ""en"", ""te""),"""")"),"")</f>
        <v/>
      </c>
      <c r="E8491" s="2"/>
      <c r="F8491" s="2" t="str">
        <f>IFERROR(__xludf.DUMMYFUNCTION("IF(E8491&lt;&gt;"""", GOOGLETRANSLATE(E8491, ""en"", ""te""),"""")"),"")</f>
        <v/>
      </c>
      <c r="G8491" s="2"/>
      <c r="H8491" s="2" t="str">
        <f>IFERROR(__xludf.DUMMYFUNCTION("IF(G8491&lt;&gt;"""", GOOGLETRANSLATE(G8491, ""en"", ""te""),"""")"),"")</f>
        <v/>
      </c>
      <c r="I8491" s="3"/>
    </row>
    <row r="8492" customHeight="1" spans="1:9">
      <c r="A8492" s="2"/>
      <c r="B8492" s="2" t="str">
        <f>IFERROR(__xludf.DUMMYFUNCTION("IF(A8492&lt;&gt;"""", GOOGLETRANSLATE(A8492, ""en"", ""te""),"""")"),"")</f>
        <v/>
      </c>
      <c r="C8492" s="2"/>
      <c r="D8492" s="2" t="str">
        <f>IFERROR(__xludf.DUMMYFUNCTION("IF(C8492&lt;&gt;"""", GOOGLETRANSLATE(C8492, ""en"", ""te""),"""")"),"")</f>
        <v/>
      </c>
      <c r="E8492" s="2"/>
      <c r="F8492" s="2" t="str">
        <f>IFERROR(__xludf.DUMMYFUNCTION("IF(E8492&lt;&gt;"""", GOOGLETRANSLATE(E8492, ""en"", ""te""),"""")"),"")</f>
        <v/>
      </c>
      <c r="G8492" s="2"/>
      <c r="H8492" s="2" t="str">
        <f>IFERROR(__xludf.DUMMYFUNCTION("IF(G8492&lt;&gt;"""", GOOGLETRANSLATE(G8492, ""en"", ""te""),"""")"),"")</f>
        <v/>
      </c>
      <c r="I8492" s="3"/>
    </row>
    <row r="8493" customHeight="1" spans="1:9">
      <c r="A8493" s="2"/>
      <c r="B8493" s="2" t="str">
        <f>IFERROR(__xludf.DUMMYFUNCTION("IF(A8493&lt;&gt;"""", GOOGLETRANSLATE(A8493, ""en"", ""te""),"""")"),"")</f>
        <v/>
      </c>
      <c r="C8493" s="2"/>
      <c r="D8493" s="2" t="str">
        <f>IFERROR(__xludf.DUMMYFUNCTION("IF(C8493&lt;&gt;"""", GOOGLETRANSLATE(C8493, ""en"", ""te""),"""")"),"")</f>
        <v/>
      </c>
      <c r="E8493" s="2"/>
      <c r="F8493" s="2" t="str">
        <f>IFERROR(__xludf.DUMMYFUNCTION("IF(E8493&lt;&gt;"""", GOOGLETRANSLATE(E8493, ""en"", ""te""),"""")"),"")</f>
        <v/>
      </c>
      <c r="G8493" s="2"/>
      <c r="H8493" s="2" t="str">
        <f>IFERROR(__xludf.DUMMYFUNCTION("IF(G8493&lt;&gt;"""", GOOGLETRANSLATE(G8493, ""en"", ""te""),"""")"),"")</f>
        <v/>
      </c>
      <c r="I8493" s="3"/>
    </row>
    <row r="8494" customHeight="1" spans="1:9">
      <c r="A8494" s="2"/>
      <c r="B8494" s="2" t="str">
        <f>IFERROR(__xludf.DUMMYFUNCTION("IF(A8494&lt;&gt;"""", GOOGLETRANSLATE(A8494, ""en"", ""te""),"""")"),"")</f>
        <v/>
      </c>
      <c r="C8494" s="2"/>
      <c r="D8494" s="2" t="str">
        <f>IFERROR(__xludf.DUMMYFUNCTION("IF(C8494&lt;&gt;"""", GOOGLETRANSLATE(C8494, ""en"", ""te""),"""")"),"")</f>
        <v/>
      </c>
      <c r="E8494" s="2"/>
      <c r="F8494" s="2" t="str">
        <f>IFERROR(__xludf.DUMMYFUNCTION("IF(E8494&lt;&gt;"""", GOOGLETRANSLATE(E8494, ""en"", ""te""),"""")"),"")</f>
        <v/>
      </c>
      <c r="G8494" s="2"/>
      <c r="H8494" s="2" t="str">
        <f>IFERROR(__xludf.DUMMYFUNCTION("IF(G8494&lt;&gt;"""", GOOGLETRANSLATE(G8494, ""en"", ""te""),"""")"),"")</f>
        <v/>
      </c>
      <c r="I8494" s="3"/>
    </row>
    <row r="8495" customHeight="1" spans="1:9">
      <c r="A8495" s="2" t="s">
        <v>4751</v>
      </c>
      <c r="B8495" s="2" t="str">
        <f>IFERROR(__xludf.DUMMYFUNCTION("IF(A8495&lt;&gt;"""", GOOGLETRANSLATE(A8495, ""en"", ""te""),"""")"),"[ '7th పిన్న క్రీడాకారులు (16y 223d)', 'ఇన్నింగ్స్ లో 6 వ సంఖ్య పదకొండు టాప్ స్కోరింగ్ (31)']")</f>
        <v>[ '7th పిన్న క్రీడాకారులు (16y 223d)', 'ఇన్నింగ్స్ లో 6 వ సంఖ్య పదకొండు టాప్ స్కోరింగ్ (31)']</v>
      </c>
      <c r="C8495" s="2" t="s">
        <v>4752</v>
      </c>
      <c r="D8495" s="2" t="str">
        <f>IFERROR(__xludf.DUMMYFUNCTION("IF(C8495&lt;&gt;"""", GOOGLETRANSLATE(C8495, ""en"", ""te""),"""")"),"[ '6 వ సంఖ్య పదకొండు ఇన్నింగ్స్ లో టాప్ స్కోరింగ్ (31)', '7 వ పిన్న క్రీడాకారులు (16y 223d)']")</f>
        <v>[ '6 వ సంఖ్య పదకొండు ఇన్నింగ్స్ లో టాప్ స్కోరింగ్ (31)', '7 వ పిన్న క్రీడాకారులు (16y 223d)']</v>
      </c>
      <c r="E8495" s="2" t="s">
        <v>4753</v>
      </c>
      <c r="F8495" s="2" t="str">
        <f>IFERROR(__xludf.DUMMYFUNCTION("IF(E8495&lt;&gt;"""", GOOGLETRANSLATE(E8495, ""en"", ""te""),"""")"),"[ '15 వ పిన్న క్రీడాకారులు (16y 287d)']")</f>
        <v>[ '15 వ పిన్న క్రీడాకారులు (16y 287d)']</v>
      </c>
      <c r="G8495" s="2"/>
      <c r="H8495" s="2" t="str">
        <f>IFERROR(__xludf.DUMMYFUNCTION("IF(G8495&lt;&gt;"""", GOOGLETRANSLATE(G8495, ""en"", ""te""),"""")"),"")</f>
        <v/>
      </c>
      <c r="I8495" s="3"/>
    </row>
    <row r="8496" customHeight="1" spans="1:9">
      <c r="A8496" s="2" t="s">
        <v>4754</v>
      </c>
      <c r="B8496" s="2" t="str">
        <f>IFERROR(__xludf.DUMMYFUNCTION("IF(A8496&lt;&gt;"""", GOOGLETRANSLATE(A8496, ""en"", ""te""),"""")"),"[ 'తొలి ఇన్నింగ్స్లో 3 వ ఉత్తమ బొమ్మలు (5)', 'ఐదు వికెట్ల లో-ఒక-ఇన్నింగ్స్ పడుతుంది 6 వ పిన్న ఆటగాడు (19y 75d)']")</f>
        <v>[ 'తొలి ఇన్నింగ్స్లో 3 వ ఉత్తమ బొమ్మలు (5)', 'ఐదు వికెట్ల లో-ఒక-ఇన్నింగ్స్ పడుతుంది 6 వ పిన్న ఆటగాడు (19y 75d)']</v>
      </c>
      <c r="C8496" s="2"/>
      <c r="D8496" s="2" t="str">
        <f>IFERROR(__xludf.DUMMYFUNCTION("IF(C8496&lt;&gt;"""", GOOGLETRANSLATE(C8496, ""en"", ""te""),"""")"),"")</f>
        <v/>
      </c>
      <c r="E8496" s="2" t="s">
        <v>4755</v>
      </c>
      <c r="F8496" s="2" t="str">
        <f>IFERROR(__xludf.DUMMYFUNCTION("IF(E8496&lt;&gt;"""", GOOGLETRANSLATE(E8496, ""en"", ""te""),"""")"),"[ '14 వ ఒక ఇన్నింగ్స్ లోని బెస్ట్ ఫిగర్స్ ఉన్నప్పుడు పరాజయం వైపు (5)', '27 చెత్త కెరీర్లో ఆర్థిక రేటు (5.81)', '3 వ అరంగేట్రంలోనే ఇన్నింగ్స్ లోని బెస్ట్ ఫిగర్స్ (5)', 'ఐదు తీసుకోవాలని 6 వ పిన్న ఆటగాడు -wickets-ఇన్-ఒక-ఇన్నింగ్స్ (19y 75d) ']")</f>
        <v>[ '14 వ ఒక ఇన్నింగ్స్ లోని బెస్ట్ ఫిగర్స్ ఉన్నప్పుడు పరాజయం వైపు (5)', '27 చెత్త కెరీర్లో ఆర్థిక రేటు (5.81)', '3 వ అరంగేట్రంలోనే ఇన్నింగ్స్ లోని బెస్ట్ ఫిగర్స్ (5)', 'ఐదు తీసుకోవాలని 6 వ పిన్న ఆటగాడు -wickets-ఇన్-ఒక-ఇన్నింగ్స్ (19y 75d) ']</v>
      </c>
      <c r="G8496" s="2"/>
      <c r="H8496" s="2" t="str">
        <f>IFERROR(__xludf.DUMMYFUNCTION("IF(G8496&lt;&gt;"""", GOOGLETRANSLATE(G8496, ""en"", ""te""),"""")"),"")</f>
        <v/>
      </c>
      <c r="I8496" s="3"/>
    </row>
    <row r="8497" customHeight="1" spans="1:9">
      <c r="A8497" s="2" t="s">
        <v>4756</v>
      </c>
      <c r="B8497" s="2" t="str">
        <f>IFERROR(__xludf.DUMMYFUNCTION("IF(A8497&lt;&gt;"""", GOOGLETRANSLATE(A8497, ""en"", ""te""),"""")"),"[ '5 వ చెత్త కెరీర్ బౌలింగ్ సరాసరి (అర్హత లేకుండా) (261.00)']")</f>
        <v>[ '5 వ చెత్త కెరీర్ బౌలింగ్ సరాసరి (అర్హత లేకుండా) (261.00)']</v>
      </c>
      <c r="C8497" s="2" t="s">
        <v>4756</v>
      </c>
      <c r="D8497" s="2" t="str">
        <f>IFERROR(__xludf.DUMMYFUNCTION("IF(C8497&lt;&gt;"""", GOOGLETRANSLATE(C8497, ""en"", ""te""),"""")"),"[ '5 వ చెత్త కెరీర్ బౌలింగ్ సరాసరి (అర్హత లేకుండా) (261.00)']")</f>
        <v>[ '5 వ చెత్త కెరీర్ బౌలింగ్ సరాసరి (అర్హత లేకుండా) (261.00)']</v>
      </c>
      <c r="E8497" s="2"/>
      <c r="F8497" s="2" t="str">
        <f>IFERROR(__xludf.DUMMYFUNCTION("IF(E8497&lt;&gt;"""", GOOGLETRANSLATE(E8497, ""en"", ""te""),"""")"),"")</f>
        <v/>
      </c>
      <c r="G8497" s="2"/>
      <c r="H8497" s="2" t="str">
        <f>IFERROR(__xludf.DUMMYFUNCTION("IF(G8497&lt;&gt;"""", GOOGLETRANSLATE(G8497, ""en"", ""te""),"""")"),"")</f>
        <v/>
      </c>
      <c r="I8497" s="3"/>
    </row>
    <row r="8498" customHeight="1" spans="1:9">
      <c r="A8498" s="2"/>
      <c r="B8498" s="2" t="str">
        <f>IFERROR(__xludf.DUMMYFUNCTION("IF(A8498&lt;&gt;"""", GOOGLETRANSLATE(A8498, ""en"", ""te""),"""")"),"")</f>
        <v/>
      </c>
      <c r="C8498" s="2"/>
      <c r="D8498" s="2" t="str">
        <f>IFERROR(__xludf.DUMMYFUNCTION("IF(C8498&lt;&gt;"""", GOOGLETRANSLATE(C8498, ""en"", ""te""),"""")"),"")</f>
        <v/>
      </c>
      <c r="E8498" s="2"/>
      <c r="F8498" s="2" t="str">
        <f>IFERROR(__xludf.DUMMYFUNCTION("IF(E8498&lt;&gt;"""", GOOGLETRANSLATE(E8498, ""en"", ""te""),"""")"),"")</f>
        <v/>
      </c>
      <c r="G8498" s="2"/>
      <c r="H8498" s="2" t="str">
        <f>IFERROR(__xludf.DUMMYFUNCTION("IF(G8498&lt;&gt;"""", GOOGLETRANSLATE(G8498, ""en"", ""te""),"""")"),"")</f>
        <v/>
      </c>
      <c r="I8498" s="3"/>
    </row>
    <row r="8499" customHeight="1" spans="1:9">
      <c r="A8499" s="2"/>
      <c r="B8499" s="2" t="str">
        <f>IFERROR(__xludf.DUMMYFUNCTION("IF(A8499&lt;&gt;"""", GOOGLETRANSLATE(A8499, ""en"", ""te""),"""")"),"")</f>
        <v/>
      </c>
      <c r="C8499" s="2"/>
      <c r="D8499" s="2" t="str">
        <f>IFERROR(__xludf.DUMMYFUNCTION("IF(C8499&lt;&gt;"""", GOOGLETRANSLATE(C8499, ""en"", ""te""),"""")"),"")</f>
        <v/>
      </c>
      <c r="E8499" s="2"/>
      <c r="F8499" s="2" t="str">
        <f>IFERROR(__xludf.DUMMYFUNCTION("IF(E8499&lt;&gt;"""", GOOGLETRANSLATE(E8499, ""en"", ""te""),"""")"),"")</f>
        <v/>
      </c>
      <c r="G8499" s="2"/>
      <c r="H8499" s="2" t="str">
        <f>IFERROR(__xludf.DUMMYFUNCTION("IF(G8499&lt;&gt;"""", GOOGLETRANSLATE(G8499, ""en"", ""te""),"""")"),"")</f>
        <v/>
      </c>
      <c r="I8499" s="3"/>
    </row>
    <row r="8500" customHeight="1" spans="1:9">
      <c r="A8500" s="2" t="s">
        <v>2736</v>
      </c>
      <c r="B8500" s="2" t="str">
        <f>IFERROR(__xludf.DUMMYFUNCTION("IF(A8500&lt;&gt;"""", GOOGLETRANSLATE(A8500, ""en"", ""te""),"""")"),"[ '7th చెత్త కెరీర్లో ఆర్థిక రేటు (3.80)']")</f>
        <v>[ '7th చెత్త కెరీర్లో ఆర్థిక రేటు (3.80)']</v>
      </c>
      <c r="C8500" s="2" t="s">
        <v>4757</v>
      </c>
      <c r="D8500" s="2" t="str">
        <f>IFERROR(__xludf.DUMMYFUNCTION("IF(C8500&lt;&gt;"""", GOOGLETRANSLATE(C8500, ""en"", ""te""),"""")"),"[ '20 వ చెత్త కెరీర్ బౌలింగ్ సరాసరి (59.36)', '7 వ చెత్త కెరీర్లో ఆర్థిక రేటు (3.80)']")</f>
        <v>[ '20 వ చెత్త కెరీర్ బౌలింగ్ సరాసరి (59.36)', '7 వ చెత్త కెరీర్లో ఆర్థిక రేటు (3.80)']</v>
      </c>
      <c r="E8500" s="2" t="s">
        <v>4758</v>
      </c>
      <c r="F8500" s="2" t="str">
        <f>IFERROR(__xludf.DUMMYFUNCTION("IF(E8500&lt;&gt;"""", GOOGLETRANSLATE(E8500, ""en"", ""te""),"""")"),"[ '48 వ చెత్త కెరీర్లో ఆర్థిక రేటు (5.64)', 'ఇన్నింగ్స్ లో 5 వ చెత్త ఆర్థిక రేటు (12.42)']")</f>
        <v>[ '48 వ చెత్త కెరీర్లో ఆర్థిక రేటు (5.64)', 'ఇన్నింగ్స్ లో 5 వ చెత్త ఆర్థిక రేటు (12.42)']</v>
      </c>
      <c r="G8500" s="2"/>
      <c r="H8500" s="2" t="str">
        <f>IFERROR(__xludf.DUMMYFUNCTION("IF(G8500&lt;&gt;"""", GOOGLETRANSLATE(G8500, ""en"", ""te""),"""")"),"")</f>
        <v/>
      </c>
      <c r="I8500" s="3"/>
    </row>
    <row r="8501" customHeight="1" spans="1:9">
      <c r="A8501" s="2"/>
      <c r="B8501" s="2" t="str">
        <f>IFERROR(__xludf.DUMMYFUNCTION("IF(A8501&lt;&gt;"""", GOOGLETRANSLATE(A8501, ""en"", ""te""),"""")"),"")</f>
        <v/>
      </c>
      <c r="C8501" s="2" t="s">
        <v>4759</v>
      </c>
      <c r="D8501" s="2" t="str">
        <f>IFERROR(__xludf.DUMMYFUNCTION("IF(C8501&lt;&gt;"""", GOOGLETRANSLATE(C8501, ""en"", ""te""),"""")"),"[ '32 వ ఇన్నింగ్స్ లో బెస్ట్ ఫిగర్స్ (8/39)', '13 వ అత్యుత్తమ ఇన్నింగ్స్ లో బౌలింగ్ విశ్లేషణలు (8/39)', '42 వ ఒకే మైదానంలో అత్యధిక వికెట్లు (52)', '15 వ ఉత్తమ ఒక మ్యాచ్లో గణాంకాలు ఉన్నప్పుడు (11) ',' 18 వ వరుస ఐదు వికెట్ల లో-ఒక-ఇన్నింగ్స్ పరాజయం వైపు (3"&amp;") ',' 17 వ ఇన్నింగ్స్ (219) లో సాధించిన అత్యధిక పరుగులు ']")</f>
        <v>[ '32 వ ఇన్నింగ్స్ లో బెస్ట్ ఫిగర్స్ (8/39)', '13 వ అత్యుత్తమ ఇన్నింగ్స్ లో బౌలింగ్ విశ్లేషణలు (8/39)', '42 వ ఒకే మైదానంలో అత్యధిక వికెట్లు (52)', '15 వ ఉత్తమ ఒక మ్యాచ్లో గణాంకాలు ఉన్నప్పుడు (11) ',' 18 వ వరుస ఐదు వికెట్ల లో-ఒక-ఇన్నింగ్స్ పరాజయం వైపు (3) ',' 17 వ ఇన్నింగ్స్ (219) లో సాధించిన అత్యధిక పరుగులు ']</v>
      </c>
      <c r="E8501" s="2" t="s">
        <v>549</v>
      </c>
      <c r="F8501" s="2" t="str">
        <f>IFERROR(__xludf.DUMMYFUNCTION("IF(E8501&lt;&gt;"""", GOOGLETRANSLATE(E8501, ""en"", ""te""),"""")"),"[ 'తొలి ఇన్నింగ్స్ 15 వ బెస్ట్ ఫిగర్స్ (4)']")</f>
        <v>[ 'తొలి ఇన్నింగ్స్ 15 వ బెస్ట్ ఫిగర్స్ (4)']</v>
      </c>
      <c r="G8501" s="2"/>
      <c r="H8501" s="2" t="str">
        <f>IFERROR(__xludf.DUMMYFUNCTION("IF(G8501&lt;&gt;"""", GOOGLETRANSLATE(G8501, ""en"", ""te""),"""")"),"")</f>
        <v/>
      </c>
      <c r="I8501" s="3"/>
    </row>
    <row r="8502" customHeight="1" spans="1:9">
      <c r="A8502" s="2"/>
      <c r="B8502" s="2" t="str">
        <f>IFERROR(__xludf.DUMMYFUNCTION("IF(A8502&lt;&gt;"""", GOOGLETRANSLATE(A8502, ""en"", ""te""),"""")"),"")</f>
        <v/>
      </c>
      <c r="C8502" s="2"/>
      <c r="D8502" s="2" t="str">
        <f>IFERROR(__xludf.DUMMYFUNCTION("IF(C8502&lt;&gt;"""", GOOGLETRANSLATE(C8502, ""en"", ""te""),"""")"),"")</f>
        <v/>
      </c>
      <c r="E8502" s="2"/>
      <c r="F8502" s="2" t="str">
        <f>IFERROR(__xludf.DUMMYFUNCTION("IF(E8502&lt;&gt;"""", GOOGLETRANSLATE(E8502, ""en"", ""te""),"""")"),"")</f>
        <v/>
      </c>
      <c r="G8502" s="2"/>
      <c r="H8502" s="2" t="str">
        <f>IFERROR(__xludf.DUMMYFUNCTION("IF(G8502&lt;&gt;"""", GOOGLETRANSLATE(G8502, ""en"", ""te""),"""")"),"")</f>
        <v/>
      </c>
      <c r="I8502" s="3"/>
    </row>
    <row r="8503" customHeight="1" spans="1:9">
      <c r="A8503" s="2"/>
      <c r="B8503" s="2" t="str">
        <f>IFERROR(__xludf.DUMMYFUNCTION("IF(A8503&lt;&gt;"""", GOOGLETRANSLATE(A8503, ""en"", ""te""),"""")"),"")</f>
        <v/>
      </c>
      <c r="C8503" s="2"/>
      <c r="D8503" s="2" t="str">
        <f>IFERROR(__xludf.DUMMYFUNCTION("IF(C8503&lt;&gt;"""", GOOGLETRANSLATE(C8503, ""en"", ""te""),"""")"),"")</f>
        <v/>
      </c>
      <c r="E8503" s="2"/>
      <c r="F8503" s="2" t="str">
        <f>IFERROR(__xludf.DUMMYFUNCTION("IF(E8503&lt;&gt;"""", GOOGLETRANSLATE(E8503, ""en"", ""te""),"""")"),"")</f>
        <v/>
      </c>
      <c r="G8503" s="2"/>
      <c r="H8503" s="2" t="str">
        <f>IFERROR(__xludf.DUMMYFUNCTION("IF(G8503&lt;&gt;"""", GOOGLETRANSLATE(G8503, ""en"", ""te""),"""")"),"")</f>
        <v/>
      </c>
      <c r="I8503" s="3"/>
    </row>
    <row r="8504" customHeight="1" spans="1:9">
      <c r="A8504" s="2"/>
      <c r="B8504" s="2" t="str">
        <f>IFERROR(__xludf.DUMMYFUNCTION("IF(A8504&lt;&gt;"""", GOOGLETRANSLATE(A8504, ""en"", ""te""),"""")"),"")</f>
        <v/>
      </c>
      <c r="C8504" s="2"/>
      <c r="D8504" s="2" t="str">
        <f>IFERROR(__xludf.DUMMYFUNCTION("IF(C8504&lt;&gt;"""", GOOGLETRANSLATE(C8504, ""en"", ""te""),"""")"),"")</f>
        <v/>
      </c>
      <c r="E8504" s="2"/>
      <c r="F8504" s="2" t="str">
        <f>IFERROR(__xludf.DUMMYFUNCTION("IF(E8504&lt;&gt;"""", GOOGLETRANSLATE(E8504, ""en"", ""te""),"""")"),"")</f>
        <v/>
      </c>
      <c r="G8504" s="2"/>
      <c r="H8504" s="2" t="str">
        <f>IFERROR(__xludf.DUMMYFUNCTION("IF(G8504&lt;&gt;"""", GOOGLETRANSLATE(G8504, ""en"", ""te""),"""")"),"")</f>
        <v/>
      </c>
      <c r="I8504" s="3"/>
    </row>
    <row r="8505" customHeight="1" spans="1:9">
      <c r="A8505" s="2"/>
      <c r="B8505" s="2" t="str">
        <f>IFERROR(__xludf.DUMMYFUNCTION("IF(A8505&lt;&gt;"""", GOOGLETRANSLATE(A8505, ""en"", ""te""),"""")"),"")</f>
        <v/>
      </c>
      <c r="C8505" s="2"/>
      <c r="D8505" s="2" t="str">
        <f>IFERROR(__xludf.DUMMYFUNCTION("IF(C8505&lt;&gt;"""", GOOGLETRANSLATE(C8505, ""en"", ""te""),"""")"),"")</f>
        <v/>
      </c>
      <c r="E8505" s="2"/>
      <c r="F8505" s="2" t="str">
        <f>IFERROR(__xludf.DUMMYFUNCTION("IF(E8505&lt;&gt;"""", GOOGLETRANSLATE(E8505, ""en"", ""te""),"""")"),"")</f>
        <v/>
      </c>
      <c r="G8505" s="2"/>
      <c r="H8505" s="2" t="str">
        <f>IFERROR(__xludf.DUMMYFUNCTION("IF(G8505&lt;&gt;"""", GOOGLETRANSLATE(G8505, ""en"", ""te""),"""")"),"")</f>
        <v/>
      </c>
      <c r="I8505" s="3"/>
    </row>
    <row r="8506" customHeight="1" spans="1:9">
      <c r="A8506" s="2" t="s">
        <v>4760</v>
      </c>
      <c r="B8506" s="2" t="str">
        <f>IFERROR(__xludf.DUMMYFUNCTION("IF(A8506&lt;&gt;"""", GOOGLETRANSLATE(A8506, ""en"", ""te""),"""")"),"[ 'హండ్రెడ్ మరియు ఒక మ్యాచ్లో ఒక డక్', '1st ఒకే మైదానంలో అత్యధిక పరుగులు (2795)', '5 వ పిన్న ఆటగాడు వంద (19y 2d) స్కోర్', '5000 పరుగులు మరియు 50 ఫీల్డింగ్ వికెట్లు', '3 వ అత్యధిక మొదటి వికెట్ కొరకు చేసిన భాగస్వామ్యం (292) ',' ఒకే క్రీడా (4375) న 1 వ అత్య"&amp;"ధిక పరుగులు ']")</f>
        <v>[ 'హండ్రెడ్ మరియు ఒక మ్యాచ్లో ఒక డక్', '1st ఒకే మైదానంలో అత్యధిక పరుగులు (2795)', '5 వ పిన్న ఆటగాడు వంద (19y 2d) స్కోర్', '5000 పరుగులు మరియు 50 ఫీల్డింగ్ వికెట్లు', '3 వ అత్యధిక మొదటి వికెట్ కొరకు చేసిన భాగస్వామ్యం (292) ',' ఒకే క్రీడా (4375) న 1 వ అత్యధిక పరుగులు ']</v>
      </c>
      <c r="C8506" s="2" t="s">
        <v>4761</v>
      </c>
      <c r="D8506" s="2" t="str">
        <f>IFERROR(__xludf.DUMMYFUNCTION("IF(C8506&lt;&gt;"""", GOOGLETRANSLATE(C8506, ""en"", ""te""),"""")"),"[ 'వరుస మ్యాచ్లలో 21 వందల (3)', '37 వ ఒకే క్రీడా (1260) లో అత్యధిక పరుగులు' '31 పిన్న ఆటగాడు వంద (20y 111d) స్కోర్', 'వరుస ఇన్నింగ్స్లో 32 వ యాభైల్లో (5)', 'వరుస మ్యాచ్లలో 26 యాభైల్లో (7)', '19 వ ఇన్నింగ్స్ లో వచ్చిన ఎక్కువ సిక్స్ (7)', 'తొలి వికెట్కు ("&amp;"312) 13 వ అత్యధిక భాగస్వామ్యం']")</f>
        <v>[ 'వరుస మ్యాచ్లలో 21 వందల (3)', '37 వ ఒకే క్రీడా (1260) లో అత్యధిక పరుగులు' '31 పిన్న ఆటగాడు వంద (20y 111d) స్కోర్', 'వరుస ఇన్నింగ్స్లో 32 వ యాభైల్లో (5)', 'వరుస మ్యాచ్లలో 26 యాభైల్లో (7)', '19 వ ఇన్నింగ్స్ లో వచ్చిన ఎక్కువ సిక్స్ (7)', 'తొలి వికెట్కు (312) 13 వ అత్యధిక భాగస్వామ్యం']</v>
      </c>
      <c r="E8506" s="2" t="s">
        <v>4762</v>
      </c>
      <c r="F8506" s="2" t="str">
        <f>IFERROR(__xludf.DUMMYFUNCTION("IF(E8506&lt;&gt;"""", GOOGLETRANSLATE(E8506, ""en"", ""te""),"""")"),"[ 'ఒకే క్రీడా న 1 వ అత్యధిక పరుగులు (2795)' '36 వ అత్యధిక కెరీర్ లో పరుగులు (7534)', 'ఒక సిరీస్లో ఒక కెప్టెన్తో 48 వ అత్యధిక పరుగులు (332)', '33 వ ఒక వృత్తిలో అత్యధిక వందలు (13) ',' 5 వ పిన్న ఆటగాడు కెరీర్లో వంద (19y 2d) స్కోర్ ',' 29 వ అత్యధిక అర్ధ (64) "&amp;"',' వరుస ఇన్నింగ్స్లో 11 వ యాభైల్లో (5) ',' 24 వ అత్యంత బాతులు కెరీర్ లో (18) ',' కెరీర్లో 41 వ ఎక్కువ సిక్స్ (95) ',' 24 వ అత్యంత ఫోర్లు కెరీర్లో (819) ',' 25 వ ఇన్నింగ్స్ లో వచ్చిన ఎక్కువ ఫోర్లు (20) ',' 35 వ లాంగెస్ట్ వ్యక్తిగత ఇన్నింగ్స్ (బంతులతో) (1"&amp;"60) ',' 46 వ అత్యధిక ఒక ఇన్నింగ్స్లో పరుగుల శాతం (54.82) ',' 5000 పరుగులు 50 వ వేగవంతమైన (158) ',' 6000 పరుగులు 28 వేగవంతమైన (175) ',' 18 వ వేగవంతమైన 7000 పరుగులు (204) ',' 6 వ అత్యధిక కోసం భాగస్వామ్యాలు ఏ వికెట్కు (292) ',' తొలి వికెట్కు (292) ',' రెం"&amp;"డవ వికెట్కు 31 అత్యధిక భాగస్వామ్యం (207) ',' ఒక జట్టుకు 32 వ వరుస మ్యాచ్లు (85) ',' 17 వ అత్యంత క్రీడాకారుడు 3 వ అత్యధిక భాగస్వామ్యం -of-సిరీస్ అవార్డులు (5) ']")</f>
        <v>[ 'ఒకే క్రీడా న 1 వ అత్యధిక పరుగులు (2795)' '36 వ అత్యధిక కెరీర్ లో పరుగులు (7534)', 'ఒక సిరీస్లో ఒక కెప్టెన్తో 48 వ అత్యధిక పరుగులు (332)', '33 వ ఒక వృత్తిలో అత్యధిక వందలు (13) ',' 5 వ పిన్న ఆటగాడు కెరీర్లో వంద (19y 2d) స్కోర్ ',' 29 వ అత్యధిక అర్ధ (64) ',' వరుస ఇన్నింగ్స్లో 11 వ యాభైల్లో (5) ',' 24 వ అత్యంత బాతులు కెరీర్ లో (18) ',' కెరీర్లో 41 వ ఎక్కువ సిక్స్ (95) ',' 24 వ అత్యంత ఫోర్లు కెరీర్లో (819) ',' 25 వ ఇన్నింగ్స్ లో వచ్చిన ఎక్కువ ఫోర్లు (20) ',' 35 వ లాంగెస్ట్ వ్యక్తిగత ఇన్నింగ్స్ (బంతులతో) (160) ',' 46 వ అత్యధిక ఒక ఇన్నింగ్స్లో పరుగుల శాతం (54.82) ',' 5000 పరుగులు 50 వ వేగవంతమైన (158) ',' 6000 పరుగులు 28 వేగవంతమైన (175) ',' 18 వ వేగవంతమైన 7000 పరుగులు (204) ',' 6 వ అత్యధిక కోసం భాగస్వామ్యాలు ఏ వికెట్కు (292) ',' తొలి వికెట్కు (292) ',' రెండవ వికెట్కు 31 అత్యధిక భాగస్వామ్యం (207) ',' ఒక జట్టుకు 32 వ వరుస మ్యాచ్లు (85) ',' 17 వ అత్యంత క్రీడాకారుడు 3 వ అత్యధిక భాగస్వామ్యం -of-సిరీస్ అవార్డులు (5) ']</v>
      </c>
      <c r="G8506" s="2" t="s">
        <v>4763</v>
      </c>
      <c r="H8506" s="2" t="str">
        <f>IFERROR(__xludf.DUMMYFUNCTION("IF(G8506&lt;&gt;"""", GOOGLETRANSLATE(G8506, ""en"", ""te""),"""")"),"[18 వ కెరీర్ లో అత్యధిక పరుగులు (1758) ',' 41 వ ఇన్నింగ్స్ లో అత్యధిక పరుగులు (103 *) ',' 30 వ ఇన్నింగ్స్ లో అత్యధిక పరుగులు (బ్యాటింగ్ స్థానంలో ప్రకారం) (103 *) ',' 23 వ అత్యధిక పరుగులు ఒక మ్యాచ్లో పరాజయం వైపు (88 *) ',' 24th ఒకే మైదానంలో అత్యధిక పరుగు"&amp;"లు (320) ',' 32 వ అత్యంత అర్ధ కెరీర్లో (8) ',' 44 వ అత్యంత ఇన్నింగ్స్ తొలి డక్ ముందు (16) ',' 13 వ అత్యంత బాతులు కెరీర్లో (6) ',' 46 వ కెరీర్ లో వచ్చిన ఎక్కువ సిక్స్ (45) ',' 13 వ అత్యంత ఫోర్లు కెరీర్లో (188) ',' 29th లాంగెస్ట్ వ్యక్తిగత ఇన్నింగ్స్ (బంతుల"&amp;"తో) పరుగులు (63) ',' 36 వ అత్యధిక శాతం ఒక ఇన్నింగ్స్లో (57.22) ',' ఏ వికెట్కు 42 వ అత్యధిక భాగస్వామ్యాల (132 *) ',' రెండవ వికెట్కు 12 వ అత్యధిక భాగస్వామ్యం (132 *) ',' నాలుగవ వికెట్కు 38 వ అత్యధిక భాగస్వామ్యం (90) ',' 25 వ కెరీర్లో అత్యధిక మ్యాచ్లు (78) '"&amp;",' 25 వ లాంగెస్ట్ కెరీర్లు (12y 190d) ']")</f>
        <v>[18 వ కెరీర్ లో అత్యధిక పరుగులు (1758) ',' 41 వ ఇన్నింగ్స్ లో అత్యధిక పరుగులు (103 *) ',' 30 వ ఇన్నింగ్స్ లో అత్యధిక పరుగులు (బ్యాటింగ్ స్థానంలో ప్రకారం) (103 *) ',' 23 వ అత్యధిక పరుగులు ఒక మ్యాచ్లో పరాజయం వైపు (88 *) ',' 24th ఒకే మైదానంలో అత్యధిక పరుగులు (320) ',' 32 వ అత్యంత అర్ధ కెరీర్లో (8) ',' 44 వ అత్యంత ఇన్నింగ్స్ తొలి డక్ ముందు (16) ',' 13 వ అత్యంత బాతులు కెరీర్లో (6) ',' 46 వ కెరీర్ లో వచ్చిన ఎక్కువ సిక్స్ (45) ',' 13 వ అత్యంత ఫోర్లు కెరీర్లో (188) ',' 29th లాంగెస్ట్ వ్యక్తిగత ఇన్నింగ్స్ (బంతులతో) పరుగులు (63) ',' 36 వ అత్యధిక శాతం ఒక ఇన్నింగ్స్లో (57.22) ',' ఏ వికెట్కు 42 వ అత్యధిక భాగస్వామ్యాల (132 *) ',' రెండవ వికెట్కు 12 వ అత్యధిక భాగస్వామ్యం (132 *) ',' నాలుగవ వికెట్కు 38 వ అత్యధిక భాగస్వామ్యం (90) ',' 25 వ కెరీర్లో అత్యధిక మ్యాచ్లు (78) ',' 25 వ లాంగెస్ట్ కెరీర్లు (12y 190d) ']</v>
      </c>
      <c r="I8506" s="3"/>
    </row>
    <row r="8507" customHeight="1" spans="1:9">
      <c r="A8507" s="2"/>
      <c r="B8507" s="2" t="str">
        <f>IFERROR(__xludf.DUMMYFUNCTION("IF(A8507&lt;&gt;"""", GOOGLETRANSLATE(A8507, ""en"", ""te""),"""")"),"")</f>
        <v/>
      </c>
      <c r="C8507" s="2"/>
      <c r="D8507" s="2" t="str">
        <f>IFERROR(__xludf.DUMMYFUNCTION("IF(C8507&lt;&gt;"""", GOOGLETRANSLATE(C8507, ""en"", ""te""),"""")"),"")</f>
        <v/>
      </c>
      <c r="E8507" s="2"/>
      <c r="F8507" s="2" t="str">
        <f>IFERROR(__xludf.DUMMYFUNCTION("IF(E8507&lt;&gt;"""", GOOGLETRANSLATE(E8507, ""en"", ""te""),"""")"),"")</f>
        <v/>
      </c>
      <c r="G8507" s="2"/>
      <c r="H8507" s="2" t="str">
        <f>IFERROR(__xludf.DUMMYFUNCTION("IF(G8507&lt;&gt;"""", GOOGLETRANSLATE(G8507, ""en"", ""te""),"""")"),"")</f>
        <v/>
      </c>
      <c r="I8507" s="3"/>
    </row>
    <row r="8508" customHeight="1" spans="1:9">
      <c r="A8508" s="2"/>
      <c r="B8508" s="2" t="str">
        <f>IFERROR(__xludf.DUMMYFUNCTION("IF(A8508&lt;&gt;"""", GOOGLETRANSLATE(A8508, ""en"", ""te""),"""")"),"")</f>
        <v/>
      </c>
      <c r="C8508" s="2"/>
      <c r="D8508" s="2" t="str">
        <f>IFERROR(__xludf.DUMMYFUNCTION("IF(C8508&lt;&gt;"""", GOOGLETRANSLATE(C8508, ""en"", ""te""),"""")"),"")</f>
        <v/>
      </c>
      <c r="E8508" s="2"/>
      <c r="F8508" s="2" t="str">
        <f>IFERROR(__xludf.DUMMYFUNCTION("IF(E8508&lt;&gt;"""", GOOGLETRANSLATE(E8508, ""en"", ""te""),"""")"),"")</f>
        <v/>
      </c>
      <c r="G8508" s="2"/>
      <c r="H8508" s="2" t="str">
        <f>IFERROR(__xludf.DUMMYFUNCTION("IF(G8508&lt;&gt;"""", GOOGLETRANSLATE(G8508, ""en"", ""te""),"""")"),"")</f>
        <v/>
      </c>
      <c r="I8508" s="3"/>
    </row>
    <row r="8509" customHeight="1" spans="1:9">
      <c r="A8509" s="2"/>
      <c r="B8509" s="2" t="str">
        <f>IFERROR(__xludf.DUMMYFUNCTION("IF(A8509&lt;&gt;"""", GOOGLETRANSLATE(A8509, ""en"", ""te""),"""")"),"")</f>
        <v/>
      </c>
      <c r="C8509" s="2"/>
      <c r="D8509" s="2" t="str">
        <f>IFERROR(__xludf.DUMMYFUNCTION("IF(C8509&lt;&gt;"""", GOOGLETRANSLATE(C8509, ""en"", ""te""),"""")"),"")</f>
        <v/>
      </c>
      <c r="E8509" s="2"/>
      <c r="F8509" s="2" t="str">
        <f>IFERROR(__xludf.DUMMYFUNCTION("IF(E8509&lt;&gt;"""", GOOGLETRANSLATE(E8509, ""en"", ""te""),"""")"),"")</f>
        <v/>
      </c>
      <c r="G8509" s="2"/>
      <c r="H8509" s="2" t="str">
        <f>IFERROR(__xludf.DUMMYFUNCTION("IF(G8509&lt;&gt;"""", GOOGLETRANSLATE(G8509, ""en"", ""te""),"""")"),"")</f>
        <v/>
      </c>
      <c r="I8509" s="3"/>
    </row>
    <row r="8510" customHeight="1" spans="1:9">
      <c r="A8510" s="2"/>
      <c r="B8510" s="2" t="str">
        <f>IFERROR(__xludf.DUMMYFUNCTION("IF(A8510&lt;&gt;"""", GOOGLETRANSLATE(A8510, ""en"", ""te""),"""")"),"")</f>
        <v/>
      </c>
      <c r="C8510" s="2"/>
      <c r="D8510" s="2" t="str">
        <f>IFERROR(__xludf.DUMMYFUNCTION("IF(C8510&lt;&gt;"""", GOOGLETRANSLATE(C8510, ""en"", ""te""),"""")"),"")</f>
        <v/>
      </c>
      <c r="E8510" s="2"/>
      <c r="F8510" s="2" t="str">
        <f>IFERROR(__xludf.DUMMYFUNCTION("IF(E8510&lt;&gt;"""", GOOGLETRANSLATE(E8510, ""en"", ""te""),"""")"),"")</f>
        <v/>
      </c>
      <c r="G8510" s="2"/>
      <c r="H8510" s="2" t="str">
        <f>IFERROR(__xludf.DUMMYFUNCTION("IF(G8510&lt;&gt;"""", GOOGLETRANSLATE(G8510, ""en"", ""te""),"""")"),"")</f>
        <v/>
      </c>
      <c r="I8510" s="3"/>
    </row>
    <row r="8511" customHeight="1" spans="1:9">
      <c r="A8511" s="2"/>
      <c r="B8511" s="2" t="str">
        <f>IFERROR(__xludf.DUMMYFUNCTION("IF(A8511&lt;&gt;"""", GOOGLETRANSLATE(A8511, ""en"", ""te""),"""")"),"")</f>
        <v/>
      </c>
      <c r="C8511" s="2"/>
      <c r="D8511" s="2" t="str">
        <f>IFERROR(__xludf.DUMMYFUNCTION("IF(C8511&lt;&gt;"""", GOOGLETRANSLATE(C8511, ""en"", ""te""),"""")"),"")</f>
        <v/>
      </c>
      <c r="E8511" s="2"/>
      <c r="F8511" s="2" t="str">
        <f>IFERROR(__xludf.DUMMYFUNCTION("IF(E8511&lt;&gt;"""", GOOGLETRANSLATE(E8511, ""en"", ""te""),"""")"),"")</f>
        <v/>
      </c>
      <c r="G8511" s="2"/>
      <c r="H8511" s="2" t="str">
        <f>IFERROR(__xludf.DUMMYFUNCTION("IF(G8511&lt;&gt;"""", GOOGLETRANSLATE(G8511, ""en"", ""te""),"""")"),"")</f>
        <v/>
      </c>
      <c r="I8511" s="3"/>
    </row>
    <row r="8512" customHeight="1" spans="1:9">
      <c r="A8512" s="2"/>
      <c r="B8512" s="2" t="str">
        <f>IFERROR(__xludf.DUMMYFUNCTION("IF(A8512&lt;&gt;"""", GOOGLETRANSLATE(A8512, ""en"", ""te""),"""")"),"")</f>
        <v/>
      </c>
      <c r="C8512" s="2"/>
      <c r="D8512" s="2" t="str">
        <f>IFERROR(__xludf.DUMMYFUNCTION("IF(C8512&lt;&gt;"""", GOOGLETRANSLATE(C8512, ""en"", ""te""),"""")"),"")</f>
        <v/>
      </c>
      <c r="E8512" s="2"/>
      <c r="F8512" s="2" t="str">
        <f>IFERROR(__xludf.DUMMYFUNCTION("IF(E8512&lt;&gt;"""", GOOGLETRANSLATE(E8512, ""en"", ""te""),"""")"),"")</f>
        <v/>
      </c>
      <c r="G8512" s="2"/>
      <c r="H8512" s="2" t="str">
        <f>IFERROR(__xludf.DUMMYFUNCTION("IF(G8512&lt;&gt;"""", GOOGLETRANSLATE(G8512, ""en"", ""te""),"""")"),"")</f>
        <v/>
      </c>
      <c r="I8512" s="3"/>
    </row>
    <row r="8513" customHeight="1" spans="1:9">
      <c r="A8513" s="2"/>
      <c r="B8513" s="2" t="str">
        <f>IFERROR(__xludf.DUMMYFUNCTION("IF(A8513&lt;&gt;"""", GOOGLETRANSLATE(A8513, ""en"", ""te""),"""")"),"")</f>
        <v/>
      </c>
      <c r="C8513" s="2"/>
      <c r="D8513" s="2" t="str">
        <f>IFERROR(__xludf.DUMMYFUNCTION("IF(C8513&lt;&gt;"""", GOOGLETRANSLATE(C8513, ""en"", ""te""),"""")"),"")</f>
        <v/>
      </c>
      <c r="E8513" s="2"/>
      <c r="F8513" s="2" t="str">
        <f>IFERROR(__xludf.DUMMYFUNCTION("IF(E8513&lt;&gt;"""", GOOGLETRANSLATE(E8513, ""en"", ""te""),"""")"),"")</f>
        <v/>
      </c>
      <c r="G8513" s="2"/>
      <c r="H8513" s="2" t="str">
        <f>IFERROR(__xludf.DUMMYFUNCTION("IF(G8513&lt;&gt;"""", GOOGLETRANSLATE(G8513, ""en"", ""te""),"""")"),"")</f>
        <v/>
      </c>
      <c r="I8513" s="3"/>
    </row>
    <row r="8514" customHeight="1" spans="1:9">
      <c r="A8514" s="2"/>
      <c r="B8514" s="2" t="str">
        <f>IFERROR(__xludf.DUMMYFUNCTION("IF(A8514&lt;&gt;"""", GOOGLETRANSLATE(A8514, ""en"", ""te""),"""")"),"")</f>
        <v/>
      </c>
      <c r="C8514" s="2"/>
      <c r="D8514" s="2" t="str">
        <f>IFERROR(__xludf.DUMMYFUNCTION("IF(C8514&lt;&gt;"""", GOOGLETRANSLATE(C8514, ""en"", ""te""),"""")"),"")</f>
        <v/>
      </c>
      <c r="E8514" s="2"/>
      <c r="F8514" s="2" t="str">
        <f>IFERROR(__xludf.DUMMYFUNCTION("IF(E8514&lt;&gt;"""", GOOGLETRANSLATE(E8514, ""en"", ""te""),"""")"),"")</f>
        <v/>
      </c>
      <c r="G8514" s="2"/>
      <c r="H8514" s="2" t="str">
        <f>IFERROR(__xludf.DUMMYFUNCTION("IF(G8514&lt;&gt;"""", GOOGLETRANSLATE(G8514, ""en"", ""te""),"""")"),"")</f>
        <v/>
      </c>
      <c r="I8514" s="3"/>
    </row>
    <row r="8515" customHeight="1" spans="1:9">
      <c r="A8515" s="2"/>
      <c r="B8515" s="2" t="str">
        <f>IFERROR(__xludf.DUMMYFUNCTION("IF(A8515&lt;&gt;"""", GOOGLETRANSLATE(A8515, ""en"", ""te""),"""")"),"")</f>
        <v/>
      </c>
      <c r="C8515" s="2"/>
      <c r="D8515" s="2" t="str">
        <f>IFERROR(__xludf.DUMMYFUNCTION("IF(C8515&lt;&gt;"""", GOOGLETRANSLATE(C8515, ""en"", ""te""),"""")"),"")</f>
        <v/>
      </c>
      <c r="E8515" s="2"/>
      <c r="F8515" s="2" t="str">
        <f>IFERROR(__xludf.DUMMYFUNCTION("IF(E8515&lt;&gt;"""", GOOGLETRANSLATE(E8515, ""en"", ""te""),"""")"),"")</f>
        <v/>
      </c>
      <c r="G8515" s="2"/>
      <c r="H8515" s="2" t="str">
        <f>IFERROR(__xludf.DUMMYFUNCTION("IF(G8515&lt;&gt;"""", GOOGLETRANSLATE(G8515, ""en"", ""te""),"""")"),"")</f>
        <v/>
      </c>
      <c r="I8515" s="3"/>
    </row>
    <row r="8516" customHeight="1" spans="1:9">
      <c r="A8516" s="2"/>
      <c r="B8516" s="2" t="str">
        <f>IFERROR(__xludf.DUMMYFUNCTION("IF(A8516&lt;&gt;"""", GOOGLETRANSLATE(A8516, ""en"", ""te""),"""")"),"")</f>
        <v/>
      </c>
      <c r="C8516" s="2"/>
      <c r="D8516" s="2" t="str">
        <f>IFERROR(__xludf.DUMMYFUNCTION("IF(C8516&lt;&gt;"""", GOOGLETRANSLATE(C8516, ""en"", ""te""),"""")"),"")</f>
        <v/>
      </c>
      <c r="E8516" s="2"/>
      <c r="F8516" s="2" t="str">
        <f>IFERROR(__xludf.DUMMYFUNCTION("IF(E8516&lt;&gt;"""", GOOGLETRANSLATE(E8516, ""en"", ""te""),"""")"),"")</f>
        <v/>
      </c>
      <c r="G8516" s="2"/>
      <c r="H8516" s="2" t="str">
        <f>IFERROR(__xludf.DUMMYFUNCTION("IF(G8516&lt;&gt;"""", GOOGLETRANSLATE(G8516, ""en"", ""te""),"""")"),"")</f>
        <v/>
      </c>
      <c r="I8516" s="3"/>
    </row>
    <row r="8517" customHeight="1" spans="1:9">
      <c r="A8517" s="2"/>
      <c r="B8517" s="2" t="str">
        <f>IFERROR(__xludf.DUMMYFUNCTION("IF(A8517&lt;&gt;"""", GOOGLETRANSLATE(A8517, ""en"", ""te""),"""")"),"")</f>
        <v/>
      </c>
      <c r="C8517" s="2"/>
      <c r="D8517" s="2" t="str">
        <f>IFERROR(__xludf.DUMMYFUNCTION("IF(C8517&lt;&gt;"""", GOOGLETRANSLATE(C8517, ""en"", ""te""),"""")"),"")</f>
        <v/>
      </c>
      <c r="E8517" s="2"/>
      <c r="F8517" s="2" t="str">
        <f>IFERROR(__xludf.DUMMYFUNCTION("IF(E8517&lt;&gt;"""", GOOGLETRANSLATE(E8517, ""en"", ""te""),"""")"),"")</f>
        <v/>
      </c>
      <c r="G8517" s="2"/>
      <c r="H8517" s="2" t="str">
        <f>IFERROR(__xludf.DUMMYFUNCTION("IF(G8517&lt;&gt;"""", GOOGLETRANSLATE(G8517, ""en"", ""te""),"""")"),"")</f>
        <v/>
      </c>
      <c r="I8517" s="3"/>
    </row>
    <row r="8518" customHeight="1" spans="1:9">
      <c r="A8518" s="2"/>
      <c r="B8518" s="2" t="str">
        <f>IFERROR(__xludf.DUMMYFUNCTION("IF(A8518&lt;&gt;"""", GOOGLETRANSLATE(A8518, ""en"", ""te""),"""")"),"")</f>
        <v/>
      </c>
      <c r="C8518" s="2"/>
      <c r="D8518" s="2" t="str">
        <f>IFERROR(__xludf.DUMMYFUNCTION("IF(C8518&lt;&gt;"""", GOOGLETRANSLATE(C8518, ""en"", ""te""),"""")"),"")</f>
        <v/>
      </c>
      <c r="E8518" s="2"/>
      <c r="F8518" s="2" t="str">
        <f>IFERROR(__xludf.DUMMYFUNCTION("IF(E8518&lt;&gt;"""", GOOGLETRANSLATE(E8518, ""en"", ""te""),"""")"),"")</f>
        <v/>
      </c>
      <c r="G8518" s="2"/>
      <c r="H8518" s="2" t="str">
        <f>IFERROR(__xludf.DUMMYFUNCTION("IF(G8518&lt;&gt;"""", GOOGLETRANSLATE(G8518, ""en"", ""te""),"""")"),"")</f>
        <v/>
      </c>
      <c r="I8518" s="3"/>
    </row>
    <row r="8519" customHeight="1" spans="1:9">
      <c r="A8519" s="2"/>
      <c r="B8519" s="2" t="str">
        <f>IFERROR(__xludf.DUMMYFUNCTION("IF(A8519&lt;&gt;"""", GOOGLETRANSLATE(A8519, ""en"", ""te""),"""")"),"")</f>
        <v/>
      </c>
      <c r="C8519" s="2"/>
      <c r="D8519" s="2" t="str">
        <f>IFERROR(__xludf.DUMMYFUNCTION("IF(C8519&lt;&gt;"""", GOOGLETRANSLATE(C8519, ""en"", ""te""),"""")"),"")</f>
        <v/>
      </c>
      <c r="E8519" s="2"/>
      <c r="F8519" s="2" t="str">
        <f>IFERROR(__xludf.DUMMYFUNCTION("IF(E8519&lt;&gt;"""", GOOGLETRANSLATE(E8519, ""en"", ""te""),"""")"),"")</f>
        <v/>
      </c>
      <c r="G8519" s="2"/>
      <c r="H8519" s="2" t="str">
        <f>IFERROR(__xludf.DUMMYFUNCTION("IF(G8519&lt;&gt;"""", GOOGLETRANSLATE(G8519, ""en"", ""te""),"""")"),"")</f>
        <v/>
      </c>
      <c r="I8519" s="3"/>
    </row>
    <row r="8520" customHeight="1" spans="1:9">
      <c r="A8520" s="2"/>
      <c r="B8520" s="2" t="str">
        <f>IFERROR(__xludf.DUMMYFUNCTION("IF(A8520&lt;&gt;"""", GOOGLETRANSLATE(A8520, ""en"", ""te""),"""")"),"")</f>
        <v/>
      </c>
      <c r="C8520" s="2"/>
      <c r="D8520" s="2" t="str">
        <f>IFERROR(__xludf.DUMMYFUNCTION("IF(C8520&lt;&gt;"""", GOOGLETRANSLATE(C8520, ""en"", ""te""),"""")"),"")</f>
        <v/>
      </c>
      <c r="E8520" s="2"/>
      <c r="F8520" s="2" t="str">
        <f>IFERROR(__xludf.DUMMYFUNCTION("IF(E8520&lt;&gt;"""", GOOGLETRANSLATE(E8520, ""en"", ""te""),"""")"),"")</f>
        <v/>
      </c>
      <c r="G8520" s="2"/>
      <c r="H8520" s="2" t="str">
        <f>IFERROR(__xludf.DUMMYFUNCTION("IF(G8520&lt;&gt;"""", GOOGLETRANSLATE(G8520, ""en"", ""te""),"""")"),"")</f>
        <v/>
      </c>
      <c r="I8520" s="3"/>
    </row>
    <row r="8521" customHeight="1" spans="1:9">
      <c r="A8521" s="2"/>
      <c r="B8521" s="2" t="str">
        <f>IFERROR(__xludf.DUMMYFUNCTION("IF(A8521&lt;&gt;"""", GOOGLETRANSLATE(A8521, ""en"", ""te""),"""")"),"")</f>
        <v/>
      </c>
      <c r="C8521" s="2"/>
      <c r="D8521" s="2" t="str">
        <f>IFERROR(__xludf.DUMMYFUNCTION("IF(C8521&lt;&gt;"""", GOOGLETRANSLATE(C8521, ""en"", ""te""),"""")"),"")</f>
        <v/>
      </c>
      <c r="E8521" s="2" t="s">
        <v>2813</v>
      </c>
      <c r="F8521" s="2" t="str">
        <f>IFERROR(__xludf.DUMMYFUNCTION("IF(E8521&lt;&gt;"""", GOOGLETRANSLATE(E8521, ""en"", ""te""),"""")"),"[ '33 వ చెత్త ఇన్నింగ్స్ లో ఆర్థిక రేటు (11.16)']")</f>
        <v>[ '33 వ చెత్త ఇన్నింగ్స్ లో ఆర్థిక రేటు (11.16)']</v>
      </c>
      <c r="G8521" s="2"/>
      <c r="H8521" s="2" t="str">
        <f>IFERROR(__xludf.DUMMYFUNCTION("IF(G8521&lt;&gt;"""", GOOGLETRANSLATE(G8521, ""en"", ""te""),"""")"),"")</f>
        <v/>
      </c>
      <c r="I8521" s="3"/>
    </row>
    <row r="8522" customHeight="1" spans="1:9">
      <c r="A8522" s="2" t="s">
        <v>4764</v>
      </c>
      <c r="B8522" s="2" t="str">
        <f>IFERROR(__xludf.DUMMYFUNCTION("IF(A8522&lt;&gt;"""", GOOGLETRANSLATE(A8522, ""en"", ""te""),"""")"),"[ 'ఒక ఇన్నింగ్స్ లో 2 వ బెస్ట్ ఫిగర్స్ ఉన్నప్పుడు పరాజయం వైపు (5)']")</f>
        <v>[ 'ఒక ఇన్నింగ్స్ లో 2 వ బెస్ట్ ఫిగర్స్ ఉన్నప్పుడు పరాజయం వైపు (5)']</v>
      </c>
      <c r="C8522" s="2"/>
      <c r="D8522" s="2" t="str">
        <f>IFERROR(__xludf.DUMMYFUNCTION("IF(C8522&lt;&gt;"""", GOOGLETRANSLATE(C8522, ""en"", ""te""),"""")"),"")</f>
        <v/>
      </c>
      <c r="E8522" s="2"/>
      <c r="F8522" s="2" t="str">
        <f>IFERROR(__xludf.DUMMYFUNCTION("IF(E8522&lt;&gt;"""", GOOGLETRANSLATE(E8522, ""en"", ""te""),"""")"),"")</f>
        <v/>
      </c>
      <c r="G8522" s="2" t="s">
        <v>4765</v>
      </c>
      <c r="H8522" s="2" t="str">
        <f>IFERROR(__xludf.DUMMYFUNCTION("IF(G8522&lt;&gt;"""", GOOGLETRANSLATE(G8522, ""en"", ""te""),"""")"),"[ '36 వ ఇన్నింగ్స్ లో బెస్ట్ ఫిగర్స్ (5/18)', 'ఒక ఇన్నింగ్స్ లో 2 వ బెస్ట్ ఫిగర్స్ ఉన్నప్పుడు పరాజయం వైపు (5)', 'ఇన్నింగ్స్ లో 26 వ ఉత్తమ సమ్మె రేటు (3.4)']")</f>
        <v>[ '36 వ ఇన్నింగ్స్ లో బెస్ట్ ఫిగర్స్ (5/18)', 'ఒక ఇన్నింగ్స్ లో 2 వ బెస్ట్ ఫిగర్స్ ఉన్నప్పుడు పరాజయం వైపు (5)', 'ఇన్నింగ్స్ లో 26 వ ఉత్తమ సమ్మె రేటు (3.4)']</v>
      </c>
      <c r="I8522" s="3"/>
    </row>
    <row r="8523" customHeight="1" spans="1:9">
      <c r="A8523" s="2" t="s">
        <v>4766</v>
      </c>
      <c r="B8523" s="2" t="str">
        <f>IFERROR(__xludf.DUMMYFUNCTION("IF(A8523&lt;&gt;"""", GOOGLETRANSLATE(A8523, ""en"", ""te""),"""")"),"[ '4 వ ఎక్కువగా (52 *) ఒక ఇన్నింగ్స్ లో నడుస్తుంది (బ్యాటింగ్ స్థానం)']")</f>
        <v>[ '4 వ ఎక్కువగా (52 *) ఒక ఇన్నింగ్స్ లో నడుస్తుంది (బ్యాటింగ్ స్థానం)']</v>
      </c>
      <c r="C8523" s="2"/>
      <c r="D8523" s="2" t="str">
        <f>IFERROR(__xludf.DUMMYFUNCTION("IF(C8523&lt;&gt;"""", GOOGLETRANSLATE(C8523, ""en"", ""te""),"""")"),"")</f>
        <v/>
      </c>
      <c r="E8523" s="2" t="s">
        <v>4767</v>
      </c>
      <c r="F8523" s="2" t="str">
        <f>IFERROR(__xludf.DUMMYFUNCTION("IF(E8523&lt;&gt;"""", GOOGLETRANSLATE(E8523, ""en"", ""te""),"""")"),"[ 'ప్రదర్శనలు (7y 156d) మధ్య 23 లాంగెస్ట్ వ్యవధిలో']")</f>
        <v>[ 'ప్రదర్శనలు (7y 156d) మధ్య 23 లాంగెస్ట్ వ్యవధిలో']</v>
      </c>
      <c r="G8523" s="2" t="s">
        <v>4768</v>
      </c>
      <c r="H8523" s="2" t="str">
        <f>IFERROR(__xludf.DUMMYFUNCTION("IF(G8523&lt;&gt;"""", GOOGLETRANSLATE(G8523, ""en"", ""te""),"""")"),"[ 'ఇన్నింగ్స్ లో 4 వ అత్యధిక పరుగులు (బ్యాటింగ్ స్థానంలో ప్రకారం) (52 *)', 'కెరీర్ (18) లో 32 వ లేవు బాతులు']")</f>
        <v>[ 'ఇన్నింగ్స్ లో 4 వ అత్యధిక పరుగులు (బ్యాటింగ్ స్థానంలో ప్రకారం) (52 *)', 'కెరీర్ (18) లో 32 వ లేవు బాతులు']</v>
      </c>
      <c r="I8523" s="3"/>
    </row>
    <row r="8524" customHeight="1" spans="1:9">
      <c r="A8524" s="2"/>
      <c r="B8524" s="2" t="str">
        <f>IFERROR(__xludf.DUMMYFUNCTION("IF(A8524&lt;&gt;"""", GOOGLETRANSLATE(A8524, ""en"", ""te""),"""")"),"")</f>
        <v/>
      </c>
      <c r="C8524" s="2"/>
      <c r="D8524" s="2" t="str">
        <f>IFERROR(__xludf.DUMMYFUNCTION("IF(C8524&lt;&gt;"""", GOOGLETRANSLATE(C8524, ""en"", ""te""),"""")"),"")</f>
        <v/>
      </c>
      <c r="E8524" s="2"/>
      <c r="F8524" s="2" t="str">
        <f>IFERROR(__xludf.DUMMYFUNCTION("IF(E8524&lt;&gt;"""", GOOGLETRANSLATE(E8524, ""en"", ""te""),"""")"),"")</f>
        <v/>
      </c>
      <c r="G8524" s="2"/>
      <c r="H8524" s="2" t="str">
        <f>IFERROR(__xludf.DUMMYFUNCTION("IF(G8524&lt;&gt;"""", GOOGLETRANSLATE(G8524, ""en"", ""te""),"""")"),"")</f>
        <v/>
      </c>
      <c r="I8524" s="3"/>
    </row>
    <row r="8525" customHeight="1" spans="1:9">
      <c r="A8525" s="2"/>
      <c r="B8525" s="2" t="str">
        <f>IFERROR(__xludf.DUMMYFUNCTION("IF(A8525&lt;&gt;"""", GOOGLETRANSLATE(A8525, ""en"", ""te""),"""")"),"")</f>
        <v/>
      </c>
      <c r="C8525" s="2"/>
      <c r="D8525" s="2" t="str">
        <f>IFERROR(__xludf.DUMMYFUNCTION("IF(C8525&lt;&gt;"""", GOOGLETRANSLATE(C8525, ""en"", ""te""),"""")"),"")</f>
        <v/>
      </c>
      <c r="E8525" s="2"/>
      <c r="F8525" s="2" t="str">
        <f>IFERROR(__xludf.DUMMYFUNCTION("IF(E8525&lt;&gt;"""", GOOGLETRANSLATE(E8525, ""en"", ""te""),"""")"),"")</f>
        <v/>
      </c>
      <c r="G8525" s="2"/>
      <c r="H8525" s="2" t="str">
        <f>IFERROR(__xludf.DUMMYFUNCTION("IF(G8525&lt;&gt;"""", GOOGLETRANSLATE(G8525, ""en"", ""te""),"""")"),"")</f>
        <v/>
      </c>
      <c r="I8525" s="3"/>
    </row>
    <row r="8526" customHeight="1" spans="1:9">
      <c r="A8526" s="2"/>
      <c r="B8526" s="2" t="str">
        <f>IFERROR(__xludf.DUMMYFUNCTION("IF(A8526&lt;&gt;"""", GOOGLETRANSLATE(A8526, ""en"", ""te""),"""")"),"")</f>
        <v/>
      </c>
      <c r="C8526" s="2"/>
      <c r="D8526" s="2" t="str">
        <f>IFERROR(__xludf.DUMMYFUNCTION("IF(C8526&lt;&gt;"""", GOOGLETRANSLATE(C8526, ""en"", ""te""),"""")"),"")</f>
        <v/>
      </c>
      <c r="E8526" s="2"/>
      <c r="F8526" s="2" t="str">
        <f>IFERROR(__xludf.DUMMYFUNCTION("IF(E8526&lt;&gt;"""", GOOGLETRANSLATE(E8526, ""en"", ""te""),"""")"),"")</f>
        <v/>
      </c>
      <c r="G8526" s="2"/>
      <c r="H8526" s="2" t="str">
        <f>IFERROR(__xludf.DUMMYFUNCTION("IF(G8526&lt;&gt;"""", GOOGLETRANSLATE(G8526, ""en"", ""te""),"""")"),"")</f>
        <v/>
      </c>
      <c r="I8526" s="3"/>
    </row>
    <row r="8527" customHeight="1" spans="1:9">
      <c r="A8527" s="2"/>
      <c r="B8527" s="2" t="str">
        <f>IFERROR(__xludf.DUMMYFUNCTION("IF(A8527&lt;&gt;"""", GOOGLETRANSLATE(A8527, ""en"", ""te""),"""")"),"")</f>
        <v/>
      </c>
      <c r="C8527" s="2"/>
      <c r="D8527" s="2" t="str">
        <f>IFERROR(__xludf.DUMMYFUNCTION("IF(C8527&lt;&gt;"""", GOOGLETRANSLATE(C8527, ""en"", ""te""),"""")"),"")</f>
        <v/>
      </c>
      <c r="E8527" s="2"/>
      <c r="F8527" s="2" t="str">
        <f>IFERROR(__xludf.DUMMYFUNCTION("IF(E8527&lt;&gt;"""", GOOGLETRANSLATE(E8527, ""en"", ""te""),"""")"),"")</f>
        <v/>
      </c>
      <c r="G8527" s="2"/>
      <c r="H8527" s="2" t="str">
        <f>IFERROR(__xludf.DUMMYFUNCTION("IF(G8527&lt;&gt;"""", GOOGLETRANSLATE(G8527, ""en"", ""te""),"""")"),"")</f>
        <v/>
      </c>
      <c r="I8527" s="3"/>
    </row>
    <row r="8528" customHeight="1" spans="1:9">
      <c r="A8528" s="2"/>
      <c r="B8528" s="2" t="str">
        <f>IFERROR(__xludf.DUMMYFUNCTION("IF(A8528&lt;&gt;"""", GOOGLETRANSLATE(A8528, ""en"", ""te""),"""")"),"")</f>
        <v/>
      </c>
      <c r="C8528" s="2"/>
      <c r="D8528" s="2" t="str">
        <f>IFERROR(__xludf.DUMMYFUNCTION("IF(C8528&lt;&gt;"""", GOOGLETRANSLATE(C8528, ""en"", ""te""),"""")"),"")</f>
        <v/>
      </c>
      <c r="E8528" s="2"/>
      <c r="F8528" s="2" t="str">
        <f>IFERROR(__xludf.DUMMYFUNCTION("IF(E8528&lt;&gt;"""", GOOGLETRANSLATE(E8528, ""en"", ""te""),"""")"),"")</f>
        <v/>
      </c>
      <c r="G8528" s="2"/>
      <c r="H8528" s="2" t="str">
        <f>IFERROR(__xludf.DUMMYFUNCTION("IF(G8528&lt;&gt;"""", GOOGLETRANSLATE(G8528, ""en"", ""te""),"""")"),"")</f>
        <v/>
      </c>
      <c r="I8528" s="3"/>
    </row>
    <row r="8529" customHeight="1" spans="1:9">
      <c r="A8529" s="2"/>
      <c r="B8529" s="2" t="str">
        <f>IFERROR(__xludf.DUMMYFUNCTION("IF(A8529&lt;&gt;"""", GOOGLETRANSLATE(A8529, ""en"", ""te""),"""")"),"")</f>
        <v/>
      </c>
      <c r="C8529" s="2"/>
      <c r="D8529" s="2" t="str">
        <f>IFERROR(__xludf.DUMMYFUNCTION("IF(C8529&lt;&gt;"""", GOOGLETRANSLATE(C8529, ""en"", ""te""),"""")"),"")</f>
        <v/>
      </c>
      <c r="E8529" s="2" t="s">
        <v>4769</v>
      </c>
      <c r="F8529" s="2" t="str">
        <f>IFERROR(__xludf.DUMMYFUNCTION("IF(E8529&lt;&gt;"""", GOOGLETRANSLATE(E8529, ""en"", ""te""),"""")"),"[ '16 వ అత్యంత వృద్ధ ఆటగాడు తొలి శతకాలను సాధించిన (34y 143d)', 'తొలి వికెట్కు (225) 25 వ అత్యధిక భాగస్వామ్యం']")</f>
        <v>[ '16 వ అత్యంత వృద్ధ ఆటగాడు తొలి శతకాలను సాధించిన (34y 143d)', 'తొలి వికెట్కు (225) 25 వ అత్యధిక భాగస్వామ్యం']</v>
      </c>
      <c r="G8529" s="2"/>
      <c r="H8529" s="2" t="str">
        <f>IFERROR(__xludf.DUMMYFUNCTION("IF(G8529&lt;&gt;"""", GOOGLETRANSLATE(G8529, ""en"", ""te""),"""")"),"")</f>
        <v/>
      </c>
      <c r="I8529" s="3"/>
    </row>
    <row r="8530" customHeight="1" spans="1:9">
      <c r="A8530" s="2" t="s">
        <v>4770</v>
      </c>
      <c r="B8530" s="2" t="str">
        <f>IFERROR(__xludf.DUMMYFUNCTION("IF(A8530&lt;&gt;"""", GOOGLETRANSLATE(A8530, ""en"", ""te""),"""")"),"[ '3 వ పిన్న క్రీడాకారులు (15y 258d)']")</f>
        <v>[ '3 వ పిన్న క్రీడాకారులు (15y 258d)']</v>
      </c>
      <c r="C8530" s="2"/>
      <c r="D8530" s="2" t="str">
        <f>IFERROR(__xludf.DUMMYFUNCTION("IF(C8530&lt;&gt;"""", GOOGLETRANSLATE(C8530, ""en"", ""te""),"""")"),"")</f>
        <v/>
      </c>
      <c r="E8530" s="2" t="s">
        <v>4770</v>
      </c>
      <c r="F8530" s="2" t="str">
        <f>IFERROR(__xludf.DUMMYFUNCTION("IF(E8530&lt;&gt;"""", GOOGLETRANSLATE(E8530, ""en"", ""te""),"""")"),"[ '3 వ పిన్న క్రీడాకారులు (15y 258d)']")</f>
        <v>[ '3 వ పిన్న క్రీడాకారులు (15y 258d)']</v>
      </c>
      <c r="G8530" s="2"/>
      <c r="H8530" s="2" t="str">
        <f>IFERROR(__xludf.DUMMYFUNCTION("IF(G8530&lt;&gt;"""", GOOGLETRANSLATE(G8530, ""en"", ""te""),"""")"),"")</f>
        <v/>
      </c>
      <c r="I8530" s="3"/>
    </row>
    <row r="8531" customHeight="1" spans="1:9">
      <c r="A8531" s="2"/>
      <c r="B8531" s="2" t="str">
        <f>IFERROR(__xludf.DUMMYFUNCTION("IF(A8531&lt;&gt;"""", GOOGLETRANSLATE(A8531, ""en"", ""te""),"""")"),"")</f>
        <v/>
      </c>
      <c r="C8531" s="2"/>
      <c r="D8531" s="2" t="str">
        <f>IFERROR(__xludf.DUMMYFUNCTION("IF(C8531&lt;&gt;"""", GOOGLETRANSLATE(C8531, ""en"", ""te""),"""")"),"")</f>
        <v/>
      </c>
      <c r="E8531" s="2"/>
      <c r="F8531" s="2" t="str">
        <f>IFERROR(__xludf.DUMMYFUNCTION("IF(E8531&lt;&gt;"""", GOOGLETRANSLATE(E8531, ""en"", ""te""),"""")"),"")</f>
        <v/>
      </c>
      <c r="G8531" s="2" t="s">
        <v>4771</v>
      </c>
      <c r="H8531" s="2" t="str">
        <f>IFERROR(__xludf.DUMMYFUNCTION("IF(G8531&lt;&gt;"""", GOOGLETRANSLATE(G8531, ""en"", ""te""),"""")"),"[ '49 వ తొలి మ్యాచ్లో అత్యధిక పరుగులు (50)']")</f>
        <v>[ '49 వ తొలి మ్యాచ్లో అత్యధిక పరుగులు (50)']</v>
      </c>
      <c r="I8531" s="3"/>
    </row>
    <row r="8532" customHeight="1" spans="1:9">
      <c r="A8532" s="2"/>
      <c r="B8532" s="2" t="str">
        <f>IFERROR(__xludf.DUMMYFUNCTION("IF(A8532&lt;&gt;"""", GOOGLETRANSLATE(A8532, ""en"", ""te""),"""")"),"")</f>
        <v/>
      </c>
      <c r="C8532" s="2"/>
      <c r="D8532" s="2" t="str">
        <f>IFERROR(__xludf.DUMMYFUNCTION("IF(C8532&lt;&gt;"""", GOOGLETRANSLATE(C8532, ""en"", ""te""),"""")"),"")</f>
        <v/>
      </c>
      <c r="E8532" s="2"/>
      <c r="F8532" s="2" t="str">
        <f>IFERROR(__xludf.DUMMYFUNCTION("IF(E8532&lt;&gt;"""", GOOGLETRANSLATE(E8532, ""en"", ""te""),"""")"),"")</f>
        <v/>
      </c>
      <c r="G8532" s="2"/>
      <c r="H8532" s="2" t="str">
        <f>IFERROR(__xludf.DUMMYFUNCTION("IF(G8532&lt;&gt;"""", GOOGLETRANSLATE(G8532, ""en"", ""te""),"""")"),"")</f>
        <v/>
      </c>
      <c r="I8532" s="3"/>
    </row>
    <row r="8533" customHeight="1" spans="1:9">
      <c r="A8533" s="2" t="s">
        <v>4772</v>
      </c>
      <c r="B8533" s="2" t="str">
        <f>IFERROR(__xludf.DUMMYFUNCTION("IF(A8533&lt;&gt;"""", GOOGLETRANSLATE(A8533, ""en"", ""te""),"""")"),"[ '10 వ లాంగెస్ట్ వ్యక్తిగత ఇన్నింగ్స్ (బంతులతో) (67)']")</f>
        <v>[ '10 వ లాంగెస్ట్ వ్యక్తిగత ఇన్నింగ్స్ (బంతులతో) (67)']</v>
      </c>
      <c r="C8533" s="2"/>
      <c r="D8533" s="2" t="str">
        <f>IFERROR(__xludf.DUMMYFUNCTION("IF(C8533&lt;&gt;"""", GOOGLETRANSLATE(C8533, ""en"", ""te""),"""")"),"")</f>
        <v/>
      </c>
      <c r="E8533" s="2"/>
      <c r="F8533" s="2" t="str">
        <f>IFERROR(__xludf.DUMMYFUNCTION("IF(E8533&lt;&gt;"""", GOOGLETRANSLATE(E8533, ""en"", ""te""),"""")"),"")</f>
        <v/>
      </c>
      <c r="G8533" s="2" t="s">
        <v>4773</v>
      </c>
      <c r="H8533" s="2" t="str">
        <f>IFERROR(__xludf.DUMMYFUNCTION("IF(G8533&lt;&gt;"""", GOOGLETRANSLATE(G8533, ""en"", ""te""),"""")"),"[ '27 ఇన్నింగ్స్ లో అత్యధిక పరుగులు (బ్యాటింగ్ స్థానంలో ప్రకారం) (85 *)', '10 వ లాంగెస్ట్ వ్యక్తిగత ఇన్నింగ్స్ (బంతులతో) (67)', 'ఒక ఇన్నింగ్స్లో పరుగుల 15 అత్యధిక శాతం (61.59)', '35 వ ఐదవ వికెట్కు అత్యధిక భాగస్వామ్యం (72 *) ',' ప్రదర్శనల మధ్య 33 వ లాంగెస్"&amp;"ట్ వ్యవధిలో (5 సం 175d) ']")</f>
        <v>[ '27 ఇన్నింగ్స్ లో అత్యధిక పరుగులు (బ్యాటింగ్ స్థానంలో ప్రకారం) (85 *)', '10 వ లాంగెస్ట్ వ్యక్తిగత ఇన్నింగ్స్ (బంతులతో) (67)', 'ఒక ఇన్నింగ్స్లో పరుగుల 15 అత్యధిక శాతం (61.59)', '35 వ ఐదవ వికెట్కు అత్యధిక భాగస్వామ్యం (72 *) ',' ప్రదర్శనల మధ్య 33 వ లాంగెస్ట్ వ్యవధిలో (5 సం 175d) ']</v>
      </c>
      <c r="I8533" s="3"/>
    </row>
    <row r="8534" customHeight="1" spans="1:9">
      <c r="A8534" s="2"/>
      <c r="B8534" s="2" t="str">
        <f>IFERROR(__xludf.DUMMYFUNCTION("IF(A8534&lt;&gt;"""", GOOGLETRANSLATE(A8534, ""en"", ""te""),"""")"),"")</f>
        <v/>
      </c>
      <c r="C8534" s="2"/>
      <c r="D8534" s="2" t="str">
        <f>IFERROR(__xludf.DUMMYFUNCTION("IF(C8534&lt;&gt;"""", GOOGLETRANSLATE(C8534, ""en"", ""te""),"""")"),"")</f>
        <v/>
      </c>
      <c r="E8534" s="2" t="s">
        <v>4774</v>
      </c>
      <c r="F8534" s="2" t="str">
        <f>IFERROR(__xludf.DUMMYFUNCTION("IF(E8534&lt;&gt;"""", GOOGLETRANSLATE(E8534, ""en"", ""te""),"""")"),"[18 వ లాంగెస్ట్ క్రీడాకారులు నివసించారు (71y 58d) ']")</f>
        <v>[18 వ లాంగెస్ట్ క్రీడాకారులు నివసించారు (71y 58d) ']</v>
      </c>
      <c r="G8534" s="2"/>
      <c r="H8534" s="2" t="str">
        <f>IFERROR(__xludf.DUMMYFUNCTION("IF(G8534&lt;&gt;"""", GOOGLETRANSLATE(G8534, ""en"", ""te""),"""")"),"")</f>
        <v/>
      </c>
      <c r="I8534" s="3"/>
    </row>
    <row r="8535" customHeight="1" spans="1:9">
      <c r="A8535" s="2" t="s">
        <v>1781</v>
      </c>
      <c r="B8535" s="2" t="str">
        <f>IFERROR(__xludf.DUMMYFUNCTION("IF(A8535&lt;&gt;"""", GOOGLETRANSLATE(A8535, ""en"", ""te""),"""")"),"[ 'ఇన్నింగ్స్ లో 3 వ అత్యధిక క్యాచ్లు (3)']")</f>
        <v>[ 'ఇన్నింగ్స్ లో 3 వ అత్యధిక క్యాచ్లు (3)']</v>
      </c>
      <c r="C8535" s="2"/>
      <c r="D8535" s="2" t="str">
        <f>IFERROR(__xludf.DUMMYFUNCTION("IF(C8535&lt;&gt;"""", GOOGLETRANSLATE(C8535, ""en"", ""te""),"""")"),"")</f>
        <v/>
      </c>
      <c r="E8535" s="2"/>
      <c r="F8535" s="2" t="str">
        <f>IFERROR(__xludf.DUMMYFUNCTION("IF(E8535&lt;&gt;"""", GOOGLETRANSLATE(E8535, ""en"", ""te""),"""")"),"")</f>
        <v/>
      </c>
      <c r="G8535" s="2" t="s">
        <v>1781</v>
      </c>
      <c r="H8535" s="2" t="str">
        <f>IFERROR(__xludf.DUMMYFUNCTION("IF(G8535&lt;&gt;"""", GOOGLETRANSLATE(G8535, ""en"", ""te""),"""")"),"[ 'ఇన్నింగ్స్ లో 3 వ అత్యధిక క్యాచ్లు (3)']")</f>
        <v>[ 'ఇన్నింగ్స్ లో 3 వ అత్యధిక క్యాచ్లు (3)']</v>
      </c>
      <c r="I8535" s="3"/>
    </row>
    <row r="8536" customHeight="1" spans="1:9">
      <c r="A8536" s="2" t="s">
        <v>4775</v>
      </c>
      <c r="B8536" s="2" t="str">
        <f>IFERROR(__xludf.DUMMYFUNCTION("IF(A8536&lt;&gt;"""", GOOGLETRANSLATE(A8536, ""en"", ""te""),"""")"),"[ 'పదవ వికెట్కు 10 వ అత్యధిక భాగస్వామ్యం (66)']")</f>
        <v>[ 'పదవ వికెట్కు 10 వ అత్యధిక భాగస్వామ్యం (66)']</v>
      </c>
      <c r="C8536" s="2"/>
      <c r="D8536" s="2" t="str">
        <f>IFERROR(__xludf.DUMMYFUNCTION("IF(C8536&lt;&gt;"""", GOOGLETRANSLATE(C8536, ""en"", ""te""),"""")"),"")</f>
        <v/>
      </c>
      <c r="E8536" s="2" t="s">
        <v>4775</v>
      </c>
      <c r="F8536" s="2" t="str">
        <f>IFERROR(__xludf.DUMMYFUNCTION("IF(E8536&lt;&gt;"""", GOOGLETRANSLATE(E8536, ""en"", ""te""),"""")"),"[ 'పదవ వికెట్కు 10 వ అత్యధిక భాగస్వామ్యం (66)']")</f>
        <v>[ 'పదవ వికెట్కు 10 వ అత్యధిక భాగస్వామ్యం (66)']</v>
      </c>
      <c r="G8536" s="2" t="s">
        <v>4776</v>
      </c>
      <c r="H8536" s="2" t="str">
        <f>IFERROR(__xludf.DUMMYFUNCTION("IF(G8536&lt;&gt;"""", GOOGLETRANSLATE(G8536, ""en"", ""te""),"""")"),"[ 'తొమ్మిదవ వికెట్కు 42 వ అత్యధిక భాగస్వామ్యం (27)']")</f>
        <v>[ 'తొమ్మిదవ వికెట్కు 42 వ అత్యధిక భాగస్వామ్యం (27)']</v>
      </c>
      <c r="I8536" s="3"/>
    </row>
    <row r="8537" customHeight="1" spans="1:9">
      <c r="A8537" s="2" t="s">
        <v>4777</v>
      </c>
      <c r="B8537" s="2" t="str">
        <f>IFERROR(__xludf.DUMMYFUNCTION("IF(A8537&lt;&gt;"""", GOOGLETRANSLATE(A8537, ""en"", ""te""),"""")"),"[ 'ఒక కెప్టెన్తో ఒక ఇన్నింగ్స్ లో 6 వ ఉత్తమ బొమ్మలు (5)']")</f>
        <v>[ 'ఒక కెప్టెన్తో ఒక ఇన్నింగ్స్ లో 6 వ ఉత్తమ బొమ్మలు (5)']</v>
      </c>
      <c r="C8537" s="2"/>
      <c r="D8537" s="2" t="str">
        <f>IFERROR(__xludf.DUMMYFUNCTION("IF(C8537&lt;&gt;"""", GOOGLETRANSLATE(C8537, ""en"", ""te""),"""")"),"")</f>
        <v/>
      </c>
      <c r="E8537" s="2" t="s">
        <v>4778</v>
      </c>
      <c r="F8537" s="2" t="str">
        <f>IFERROR(__xludf.DUMMYFUNCTION("IF(E8537&lt;&gt;"""", GOOGLETRANSLATE(E8537, ""en"", ""te""),"""")"),"[ 'ఒక కెప్టెన్తో ఒక ఇన్నింగ్స్ లో 6 వ ఉత్తమ బొమ్మలు (5)', 'ఇన్నింగ్స్ 28 వ ఉత్తమ ఆర్థిక రేటు (0.84)', '24 వ ఓల్డెస్ట్ ఐదు వికెట్ల లో-ఒక-ఇన్నింగ్స్ తీసుకోవాలని ఆటగాడు (33y 299d)', '15 వ అత్యంత వృద్ధ ఆటగాడు తొలి తీసుకుని ఐదు-వికెట్ల లో-ఒక-ఇన్నింగ్స్ (33y 29"&amp;"9d)', 'కెప్టెన్సీ ప్రవేశం (33y 299d) పై 49 వ ఓల్డెస్ట్ కెప్టెన్లు']")</f>
        <v>[ 'ఒక కెప్టెన్తో ఒక ఇన్నింగ్స్ లో 6 వ ఉత్తమ బొమ్మలు (5)', 'ఇన్నింగ్స్ 28 వ ఉత్తమ ఆర్థిక రేటు (0.84)', '24 వ ఓల్డెస్ట్ ఐదు వికెట్ల లో-ఒక-ఇన్నింగ్స్ తీసుకోవాలని ఆటగాడు (33y 299d)', '15 వ అత్యంత వృద్ధ ఆటగాడు తొలి తీసుకుని ఐదు-వికెట్ల లో-ఒక-ఇన్నింగ్స్ (33y 299d)', 'కెప్టెన్సీ ప్రవేశం (33y 299d) పై 49 వ ఓల్డెస్ట్ కెప్టెన్లు']</v>
      </c>
      <c r="G8537" s="2"/>
      <c r="H8537" s="2" t="str">
        <f>IFERROR(__xludf.DUMMYFUNCTION("IF(G8537&lt;&gt;"""", GOOGLETRANSLATE(G8537, ""en"", ""te""),"""")"),"")</f>
        <v/>
      </c>
      <c r="I8537" s="3"/>
    </row>
    <row r="8538" customHeight="1" spans="1:9">
      <c r="A8538" s="2"/>
      <c r="B8538" s="2" t="str">
        <f>IFERROR(__xludf.DUMMYFUNCTION("IF(A8538&lt;&gt;"""", GOOGLETRANSLATE(A8538, ""en"", ""te""),"""")"),"")</f>
        <v/>
      </c>
      <c r="C8538" s="2"/>
      <c r="D8538" s="2" t="str">
        <f>IFERROR(__xludf.DUMMYFUNCTION("IF(C8538&lt;&gt;"""", GOOGLETRANSLATE(C8538, ""en"", ""te""),"""")"),"")</f>
        <v/>
      </c>
      <c r="E8538" s="2"/>
      <c r="F8538" s="2" t="str">
        <f>IFERROR(__xludf.DUMMYFUNCTION("IF(E8538&lt;&gt;"""", GOOGLETRANSLATE(E8538, ""en"", ""te""),"""")"),"")</f>
        <v/>
      </c>
      <c r="G8538" s="2"/>
      <c r="H8538" s="2" t="str">
        <f>IFERROR(__xludf.DUMMYFUNCTION("IF(G8538&lt;&gt;"""", GOOGLETRANSLATE(G8538, ""en"", ""te""),"""")"),"")</f>
        <v/>
      </c>
      <c r="I8538" s="3"/>
    </row>
    <row r="8539" customHeight="1" spans="1:9">
      <c r="A8539" s="2" t="s">
        <v>4779</v>
      </c>
      <c r="B8539" s="2" t="str">
        <f>IFERROR(__xludf.DUMMYFUNCTION("IF(A8539&lt;&gt;"""", GOOGLETRANSLATE(A8539, ""en"", ""te""),"""")"),"[ 'ఇన్నింగ్స్ లో 1 వ అత్యధిక వికెట్లు (5)', 'ఇన్నింగ్స్ లో 3 వ అత్యంత స్టంపింగ్లు (3)']")</f>
        <v>[ 'ఇన్నింగ్స్ లో 1 వ అత్యధిక వికెట్లు (5)', 'ఇన్నింగ్స్ లో 3 వ అత్యంత స్టంపింగ్లు (3)']</v>
      </c>
      <c r="C8539" s="2"/>
      <c r="D8539" s="2" t="str">
        <f>IFERROR(__xludf.DUMMYFUNCTION("IF(C8539&lt;&gt;"""", GOOGLETRANSLATE(C8539, ""en"", ""te""),"""")"),"")</f>
        <v/>
      </c>
      <c r="E8539" s="2" t="s">
        <v>4780</v>
      </c>
      <c r="F8539" s="2" t="str">
        <f>IFERROR(__xludf.DUMMYFUNCTION("IF(E8539&lt;&gt;"""", GOOGLETRANSLATE(E8539, ""en"", ""te""),"""")"),"[ '19 పిన్న ఆటగాడు వంద (20y 169d) స్కోర్']")</f>
        <v>[ '19 పిన్న ఆటగాడు వంద (20y 169d) స్కోర్']</v>
      </c>
      <c r="G8539" s="2" t="s">
        <v>4781</v>
      </c>
      <c r="H8539" s="2" t="str">
        <f>IFERROR(__xludf.DUMMYFUNCTION("IF(G8539&lt;&gt;"""", GOOGLETRANSLATE(G8539, ""en"", ""te""),"""")"),"[ 'అత్యధిక వికెట్లు ఇన్నింగ్స్ లో 39 వ అత్యధిక పరుగులు (71 *)', 'ప్రదర్శనల మధ్య 33 వ లాంగెస్ట్ వ్యవధిలో (5 సం 175d)', '1st ఎక్కువ సార్లు అవుట్ ఇన్నింగ్స్ లో (5)', '13 వ ఇన్నింగ్స్ లో అత్యధిక క్యాచ్లు (3 ) ',' ఇన్నింగ్స్ లో 3 వ అత్యంత స్టంపింగ్లు (3) ']")</f>
        <v>[ 'అత్యధిక వికెట్లు ఇన్నింగ్స్ లో 39 వ అత్యధిక పరుగులు (71 *)', 'ప్రదర్శనల మధ్య 33 వ లాంగెస్ట్ వ్యవధిలో (5 సం 175d)', '1st ఎక్కువ సార్లు అవుట్ ఇన్నింగ్స్ లో (5)', '13 వ ఇన్నింగ్స్ లో అత్యధిక క్యాచ్లు (3 ) ',' ఇన్నింగ్స్ లో 3 వ అత్యంత స్టంపింగ్లు (3) ']</v>
      </c>
      <c r="I8539" s="3"/>
    </row>
    <row r="8540" customHeight="1" spans="1:9">
      <c r="A8540" s="2"/>
      <c r="B8540" s="2" t="str">
        <f>IFERROR(__xludf.DUMMYFUNCTION("IF(A8540&lt;&gt;"""", GOOGLETRANSLATE(A8540, ""en"", ""te""),"""")"),"")</f>
        <v/>
      </c>
      <c r="C8540" s="2"/>
      <c r="D8540" s="2" t="str">
        <f>IFERROR(__xludf.DUMMYFUNCTION("IF(C8540&lt;&gt;"""", GOOGLETRANSLATE(C8540, ""en"", ""te""),"""")"),"")</f>
        <v/>
      </c>
      <c r="E8540" s="2"/>
      <c r="F8540" s="2" t="str">
        <f>IFERROR(__xludf.DUMMYFUNCTION("IF(E8540&lt;&gt;"""", GOOGLETRANSLATE(E8540, ""en"", ""te""),"""")"),"")</f>
        <v/>
      </c>
      <c r="G8540" s="2"/>
      <c r="H8540" s="2" t="str">
        <f>IFERROR(__xludf.DUMMYFUNCTION("IF(G8540&lt;&gt;"""", GOOGLETRANSLATE(G8540, ""en"", ""te""),"""")"),"")</f>
        <v/>
      </c>
      <c r="I8540" s="3"/>
    </row>
    <row r="8541" customHeight="1" spans="1:9">
      <c r="A8541" s="2"/>
      <c r="B8541" s="2" t="str">
        <f>IFERROR(__xludf.DUMMYFUNCTION("IF(A8541&lt;&gt;"""", GOOGLETRANSLATE(A8541, ""en"", ""te""),"""")"),"")</f>
        <v/>
      </c>
      <c r="C8541" s="2"/>
      <c r="D8541" s="2" t="str">
        <f>IFERROR(__xludf.DUMMYFUNCTION("IF(C8541&lt;&gt;"""", GOOGLETRANSLATE(C8541, ""en"", ""te""),"""")"),"")</f>
        <v/>
      </c>
      <c r="E8541" s="2"/>
      <c r="F8541" s="2" t="str">
        <f>IFERROR(__xludf.DUMMYFUNCTION("IF(E8541&lt;&gt;"""", GOOGLETRANSLATE(E8541, ""en"", ""te""),"""")"),"")</f>
        <v/>
      </c>
      <c r="G8541" s="2"/>
      <c r="H8541" s="2" t="str">
        <f>IFERROR(__xludf.DUMMYFUNCTION("IF(G8541&lt;&gt;"""", GOOGLETRANSLATE(G8541, ""en"", ""te""),"""")"),"")</f>
        <v/>
      </c>
      <c r="I8541" s="3"/>
    </row>
    <row r="8542" customHeight="1" spans="1:9">
      <c r="A8542" s="2" t="s">
        <v>4782</v>
      </c>
      <c r="B8542" s="2" t="str">
        <f>IFERROR(__xludf.DUMMYFUNCTION("IF(A8542&lt;&gt;"""", GOOGLETRANSLATE(A8542, ""en"", ""te""),"""")"),"[ 'ఎనిమిదవ వికెట్ (100) 9 వ అత్యధిక భాగస్వామ్యం']")</f>
        <v>[ 'ఎనిమిదవ వికెట్ (100) 9 వ అత్యధిక భాగస్వామ్యం']</v>
      </c>
      <c r="C8542" s="2"/>
      <c r="D8542" s="2" t="str">
        <f>IFERROR(__xludf.DUMMYFUNCTION("IF(C8542&lt;&gt;"""", GOOGLETRANSLATE(C8542, ""en"", ""te""),"""")"),"")</f>
        <v/>
      </c>
      <c r="E8542" s="2" t="s">
        <v>4783</v>
      </c>
      <c r="F8542" s="2" t="str">
        <f>IFERROR(__xludf.DUMMYFUNCTION("IF(E8542&lt;&gt;"""", GOOGLETRANSLATE(E8542, ""en"", ""te""),"""")"),"[ 'ఎనిమిదవ వికెట్కు 9 వ అత్యధిక భాగస్వామ్యం (100)', 'తొమ్మిదవ వికెట్ (89) కోసం 14 అత్యధిక భాగస్వామ్యం']")</f>
        <v>[ 'ఎనిమిదవ వికెట్కు 9 వ అత్యధిక భాగస్వామ్యం (100)', 'తొమ్మిదవ వికెట్ (89) కోసం 14 అత్యధిక భాగస్వామ్యం']</v>
      </c>
      <c r="G8542" s="2"/>
      <c r="H8542" s="2" t="str">
        <f>IFERROR(__xludf.DUMMYFUNCTION("IF(G8542&lt;&gt;"""", GOOGLETRANSLATE(G8542, ""en"", ""te""),"""")"),"")</f>
        <v/>
      </c>
      <c r="I8542" s="3"/>
    </row>
    <row r="8543" customHeight="1" spans="1:9">
      <c r="A8543" s="2" t="s">
        <v>4784</v>
      </c>
      <c r="B8543" s="2" t="str">
        <f>IFERROR(__xludf.DUMMYFUNCTION("IF(A8543&lt;&gt;"""", GOOGLETRANSLATE(A8543, ""en"", ""te""),"""")"),"[ '6 వ అత్యధిక వరుస బాతులు (3)', 'ఇన్నింగ్స్ లో 4 వ అత్యధిక పరుగులు (బ్యాటింగ్ స్థానంలో ప్రకారం) (38)', '8 వ ఒక ఇన్నింగ్స్ లోని బెస్ట్ ఫిగర్స్ కోల్పోకుండా వైపు ఉన్నప్పుడు (4)']")</f>
        <v>[ '6 వ అత్యధిక వరుస బాతులు (3)', 'ఇన్నింగ్స్ లో 4 వ అత్యధిక పరుగులు (బ్యాటింగ్ స్థానంలో ప్రకారం) (38)', '8 వ ఒక ఇన్నింగ్స్ లోని బెస్ట్ ఫిగర్స్ కోల్పోకుండా వైపు ఉన్నప్పుడు (4)']</v>
      </c>
      <c r="C8543" s="2"/>
      <c r="D8543" s="2" t="str">
        <f>IFERROR(__xludf.DUMMYFUNCTION("IF(C8543&lt;&gt;"""", GOOGLETRANSLATE(C8543, ""en"", ""te""),"""")"),"")</f>
        <v/>
      </c>
      <c r="E8543" s="2" t="s">
        <v>1335</v>
      </c>
      <c r="F8543" s="2" t="str">
        <f>IFERROR(__xludf.DUMMYFUNCTION("IF(E8543&lt;&gt;"""", GOOGLETRANSLATE(E8543, ""en"", ""te""),"""")"),"[ 'ఒక సిరీస్లో 6 వ అత్యంత బాతులు (3)', '6 వ అత్యధిక వరుస బాతులు (3)']")</f>
        <v>[ 'ఒక సిరీస్లో 6 వ అత్యంత బాతులు (3)', '6 వ అత్యధిక వరుస బాతులు (3)']</v>
      </c>
      <c r="G8543" s="2" t="s">
        <v>4785</v>
      </c>
      <c r="H8543" s="2" t="str">
        <f>IFERROR(__xludf.DUMMYFUNCTION("IF(G8543&lt;&gt;"""", GOOGLETRANSLATE(G8543, ""en"", ""te""),"""")"),"[ 'ఇన్నింగ్స్ లో 4 వ అత్యధిక పరుగులు (బ్యాటింగ్ స్థానంలో ప్రకారం) (38)', '8 వ ఒక ఇన్నింగ్స్ లోని బెస్ట్ ఫిగర్స్ (4) పరాజయం వైపు ఉన్నప్పుడు', '14 వ ఉత్తమ కెరీర్ సగటు బౌలింగ్ (18.20)', '23 వ ఉత్తమ కెరీర్ ఆర్థిక రేటు (6.77) ', '21 వ ఉత్తమ కెరీర్ సమ్మె రేటు "&amp;"(16.1)', 'ఇన్నింగ్స్ లో 31 ఉత్తమ సమ్మె రేటు (4.5)', '16 వ అత్యంత నాలుగు వికెట్లు-ఇన్-ఒక-ఇన్నింగ్స్ కెరీర్లో (2)' '26th బౌలర్ / ఫీల్డర్ కలయికలు (7)', '38 వ అత్యధిక వికెట్లు తీసుకున్న బౌల్డ్ (11)', 'ప్రదర్శనల మధ్య 33 వ లాంగెస్ట్ వ్యవధిలో (5 సం 175d)']")</f>
        <v>[ 'ఇన్నింగ్స్ లో 4 వ అత్యధిక పరుగులు (బ్యాటింగ్ స్థానంలో ప్రకారం) (38)', '8 వ ఒక ఇన్నింగ్స్ లోని బెస్ట్ ఫిగర్స్ (4) పరాజయం వైపు ఉన్నప్పుడు', '14 వ ఉత్తమ కెరీర్ సగటు బౌలింగ్ (18.20)', '23 వ ఉత్తమ కెరీర్ ఆర్థిక రేటు (6.77) ', '21 వ ఉత్తమ కెరీర్ సమ్మె రేటు (16.1)', 'ఇన్నింగ్స్ లో 31 ఉత్తమ సమ్మె రేటు (4.5)', '16 వ అత్యంత నాలుగు వికెట్లు-ఇన్-ఒక-ఇన్నింగ్స్ కెరీర్లో (2)' '26th బౌలర్ / ఫీల్డర్ కలయికలు (7)', '38 వ అత్యధిక వికెట్లు తీసుకున్న బౌల్డ్ (11)', 'ప్రదర్శనల మధ్య 33 వ లాంగెస్ట్ వ్యవధిలో (5 సం 175d)']</v>
      </c>
      <c r="I8543" s="3"/>
    </row>
    <row r="8544" customHeight="1" spans="1:9">
      <c r="A8544" s="2" t="s">
        <v>4786</v>
      </c>
      <c r="B8544" s="2" t="str">
        <f>IFERROR(__xludf.DUMMYFUNCTION("IF(A8544&lt;&gt;"""", GOOGLETRANSLATE(A8544, ""en"", ""te""),"""")"),"[ 'కెప్టెన్సీ ప్రవేశం (37y 155d) 7 వ ఓల్డెస్ట్ కెప్టెన్లు', 'నాలుగవ వికెట్కు 6 వ అత్యధిక భాగస్వామ్యం (115)']")</f>
        <v>[ 'కెప్టెన్సీ ప్రవేశం (37y 155d) 7 వ ఓల్డెస్ట్ కెప్టెన్లు', 'నాలుగవ వికెట్కు 6 వ అత్యధిక భాగస్వామ్యం (115)']</v>
      </c>
      <c r="C8544" s="2"/>
      <c r="D8544" s="2" t="str">
        <f>IFERROR(__xludf.DUMMYFUNCTION("IF(C8544&lt;&gt;"""", GOOGLETRANSLATE(C8544, ""en"", ""te""),"""")"),"")</f>
        <v/>
      </c>
      <c r="E8544" s="2"/>
      <c r="F8544" s="2" t="str">
        <f>IFERROR(__xludf.DUMMYFUNCTION("IF(E8544&lt;&gt;"""", GOOGLETRANSLATE(E8544, ""en"", ""te""),"""")"),"")</f>
        <v/>
      </c>
      <c r="G8544" s="2" t="s">
        <v>4787</v>
      </c>
      <c r="H8544" s="2" t="str">
        <f>IFERROR(__xludf.DUMMYFUNCTION("IF(G8544&lt;&gt;"""", GOOGLETRANSLATE(G8544, ""en"", ""te""),"""")"),"[ '23 వ ఇన్నింగ్స్ లో అత్యధిక పరుగులు (బ్యాటింగ్ స్థానంలో ప్రకారం) (73)', 'ఒక కెప్టెన్తో ఇన్నింగ్స్ లో 29 వ అత్యధిక పరుగులు (73)', 'ఒక కెప్టెన్తో ఒక ఇన్నింగ్స్ లో 21 వ బెస్ట్ ఫిగర్స్ (3)', '6 వ నాలుగో వికెట్కు అత్యధిక భాగస్వామ్యం (115) ',' తొలి 46 వ ఓల్డె"&amp;"స్ట్ క్రీడాకారులు (37y 155d) ',' 10 వ ఓల్డెస్ట్ కాప్టెన్ (37y 187d) ',' కెప్టెన్సీ తొలి 7th ఓల్డెస్ట్ కాప్టెన్ (37y 155d) ']")</f>
        <v>[ '23 వ ఇన్నింగ్స్ లో అత్యధిక పరుగులు (బ్యాటింగ్ స్థానంలో ప్రకారం) (73)', 'ఒక కెప్టెన్తో ఇన్నింగ్స్ లో 29 వ అత్యధిక పరుగులు (73)', 'ఒక కెప్టెన్తో ఒక ఇన్నింగ్స్ లో 21 వ బెస్ట్ ఫిగర్స్ (3)', '6 వ నాలుగో వికెట్కు అత్యధిక భాగస్వామ్యం (115) ',' తొలి 46 వ ఓల్డెస్ట్ క్రీడాకారులు (37y 155d) ',' 10 వ ఓల్డెస్ట్ కాప్టెన్ (37y 187d) ',' కెప్టెన్సీ తొలి 7th ఓల్డెస్ట్ కాప్టెన్ (37y 155d) ']</v>
      </c>
      <c r="I8544" s="3"/>
    </row>
    <row r="8545" customHeight="1" spans="1:9">
      <c r="A8545" s="2"/>
      <c r="B8545" s="2" t="str">
        <f>IFERROR(__xludf.DUMMYFUNCTION("IF(A8545&lt;&gt;"""", GOOGLETRANSLATE(A8545, ""en"", ""te""),"""")"),"")</f>
        <v/>
      </c>
      <c r="C8545" s="2"/>
      <c r="D8545" s="2" t="str">
        <f>IFERROR(__xludf.DUMMYFUNCTION("IF(C8545&lt;&gt;"""", GOOGLETRANSLATE(C8545, ""en"", ""te""),"""")"),"")</f>
        <v/>
      </c>
      <c r="E8545" s="2"/>
      <c r="F8545" s="2" t="str">
        <f>IFERROR(__xludf.DUMMYFUNCTION("IF(E8545&lt;&gt;"""", GOOGLETRANSLATE(E8545, ""en"", ""te""),"""")"),"")</f>
        <v/>
      </c>
      <c r="G8545" s="2"/>
      <c r="H8545" s="2" t="str">
        <f>IFERROR(__xludf.DUMMYFUNCTION("IF(G8545&lt;&gt;"""", GOOGLETRANSLATE(G8545, ""en"", ""te""),"""")"),"")</f>
        <v/>
      </c>
      <c r="I8545" s="3"/>
    </row>
    <row r="8546" customHeight="1" spans="1:9">
      <c r="A8546" s="2" t="s">
        <v>749</v>
      </c>
      <c r="B8546" s="2" t="str">
        <f>IFERROR(__xludf.DUMMYFUNCTION("IF(A8546&lt;&gt;"""", GOOGLETRANSLATE(A8546, ""en"", ""te""),"""")"),"[ '6 వ అత్యధిక వరుస బాతులు (3)']")</f>
        <v>[ '6 వ అత్యధిక వరుస బాతులు (3)']</v>
      </c>
      <c r="C8546" s="2"/>
      <c r="D8546" s="2" t="str">
        <f>IFERROR(__xludf.DUMMYFUNCTION("IF(C8546&lt;&gt;"""", GOOGLETRANSLATE(C8546, ""en"", ""te""),"""")"),"")</f>
        <v/>
      </c>
      <c r="E8546" s="2" t="s">
        <v>1335</v>
      </c>
      <c r="F8546" s="2" t="str">
        <f>IFERROR(__xludf.DUMMYFUNCTION("IF(E8546&lt;&gt;"""", GOOGLETRANSLATE(E8546, ""en"", ""te""),"""")"),"[ 'ఒక సిరీస్లో 6 వ అత్యంత బాతులు (3)', '6 వ అత్యధిక వరుస బాతులు (3)']")</f>
        <v>[ 'ఒక సిరీస్లో 6 వ అత్యంత బాతులు (3)', '6 వ అత్యధిక వరుస బాతులు (3)']</v>
      </c>
      <c r="G8546" s="2"/>
      <c r="H8546" s="2" t="str">
        <f>IFERROR(__xludf.DUMMYFUNCTION("IF(G8546&lt;&gt;"""", GOOGLETRANSLATE(G8546, ""en"", ""te""),"""")"),"")</f>
        <v/>
      </c>
      <c r="I8546" s="3"/>
    </row>
    <row r="8547" customHeight="1" spans="1:9">
      <c r="A8547" s="2"/>
      <c r="B8547" s="2" t="str">
        <f>IFERROR(__xludf.DUMMYFUNCTION("IF(A8547&lt;&gt;"""", GOOGLETRANSLATE(A8547, ""en"", ""te""),"""")"),"")</f>
        <v/>
      </c>
      <c r="C8547" s="2"/>
      <c r="D8547" s="2" t="str">
        <f>IFERROR(__xludf.DUMMYFUNCTION("IF(C8547&lt;&gt;"""", GOOGLETRANSLATE(C8547, ""en"", ""te""),"""")"),"")</f>
        <v/>
      </c>
      <c r="E8547" s="2"/>
      <c r="F8547" s="2" t="str">
        <f>IFERROR(__xludf.DUMMYFUNCTION("IF(E8547&lt;&gt;"""", GOOGLETRANSLATE(E8547, ""en"", ""te""),"""")"),"")</f>
        <v/>
      </c>
      <c r="G8547" s="2" t="s">
        <v>4788</v>
      </c>
      <c r="H8547" s="2" t="str">
        <f>IFERROR(__xludf.DUMMYFUNCTION("IF(G8547&lt;&gt;"""", GOOGLETRANSLATE(G8547, ""en"", ""te""),"""")"),"[ 'ప్రదర్శనల మధ్య 19 లాంగెస్ట్ వ్యవధిలో (6y 31d)']")</f>
        <v>[ 'ప్రదర్శనల మధ్య 19 లాంగెస్ట్ వ్యవధిలో (6y 31d)']</v>
      </c>
      <c r="I8547" s="3"/>
    </row>
    <row r="8548" customHeight="1" spans="1:9">
      <c r="A8548" s="2" t="s">
        <v>4789</v>
      </c>
      <c r="B8548" s="2" t="str">
        <f>IFERROR(__xludf.DUMMYFUNCTION("IF(A8548&lt;&gt;"""", GOOGLETRANSLATE(A8548, ""en"", ""te""),"""")"),"[ 'వికెట్ను కాపాడుకున్నాడు మరియు బ్యాటింగ్ (6) తెరిచిన చేసిన 4 వ కెప్టెన్ల']")</f>
        <v>[ 'వికెట్ను కాపాడుకున్నాడు మరియు బ్యాటింగ్ (6) తెరిచిన చేసిన 4 వ కెప్టెన్ల']</v>
      </c>
      <c r="C8548" s="2"/>
      <c r="D8548" s="2" t="str">
        <f>IFERROR(__xludf.DUMMYFUNCTION("IF(C8548&lt;&gt;"""", GOOGLETRANSLATE(C8548, ""en"", ""te""),"""")"),"")</f>
        <v/>
      </c>
      <c r="E8548" s="2" t="s">
        <v>4790</v>
      </c>
      <c r="F8548" s="2" t="str">
        <f>IFERROR(__xludf.DUMMYFUNCTION("IF(E8548&lt;&gt;"""", GOOGLETRANSLATE(E8548, ""en"", ""te""),"""")"),"[ '42 వ అత్యంత లేకుండా కెరీర్లో పరుగులు వంద (1501)', 'వికెట్ (12) ఉంచింది చేసిన 18 వ కెప్టెన్ల', '4 వ కెప్టెన్ల వికెట్ ఉంచింది మరియు తెరిచిన చేసిన బ్యాటింగ్ (6)' ఒక '16 వ అత్యధిక వికెట్లు ఇన్నింగ్స్ (5) ',' 37 వ కెరీర్ (10) అత్యంత స్టంపింగ్లు ']")</f>
        <v>[ '42 వ అత్యంత లేకుండా కెరీర్లో పరుగులు వంద (1501)', 'వికెట్ (12) ఉంచింది చేసిన 18 వ కెప్టెన్ల', '4 వ కెప్టెన్ల వికెట్ ఉంచింది మరియు తెరిచిన చేసిన బ్యాటింగ్ (6)' ఒక '16 వ అత్యధిక వికెట్లు ఇన్నింగ్స్ (5) ',' 37 వ కెరీర్ (10) అత్యంత స్టంపింగ్లు ']</v>
      </c>
      <c r="G8548" s="2" t="s">
        <v>4791</v>
      </c>
      <c r="H8548" s="2" t="str">
        <f>IFERROR(__xludf.DUMMYFUNCTION("IF(G8548&lt;&gt;"""", GOOGLETRANSLATE(G8548, ""en"", ""te""),"""")"),"[ 'వికెట్ను కాపాడుకున్నాడు చేసిన 18 వ కెప్టెన్ల (4)', 'కెరీర్ లో 24 వ అత్యంత స్టంపింగ్లు (5)', '32 వ ఇన్నింగ్స్ లో సాధించిన అత్యంత బైలు (5)']")</f>
        <v>[ 'వికెట్ను కాపాడుకున్నాడు చేసిన 18 వ కెప్టెన్ల (4)', 'కెరీర్ లో 24 వ అత్యంత స్టంపింగ్లు (5)', '32 వ ఇన్నింగ్స్ లో సాధించిన అత్యంత బైలు (5)']</v>
      </c>
      <c r="I8548" s="3"/>
    </row>
    <row r="8549" customHeight="1" spans="1:9">
      <c r="A8549" s="2"/>
      <c r="B8549" s="2" t="str">
        <f>IFERROR(__xludf.DUMMYFUNCTION("IF(A8549&lt;&gt;"""", GOOGLETRANSLATE(A8549, ""en"", ""te""),"""")"),"")</f>
        <v/>
      </c>
      <c r="C8549" s="2"/>
      <c r="D8549" s="2" t="str">
        <f>IFERROR(__xludf.DUMMYFUNCTION("IF(C8549&lt;&gt;"""", GOOGLETRANSLATE(C8549, ""en"", ""te""),"""")"),"")</f>
        <v/>
      </c>
      <c r="E8549" s="2"/>
      <c r="F8549" s="2" t="str">
        <f>IFERROR(__xludf.DUMMYFUNCTION("IF(E8549&lt;&gt;"""", GOOGLETRANSLATE(E8549, ""en"", ""te""),"""")"),"")</f>
        <v/>
      </c>
      <c r="G8549" s="2" t="s">
        <v>4792</v>
      </c>
      <c r="H8549" s="2" t="str">
        <f>IFERROR(__xludf.DUMMYFUNCTION("IF(G8549&lt;&gt;"""", GOOGLETRANSLATE(G8549, ""en"", ""te""),"""")"),"[ '32 వ కెరీర్ బాతులు (5)', '31 ఇన్నింగ్స్ లో వచ్చిన ఎక్కువ ఫోర్లు (11)', 'మొదటి వికెట్కు 31 అత్యధిక భాగస్వామ్యం (126)', '32 వ లాంగెస్ట్ కెరీర్లు (12y 47d)', '32 వ లాంగెస్ట్ ప్రదర్శనల మధ్య వ్యవధిలో (5 సం 177d) ']")</f>
        <v>[ '32 వ కెరీర్ బాతులు (5)', '31 ఇన్నింగ్స్ లో వచ్చిన ఎక్కువ ఫోర్లు (11)', 'మొదటి వికెట్కు 31 అత్యధిక భాగస్వామ్యం (126)', '32 వ లాంగెస్ట్ కెరీర్లు (12y 47d)', '32 వ లాంగెస్ట్ ప్రదర్శనల మధ్య వ్యవధిలో (5 సం 177d) ']</v>
      </c>
      <c r="I8549" s="3"/>
    </row>
    <row r="8550" customHeight="1" spans="1:9">
      <c r="A8550" s="2" t="s">
        <v>749</v>
      </c>
      <c r="B8550" s="2" t="str">
        <f>IFERROR(__xludf.DUMMYFUNCTION("IF(A8550&lt;&gt;"""", GOOGLETRANSLATE(A8550, ""en"", ""te""),"""")"),"[ '6 వ అత్యధిక వరుస బాతులు (3)']")</f>
        <v>[ '6 వ అత్యధిక వరుస బాతులు (3)']</v>
      </c>
      <c r="C8550" s="2"/>
      <c r="D8550" s="2" t="str">
        <f>IFERROR(__xludf.DUMMYFUNCTION("IF(C8550&lt;&gt;"""", GOOGLETRANSLATE(C8550, ""en"", ""te""),"""")"),"")</f>
        <v/>
      </c>
      <c r="E8550" s="2" t="s">
        <v>4793</v>
      </c>
      <c r="F8550" s="2" t="str">
        <f>IFERROR(__xludf.DUMMYFUNCTION("IF(E8550&lt;&gt;"""", GOOGLETRANSLATE(E8550, ""en"", ""te""),"""")"),"[ '6 వ అత్యధిక వరుస బాతులు (3)', 'ఇన్నింగ్స్ లో 23 చెత్త ఆర్థిక రేటు (11.40)', 'తొమ్మిదవ వికెట్కు 45 వ అత్యధిక భాగస్వామ్యం (66 *)']")</f>
        <v>[ '6 వ అత్యధిక వరుస బాతులు (3)', 'ఇన్నింగ్స్ లో 23 చెత్త ఆర్థిక రేటు (11.40)', 'తొమ్మిదవ వికెట్కు 45 వ అత్యధిక భాగస్వామ్యం (66 *)']</v>
      </c>
      <c r="G8550" s="2" t="s">
        <v>4794</v>
      </c>
      <c r="H8550" s="2" t="str">
        <f>IFERROR(__xludf.DUMMYFUNCTION("IF(G8550&lt;&gt;"""", GOOGLETRANSLATE(G8550, ""en"", ""te""),"""")"),"[ '32 వ ఇన్నింగ్స్ లో బెస్ట్ ఫిగర్స్ (5/20)', '37 వ అత్యధిక పరుగులు ఇన్నింగ్స్ (57) లో సాధించిన]")</f>
        <v>[ '32 వ ఇన్నింగ్స్ లో బెస్ట్ ఫిగర్స్ (5/20)', '37 వ అత్యధిక పరుగులు ఇన్నింగ్స్ (57) లో సాధించిన]</v>
      </c>
      <c r="I8550" s="3"/>
    </row>
    <row r="8551" customHeight="1" spans="1:9">
      <c r="A8551" s="2"/>
      <c r="B8551" s="2" t="str">
        <f>IFERROR(__xludf.DUMMYFUNCTION("IF(A8551&lt;&gt;"""", GOOGLETRANSLATE(A8551, ""en"", ""te""),"""")"),"")</f>
        <v/>
      </c>
      <c r="C8551" s="2"/>
      <c r="D8551" s="2" t="str">
        <f>IFERROR(__xludf.DUMMYFUNCTION("IF(C8551&lt;&gt;"""", GOOGLETRANSLATE(C8551, ""en"", ""te""),"""")"),"")</f>
        <v/>
      </c>
      <c r="E8551" s="2"/>
      <c r="F8551" s="2" t="str">
        <f>IFERROR(__xludf.DUMMYFUNCTION("IF(E8551&lt;&gt;"""", GOOGLETRANSLATE(E8551, ""en"", ""te""),"""")"),"")</f>
        <v/>
      </c>
      <c r="G8551" s="2"/>
      <c r="H8551" s="2" t="str">
        <f>IFERROR(__xludf.DUMMYFUNCTION("IF(G8551&lt;&gt;"""", GOOGLETRANSLATE(G8551, ""en"", ""te""),"""")"),"")</f>
        <v/>
      </c>
      <c r="I8551" s="3"/>
    </row>
    <row r="8552" customHeight="1" spans="1:9">
      <c r="A8552" s="2"/>
      <c r="B8552" s="2" t="str">
        <f>IFERROR(__xludf.DUMMYFUNCTION("IF(A8552&lt;&gt;"""", GOOGLETRANSLATE(A8552, ""en"", ""te""),"""")"),"")</f>
        <v/>
      </c>
      <c r="C8552" s="2"/>
      <c r="D8552" s="2" t="str">
        <f>IFERROR(__xludf.DUMMYFUNCTION("IF(C8552&lt;&gt;"""", GOOGLETRANSLATE(C8552, ""en"", ""te""),"""")"),"")</f>
        <v/>
      </c>
      <c r="E8552" s="2"/>
      <c r="F8552" s="2" t="str">
        <f>IFERROR(__xludf.DUMMYFUNCTION("IF(E8552&lt;&gt;"""", GOOGLETRANSLATE(E8552, ""en"", ""te""),"""")"),"")</f>
        <v/>
      </c>
      <c r="G8552" s="2" t="s">
        <v>4795</v>
      </c>
      <c r="H8552" s="2" t="str">
        <f>IFERROR(__xludf.DUMMYFUNCTION("IF(G8552&lt;&gt;"""", GOOGLETRANSLATE(G8552, ""en"", ""te""),"""")"),"[ 'ఎనిమిదవ వికెట్ (26 *) కోసం 23 అత్యధిక భాగస్వామ్యం']")</f>
        <v>[ 'ఎనిమిదవ వికెట్ (26 *) కోసం 23 అత్యధిక భాగస్వామ్యం']</v>
      </c>
      <c r="I8552" s="3"/>
    </row>
    <row r="8553" customHeight="1" spans="1:9">
      <c r="A8553" s="2" t="s">
        <v>4796</v>
      </c>
      <c r="B8553" s="2" t="str">
        <f>IFERROR(__xludf.DUMMYFUNCTION("IF(A8553&lt;&gt;"""", GOOGLETRANSLATE(A8553, ""en"", ""te""),"""")"),"[ '8 వ అత్యంత వంద (2735) లేకుండా ఒక వృత్తిలో నడుస్తుంది']")</f>
        <v>[ '8 వ అత్యంత వంద (2735) లేకుండా ఒక వృత్తిలో నడుస్తుంది']</v>
      </c>
      <c r="C8553" s="2"/>
      <c r="D8553" s="2" t="str">
        <f>IFERROR(__xludf.DUMMYFUNCTION("IF(C8553&lt;&gt;"""", GOOGLETRANSLATE(C8553, ""en"", ""te""),"""")"),"")</f>
        <v/>
      </c>
      <c r="E8553" s="2" t="s">
        <v>4797</v>
      </c>
      <c r="F8553" s="2" t="str">
        <f>IFERROR(__xludf.DUMMYFUNCTION("IF(E8553&lt;&gt;"""", GOOGLETRANSLATE(E8553, ""en"", ""te""),"""")"),"[ 'బౌలింగ్ సరాసరి (46.77) 47 వ చెత్త జీవితం', '16 వ అత్యంత వంద (2044) లేకుండా ఒక వృత్తిలో పరుగులు' '28 పిన్న ఆటగాడు ఐదు వికెట్ల లో-ఒక-ఇన్నింగ్స్ తీసుకోవాలని (21y 212d)']")</f>
        <v>[ 'బౌలింగ్ సరాసరి (46.77) 47 వ చెత్త జీవితం', '16 వ అత్యంత వంద (2044) లేకుండా ఒక వృత్తిలో పరుగులు' '28 పిన్న ఆటగాడు ఐదు వికెట్ల లో-ఒక-ఇన్నింగ్స్ తీసుకోవాలని (21y 212d)']</v>
      </c>
      <c r="G8553" s="2" t="s">
        <v>4798</v>
      </c>
      <c r="H8553" s="2" t="str">
        <f>IFERROR(__xludf.DUMMYFUNCTION("IF(G8553&lt;&gt;"""", GOOGLETRANSLATE(G8553, ""en"", ""te""),"""")"),"[ '36 వ ఇన్నింగ్స్ లో అత్యధిక పరుగులు (75 *) (బ్యాటింగ్ స్థానం)', 'ఒక కెప్టెన్ (75 *) ద్వారా ఇన్నింగ్స్ లో 49 వ అత్యధిక పరుగులు', 'ఒక కెప్టెన్తో ఒక ఇన్నింగ్స్ లో 20 వ బెస్ట్ ఫిగర్స్ (3)', 'నాలుగవ వికెట్కు 47 వ అత్యధిక భాగస్వామ్యం (83)', 'ఏడవ వికెట్కు 30 వ"&amp;" అత్యధిక భాగస్వామ్యం (53)', 'బృందం (30 *) కోసం 45 వ వరుస మ్యాచ్లు', '31 లాంగెస్ట్ కెరీర్లు (12y 56d)', 'ప్రదర్శనల మధ్య 33 వ లాంగెస్ట్ వ్యవధిలో (5 సం 175d)', '44 వ కెప్టెన్ (17) గా అత్యధిక మ్యాచ్లు']")</f>
        <v>[ '36 వ ఇన్నింగ్స్ లో అత్యధిక పరుగులు (75 *) (బ్యాటింగ్ స్థానం)', 'ఒక కెప్టెన్ (75 *) ద్వారా ఇన్నింగ్స్ లో 49 వ అత్యధిక పరుగులు', 'ఒక కెప్టెన్తో ఒక ఇన్నింగ్స్ లో 20 వ బెస్ట్ ఫిగర్స్ (3)', 'నాలుగవ వికెట్కు 47 వ అత్యధిక భాగస్వామ్యం (83)', 'ఏడవ వికెట్కు 30 వ అత్యధిక భాగస్వామ్యం (53)', 'బృందం (30 *) కోసం 45 వ వరుస మ్యాచ్లు', '31 లాంగెస్ట్ కెరీర్లు (12y 56d)', 'ప్రదర్శనల మధ్య 33 వ లాంగెస్ట్ వ్యవధిలో (5 సం 175d)', '44 వ కెప్టెన్ (17) గా అత్యధిక మ్యాచ్లు']</v>
      </c>
      <c r="I8553" s="3"/>
    </row>
    <row r="8554" customHeight="1" spans="1:9">
      <c r="A8554" s="2" t="s">
        <v>4799</v>
      </c>
      <c r="B8554" s="2" t="str">
        <f>IFERROR(__xludf.DUMMYFUNCTION("IF(A8554&lt;&gt;"""", GOOGLETRANSLATE(A8554, ""en"", ""te""),"""")"),"[ 'చాలా 5 వ ఇన్నింగ్స్ లో నడుస్తుంది (బ్యాటింగ్ స్థానం) (36)']")</f>
        <v>[ 'చాలా 5 వ ఇన్నింగ్స్ లో నడుస్తుంది (బ్యాటింగ్ స్థానం) (36)']</v>
      </c>
      <c r="C8554" s="2"/>
      <c r="D8554" s="2" t="str">
        <f>IFERROR(__xludf.DUMMYFUNCTION("IF(C8554&lt;&gt;"""", GOOGLETRANSLATE(C8554, ""en"", ""te""),"""")"),"")</f>
        <v/>
      </c>
      <c r="E8554" s="2" t="s">
        <v>4799</v>
      </c>
      <c r="F8554" s="2" t="str">
        <f>IFERROR(__xludf.DUMMYFUNCTION("IF(E8554&lt;&gt;"""", GOOGLETRANSLATE(E8554, ""en"", ""te""),"""")"),"[ 'చాలా 5 వ ఇన్నింగ్స్ లో నడుస్తుంది (బ్యాటింగ్ స్థానం) (36)']")</f>
        <v>[ 'చాలా 5 వ ఇన్నింగ్స్ లో నడుస్తుంది (బ్యాటింగ్ స్థానం) (36)']</v>
      </c>
      <c r="G8554" s="2" t="s">
        <v>1413</v>
      </c>
      <c r="H8554" s="2" t="str">
        <f>IFERROR(__xludf.DUMMYFUNCTION("IF(G8554&lt;&gt;"""", GOOGLETRANSLATE(G8554, ""en"", ""te""),"""")"),"[ 'పదవ వికెట్కు 15 అత్యధిక భాగస్వామ్యం (23)']")</f>
        <v>[ 'పదవ వికెట్కు 15 అత్యధిక భాగస్వామ్యం (23)']</v>
      </c>
      <c r="I8554" s="3"/>
    </row>
    <row r="8555" customHeight="1" spans="1:9">
      <c r="A8555" s="2" t="s">
        <v>4800</v>
      </c>
      <c r="B8555" s="2" t="str">
        <f>IFERROR(__xludf.DUMMYFUNCTION("IF(A8555&lt;&gt;"""", GOOGLETRANSLATE(A8555, ""en"", ""te""),"""")"),"[ 'ఆరవ వికెట్ (161) కోసం 10 వ అత్యధిక భాగస్వామ్యం']")</f>
        <v>[ 'ఆరవ వికెట్ (161) కోసం 10 వ అత్యధిక భాగస్వామ్యం']</v>
      </c>
      <c r="C8555" s="2"/>
      <c r="D8555" s="2" t="str">
        <f>IFERROR(__xludf.DUMMYFUNCTION("IF(C8555&lt;&gt;"""", GOOGLETRANSLATE(C8555, ""en"", ""te""),"""")"),"")</f>
        <v/>
      </c>
      <c r="E8555" s="2" t="s">
        <v>4801</v>
      </c>
      <c r="F8555" s="2" t="str">
        <f>IFERROR(__xludf.DUMMYFUNCTION("IF(E8555&lt;&gt;"""", GOOGLETRANSLATE(E8555, ""en"", ""te""),"""")"),"[ '43 వ అత్యంత వంద (1409) లేకుండా ఒక వృత్తిలో పరుగులు' 'ఆరవ వికెట్కు 10 వ అత్యధిక భాగస్వామ్యం (161)', '43 వ వరుస (3) లో అన్ని టాస్ గెలిచి']")</f>
        <v>[ '43 వ అత్యంత వంద (1409) లేకుండా ఒక వృత్తిలో పరుగులు' 'ఆరవ వికెట్కు 10 వ అత్యధిక భాగస్వామ్యం (161)', '43 వ వరుస (3) లో అన్ని టాస్ గెలిచి']</v>
      </c>
      <c r="G8555" s="2"/>
      <c r="H8555" s="2" t="str">
        <f>IFERROR(__xludf.DUMMYFUNCTION("IF(G8555&lt;&gt;"""", GOOGLETRANSLATE(G8555, ""en"", ""te""),"""")"),"")</f>
        <v/>
      </c>
      <c r="I8555" s="3"/>
    </row>
    <row r="8556" customHeight="1" spans="1:9">
      <c r="A8556" s="2"/>
      <c r="B8556" s="2" t="str">
        <f>IFERROR(__xludf.DUMMYFUNCTION("IF(A8556&lt;&gt;"""", GOOGLETRANSLATE(A8556, ""en"", ""te""),"""")"),"")</f>
        <v/>
      </c>
      <c r="C8556" s="2"/>
      <c r="D8556" s="2" t="str">
        <f>IFERROR(__xludf.DUMMYFUNCTION("IF(C8556&lt;&gt;"""", GOOGLETRANSLATE(C8556, ""en"", ""te""),"""")"),"")</f>
        <v/>
      </c>
      <c r="E8556" s="2"/>
      <c r="F8556" s="2" t="str">
        <f>IFERROR(__xludf.DUMMYFUNCTION("IF(E8556&lt;&gt;"""", GOOGLETRANSLATE(E8556, ""en"", ""te""),"""")"),"")</f>
        <v/>
      </c>
      <c r="G8556" s="2" t="s">
        <v>4802</v>
      </c>
      <c r="H8556" s="2" t="str">
        <f>IFERROR(__xludf.DUMMYFUNCTION("IF(G8556&lt;&gt;"""", GOOGLETRANSLATE(G8556, ""en"", ""te""),"""")"),"[ 'ఎనిమిదవ వికెట్కు 26 అత్యధిక భాగస్వామ్యం (26)']")</f>
        <v>[ 'ఎనిమిదవ వికెట్కు 26 అత్యధిక భాగస్వామ్యం (26)']</v>
      </c>
      <c r="I8556" s="3"/>
    </row>
    <row r="8557" customHeight="1" spans="1:9">
      <c r="A8557" s="2"/>
      <c r="B8557" s="2" t="str">
        <f>IFERROR(__xludf.DUMMYFUNCTION("IF(A8557&lt;&gt;"""", GOOGLETRANSLATE(A8557, ""en"", ""te""),"""")"),"")</f>
        <v/>
      </c>
      <c r="C8557" s="2"/>
      <c r="D8557" s="2" t="str">
        <f>IFERROR(__xludf.DUMMYFUNCTION("IF(C8557&lt;&gt;"""", GOOGLETRANSLATE(C8557, ""en"", ""te""),"""")"),"")</f>
        <v/>
      </c>
      <c r="E8557" s="2" t="s">
        <v>656</v>
      </c>
      <c r="F8557" s="2" t="str">
        <f>IFERROR(__xludf.DUMMYFUNCTION("IF(E8557&lt;&gt;"""", GOOGLETRANSLATE(E8557, ""en"", ""te""),"""")"),"[ 'పదవ వికెట్కు 35 వ అత్యధిక భాగస్వామ్యం (51)']")</f>
        <v>[ 'పదవ వికెట్కు 35 వ అత్యధిక భాగస్వామ్యం (51)']</v>
      </c>
      <c r="G8557" s="2" t="s">
        <v>4803</v>
      </c>
      <c r="H8557" s="2" t="str">
        <f>IFERROR(__xludf.DUMMYFUNCTION("IF(G8557&lt;&gt;"""", GOOGLETRANSLATE(G8557, ""en"", ""te""),"""")"),"[ 'ప్రదర్శనలు (5 సం 175d) మధ్య 33 వ లాంగెస్ట్ వ్యవధిలో']")</f>
        <v>[ 'ప్రదర్శనలు (5 సం 175d) మధ్య 33 వ లాంగెస్ట్ వ్యవధిలో']</v>
      </c>
      <c r="I8557" s="3"/>
    </row>
    <row r="8558" customHeight="1" spans="1:9">
      <c r="A8558" s="2" t="s">
        <v>4804</v>
      </c>
      <c r="B8558" s="2" t="str">
        <f>IFERROR(__xludf.DUMMYFUNCTION("IF(A8558&lt;&gt;"""", GOOGLETRANSLATE(A8558, ""en"", ""te""),"""")"),"[ 'ఇన్నింగ్స్ (3) లో 1 వ అత్యంత స్టంపింగ్లు' 'ఒక సిరీస్లో 6 వ అత్యంత బాతులు (3)']")</f>
        <v>[ 'ఇన్నింగ్స్ (3) లో 1 వ అత్యంత స్టంపింగ్లు' 'ఒక సిరీస్లో 6 వ అత్యంత బాతులు (3)']</v>
      </c>
      <c r="C8558" s="2"/>
      <c r="D8558" s="2" t="str">
        <f>IFERROR(__xludf.DUMMYFUNCTION("IF(C8558&lt;&gt;"""", GOOGLETRANSLATE(C8558, ""en"", ""te""),"""")"),"")</f>
        <v/>
      </c>
      <c r="E8558" s="2" t="s">
        <v>4805</v>
      </c>
      <c r="F8558" s="2" t="str">
        <f>IFERROR(__xludf.DUMMYFUNCTION("IF(E8558&lt;&gt;"""", GOOGLETRANSLATE(E8558, ""en"", ""te""),"""")"),"[ '46 వ అత్యంత జీవితంలో వంద (1355) లేకుండా పరుగులు' '6 వ అత్యంత బాతులు వరుస (3)', '1 వ ఇన్నింగ్స్ లో వచ్చిన ఎక్కువ స్టంపింగ్లు (3)']")</f>
        <v>[ '46 వ అత్యంత జీవితంలో వంద (1355) లేకుండా పరుగులు' '6 వ అత్యంత బాతులు వరుస (3)', '1 వ ఇన్నింగ్స్ లో వచ్చిన ఎక్కువ స్టంపింగ్లు (3)']</v>
      </c>
      <c r="G8558" s="2" t="s">
        <v>4806</v>
      </c>
      <c r="H8558" s="2" t="str">
        <f>IFERROR(__xludf.DUMMYFUNCTION("IF(G8558&lt;&gt;"""", GOOGLETRANSLATE(G8558, ""en"", ""te""),"""")"),"[ 'తొలి వికెట్కు 30 వ అత్యధిక భాగస్వామ్యం (126 *)']")</f>
        <v>[ 'తొలి వికెట్కు 30 వ అత్యధిక భాగస్వామ్యం (126 *)']</v>
      </c>
      <c r="I8558" s="3"/>
    </row>
    <row r="8559" customHeight="1" spans="1:9">
      <c r="A8559" s="2"/>
      <c r="B8559" s="2" t="str">
        <f>IFERROR(__xludf.DUMMYFUNCTION("IF(A8559&lt;&gt;"""", GOOGLETRANSLATE(A8559, ""en"", ""te""),"""")"),"")</f>
        <v/>
      </c>
      <c r="C8559" s="2"/>
      <c r="D8559" s="2" t="str">
        <f>IFERROR(__xludf.DUMMYFUNCTION("IF(C8559&lt;&gt;"""", GOOGLETRANSLATE(C8559, ""en"", ""te""),"""")"),"")</f>
        <v/>
      </c>
      <c r="E8559" s="2" t="s">
        <v>4807</v>
      </c>
      <c r="F8559" s="2" t="str">
        <f>IFERROR(__xludf.DUMMYFUNCTION("IF(E8559&lt;&gt;"""", GOOGLETRANSLATE(E8559, ""en"", ""te""),"""")"),"[ '39 వ ఓల్డెస్ట్ క్రీడాకారులు (40y 123d)', '48 వ అత్యంత ఇన్నింగ్స్ లో సాధించిన పరుగులు (91)', '17 వ లాంగెస్ట్ కెరీర్లు (17y 323d)']")</f>
        <v>[ '39 వ ఓల్డెస్ట్ క్రీడాకారులు (40y 123d)', '48 వ అత్యంత ఇన్నింగ్స్ లో సాధించిన పరుగులు (91)', '17 వ లాంగెస్ట్ కెరీర్లు (17y 323d)']</v>
      </c>
      <c r="G8559" s="2" t="s">
        <v>2122</v>
      </c>
      <c r="H8559" s="2" t="str">
        <f>IFERROR(__xludf.DUMMYFUNCTION("IF(G8559&lt;&gt;"""", GOOGLETRANSLATE(G8559, ""en"", ""te""),"""")"),"[18 వ అత్యధిక పరుగులు ఇన్నింగ్స్ (61) లో సాధించిన]")</f>
        <v>[18 వ అత్యధిక పరుగులు ఇన్నింగ్స్ (61) లో సాధించిన]</v>
      </c>
      <c r="I8559" s="3"/>
    </row>
    <row r="8560" customHeight="1" spans="1:9">
      <c r="A8560" s="2" t="s">
        <v>4808</v>
      </c>
      <c r="B8560" s="2" t="str">
        <f>IFERROR(__xludf.DUMMYFUNCTION("IF(A8560&lt;&gt;"""", GOOGLETRANSLATE(A8560, ""en"", ""te""),"""")"),"[ '4 వ ఎక్కువ (బ్యాటింగ్ స్థానంలో ద్వారా) ఒక ఇన్నింగ్స్ లో నడుస్తుంది (84)', '1000 పరుగులు మరియు 100 వికెట్లు']")</f>
        <v>[ '4 వ ఎక్కువ (బ్యాటింగ్ స్థానంలో ద్వారా) ఒక ఇన్నింగ్స్ లో నడుస్తుంది (84)', '1000 పరుగులు మరియు 100 వికెట్లు']</v>
      </c>
      <c r="C8560" s="2"/>
      <c r="D8560" s="2" t="str">
        <f>IFERROR(__xludf.DUMMYFUNCTION("IF(C8560&lt;&gt;"""", GOOGLETRANSLATE(C8560, ""en"", ""te""),"""")"),"")</f>
        <v/>
      </c>
      <c r="E8560" s="2" t="s">
        <v>4809</v>
      </c>
      <c r="F8560" s="2" t="str">
        <f>IFERROR(__xludf.DUMMYFUNCTION("IF(E8560&lt;&gt;"""", GOOGLETRANSLATE(E8560, ""en"", ""te""),"""")"),"[ 'ఇన్నింగ్స్ లో 4 వ అత్యధిక పరుగులు (బ్యాటింగ్ స్థానంలో ప్రకారం) (84)', '40 వ ఒకే మైదానంలో అత్యధిక వికెట్లు (33)', 'ఇన్నింగ్స్ లో 48 వ బెస్ట్ ఆర్థిక రేటు (1.00)', '34 వ అత్యధిక వికెట్లు తీసుకున్న LBW (26) ',' ఏడవ వికెట్కు 11 వ అత్యధిక భాగస్వామ్యం (119) "&amp;"',' పదవ వికెట్ను (55 *) 25 వ అత్యధిక భాగస్వామ్యం ',' 44th పిన్న క్రీడాకారులు (17y 282d) ',' 15 వ లాంగెస్ట్ కెరీర్లు (17y 346d) ',' 35 వ పిన్న కాప్టెన్ (24y 210d) ']")</f>
        <v>[ 'ఇన్నింగ్స్ లో 4 వ అత్యధిక పరుగులు (బ్యాటింగ్ స్థానంలో ప్రకారం) (84)', '40 వ ఒకే మైదానంలో అత్యధిక వికెట్లు (33)', 'ఇన్నింగ్స్ లో 48 వ బెస్ట్ ఆర్థిక రేటు (1.00)', '34 వ అత్యధిక వికెట్లు తీసుకున్న LBW (26) ',' ఏడవ వికెట్కు 11 వ అత్యధిక భాగస్వామ్యం (119) ',' పదవ వికెట్ను (55 *) 25 వ అత్యధిక భాగస్వామ్యం ',' 44th పిన్న క్రీడాకారులు (17y 282d) ',' 15 వ లాంగెస్ట్ కెరీర్లు (17y 346d) ',' 35 వ పిన్న కాప్టెన్ (24y 210d) ']</v>
      </c>
      <c r="G8560" s="2" t="s">
        <v>4810</v>
      </c>
      <c r="H8560" s="2" t="str">
        <f>IFERROR(__xludf.DUMMYFUNCTION("IF(G8560&lt;&gt;"""", GOOGLETRANSLATE(G8560, ""en"", ""te""),"""")"),"[ 'ప్రదర్శనల మధ్య 40 వ లాంగెస్ట్ వ్యవధిలో (5 సం 107d)']")</f>
        <v>[ 'ప్రదర్శనల మధ్య 40 వ లాంగెస్ట్ వ్యవధిలో (5 సం 107d)']</v>
      </c>
      <c r="I8560" s="3"/>
    </row>
    <row r="8561" customHeight="1" spans="1:9">
      <c r="A8561" s="2"/>
      <c r="B8561" s="2" t="str">
        <f>IFERROR(__xludf.DUMMYFUNCTION("IF(A8561&lt;&gt;"""", GOOGLETRANSLATE(A8561, ""en"", ""te""),"""")"),"")</f>
        <v/>
      </c>
      <c r="C8561" s="2"/>
      <c r="D8561" s="2" t="str">
        <f>IFERROR(__xludf.DUMMYFUNCTION("IF(C8561&lt;&gt;"""", GOOGLETRANSLATE(C8561, ""en"", ""te""),"""")"),"")</f>
        <v/>
      </c>
      <c r="E8561" s="2" t="s">
        <v>4811</v>
      </c>
      <c r="F8561" s="2" t="str">
        <f>IFERROR(__xludf.DUMMYFUNCTION("IF(E8561&lt;&gt;"""", GOOGLETRANSLATE(E8561, ""en"", ""te""),"""")"),"[ '21 వ అత్యంత వికెట్కీపర్ శ్రేణిలో పరుగులు (356)', '26th అత్యధిక తొలి వంద (144)' 'వికెట్కీపర్గా (144) ద్వారా ఇన్నింగ్స్ లో 19 అత్యధిక పరుగులు', 'ఒక లో పరుగులు 29 వ అత్యధిక శాతం పూర్తి ఇన్నింగ్స్ (56.55) ',' 49 వ కెరీర్ లో అత్యధిక వికెట్లు (54) ',' 28th క"&amp;"ెరీర్ స్టంపింగ్లు (14) ', '21 వ ఒక సిరీస్లో అత్యధిక స్టంపింగ్లు (4)']")</f>
        <v>[ '21 వ అత్యంత వికెట్కీపర్ శ్రేణిలో పరుగులు (356)', '26th అత్యధిక తొలి వంద (144)' 'వికెట్కీపర్గా (144) ద్వారా ఇన్నింగ్స్ లో 19 అత్యధిక పరుగులు', 'ఒక లో పరుగులు 29 వ అత్యధిక శాతం పూర్తి ఇన్నింగ్స్ (56.55) ',' 49 వ కెరీర్ లో అత్యధిక వికెట్లు (54) ',' 28th కెరీర్ స్టంపింగ్లు (14) ', '21 వ ఒక సిరీస్లో అత్యధిక స్టంపింగ్లు (4)']</v>
      </c>
      <c r="G8561" s="2" t="s">
        <v>4812</v>
      </c>
      <c r="H8561" s="2" t="str">
        <f>IFERROR(__xludf.DUMMYFUNCTION("IF(G8561&lt;&gt;"""", GOOGLETRANSLATE(G8561, ""en"", ""te""),"""")"),"[ '34 వ పురాతన దేశం ఆటగాళ్ళు (49y 4D)']")</f>
        <v>[ '34 వ పురాతన దేశం ఆటగాళ్ళు (49y 4D)']</v>
      </c>
      <c r="I8561" s="3"/>
    </row>
    <row r="8562" customHeight="1" spans="1:9">
      <c r="A8562" s="2"/>
      <c r="B8562" s="2" t="str">
        <f>IFERROR(__xludf.DUMMYFUNCTION("IF(A8562&lt;&gt;"""", GOOGLETRANSLATE(A8562, ""en"", ""te""),"""")"),"")</f>
        <v/>
      </c>
      <c r="C8562" s="2"/>
      <c r="D8562" s="2" t="str">
        <f>IFERROR(__xludf.DUMMYFUNCTION("IF(C8562&lt;&gt;"""", GOOGLETRANSLATE(C8562, ""en"", ""te""),"""")"),"")</f>
        <v/>
      </c>
      <c r="E8562" s="2"/>
      <c r="F8562" s="2" t="str">
        <f>IFERROR(__xludf.DUMMYFUNCTION("IF(E8562&lt;&gt;"""", GOOGLETRANSLATE(E8562, ""en"", ""te""),"""")"),"")</f>
        <v/>
      </c>
      <c r="G8562" s="2" t="s">
        <v>4813</v>
      </c>
      <c r="H8562" s="2" t="str">
        <f>IFERROR(__xludf.DUMMYFUNCTION("IF(G8562&lt;&gt;"""", GOOGLETRANSLATE(G8562, ""en"", ""te""),"""")"),"[ 'ప్రదర్శనలు (5 సం 178d) మధ్య 31 లాంగెస్ట్ వ్యవధిలో']")</f>
        <v>[ 'ప్రదర్శనలు (5 సం 178d) మధ్య 31 లాంగెస్ట్ వ్యవధిలో']</v>
      </c>
      <c r="I8562" s="3"/>
    </row>
    <row r="8563" customHeight="1" spans="1:9">
      <c r="A8563" s="2"/>
      <c r="B8563" s="2" t="str">
        <f>IFERROR(__xludf.DUMMYFUNCTION("IF(A8563&lt;&gt;"""", GOOGLETRANSLATE(A8563, ""en"", ""te""),"""")"),"")</f>
        <v/>
      </c>
      <c r="C8563" s="2"/>
      <c r="D8563" s="2" t="str">
        <f>IFERROR(__xludf.DUMMYFUNCTION("IF(C8563&lt;&gt;"""", GOOGLETRANSLATE(C8563, ""en"", ""te""),"""")"),"")</f>
        <v/>
      </c>
      <c r="E8563" s="2"/>
      <c r="F8563" s="2" t="str">
        <f>IFERROR(__xludf.DUMMYFUNCTION("IF(E8563&lt;&gt;"""", GOOGLETRANSLATE(E8563, ""en"", ""te""),"""")"),"")</f>
        <v/>
      </c>
      <c r="G8563" s="2"/>
      <c r="H8563" s="2" t="str">
        <f>IFERROR(__xludf.DUMMYFUNCTION("IF(G8563&lt;&gt;"""", GOOGLETRANSLATE(G8563, ""en"", ""te""),"""")"),"")</f>
        <v/>
      </c>
      <c r="I8563" s="3"/>
    </row>
    <row r="8564" customHeight="1" spans="1:9">
      <c r="A8564" s="2"/>
      <c r="B8564" s="2" t="str">
        <f>IFERROR(__xludf.DUMMYFUNCTION("IF(A8564&lt;&gt;"""", GOOGLETRANSLATE(A8564, ""en"", ""te""),"""")"),"")</f>
        <v/>
      </c>
      <c r="C8564" s="2"/>
      <c r="D8564" s="2" t="str">
        <f>IFERROR(__xludf.DUMMYFUNCTION("IF(C8564&lt;&gt;"""", GOOGLETRANSLATE(C8564, ""en"", ""te""),"""")"),"")</f>
        <v/>
      </c>
      <c r="E8564" s="2"/>
      <c r="F8564" s="2" t="str">
        <f>IFERROR(__xludf.DUMMYFUNCTION("IF(E8564&lt;&gt;"""", GOOGLETRANSLATE(E8564, ""en"", ""te""),"""")"),"")</f>
        <v/>
      </c>
      <c r="G8564" s="2"/>
      <c r="H8564" s="2" t="str">
        <f>IFERROR(__xludf.DUMMYFUNCTION("IF(G8564&lt;&gt;"""", GOOGLETRANSLATE(G8564, ""en"", ""te""),"""")"),"")</f>
        <v/>
      </c>
      <c r="I8564" s="3"/>
    </row>
    <row r="8565" customHeight="1" spans="1:9">
      <c r="A8565" s="2"/>
      <c r="B8565" s="2" t="str">
        <f>IFERROR(__xludf.DUMMYFUNCTION("IF(A8565&lt;&gt;"""", GOOGLETRANSLATE(A8565, ""en"", ""te""),"""")"),"")</f>
        <v/>
      </c>
      <c r="C8565" s="2"/>
      <c r="D8565" s="2" t="str">
        <f>IFERROR(__xludf.DUMMYFUNCTION("IF(C8565&lt;&gt;"""", GOOGLETRANSLATE(C8565, ""en"", ""te""),"""")"),"")</f>
        <v/>
      </c>
      <c r="E8565" s="2"/>
      <c r="F8565" s="2" t="str">
        <f>IFERROR(__xludf.DUMMYFUNCTION("IF(E8565&lt;&gt;"""", GOOGLETRANSLATE(E8565, ""en"", ""te""),"""")"),"")</f>
        <v/>
      </c>
      <c r="G8565" s="2"/>
      <c r="H8565" s="2" t="str">
        <f>IFERROR(__xludf.DUMMYFUNCTION("IF(G8565&lt;&gt;"""", GOOGLETRANSLATE(G8565, ""en"", ""te""),"""")"),"")</f>
        <v/>
      </c>
      <c r="I8565" s="3"/>
    </row>
    <row r="8566" customHeight="1" spans="1:9">
      <c r="A8566" s="2"/>
      <c r="B8566" s="2" t="str">
        <f>IFERROR(__xludf.DUMMYFUNCTION("IF(A8566&lt;&gt;"""", GOOGLETRANSLATE(A8566, ""en"", ""te""),"""")"),"")</f>
        <v/>
      </c>
      <c r="C8566" s="2"/>
      <c r="D8566" s="2" t="str">
        <f>IFERROR(__xludf.DUMMYFUNCTION("IF(C8566&lt;&gt;"""", GOOGLETRANSLATE(C8566, ""en"", ""te""),"""")"),"")</f>
        <v/>
      </c>
      <c r="E8566" s="2" t="s">
        <v>4814</v>
      </c>
      <c r="F8566" s="2" t="str">
        <f>IFERROR(__xludf.DUMMYFUNCTION("IF(E8566&lt;&gt;"""", GOOGLETRANSLATE(E8566, ""en"", ""te""),"""")"),"[ '33 వ పిన్న కాప్టెన్ (24y 195d)']")</f>
        <v>[ '33 వ పిన్న కాప్టెన్ (24y 195d)']</v>
      </c>
      <c r="G8566" s="2" t="s">
        <v>4815</v>
      </c>
      <c r="H8566" s="2" t="str">
        <f>IFERROR(__xludf.DUMMYFUNCTION("IF(G8566&lt;&gt;"""", GOOGLETRANSLATE(G8566, ""en"", ""te""),"""")"),"[ '38 వ ఇన్నింగ్స్ లో అత్యధిక పరుగులు (బ్యాటింగ్ స్థానంలో ప్రకారం) (52)', '15 వ ఇన్నింగ్స్ లో అత్యధిక క్యాచ్లు (3)', 'ఏడవ వికెట్కు 36 వ అత్యధిక భాగస్వామ్యం (50)', '31 అత్యధిక ఎనిమిదవ కొరకు చేసిన భాగస్వామ్యం వికెట్ (38) ',' ఒక జట్టుకు 46 వ వరుస మ్యాచ్లు (2"&amp;"9) ',' ప్రదర్శనలు (5 సం 175d) మధ్య 33 వ లాంగెస్ట్ వ్యవధిలో ']")</f>
        <v>[ '38 వ ఇన్నింగ్స్ లో అత్యధిక పరుగులు (బ్యాటింగ్ స్థానంలో ప్రకారం) (52)', '15 వ ఇన్నింగ్స్ లో అత్యధిక క్యాచ్లు (3)', 'ఏడవ వికెట్కు 36 వ అత్యధిక భాగస్వామ్యం (50)', '31 అత్యధిక ఎనిమిదవ కొరకు చేసిన భాగస్వామ్యం వికెట్ (38) ',' ఒక జట్టుకు 46 వ వరుస మ్యాచ్లు (29) ',' ప్రదర్శనలు (5 సం 175d) మధ్య 33 వ లాంగెస్ట్ వ్యవధిలో ']</v>
      </c>
      <c r="I8566" s="3"/>
    </row>
    <row r="8567" customHeight="1" spans="1:9">
      <c r="A8567" s="2"/>
      <c r="B8567" s="2" t="str">
        <f>IFERROR(__xludf.DUMMYFUNCTION("IF(A8567&lt;&gt;"""", GOOGLETRANSLATE(A8567, ""en"", ""te""),"""")"),"")</f>
        <v/>
      </c>
      <c r="C8567" s="2"/>
      <c r="D8567" s="2" t="str">
        <f>IFERROR(__xludf.DUMMYFUNCTION("IF(C8567&lt;&gt;"""", GOOGLETRANSLATE(C8567, ""en"", ""te""),"""")"),"")</f>
        <v/>
      </c>
      <c r="E8567" s="2"/>
      <c r="F8567" s="2" t="str">
        <f>IFERROR(__xludf.DUMMYFUNCTION("IF(E8567&lt;&gt;"""", GOOGLETRANSLATE(E8567, ""en"", ""te""),"""")"),"")</f>
        <v/>
      </c>
      <c r="G8567" s="2"/>
      <c r="H8567" s="2" t="str">
        <f>IFERROR(__xludf.DUMMYFUNCTION("IF(G8567&lt;&gt;"""", GOOGLETRANSLATE(G8567, ""en"", ""te""),"""")"),"")</f>
        <v/>
      </c>
      <c r="I8567" s="3"/>
    </row>
    <row r="8568" customHeight="1" spans="1:9">
      <c r="A8568" s="2"/>
      <c r="B8568" s="2" t="str">
        <f>IFERROR(__xludf.DUMMYFUNCTION("IF(A8568&lt;&gt;"""", GOOGLETRANSLATE(A8568, ""en"", ""te""),"""")"),"")</f>
        <v/>
      </c>
      <c r="C8568" s="2"/>
      <c r="D8568" s="2" t="str">
        <f>IFERROR(__xludf.DUMMYFUNCTION("IF(C8568&lt;&gt;"""", GOOGLETRANSLATE(C8568, ""en"", ""te""),"""")"),"")</f>
        <v/>
      </c>
      <c r="E8568" s="2"/>
      <c r="F8568" s="2" t="str">
        <f>IFERROR(__xludf.DUMMYFUNCTION("IF(E8568&lt;&gt;"""", GOOGLETRANSLATE(E8568, ""en"", ""te""),"""")"),"")</f>
        <v/>
      </c>
      <c r="G8568" s="2"/>
      <c r="H8568" s="2" t="str">
        <f>IFERROR(__xludf.DUMMYFUNCTION("IF(G8568&lt;&gt;"""", GOOGLETRANSLATE(G8568, ""en"", ""te""),"""")"),"")</f>
        <v/>
      </c>
      <c r="I8568" s="3"/>
    </row>
    <row r="8569" customHeight="1" spans="1:9">
      <c r="A8569" s="2"/>
      <c r="B8569" s="2" t="str">
        <f>IFERROR(__xludf.DUMMYFUNCTION("IF(A8569&lt;&gt;"""", GOOGLETRANSLATE(A8569, ""en"", ""te""),"""")"),"")</f>
        <v/>
      </c>
      <c r="C8569" s="2"/>
      <c r="D8569" s="2" t="str">
        <f>IFERROR(__xludf.DUMMYFUNCTION("IF(C8569&lt;&gt;"""", GOOGLETRANSLATE(C8569, ""en"", ""te""),"""")"),"")</f>
        <v/>
      </c>
      <c r="E8569" s="2"/>
      <c r="F8569" s="2" t="str">
        <f>IFERROR(__xludf.DUMMYFUNCTION("IF(E8569&lt;&gt;"""", GOOGLETRANSLATE(E8569, ""en"", ""te""),"""")"),"")</f>
        <v/>
      </c>
      <c r="G8569" s="2"/>
      <c r="H8569" s="2" t="str">
        <f>IFERROR(__xludf.DUMMYFUNCTION("IF(G8569&lt;&gt;"""", GOOGLETRANSLATE(G8569, ""en"", ""te""),"""")"),"")</f>
        <v/>
      </c>
      <c r="I8569" s="3"/>
    </row>
    <row r="8570" customHeight="1" spans="1:9">
      <c r="A8570" s="2" t="s">
        <v>4816</v>
      </c>
      <c r="B8570" s="2" t="str">
        <f>IFERROR(__xludf.DUMMYFUNCTION("IF(A8570&lt;&gt;"""", GOOGLETRANSLATE(A8570, ""en"", ""te""),"""")"),"[ 'ఒక ఇన్నింగ్స్ లో 8 వ బెస్ట్ ఫిగర్స్ ఉన్నప్పుడు పరాజయం వైపు (4)', '10 వ ఉత్తమ కెరీర్ సగటు (అర్హత లేకుండా) బౌలింగ్ (4.50)', '4 వ ఉత్తమ తొలి ఇన్నింగ్స్లో గణాంకాలు (4)']")</f>
        <v>[ 'ఒక ఇన్నింగ్స్ లో 8 వ బెస్ట్ ఫిగర్స్ ఉన్నప్పుడు పరాజయం వైపు (4)', '10 వ ఉత్తమ కెరీర్ సగటు (అర్హత లేకుండా) బౌలింగ్ (4.50)', '4 వ ఉత్తమ తొలి ఇన్నింగ్స్లో గణాంకాలు (4)']</v>
      </c>
      <c r="C8570" s="2"/>
      <c r="D8570" s="2" t="str">
        <f>IFERROR(__xludf.DUMMYFUNCTION("IF(C8570&lt;&gt;"""", GOOGLETRANSLATE(C8570, ""en"", ""te""),"""")"),"")</f>
        <v/>
      </c>
      <c r="E8570" s="2"/>
      <c r="F8570" s="2" t="str">
        <f>IFERROR(__xludf.DUMMYFUNCTION("IF(E8570&lt;&gt;"""", GOOGLETRANSLATE(E8570, ""en"", ""te""),"""")"),"")</f>
        <v/>
      </c>
      <c r="G8570" s="2" t="s">
        <v>4816</v>
      </c>
      <c r="H8570" s="2" t="str">
        <f>IFERROR(__xludf.DUMMYFUNCTION("IF(G8570&lt;&gt;"""", GOOGLETRANSLATE(G8570, ""en"", ""te""),"""")"),"[ 'ఒక ఇన్నింగ్స్ లో 8 వ బెస్ట్ ఫిగర్స్ ఉన్నప్పుడు పరాజయం వైపు (4)', '10 వ ఉత్తమ కెరీర్ సగటు (అర్హత లేకుండా) బౌలింగ్ (4.50)', '4 వ ఉత్తమ తొలి ఇన్నింగ్స్లో గణాంకాలు (4)']")</f>
        <v>[ 'ఒక ఇన్నింగ్స్ లో 8 వ బెస్ట్ ఫిగర్స్ ఉన్నప్పుడు పరాజయం వైపు (4)', '10 వ ఉత్తమ కెరీర్ సగటు (అర్హత లేకుండా) బౌలింగ్ (4.50)', '4 వ ఉత్తమ తొలి ఇన్నింగ్స్లో గణాంకాలు (4)']</v>
      </c>
      <c r="I8570" s="3"/>
    </row>
    <row r="8571" customHeight="1" spans="1:9">
      <c r="A8571" s="2"/>
      <c r="B8571" s="2" t="str">
        <f>IFERROR(__xludf.DUMMYFUNCTION("IF(A8571&lt;&gt;"""", GOOGLETRANSLATE(A8571, ""en"", ""te""),"""")"),"")</f>
        <v/>
      </c>
      <c r="C8571" s="2"/>
      <c r="D8571" s="2" t="str">
        <f>IFERROR(__xludf.DUMMYFUNCTION("IF(C8571&lt;&gt;"""", GOOGLETRANSLATE(C8571, ""en"", ""te""),"""")"),"")</f>
        <v/>
      </c>
      <c r="E8571" s="2" t="s">
        <v>4817</v>
      </c>
      <c r="F8571" s="2" t="str">
        <f>IFERROR(__xludf.DUMMYFUNCTION("IF(E8571&lt;&gt;"""", GOOGLETRANSLATE(E8571, ""en"", ""te""),"""")"),"[ '12 వ చెత్త కెరీర్ బౌలింగ్ సరాసరి (55.95)', '29th చెత్త కెరీర్లో సమ్మె రేటు (61.6)']")</f>
        <v>[ '12 వ చెత్త కెరీర్ బౌలింగ్ సరాసరి (55.95)', '29th చెత్త కెరీర్లో సమ్మె రేటు (61.6)']</v>
      </c>
      <c r="G8571" s="2"/>
      <c r="H8571" s="2" t="str">
        <f>IFERROR(__xludf.DUMMYFUNCTION("IF(G8571&lt;&gt;"""", GOOGLETRANSLATE(G8571, ""en"", ""te""),"""")"),"")</f>
        <v/>
      </c>
      <c r="I8571" s="3"/>
    </row>
    <row r="8572" customHeight="1" spans="1:9">
      <c r="A8572" s="2"/>
      <c r="B8572" s="2" t="str">
        <f>IFERROR(__xludf.DUMMYFUNCTION("IF(A8572&lt;&gt;"""", GOOGLETRANSLATE(A8572, ""en"", ""te""),"""")"),"")</f>
        <v/>
      </c>
      <c r="C8572" s="2"/>
      <c r="D8572" s="2" t="str">
        <f>IFERROR(__xludf.DUMMYFUNCTION("IF(C8572&lt;&gt;"""", GOOGLETRANSLATE(C8572, ""en"", ""te""),"""")"),"")</f>
        <v/>
      </c>
      <c r="E8572" s="2" t="s">
        <v>4818</v>
      </c>
      <c r="F8572" s="2" t="str">
        <f>IFERROR(__xludf.DUMMYFUNCTION("IF(E8572&lt;&gt;"""", GOOGLETRANSLATE(E8572, ""en"", ""te""),"""")"),"[ '26 చెత్త కెరీర్ బౌలింగ్ సరాసరి (50.93)', '16 వ చెత్త కెరీర్లో సమ్మె రేటు (68.6)', 'ఇన్నింగ్స్ లో 20 వ చెత్త ఆర్థిక రేటు (11.57)']")</f>
        <v>[ '26 చెత్త కెరీర్ బౌలింగ్ సరాసరి (50.93)', '16 వ చెత్త కెరీర్లో సమ్మె రేటు (68.6)', 'ఇన్నింగ్స్ లో 20 వ చెత్త ఆర్థిక రేటు (11.57)']</v>
      </c>
      <c r="G8572" s="2"/>
      <c r="H8572" s="2" t="str">
        <f>IFERROR(__xludf.DUMMYFUNCTION("IF(G8572&lt;&gt;"""", GOOGLETRANSLATE(G8572, ""en"", ""te""),"""")"),"")</f>
        <v/>
      </c>
      <c r="I8572" s="3"/>
    </row>
    <row r="8573" customHeight="1" spans="1:9">
      <c r="A8573" s="2"/>
      <c r="B8573" s="2" t="str">
        <f>IFERROR(__xludf.DUMMYFUNCTION("IF(A8573&lt;&gt;"""", GOOGLETRANSLATE(A8573, ""en"", ""te""),"""")"),"")</f>
        <v/>
      </c>
      <c r="C8573" s="2"/>
      <c r="D8573" s="2" t="str">
        <f>IFERROR(__xludf.DUMMYFUNCTION("IF(C8573&lt;&gt;"""", GOOGLETRANSLATE(C8573, ""en"", ""te""),"""")"),"")</f>
        <v/>
      </c>
      <c r="E8573" s="2" t="s">
        <v>4819</v>
      </c>
      <c r="F8573" s="2" t="str">
        <f>IFERROR(__xludf.DUMMYFUNCTION("IF(E8573&lt;&gt;"""", GOOGLETRANSLATE(E8573, ""en"", ""te""),"""")"),"[ '14 వ అత్యంత వృద్ధ ఆటగాడు తొలి వంద (34y 146d) స్కోర్']")</f>
        <v>[ '14 వ అత్యంత వృద్ధ ఆటగాడు తొలి వంద (34y 146d) స్కోర్']</v>
      </c>
      <c r="G8573" s="2"/>
      <c r="H8573" s="2" t="str">
        <f>IFERROR(__xludf.DUMMYFUNCTION("IF(G8573&lt;&gt;"""", GOOGLETRANSLATE(G8573, ""en"", ""te""),"""")"),"")</f>
        <v/>
      </c>
      <c r="I8573" s="3"/>
    </row>
    <row r="8574" customHeight="1" spans="1:9">
      <c r="A8574" s="2"/>
      <c r="B8574" s="2" t="str">
        <f>IFERROR(__xludf.DUMMYFUNCTION("IF(A8574&lt;&gt;"""", GOOGLETRANSLATE(A8574, ""en"", ""te""),"""")"),"")</f>
        <v/>
      </c>
      <c r="C8574" s="2"/>
      <c r="D8574" s="2" t="str">
        <f>IFERROR(__xludf.DUMMYFUNCTION("IF(C8574&lt;&gt;"""", GOOGLETRANSLATE(C8574, ""en"", ""te""),"""")"),"")</f>
        <v/>
      </c>
      <c r="E8574" s="2" t="s">
        <v>4820</v>
      </c>
      <c r="F8574" s="2" t="str">
        <f>IFERROR(__xludf.DUMMYFUNCTION("IF(E8574&lt;&gt;"""", GOOGLETRANSLATE(E8574, ""en"", ""te""),"""")"),"[ '26 పిన్న క్రీడాకారులు (17y 42d)']")</f>
        <v>[ '26 పిన్న క్రీడాకారులు (17y 42d)']</v>
      </c>
      <c r="G8574" s="2"/>
      <c r="H8574" s="2" t="str">
        <f>IFERROR(__xludf.DUMMYFUNCTION("IF(G8574&lt;&gt;"""", GOOGLETRANSLATE(G8574, ""en"", ""te""),"""")"),"")</f>
        <v/>
      </c>
      <c r="I8574" s="3"/>
    </row>
    <row r="8575" customHeight="1" spans="1:9">
      <c r="A8575" s="2" t="s">
        <v>4821</v>
      </c>
      <c r="B8575" s="2" t="str">
        <f>IFERROR(__xludf.DUMMYFUNCTION("IF(A8575&lt;&gt;"""", GOOGLETRANSLATE(A8575, ""en"", ""te""),"""")"),"[ '6 వ అత్యుత్తమ బౌలింగ్ ఇన్నింగ్స్ లో విశ్లేషించడం (2/2)', '1000 పరుగులు, 50 వికెట్లు, 50 క్యాచ్లు', '1 వ అత్యుత్తమ బౌలింగ్ ఇన్నింగ్స్ లో విశ్లేషించడం (4/2)', '1 వ ఉత్తమ సమ్మె ఇన్నింగ్స్ లో రేటు (2.0) ']")</f>
        <v>[ '6 వ అత్యుత్తమ బౌలింగ్ ఇన్నింగ్స్ లో విశ్లేషించడం (2/2)', '1000 పరుగులు, 50 వికెట్లు, 50 క్యాచ్లు', '1 వ అత్యుత్తమ బౌలింగ్ ఇన్నింగ్స్ లో విశ్లేషించడం (4/2)', '1 వ ఉత్తమ సమ్మె ఇన్నింగ్స్ లో రేటు (2.0) ']</v>
      </c>
      <c r="C8575" s="2"/>
      <c r="D8575" s="2" t="str">
        <f>IFERROR(__xludf.DUMMYFUNCTION("IF(C8575&lt;&gt;"""", GOOGLETRANSLATE(C8575, ""en"", ""te""),"""")"),"")</f>
        <v/>
      </c>
      <c r="E8575" s="2" t="s">
        <v>4822</v>
      </c>
      <c r="F8575" s="2" t="str">
        <f>IFERROR(__xludf.DUMMYFUNCTION("IF(E8575&lt;&gt;"""", GOOGLETRANSLATE(E8575, ""en"", ""te""),"""")"),"[ '15 వ అత్యంత వృద్ధ ఆటగాడు వంద (37y 116d) స్కోర్', '6 వ అత్యుత్తమ బౌలింగ్ ఇన్నింగ్స్ లో విశ్లేషించడం (2/2)', 'ఒకే మైదానంలో 47 వ అత్యధిక వికెట్లు (31)', '26 ఒక ఇన్నింగ్స్ లోని బెస్ట్ ఫిగర్స్ ఒక కెప్టెన్తో (4) ',' 13 వ అత్యధిక వికెట్లు చిక్కుకున్న సిరీస్ "&amp;"(9) ',' 15 వ ఓల్డెస్ట్ క్రీడాకారులు (42y 212d) ',' 16 వ లాంగెస్ట్ కెరీర్లు (17y 339d లో తీసిన మరియు బౌల్డ్ (14) ',' 12 వ అత్యధిక క్యాచ్లు ) ',' 35 వ అత్యధిక మ్యాచ్లు కెప్టెన్గా (73) ',' ఒక జట్టు కెప్టెన్గా 21 వ వరుస మ్యాచ్లు (43) ',' 19 వ ఓల్డెస్ట్ కాప్టె"&amp;"న్ (39y 268d) ']")</f>
        <v>[ '15 వ అత్యంత వృద్ధ ఆటగాడు వంద (37y 116d) స్కోర్', '6 వ అత్యుత్తమ బౌలింగ్ ఇన్నింగ్స్ లో విశ్లేషించడం (2/2)', 'ఒకే మైదానంలో 47 వ అత్యధిక వికెట్లు (31)', '26 ఒక ఇన్నింగ్స్ లోని బెస్ట్ ఫిగర్స్ ఒక కెప్టెన్తో (4) ',' 13 వ అత్యధిక వికెట్లు చిక్కుకున్న సిరీస్ (9) ',' 15 వ ఓల్డెస్ట్ క్రీడాకారులు (42y 212d) ',' 16 వ లాంగెస్ట్ కెరీర్లు (17y 339d లో తీసిన మరియు బౌల్డ్ (14) ',' 12 వ అత్యధిక క్యాచ్లు ) ',' 35 వ అత్యధిక మ్యాచ్లు కెప్టెన్గా (73) ',' ఒక జట్టు కెప్టెన్గా 21 వ వరుస మ్యాచ్లు (43) ',' 19 వ ఓల్డెస్ట్ కాప్టెన్ (39y 268d) ']</v>
      </c>
      <c r="G8575" s="2" t="s">
        <v>4823</v>
      </c>
      <c r="H8575" s="2" t="str">
        <f>IFERROR(__xludf.DUMMYFUNCTION("IF(G8575&lt;&gt;"""", GOOGLETRANSLATE(G8575, ""en"", ""te""),"""")"),"[ '1st అత్యుత్తమ బౌలింగ్ ఇన్నింగ్స్ లో విశ్లేషించడం (4/2)', '38 వ ఓల్డెస్ట్ క్రీడాకారులు (42y 154d)' '1 వ ఉత్తమ సమ్మె ఇన్నింగ్స్ (2.0) లో రేటు', '24th పురాతన దేశం ఆటగాళ్ళు (49y 263d)', '37 వ ఓల్డెస్ట్ కాప్టెన్ (37y 40D)', 'కెప్టెన్సీ తొలి 37 వ ఓల్డెస్ట్ క"&amp;"ాప్టెన్ (36y 68d)', '21 వ వరుస మ్యాచ్లు బృందం (43) కెప్టెన్ గా ']")</f>
        <v>[ '1st అత్యుత్తమ బౌలింగ్ ఇన్నింగ్స్ లో విశ్లేషించడం (4/2)', '38 వ ఓల్డెస్ట్ క్రీడాకారులు (42y 154d)' '1 వ ఉత్తమ సమ్మె ఇన్నింగ్స్ (2.0) లో రేటు', '24th పురాతన దేశం ఆటగాళ్ళు (49y 263d)', '37 వ ఓల్డెస్ట్ కాప్టెన్ (37y 40D)', 'కెప్టెన్సీ తొలి 37 వ ఓల్డెస్ట్ కాప్టెన్ (36y 68d)', '21 వ వరుస మ్యాచ్లు బృందం (43) కెప్టెన్ గా ']</v>
      </c>
      <c r="I8575" s="3"/>
    </row>
    <row r="8576" customHeight="1" spans="1:9">
      <c r="A8576" s="2"/>
      <c r="B8576" s="2" t="str">
        <f>IFERROR(__xludf.DUMMYFUNCTION("IF(A8576&lt;&gt;"""", GOOGLETRANSLATE(A8576, ""en"", ""te""),"""")"),"")</f>
        <v/>
      </c>
      <c r="C8576" s="2"/>
      <c r="D8576" s="2" t="str">
        <f>IFERROR(__xludf.DUMMYFUNCTION("IF(C8576&lt;&gt;"""", GOOGLETRANSLATE(C8576, ""en"", ""te""),"""")"),"")</f>
        <v/>
      </c>
      <c r="E8576" s="2"/>
      <c r="F8576" s="2" t="str">
        <f>IFERROR(__xludf.DUMMYFUNCTION("IF(E8576&lt;&gt;"""", GOOGLETRANSLATE(E8576, ""en"", ""te""),"""")"),"")</f>
        <v/>
      </c>
      <c r="G8576" s="2"/>
      <c r="H8576" s="2" t="str">
        <f>IFERROR(__xludf.DUMMYFUNCTION("IF(G8576&lt;&gt;"""", GOOGLETRANSLATE(G8576, ""en"", ""te""),"""")"),"")</f>
        <v/>
      </c>
      <c r="I8576" s="3"/>
    </row>
    <row r="8577" customHeight="1" spans="1:9">
      <c r="A8577" s="2"/>
      <c r="B8577" s="2" t="str">
        <f>IFERROR(__xludf.DUMMYFUNCTION("IF(A8577&lt;&gt;"""", GOOGLETRANSLATE(A8577, ""en"", ""te""),"""")"),"")</f>
        <v/>
      </c>
      <c r="C8577" s="2"/>
      <c r="D8577" s="2" t="str">
        <f>IFERROR(__xludf.DUMMYFUNCTION("IF(C8577&lt;&gt;"""", GOOGLETRANSLATE(C8577, ""en"", ""te""),"""")"),"")</f>
        <v/>
      </c>
      <c r="E8577" s="2"/>
      <c r="F8577" s="2" t="str">
        <f>IFERROR(__xludf.DUMMYFUNCTION("IF(E8577&lt;&gt;"""", GOOGLETRANSLATE(E8577, ""en"", ""te""),"""")"),"")</f>
        <v/>
      </c>
      <c r="G8577" s="2"/>
      <c r="H8577" s="2" t="str">
        <f>IFERROR(__xludf.DUMMYFUNCTION("IF(G8577&lt;&gt;"""", GOOGLETRANSLATE(G8577, ""en"", ""te""),"""")"),"")</f>
        <v/>
      </c>
      <c r="I8577" s="3"/>
    </row>
    <row r="8578" customHeight="1" spans="1:9">
      <c r="A8578" s="2" t="s">
        <v>175</v>
      </c>
      <c r="B8578" s="2" t="str">
        <f>IFERROR(__xludf.DUMMYFUNCTION("IF(A8578&lt;&gt;"""", GOOGLETRANSLATE(A8578, ""en"", ""te""),"""")"),"[ 'ఒక సిరీస్లో 6 వ అత్యంత బాతులు (3)']")</f>
        <v>[ 'ఒక సిరీస్లో 6 వ అత్యంత బాతులు (3)']</v>
      </c>
      <c r="C8578" s="2"/>
      <c r="D8578" s="2" t="str">
        <f>IFERROR(__xludf.DUMMYFUNCTION("IF(C8578&lt;&gt;"""", GOOGLETRANSLATE(C8578, ""en"", ""te""),"""")"),"")</f>
        <v/>
      </c>
      <c r="E8578" s="2" t="s">
        <v>4824</v>
      </c>
      <c r="F8578" s="2" t="str">
        <f>IFERROR(__xludf.DUMMYFUNCTION("IF(E8578&lt;&gt;"""", GOOGLETRANSLATE(E8578, ""en"", ""te""),"""")"),"[ '36 వ అత్యంత ఇన్నింగ్స్ ముందు మొదటి డక్ (32)', '6 వ ఒక సిరీస్లో అత్యధిక బాతులు (3)']")</f>
        <v>[ '36 వ అత్యంత ఇన్నింగ్స్ ముందు మొదటి డక్ (32)', '6 వ ఒక సిరీస్లో అత్యధిక బాతులు (3)']</v>
      </c>
      <c r="G8578" s="2" t="s">
        <v>4825</v>
      </c>
      <c r="H8578" s="2" t="str">
        <f>IFERROR(__xludf.DUMMYFUNCTION("IF(G8578&lt;&gt;"""", GOOGLETRANSLATE(G8578, ""en"", ""te""),"""")"),"[ 'పదవ వికెట్కు 20 వ అత్యధిక భాగస్వామ్యం (21 *)']")</f>
        <v>[ 'పదవ వికెట్కు 20 వ అత్యధిక భాగస్వామ్యం (21 *)']</v>
      </c>
      <c r="I8578" s="3"/>
    </row>
    <row r="8579" customHeight="1" spans="1:9">
      <c r="A8579" s="2"/>
      <c r="B8579" s="2" t="str">
        <f>IFERROR(__xludf.DUMMYFUNCTION("IF(A8579&lt;&gt;"""", GOOGLETRANSLATE(A8579, ""en"", ""te""),"""")"),"")</f>
        <v/>
      </c>
      <c r="C8579" s="2"/>
      <c r="D8579" s="2" t="str">
        <f>IFERROR(__xludf.DUMMYFUNCTION("IF(C8579&lt;&gt;"""", GOOGLETRANSLATE(C8579, ""en"", ""te""),"""")"),"")</f>
        <v/>
      </c>
      <c r="E8579" s="2" t="s">
        <v>1967</v>
      </c>
      <c r="F8579" s="2" t="str">
        <f>IFERROR(__xludf.DUMMYFUNCTION("IF(E8579&lt;&gt;"""", GOOGLETRANSLATE(E8579, ""en"", ""te""),"""")"),"[ '45 వ ఉత్తమ కెరీర్ బౌలింగ్ సరాసరి (అర్హత లేకుండా) (14.00)']")</f>
        <v>[ '45 వ ఉత్తమ కెరీర్ బౌలింగ్ సరాసరి (అర్హత లేకుండా) (14.00)']</v>
      </c>
      <c r="G8579" s="2"/>
      <c r="H8579" s="2" t="str">
        <f>IFERROR(__xludf.DUMMYFUNCTION("IF(G8579&lt;&gt;"""", GOOGLETRANSLATE(G8579, ""en"", ""te""),"""")"),"")</f>
        <v/>
      </c>
      <c r="I8579" s="3"/>
    </row>
    <row r="8580" customHeight="1" spans="1:9">
      <c r="A8580" s="2"/>
      <c r="B8580" s="2" t="str">
        <f>IFERROR(__xludf.DUMMYFUNCTION("IF(A8580&lt;&gt;"""", GOOGLETRANSLATE(A8580, ""en"", ""te""),"""")"),"")</f>
        <v/>
      </c>
      <c r="C8580" s="2"/>
      <c r="D8580" s="2" t="str">
        <f>IFERROR(__xludf.DUMMYFUNCTION("IF(C8580&lt;&gt;"""", GOOGLETRANSLATE(C8580, ""en"", ""te""),"""")"),"")</f>
        <v/>
      </c>
      <c r="E8580" s="2"/>
      <c r="F8580" s="2" t="str">
        <f>IFERROR(__xludf.DUMMYFUNCTION("IF(E8580&lt;&gt;"""", GOOGLETRANSLATE(E8580, ""en"", ""te""),"""")"),"")</f>
        <v/>
      </c>
      <c r="G8580" s="2"/>
      <c r="H8580" s="2" t="str">
        <f>IFERROR(__xludf.DUMMYFUNCTION("IF(G8580&lt;&gt;"""", GOOGLETRANSLATE(G8580, ""en"", ""te""),"""")"),"")</f>
        <v/>
      </c>
      <c r="I8580" s="3"/>
    </row>
    <row r="8581" customHeight="1" spans="1:9">
      <c r="A8581" s="2"/>
      <c r="B8581" s="2" t="str">
        <f>IFERROR(__xludf.DUMMYFUNCTION("IF(A8581&lt;&gt;"""", GOOGLETRANSLATE(A8581, ""en"", ""te""),"""")"),"")</f>
        <v/>
      </c>
      <c r="C8581" s="2"/>
      <c r="D8581" s="2" t="str">
        <f>IFERROR(__xludf.DUMMYFUNCTION("IF(C8581&lt;&gt;"""", GOOGLETRANSLATE(C8581, ""en"", ""te""),"""")"),"")</f>
        <v/>
      </c>
      <c r="E8581" s="2"/>
      <c r="F8581" s="2" t="str">
        <f>IFERROR(__xludf.DUMMYFUNCTION("IF(E8581&lt;&gt;"""", GOOGLETRANSLATE(E8581, ""en"", ""te""),"""")"),"")</f>
        <v/>
      </c>
      <c r="G8581" s="2"/>
      <c r="H8581" s="2" t="str">
        <f>IFERROR(__xludf.DUMMYFUNCTION("IF(G8581&lt;&gt;"""", GOOGLETRANSLATE(G8581, ""en"", ""te""),"""")"),"")</f>
        <v/>
      </c>
      <c r="I8581" s="3"/>
    </row>
    <row r="8582" customHeight="1" spans="1:9">
      <c r="A8582" s="2"/>
      <c r="B8582" s="2" t="str">
        <f>IFERROR(__xludf.DUMMYFUNCTION("IF(A8582&lt;&gt;"""", GOOGLETRANSLATE(A8582, ""en"", ""te""),"""")"),"")</f>
        <v/>
      </c>
      <c r="C8582" s="2"/>
      <c r="D8582" s="2" t="str">
        <f>IFERROR(__xludf.DUMMYFUNCTION("IF(C8582&lt;&gt;"""", GOOGLETRANSLATE(C8582, ""en"", ""te""),"""")"),"")</f>
        <v/>
      </c>
      <c r="E8582" s="2"/>
      <c r="F8582" s="2" t="str">
        <f>IFERROR(__xludf.DUMMYFUNCTION("IF(E8582&lt;&gt;"""", GOOGLETRANSLATE(E8582, ""en"", ""te""),"""")"),"")</f>
        <v/>
      </c>
      <c r="G8582" s="2"/>
      <c r="H8582" s="2" t="str">
        <f>IFERROR(__xludf.DUMMYFUNCTION("IF(G8582&lt;&gt;"""", GOOGLETRANSLATE(G8582, ""en"", ""te""),"""")"),"")</f>
        <v/>
      </c>
      <c r="I8582" s="3"/>
    </row>
    <row r="8583" customHeight="1" spans="1:9">
      <c r="A8583" s="2"/>
      <c r="B8583" s="2" t="str">
        <f>IFERROR(__xludf.DUMMYFUNCTION("IF(A8583&lt;&gt;"""", GOOGLETRANSLATE(A8583, ""en"", ""te""),"""")"),"")</f>
        <v/>
      </c>
      <c r="C8583" s="2"/>
      <c r="D8583" s="2" t="str">
        <f>IFERROR(__xludf.DUMMYFUNCTION("IF(C8583&lt;&gt;"""", GOOGLETRANSLATE(C8583, ""en"", ""te""),"""")"),"")</f>
        <v/>
      </c>
      <c r="E8583" s="2"/>
      <c r="F8583" s="2" t="str">
        <f>IFERROR(__xludf.DUMMYFUNCTION("IF(E8583&lt;&gt;"""", GOOGLETRANSLATE(E8583, ""en"", ""te""),"""")"),"")</f>
        <v/>
      </c>
      <c r="G8583" s="2"/>
      <c r="H8583" s="2" t="str">
        <f>IFERROR(__xludf.DUMMYFUNCTION("IF(G8583&lt;&gt;"""", GOOGLETRANSLATE(G8583, ""en"", ""te""),"""")"),"")</f>
        <v/>
      </c>
      <c r="I8583" s="3"/>
    </row>
    <row r="8584" customHeight="1" spans="1:9">
      <c r="A8584" s="2" t="s">
        <v>3536</v>
      </c>
      <c r="B8584" s="2" t="str">
        <f>IFERROR(__xludf.DUMMYFUNCTION("IF(A8584&lt;&gt;"""", GOOGLETRANSLATE(A8584, ""en"", ""te""),"""")"),"[ 'ఎనిమిదవ వికెట్కు 4 వ అత్యధిక భాగస్వామ్యం (59 *)']")</f>
        <v>[ 'ఎనిమిదవ వికెట్కు 4 వ అత్యధిక భాగస్వామ్యం (59 *)']</v>
      </c>
      <c r="C8584" s="2"/>
      <c r="D8584" s="2" t="str">
        <f>IFERROR(__xludf.DUMMYFUNCTION("IF(C8584&lt;&gt;"""", GOOGLETRANSLATE(C8584, ""en"", ""te""),"""")"),"")</f>
        <v/>
      </c>
      <c r="E8584" s="2" t="s">
        <v>4826</v>
      </c>
      <c r="F8584" s="2" t="str">
        <f>IFERROR(__xludf.DUMMYFUNCTION("IF(E8584&lt;&gt;"""", GOOGLETRANSLATE(E8584, ""en"", ""te""),"""")"),"[ 'ఏడవ వికెట్కు 29 అత్యధిక భాగస్వామ్యం (107)', 'కెప్టెన్సీ తొలి 21 వ ఓల్డెస్ట్ కాప్టెన్ (36y 40D)']")</f>
        <v>[ 'ఏడవ వికెట్కు 29 అత్యధిక భాగస్వామ్యం (107)', 'కెప్టెన్సీ తొలి 21 వ ఓల్డెస్ట్ కాప్టెన్ (36y 40D)']</v>
      </c>
      <c r="G8584" s="2" t="s">
        <v>4827</v>
      </c>
      <c r="H8584" s="2" t="str">
        <f>IFERROR(__xludf.DUMMYFUNCTION("IF(G8584&lt;&gt;"""", GOOGLETRANSLATE(G8584, ""en"", ""te""),"""")"),"[ 'ఇన్నింగ్స్ లో 17 వ అత్యధిక పరుగులు (బ్యాటింగ్ స్థానంలో ప్రకారం) (76)', 'ఒక కెప్టెన్తో 46 వ ఇన్నింగ్స్ లో అత్యధిక పరుగులు (76)', 'ఒక క్యాలెండర్ సంవత్సరంలో 23 వ అత్యధిక వికెట్లు (22)', '43 వ అత్యధిక వికెట్లు ఒకే నేలపై (11) ',' ఒక కెప్టెన్తో ఒక ఇన్నింగ్స"&amp;"్ లో 20 వ బెస్ట్ ఫిగర్స్ (3) ',' 30 వ అత్యధిక వికెట్లు తీసుకున్న బౌల్డ్ (12) ',' ఎనిమిదవ వికెట్ (59 *) 4 వ అత్యధిక భాగస్వామ్యం ',' 42 వ తొమ్మిదవ వికెట్కు అత్యధిక భాగస్వామ్యం (27) ',' 46 వ ఓల్డెస్ట్ కాప్టెన్ (36y 197d) ',' కెప్టెన్సీ తొలి 43 వ ఓల్డెస్ట్ కా"&amp;"ప్టెన్ (35y 214d) ']")</f>
        <v>[ 'ఇన్నింగ్స్ లో 17 వ అత్యధిక పరుగులు (బ్యాటింగ్ స్థానంలో ప్రకారం) (76)', 'ఒక కెప్టెన్తో 46 వ ఇన్నింగ్స్ లో అత్యధిక పరుగులు (76)', 'ఒక క్యాలెండర్ సంవత్సరంలో 23 వ అత్యధిక వికెట్లు (22)', '43 వ అత్యధిక వికెట్లు ఒకే నేలపై (11) ',' ఒక కెప్టెన్తో ఒక ఇన్నింగ్స్ లో 20 వ బెస్ట్ ఫిగర్స్ (3) ',' 30 వ అత్యధిక వికెట్లు తీసుకున్న బౌల్డ్ (12) ',' ఎనిమిదవ వికెట్ (59 *) 4 వ అత్యధిక భాగస్వామ్యం ',' 42 వ తొమ్మిదవ వికెట్కు అత్యధిక భాగస్వామ్యం (27) ',' 46 వ ఓల్డెస్ట్ కాప్టెన్ (36y 197d) ',' కెప్టెన్సీ తొలి 43 వ ఓల్డెస్ట్ కాప్టెన్ (35y 214d) ']</v>
      </c>
      <c r="I8584" s="3"/>
    </row>
    <row r="8585" customHeight="1" spans="1:9">
      <c r="A8585" s="2" t="s">
        <v>4828</v>
      </c>
      <c r="B8585" s="2" t="str">
        <f>IFERROR(__xludf.DUMMYFUNCTION("IF(A8585&lt;&gt;"""", GOOGLETRANSLATE(A8585, ""en"", ""te""),"""")"),"[ 'ఒక కెప్టెన్తో ఒక ఇన్నింగ్స్ లో 6 వ ఉత్తమ బొమ్మలు (5)', '3 వ చెత్త కెరీర్లో సమ్మె రేటు (28.7)']")</f>
        <v>[ 'ఒక కెప్టెన్తో ఒక ఇన్నింగ్స్ లో 6 వ ఉత్తమ బొమ్మలు (5)', '3 వ చెత్త కెరీర్లో సమ్మె రేటు (28.7)']</v>
      </c>
      <c r="C8585" s="2"/>
      <c r="D8585" s="2" t="str">
        <f>IFERROR(__xludf.DUMMYFUNCTION("IF(C8585&lt;&gt;"""", GOOGLETRANSLATE(C8585, ""en"", ""te""),"""")"),"")</f>
        <v/>
      </c>
      <c r="E8585" s="2" t="s">
        <v>4829</v>
      </c>
      <c r="F8585" s="2" t="str">
        <f>IFERROR(__xludf.DUMMYFUNCTION("IF(E8585&lt;&gt;"""", GOOGLETRANSLATE(E8585, ""en"", ""te""),"""")"),"[ 'ఒక కెప్టెన్తో ఒక ఇన్నింగ్స్ లో 6 వ ఉత్తమ బొమ్మలు (5)', '32 వ అత్యంత వృద్ధ ఆటగాడు తొలి తీసుకుని ఐదు-వికెట్ల లో-ఒక-ఇన్నింగ్స్ (31y 91d)']")</f>
        <v>[ 'ఒక కెప్టెన్తో ఒక ఇన్నింగ్స్ లో 6 వ ఉత్తమ బొమ్మలు (5)', '32 వ అత్యంత వృద్ధ ఆటగాడు తొలి తీసుకుని ఐదు-వికెట్ల లో-ఒక-ఇన్నింగ్స్ (31y 91d)']</v>
      </c>
      <c r="G8585" s="2" t="s">
        <v>4830</v>
      </c>
      <c r="H8585" s="2" t="str">
        <f>IFERROR(__xludf.DUMMYFUNCTION("IF(G8585&lt;&gt;"""", GOOGLETRANSLATE(G8585, ""en"", ""te""),"""")"),"[ '7th ఉత్తమ కెరీర్ ఆర్థిక రేటు (6.28)', '17 వ చెత్త కెరీర్ సగటు (30.13) బౌలింగ్', '3 వ చెత్త కెరీర్లో సమ్మె రేటు (28.7)', '48 వ కెరీర్ లో బౌల్డ్ చాలా బంతుల్లో (834)', '48 వ అత్యధిక భాగస్వామ్యం ఎనిమిదవ వికెట్కు (34) ',' పదవ వికెట్కు 41 వ అత్యధిక భాగస్వామ్"&amp;"యం (16 *) ']")</f>
        <v>[ '7th ఉత్తమ కెరీర్ ఆర్థిక రేటు (6.28)', '17 వ చెత్త కెరీర్ సగటు (30.13) బౌలింగ్', '3 వ చెత్త కెరీర్లో సమ్మె రేటు (28.7)', '48 వ కెరీర్ లో బౌల్డ్ చాలా బంతుల్లో (834)', '48 వ అత్యధిక భాగస్వామ్యం ఎనిమిదవ వికెట్కు (34) ',' పదవ వికెట్కు 41 వ అత్యధిక భాగస్వామ్యం (16 *) ']</v>
      </c>
      <c r="I8585" s="3"/>
    </row>
    <row r="8586" customHeight="1" spans="1:9">
      <c r="A8586" s="2"/>
      <c r="B8586" s="2" t="str">
        <f>IFERROR(__xludf.DUMMYFUNCTION("IF(A8586&lt;&gt;"""", GOOGLETRANSLATE(A8586, ""en"", ""te""),"""")"),"")</f>
        <v/>
      </c>
      <c r="C8586" s="2"/>
      <c r="D8586" s="2" t="str">
        <f>IFERROR(__xludf.DUMMYFUNCTION("IF(C8586&lt;&gt;"""", GOOGLETRANSLATE(C8586, ""en"", ""te""),"""")"),"")</f>
        <v/>
      </c>
      <c r="E8586" s="2"/>
      <c r="F8586" s="2" t="str">
        <f>IFERROR(__xludf.DUMMYFUNCTION("IF(E8586&lt;&gt;"""", GOOGLETRANSLATE(E8586, ""en"", ""te""),"""")"),"")</f>
        <v/>
      </c>
      <c r="G8586" s="2"/>
      <c r="H8586" s="2" t="str">
        <f>IFERROR(__xludf.DUMMYFUNCTION("IF(G8586&lt;&gt;"""", GOOGLETRANSLATE(G8586, ""en"", ""te""),"""")"),"")</f>
        <v/>
      </c>
      <c r="I8586" s="3"/>
    </row>
    <row r="8587" customHeight="1" spans="1:9">
      <c r="A8587" s="2"/>
      <c r="B8587" s="2" t="str">
        <f>IFERROR(__xludf.DUMMYFUNCTION("IF(A8587&lt;&gt;"""", GOOGLETRANSLATE(A8587, ""en"", ""te""),"""")"),"")</f>
        <v/>
      </c>
      <c r="C8587" s="2"/>
      <c r="D8587" s="2" t="str">
        <f>IFERROR(__xludf.DUMMYFUNCTION("IF(C8587&lt;&gt;"""", GOOGLETRANSLATE(C8587, ""en"", ""te""),"""")"),"")</f>
        <v/>
      </c>
      <c r="E8587" s="2"/>
      <c r="F8587" s="2" t="str">
        <f>IFERROR(__xludf.DUMMYFUNCTION("IF(E8587&lt;&gt;"""", GOOGLETRANSLATE(E8587, ""en"", ""te""),"""")"),"")</f>
        <v/>
      </c>
      <c r="G8587" s="2"/>
      <c r="H8587" s="2" t="str">
        <f>IFERROR(__xludf.DUMMYFUNCTION("IF(G8587&lt;&gt;"""", GOOGLETRANSLATE(G8587, ""en"", ""te""),"""")"),"")</f>
        <v/>
      </c>
      <c r="I8587" s="3"/>
    </row>
    <row r="8588" customHeight="1" spans="1:9">
      <c r="A8588" s="2"/>
      <c r="B8588" s="2" t="str">
        <f>IFERROR(__xludf.DUMMYFUNCTION("IF(A8588&lt;&gt;"""", GOOGLETRANSLATE(A8588, ""en"", ""te""),"""")"),"")</f>
        <v/>
      </c>
      <c r="C8588" s="2"/>
      <c r="D8588" s="2" t="str">
        <f>IFERROR(__xludf.DUMMYFUNCTION("IF(C8588&lt;&gt;"""", GOOGLETRANSLATE(C8588, ""en"", ""te""),"""")"),"")</f>
        <v/>
      </c>
      <c r="E8588" s="2"/>
      <c r="F8588" s="2" t="str">
        <f>IFERROR(__xludf.DUMMYFUNCTION("IF(E8588&lt;&gt;"""", GOOGLETRANSLATE(E8588, ""en"", ""te""),"""")"),"")</f>
        <v/>
      </c>
      <c r="G8588" s="2"/>
      <c r="H8588" s="2" t="str">
        <f>IFERROR(__xludf.DUMMYFUNCTION("IF(G8588&lt;&gt;"""", GOOGLETRANSLATE(G8588, ""en"", ""te""),"""")"),"")</f>
        <v/>
      </c>
      <c r="I8588" s="3"/>
    </row>
    <row r="8589" customHeight="1" spans="1:9">
      <c r="A8589" s="2"/>
      <c r="B8589" s="2" t="str">
        <f>IFERROR(__xludf.DUMMYFUNCTION("IF(A8589&lt;&gt;"""", GOOGLETRANSLATE(A8589, ""en"", ""te""),"""")"),"")</f>
        <v/>
      </c>
      <c r="C8589" s="2"/>
      <c r="D8589" s="2" t="str">
        <f>IFERROR(__xludf.DUMMYFUNCTION("IF(C8589&lt;&gt;"""", GOOGLETRANSLATE(C8589, ""en"", ""te""),"""")"),"")</f>
        <v/>
      </c>
      <c r="E8589" s="2"/>
      <c r="F8589" s="2" t="str">
        <f>IFERROR(__xludf.DUMMYFUNCTION("IF(E8589&lt;&gt;"""", GOOGLETRANSLATE(E8589, ""en"", ""te""),"""")"),"")</f>
        <v/>
      </c>
      <c r="G8589" s="2" t="s">
        <v>4831</v>
      </c>
      <c r="H8589" s="2" t="str">
        <f>IFERROR(__xludf.DUMMYFUNCTION("IF(G8589&lt;&gt;"""", GOOGLETRANSLATE(G8589, ""en"", ""te""),"""")"),"[ '31 ఇన్నింగ్స్ లో వచ్చిన ఎక్కువ ఫోర్లు (11)', 'రెండవ వికెట్ (111) కోసం 33 వ అత్యధిక భాగస్వామ్యం']")</f>
        <v>[ '31 ఇన్నింగ్స్ లో వచ్చిన ఎక్కువ ఫోర్లు (11)', 'రెండవ వికెట్ (111) కోసం 33 వ అత్యధిక భాగస్వామ్యం']</v>
      </c>
      <c r="I8589" s="3"/>
    </row>
    <row r="8590" customHeight="1" spans="1:9">
      <c r="A8590" s="2"/>
      <c r="B8590" s="2" t="str">
        <f>IFERROR(__xludf.DUMMYFUNCTION("IF(A8590&lt;&gt;"""", GOOGLETRANSLATE(A8590, ""en"", ""te""),"""")"),"")</f>
        <v/>
      </c>
      <c r="C8590" s="2"/>
      <c r="D8590" s="2" t="str">
        <f>IFERROR(__xludf.DUMMYFUNCTION("IF(C8590&lt;&gt;"""", GOOGLETRANSLATE(C8590, ""en"", ""te""),"""")"),"")</f>
        <v/>
      </c>
      <c r="E8590" s="2"/>
      <c r="F8590" s="2" t="str">
        <f>IFERROR(__xludf.DUMMYFUNCTION("IF(E8590&lt;&gt;"""", GOOGLETRANSLATE(E8590, ""en"", ""te""),"""")"),"")</f>
        <v/>
      </c>
      <c r="G8590" s="2"/>
      <c r="H8590" s="2" t="str">
        <f>IFERROR(__xludf.DUMMYFUNCTION("IF(G8590&lt;&gt;"""", GOOGLETRANSLATE(G8590, ""en"", ""te""),"""")"),"")</f>
        <v/>
      </c>
      <c r="I8590" s="3"/>
    </row>
    <row r="8591" customHeight="1" spans="1:9">
      <c r="A8591" s="2" t="s">
        <v>4832</v>
      </c>
      <c r="B8591" s="2" t="str">
        <f>IFERROR(__xludf.DUMMYFUNCTION("IF(A8591&lt;&gt;"""", GOOGLETRANSLATE(A8591, ""en"", ""te""),"""")"),"[ '5 వ చెత్త కెరీర్ బౌలింగ్ సరాసరి (అర్హత లేకుండా) (198.00)']")</f>
        <v>[ '5 వ చెత్త కెరీర్ బౌలింగ్ సరాసరి (అర్హత లేకుండా) (198.00)']</v>
      </c>
      <c r="C8591" s="2"/>
      <c r="D8591" s="2" t="str">
        <f>IFERROR(__xludf.DUMMYFUNCTION("IF(C8591&lt;&gt;"""", GOOGLETRANSLATE(C8591, ""en"", ""te""),"""")"),"")</f>
        <v/>
      </c>
      <c r="E8591" s="2" t="s">
        <v>4833</v>
      </c>
      <c r="F8591" s="2" t="str">
        <f>IFERROR(__xludf.DUMMYFUNCTION("IF(E8591&lt;&gt;"""", GOOGLETRANSLATE(E8591, ""en"", ""te""),"""")"),"[ '5 వ చెత్త కెరీర్ సగటు (198.00) (అర్హత లేకుండా) బౌలింగ్', '21 వ అత్యధిక భాగస్వామ్యం తొమ్మిదవ వికెట్కు (80 *) ']")</f>
        <v>[ '5 వ చెత్త కెరీర్ సగటు (198.00) (అర్హత లేకుండా) బౌలింగ్', '21 వ అత్యధిక భాగస్వామ్యం తొమ్మిదవ వికెట్కు (80 *) ']</v>
      </c>
      <c r="G8591" s="2"/>
      <c r="H8591" s="2" t="str">
        <f>IFERROR(__xludf.DUMMYFUNCTION("IF(G8591&lt;&gt;"""", GOOGLETRANSLATE(G8591, ""en"", ""te""),"""")"),"")</f>
        <v/>
      </c>
      <c r="I8591" s="3"/>
    </row>
    <row r="8592" customHeight="1" spans="1:9">
      <c r="A8592" s="2"/>
      <c r="B8592" s="2" t="str">
        <f>IFERROR(__xludf.DUMMYFUNCTION("IF(A8592&lt;&gt;"""", GOOGLETRANSLATE(A8592, ""en"", ""te""),"""")"),"")</f>
        <v/>
      </c>
      <c r="C8592" s="2"/>
      <c r="D8592" s="2" t="str">
        <f>IFERROR(__xludf.DUMMYFUNCTION("IF(C8592&lt;&gt;"""", GOOGLETRANSLATE(C8592, ""en"", ""te""),"""")"),"")</f>
        <v/>
      </c>
      <c r="E8592" s="2" t="s">
        <v>2909</v>
      </c>
      <c r="F8592" s="2" t="str">
        <f>IFERROR(__xludf.DUMMYFUNCTION("IF(E8592&lt;&gt;"""", GOOGLETRANSLATE(E8592, ""en"", ""te""),"""")"),"[ '23 వ ఇన్నింగ్స్ లో సాధించిన బైస్ (10)']")</f>
        <v>[ '23 వ ఇన్నింగ్స్ లో సాధించిన బైస్ (10)']</v>
      </c>
      <c r="G8592" s="2"/>
      <c r="H8592" s="2" t="str">
        <f>IFERROR(__xludf.DUMMYFUNCTION("IF(G8592&lt;&gt;"""", GOOGLETRANSLATE(G8592, ""en"", ""te""),"""")"),"")</f>
        <v/>
      </c>
      <c r="I8592" s="3"/>
    </row>
    <row r="8593" customHeight="1" spans="1:9">
      <c r="A8593" s="2"/>
      <c r="B8593" s="2" t="str">
        <f>IFERROR(__xludf.DUMMYFUNCTION("IF(A8593&lt;&gt;"""", GOOGLETRANSLATE(A8593, ""en"", ""te""),"""")"),"")</f>
        <v/>
      </c>
      <c r="C8593" s="2"/>
      <c r="D8593" s="2" t="str">
        <f>IFERROR(__xludf.DUMMYFUNCTION("IF(C8593&lt;&gt;"""", GOOGLETRANSLATE(C8593, ""en"", ""te""),"""")"),"")</f>
        <v/>
      </c>
      <c r="E8593" s="2"/>
      <c r="F8593" s="2" t="str">
        <f>IFERROR(__xludf.DUMMYFUNCTION("IF(E8593&lt;&gt;"""", GOOGLETRANSLATE(E8593, ""en"", ""te""),"""")"),"")</f>
        <v/>
      </c>
      <c r="G8593" s="2"/>
      <c r="H8593" s="2" t="str">
        <f>IFERROR(__xludf.DUMMYFUNCTION("IF(G8593&lt;&gt;"""", GOOGLETRANSLATE(G8593, ""en"", ""te""),"""")"),"")</f>
        <v/>
      </c>
      <c r="I8593" s="3"/>
    </row>
    <row r="8594" customHeight="1" spans="1:9">
      <c r="A8594" s="2"/>
      <c r="B8594" s="2" t="str">
        <f>IFERROR(__xludf.DUMMYFUNCTION("IF(A8594&lt;&gt;"""", GOOGLETRANSLATE(A8594, ""en"", ""te""),"""")"),"")</f>
        <v/>
      </c>
      <c r="C8594" s="2"/>
      <c r="D8594" s="2" t="str">
        <f>IFERROR(__xludf.DUMMYFUNCTION("IF(C8594&lt;&gt;"""", GOOGLETRANSLATE(C8594, ""en"", ""te""),"""")"),"")</f>
        <v/>
      </c>
      <c r="E8594" s="2"/>
      <c r="F8594" s="2" t="str">
        <f>IFERROR(__xludf.DUMMYFUNCTION("IF(E8594&lt;&gt;"""", GOOGLETRANSLATE(E8594, ""en"", ""te""),"""")"),"")</f>
        <v/>
      </c>
      <c r="G8594" s="2"/>
      <c r="H8594" s="2" t="str">
        <f>IFERROR(__xludf.DUMMYFUNCTION("IF(G8594&lt;&gt;"""", GOOGLETRANSLATE(G8594, ""en"", ""te""),"""")"),"")</f>
        <v/>
      </c>
      <c r="I8594" s="3"/>
    </row>
    <row r="8595" customHeight="1" spans="1:9">
      <c r="A8595" s="2"/>
      <c r="B8595" s="2" t="str">
        <f>IFERROR(__xludf.DUMMYFUNCTION("IF(A8595&lt;&gt;"""", GOOGLETRANSLATE(A8595, ""en"", ""te""),"""")"),"")</f>
        <v/>
      </c>
      <c r="C8595" s="2"/>
      <c r="D8595" s="2" t="str">
        <f>IFERROR(__xludf.DUMMYFUNCTION("IF(C8595&lt;&gt;"""", GOOGLETRANSLATE(C8595, ""en"", ""te""),"""")"),"")</f>
        <v/>
      </c>
      <c r="E8595" s="2"/>
      <c r="F8595" s="2" t="str">
        <f>IFERROR(__xludf.DUMMYFUNCTION("IF(E8595&lt;&gt;"""", GOOGLETRANSLATE(E8595, ""en"", ""te""),"""")"),"")</f>
        <v/>
      </c>
      <c r="G8595" s="2"/>
      <c r="H8595" s="2" t="str">
        <f>IFERROR(__xludf.DUMMYFUNCTION("IF(G8595&lt;&gt;"""", GOOGLETRANSLATE(G8595, ""en"", ""te""),"""")"),"")</f>
        <v/>
      </c>
      <c r="I8595" s="3"/>
    </row>
    <row r="8596" customHeight="1" spans="1:9">
      <c r="A8596" s="2"/>
      <c r="B8596" s="2" t="str">
        <f>IFERROR(__xludf.DUMMYFUNCTION("IF(A8596&lt;&gt;"""", GOOGLETRANSLATE(A8596, ""en"", ""te""),"""")"),"")</f>
        <v/>
      </c>
      <c r="C8596" s="2"/>
      <c r="D8596" s="2" t="str">
        <f>IFERROR(__xludf.DUMMYFUNCTION("IF(C8596&lt;&gt;"""", GOOGLETRANSLATE(C8596, ""en"", ""te""),"""")"),"")</f>
        <v/>
      </c>
      <c r="E8596" s="2" t="s">
        <v>4834</v>
      </c>
      <c r="F8596" s="2" t="str">
        <f>IFERROR(__xludf.DUMMYFUNCTION("IF(E8596&lt;&gt;"""", GOOGLETRANSLATE(E8596, ""en"", ""te""),"""")"),"[ '37 వ పిన్న క్రీడాకారులు (17y 180d)']")</f>
        <v>[ '37 వ పిన్న క్రీడాకారులు (17y 180d)']</v>
      </c>
      <c r="G8596" s="2" t="s">
        <v>2984</v>
      </c>
      <c r="H8596" s="2" t="str">
        <f>IFERROR(__xludf.DUMMYFUNCTION("IF(G8596&lt;&gt;"""", GOOGLETRANSLATE(G8596, ""en"", ""te""),"""")"),"[ '13 వ ఇన్నింగ్స్ లో అత్యధిక క్యాచ్లు (3)']")</f>
        <v>[ '13 వ ఇన్నింగ్స్ లో అత్యధిక క్యాచ్లు (3)']</v>
      </c>
      <c r="I8596" s="3"/>
    </row>
    <row r="8597" customHeight="1" spans="1:9">
      <c r="A8597" s="2"/>
      <c r="B8597" s="2" t="str">
        <f>IFERROR(__xludf.DUMMYFUNCTION("IF(A8597&lt;&gt;"""", GOOGLETRANSLATE(A8597, ""en"", ""te""),"""")"),"")</f>
        <v/>
      </c>
      <c r="C8597" s="2"/>
      <c r="D8597" s="2" t="str">
        <f>IFERROR(__xludf.DUMMYFUNCTION("IF(C8597&lt;&gt;"""", GOOGLETRANSLATE(C8597, ""en"", ""te""),"""")"),"")</f>
        <v/>
      </c>
      <c r="E8597" s="2" t="s">
        <v>4835</v>
      </c>
      <c r="F8597" s="2" t="str">
        <f>IFERROR(__xludf.DUMMYFUNCTION("IF(E8597&lt;&gt;"""", GOOGLETRANSLATE(E8597, ""en"", ""te""),"""")"),"[ '38 వ పిన్న క్రీడాకారులు (17y 196d)']")</f>
        <v>[ '38 వ పిన్న క్రీడాకారులు (17y 196d)']</v>
      </c>
      <c r="G8597" s="2"/>
      <c r="H8597" s="2" t="str">
        <f>IFERROR(__xludf.DUMMYFUNCTION("IF(G8597&lt;&gt;"""", GOOGLETRANSLATE(G8597, ""en"", ""te""),"""")"),"")</f>
        <v/>
      </c>
      <c r="I8597" s="3"/>
    </row>
    <row r="8598" customHeight="1" spans="1:9">
      <c r="A8598" s="2"/>
      <c r="B8598" s="2" t="str">
        <f>IFERROR(__xludf.DUMMYFUNCTION("IF(A8598&lt;&gt;"""", GOOGLETRANSLATE(A8598, ""en"", ""te""),"""")"),"")</f>
        <v/>
      </c>
      <c r="C8598" s="2"/>
      <c r="D8598" s="2" t="str">
        <f>IFERROR(__xludf.DUMMYFUNCTION("IF(C8598&lt;&gt;"""", GOOGLETRANSLATE(C8598, ""en"", ""te""),"""")"),"")</f>
        <v/>
      </c>
      <c r="E8598" s="2" t="s">
        <v>1997</v>
      </c>
      <c r="F8598" s="2" t="str">
        <f>IFERROR(__xludf.DUMMYFUNCTION("IF(E8598&lt;&gt;"""", GOOGLETRANSLATE(E8598, ""en"", ""te""),"""")"),"[ '46 వ చెత్త కెరీర్ బౌలింగ్ సరాసరి (అర్హత లేకుండా) (105.00)']")</f>
        <v>[ '46 వ చెత్త కెరీర్ బౌలింగ్ సరాసరి (అర్హత లేకుండా) (105.00)']</v>
      </c>
      <c r="G8598" s="2"/>
      <c r="H8598" s="2" t="str">
        <f>IFERROR(__xludf.DUMMYFUNCTION("IF(G8598&lt;&gt;"""", GOOGLETRANSLATE(G8598, ""en"", ""te""),"""")"),"")</f>
        <v/>
      </c>
      <c r="I8598" s="3"/>
    </row>
    <row r="8599" customHeight="1" spans="1:9">
      <c r="A8599" s="2"/>
      <c r="B8599" s="2" t="str">
        <f>IFERROR(__xludf.DUMMYFUNCTION("IF(A8599&lt;&gt;"""", GOOGLETRANSLATE(A8599, ""en"", ""te""),"""")"),"")</f>
        <v/>
      </c>
      <c r="C8599" s="2"/>
      <c r="D8599" s="2" t="str">
        <f>IFERROR(__xludf.DUMMYFUNCTION("IF(C8599&lt;&gt;"""", GOOGLETRANSLATE(C8599, ""en"", ""te""),"""")"),"")</f>
        <v/>
      </c>
      <c r="E8599" s="2"/>
      <c r="F8599" s="2" t="str">
        <f>IFERROR(__xludf.DUMMYFUNCTION("IF(E8599&lt;&gt;"""", GOOGLETRANSLATE(E8599, ""en"", ""te""),"""")"),"")</f>
        <v/>
      </c>
      <c r="G8599" s="2"/>
      <c r="H8599" s="2" t="str">
        <f>IFERROR(__xludf.DUMMYFUNCTION("IF(G8599&lt;&gt;"""", GOOGLETRANSLATE(G8599, ""en"", ""te""),"""")"),"")</f>
        <v/>
      </c>
      <c r="I8599" s="3"/>
    </row>
    <row r="8600" customHeight="1" spans="1:9">
      <c r="A8600" s="2"/>
      <c r="B8600" s="2" t="str">
        <f>IFERROR(__xludf.DUMMYFUNCTION("IF(A8600&lt;&gt;"""", GOOGLETRANSLATE(A8600, ""en"", ""te""),"""")"),"")</f>
        <v/>
      </c>
      <c r="C8600" s="2"/>
      <c r="D8600" s="2" t="str">
        <f>IFERROR(__xludf.DUMMYFUNCTION("IF(C8600&lt;&gt;"""", GOOGLETRANSLATE(C8600, ""en"", ""te""),"""")"),"")</f>
        <v/>
      </c>
      <c r="E8600" s="2"/>
      <c r="F8600" s="2" t="str">
        <f>IFERROR(__xludf.DUMMYFUNCTION("IF(E8600&lt;&gt;"""", GOOGLETRANSLATE(E8600, ""en"", ""te""),"""")"),"")</f>
        <v/>
      </c>
      <c r="G8600" s="2"/>
      <c r="H8600" s="2" t="str">
        <f>IFERROR(__xludf.DUMMYFUNCTION("IF(G8600&lt;&gt;"""", GOOGLETRANSLATE(G8600, ""en"", ""te""),"""")"),"")</f>
        <v/>
      </c>
      <c r="I8600" s="3"/>
    </row>
    <row r="8601" customHeight="1" spans="1:9">
      <c r="A8601" s="2"/>
      <c r="B8601" s="2" t="str">
        <f>IFERROR(__xludf.DUMMYFUNCTION("IF(A8601&lt;&gt;"""", GOOGLETRANSLATE(A8601, ""en"", ""te""),"""")"),"")</f>
        <v/>
      </c>
      <c r="C8601" s="2"/>
      <c r="D8601" s="2" t="str">
        <f>IFERROR(__xludf.DUMMYFUNCTION("IF(C8601&lt;&gt;"""", GOOGLETRANSLATE(C8601, ""en"", ""te""),"""")"),"")</f>
        <v/>
      </c>
      <c r="E8601" s="2"/>
      <c r="F8601" s="2" t="str">
        <f>IFERROR(__xludf.DUMMYFUNCTION("IF(E8601&lt;&gt;"""", GOOGLETRANSLATE(E8601, ""en"", ""te""),"""")"),"")</f>
        <v/>
      </c>
      <c r="G8601" s="2"/>
      <c r="H8601" s="2" t="str">
        <f>IFERROR(__xludf.DUMMYFUNCTION("IF(G8601&lt;&gt;"""", GOOGLETRANSLATE(G8601, ""en"", ""te""),"""")"),"")</f>
        <v/>
      </c>
      <c r="I8601" s="3"/>
    </row>
    <row r="8602" customHeight="1" spans="1:9">
      <c r="A8602" s="2" t="s">
        <v>352</v>
      </c>
      <c r="B8602" s="2" t="str">
        <f>IFERROR(__xludf.DUMMYFUNCTION("IF(A8602&lt;&gt;"""", GOOGLETRANSLATE(A8602, ""en"", ""te""),"""")"),"[ 'బ్యాటింగ్ ప్రారంభించుటకు మరియు అదే మ్యాచ్ లో బౌలింగ్']")</f>
        <v>[ 'బ్యాటింగ్ ప్రారంభించుటకు మరియు అదే మ్యాచ్ లో బౌలింగ్']</v>
      </c>
      <c r="C8602" s="2"/>
      <c r="D8602" s="2" t="str">
        <f>IFERROR(__xludf.DUMMYFUNCTION("IF(C8602&lt;&gt;"""", GOOGLETRANSLATE(C8602, ""en"", ""te""),"""")"),"")</f>
        <v/>
      </c>
      <c r="E8602" s="2"/>
      <c r="F8602" s="2" t="str">
        <f>IFERROR(__xludf.DUMMYFUNCTION("IF(E8602&lt;&gt;"""", GOOGLETRANSLATE(E8602, ""en"", ""te""),"""")"),"")</f>
        <v/>
      </c>
      <c r="G8602" s="2"/>
      <c r="H8602" s="2" t="str">
        <f>IFERROR(__xludf.DUMMYFUNCTION("IF(G8602&lt;&gt;"""", GOOGLETRANSLATE(G8602, ""en"", ""te""),"""")"),"")</f>
        <v/>
      </c>
      <c r="I8602" s="3"/>
    </row>
    <row r="8603" customHeight="1" spans="1:9">
      <c r="A8603" s="2"/>
      <c r="B8603" s="2" t="str">
        <f>IFERROR(__xludf.DUMMYFUNCTION("IF(A8603&lt;&gt;"""", GOOGLETRANSLATE(A8603, ""en"", ""te""),"""")"),"")</f>
        <v/>
      </c>
      <c r="C8603" s="2"/>
      <c r="D8603" s="2" t="str">
        <f>IFERROR(__xludf.DUMMYFUNCTION("IF(C8603&lt;&gt;"""", GOOGLETRANSLATE(C8603, ""en"", ""te""),"""")"),"")</f>
        <v/>
      </c>
      <c r="E8603" s="2"/>
      <c r="F8603" s="2" t="str">
        <f>IFERROR(__xludf.DUMMYFUNCTION("IF(E8603&lt;&gt;"""", GOOGLETRANSLATE(E8603, ""en"", ""te""),"""")"),"")</f>
        <v/>
      </c>
      <c r="G8603" s="2"/>
      <c r="H8603" s="2" t="str">
        <f>IFERROR(__xludf.DUMMYFUNCTION("IF(G8603&lt;&gt;"""", GOOGLETRANSLATE(G8603, ""en"", ""te""),"""")"),"")</f>
        <v/>
      </c>
      <c r="I8603" s="3"/>
    </row>
    <row r="8604" customHeight="1" spans="1:9">
      <c r="A8604" s="2"/>
      <c r="B8604" s="2" t="str">
        <f>IFERROR(__xludf.DUMMYFUNCTION("IF(A8604&lt;&gt;"""", GOOGLETRANSLATE(A8604, ""en"", ""te""),"""")"),"")</f>
        <v/>
      </c>
      <c r="C8604" s="2"/>
      <c r="D8604" s="2" t="str">
        <f>IFERROR(__xludf.DUMMYFUNCTION("IF(C8604&lt;&gt;"""", GOOGLETRANSLATE(C8604, ""en"", ""te""),"""")"),"")</f>
        <v/>
      </c>
      <c r="E8604" s="2"/>
      <c r="F8604" s="2" t="str">
        <f>IFERROR(__xludf.DUMMYFUNCTION("IF(E8604&lt;&gt;"""", GOOGLETRANSLATE(E8604, ""en"", ""te""),"""")"),"")</f>
        <v/>
      </c>
      <c r="G8604" s="2"/>
      <c r="H8604" s="2" t="str">
        <f>IFERROR(__xludf.DUMMYFUNCTION("IF(G8604&lt;&gt;"""", GOOGLETRANSLATE(G8604, ""en"", ""te""),"""")"),"")</f>
        <v/>
      </c>
      <c r="I8604" s="3"/>
    </row>
    <row r="8605" customHeight="1" spans="1:9">
      <c r="A8605" s="2"/>
      <c r="B8605" s="2" t="str">
        <f>IFERROR(__xludf.DUMMYFUNCTION("IF(A8605&lt;&gt;"""", GOOGLETRANSLATE(A8605, ""en"", ""te""),"""")"),"")</f>
        <v/>
      </c>
      <c r="C8605" s="2"/>
      <c r="D8605" s="2" t="str">
        <f>IFERROR(__xludf.DUMMYFUNCTION("IF(C8605&lt;&gt;"""", GOOGLETRANSLATE(C8605, ""en"", ""te""),"""")"),"")</f>
        <v/>
      </c>
      <c r="E8605" s="2"/>
      <c r="F8605" s="2" t="str">
        <f>IFERROR(__xludf.DUMMYFUNCTION("IF(E8605&lt;&gt;"""", GOOGLETRANSLATE(E8605, ""en"", ""te""),"""")"),"")</f>
        <v/>
      </c>
      <c r="G8605" s="2"/>
      <c r="H8605" s="2" t="str">
        <f>IFERROR(__xludf.DUMMYFUNCTION("IF(G8605&lt;&gt;"""", GOOGLETRANSLATE(G8605, ""en"", ""te""),"""")"),"")</f>
        <v/>
      </c>
      <c r="I8605" s="3"/>
    </row>
    <row r="8606" customHeight="1" spans="1:9">
      <c r="A8606" s="2"/>
      <c r="B8606" s="2" t="str">
        <f>IFERROR(__xludf.DUMMYFUNCTION("IF(A8606&lt;&gt;"""", GOOGLETRANSLATE(A8606, ""en"", ""te""),"""")"),"")</f>
        <v/>
      </c>
      <c r="C8606" s="2"/>
      <c r="D8606" s="2" t="str">
        <f>IFERROR(__xludf.DUMMYFUNCTION("IF(C8606&lt;&gt;"""", GOOGLETRANSLATE(C8606, ""en"", ""te""),"""")"),"")</f>
        <v/>
      </c>
      <c r="E8606" s="2"/>
      <c r="F8606" s="2" t="str">
        <f>IFERROR(__xludf.DUMMYFUNCTION("IF(E8606&lt;&gt;"""", GOOGLETRANSLATE(E8606, ""en"", ""te""),"""")"),"")</f>
        <v/>
      </c>
      <c r="G8606" s="2" t="s">
        <v>4836</v>
      </c>
      <c r="H8606" s="2" t="str">
        <f>IFERROR(__xludf.DUMMYFUNCTION("IF(G8606&lt;&gt;"""", GOOGLETRANSLATE(G8606, ""en"", ""te""),"""")"),"[ 'ఇన్నింగ్స్ లో 12 వ అత్యంత పనికత్తెలయొద్ద (2)' '26 అత్యుత్తమ ఇన్నింగ్స్ లో విశ్లేషణలు బౌలింగ్ (3/4)', 'రెండవ వికెట్కు 16 అత్యధిక భాగస్వామ్యం (110)',]")</f>
        <v>[ 'ఇన్నింగ్స్ లో 12 వ అత్యంత పనికత్తెలయొద్ద (2)' '26 అత్యుత్తమ ఇన్నింగ్స్ లో విశ్లేషణలు బౌలింగ్ (3/4)', 'రెండవ వికెట్కు 16 అత్యధిక భాగస్వామ్యం (110)',]</v>
      </c>
      <c r="I8606" s="3"/>
    </row>
    <row r="8607" customHeight="1" spans="1:9">
      <c r="A8607" s="2"/>
      <c r="B8607" s="2" t="str">
        <f>IFERROR(__xludf.DUMMYFUNCTION("IF(A8607&lt;&gt;"""", GOOGLETRANSLATE(A8607, ""en"", ""te""),"""")"),"")</f>
        <v/>
      </c>
      <c r="C8607" s="2"/>
      <c r="D8607" s="2" t="str">
        <f>IFERROR(__xludf.DUMMYFUNCTION("IF(C8607&lt;&gt;"""", GOOGLETRANSLATE(C8607, ""en"", ""te""),"""")"),"")</f>
        <v/>
      </c>
      <c r="E8607" s="2"/>
      <c r="F8607" s="2" t="str">
        <f>IFERROR(__xludf.DUMMYFUNCTION("IF(E8607&lt;&gt;"""", GOOGLETRANSLATE(E8607, ""en"", ""te""),"""")"),"")</f>
        <v/>
      </c>
      <c r="G8607" s="2"/>
      <c r="H8607" s="2" t="str">
        <f>IFERROR(__xludf.DUMMYFUNCTION("IF(G8607&lt;&gt;"""", GOOGLETRANSLATE(G8607, ""en"", ""te""),"""")"),"")</f>
        <v/>
      </c>
      <c r="I8607" s="3"/>
    </row>
    <row r="8608" customHeight="1" spans="1:9">
      <c r="A8608" s="2" t="s">
        <v>4837</v>
      </c>
      <c r="B8608" s="2" t="str">
        <f>IFERROR(__xludf.DUMMYFUNCTION("IF(A8608&lt;&gt;"""", GOOGLETRANSLATE(A8608, ""en"", ""te""),"""")"),"[ '2nd అత్యంత వృద్ధ ఆటగాడు తొలి తీసుకుని ఐదు-వికెట్ల లో-ఒక-ఇన్నింగ్స్ (39y 40D)']")</f>
        <v>[ '2nd అత్యంత వృద్ధ ఆటగాడు తొలి తీసుకుని ఐదు-వికెట్ల లో-ఒక-ఇన్నింగ్స్ (39y 40D)']</v>
      </c>
      <c r="C8608" s="2"/>
      <c r="D8608" s="2" t="str">
        <f>IFERROR(__xludf.DUMMYFUNCTION("IF(C8608&lt;&gt;"""", GOOGLETRANSLATE(C8608, ""en"", ""te""),"""")"),"")</f>
        <v/>
      </c>
      <c r="E8608" s="2" t="s">
        <v>4838</v>
      </c>
      <c r="F8608" s="2" t="str">
        <f>IFERROR(__xludf.DUMMYFUNCTION("IF(E8608&lt;&gt;"""", GOOGLETRANSLATE(E8608, ""en"", ""te""),"""")"),"[ '25 వ ఓల్డెస్ట్ క్రీడాకారుల' అయిదు వికెట్లు-ఇన్-ఒక-ఇన్నింగ్స్ (39y 40D) కన్య తీసుకోవాలని 2nd అత్యంత వృద్ధ ఆటగాడు '' 3 వ అత్యంత వృద్ధ ఆటగాడు (39y 40D) ఐదు వికెట్లు-ఇన్-ఒక-ఇన్నింగ్స్ తీసుకోవాలని ', ప్రవేశం (39y 26d) ']")</f>
        <v>[ '25 వ ఓల్డెస్ట్ క్రీడాకారుల' అయిదు వికెట్లు-ఇన్-ఒక-ఇన్నింగ్స్ (39y 40D) కన్య తీసుకోవాలని 2nd అత్యంత వృద్ధ ఆటగాడు '' 3 వ అత్యంత వృద్ధ ఆటగాడు (39y 40D) ఐదు వికెట్లు-ఇన్-ఒక-ఇన్నింగ్స్ తీసుకోవాలని ', ప్రవేశం (39y 26d) ']</v>
      </c>
      <c r="G8608" s="2"/>
      <c r="H8608" s="2" t="str">
        <f>IFERROR(__xludf.DUMMYFUNCTION("IF(G8608&lt;&gt;"""", GOOGLETRANSLATE(G8608, ""en"", ""te""),"""")"),"")</f>
        <v/>
      </c>
      <c r="I8608" s="3"/>
    </row>
    <row r="8609" customHeight="1" spans="1:9">
      <c r="A8609" s="2"/>
      <c r="B8609" s="2" t="str">
        <f>IFERROR(__xludf.DUMMYFUNCTION("IF(A8609&lt;&gt;"""", GOOGLETRANSLATE(A8609, ""en"", ""te""),"""")"),"")</f>
        <v/>
      </c>
      <c r="C8609" s="2"/>
      <c r="D8609" s="2" t="str">
        <f>IFERROR(__xludf.DUMMYFUNCTION("IF(C8609&lt;&gt;"""", GOOGLETRANSLATE(C8609, ""en"", ""te""),"""")"),"")</f>
        <v/>
      </c>
      <c r="E8609" s="2"/>
      <c r="F8609" s="2" t="str">
        <f>IFERROR(__xludf.DUMMYFUNCTION("IF(E8609&lt;&gt;"""", GOOGLETRANSLATE(E8609, ""en"", ""te""),"""")"),"")</f>
        <v/>
      </c>
      <c r="G8609" s="2"/>
      <c r="H8609" s="2" t="str">
        <f>IFERROR(__xludf.DUMMYFUNCTION("IF(G8609&lt;&gt;"""", GOOGLETRANSLATE(G8609, ""en"", ""te""),"""")"),"")</f>
        <v/>
      </c>
      <c r="I8609" s="3"/>
    </row>
    <row r="8610" customHeight="1" spans="1:9">
      <c r="A8610" s="2"/>
      <c r="B8610" s="2" t="str">
        <f>IFERROR(__xludf.DUMMYFUNCTION("IF(A8610&lt;&gt;"""", GOOGLETRANSLATE(A8610, ""en"", ""te""),"""")"),"")</f>
        <v/>
      </c>
      <c r="C8610" s="2"/>
      <c r="D8610" s="2" t="str">
        <f>IFERROR(__xludf.DUMMYFUNCTION("IF(C8610&lt;&gt;"""", GOOGLETRANSLATE(C8610, ""en"", ""te""),"""")"),"")</f>
        <v/>
      </c>
      <c r="E8610" s="2"/>
      <c r="F8610" s="2" t="str">
        <f>IFERROR(__xludf.DUMMYFUNCTION("IF(E8610&lt;&gt;"""", GOOGLETRANSLATE(E8610, ""en"", ""te""),"""")"),"")</f>
        <v/>
      </c>
      <c r="G8610" s="2"/>
      <c r="H8610" s="2" t="str">
        <f>IFERROR(__xludf.DUMMYFUNCTION("IF(G8610&lt;&gt;"""", GOOGLETRANSLATE(G8610, ""en"", ""te""),"""")"),"")</f>
        <v/>
      </c>
      <c r="I8610" s="3"/>
    </row>
    <row r="8611" customHeight="1" spans="1:9">
      <c r="A8611" s="2"/>
      <c r="B8611" s="2" t="str">
        <f>IFERROR(__xludf.DUMMYFUNCTION("IF(A8611&lt;&gt;"""", GOOGLETRANSLATE(A8611, ""en"", ""te""),"""")"),"")</f>
        <v/>
      </c>
      <c r="C8611" s="2"/>
      <c r="D8611" s="2" t="str">
        <f>IFERROR(__xludf.DUMMYFUNCTION("IF(C8611&lt;&gt;"""", GOOGLETRANSLATE(C8611, ""en"", ""te""),"""")"),"")</f>
        <v/>
      </c>
      <c r="E8611" s="2"/>
      <c r="F8611" s="2" t="str">
        <f>IFERROR(__xludf.DUMMYFUNCTION("IF(E8611&lt;&gt;"""", GOOGLETRANSLATE(E8611, ""en"", ""te""),"""")"),"")</f>
        <v/>
      </c>
      <c r="G8611" s="2"/>
      <c r="H8611" s="2" t="str">
        <f>IFERROR(__xludf.DUMMYFUNCTION("IF(G8611&lt;&gt;"""", GOOGLETRANSLATE(G8611, ""en"", ""te""),"""")"),"")</f>
        <v/>
      </c>
      <c r="I8611" s="3"/>
    </row>
    <row r="8612" customHeight="1" spans="1:9">
      <c r="A8612" s="2"/>
      <c r="B8612" s="2" t="str">
        <f>IFERROR(__xludf.DUMMYFUNCTION("IF(A8612&lt;&gt;"""", GOOGLETRANSLATE(A8612, ""en"", ""te""),"""")"),"")</f>
        <v/>
      </c>
      <c r="C8612" s="2"/>
      <c r="D8612" s="2" t="str">
        <f>IFERROR(__xludf.DUMMYFUNCTION("IF(C8612&lt;&gt;"""", GOOGLETRANSLATE(C8612, ""en"", ""te""),"""")"),"")</f>
        <v/>
      </c>
      <c r="E8612" s="2"/>
      <c r="F8612" s="2" t="str">
        <f>IFERROR(__xludf.DUMMYFUNCTION("IF(E8612&lt;&gt;"""", GOOGLETRANSLATE(E8612, ""en"", ""te""),"""")"),"")</f>
        <v/>
      </c>
      <c r="G8612" s="2"/>
      <c r="H8612" s="2" t="str">
        <f>IFERROR(__xludf.DUMMYFUNCTION("IF(G8612&lt;&gt;"""", GOOGLETRANSLATE(G8612, ""en"", ""te""),"""")"),"")</f>
        <v/>
      </c>
      <c r="I8612" s="3"/>
    </row>
    <row r="8613" customHeight="1" spans="1:9">
      <c r="A8613" s="2"/>
      <c r="B8613" s="2" t="str">
        <f>IFERROR(__xludf.DUMMYFUNCTION("IF(A8613&lt;&gt;"""", GOOGLETRANSLATE(A8613, ""en"", ""te""),"""")"),"")</f>
        <v/>
      </c>
      <c r="C8613" s="2"/>
      <c r="D8613" s="2" t="str">
        <f>IFERROR(__xludf.DUMMYFUNCTION("IF(C8613&lt;&gt;"""", GOOGLETRANSLATE(C8613, ""en"", ""te""),"""")"),"")</f>
        <v/>
      </c>
      <c r="E8613" s="2"/>
      <c r="F8613" s="2" t="str">
        <f>IFERROR(__xludf.DUMMYFUNCTION("IF(E8613&lt;&gt;"""", GOOGLETRANSLATE(E8613, ""en"", ""te""),"""")"),"")</f>
        <v/>
      </c>
      <c r="G8613" s="2"/>
      <c r="H8613" s="2" t="str">
        <f>IFERROR(__xludf.DUMMYFUNCTION("IF(G8613&lt;&gt;"""", GOOGLETRANSLATE(G8613, ""en"", ""te""),"""")"),"")</f>
        <v/>
      </c>
      <c r="I8613" s="3"/>
    </row>
    <row r="8614" customHeight="1" spans="1:9">
      <c r="A8614" s="2"/>
      <c r="B8614" s="2" t="str">
        <f>IFERROR(__xludf.DUMMYFUNCTION("IF(A8614&lt;&gt;"""", GOOGLETRANSLATE(A8614, ""en"", ""te""),"""")"),"")</f>
        <v/>
      </c>
      <c r="C8614" s="2"/>
      <c r="D8614" s="2" t="str">
        <f>IFERROR(__xludf.DUMMYFUNCTION("IF(C8614&lt;&gt;"""", GOOGLETRANSLATE(C8614, ""en"", ""te""),"""")"),"")</f>
        <v/>
      </c>
      <c r="E8614" s="2"/>
      <c r="F8614" s="2" t="str">
        <f>IFERROR(__xludf.DUMMYFUNCTION("IF(E8614&lt;&gt;"""", GOOGLETRANSLATE(E8614, ""en"", ""te""),"""")"),"")</f>
        <v/>
      </c>
      <c r="G8614" s="2"/>
      <c r="H8614" s="2" t="str">
        <f>IFERROR(__xludf.DUMMYFUNCTION("IF(G8614&lt;&gt;"""", GOOGLETRANSLATE(G8614, ""en"", ""te""),"""")"),"")</f>
        <v/>
      </c>
      <c r="I8614" s="3"/>
    </row>
    <row r="8615" customHeight="1" spans="1:9">
      <c r="A8615" s="2"/>
      <c r="B8615" s="2" t="str">
        <f>IFERROR(__xludf.DUMMYFUNCTION("IF(A8615&lt;&gt;"""", GOOGLETRANSLATE(A8615, ""en"", ""te""),"""")"),"")</f>
        <v/>
      </c>
      <c r="C8615" s="2"/>
      <c r="D8615" s="2" t="str">
        <f>IFERROR(__xludf.DUMMYFUNCTION("IF(C8615&lt;&gt;"""", GOOGLETRANSLATE(C8615, ""en"", ""te""),"""")"),"")</f>
        <v/>
      </c>
      <c r="E8615" s="2"/>
      <c r="F8615" s="2" t="str">
        <f>IFERROR(__xludf.DUMMYFUNCTION("IF(E8615&lt;&gt;"""", GOOGLETRANSLATE(E8615, ""en"", ""te""),"""")"),"")</f>
        <v/>
      </c>
      <c r="G8615" s="2"/>
      <c r="H8615" s="2" t="str">
        <f>IFERROR(__xludf.DUMMYFUNCTION("IF(G8615&lt;&gt;"""", GOOGLETRANSLATE(G8615, ""en"", ""te""),"""")"),"")</f>
        <v/>
      </c>
      <c r="I8615" s="3"/>
    </row>
    <row r="8616" customHeight="1" spans="1:9">
      <c r="A8616" s="2" t="s">
        <v>749</v>
      </c>
      <c r="B8616" s="2" t="str">
        <f>IFERROR(__xludf.DUMMYFUNCTION("IF(A8616&lt;&gt;"""", GOOGLETRANSLATE(A8616, ""en"", ""te""),"""")"),"[ '6 వ అత్యధిక వరుస బాతులు (3)']")</f>
        <v>[ '6 వ అత్యధిక వరుస బాతులు (3)']</v>
      </c>
      <c r="C8616" s="2"/>
      <c r="D8616" s="2" t="str">
        <f>IFERROR(__xludf.DUMMYFUNCTION("IF(C8616&lt;&gt;"""", GOOGLETRANSLATE(C8616, ""en"", ""te""),"""")"),"")</f>
        <v/>
      </c>
      <c r="E8616" s="2" t="s">
        <v>749</v>
      </c>
      <c r="F8616" s="2" t="str">
        <f>IFERROR(__xludf.DUMMYFUNCTION("IF(E8616&lt;&gt;"""", GOOGLETRANSLATE(E8616, ""en"", ""te""),"""")"),"[ '6 వ అత్యధిక వరుస బాతులు (3)']")</f>
        <v>[ '6 వ అత్యధిక వరుస బాతులు (3)']</v>
      </c>
      <c r="G8616" s="2"/>
      <c r="H8616" s="2" t="str">
        <f>IFERROR(__xludf.DUMMYFUNCTION("IF(G8616&lt;&gt;"""", GOOGLETRANSLATE(G8616, ""en"", ""te""),"""")"),"")</f>
        <v/>
      </c>
      <c r="I8616" s="3"/>
    </row>
    <row r="8617" customHeight="1" spans="1:9">
      <c r="A8617" s="2"/>
      <c r="B8617" s="2" t="str">
        <f>IFERROR(__xludf.DUMMYFUNCTION("IF(A8617&lt;&gt;"""", GOOGLETRANSLATE(A8617, ""en"", ""te""),"""")"),"")</f>
        <v/>
      </c>
      <c r="C8617" s="2"/>
      <c r="D8617" s="2" t="str">
        <f>IFERROR(__xludf.DUMMYFUNCTION("IF(C8617&lt;&gt;"""", GOOGLETRANSLATE(C8617, ""en"", ""te""),"""")"),"")</f>
        <v/>
      </c>
      <c r="E8617" s="2"/>
      <c r="F8617" s="2" t="str">
        <f>IFERROR(__xludf.DUMMYFUNCTION("IF(E8617&lt;&gt;"""", GOOGLETRANSLATE(E8617, ""en"", ""te""),"""")"),"")</f>
        <v/>
      </c>
      <c r="G8617" s="2" t="s">
        <v>4839</v>
      </c>
      <c r="H8617" s="2" t="str">
        <f>IFERROR(__xludf.DUMMYFUNCTION("IF(G8617&lt;&gt;"""", GOOGLETRANSLATE(G8617, ""en"", ""te""),"""")"),"[ 'కెరీర్లో 47 వ లేవు బాతులు (14)', '29th కెరీర్ (14) లో అత్యధిక క్యాచ్లు']")</f>
        <v>[ 'కెరీర్లో 47 వ లేవు బాతులు (14)', '29th కెరీర్ (14) లో అత్యధిక క్యాచ్లు']</v>
      </c>
      <c r="I8617" s="3"/>
    </row>
    <row r="8618" customHeight="1" spans="1:9">
      <c r="A8618" s="2"/>
      <c r="B8618" s="2" t="str">
        <f>IFERROR(__xludf.DUMMYFUNCTION("IF(A8618&lt;&gt;"""", GOOGLETRANSLATE(A8618, ""en"", ""te""),"""")"),"")</f>
        <v/>
      </c>
      <c r="C8618" s="2"/>
      <c r="D8618" s="2" t="str">
        <f>IFERROR(__xludf.DUMMYFUNCTION("IF(C8618&lt;&gt;"""", GOOGLETRANSLATE(C8618, ""en"", ""te""),"""")"),"")</f>
        <v/>
      </c>
      <c r="E8618" s="2"/>
      <c r="F8618" s="2" t="str">
        <f>IFERROR(__xludf.DUMMYFUNCTION("IF(E8618&lt;&gt;"""", GOOGLETRANSLATE(E8618, ""en"", ""te""),"""")"),"")</f>
        <v/>
      </c>
      <c r="G8618" s="2"/>
      <c r="H8618" s="2" t="str">
        <f>IFERROR(__xludf.DUMMYFUNCTION("IF(G8618&lt;&gt;"""", GOOGLETRANSLATE(G8618, ""en"", ""te""),"""")"),"")</f>
        <v/>
      </c>
      <c r="I8618" s="3"/>
    </row>
    <row r="8619" customHeight="1" spans="1:9">
      <c r="A8619" s="2"/>
      <c r="B8619" s="2" t="str">
        <f>IFERROR(__xludf.DUMMYFUNCTION("IF(A8619&lt;&gt;"""", GOOGLETRANSLATE(A8619, ""en"", ""te""),"""")"),"")</f>
        <v/>
      </c>
      <c r="C8619" s="2"/>
      <c r="D8619" s="2" t="str">
        <f>IFERROR(__xludf.DUMMYFUNCTION("IF(C8619&lt;&gt;"""", GOOGLETRANSLATE(C8619, ""en"", ""te""),"""")"),"")</f>
        <v/>
      </c>
      <c r="E8619" s="2"/>
      <c r="F8619" s="2" t="str">
        <f>IFERROR(__xludf.DUMMYFUNCTION("IF(E8619&lt;&gt;"""", GOOGLETRANSLATE(E8619, ""en"", ""te""),"""")"),"")</f>
        <v/>
      </c>
      <c r="G8619" s="2"/>
      <c r="H8619" s="2" t="str">
        <f>IFERROR(__xludf.DUMMYFUNCTION("IF(G8619&lt;&gt;"""", GOOGLETRANSLATE(G8619, ""en"", ""te""),"""")"),"")</f>
        <v/>
      </c>
      <c r="I8619" s="3"/>
    </row>
    <row r="8620" customHeight="1" spans="1:9">
      <c r="A8620" s="2" t="s">
        <v>694</v>
      </c>
      <c r="B8620" s="2" t="str">
        <f>IFERROR(__xludf.DUMMYFUNCTION("IF(A8620&lt;&gt;"""", GOOGLETRANSLATE(A8620, ""en"", ""te""),"""")"),"[ '1st అత్యుత్తమ ఇన్నింగ్స్ (1/0) విశ్లేషణలలో బౌలింగ్']")</f>
        <v>[ '1st అత్యుత్తమ ఇన్నింగ్స్ (1/0) విశ్లేషణలలో బౌలింగ్']</v>
      </c>
      <c r="C8620" s="2"/>
      <c r="D8620" s="2" t="str">
        <f>IFERROR(__xludf.DUMMYFUNCTION("IF(C8620&lt;&gt;"""", GOOGLETRANSLATE(C8620, ""en"", ""te""),"""")"),"")</f>
        <v/>
      </c>
      <c r="E8620" s="2"/>
      <c r="F8620" s="2" t="str">
        <f>IFERROR(__xludf.DUMMYFUNCTION("IF(E8620&lt;&gt;"""", GOOGLETRANSLATE(E8620, ""en"", ""te""),"""")"),"")</f>
        <v/>
      </c>
      <c r="G8620" s="2" t="s">
        <v>4840</v>
      </c>
      <c r="H8620" s="2" t="str">
        <f>IFERROR(__xludf.DUMMYFUNCTION("IF(G8620&lt;&gt;"""", GOOGLETRANSLATE(G8620, ""en"", ""te""),"""")"),"[ '1st అత్యుత్తమ ఇన్నింగ్స్ లో బౌలింగ్ విశ్లేషణలు (1/0)', ​​'29th అత్యధిక మ్యాచ్లు కెప్టెన్గా (16)', '44th పిన్న కాప్టెన్ (23y 29d)']")</f>
        <v>[ '1st అత్యుత్తమ ఇన్నింగ్స్ లో బౌలింగ్ విశ్లేషణలు (1/0)', ​​'29th అత్యధిక మ్యాచ్లు కెప్టెన్గా (16)', '44th పిన్న కాప్టెన్ (23y 29d)']</v>
      </c>
      <c r="I8620" s="3"/>
    </row>
    <row r="8621" customHeight="1" spans="1:9">
      <c r="A8621" s="2"/>
      <c r="B8621" s="2" t="str">
        <f>IFERROR(__xludf.DUMMYFUNCTION("IF(A8621&lt;&gt;"""", GOOGLETRANSLATE(A8621, ""en"", ""te""),"""")"),"")</f>
        <v/>
      </c>
      <c r="C8621" s="2"/>
      <c r="D8621" s="2" t="str">
        <f>IFERROR(__xludf.DUMMYFUNCTION("IF(C8621&lt;&gt;"""", GOOGLETRANSLATE(C8621, ""en"", ""te""),"""")"),"")</f>
        <v/>
      </c>
      <c r="E8621" s="2"/>
      <c r="F8621" s="2" t="str">
        <f>IFERROR(__xludf.DUMMYFUNCTION("IF(E8621&lt;&gt;"""", GOOGLETRANSLATE(E8621, ""en"", ""te""),"""")"),"")</f>
        <v/>
      </c>
      <c r="G8621" s="2"/>
      <c r="H8621" s="2" t="str">
        <f>IFERROR(__xludf.DUMMYFUNCTION("IF(G8621&lt;&gt;"""", GOOGLETRANSLATE(G8621, ""en"", ""te""),"""")"),"")</f>
        <v/>
      </c>
      <c r="I8621" s="3"/>
    </row>
    <row r="8622" customHeight="1" spans="1:9">
      <c r="A8622" s="2"/>
      <c r="B8622" s="2" t="str">
        <f>IFERROR(__xludf.DUMMYFUNCTION("IF(A8622&lt;&gt;"""", GOOGLETRANSLATE(A8622, ""en"", ""te""),"""")"),"")</f>
        <v/>
      </c>
      <c r="C8622" s="2"/>
      <c r="D8622" s="2" t="str">
        <f>IFERROR(__xludf.DUMMYFUNCTION("IF(C8622&lt;&gt;"""", GOOGLETRANSLATE(C8622, ""en"", ""te""),"""")"),"")</f>
        <v/>
      </c>
      <c r="E8622" s="2"/>
      <c r="F8622" s="2" t="str">
        <f>IFERROR(__xludf.DUMMYFUNCTION("IF(E8622&lt;&gt;"""", GOOGLETRANSLATE(E8622, ""en"", ""te""),"""")"),"")</f>
        <v/>
      </c>
      <c r="G8622" s="2"/>
      <c r="H8622" s="2" t="str">
        <f>IFERROR(__xludf.DUMMYFUNCTION("IF(G8622&lt;&gt;"""", GOOGLETRANSLATE(G8622, ""en"", ""te""),"""")"),"")</f>
        <v/>
      </c>
      <c r="I8622" s="3"/>
    </row>
    <row r="8623" customHeight="1" spans="1:9">
      <c r="A8623" s="2"/>
      <c r="B8623" s="2" t="str">
        <f>IFERROR(__xludf.DUMMYFUNCTION("IF(A8623&lt;&gt;"""", GOOGLETRANSLATE(A8623, ""en"", ""te""),"""")"),"")</f>
        <v/>
      </c>
      <c r="C8623" s="2"/>
      <c r="D8623" s="2" t="str">
        <f>IFERROR(__xludf.DUMMYFUNCTION("IF(C8623&lt;&gt;"""", GOOGLETRANSLATE(C8623, ""en"", ""te""),"""")"),"")</f>
        <v/>
      </c>
      <c r="E8623" s="2"/>
      <c r="F8623" s="2" t="str">
        <f>IFERROR(__xludf.DUMMYFUNCTION("IF(E8623&lt;&gt;"""", GOOGLETRANSLATE(E8623, ""en"", ""te""),"""")"),"")</f>
        <v/>
      </c>
      <c r="G8623" s="2"/>
      <c r="H8623" s="2" t="str">
        <f>IFERROR(__xludf.DUMMYFUNCTION("IF(G8623&lt;&gt;"""", GOOGLETRANSLATE(G8623, ""en"", ""te""),"""")"),"")</f>
        <v/>
      </c>
      <c r="I8623" s="3"/>
    </row>
    <row r="8624" customHeight="1" spans="1:9">
      <c r="A8624" s="2"/>
      <c r="B8624" s="2" t="str">
        <f>IFERROR(__xludf.DUMMYFUNCTION("IF(A8624&lt;&gt;"""", GOOGLETRANSLATE(A8624, ""en"", ""te""),"""")"),"")</f>
        <v/>
      </c>
      <c r="C8624" s="2"/>
      <c r="D8624" s="2" t="str">
        <f>IFERROR(__xludf.DUMMYFUNCTION("IF(C8624&lt;&gt;"""", GOOGLETRANSLATE(C8624, ""en"", ""te""),"""")"),"")</f>
        <v/>
      </c>
      <c r="E8624" s="2"/>
      <c r="F8624" s="2" t="str">
        <f>IFERROR(__xludf.DUMMYFUNCTION("IF(E8624&lt;&gt;"""", GOOGLETRANSLATE(E8624, ""en"", ""te""),"""")"),"")</f>
        <v/>
      </c>
      <c r="G8624" s="2"/>
      <c r="H8624" s="2" t="str">
        <f>IFERROR(__xludf.DUMMYFUNCTION("IF(G8624&lt;&gt;"""", GOOGLETRANSLATE(G8624, ""en"", ""te""),"""")"),"")</f>
        <v/>
      </c>
      <c r="I8624" s="3"/>
    </row>
    <row r="8625" customHeight="1" spans="1:9">
      <c r="A8625" s="2" t="s">
        <v>4841</v>
      </c>
      <c r="B8625" s="2" t="str">
        <f>IFERROR(__xludf.DUMMYFUNCTION("IF(A8625&lt;&gt;"""", GOOGLETRANSLATE(A8625, ""en"", ""te""),"""")"),"[ '5 వ ఓల్డెస్ట్ క్రీడాకారులు (43y 267d)', '3 వ ఓల్డెస్ట్ కాప్టెన్ (43y 164)', '1 వ అత్యంత వృద్ధ ఆటగాడు స్కోర్ తొలి వంద (43y 162d)', 'కెప్టెన్సీ ప్రవేశం (42y 269d) 8 వ ఓల్డెస్ట్ కెప్టెన్లు']")</f>
        <v>[ '5 వ ఓల్డెస్ట్ క్రీడాకారులు (43y 267d)', '3 వ ఓల్డెస్ట్ కాప్టెన్ (43y 164)', '1 వ అత్యంత వృద్ధ ఆటగాడు స్కోర్ తొలి వంద (43y 162d)', 'కెప్టెన్సీ ప్రవేశం (42y 269d) 8 వ ఓల్డెస్ట్ కెప్టెన్లు']</v>
      </c>
      <c r="C8625" s="2"/>
      <c r="D8625" s="2" t="str">
        <f>IFERROR(__xludf.DUMMYFUNCTION("IF(C8625&lt;&gt;"""", GOOGLETRANSLATE(C8625, ""en"", ""te""),"""")"),"")</f>
        <v/>
      </c>
      <c r="E8625" s="2" t="s">
        <v>4842</v>
      </c>
      <c r="F8625" s="2" t="str">
        <f>IFERROR(__xludf.DUMMYFUNCTION("IF(E8625&lt;&gt;"""", GOOGLETRANSLATE(E8625, ""en"", ""te""),"""")"),"[ 'ఒక కెప్టెన్తో ఇన్నింగ్స్ 47 వ అత్యధిక పరుగులు (132 *)', '48 వ అత్యధిక తొలి వంద (132 *)', 1 వ అత్యంత వృద్ధ ఆటగాడు తొలి స్కోర్ '1st అత్యంత వృద్ధ ఆటగాడు వంద (43y 162d) స్కోర్', ' వందల (43y 162d) ',' ఒక కెప్టెన్తో ఒక ఇన్నింగ్స్ లో 26 వ బెస్ట్ ఫిగర్స్ (4) '"&amp;",' 5 వ ఓల్డెస్ట్ క్రీడాకారులు (43y 267d) ',' 3 వ ఓల్డెస్ట్ కాప్టెన్ (43y 164) ']")</f>
        <v>[ 'ఒక కెప్టెన్తో ఇన్నింగ్స్ 47 వ అత్యధిక పరుగులు (132 *)', '48 వ అత్యధిక తొలి వంద (132 *)', 1 వ అత్యంత వృద్ధ ఆటగాడు తొలి స్కోర్ '1st అత్యంత వృద్ధ ఆటగాడు వంద (43y 162d) స్కోర్', ' వందల (43y 162d) ',' ఒక కెప్టెన్తో ఒక ఇన్నింగ్స్ లో 26 వ బెస్ట్ ఫిగర్స్ (4) ',' 5 వ ఓల్డెస్ట్ క్రీడాకారులు (43y 267d) ',' 3 వ ఓల్డెస్ట్ కాప్టెన్ (43y 164) ']</v>
      </c>
      <c r="G8625" s="2" t="s">
        <v>4843</v>
      </c>
      <c r="H8625" s="2" t="str">
        <f>IFERROR(__xludf.DUMMYFUNCTION("IF(G8625&lt;&gt;"""", GOOGLETRANSLATE(G8625, ""en"", ""te""),"""")"),"[ '31 ఓల్డెస్ట్ క్రీడాకారులు (42y 273d)', '23 వ పురాతన దేశం ఆటగాళ్ళు (49y 267d)', '(42y 269d) తొలి 29 ఓల్డెస్ట్ క్రీడాకారులు', '36 వ ఉత్తమ కెరీర్ (8.00) (అర్హత లేకుండా) సగటు బౌలింగ్', ' 9 వ ఓల్డెస్ట్ కాప్టెన్ (42y 273d) ',' కెప్టెన్సీ తొలి 8 వ ఓల్డెస్ట్ క"&amp;"ాప్టెన్ (42y 269d) ']")</f>
        <v>[ '31 ఓల్డెస్ట్ క్రీడాకారులు (42y 273d)', '23 వ పురాతన దేశం ఆటగాళ్ళు (49y 267d)', '(42y 269d) తొలి 29 ఓల్డెస్ట్ క్రీడాకారులు', '36 వ ఉత్తమ కెరీర్ (8.00) (అర్హత లేకుండా) సగటు బౌలింగ్', ' 9 వ ఓల్డెస్ట్ కాప్టెన్ (42y 273d) ',' కెప్టెన్సీ తొలి 8 వ ఓల్డెస్ట్ కాప్టెన్ (42y 269d) ']</v>
      </c>
      <c r="I8625" s="3"/>
    </row>
    <row r="8626" customHeight="1" spans="1:9">
      <c r="A8626" s="2"/>
      <c r="B8626" s="2" t="str">
        <f>IFERROR(__xludf.DUMMYFUNCTION("IF(A8626&lt;&gt;"""", GOOGLETRANSLATE(A8626, ""en"", ""te""),"""")"),"")</f>
        <v/>
      </c>
      <c r="C8626" s="2"/>
      <c r="D8626" s="2" t="str">
        <f>IFERROR(__xludf.DUMMYFUNCTION("IF(C8626&lt;&gt;"""", GOOGLETRANSLATE(C8626, ""en"", ""te""),"""")"),"")</f>
        <v/>
      </c>
      <c r="E8626" s="2"/>
      <c r="F8626" s="2" t="str">
        <f>IFERROR(__xludf.DUMMYFUNCTION("IF(E8626&lt;&gt;"""", GOOGLETRANSLATE(E8626, ""en"", ""te""),"""")"),"")</f>
        <v/>
      </c>
      <c r="G8626" s="2" t="s">
        <v>4844</v>
      </c>
      <c r="H8626" s="2" t="str">
        <f>IFERROR(__xludf.DUMMYFUNCTION("IF(G8626&lt;&gt;"""", GOOGLETRANSLATE(G8626, ""en"", ""te""),"""")"),"[ '13 వ ఇన్నింగ్స్ లో అత్యధిక పరుగులు (బ్యాటింగ్ స్థానంలో ప్రకారం) (21)']")</f>
        <v>[ '13 వ ఇన్నింగ్స్ లో అత్యధిక పరుగులు (బ్యాటింగ్ స్థానంలో ప్రకారం) (21)']</v>
      </c>
      <c r="I8626" s="3"/>
    </row>
    <row r="8627" customHeight="1" spans="1:9">
      <c r="A8627" s="2"/>
      <c r="B8627" s="2" t="str">
        <f>IFERROR(__xludf.DUMMYFUNCTION("IF(A8627&lt;&gt;"""", GOOGLETRANSLATE(A8627, ""en"", ""te""),"""")"),"")</f>
        <v/>
      </c>
      <c r="C8627" s="2"/>
      <c r="D8627" s="2" t="str">
        <f>IFERROR(__xludf.DUMMYFUNCTION("IF(C8627&lt;&gt;"""", GOOGLETRANSLATE(C8627, ""en"", ""te""),"""")"),"")</f>
        <v/>
      </c>
      <c r="E8627" s="2"/>
      <c r="F8627" s="2" t="str">
        <f>IFERROR(__xludf.DUMMYFUNCTION("IF(E8627&lt;&gt;"""", GOOGLETRANSLATE(E8627, ""en"", ""te""),"""")"),"")</f>
        <v/>
      </c>
      <c r="G8627" s="2"/>
      <c r="H8627" s="2" t="str">
        <f>IFERROR(__xludf.DUMMYFUNCTION("IF(G8627&lt;&gt;"""", GOOGLETRANSLATE(G8627, ""en"", ""te""),"""")"),"")</f>
        <v/>
      </c>
      <c r="I8627" s="3"/>
    </row>
    <row r="8628" customHeight="1" spans="1:9">
      <c r="A8628" s="2" t="s">
        <v>175</v>
      </c>
      <c r="B8628" s="2" t="str">
        <f>IFERROR(__xludf.DUMMYFUNCTION("IF(A8628&lt;&gt;"""", GOOGLETRANSLATE(A8628, ""en"", ""te""),"""")"),"[ 'ఒక సిరీస్లో 6 వ అత్యంత బాతులు (3)']")</f>
        <v>[ 'ఒక సిరీస్లో 6 వ అత్యంత బాతులు (3)']</v>
      </c>
      <c r="C8628" s="2"/>
      <c r="D8628" s="2" t="str">
        <f>IFERROR(__xludf.DUMMYFUNCTION("IF(C8628&lt;&gt;"""", GOOGLETRANSLATE(C8628, ""en"", ""te""),"""")"),"")</f>
        <v/>
      </c>
      <c r="E8628" s="2" t="s">
        <v>175</v>
      </c>
      <c r="F8628" s="2" t="str">
        <f>IFERROR(__xludf.DUMMYFUNCTION("IF(E8628&lt;&gt;"""", GOOGLETRANSLATE(E8628, ""en"", ""te""),"""")"),"[ 'ఒక సిరీస్లో 6 వ అత్యంత బాతులు (3)']")</f>
        <v>[ 'ఒక సిరీస్లో 6 వ అత్యంత బాతులు (3)']</v>
      </c>
      <c r="G8628" s="2"/>
      <c r="H8628" s="2" t="str">
        <f>IFERROR(__xludf.DUMMYFUNCTION("IF(G8628&lt;&gt;"""", GOOGLETRANSLATE(G8628, ""en"", ""te""),"""")"),"")</f>
        <v/>
      </c>
      <c r="I8628" s="3"/>
    </row>
    <row r="8629" customHeight="1" spans="1:9">
      <c r="A8629" s="2"/>
      <c r="B8629" s="2" t="str">
        <f>IFERROR(__xludf.DUMMYFUNCTION("IF(A8629&lt;&gt;"""", GOOGLETRANSLATE(A8629, ""en"", ""te""),"""")"),"")</f>
        <v/>
      </c>
      <c r="C8629" s="2"/>
      <c r="D8629" s="2" t="str">
        <f>IFERROR(__xludf.DUMMYFUNCTION("IF(C8629&lt;&gt;"""", GOOGLETRANSLATE(C8629, ""en"", ""te""),"""")"),"")</f>
        <v/>
      </c>
      <c r="E8629" s="2"/>
      <c r="F8629" s="2" t="str">
        <f>IFERROR(__xludf.DUMMYFUNCTION("IF(E8629&lt;&gt;"""", GOOGLETRANSLATE(E8629, ""en"", ""te""),"""")"),"")</f>
        <v/>
      </c>
      <c r="G8629" s="2"/>
      <c r="H8629" s="2" t="str">
        <f>IFERROR(__xludf.DUMMYFUNCTION("IF(G8629&lt;&gt;"""", GOOGLETRANSLATE(G8629, ""en"", ""te""),"""")"),"")</f>
        <v/>
      </c>
      <c r="I8629" s="3"/>
    </row>
    <row r="8630" customHeight="1" spans="1:9">
      <c r="A8630" s="2" t="s">
        <v>4845</v>
      </c>
      <c r="B8630" s="2" t="str">
        <f>IFERROR(__xludf.DUMMYFUNCTION("IF(A8630&lt;&gt;"""", GOOGLETRANSLATE(A8630, ""en"", ""te""),"""")"),"[ '8 వ ఓల్డెస్ట్ క్రీడాకారులు (43y 60d)', '3 వ ఓల్డెస్ట్ కెప్టెన్లు కెప్టెన్సీ ప్రవేశం (43y 36d) న']")</f>
        <v>[ '8 వ ఓల్డెస్ట్ క్రీడాకారులు (43y 60d)', '3 వ ఓల్డెస్ట్ కెప్టెన్లు కెప్టెన్సీ ప్రవేశం (43y 36d) న']</v>
      </c>
      <c r="C8630" s="2"/>
      <c r="D8630" s="2" t="str">
        <f>IFERROR(__xludf.DUMMYFUNCTION("IF(C8630&lt;&gt;"""", GOOGLETRANSLATE(C8630, ""en"", ""te""),"""")"),"")</f>
        <v/>
      </c>
      <c r="E8630" s="2" t="s">
        <v>4846</v>
      </c>
      <c r="F8630" s="2" t="str">
        <f>IFERROR(__xludf.DUMMYFUNCTION("IF(E8630&lt;&gt;"""", GOOGLETRANSLATE(E8630, ""en"", ""te""),"""")"),"[ 'కెప్టెన్సీ తొలి 3 వ ఓల్డెస్ట్ కాప్టెన్ (43y 36d)' '8 వ ఓల్డెస్ట్ క్రీడాకారులు (43y 60d)', '4 వ ఓల్డెస్ట్ కాప్టెన్ (43y 60d)',]")</f>
        <v>[ 'కెప్టెన్సీ తొలి 3 వ ఓల్డెస్ట్ కాప్టెన్ (43y 36d)' '8 వ ఓల్డెస్ట్ క్రీడాకారులు (43y 60d)', '4 వ ఓల్డెస్ట్ కాప్టెన్ (43y 60d)',]</v>
      </c>
      <c r="G8630" s="2" t="s">
        <v>4847</v>
      </c>
      <c r="H8630" s="2" t="str">
        <f>IFERROR(__xludf.DUMMYFUNCTION("IF(G8630&lt;&gt;"""", GOOGLETRANSLATE(G8630, ""en"", ""te""),"""")"),"[ 'తొలి 24 ఓల్డెస్ట్ క్రీడాకారులు (43y 176d)', '26th ఓల్డెస్ట్ క్రీడాకారులు (43y 179d)', '31 పురాతన దేశం ఆటగాళ్ళు (49y 60d)', '7 వ ఓల్డెస్ట్ కాప్టెన్ (43y 179d)', 'కెప్టెన్సీ న 6 వ ఓల్డెస్ట్ కెప్టెన్లు ప్రవేశం (43y 176d) ']")</f>
        <v>[ 'తొలి 24 ఓల్డెస్ట్ క్రీడాకారులు (43y 176d)', '26th ఓల్డెస్ట్ క్రీడాకారులు (43y 179d)', '31 పురాతన దేశం ఆటగాళ్ళు (49y 60d)', '7 వ ఓల్డెస్ట్ కాప్టెన్ (43y 179d)', 'కెప్టెన్సీ న 6 వ ఓల్డెస్ట్ కెప్టెన్లు ప్రవేశం (43y 176d) ']</v>
      </c>
      <c r="I8630" s="3"/>
    </row>
    <row r="8631" customHeight="1" spans="1:9">
      <c r="A8631" s="2"/>
      <c r="B8631" s="2" t="str">
        <f>IFERROR(__xludf.DUMMYFUNCTION("IF(A8631&lt;&gt;"""", GOOGLETRANSLATE(A8631, ""en"", ""te""),"""")"),"")</f>
        <v/>
      </c>
      <c r="C8631" s="2"/>
      <c r="D8631" s="2" t="str">
        <f>IFERROR(__xludf.DUMMYFUNCTION("IF(C8631&lt;&gt;"""", GOOGLETRANSLATE(C8631, ""en"", ""te""),"""")"),"")</f>
        <v/>
      </c>
      <c r="E8631" s="2"/>
      <c r="F8631" s="2" t="str">
        <f>IFERROR(__xludf.DUMMYFUNCTION("IF(E8631&lt;&gt;"""", GOOGLETRANSLATE(E8631, ""en"", ""te""),"""")"),"")</f>
        <v/>
      </c>
      <c r="G8631" s="2" t="s">
        <v>3706</v>
      </c>
      <c r="H8631" s="2" t="str">
        <f>IFERROR(__xludf.DUMMYFUNCTION("IF(G8631&lt;&gt;"""", GOOGLETRANSLATE(G8631, ""en"", ""te""),"""")"),"[ '32 వ అత్యంత ఇన్నింగ్స్ లో సాధించిన బైస్ (5)']")</f>
        <v>[ '32 వ అత్యంత ఇన్నింగ్స్ లో సాధించిన బైస్ (5)']</v>
      </c>
      <c r="I8631" s="3"/>
    </row>
    <row r="8632" customHeight="1" spans="1:9">
      <c r="A8632" s="2"/>
      <c r="B8632" s="2" t="str">
        <f>IFERROR(__xludf.DUMMYFUNCTION("IF(A8632&lt;&gt;"""", GOOGLETRANSLATE(A8632, ""en"", ""te""),"""")"),"")</f>
        <v/>
      </c>
      <c r="C8632" s="2"/>
      <c r="D8632" s="2" t="str">
        <f>IFERROR(__xludf.DUMMYFUNCTION("IF(C8632&lt;&gt;"""", GOOGLETRANSLATE(C8632, ""en"", ""te""),"""")"),"")</f>
        <v/>
      </c>
      <c r="E8632" s="2"/>
      <c r="F8632" s="2" t="str">
        <f>IFERROR(__xludf.DUMMYFUNCTION("IF(E8632&lt;&gt;"""", GOOGLETRANSLATE(E8632, ""en"", ""te""),"""")"),"")</f>
        <v/>
      </c>
      <c r="G8632" s="2"/>
      <c r="H8632" s="2" t="str">
        <f>IFERROR(__xludf.DUMMYFUNCTION("IF(G8632&lt;&gt;"""", GOOGLETRANSLATE(G8632, ""en"", ""te""),"""")"),"")</f>
        <v/>
      </c>
      <c r="I8632" s="3"/>
    </row>
    <row r="8633" customHeight="1" spans="1:9">
      <c r="A8633" s="2"/>
      <c r="B8633" s="2" t="str">
        <f>IFERROR(__xludf.DUMMYFUNCTION("IF(A8633&lt;&gt;"""", GOOGLETRANSLATE(A8633, ""en"", ""te""),"""")"),"")</f>
        <v/>
      </c>
      <c r="C8633" s="2"/>
      <c r="D8633" s="2" t="str">
        <f>IFERROR(__xludf.DUMMYFUNCTION("IF(C8633&lt;&gt;"""", GOOGLETRANSLATE(C8633, ""en"", ""te""),"""")"),"")</f>
        <v/>
      </c>
      <c r="E8633" s="2"/>
      <c r="F8633" s="2" t="str">
        <f>IFERROR(__xludf.DUMMYFUNCTION("IF(E8633&lt;&gt;"""", GOOGLETRANSLATE(E8633, ""en"", ""te""),"""")"),"")</f>
        <v/>
      </c>
      <c r="G8633" s="2"/>
      <c r="H8633" s="2" t="str">
        <f>IFERROR(__xludf.DUMMYFUNCTION("IF(G8633&lt;&gt;"""", GOOGLETRANSLATE(G8633, ""en"", ""te""),"""")"),"")</f>
        <v/>
      </c>
      <c r="I8633" s="3"/>
    </row>
    <row r="8634" customHeight="1" spans="1:9">
      <c r="A8634" s="2"/>
      <c r="B8634" s="2" t="str">
        <f>IFERROR(__xludf.DUMMYFUNCTION("IF(A8634&lt;&gt;"""", GOOGLETRANSLATE(A8634, ""en"", ""te""),"""")"),"")</f>
        <v/>
      </c>
      <c r="C8634" s="2"/>
      <c r="D8634" s="2" t="str">
        <f>IFERROR(__xludf.DUMMYFUNCTION("IF(C8634&lt;&gt;"""", GOOGLETRANSLATE(C8634, ""en"", ""te""),"""")"),"")</f>
        <v/>
      </c>
      <c r="E8634" s="2"/>
      <c r="F8634" s="2" t="str">
        <f>IFERROR(__xludf.DUMMYFUNCTION("IF(E8634&lt;&gt;"""", GOOGLETRANSLATE(E8634, ""en"", ""te""),"""")"),"")</f>
        <v/>
      </c>
      <c r="G8634" s="2"/>
      <c r="H8634" s="2" t="str">
        <f>IFERROR(__xludf.DUMMYFUNCTION("IF(G8634&lt;&gt;"""", GOOGLETRANSLATE(G8634, ""en"", ""te""),"""")"),"")</f>
        <v/>
      </c>
      <c r="I8634" s="3"/>
    </row>
    <row r="8635" customHeight="1" spans="1:9">
      <c r="A8635" s="2"/>
      <c r="B8635" s="2" t="str">
        <f>IFERROR(__xludf.DUMMYFUNCTION("IF(A8635&lt;&gt;"""", GOOGLETRANSLATE(A8635, ""en"", ""te""),"""")"),"")</f>
        <v/>
      </c>
      <c r="C8635" s="2"/>
      <c r="D8635" s="2" t="str">
        <f>IFERROR(__xludf.DUMMYFUNCTION("IF(C8635&lt;&gt;"""", GOOGLETRANSLATE(C8635, ""en"", ""te""),"""")"),"")</f>
        <v/>
      </c>
      <c r="E8635" s="2"/>
      <c r="F8635" s="2" t="str">
        <f>IFERROR(__xludf.DUMMYFUNCTION("IF(E8635&lt;&gt;"""", GOOGLETRANSLATE(E8635, ""en"", ""te""),"""")"),"")</f>
        <v/>
      </c>
      <c r="G8635" s="2"/>
      <c r="H8635" s="2" t="str">
        <f>IFERROR(__xludf.DUMMYFUNCTION("IF(G8635&lt;&gt;"""", GOOGLETRANSLATE(G8635, ""en"", ""te""),"""")"),"")</f>
        <v/>
      </c>
      <c r="I8635" s="3"/>
    </row>
    <row r="8636" customHeight="1" spans="1:9">
      <c r="A8636" s="2"/>
      <c r="B8636" s="2" t="str">
        <f>IFERROR(__xludf.DUMMYFUNCTION("IF(A8636&lt;&gt;"""", GOOGLETRANSLATE(A8636, ""en"", ""te""),"""")"),"")</f>
        <v/>
      </c>
      <c r="C8636" s="2"/>
      <c r="D8636" s="2" t="str">
        <f>IFERROR(__xludf.DUMMYFUNCTION("IF(C8636&lt;&gt;"""", GOOGLETRANSLATE(C8636, ""en"", ""te""),"""")"),"")</f>
        <v/>
      </c>
      <c r="E8636" s="2"/>
      <c r="F8636" s="2" t="str">
        <f>IFERROR(__xludf.DUMMYFUNCTION("IF(E8636&lt;&gt;"""", GOOGLETRANSLATE(E8636, ""en"", ""te""),"""")"),"")</f>
        <v/>
      </c>
      <c r="G8636" s="2"/>
      <c r="H8636" s="2" t="str">
        <f>IFERROR(__xludf.DUMMYFUNCTION("IF(G8636&lt;&gt;"""", GOOGLETRANSLATE(G8636, ""en"", ""te""),"""")"),"")</f>
        <v/>
      </c>
      <c r="I8636" s="3"/>
    </row>
    <row r="8637" customHeight="1" spans="1:9">
      <c r="A8637" s="2"/>
      <c r="B8637" s="2" t="str">
        <f>IFERROR(__xludf.DUMMYFUNCTION("IF(A8637&lt;&gt;"""", GOOGLETRANSLATE(A8637, ""en"", ""te""),"""")"),"")</f>
        <v/>
      </c>
      <c r="C8637" s="2"/>
      <c r="D8637" s="2" t="str">
        <f>IFERROR(__xludf.DUMMYFUNCTION("IF(C8637&lt;&gt;"""", GOOGLETRANSLATE(C8637, ""en"", ""te""),"""")"),"")</f>
        <v/>
      </c>
      <c r="E8637" s="2"/>
      <c r="F8637" s="2" t="str">
        <f>IFERROR(__xludf.DUMMYFUNCTION("IF(E8637&lt;&gt;"""", GOOGLETRANSLATE(E8637, ""en"", ""te""),"""")"),"")</f>
        <v/>
      </c>
      <c r="G8637" s="2"/>
      <c r="H8637" s="2" t="str">
        <f>IFERROR(__xludf.DUMMYFUNCTION("IF(G8637&lt;&gt;"""", GOOGLETRANSLATE(G8637, ""en"", ""te""),"""")"),"")</f>
        <v/>
      </c>
      <c r="I8637" s="3"/>
    </row>
    <row r="8638" customHeight="1" spans="1:9">
      <c r="A8638" s="2"/>
      <c r="B8638" s="2" t="str">
        <f>IFERROR(__xludf.DUMMYFUNCTION("IF(A8638&lt;&gt;"""", GOOGLETRANSLATE(A8638, ""en"", ""te""),"""")"),"")</f>
        <v/>
      </c>
      <c r="C8638" s="2"/>
      <c r="D8638" s="2" t="str">
        <f>IFERROR(__xludf.DUMMYFUNCTION("IF(C8638&lt;&gt;"""", GOOGLETRANSLATE(C8638, ""en"", ""te""),"""")"),"")</f>
        <v/>
      </c>
      <c r="E8638" s="2"/>
      <c r="F8638" s="2" t="str">
        <f>IFERROR(__xludf.DUMMYFUNCTION("IF(E8638&lt;&gt;"""", GOOGLETRANSLATE(E8638, ""en"", ""te""),"""")"),"")</f>
        <v/>
      </c>
      <c r="G8638" s="2"/>
      <c r="H8638" s="2" t="str">
        <f>IFERROR(__xludf.DUMMYFUNCTION("IF(G8638&lt;&gt;"""", GOOGLETRANSLATE(G8638, ""en"", ""te""),"""")"),"")</f>
        <v/>
      </c>
      <c r="I8638" s="3"/>
    </row>
    <row r="8639" customHeight="1" spans="1:9">
      <c r="A8639" s="2"/>
      <c r="B8639" s="2" t="str">
        <f>IFERROR(__xludf.DUMMYFUNCTION("IF(A8639&lt;&gt;"""", GOOGLETRANSLATE(A8639, ""en"", ""te""),"""")"),"")</f>
        <v/>
      </c>
      <c r="C8639" s="2"/>
      <c r="D8639" s="2" t="str">
        <f>IFERROR(__xludf.DUMMYFUNCTION("IF(C8639&lt;&gt;"""", GOOGLETRANSLATE(C8639, ""en"", ""te""),"""")"),"")</f>
        <v/>
      </c>
      <c r="E8639" s="2"/>
      <c r="F8639" s="2" t="str">
        <f>IFERROR(__xludf.DUMMYFUNCTION("IF(E8639&lt;&gt;"""", GOOGLETRANSLATE(E8639, ""en"", ""te""),"""")"),"")</f>
        <v/>
      </c>
      <c r="G8639" s="2"/>
      <c r="H8639" s="2" t="str">
        <f>IFERROR(__xludf.DUMMYFUNCTION("IF(G8639&lt;&gt;"""", GOOGLETRANSLATE(G8639, ""en"", ""te""),"""")"),"")</f>
        <v/>
      </c>
      <c r="I8639" s="3"/>
    </row>
    <row r="8640" customHeight="1" spans="1:9">
      <c r="A8640" s="2"/>
      <c r="B8640" s="2" t="str">
        <f>IFERROR(__xludf.DUMMYFUNCTION("IF(A8640&lt;&gt;"""", GOOGLETRANSLATE(A8640, ""en"", ""te""),"""")"),"")</f>
        <v/>
      </c>
      <c r="C8640" s="2"/>
      <c r="D8640" s="2" t="str">
        <f>IFERROR(__xludf.DUMMYFUNCTION("IF(C8640&lt;&gt;"""", GOOGLETRANSLATE(C8640, ""en"", ""te""),"""")"),"")</f>
        <v/>
      </c>
      <c r="E8640" s="2"/>
      <c r="F8640" s="2" t="str">
        <f>IFERROR(__xludf.DUMMYFUNCTION("IF(E8640&lt;&gt;"""", GOOGLETRANSLATE(E8640, ""en"", ""te""),"""")"),"")</f>
        <v/>
      </c>
      <c r="G8640" s="2"/>
      <c r="H8640" s="2" t="str">
        <f>IFERROR(__xludf.DUMMYFUNCTION("IF(G8640&lt;&gt;"""", GOOGLETRANSLATE(G8640, ""en"", ""te""),"""")"),"")</f>
        <v/>
      </c>
      <c r="I8640" s="3"/>
    </row>
    <row r="8641" customHeight="1" spans="1:9">
      <c r="A8641" s="2" t="s">
        <v>4848</v>
      </c>
      <c r="B8641" s="2" t="str">
        <f>IFERROR(__xludf.DUMMYFUNCTION("IF(A8641&lt;&gt;"""", GOOGLETRANSLATE(A8641, ""en"", ""te""),"""")"),"[ '5 వ అత్యధిక ఒక ఇన్నింగ్స్లో పరుగుల శాతం (67.12)']")</f>
        <v>[ '5 వ అత్యధిక ఒక ఇన్నింగ్స్లో పరుగుల శాతం (67.12)']</v>
      </c>
      <c r="C8641" s="2"/>
      <c r="D8641" s="2" t="str">
        <f>IFERROR(__xludf.DUMMYFUNCTION("IF(C8641&lt;&gt;"""", GOOGLETRANSLATE(C8641, ""en"", ""te""),"""")"),"")</f>
        <v/>
      </c>
      <c r="E8641" s="2" t="s">
        <v>4849</v>
      </c>
      <c r="F8641" s="2" t="str">
        <f>IFERROR(__xludf.DUMMYFUNCTION("IF(E8641&lt;&gt;"""", GOOGLETRANSLATE(E8641, ""en"", ""te""),"""")"),"[ '44 వ అత్యంత వృద్ధ ఆటగాడు వంద (35y 87d) స్కోర్', 'స్కోర్ 13 వ అత్యంత వృద్ధ ఆటగాడు తొలి వంద (35y 87d)', 'ఏడవ వికెట్ (105) కోసం 34 వ అత్యధిక భాగస్వామ్యం']")</f>
        <v>[ '44 వ అత్యంత వృద్ధ ఆటగాడు వంద (35y 87d) స్కోర్', 'స్కోర్ 13 వ అత్యంత వృద్ధ ఆటగాడు తొలి వంద (35y 87d)', 'ఏడవ వికెట్ (105) కోసం 34 వ అత్యధిక భాగస్వామ్యం']</v>
      </c>
      <c r="G8641" s="2" t="s">
        <v>4850</v>
      </c>
      <c r="H8641" s="2" t="str">
        <f>IFERROR(__xludf.DUMMYFUNCTION("IF(G8641&lt;&gt;"""", GOOGLETRANSLATE(G8641, ""en"", ""te""),"""")"),"[ '14 వ ఇన్నింగ్స్ లో అత్యధిక పరుగులు (బ్యాటింగ్ స్థానంలో ప్రకారం) (89 *)', '50th తొలి మ్యాచ్ (49 *) లో అత్యధిక పరుగులు', '29th లాంగెస్ట్ వ్యక్తిగత ఇన్నింగ్స్ (బంతులతో) (63)', '5 వ అత్యధిక శాతం ఒక ఇన్నింగ్స్లో పరుగుల (67.12) నాలుగో వికెట్కు (100) కోసం ', "&amp;"'21 వ అత్యధిక భాగస్వామ్యం']")</f>
        <v>[ '14 వ ఇన్నింగ్స్ లో అత్యధిక పరుగులు (బ్యాటింగ్ స్థానంలో ప్రకారం) (89 *)', '50th తొలి మ్యాచ్ (49 *) లో అత్యధిక పరుగులు', '29th లాంగెస్ట్ వ్యక్తిగత ఇన్నింగ్స్ (బంతులతో) (63)', '5 వ అత్యధిక శాతం ఒక ఇన్నింగ్స్లో పరుగుల (67.12) నాలుగో వికెట్కు (100) కోసం ', '21 వ అత్యధిక భాగస్వామ్యం']</v>
      </c>
      <c r="I8641" s="3"/>
    </row>
    <row r="8642" customHeight="1" spans="1:9">
      <c r="A8642" s="2"/>
      <c r="B8642" s="2" t="str">
        <f>IFERROR(__xludf.DUMMYFUNCTION("IF(A8642&lt;&gt;"""", GOOGLETRANSLATE(A8642, ""en"", ""te""),"""")"),"")</f>
        <v/>
      </c>
      <c r="C8642" s="2"/>
      <c r="D8642" s="2" t="str">
        <f>IFERROR(__xludf.DUMMYFUNCTION("IF(C8642&lt;&gt;"""", GOOGLETRANSLATE(C8642, ""en"", ""te""),"""")"),"")</f>
        <v/>
      </c>
      <c r="E8642" s="2"/>
      <c r="F8642" s="2" t="str">
        <f>IFERROR(__xludf.DUMMYFUNCTION("IF(E8642&lt;&gt;"""", GOOGLETRANSLATE(E8642, ""en"", ""te""),"""")"),"")</f>
        <v/>
      </c>
      <c r="G8642" s="2"/>
      <c r="H8642" s="2" t="str">
        <f>IFERROR(__xludf.DUMMYFUNCTION("IF(G8642&lt;&gt;"""", GOOGLETRANSLATE(G8642, ""en"", ""te""),"""")"),"")</f>
        <v/>
      </c>
      <c r="I8642" s="3"/>
    </row>
    <row r="8643" customHeight="1" spans="1:9">
      <c r="A8643" s="2"/>
      <c r="B8643" s="2" t="str">
        <f>IFERROR(__xludf.DUMMYFUNCTION("IF(A8643&lt;&gt;"""", GOOGLETRANSLATE(A8643, ""en"", ""te""),"""")"),"")</f>
        <v/>
      </c>
      <c r="C8643" s="2"/>
      <c r="D8643" s="2" t="str">
        <f>IFERROR(__xludf.DUMMYFUNCTION("IF(C8643&lt;&gt;"""", GOOGLETRANSLATE(C8643, ""en"", ""te""),"""")"),"")</f>
        <v/>
      </c>
      <c r="E8643" s="2"/>
      <c r="F8643" s="2" t="str">
        <f>IFERROR(__xludf.DUMMYFUNCTION("IF(E8643&lt;&gt;"""", GOOGLETRANSLATE(E8643, ""en"", ""te""),"""")"),"")</f>
        <v/>
      </c>
      <c r="G8643" s="2"/>
      <c r="H8643" s="2" t="str">
        <f>IFERROR(__xludf.DUMMYFUNCTION("IF(G8643&lt;&gt;"""", GOOGLETRANSLATE(G8643, ""en"", ""te""),"""")"),"")</f>
        <v/>
      </c>
      <c r="I8643" s="3"/>
    </row>
    <row r="8644" customHeight="1" spans="1:9">
      <c r="A8644" s="2"/>
      <c r="B8644" s="2" t="str">
        <f>IFERROR(__xludf.DUMMYFUNCTION("IF(A8644&lt;&gt;"""", GOOGLETRANSLATE(A8644, ""en"", ""te""),"""")"),"")</f>
        <v/>
      </c>
      <c r="C8644" s="2"/>
      <c r="D8644" s="2" t="str">
        <f>IFERROR(__xludf.DUMMYFUNCTION("IF(C8644&lt;&gt;"""", GOOGLETRANSLATE(C8644, ""en"", ""te""),"""")"),"")</f>
        <v/>
      </c>
      <c r="E8644" s="2"/>
      <c r="F8644" s="2" t="str">
        <f>IFERROR(__xludf.DUMMYFUNCTION("IF(E8644&lt;&gt;"""", GOOGLETRANSLATE(E8644, ""en"", ""te""),"""")"),"")</f>
        <v/>
      </c>
      <c r="G8644" s="2"/>
      <c r="H8644" s="2" t="str">
        <f>IFERROR(__xludf.DUMMYFUNCTION("IF(G8644&lt;&gt;"""", GOOGLETRANSLATE(G8644, ""en"", ""te""),"""")"),"")</f>
        <v/>
      </c>
      <c r="I8644" s="3"/>
    </row>
    <row r="8645" customHeight="1" spans="1:9">
      <c r="A8645" s="2" t="s">
        <v>4851</v>
      </c>
      <c r="B8645" s="2" t="str">
        <f>IFERROR(__xludf.DUMMYFUNCTION("IF(A8645&lt;&gt;"""", GOOGLETRANSLATE(A8645, ""en"", ""te""),"""")"),"[ 'బ్యాటింగ్ ప్రారంభించుటకు మరియు అదే మ్యాచ్ లో బౌలింగ్', '9 వ ఉత్తమ కెరీర్ ఆర్థిక రేటు (6.35)', '3 వ అత్యంత పనికత్తెలయొద్ద కెరీర్లో (5)', '8 వ అత్యధిక వికెట్లు తీసుకున్న బౌల్డ్ (18)']")</f>
        <v>[ 'బ్యాటింగ్ ప్రారంభించుటకు మరియు అదే మ్యాచ్ లో బౌలింగ్', '9 వ ఉత్తమ కెరీర్ ఆర్థిక రేటు (6.35)', '3 వ అత్యంత పనికత్తెలయొద్ద కెరీర్లో (5)', '8 వ అత్యధిక వికెట్లు తీసుకున్న బౌల్డ్ (18)']</v>
      </c>
      <c r="C8645" s="2"/>
      <c r="D8645" s="2" t="str">
        <f>IFERROR(__xludf.DUMMYFUNCTION("IF(C8645&lt;&gt;"""", GOOGLETRANSLATE(C8645, ""en"", ""te""),"""")"),"")</f>
        <v/>
      </c>
      <c r="E8645" s="2" t="s">
        <v>4852</v>
      </c>
      <c r="F8645" s="2" t="str">
        <f>IFERROR(__xludf.DUMMYFUNCTION("IF(E8645&lt;&gt;"""", GOOGLETRANSLATE(E8645, ""en"", ""te""),"""")"),"[ '41 వ ఉత్తమ ఇన్నింగ్స్ లో సమ్మె రేటు (7.0)', '41 వ అత్యంత వృద్ధ ఆటగాడు తొలి తీసుకుని ఐదు-వికెట్ల లో-ఒక-ఇన్నింగ్స్ (30y 274d)']")</f>
        <v>[ '41 వ ఉత్తమ ఇన్నింగ్స్ లో సమ్మె రేటు (7.0)', '41 వ అత్యంత వృద్ధ ఆటగాడు తొలి తీసుకుని ఐదు-వికెట్ల లో-ఒక-ఇన్నింగ్స్ (30y 274d)']</v>
      </c>
      <c r="G8645" s="2" t="s">
        <v>4853</v>
      </c>
      <c r="H8645" s="2" t="str">
        <f>IFERROR(__xludf.DUMMYFUNCTION("IF(G8645&lt;&gt;"""", GOOGLETRANSLATE(G8645, ""en"", ""te""),"""")"),"[ '28 ఇన్నింగ్స్ లో అత్యధిక పరుగులు (బ్యాటింగ్ స్థానంలో ప్రకారం) (25 *)', '42 వ ఒక క్యాలెండర్ సంవత్సరంలో అత్యధిక వికెట్లు (19)', 'ఒకే మైదానంలో 43 వ అత్యధిక వికెట్లు (11)', '26 ఉత్తమ కెరీర్ బౌలింగ్ సగటు (19.70) ',' 9 వ ఉత్తమ కెరీర్ ఆర్థిక రేటు (6.35) ',' "&amp;"8 వ అత్యధిక వికెట్లు తీసుకున్న బౌల్డ్ (18) ',' 48 వ అత్యధిక వికెట్లు ఒక వికెట్ కీపర్ చే కాట్ తీసుకోకూడదు (5) ',' 50 వ వరుస జట్టు మ్యాచ్లు (28) ',' 3 వ అత్యధిక కెరీర్ (5) పనికత్తెలయొద్ద ']")</f>
        <v>[ '28 ఇన్నింగ్స్ లో అత్యధిక పరుగులు (బ్యాటింగ్ స్థానంలో ప్రకారం) (25 *)', '42 వ ఒక క్యాలెండర్ సంవత్సరంలో అత్యధిక వికెట్లు (19)', 'ఒకే మైదానంలో 43 వ అత్యధిక వికెట్లు (11)', '26 ఉత్తమ కెరీర్ బౌలింగ్ సగటు (19.70) ',' 9 వ ఉత్తమ కెరీర్ ఆర్థిక రేటు (6.35) ',' 8 వ అత్యధిక వికెట్లు తీసుకున్న బౌల్డ్ (18) ',' 48 వ అత్యధిక వికెట్లు ఒక వికెట్ కీపర్ చే కాట్ తీసుకోకూడదు (5) ',' 50 వ వరుస జట్టు మ్యాచ్లు (28) ',' 3 వ అత్యధిక కెరీర్ (5) పనికత్తెలయొద్ద ']</v>
      </c>
      <c r="I8645" s="3"/>
    </row>
    <row r="8646" customHeight="1" spans="1:9">
      <c r="A8646" s="2"/>
      <c r="B8646" s="2" t="str">
        <f>IFERROR(__xludf.DUMMYFUNCTION("IF(A8646&lt;&gt;"""", GOOGLETRANSLATE(A8646, ""en"", ""te""),"""")"),"")</f>
        <v/>
      </c>
      <c r="C8646" s="2"/>
      <c r="D8646" s="2" t="str">
        <f>IFERROR(__xludf.DUMMYFUNCTION("IF(C8646&lt;&gt;"""", GOOGLETRANSLATE(C8646, ""en"", ""te""),"""")"),"")</f>
        <v/>
      </c>
      <c r="E8646" s="2" t="s">
        <v>2105</v>
      </c>
      <c r="F8646" s="2" t="str">
        <f>IFERROR(__xludf.DUMMYFUNCTION("IF(E8646&lt;&gt;"""", GOOGLETRANSLATE(E8646, ""en"", ""te""),"""")"),"[ '48 వ తొలి మ్యాచ్లో అత్యధిక పరుగులు (70)']")</f>
        <v>[ '48 వ తొలి మ్యాచ్లో అత్యధిక పరుగులు (70)']</v>
      </c>
      <c r="G8646" s="2"/>
      <c r="H8646" s="2" t="str">
        <f>IFERROR(__xludf.DUMMYFUNCTION("IF(G8646&lt;&gt;"""", GOOGLETRANSLATE(G8646, ""en"", ""te""),"""")"),"")</f>
        <v/>
      </c>
      <c r="I8646" s="3"/>
    </row>
    <row r="8647" customHeight="1" spans="1:9">
      <c r="A8647" s="2"/>
      <c r="B8647" s="2" t="str">
        <f>IFERROR(__xludf.DUMMYFUNCTION("IF(A8647&lt;&gt;"""", GOOGLETRANSLATE(A8647, ""en"", ""te""),"""")"),"")</f>
        <v/>
      </c>
      <c r="C8647" s="2"/>
      <c r="D8647" s="2" t="str">
        <f>IFERROR(__xludf.DUMMYFUNCTION("IF(C8647&lt;&gt;"""", GOOGLETRANSLATE(C8647, ""en"", ""te""),"""")"),"")</f>
        <v/>
      </c>
      <c r="E8647" s="2"/>
      <c r="F8647" s="2" t="str">
        <f>IFERROR(__xludf.DUMMYFUNCTION("IF(E8647&lt;&gt;"""", GOOGLETRANSLATE(E8647, ""en"", ""te""),"""")"),"")</f>
        <v/>
      </c>
      <c r="G8647" s="2"/>
      <c r="H8647" s="2" t="str">
        <f>IFERROR(__xludf.DUMMYFUNCTION("IF(G8647&lt;&gt;"""", GOOGLETRANSLATE(G8647, ""en"", ""te""),"""")"),"")</f>
        <v/>
      </c>
      <c r="I8647" s="3"/>
    </row>
    <row r="8648" customHeight="1" spans="1:9">
      <c r="A8648" s="2" t="s">
        <v>4854</v>
      </c>
      <c r="B8648" s="2" t="str">
        <f>IFERROR(__xludf.DUMMYFUNCTION("IF(A8648&lt;&gt;"""", GOOGLETRANSLATE(A8648, ""en"", ""te""),"""")"),"[ '5 వ అత్యంత తొలి మ్యాచ్ (69) లో నడుస్తుంది']")</f>
        <v>[ '5 వ అత్యంత తొలి మ్యాచ్ (69) లో నడుస్తుంది']</v>
      </c>
      <c r="C8648" s="2"/>
      <c r="D8648" s="2" t="str">
        <f>IFERROR(__xludf.DUMMYFUNCTION("IF(C8648&lt;&gt;"""", GOOGLETRANSLATE(C8648, ""en"", ""te""),"""")"),"")</f>
        <v/>
      </c>
      <c r="E8648" s="2"/>
      <c r="F8648" s="2" t="str">
        <f>IFERROR(__xludf.DUMMYFUNCTION("IF(E8648&lt;&gt;"""", GOOGLETRANSLATE(E8648, ""en"", ""te""),"""")"),"")</f>
        <v/>
      </c>
      <c r="G8648" s="2" t="s">
        <v>4854</v>
      </c>
      <c r="H8648" s="2" t="str">
        <f>IFERROR(__xludf.DUMMYFUNCTION("IF(G8648&lt;&gt;"""", GOOGLETRANSLATE(G8648, ""en"", ""te""),"""")"),"[ '5 వ అత్యంత తొలి మ్యాచ్ (69) లో నడుస్తుంది']")</f>
        <v>[ '5 వ అత్యంత తొలి మ్యాచ్ (69) లో నడుస్తుంది']</v>
      </c>
      <c r="I8648" s="3"/>
    </row>
    <row r="8649" customHeight="1" spans="1:9">
      <c r="A8649" s="2"/>
      <c r="B8649" s="2" t="str">
        <f>IFERROR(__xludf.DUMMYFUNCTION("IF(A8649&lt;&gt;"""", GOOGLETRANSLATE(A8649, ""en"", ""te""),"""")"),"")</f>
        <v/>
      </c>
      <c r="C8649" s="2"/>
      <c r="D8649" s="2" t="str">
        <f>IFERROR(__xludf.DUMMYFUNCTION("IF(C8649&lt;&gt;"""", GOOGLETRANSLATE(C8649, ""en"", ""te""),"""")"),"")</f>
        <v/>
      </c>
      <c r="E8649" s="2"/>
      <c r="F8649" s="2" t="str">
        <f>IFERROR(__xludf.DUMMYFUNCTION("IF(E8649&lt;&gt;"""", GOOGLETRANSLATE(E8649, ""en"", ""te""),"""")"),"")</f>
        <v/>
      </c>
      <c r="G8649" s="2"/>
      <c r="H8649" s="2" t="str">
        <f>IFERROR(__xludf.DUMMYFUNCTION("IF(G8649&lt;&gt;"""", GOOGLETRANSLATE(G8649, ""en"", ""te""),"""")"),"")</f>
        <v/>
      </c>
      <c r="I8649" s="3"/>
    </row>
    <row r="8650" customHeight="1" spans="1:9">
      <c r="A8650" s="2" t="s">
        <v>4855</v>
      </c>
      <c r="B8650" s="2" t="str">
        <f>IFERROR(__xludf.DUMMYFUNCTION("IF(A8650&lt;&gt;"""", GOOGLETRANSLATE(A8650, ""en"", ""te""),"""")"),"[ 'అత్యధిక వికెట్లు ఇన్నింగ్స్ లో 4 వ అత్యధిక పరుగులు (82)', 'కెరీర్లో 9 వ లేవు బాతులు (16)', '1 వ అత్యుత్తమ బౌలింగ్ ఇన్నింగ్స్ లో విశ్లేషించడం (3/0)', ​​'ఇన్నింగ్స్ లో 2 వ ఉత్తమ సమ్మె రేటు (2.0) ']")</f>
        <v>[ 'అత్యధిక వికెట్లు ఇన్నింగ్స్ లో 4 వ అత్యధిక పరుగులు (82)', 'కెరీర్లో 9 వ లేవు బాతులు (16)', '1 వ అత్యుత్తమ బౌలింగ్ ఇన్నింగ్స్ లో విశ్లేషించడం (3/0)', ​​'ఇన్నింగ్స్ లో 2 వ ఉత్తమ సమ్మె రేటు (2.0) ']</v>
      </c>
      <c r="C8650" s="2"/>
      <c r="D8650" s="2" t="str">
        <f>IFERROR(__xludf.DUMMYFUNCTION("IF(C8650&lt;&gt;"""", GOOGLETRANSLATE(C8650, ""en"", ""te""),"""")"),"")</f>
        <v/>
      </c>
      <c r="E8650" s="2"/>
      <c r="F8650" s="2" t="str">
        <f>IFERROR(__xludf.DUMMYFUNCTION("IF(E8650&lt;&gt;"""", GOOGLETRANSLATE(E8650, ""en"", ""te""),"""")"),"")</f>
        <v/>
      </c>
      <c r="G8650" s="2" t="s">
        <v>4856</v>
      </c>
      <c r="H8650" s="2" t="str">
        <f>IFERROR(__xludf.DUMMYFUNCTION("IF(G8650&lt;&gt;"""", GOOGLETRANSLATE(G8650, ""en"", ""te""),"""")"),"[ '39 వ ఇన్నింగ్స్ లో అత్యధిక పరుగులు (బ్యాటింగ్ స్థానంలో ప్రకారం) (82)', '6 వ ఒకే మైదానంలో అత్యధిక పరుగులు (248)', 'ఇన్నింగ్స్ లో 4 వ అత్యధిక పరుగులు అత్యధిక వికెట్లు (82)', '9 వ లేవు బాతులు కెరీర్లో (16) ',' 1 వ అత్యుత్తమ బౌలింగ్ ఇన్నింగ్స్ లో విశ్లేషి"&amp;"ంచడం (3/0) ',' ఇన్నింగ్స్ (2.0) ',' 38 వ అత్యధిక భాగస్వామ్య 2 వ ఉత్తమ సమ్మె రేటు ఏ వికెట్కు (121) ',' 20 వ అత్యధిక మొదటి వికెట్ కొరకు చేసిన భాగస్వామ్యం (121) ',' రెండవ వికెట్కు 14 అత్యధిక భాగస్వామ్యం (114) ',' 13 వ అత్యంత బైలు ఇన్నింగ్స్ లో సాధించిన (6) "&amp;"']")</f>
        <v>[ '39 వ ఇన్నింగ్స్ లో అత్యధిక పరుగులు (బ్యాటింగ్ స్థానంలో ప్రకారం) (82)', '6 వ ఒకే మైదానంలో అత్యధిక పరుగులు (248)', 'ఇన్నింగ్స్ లో 4 వ అత్యధిక పరుగులు అత్యధిక వికెట్లు (82)', '9 వ లేవు బాతులు కెరీర్లో (16) ',' 1 వ అత్యుత్తమ బౌలింగ్ ఇన్నింగ్స్ లో విశ్లేషించడం (3/0) ',' ఇన్నింగ్స్ (2.0) ',' 38 వ అత్యధిక భాగస్వామ్య 2 వ ఉత్తమ సమ్మె రేటు ఏ వికెట్కు (121) ',' 20 వ అత్యధిక మొదటి వికెట్ కొరకు చేసిన భాగస్వామ్యం (121) ',' రెండవ వికెట్కు 14 అత్యధిక భాగస్వామ్యం (114) ',' 13 వ అత్యంత బైలు ఇన్నింగ్స్ లో సాధించిన (6) ']</v>
      </c>
      <c r="I8650" s="3"/>
    </row>
    <row r="8651" customHeight="1" spans="1:9">
      <c r="A8651" s="2" t="s">
        <v>1448</v>
      </c>
      <c r="B8651" s="2" t="str">
        <f>IFERROR(__xludf.DUMMYFUNCTION("IF(A8651&lt;&gt;"""", GOOGLETRANSLATE(A8651, ""en"", ""te""),"""")"),"[ 'లో 99 కాదు (మరియు 199, 299 etc) (99 *)']")</f>
        <v>[ 'లో 99 కాదు (మరియు 199, 299 etc) (99 *)']</v>
      </c>
      <c r="C8651" s="2"/>
      <c r="D8651" s="2" t="str">
        <f>IFERROR(__xludf.DUMMYFUNCTION("IF(C8651&lt;&gt;"""", GOOGLETRANSLATE(C8651, ""en"", ""te""),"""")"),"")</f>
        <v/>
      </c>
      <c r="E8651" s="2" t="s">
        <v>4857</v>
      </c>
      <c r="F8651" s="2" t="str">
        <f>IFERROR(__xludf.DUMMYFUNCTION("IF(E8651&lt;&gt;"""", GOOGLETRANSLATE(E8651, ""en"", ""te""),"""")"),"[18 వ తొలి మ్యాచ్ (99 *) లో అత్యధిక పరుగులు ',' తొలి 4 వ తొంభై (99 *) ']")</f>
        <v>[18 వ తొలి మ్యాచ్ (99 *) లో అత్యధిక పరుగులు ',' తొలి 4 వ తొంభై (99 *) ']</v>
      </c>
      <c r="G8651" s="2"/>
      <c r="H8651" s="2" t="str">
        <f>IFERROR(__xludf.DUMMYFUNCTION("IF(G8651&lt;&gt;"""", GOOGLETRANSLATE(G8651, ""en"", ""te""),"""")"),"")</f>
        <v/>
      </c>
      <c r="I8651" s="3"/>
    </row>
    <row r="8652" customHeight="1" spans="1:9">
      <c r="A8652" s="2"/>
      <c r="B8652" s="2" t="str">
        <f>IFERROR(__xludf.DUMMYFUNCTION("IF(A8652&lt;&gt;"""", GOOGLETRANSLATE(A8652, ""en"", ""te""),"""")"),"")</f>
        <v/>
      </c>
      <c r="C8652" s="2"/>
      <c r="D8652" s="2" t="str">
        <f>IFERROR(__xludf.DUMMYFUNCTION("IF(C8652&lt;&gt;"""", GOOGLETRANSLATE(C8652, ""en"", ""te""),"""")"),"")</f>
        <v/>
      </c>
      <c r="E8652" s="2"/>
      <c r="F8652" s="2" t="str">
        <f>IFERROR(__xludf.DUMMYFUNCTION("IF(E8652&lt;&gt;"""", GOOGLETRANSLATE(E8652, ""en"", ""te""),"""")"),"")</f>
        <v/>
      </c>
      <c r="G8652" s="2"/>
      <c r="H8652" s="2" t="str">
        <f>IFERROR(__xludf.DUMMYFUNCTION("IF(G8652&lt;&gt;"""", GOOGLETRANSLATE(G8652, ""en"", ""te""),"""")"),"")</f>
        <v/>
      </c>
      <c r="I8652" s="3"/>
    </row>
    <row r="8653" customHeight="1" spans="1:9">
      <c r="A8653" s="2" t="s">
        <v>4858</v>
      </c>
      <c r="B8653" s="2" t="str">
        <f>IFERROR(__xludf.DUMMYFUNCTION("IF(A8653&lt;&gt;"""", GOOGLETRANSLATE(A8653, ""en"", ""te""),"""")"),"[ '8 వ పిన్న క్రీడాకారులు (16y 206d)']")</f>
        <v>[ '8 వ పిన్న క్రీడాకారులు (16y 206d)']</v>
      </c>
      <c r="C8653" s="2"/>
      <c r="D8653" s="2" t="str">
        <f>IFERROR(__xludf.DUMMYFUNCTION("IF(C8653&lt;&gt;"""", GOOGLETRANSLATE(C8653, ""en"", ""te""),"""")"),"")</f>
        <v/>
      </c>
      <c r="E8653" s="2" t="s">
        <v>4858</v>
      </c>
      <c r="F8653" s="2" t="str">
        <f>IFERROR(__xludf.DUMMYFUNCTION("IF(E8653&lt;&gt;"""", GOOGLETRANSLATE(E8653, ""en"", ""te""),"""")"),"[ '8 వ పిన్న క్రీడాకారులు (16y 206d)']")</f>
        <v>[ '8 వ పిన్న క్రీడాకారులు (16y 206d)']</v>
      </c>
      <c r="G8653" s="2"/>
      <c r="H8653" s="2" t="str">
        <f>IFERROR(__xludf.DUMMYFUNCTION("IF(G8653&lt;&gt;"""", GOOGLETRANSLATE(G8653, ""en"", ""te""),"""")"),"")</f>
        <v/>
      </c>
      <c r="I8653" s="3"/>
    </row>
    <row r="8654" customHeight="1" spans="1:9">
      <c r="A8654" s="2"/>
      <c r="B8654" s="2" t="str">
        <f>IFERROR(__xludf.DUMMYFUNCTION("IF(A8654&lt;&gt;"""", GOOGLETRANSLATE(A8654, ""en"", ""te""),"""")"),"")</f>
        <v/>
      </c>
      <c r="C8654" s="2"/>
      <c r="D8654" s="2" t="str">
        <f>IFERROR(__xludf.DUMMYFUNCTION("IF(C8654&lt;&gt;"""", GOOGLETRANSLATE(C8654, ""en"", ""te""),"""")"),"")</f>
        <v/>
      </c>
      <c r="E8654" s="2"/>
      <c r="F8654" s="2" t="str">
        <f>IFERROR(__xludf.DUMMYFUNCTION("IF(E8654&lt;&gt;"""", GOOGLETRANSLATE(E8654, ""en"", ""te""),"""")"),"")</f>
        <v/>
      </c>
      <c r="G8654" s="2"/>
      <c r="H8654" s="2" t="str">
        <f>IFERROR(__xludf.DUMMYFUNCTION("IF(G8654&lt;&gt;"""", GOOGLETRANSLATE(G8654, ""en"", ""te""),"""")"),"")</f>
        <v/>
      </c>
      <c r="I8654" s="3"/>
    </row>
    <row r="8655" customHeight="1" spans="1:9">
      <c r="A8655" s="2"/>
      <c r="B8655" s="2" t="str">
        <f>IFERROR(__xludf.DUMMYFUNCTION("IF(A8655&lt;&gt;"""", GOOGLETRANSLATE(A8655, ""en"", ""te""),"""")"),"")</f>
        <v/>
      </c>
      <c r="C8655" s="2"/>
      <c r="D8655" s="2" t="str">
        <f>IFERROR(__xludf.DUMMYFUNCTION("IF(C8655&lt;&gt;"""", GOOGLETRANSLATE(C8655, ""en"", ""te""),"""")"),"")</f>
        <v/>
      </c>
      <c r="E8655" s="2"/>
      <c r="F8655" s="2" t="str">
        <f>IFERROR(__xludf.DUMMYFUNCTION("IF(E8655&lt;&gt;"""", GOOGLETRANSLATE(E8655, ""en"", ""te""),"""")"),"")</f>
        <v/>
      </c>
      <c r="G8655" s="2"/>
      <c r="H8655" s="2" t="str">
        <f>IFERROR(__xludf.DUMMYFUNCTION("IF(G8655&lt;&gt;"""", GOOGLETRANSLATE(G8655, ""en"", ""te""),"""")"),"")</f>
        <v/>
      </c>
      <c r="I8655" s="3"/>
    </row>
    <row r="8656" customHeight="1" spans="1:9">
      <c r="A8656" s="2" t="s">
        <v>4859</v>
      </c>
      <c r="B8656" s="2" t="str">
        <f>IFERROR(__xludf.DUMMYFUNCTION("IF(A8656&lt;&gt;"""", GOOGLETRANSLATE(A8656, ""en"", ""te""),"""")"),"[ '10 వ పిన్న క్రీడాకారులు (16y 229d)']")</f>
        <v>[ '10 వ పిన్న క్రీడాకారులు (16y 229d)']</v>
      </c>
      <c r="C8656" s="2"/>
      <c r="D8656" s="2" t="str">
        <f>IFERROR(__xludf.DUMMYFUNCTION("IF(C8656&lt;&gt;"""", GOOGLETRANSLATE(C8656, ""en"", ""te""),"""")"),"")</f>
        <v/>
      </c>
      <c r="E8656" s="2" t="s">
        <v>4859</v>
      </c>
      <c r="F8656" s="2" t="str">
        <f>IFERROR(__xludf.DUMMYFUNCTION("IF(E8656&lt;&gt;"""", GOOGLETRANSLATE(E8656, ""en"", ""te""),"""")"),"[ '10 వ పిన్న క్రీడాకారులు (16y 229d)']")</f>
        <v>[ '10 వ పిన్న క్రీడాకారులు (16y 229d)']</v>
      </c>
      <c r="G8656" s="2"/>
      <c r="H8656" s="2" t="str">
        <f>IFERROR(__xludf.DUMMYFUNCTION("IF(G8656&lt;&gt;"""", GOOGLETRANSLATE(G8656, ""en"", ""te""),"""")"),"")</f>
        <v/>
      </c>
      <c r="I8656" s="3"/>
    </row>
    <row r="8657" customHeight="1" spans="1:9">
      <c r="A8657" s="2"/>
      <c r="B8657" s="2" t="str">
        <f>IFERROR(__xludf.DUMMYFUNCTION("IF(A8657&lt;&gt;"""", GOOGLETRANSLATE(A8657, ""en"", ""te""),"""")"),"")</f>
        <v/>
      </c>
      <c r="C8657" s="2"/>
      <c r="D8657" s="2" t="str">
        <f>IFERROR(__xludf.DUMMYFUNCTION("IF(C8657&lt;&gt;"""", GOOGLETRANSLATE(C8657, ""en"", ""te""),"""")"),"")</f>
        <v/>
      </c>
      <c r="E8657" s="2" t="s">
        <v>4860</v>
      </c>
      <c r="F8657" s="2" t="str">
        <f>IFERROR(__xludf.DUMMYFUNCTION("IF(E8657&lt;&gt;"""", GOOGLETRANSLATE(E8657, ""en"", ""te""),"""")"),"[ '32 వ అత్యంత వృద్ధ ఆటగాడు తొలి శతకాలను సాధించిన (32y 264d)', 'నాలుగవ వికెట్కు (184) కోసం 27 అత్యధిక భాగస్వామ్యం']")</f>
        <v>[ '32 వ అత్యంత వృద్ధ ఆటగాడు తొలి శతకాలను సాధించిన (32y 264d)', 'నాలుగవ వికెట్కు (184) కోసం 27 అత్యధిక భాగస్వామ్యం']</v>
      </c>
      <c r="G8657" s="2"/>
      <c r="H8657" s="2" t="str">
        <f>IFERROR(__xludf.DUMMYFUNCTION("IF(G8657&lt;&gt;"""", GOOGLETRANSLATE(G8657, ""en"", ""te""),"""")"),"")</f>
        <v/>
      </c>
      <c r="I8657" s="3"/>
    </row>
    <row r="8658" customHeight="1" spans="1:9">
      <c r="A8658" s="2"/>
      <c r="B8658" s="2" t="str">
        <f>IFERROR(__xludf.DUMMYFUNCTION("IF(A8658&lt;&gt;"""", GOOGLETRANSLATE(A8658, ""en"", ""te""),"""")"),"")</f>
        <v/>
      </c>
      <c r="C8658" s="2"/>
      <c r="D8658" s="2" t="str">
        <f>IFERROR(__xludf.DUMMYFUNCTION("IF(C8658&lt;&gt;"""", GOOGLETRANSLATE(C8658, ""en"", ""te""),"""")"),"")</f>
        <v/>
      </c>
      <c r="E8658" s="2"/>
      <c r="F8658" s="2" t="str">
        <f>IFERROR(__xludf.DUMMYFUNCTION("IF(E8658&lt;&gt;"""", GOOGLETRANSLATE(E8658, ""en"", ""te""),"""")"),"")</f>
        <v/>
      </c>
      <c r="G8658" s="2"/>
      <c r="H8658" s="2" t="str">
        <f>IFERROR(__xludf.DUMMYFUNCTION("IF(G8658&lt;&gt;"""", GOOGLETRANSLATE(G8658, ""en"", ""te""),"""")"),"")</f>
        <v/>
      </c>
      <c r="I8658" s="3"/>
    </row>
    <row r="8659" customHeight="1" spans="1:9">
      <c r="A8659" s="2" t="s">
        <v>4861</v>
      </c>
      <c r="B8659" s="2" t="str">
        <f>IFERROR(__xludf.DUMMYFUNCTION("IF(A8659&lt;&gt;"""", GOOGLETRANSLATE(A8659, ""en"", ""te""),"""")"),"[ 'ఒక కెప్టెన్తో ఒక ఇన్నింగ్స్ లో 6 వ ఉత్తమ బొమ్మలు (5)', 'ఎ ఏబది ఒక ఇన్నింగ్స్ లో ఐదు వికెట్లు', 'ఇన్నింగ్స్ లో 1 వ అత్యంత పనికత్తెలయొద్ద (2)', '9 వ అత్యధిక వికెట్లు తీసుకున్న ఎల్బిడబ్ల్యు (8)']")</f>
        <v>[ 'ఒక కెప్టెన్తో ఒక ఇన్నింగ్స్ లో 6 వ ఉత్తమ బొమ్మలు (5)', 'ఎ ఏబది ఒక ఇన్నింగ్స్ లో ఐదు వికెట్లు', 'ఇన్నింగ్స్ లో 1 వ అత్యంత పనికత్తెలయొద్ద (2)', '9 వ అత్యధిక వికెట్లు తీసుకున్న ఎల్బిడబ్ల్యు (8)']</v>
      </c>
      <c r="C8659" s="2"/>
      <c r="D8659" s="2" t="str">
        <f>IFERROR(__xludf.DUMMYFUNCTION("IF(C8659&lt;&gt;"""", GOOGLETRANSLATE(C8659, ""en"", ""te""),"""")"),"")</f>
        <v/>
      </c>
      <c r="E8659" s="2" t="s">
        <v>4777</v>
      </c>
      <c r="F8659" s="2" t="str">
        <f>IFERROR(__xludf.DUMMYFUNCTION("IF(E8659&lt;&gt;"""", GOOGLETRANSLATE(E8659, ""en"", ""te""),"""")"),"[ 'ఒక కెప్టెన్తో ఒక ఇన్నింగ్స్ లో 6 వ ఉత్తమ బొమ్మలు (5)']")</f>
        <v>[ 'ఒక కెప్టెన్తో ఒక ఇన్నింగ్స్ లో 6 వ ఉత్తమ బొమ్మలు (5)']</v>
      </c>
      <c r="G8659" s="2" t="s">
        <v>4862</v>
      </c>
      <c r="H8659" s="2" t="str">
        <f>IFERROR(__xludf.DUMMYFUNCTION("IF(G8659&lt;&gt;"""", GOOGLETRANSLATE(G8659, ""en"", ""te""),"""")"),"[ '48 వ కెరీర్ లో అత్యధిక వికెట్లు (45)', '36 వ ఒక క్యాలెండర్ సంవత్సరంలో అత్యధిక వికెట్లు (20)', '18 వ ఒకే మైదానంలో అత్యధిక వికెట్లు (15)', '27 వ ఉత్తమ కెరీర్ బౌలింగ్ సరాసరి (19.77)', ' 20 వ ఉత్తమ కెరీర్ ఆర్థిక రేటు (6.65) ',' 42 వ ఉత్తమ కెరీర్ సమ్మె రేట"&amp;"ు (17.8) ',' 12 వ అత్యధిక వికెట్లు తీసుకున్న బౌల్డ్ (17) ',' 9 వ అత్యధిక వికెట్లు తీసుకున్న ఎల్బిడబ్ల్యు (8) ',' 19 వ కెరీర్ పనికత్తెలయొద్ద ( 3) ',' 1 వ ఇన్నింగ్స్ లో వచ్చిన ఎక్కువ పనికత్తెలయొద్ద (2) ']")</f>
        <v>[ '48 వ కెరీర్ లో అత్యధిక వికెట్లు (45)', '36 వ ఒక క్యాలెండర్ సంవత్సరంలో అత్యధిక వికెట్లు (20)', '18 వ ఒకే మైదానంలో అత్యధిక వికెట్లు (15)', '27 వ ఉత్తమ కెరీర్ బౌలింగ్ సరాసరి (19.77)', ' 20 వ ఉత్తమ కెరీర్ ఆర్థిక రేటు (6.65) ',' 42 వ ఉత్తమ కెరీర్ సమ్మె రేటు (17.8) ',' 12 వ అత్యధిక వికెట్లు తీసుకున్న బౌల్డ్ (17) ',' 9 వ అత్యధిక వికెట్లు తీసుకున్న ఎల్బిడబ్ల్యు (8) ',' 19 వ కెరీర్ పనికత్తెలయొద్ద ( 3) ',' 1 వ ఇన్నింగ్స్ లో వచ్చిన ఎక్కువ పనికత్తెలయొద్ద (2) ']</v>
      </c>
      <c r="I8659" s="3"/>
    </row>
    <row r="8660" customHeight="1" spans="1:9">
      <c r="A8660" s="2"/>
      <c r="B8660" s="2" t="str">
        <f>IFERROR(__xludf.DUMMYFUNCTION("IF(A8660&lt;&gt;"""", GOOGLETRANSLATE(A8660, ""en"", ""te""),"""")"),"")</f>
        <v/>
      </c>
      <c r="C8660" s="2"/>
      <c r="D8660" s="2" t="str">
        <f>IFERROR(__xludf.DUMMYFUNCTION("IF(C8660&lt;&gt;"""", GOOGLETRANSLATE(C8660, ""en"", ""te""),"""")"),"")</f>
        <v/>
      </c>
      <c r="E8660" s="2"/>
      <c r="F8660" s="2" t="str">
        <f>IFERROR(__xludf.DUMMYFUNCTION("IF(E8660&lt;&gt;"""", GOOGLETRANSLATE(E8660, ""en"", ""te""),"""")"),"")</f>
        <v/>
      </c>
      <c r="G8660" s="2"/>
      <c r="H8660" s="2" t="str">
        <f>IFERROR(__xludf.DUMMYFUNCTION("IF(G8660&lt;&gt;"""", GOOGLETRANSLATE(G8660, ""en"", ""te""),"""")"),"")</f>
        <v/>
      </c>
      <c r="I8660" s="3"/>
    </row>
    <row r="8661" customHeight="1" spans="1:9">
      <c r="A8661" s="2"/>
      <c r="B8661" s="2" t="str">
        <f>IFERROR(__xludf.DUMMYFUNCTION("IF(A8661&lt;&gt;"""", GOOGLETRANSLATE(A8661, ""en"", ""te""),"""")"),"")</f>
        <v/>
      </c>
      <c r="C8661" s="2"/>
      <c r="D8661" s="2" t="str">
        <f>IFERROR(__xludf.DUMMYFUNCTION("IF(C8661&lt;&gt;"""", GOOGLETRANSLATE(C8661, ""en"", ""te""),"""")"),"")</f>
        <v/>
      </c>
      <c r="E8661" s="2"/>
      <c r="F8661" s="2" t="str">
        <f>IFERROR(__xludf.DUMMYFUNCTION("IF(E8661&lt;&gt;"""", GOOGLETRANSLATE(E8661, ""en"", ""te""),"""")"),"")</f>
        <v/>
      </c>
      <c r="G8661" s="2"/>
      <c r="H8661" s="2" t="str">
        <f>IFERROR(__xludf.DUMMYFUNCTION("IF(G8661&lt;&gt;"""", GOOGLETRANSLATE(G8661, ""en"", ""te""),"""")"),"")</f>
        <v/>
      </c>
      <c r="I8661" s="3"/>
    </row>
    <row r="8662" customHeight="1" spans="1:9">
      <c r="A8662" s="2"/>
      <c r="B8662" s="2" t="str">
        <f>IFERROR(__xludf.DUMMYFUNCTION("IF(A8662&lt;&gt;"""", GOOGLETRANSLATE(A8662, ""en"", ""te""),"""")"),"")</f>
        <v/>
      </c>
      <c r="C8662" s="2"/>
      <c r="D8662" s="2" t="str">
        <f>IFERROR(__xludf.DUMMYFUNCTION("IF(C8662&lt;&gt;"""", GOOGLETRANSLATE(C8662, ""en"", ""te""),"""")"),"")</f>
        <v/>
      </c>
      <c r="E8662" s="2"/>
      <c r="F8662" s="2" t="str">
        <f>IFERROR(__xludf.DUMMYFUNCTION("IF(E8662&lt;&gt;"""", GOOGLETRANSLATE(E8662, ""en"", ""te""),"""")"),"")</f>
        <v/>
      </c>
      <c r="G8662" s="2"/>
      <c r="H8662" s="2" t="str">
        <f>IFERROR(__xludf.DUMMYFUNCTION("IF(G8662&lt;&gt;"""", GOOGLETRANSLATE(G8662, ""en"", ""te""),"""")"),"")</f>
        <v/>
      </c>
      <c r="I8662" s="3"/>
    </row>
    <row r="8663" customHeight="1" spans="1:9">
      <c r="A8663" s="2"/>
      <c r="B8663" s="2" t="str">
        <f>IFERROR(__xludf.DUMMYFUNCTION("IF(A8663&lt;&gt;"""", GOOGLETRANSLATE(A8663, ""en"", ""te""),"""")"),"")</f>
        <v/>
      </c>
      <c r="C8663" s="2"/>
      <c r="D8663" s="2" t="str">
        <f>IFERROR(__xludf.DUMMYFUNCTION("IF(C8663&lt;&gt;"""", GOOGLETRANSLATE(C8663, ""en"", ""te""),"""")"),"")</f>
        <v/>
      </c>
      <c r="E8663" s="2"/>
      <c r="F8663" s="2" t="str">
        <f>IFERROR(__xludf.DUMMYFUNCTION("IF(E8663&lt;&gt;"""", GOOGLETRANSLATE(E8663, ""en"", ""te""),"""")"),"")</f>
        <v/>
      </c>
      <c r="G8663" s="2"/>
      <c r="H8663" s="2" t="str">
        <f>IFERROR(__xludf.DUMMYFUNCTION("IF(G8663&lt;&gt;"""", GOOGLETRANSLATE(G8663, ""en"", ""te""),"""")"),"")</f>
        <v/>
      </c>
      <c r="I8663" s="3"/>
    </row>
    <row r="8664" customHeight="1" spans="1:9">
      <c r="A8664" s="2"/>
      <c r="B8664" s="2" t="str">
        <f>IFERROR(__xludf.DUMMYFUNCTION("IF(A8664&lt;&gt;"""", GOOGLETRANSLATE(A8664, ""en"", ""te""),"""")"),"")</f>
        <v/>
      </c>
      <c r="C8664" s="2"/>
      <c r="D8664" s="2" t="str">
        <f>IFERROR(__xludf.DUMMYFUNCTION("IF(C8664&lt;&gt;"""", GOOGLETRANSLATE(C8664, ""en"", ""te""),"""")"),"")</f>
        <v/>
      </c>
      <c r="E8664" s="2"/>
      <c r="F8664" s="2" t="str">
        <f>IFERROR(__xludf.DUMMYFUNCTION("IF(E8664&lt;&gt;"""", GOOGLETRANSLATE(E8664, ""en"", ""te""),"""")"),"")</f>
        <v/>
      </c>
      <c r="G8664" s="2"/>
      <c r="H8664" s="2" t="str">
        <f>IFERROR(__xludf.DUMMYFUNCTION("IF(G8664&lt;&gt;"""", GOOGLETRANSLATE(G8664, ""en"", ""te""),"""")"),"")</f>
        <v/>
      </c>
      <c r="I8664" s="3"/>
    </row>
    <row r="8665" customHeight="1" spans="1:9">
      <c r="A8665" s="2" t="s">
        <v>4863</v>
      </c>
      <c r="B8665" s="2" t="str">
        <f>IFERROR(__xludf.DUMMYFUNCTION("IF(A8665&lt;&gt;"""", GOOGLETRANSLATE(A8665, ""en"", ""te""),"""")"),"[ 'ఇన్నింగ్స్ లో (బ్యాటింగ్ స్థానం) (117 *) 4 వ అత్యధిక పరుగులు' 'వరుస ఇన్నింగ్స్లో 3 వ యాభైల్లో (3)' '8 వ అత్యంత వృద్ధ ఆటగాడు తొలి వంద (35y 347d) స్కోర్', '7 వ లాంగెస్ట్ ఇన్నింగ్స్ ఆడడము (బంతులతో) (68) ',' నాలుగవ వికెట్కు 9 వ అత్యధిక భాగస్వామ్యం (109 *)"&amp;" ']")</f>
        <v>[ 'ఇన్నింగ్స్ లో (బ్యాటింగ్ స్థానం) (117 *) 4 వ అత్యధిక పరుగులు' 'వరుస ఇన్నింగ్స్లో 3 వ యాభైల్లో (3)' '8 వ అత్యంత వృద్ధ ఆటగాడు తొలి వంద (35y 347d) స్కోర్', '7 వ లాంగెస్ట్ ఇన్నింగ్స్ ఆడడము (బంతులతో) (68) ',' నాలుగవ వికెట్కు 9 వ అత్యధిక భాగస్వామ్యం (109 *) ']</v>
      </c>
      <c r="C8665" s="2"/>
      <c r="D8665" s="2" t="str">
        <f>IFERROR(__xludf.DUMMYFUNCTION("IF(C8665&lt;&gt;"""", GOOGLETRANSLATE(C8665, ""en"", ""te""),"""")"),"")</f>
        <v/>
      </c>
      <c r="E8665" s="2" t="s">
        <v>4864</v>
      </c>
      <c r="F8665" s="2" t="str">
        <f>IFERROR(__xludf.DUMMYFUNCTION("IF(E8665&lt;&gt;"""", GOOGLETRANSLATE(E8665, ""en"", ""te""),"""")"),"[ '8 వ అత్యంత వృద్ధ ఆటగాడు తొలి శతకాలను సాధించిన (35y 347d)' '23 వ అత్యంత వృద్ధ ఆటగాడు వంద (35y 347d) స్కోర్', 'ఏడవ వికెట్కు 29 అత్యధిక భాగస్వామ్యం (107)', '45 వ ఓల్డెస్ట్ క్రీడాకారులు (40y 32d ) ']")</f>
        <v>[ '8 వ అత్యంత వృద్ధ ఆటగాడు తొలి శతకాలను సాధించిన (35y 347d)' '23 వ అత్యంత వృద్ధ ఆటగాడు వంద (35y 347d) స్కోర్', 'ఏడవ వికెట్కు 29 అత్యధిక భాగస్వామ్యం (107)', '45 వ ఓల్డెస్ట్ క్రీడాకారులు (40y 32d ) ']</v>
      </c>
      <c r="G8665" s="2" t="s">
        <v>4865</v>
      </c>
      <c r="H8665" s="2" t="str">
        <f>IFERROR(__xludf.DUMMYFUNCTION("IF(G8665&lt;&gt;"""", GOOGLETRANSLATE(G8665, ""en"", ""te""),"""")"),"[ '17 వ ఇన్నింగ్స్ (117 *) లో అత్యధిక పరుగులు' 'ఇన్నింగ్స్ లో 4 వ అత్యధిక పరుగులు (బ్యాటింగ్ స్థానంలో ప్రకారం) (117 *)', '21 వ అత్యధిక కెరీర్ బ్యాటింగ్ '33 వ ఒకే క్రీడా (299) పై అత్యధిక పరుగులు' సగటు (33.48) ',' 41 వ కెరీర్ అర్ధ (7) ',' వరుస ఇన్నింగ్స్లో"&amp;" 3 వ యాభైల్లో (3) ',' 40 వ అత్యంత ఇన్నింగ్స్ లో ఫోర్లు, సిక్సర్లు (76) ',' 7 వ లాంగెస్ట్ వ్యక్తిగత ఇన్నింగ్స్లో పరుగులు ( బంతులతో) (68) ',' ఒక ఇన్నింగ్స్లో పరుగుల 8 వ అత్యధిక శాతం (65.00) ',' నాలుగవ వికెట్కు (109 *) 9 వ అత్యధిక భాగస్వామ్యం ',' ఒక జట్టుకు"&amp;" 34 వ వరుస మ్యాచ్లు (32) ']")</f>
        <v>[ '17 వ ఇన్నింగ్స్ (117 *) లో అత్యధిక పరుగులు' 'ఇన్నింగ్స్ లో 4 వ అత్యధిక పరుగులు (బ్యాటింగ్ స్థానంలో ప్రకారం) (117 *)', '21 వ అత్యధిక కెరీర్ బ్యాటింగ్ '33 వ ఒకే క్రీడా (299) పై అత్యధిక పరుగులు' సగటు (33.48) ',' 41 వ కెరీర్ అర్ధ (7) ',' వరుస ఇన్నింగ్స్లో 3 వ యాభైల్లో (3) ',' 40 వ అత్యంత ఇన్నింగ్స్ లో ఫోర్లు, సిక్సర్లు (76) ',' 7 వ లాంగెస్ట్ వ్యక్తిగత ఇన్నింగ్స్లో పరుగులు ( బంతులతో) (68) ',' ఒక ఇన్నింగ్స్లో పరుగుల 8 వ అత్యధిక శాతం (65.00) ',' నాలుగవ వికెట్కు (109 *) 9 వ అత్యధిక భాగస్వామ్యం ',' ఒక జట్టుకు 34 వ వరుస మ్యాచ్లు (32) ']</v>
      </c>
      <c r="I8665" s="3"/>
    </row>
    <row r="8666" customHeight="1" spans="1:9">
      <c r="A8666" s="2"/>
      <c r="B8666" s="2" t="str">
        <f>IFERROR(__xludf.DUMMYFUNCTION("IF(A8666&lt;&gt;"""", GOOGLETRANSLATE(A8666, ""en"", ""te""),"""")"),"")</f>
        <v/>
      </c>
      <c r="C8666" s="2"/>
      <c r="D8666" s="2" t="str">
        <f>IFERROR(__xludf.DUMMYFUNCTION("IF(C8666&lt;&gt;"""", GOOGLETRANSLATE(C8666, ""en"", ""te""),"""")"),"")</f>
        <v/>
      </c>
      <c r="E8666" s="2"/>
      <c r="F8666" s="2" t="str">
        <f>IFERROR(__xludf.DUMMYFUNCTION("IF(E8666&lt;&gt;"""", GOOGLETRANSLATE(E8666, ""en"", ""te""),"""")"),"")</f>
        <v/>
      </c>
      <c r="G8666" s="2" t="s">
        <v>4776</v>
      </c>
      <c r="H8666" s="2" t="str">
        <f>IFERROR(__xludf.DUMMYFUNCTION("IF(G8666&lt;&gt;"""", GOOGLETRANSLATE(G8666, ""en"", ""te""),"""")"),"[ 'తొమ్మిదవ వికెట్కు 42 వ అత్యధిక భాగస్వామ్యం (27)']")</f>
        <v>[ 'తొమ్మిదవ వికెట్కు 42 వ అత్యధిక భాగస్వామ్యం (27)']</v>
      </c>
      <c r="I8666" s="3"/>
    </row>
    <row r="8667" customHeight="1" spans="1:9">
      <c r="A8667" s="2"/>
      <c r="B8667" s="2" t="str">
        <f>IFERROR(__xludf.DUMMYFUNCTION("IF(A8667&lt;&gt;"""", GOOGLETRANSLATE(A8667, ""en"", ""te""),"""")"),"")</f>
        <v/>
      </c>
      <c r="C8667" s="2"/>
      <c r="D8667" s="2" t="str">
        <f>IFERROR(__xludf.DUMMYFUNCTION("IF(C8667&lt;&gt;"""", GOOGLETRANSLATE(C8667, ""en"", ""te""),"""")"),"")</f>
        <v/>
      </c>
      <c r="E8667" s="2"/>
      <c r="F8667" s="2" t="str">
        <f>IFERROR(__xludf.DUMMYFUNCTION("IF(E8667&lt;&gt;"""", GOOGLETRANSLATE(E8667, ""en"", ""te""),"""")"),"")</f>
        <v/>
      </c>
      <c r="G8667" s="2"/>
      <c r="H8667" s="2" t="str">
        <f>IFERROR(__xludf.DUMMYFUNCTION("IF(G8667&lt;&gt;"""", GOOGLETRANSLATE(G8667, ""en"", ""te""),"""")"),"")</f>
        <v/>
      </c>
      <c r="I8667" s="3"/>
    </row>
    <row r="8668" customHeight="1" spans="1:9">
      <c r="A8668" s="2"/>
      <c r="B8668" s="2" t="str">
        <f>IFERROR(__xludf.DUMMYFUNCTION("IF(A8668&lt;&gt;"""", GOOGLETRANSLATE(A8668, ""en"", ""te""),"""")"),"")</f>
        <v/>
      </c>
      <c r="C8668" s="2"/>
      <c r="D8668" s="2" t="str">
        <f>IFERROR(__xludf.DUMMYFUNCTION("IF(C8668&lt;&gt;"""", GOOGLETRANSLATE(C8668, ""en"", ""te""),"""")"),"")</f>
        <v/>
      </c>
      <c r="E8668" s="2"/>
      <c r="F8668" s="2" t="str">
        <f>IFERROR(__xludf.DUMMYFUNCTION("IF(E8668&lt;&gt;"""", GOOGLETRANSLATE(E8668, ""en"", ""te""),"""")"),"")</f>
        <v/>
      </c>
      <c r="G8668" s="2"/>
      <c r="H8668" s="2" t="str">
        <f>IFERROR(__xludf.DUMMYFUNCTION("IF(G8668&lt;&gt;"""", GOOGLETRANSLATE(G8668, ""en"", ""te""),"""")"),"")</f>
        <v/>
      </c>
      <c r="I8668" s="3"/>
    </row>
    <row r="8669" customHeight="1" spans="1:9">
      <c r="A8669" s="2" t="s">
        <v>4866</v>
      </c>
      <c r="B8669" s="2" t="str">
        <f>IFERROR(__xludf.DUMMYFUNCTION("IF(A8669&lt;&gt;"""", GOOGLETRANSLATE(A8669, ""en"", ""te""),"""")"),"[ 'ఇన్నింగ్స్ లో 1 వ అత్యధిక పరుగులు (బ్యాటింగ్ స్థానంలో ప్రకారం) (105 *)', 'హండ్రెడ్ తొలి (105 *)' ఒక మ్యాచ్లో '1st పిన్న ఆటగాడు వంద (19y 154d) స్కోర్', '6 వ ఉత్తమ బొమ్మలు తొలి అయిదు వికెట్లు-ఇన్-ఒక-ఇన్నింగ్స్ (19y 154d) ',' నూట ఐదు వికెట్లు ఇన్నింగ్స్ ల"&amp;"ో ',' కెరీర్ లో 7 వ అత్యంత బాతులు (12) 'తీసుకోవాలని (7)', '6 వ పిన్న ఆటగాడు, 'ఇన్నింగ్స్ లో 4 వ అత్యధిక క్యాచ్లు (3)', '2 వ అత్యుత్తమ బౌలింగ్ ఇన్నింగ్స్ లో విశ్లేషించడం (4/2)', '5 వ ఉత్తమ కెరీర్ ఆర్థిక రేటు (4.76)', '4 వ అత్యంత నాలుగు వికెట్లు-ఇన్-ఒక-ఇన్న"&amp;"ింగ్స్ ఒక వృత్తిలో కెరీర్లో (3) ',' 8 వ అత్యంత పనికత్తెలయొద్ద (10) ',' (3) ఇన్నింగ్స్ లో 3 వ అత్యధిక క్యాచ్లు ']")</f>
        <v>[ 'ఇన్నింగ్స్ లో 1 వ అత్యధిక పరుగులు (బ్యాటింగ్ స్థానంలో ప్రకారం) (105 *)', 'హండ్రెడ్ తొలి (105 *)' ఒక మ్యాచ్లో '1st పిన్న ఆటగాడు వంద (19y 154d) స్కోర్', '6 వ ఉత్తమ బొమ్మలు తొలి అయిదు వికెట్లు-ఇన్-ఒక-ఇన్నింగ్స్ (19y 154d) ',' నూట ఐదు వికెట్లు ఇన్నింగ్స్ లో ',' కెరీర్ లో 7 వ అత్యంత బాతులు (12) 'తీసుకోవాలని (7)', '6 వ పిన్న ఆటగాడు, 'ఇన్నింగ్స్ లో 4 వ అత్యధిక క్యాచ్లు (3)', '2 వ అత్యుత్తమ బౌలింగ్ ఇన్నింగ్స్ లో విశ్లేషించడం (4/2)', '5 వ ఉత్తమ కెరీర్ ఆర్థిక రేటు (4.76)', '4 వ అత్యంత నాలుగు వికెట్లు-ఇన్-ఒక-ఇన్నింగ్స్ ఒక వృత్తిలో కెరీర్లో (3) ',' 8 వ అత్యంత పనికత్తెలయొద్ద (10) ',' (3) ఇన్నింగ్స్ లో 3 వ అత్యధిక క్యాచ్లు ']</v>
      </c>
      <c r="C8669" s="2" t="s">
        <v>4867</v>
      </c>
      <c r="D8669" s="2" t="str">
        <f>IFERROR(__xludf.DUMMYFUNCTION("IF(C8669&lt;&gt;"""", GOOGLETRANSLATE(C8669, ""en"", ""te""),"""")"),"[ 'ఇన్నింగ్స్ లో 1 వ అత్యధిక పరుగులు (బ్యాటింగ్ స్థానంలో ప్రకారం) (105 *)', '5 వ తొలి మ్యాచ్లో అత్యధిక పరుగులు (148)', '8 వ హండ్రెడ్ గత మ్యాచ్ (105 *) లో', '49 వ అత్యధిక తొలి వంద (105 *) ',' వంద (19y 154d) ',' (5) ',' 6 వ 16 వ అరంగేట్రంలోనే ఇన్నింగ్స్లో బ"&amp;"ౌలింగ్ సరాసరి (అర్హత లేకుండా) (8.42) ',' 7 వ బెస్ట్ ఫిగర్స్ ఉత్తమ కెరీర్లో ఉత్తమ స్కోరు 1 వ పిన్న ఆటగాడు తొలి మ్యాచ్ లో సంఖ్యలు (7) ',' ఐదు వికెట్ల లో-ఒక-ఇన్నింగ్స్ తీసుకోవాలని 6 వ పిన్న వయస్కుడిగా నిలిచాడు (19y 154d) ']")</f>
        <v>[ 'ఇన్నింగ్స్ లో 1 వ అత్యధిక పరుగులు (బ్యాటింగ్ స్థానంలో ప్రకారం) (105 *)', '5 వ తొలి మ్యాచ్లో అత్యధిక పరుగులు (148)', '8 వ హండ్రెడ్ గత మ్యాచ్ (105 *) లో', '49 వ అత్యధిక తొలి వంద (105 *) ',' వంద (19y 154d) ',' (5) ',' 6 వ 16 వ అరంగేట్రంలోనే ఇన్నింగ్స్లో బౌలింగ్ సరాసరి (అర్హత లేకుండా) (8.42) ',' 7 వ బెస్ట్ ఫిగర్స్ ఉత్తమ కెరీర్లో ఉత్తమ స్కోరు 1 వ పిన్న ఆటగాడు తొలి మ్యాచ్ లో సంఖ్యలు (7) ',' ఐదు వికెట్ల లో-ఒక-ఇన్నింగ్స్ తీసుకోవాలని 6 వ పిన్న వయస్కుడిగా నిలిచాడు (19y 154d) ']</v>
      </c>
      <c r="E8669" s="2" t="s">
        <v>4868</v>
      </c>
      <c r="F8669" s="2" t="str">
        <f>IFERROR(__xludf.DUMMYFUNCTION("IF(E8669&lt;&gt;"""", GOOGLETRANSLATE(E8669, ""en"", ""te""),"""")"),"[ 'కెరీర్లో 7 వ అత్యంత బాతులు (12)', '44 వ కెరీర్ లో అత్యధిక వికెట్లు (72)', '11 వ ఒక ఇన్నింగ్స్ లోని బెస్ట్ ఫిగర్స్ ఉన్నప్పుడు పరాజయం వైపు (4)', ఒక ఇన్నింగ్స్ లో '20 వ చెత్త ఆర్థిక రేటు (9.00 ) ',' 29th కెరీర్లో బౌల్డ్ చాలా బంతుల్లో (3291) ',' 40 వ కెరీ"&amp;"ర్ లో సాధించిన అత్యధిక పరుగులు (1880) ',' 34 వ అత్యధిక పరుగులు ఇన్నింగ్స్ లో సాధించిన (72) ',' 38 వ అత్యధిక వికెట్లు తీసుకున్న ఆకర్షించింది (43) ' '43 వ అత్యధిక వికెట్లు ఒక ఫీల్డర్ చేత క్యాచ్ తీసుకున్న (32)', '27 వ అత్యధిక వికెట్లు ఒక వికెట్ కీపర్ చే కాట్"&amp;" తీసుకోకూడదు (11)', '15 వ అత్యధిక వికెట్లు తీసుకున్న ఎల్బిడబ్ల్యు (19)', '49 వ కెరీర్ లో అత్యధిక క్యాచ్లు (27)' '4 వ ఇన్నింగ్స్ లో అత్యధిక క్యాచ్లు (3)', '21 వ లాంగెస్ట్ కెరీర్లు (15y 337d) ',' కెప్టెన్సీ తొలి 23 వ ఓల్డెస్ట్ కాప్టెన్ (31y 155d) ']")</f>
        <v>[ 'కెరీర్లో 7 వ అత్యంత బాతులు (12)', '44 వ కెరీర్ లో అత్యధిక వికెట్లు (72)', '11 వ ఒక ఇన్నింగ్స్ లోని బెస్ట్ ఫిగర్స్ ఉన్నప్పుడు పరాజయం వైపు (4)', ఒక ఇన్నింగ్స్ లో '20 వ చెత్త ఆర్థిక రేటు (9.00 ) ',' 29th కెరీర్లో బౌల్డ్ చాలా బంతుల్లో (3291) ',' 40 వ కెరీర్ లో సాధించిన అత్యధిక పరుగులు (1880) ',' 34 వ అత్యధిక పరుగులు ఇన్నింగ్స్ లో సాధించిన (72) ',' 38 వ అత్యధిక వికెట్లు తీసుకున్న ఆకర్షించింది (43) ' '43 వ అత్యధిక వికెట్లు ఒక ఫీల్డర్ చేత క్యాచ్ తీసుకున్న (32)', '27 వ అత్యధిక వికెట్లు ఒక వికెట్ కీపర్ చే కాట్ తీసుకోకూడదు (11)', '15 వ అత్యధిక వికెట్లు తీసుకున్న ఎల్బిడబ్ల్యు (19)', '49 వ కెరీర్ లో అత్యధిక క్యాచ్లు (27)' '4 వ ఇన్నింగ్స్ లో అత్యధిక క్యాచ్లు (3)', '21 వ లాంగెస్ట్ కెరీర్లు (15y 337d) ',' కెప్టెన్సీ తొలి 23 వ ఓల్డెస్ట్ కాప్టెన్ (31y 155d) ']</v>
      </c>
      <c r="G8669" s="2" t="s">
        <v>4869</v>
      </c>
      <c r="H8669" s="2" t="str">
        <f>IFERROR(__xludf.DUMMYFUNCTION("IF(G8669&lt;&gt;"""", GOOGLETRANSLATE(G8669, ""en"", ""te""),"""")"),"[ 'ఒక డక్ లేకుండా 16 వరుస ఇన్నింగ్స్ (39 *)', 'కెరీర్లో 12 వ అతి తక్కువ బాతులు (40)', '49 వ కెరీర్ లో అత్యధిక వికెట్లు (45)', '9 వ బెస్ట్ ఫిగర్స్ ఇన్నింగ్స్ లో (5/3)' '2 వ అత్యుత్తమ బౌలింగ్ ఇన్నింగ్స్ లో విశ్లేషించడం (4/2)', 'ఒక కెప్టెన్తో ఒక ఇన్నింగ్స్ ల"&amp;"ో 6 వ ఉత్తమ బొమ్మలు (4)', '5 వ ఒక ఇన్నింగ్స్ లోని బెస్ట్ ఫిగర్స్ ఉన్నప్పుడు పరాజయం వైపు (4)', '9 వ ఉత్తమ కెరీర్ సగటు (14.93) ',' 5 వ ఉత్తమ కెరీర్ ఎకానమీ రేట్ బౌలింగ్ (4.76) ',' 29th ఉత్తమ కెరీర్ సమ్మె రేటు (18.8) ',' ఇన్నింగ్స్ లో 22 వ ఉత్తమ ఆర్థిక రేటు "&amp;"(0.50) ',' 4 వ అత్యంత నాలుగు వికెట్లు ఒక వృత్తిలో -ఇన్-ఒక-ఇన్నింగ్స్ (3) ', '21 వ అత్యధిక వికెట్లు తీసుకున్న బౌల్డ్ (16)', '20 వ అత్యధిక వికెట్లు ఆకర్షించింది తీసుకున్న మరియు బౌల్డ్ (3)', '16 వ అత్యధిక వికెట్లు తీసుకున్న ఎల్బిడబ్ల్యు (9)', ' 43 వ అత్యంత స"&amp;"్టంప్ వికెట్లు తీసుకున్నారు (5) ',' ఇన్నింగ్స్ లో 3 వ అత్యధిక క్యాచ్లు (3) ',' 25 వ ఓల్డెస్ట్ క్రీడాకారులు (40y 105d) ',' కెప్టెన్సీ తొలి 35 వ ఓల్డెస్ట్ కాప్టెన్ (31y 158d) ',' 8 వ అత్యంత పనికత్తెలయొద్ద కెరీర్ (10) ',' 12 వ ఇన్నింగ్స్ లో వచ్చిన ఎక్కువ పని"&amp;"కత్తెలయొద్ద (2) ']")</f>
        <v>[ 'ఒక డక్ లేకుండా 16 వరుస ఇన్నింగ్స్ (39 *)', 'కెరీర్లో 12 వ అతి తక్కువ బాతులు (40)', '49 వ కెరీర్ లో అత్యధిక వికెట్లు (45)', '9 వ బెస్ట్ ఫిగర్స్ ఇన్నింగ్స్ లో (5/3)' '2 వ అత్యుత్తమ బౌలింగ్ ఇన్నింగ్స్ లో విశ్లేషించడం (4/2)', 'ఒక కెప్టెన్తో ఒక ఇన్నింగ్స్ లో 6 వ ఉత్తమ బొమ్మలు (4)', '5 వ ఒక ఇన్నింగ్స్ లోని బెస్ట్ ఫిగర్స్ ఉన్నప్పుడు పరాజయం వైపు (4)', '9 వ ఉత్తమ కెరీర్ సగటు (14.93) ',' 5 వ ఉత్తమ కెరీర్ ఎకానమీ రేట్ బౌలింగ్ (4.76) ',' 29th ఉత్తమ కెరీర్ సమ్మె రేటు (18.8) ',' ఇన్నింగ్స్ లో 22 వ ఉత్తమ ఆర్థిక రేటు (0.50) ',' 4 వ అత్యంత నాలుగు వికెట్లు ఒక వృత్తిలో -ఇన్-ఒక-ఇన్నింగ్స్ (3) ', '21 వ అత్యధిక వికెట్లు తీసుకున్న బౌల్డ్ (16)', '20 వ అత్యధిక వికెట్లు ఆకర్షించింది తీసుకున్న మరియు బౌల్డ్ (3)', '16 వ అత్యధిక వికెట్లు తీసుకున్న ఎల్బిడబ్ల్యు (9)', ' 43 వ అత్యంత స్టంప్ వికెట్లు తీసుకున్నారు (5) ',' ఇన్నింగ్స్ లో 3 వ అత్యధిక క్యాచ్లు (3) ',' 25 వ ఓల్డెస్ట్ క్రీడాకారులు (40y 105d) ',' కెప్టెన్సీ తొలి 35 వ ఓల్డెస్ట్ కాప్టెన్ (31y 158d) ',' 8 వ అత్యంత పనికత్తెలయొద్ద కెరీర్ (10) ',' 12 వ ఇన్నింగ్స్ లో వచ్చిన ఎక్కువ పనికత్తెలయొద్ద (2) ']</v>
      </c>
      <c r="I8669" s="3"/>
    </row>
    <row r="8670" customHeight="1" spans="1:9">
      <c r="A8670" s="2"/>
      <c r="B8670" s="2" t="str">
        <f>IFERROR(__xludf.DUMMYFUNCTION("IF(A8670&lt;&gt;"""", GOOGLETRANSLATE(A8670, ""en"", ""te""),"""")"),"")</f>
        <v/>
      </c>
      <c r="C8670" s="2"/>
      <c r="D8670" s="2" t="str">
        <f>IFERROR(__xludf.DUMMYFUNCTION("IF(C8670&lt;&gt;"""", GOOGLETRANSLATE(C8670, ""en"", ""te""),"""")"),"")</f>
        <v/>
      </c>
      <c r="E8670" s="2"/>
      <c r="F8670" s="2" t="str">
        <f>IFERROR(__xludf.DUMMYFUNCTION("IF(E8670&lt;&gt;"""", GOOGLETRANSLATE(E8670, ""en"", ""te""),"""")"),"")</f>
        <v/>
      </c>
      <c r="G8670" s="2"/>
      <c r="H8670" s="2" t="str">
        <f>IFERROR(__xludf.DUMMYFUNCTION("IF(G8670&lt;&gt;"""", GOOGLETRANSLATE(G8670, ""en"", ""te""),"""")"),"")</f>
        <v/>
      </c>
      <c r="I8670" s="3"/>
    </row>
    <row r="8671" customHeight="1" spans="1:9">
      <c r="A8671" s="2"/>
      <c r="B8671" s="2" t="str">
        <f>IFERROR(__xludf.DUMMYFUNCTION("IF(A8671&lt;&gt;"""", GOOGLETRANSLATE(A8671, ""en"", ""te""),"""")"),"")</f>
        <v/>
      </c>
      <c r="C8671" s="2"/>
      <c r="D8671" s="2" t="str">
        <f>IFERROR(__xludf.DUMMYFUNCTION("IF(C8671&lt;&gt;"""", GOOGLETRANSLATE(C8671, ""en"", ""te""),"""")"),"")</f>
        <v/>
      </c>
      <c r="E8671" s="2" t="s">
        <v>4870</v>
      </c>
      <c r="F8671" s="2" t="str">
        <f>IFERROR(__xludf.DUMMYFUNCTION("IF(E8671&lt;&gt;"""", GOOGLETRANSLATE(E8671, ""en"", ""te""),"""")"),"[ 'తొలి 31 ఓల్డెస్ట్ క్రీడాకారులు (38y 133d)']")</f>
        <v>[ 'తొలి 31 ఓల్డెస్ట్ క్రీడాకారులు (38y 133d)']</v>
      </c>
      <c r="G8671" s="2"/>
      <c r="H8671" s="2" t="str">
        <f>IFERROR(__xludf.DUMMYFUNCTION("IF(G8671&lt;&gt;"""", GOOGLETRANSLATE(G8671, ""en"", ""te""),"""")"),"")</f>
        <v/>
      </c>
      <c r="I8671" s="3"/>
    </row>
    <row r="8672" customHeight="1" spans="1:9">
      <c r="A8672" s="2"/>
      <c r="B8672" s="2" t="str">
        <f>IFERROR(__xludf.DUMMYFUNCTION("IF(A8672&lt;&gt;"""", GOOGLETRANSLATE(A8672, ""en"", ""te""),"""")"),"")</f>
        <v/>
      </c>
      <c r="C8672" s="2"/>
      <c r="D8672" s="2" t="str">
        <f>IFERROR(__xludf.DUMMYFUNCTION("IF(C8672&lt;&gt;"""", GOOGLETRANSLATE(C8672, ""en"", ""te""),"""")"),"")</f>
        <v/>
      </c>
      <c r="E8672" s="2"/>
      <c r="F8672" s="2" t="str">
        <f>IFERROR(__xludf.DUMMYFUNCTION("IF(E8672&lt;&gt;"""", GOOGLETRANSLATE(E8672, ""en"", ""te""),"""")"),"")</f>
        <v/>
      </c>
      <c r="G8672" s="2"/>
      <c r="H8672" s="2" t="str">
        <f>IFERROR(__xludf.DUMMYFUNCTION("IF(G8672&lt;&gt;"""", GOOGLETRANSLATE(G8672, ""en"", ""te""),"""")"),"")</f>
        <v/>
      </c>
      <c r="I8672" s="3"/>
    </row>
    <row r="8673" customHeight="1" spans="1:9">
      <c r="A8673" s="2"/>
      <c r="B8673" s="2" t="str">
        <f>IFERROR(__xludf.DUMMYFUNCTION("IF(A8673&lt;&gt;"""", GOOGLETRANSLATE(A8673, ""en"", ""te""),"""")"),"")</f>
        <v/>
      </c>
      <c r="C8673" s="2"/>
      <c r="D8673" s="2" t="str">
        <f>IFERROR(__xludf.DUMMYFUNCTION("IF(C8673&lt;&gt;"""", GOOGLETRANSLATE(C8673, ""en"", ""te""),"""")"),"")</f>
        <v/>
      </c>
      <c r="E8673" s="2"/>
      <c r="F8673" s="2" t="str">
        <f>IFERROR(__xludf.DUMMYFUNCTION("IF(E8673&lt;&gt;"""", GOOGLETRANSLATE(E8673, ""en"", ""te""),"""")"),"")</f>
        <v/>
      </c>
      <c r="G8673" s="2"/>
      <c r="H8673" s="2" t="str">
        <f>IFERROR(__xludf.DUMMYFUNCTION("IF(G8673&lt;&gt;"""", GOOGLETRANSLATE(G8673, ""en"", ""te""),"""")"),"")</f>
        <v/>
      </c>
      <c r="I8673" s="3"/>
    </row>
    <row r="8674" customHeight="1" spans="1:9">
      <c r="A8674" s="2"/>
      <c r="B8674" s="2" t="str">
        <f>IFERROR(__xludf.DUMMYFUNCTION("IF(A8674&lt;&gt;"""", GOOGLETRANSLATE(A8674, ""en"", ""te""),"""")"),"")</f>
        <v/>
      </c>
      <c r="C8674" s="2"/>
      <c r="D8674" s="2" t="str">
        <f>IFERROR(__xludf.DUMMYFUNCTION("IF(C8674&lt;&gt;"""", GOOGLETRANSLATE(C8674, ""en"", ""te""),"""")"),"")</f>
        <v/>
      </c>
      <c r="E8674" s="2"/>
      <c r="F8674" s="2" t="str">
        <f>IFERROR(__xludf.DUMMYFUNCTION("IF(E8674&lt;&gt;"""", GOOGLETRANSLATE(E8674, ""en"", ""te""),"""")"),"")</f>
        <v/>
      </c>
      <c r="G8674" s="2"/>
      <c r="H8674" s="2" t="str">
        <f>IFERROR(__xludf.DUMMYFUNCTION("IF(G8674&lt;&gt;"""", GOOGLETRANSLATE(G8674, ""en"", ""te""),"""")"),"")</f>
        <v/>
      </c>
      <c r="I8674" s="3"/>
    </row>
    <row r="8675" customHeight="1" spans="1:9">
      <c r="A8675" s="2"/>
      <c r="B8675" s="2" t="str">
        <f>IFERROR(__xludf.DUMMYFUNCTION("IF(A8675&lt;&gt;"""", GOOGLETRANSLATE(A8675, ""en"", ""te""),"""")"),"")</f>
        <v/>
      </c>
      <c r="C8675" s="2"/>
      <c r="D8675" s="2" t="str">
        <f>IFERROR(__xludf.DUMMYFUNCTION("IF(C8675&lt;&gt;"""", GOOGLETRANSLATE(C8675, ""en"", ""te""),"""")"),"")</f>
        <v/>
      </c>
      <c r="E8675" s="2"/>
      <c r="F8675" s="2" t="str">
        <f>IFERROR(__xludf.DUMMYFUNCTION("IF(E8675&lt;&gt;"""", GOOGLETRANSLATE(E8675, ""en"", ""te""),"""")"),"")</f>
        <v/>
      </c>
      <c r="G8675" s="2"/>
      <c r="H8675" s="2" t="str">
        <f>IFERROR(__xludf.DUMMYFUNCTION("IF(G8675&lt;&gt;"""", GOOGLETRANSLATE(G8675, ""en"", ""te""),"""")"),"")</f>
        <v/>
      </c>
      <c r="I8675" s="3"/>
    </row>
    <row r="8676" customHeight="1" spans="1:9">
      <c r="A8676" s="2" t="s">
        <v>667</v>
      </c>
      <c r="B8676" s="2" t="str">
        <f>IFERROR(__xludf.DUMMYFUNCTION("IF(A8676&lt;&gt;"""", GOOGLETRANSLATE(A8676, ""en"", ""te""),"""")"),"[ 'ఇన్నింగ్స్ లో 1 వ అత్యంత పనికత్తెలయొద్ద (2)']")</f>
        <v>[ 'ఇన్నింగ్స్ లో 1 వ అత్యంత పనికత్తెలయొద్ద (2)']</v>
      </c>
      <c r="C8676" s="2"/>
      <c r="D8676" s="2" t="str">
        <f>IFERROR(__xludf.DUMMYFUNCTION("IF(C8676&lt;&gt;"""", GOOGLETRANSLATE(C8676, ""en"", ""te""),"""")"),"")</f>
        <v/>
      </c>
      <c r="E8676" s="2"/>
      <c r="F8676" s="2" t="str">
        <f>IFERROR(__xludf.DUMMYFUNCTION("IF(E8676&lt;&gt;"""", GOOGLETRANSLATE(E8676, ""en"", ""te""),"""")"),"")</f>
        <v/>
      </c>
      <c r="G8676" s="2" t="s">
        <v>4871</v>
      </c>
      <c r="H8676" s="2" t="str">
        <f>IFERROR(__xludf.DUMMYFUNCTION("IF(G8676&lt;&gt;"""", GOOGLETRANSLATE(G8676, ""en"", ""te""),"""")"),"[ 'ఇన్నింగ్స్ (3) 15 వ అత్యధిక క్యాచ్లు', '17 వ బౌలర్ / బ్యాట్స్ కలయికలు (3)', '13 వ అత్యుత్తమ ఇన్నింగ్స్ (4/9) లో బౌలింగ్ విశ్లేషణలు' 'కెరీర్ లో 3 వ అత్యంత పనికత్తెలయొద్ద (5)', '1 వ అత్యంత ఇన్నింగ్స్ లో పనికత్తెలయొద్ద (2)']")</f>
        <v>[ 'ఇన్నింగ్స్ (3) 15 వ అత్యధిక క్యాచ్లు', '17 వ బౌలర్ / బ్యాట్స్ కలయికలు (3)', '13 వ అత్యుత్తమ ఇన్నింగ్స్ (4/9) లో బౌలింగ్ విశ్లేషణలు' 'కెరీర్ లో 3 వ అత్యంత పనికత్తెలయొద్ద (5)', '1 వ అత్యంత ఇన్నింగ్స్ లో పనికత్తెలయొద్ద (2)']</v>
      </c>
      <c r="I8676" s="3"/>
    </row>
    <row r="8677" customHeight="1" spans="1:9">
      <c r="A8677" s="2"/>
      <c r="B8677" s="2" t="str">
        <f>IFERROR(__xludf.DUMMYFUNCTION("IF(A8677&lt;&gt;"""", GOOGLETRANSLATE(A8677, ""en"", ""te""),"""")"),"")</f>
        <v/>
      </c>
      <c r="C8677" s="2"/>
      <c r="D8677" s="2" t="str">
        <f>IFERROR(__xludf.DUMMYFUNCTION("IF(C8677&lt;&gt;"""", GOOGLETRANSLATE(C8677, ""en"", ""te""),"""")"),"")</f>
        <v/>
      </c>
      <c r="E8677" s="2"/>
      <c r="F8677" s="2" t="str">
        <f>IFERROR(__xludf.DUMMYFUNCTION("IF(E8677&lt;&gt;"""", GOOGLETRANSLATE(E8677, ""en"", ""te""),"""")"),"")</f>
        <v/>
      </c>
      <c r="G8677" s="2"/>
      <c r="H8677" s="2" t="str">
        <f>IFERROR(__xludf.DUMMYFUNCTION("IF(G8677&lt;&gt;"""", GOOGLETRANSLATE(G8677, ""en"", ""te""),"""")"),"")</f>
        <v/>
      </c>
      <c r="I8677" s="3"/>
    </row>
    <row r="8678" customHeight="1" spans="1:9">
      <c r="A8678" s="2"/>
      <c r="B8678" s="2" t="str">
        <f>IFERROR(__xludf.DUMMYFUNCTION("IF(A8678&lt;&gt;"""", GOOGLETRANSLATE(A8678, ""en"", ""te""),"""")"),"")</f>
        <v/>
      </c>
      <c r="C8678" s="2"/>
      <c r="D8678" s="2" t="str">
        <f>IFERROR(__xludf.DUMMYFUNCTION("IF(C8678&lt;&gt;"""", GOOGLETRANSLATE(C8678, ""en"", ""te""),"""")"),"")</f>
        <v/>
      </c>
      <c r="E8678" s="2"/>
      <c r="F8678" s="2" t="str">
        <f>IFERROR(__xludf.DUMMYFUNCTION("IF(E8678&lt;&gt;"""", GOOGLETRANSLATE(E8678, ""en"", ""te""),"""")"),"")</f>
        <v/>
      </c>
      <c r="G8678" s="2"/>
      <c r="H8678" s="2" t="str">
        <f>IFERROR(__xludf.DUMMYFUNCTION("IF(G8678&lt;&gt;"""", GOOGLETRANSLATE(G8678, ""en"", ""te""),"""")"),"")</f>
        <v/>
      </c>
      <c r="I8678" s="3"/>
    </row>
    <row r="8679" customHeight="1" spans="1:9">
      <c r="A8679" s="2"/>
      <c r="B8679" s="2" t="str">
        <f>IFERROR(__xludf.DUMMYFUNCTION("IF(A8679&lt;&gt;"""", GOOGLETRANSLATE(A8679, ""en"", ""te""),"""")"),"")</f>
        <v/>
      </c>
      <c r="C8679" s="2"/>
      <c r="D8679" s="2" t="str">
        <f>IFERROR(__xludf.DUMMYFUNCTION("IF(C8679&lt;&gt;"""", GOOGLETRANSLATE(C8679, ""en"", ""te""),"""")"),"")</f>
        <v/>
      </c>
      <c r="E8679" s="2"/>
      <c r="F8679" s="2" t="str">
        <f>IFERROR(__xludf.DUMMYFUNCTION("IF(E8679&lt;&gt;"""", GOOGLETRANSLATE(E8679, ""en"", ""te""),"""")"),"")</f>
        <v/>
      </c>
      <c r="G8679" s="2"/>
      <c r="H8679" s="2" t="str">
        <f>IFERROR(__xludf.DUMMYFUNCTION("IF(G8679&lt;&gt;"""", GOOGLETRANSLATE(G8679, ""en"", ""te""),"""")"),"")</f>
        <v/>
      </c>
      <c r="I8679" s="3"/>
    </row>
    <row r="8680" customHeight="1" spans="1:9">
      <c r="A8680" s="2"/>
      <c r="B8680" s="2" t="str">
        <f>IFERROR(__xludf.DUMMYFUNCTION("IF(A8680&lt;&gt;"""", GOOGLETRANSLATE(A8680, ""en"", ""te""),"""")"),"")</f>
        <v/>
      </c>
      <c r="C8680" s="2"/>
      <c r="D8680" s="2" t="str">
        <f>IFERROR(__xludf.DUMMYFUNCTION("IF(C8680&lt;&gt;"""", GOOGLETRANSLATE(C8680, ""en"", ""te""),"""")"),"")</f>
        <v/>
      </c>
      <c r="E8680" s="2"/>
      <c r="F8680" s="2" t="str">
        <f>IFERROR(__xludf.DUMMYFUNCTION("IF(E8680&lt;&gt;"""", GOOGLETRANSLATE(E8680, ""en"", ""te""),"""")"),"")</f>
        <v/>
      </c>
      <c r="G8680" s="2" t="s">
        <v>4872</v>
      </c>
      <c r="H8680" s="2" t="str">
        <f>IFERROR(__xludf.DUMMYFUNCTION("IF(G8680&lt;&gt;"""", GOOGLETRANSLATE(G8680, ""en"", ""te""),"""")"),"[ '12 వ అత్యుత్తమ ఇన్నింగ్స్ లో బౌలింగ్ విశ్లేషణలు (3/2)', 'ఇన్నింగ్స్ లో 22 వ ఉత్తమ ఆర్థిక రేటు (0.50)', 'ఎనిమిదవ వికెట్కు 16 అత్యధిక భాగస్వామ్యం (29)', '40 వ ఓల్డెస్ట్ క్రీడాకారులు తొలి (38y 121d) ',' 43 వ ఇన్నింగ్స్ అతిపెద్ద వయస్కుడైన క్రీడాకారులు (38"&amp;"y 356d) ',' 12 వ అత్యంత పనికత్తెలయొద్ద (2) ']")</f>
        <v>[ '12 వ అత్యుత్తమ ఇన్నింగ్స్ లో బౌలింగ్ విశ్లేషణలు (3/2)', 'ఇన్నింగ్స్ లో 22 వ ఉత్తమ ఆర్థిక రేటు (0.50)', 'ఎనిమిదవ వికెట్కు 16 అత్యధిక భాగస్వామ్యం (29)', '40 వ ఓల్డెస్ట్ క్రీడాకారులు తొలి (38y 121d) ',' 43 వ ఇన్నింగ్స్ అతిపెద్ద వయస్కుడైన క్రీడాకారులు (38y 356d) ',' 12 వ అత్యంత పనికత్తెలయొద్ద (2) ']</v>
      </c>
      <c r="I8680" s="3"/>
    </row>
    <row r="8681" customHeight="1" spans="1:9">
      <c r="A8681" s="2"/>
      <c r="B8681" s="2" t="str">
        <f>IFERROR(__xludf.DUMMYFUNCTION("IF(A8681&lt;&gt;"""", GOOGLETRANSLATE(A8681, ""en"", ""te""),"""")"),"")</f>
        <v/>
      </c>
      <c r="C8681" s="2"/>
      <c r="D8681" s="2" t="str">
        <f>IFERROR(__xludf.DUMMYFUNCTION("IF(C8681&lt;&gt;"""", GOOGLETRANSLATE(C8681, ""en"", ""te""),"""")"),"")</f>
        <v/>
      </c>
      <c r="E8681" s="2"/>
      <c r="F8681" s="2" t="str">
        <f>IFERROR(__xludf.DUMMYFUNCTION("IF(E8681&lt;&gt;"""", GOOGLETRANSLATE(E8681, ""en"", ""te""),"""")"),"")</f>
        <v/>
      </c>
      <c r="G8681" s="2" t="s">
        <v>4873</v>
      </c>
      <c r="H8681" s="2" t="str">
        <f>IFERROR(__xludf.DUMMYFUNCTION("IF(G8681&lt;&gt;"""", GOOGLETRANSLATE(G8681, ""en"", ""te""),"""")"),"[ '21 వ అత్యధిక ఇన్నింగ్స్ లో సమ్మె రేటు (300.00)']")</f>
        <v>[ '21 వ అత్యధిక ఇన్నింగ్స్ లో సమ్మె రేటు (300.00)']</v>
      </c>
      <c r="I8681" s="3"/>
    </row>
    <row r="8682" customHeight="1" spans="1:9">
      <c r="A8682" s="2" t="s">
        <v>4874</v>
      </c>
      <c r="B8682" s="2" t="str">
        <f>IFERROR(__xludf.DUMMYFUNCTION("IF(A8682&lt;&gt;"""", GOOGLETRANSLATE(A8682, ""en"", ""te""),"""")"),"[ 'ఒక ఇన్నింగ్స్ లో 1 వ బెస్ట్ ఫిగర్స్ ఉన్నప్పుడు పరాజయం వైపు (6)', '1 వ అత్యధిక వికెట్లు తీసిన హిట్ వికెట్ (1)']")</f>
        <v>[ 'ఒక ఇన్నింగ్స్ లో 1 వ బెస్ట్ ఫిగర్స్ ఉన్నప్పుడు పరాజయం వైపు (6)', '1 వ అత్యధిక వికెట్లు తీసిన హిట్ వికెట్ (1)']</v>
      </c>
      <c r="C8682" s="2"/>
      <c r="D8682" s="2" t="str">
        <f>IFERROR(__xludf.DUMMYFUNCTION("IF(C8682&lt;&gt;"""", GOOGLETRANSLATE(C8682, ""en"", ""te""),"""")"),"")</f>
        <v/>
      </c>
      <c r="E8682" s="2" t="s">
        <v>4875</v>
      </c>
      <c r="F8682" s="2" t="str">
        <f>IFERROR(__xludf.DUMMYFUNCTION("IF(E8682&lt;&gt;"""", GOOGLETRANSLATE(E8682, ""en"", ""te""),"""")"),"[ 'ఒక ఇన్నింగ్స్ లో 1 వ బెస్ట్ ఫిగర్స్ ఉన్నప్పుడు పరాజయం వైపు (6)', 'ఇన్నింగ్స్ లో 32 వ ఉత్తమ సమ్మె రేటు (6.5)']")</f>
        <v>[ 'ఒక ఇన్నింగ్స్ లో 1 వ బెస్ట్ ఫిగర్స్ ఉన్నప్పుడు పరాజయం వైపు (6)', 'ఇన్నింగ్స్ లో 32 వ ఉత్తమ సమ్మె రేటు (6.5)']</v>
      </c>
      <c r="G8682" s="2" t="s">
        <v>4876</v>
      </c>
      <c r="H8682" s="2" t="str">
        <f>IFERROR(__xludf.DUMMYFUNCTION("IF(G8682&lt;&gt;"""", GOOGLETRANSLATE(G8682, ""en"", ""te""),"""")"),"[ '1st అత్యధిక వికెట్లు తీసిన హిట్ వికెట్ (1)' '48 వ అత్యంత బౌల్డ్ (10) వికెట్లను తీసుకున్నారో']")</f>
        <v>[ '1st అత్యధిక వికెట్లు తీసిన హిట్ వికెట్ (1)' '48 వ అత్యంత బౌల్డ్ (10) వికెట్లను తీసుకున్నారో']</v>
      </c>
      <c r="I8682" s="3"/>
    </row>
    <row r="8683" customHeight="1" spans="1:9">
      <c r="A8683" s="2"/>
      <c r="B8683" s="2" t="str">
        <f>IFERROR(__xludf.DUMMYFUNCTION("IF(A8683&lt;&gt;"""", GOOGLETRANSLATE(A8683, ""en"", ""te""),"""")"),"")</f>
        <v/>
      </c>
      <c r="C8683" s="2"/>
      <c r="D8683" s="2" t="str">
        <f>IFERROR(__xludf.DUMMYFUNCTION("IF(C8683&lt;&gt;"""", GOOGLETRANSLATE(C8683, ""en"", ""te""),"""")"),"")</f>
        <v/>
      </c>
      <c r="E8683" s="2"/>
      <c r="F8683" s="2" t="str">
        <f>IFERROR(__xludf.DUMMYFUNCTION("IF(E8683&lt;&gt;"""", GOOGLETRANSLATE(E8683, ""en"", ""te""),"""")"),"")</f>
        <v/>
      </c>
      <c r="G8683" s="2"/>
      <c r="H8683" s="2" t="str">
        <f>IFERROR(__xludf.DUMMYFUNCTION("IF(G8683&lt;&gt;"""", GOOGLETRANSLATE(G8683, ""en"", ""te""),"""")"),"")</f>
        <v/>
      </c>
      <c r="I8683" s="3"/>
    </row>
    <row r="8684" customHeight="1" spans="1:9">
      <c r="A8684" s="2"/>
      <c r="B8684" s="2" t="str">
        <f>IFERROR(__xludf.DUMMYFUNCTION("IF(A8684&lt;&gt;"""", GOOGLETRANSLATE(A8684, ""en"", ""te""),"""")"),"")</f>
        <v/>
      </c>
      <c r="C8684" s="2"/>
      <c r="D8684" s="2" t="str">
        <f>IFERROR(__xludf.DUMMYFUNCTION("IF(C8684&lt;&gt;"""", GOOGLETRANSLATE(C8684, ""en"", ""te""),"""")"),"")</f>
        <v/>
      </c>
      <c r="E8684" s="2"/>
      <c r="F8684" s="2" t="str">
        <f>IFERROR(__xludf.DUMMYFUNCTION("IF(E8684&lt;&gt;"""", GOOGLETRANSLATE(E8684, ""en"", ""te""),"""")"),"")</f>
        <v/>
      </c>
      <c r="G8684" s="2"/>
      <c r="H8684" s="2" t="str">
        <f>IFERROR(__xludf.DUMMYFUNCTION("IF(G8684&lt;&gt;"""", GOOGLETRANSLATE(G8684, ""en"", ""te""),"""")"),"")</f>
        <v/>
      </c>
      <c r="I8684" s="3"/>
    </row>
    <row r="8685" customHeight="1" spans="1:9">
      <c r="A8685" s="2"/>
      <c r="B8685" s="2" t="str">
        <f>IFERROR(__xludf.DUMMYFUNCTION("IF(A8685&lt;&gt;"""", GOOGLETRANSLATE(A8685, ""en"", ""te""),"""")"),"")</f>
        <v/>
      </c>
      <c r="C8685" s="2"/>
      <c r="D8685" s="2" t="str">
        <f>IFERROR(__xludf.DUMMYFUNCTION("IF(C8685&lt;&gt;"""", GOOGLETRANSLATE(C8685, ""en"", ""te""),"""")"),"")</f>
        <v/>
      </c>
      <c r="E8685" s="2"/>
      <c r="F8685" s="2" t="str">
        <f>IFERROR(__xludf.DUMMYFUNCTION("IF(E8685&lt;&gt;"""", GOOGLETRANSLATE(E8685, ""en"", ""te""),"""")"),"")</f>
        <v/>
      </c>
      <c r="G8685" s="2" t="s">
        <v>4877</v>
      </c>
      <c r="H8685" s="2" t="str">
        <f>IFERROR(__xludf.DUMMYFUNCTION("IF(G8685&lt;&gt;"""", GOOGLETRANSLATE(G8685, ""en"", ""te""),"""")"),"[ '22 చెత్త కెరీర్ (అర్హత లేకుండా) సగటు బౌలింగ్ (80.00)']")</f>
        <v>[ '22 చెత్త కెరీర్ (అర్హత లేకుండా) సగటు బౌలింగ్ (80.00)']</v>
      </c>
      <c r="I8685" s="3"/>
    </row>
    <row r="8686" customHeight="1" spans="1:9">
      <c r="A8686" s="2"/>
      <c r="B8686" s="2" t="str">
        <f>IFERROR(__xludf.DUMMYFUNCTION("IF(A8686&lt;&gt;"""", GOOGLETRANSLATE(A8686, ""en"", ""te""),"""")"),"")</f>
        <v/>
      </c>
      <c r="C8686" s="2"/>
      <c r="D8686" s="2" t="str">
        <f>IFERROR(__xludf.DUMMYFUNCTION("IF(C8686&lt;&gt;"""", GOOGLETRANSLATE(C8686, ""en"", ""te""),"""")"),"")</f>
        <v/>
      </c>
      <c r="E8686" s="2"/>
      <c r="F8686" s="2" t="str">
        <f>IFERROR(__xludf.DUMMYFUNCTION("IF(E8686&lt;&gt;"""", GOOGLETRANSLATE(E8686, ""en"", ""te""),"""")"),"")</f>
        <v/>
      </c>
      <c r="G8686" s="2"/>
      <c r="H8686" s="2" t="str">
        <f>IFERROR(__xludf.DUMMYFUNCTION("IF(G8686&lt;&gt;"""", GOOGLETRANSLATE(G8686, ""en"", ""te""),"""")"),"")</f>
        <v/>
      </c>
      <c r="I8686" s="3"/>
    </row>
    <row r="8687" customHeight="1" spans="1:9">
      <c r="A8687" s="2"/>
      <c r="B8687" s="2" t="str">
        <f>IFERROR(__xludf.DUMMYFUNCTION("IF(A8687&lt;&gt;"""", GOOGLETRANSLATE(A8687, ""en"", ""te""),"""")"),"")</f>
        <v/>
      </c>
      <c r="C8687" s="2"/>
      <c r="D8687" s="2" t="str">
        <f>IFERROR(__xludf.DUMMYFUNCTION("IF(C8687&lt;&gt;"""", GOOGLETRANSLATE(C8687, ""en"", ""te""),"""")"),"")</f>
        <v/>
      </c>
      <c r="E8687" s="2"/>
      <c r="F8687" s="2" t="str">
        <f>IFERROR(__xludf.DUMMYFUNCTION("IF(E8687&lt;&gt;"""", GOOGLETRANSLATE(E8687, ""en"", ""te""),"""")"),"")</f>
        <v/>
      </c>
      <c r="G8687" s="2"/>
      <c r="H8687" s="2" t="str">
        <f>IFERROR(__xludf.DUMMYFUNCTION("IF(G8687&lt;&gt;"""", GOOGLETRANSLATE(G8687, ""en"", ""te""),"""")"),"")</f>
        <v/>
      </c>
      <c r="I8687" s="3"/>
    </row>
    <row r="8688" customHeight="1" spans="1:9">
      <c r="A8688" s="2"/>
      <c r="B8688" s="2" t="str">
        <f>IFERROR(__xludf.DUMMYFUNCTION("IF(A8688&lt;&gt;"""", GOOGLETRANSLATE(A8688, ""en"", ""te""),"""")"),"")</f>
        <v/>
      </c>
      <c r="C8688" s="2"/>
      <c r="D8688" s="2" t="str">
        <f>IFERROR(__xludf.DUMMYFUNCTION("IF(C8688&lt;&gt;"""", GOOGLETRANSLATE(C8688, ""en"", ""te""),"""")"),"")</f>
        <v/>
      </c>
      <c r="E8688" s="2"/>
      <c r="F8688" s="2" t="str">
        <f>IFERROR(__xludf.DUMMYFUNCTION("IF(E8688&lt;&gt;"""", GOOGLETRANSLATE(E8688, ""en"", ""te""),"""")"),"")</f>
        <v/>
      </c>
      <c r="G8688" s="2"/>
      <c r="H8688" s="2" t="str">
        <f>IFERROR(__xludf.DUMMYFUNCTION("IF(G8688&lt;&gt;"""", GOOGLETRANSLATE(G8688, ""en"", ""te""),"""")"),"")</f>
        <v/>
      </c>
      <c r="I8688" s="3"/>
    </row>
    <row r="8689" customHeight="1" spans="1:9">
      <c r="A8689" s="2"/>
      <c r="B8689" s="2" t="str">
        <f>IFERROR(__xludf.DUMMYFUNCTION("IF(A8689&lt;&gt;"""", GOOGLETRANSLATE(A8689, ""en"", ""te""),"""")"),"")</f>
        <v/>
      </c>
      <c r="C8689" s="2"/>
      <c r="D8689" s="2" t="str">
        <f>IFERROR(__xludf.DUMMYFUNCTION("IF(C8689&lt;&gt;"""", GOOGLETRANSLATE(C8689, ""en"", ""te""),"""")"),"")</f>
        <v/>
      </c>
      <c r="E8689" s="2"/>
      <c r="F8689" s="2" t="str">
        <f>IFERROR(__xludf.DUMMYFUNCTION("IF(E8689&lt;&gt;"""", GOOGLETRANSLATE(E8689, ""en"", ""te""),"""")"),"")</f>
        <v/>
      </c>
      <c r="G8689" s="2"/>
      <c r="H8689" s="2" t="str">
        <f>IFERROR(__xludf.DUMMYFUNCTION("IF(G8689&lt;&gt;"""", GOOGLETRANSLATE(G8689, ""en"", ""te""),"""")"),"")</f>
        <v/>
      </c>
      <c r="I8689" s="3"/>
    </row>
    <row r="8690" customHeight="1" spans="1:9">
      <c r="A8690" s="2"/>
      <c r="B8690" s="2" t="str">
        <f>IFERROR(__xludf.DUMMYFUNCTION("IF(A8690&lt;&gt;"""", GOOGLETRANSLATE(A8690, ""en"", ""te""),"""")"),"")</f>
        <v/>
      </c>
      <c r="C8690" s="2"/>
      <c r="D8690" s="2" t="str">
        <f>IFERROR(__xludf.DUMMYFUNCTION("IF(C8690&lt;&gt;"""", GOOGLETRANSLATE(C8690, ""en"", ""te""),"""")"),"")</f>
        <v/>
      </c>
      <c r="E8690" s="2"/>
      <c r="F8690" s="2" t="str">
        <f>IFERROR(__xludf.DUMMYFUNCTION("IF(E8690&lt;&gt;"""", GOOGLETRANSLATE(E8690, ""en"", ""te""),"""")"),"")</f>
        <v/>
      </c>
      <c r="G8690" s="2"/>
      <c r="H8690" s="2" t="str">
        <f>IFERROR(__xludf.DUMMYFUNCTION("IF(G8690&lt;&gt;"""", GOOGLETRANSLATE(G8690, ""en"", ""te""),"""")"),"")</f>
        <v/>
      </c>
      <c r="I8690" s="3"/>
    </row>
    <row r="8691" customHeight="1" spans="1:9">
      <c r="A8691" s="2"/>
      <c r="B8691" s="2" t="str">
        <f>IFERROR(__xludf.DUMMYFUNCTION("IF(A8691&lt;&gt;"""", GOOGLETRANSLATE(A8691, ""en"", ""te""),"""")"),"")</f>
        <v/>
      </c>
      <c r="C8691" s="2"/>
      <c r="D8691" s="2" t="str">
        <f>IFERROR(__xludf.DUMMYFUNCTION("IF(C8691&lt;&gt;"""", GOOGLETRANSLATE(C8691, ""en"", ""te""),"""")"),"")</f>
        <v/>
      </c>
      <c r="E8691" s="2"/>
      <c r="F8691" s="2" t="str">
        <f>IFERROR(__xludf.DUMMYFUNCTION("IF(E8691&lt;&gt;"""", GOOGLETRANSLATE(E8691, ""en"", ""te""),"""")"),"")</f>
        <v/>
      </c>
      <c r="G8691" s="2"/>
      <c r="H8691" s="2" t="str">
        <f>IFERROR(__xludf.DUMMYFUNCTION("IF(G8691&lt;&gt;"""", GOOGLETRANSLATE(G8691, ""en"", ""te""),"""")"),"")</f>
        <v/>
      </c>
      <c r="I8691" s="3"/>
    </row>
    <row r="8692" customHeight="1" spans="1:9">
      <c r="A8692" s="2"/>
      <c r="B8692" s="2" t="str">
        <f>IFERROR(__xludf.DUMMYFUNCTION("IF(A8692&lt;&gt;"""", GOOGLETRANSLATE(A8692, ""en"", ""te""),"""")"),"")</f>
        <v/>
      </c>
      <c r="C8692" s="2"/>
      <c r="D8692" s="2" t="str">
        <f>IFERROR(__xludf.DUMMYFUNCTION("IF(C8692&lt;&gt;"""", GOOGLETRANSLATE(C8692, ""en"", ""te""),"""")"),"")</f>
        <v/>
      </c>
      <c r="E8692" s="2"/>
      <c r="F8692" s="2" t="str">
        <f>IFERROR(__xludf.DUMMYFUNCTION("IF(E8692&lt;&gt;"""", GOOGLETRANSLATE(E8692, ""en"", ""te""),"""")"),"")</f>
        <v/>
      </c>
      <c r="G8692" s="2"/>
      <c r="H8692" s="2" t="str">
        <f>IFERROR(__xludf.DUMMYFUNCTION("IF(G8692&lt;&gt;"""", GOOGLETRANSLATE(G8692, ""en"", ""te""),"""")"),"")</f>
        <v/>
      </c>
      <c r="I8692" s="3"/>
    </row>
    <row r="8693" customHeight="1" spans="1:9">
      <c r="A8693" s="2"/>
      <c r="B8693" s="2" t="str">
        <f>IFERROR(__xludf.DUMMYFUNCTION("IF(A8693&lt;&gt;"""", GOOGLETRANSLATE(A8693, ""en"", ""te""),"""")"),"")</f>
        <v/>
      </c>
      <c r="C8693" s="2"/>
      <c r="D8693" s="2" t="str">
        <f>IFERROR(__xludf.DUMMYFUNCTION("IF(C8693&lt;&gt;"""", GOOGLETRANSLATE(C8693, ""en"", ""te""),"""")"),"")</f>
        <v/>
      </c>
      <c r="E8693" s="2"/>
      <c r="F8693" s="2" t="str">
        <f>IFERROR(__xludf.DUMMYFUNCTION("IF(E8693&lt;&gt;"""", GOOGLETRANSLATE(E8693, ""en"", ""te""),"""")"),"")</f>
        <v/>
      </c>
      <c r="G8693" s="2" t="s">
        <v>4878</v>
      </c>
      <c r="H8693" s="2" t="str">
        <f>IFERROR(__xludf.DUMMYFUNCTION("IF(G8693&lt;&gt;"""", GOOGLETRANSLATE(G8693, ""en"", ""te""),"""")"),"[ '50 వ ఒక క్యాలెండర్ సంవత్సరంలో అత్యధిక పరుగులు (387)', 'తొలి మ్యాచ్లో 42 వ అత్యధిక పరుగులు (52 *)']")</f>
        <v>[ '50 వ ఒక క్యాలెండర్ సంవత్సరంలో అత్యధిక పరుగులు (387)', 'తొలి మ్యాచ్లో 42 వ అత్యధిక పరుగులు (52 *)']</v>
      </c>
      <c r="I8693" s="3"/>
    </row>
    <row r="8694" customHeight="1" spans="1:9">
      <c r="A8694" s="2" t="s">
        <v>2791</v>
      </c>
      <c r="B8694" s="2" t="str">
        <f>IFERROR(__xludf.DUMMYFUNCTION("IF(A8694&lt;&gt;"""", GOOGLETRANSLATE(A8694, ""en"", ""te""),"""")"),"[ '5 వ ఉత్తమ కెరీర్ బౌలింగ్ సరాసరి (అర్హత లేకుండా) (5.00)']")</f>
        <v>[ '5 వ ఉత్తమ కెరీర్ బౌలింగ్ సరాసరి (అర్హత లేకుండా) (5.00)']</v>
      </c>
      <c r="C8694" s="2"/>
      <c r="D8694" s="2" t="str">
        <f>IFERROR(__xludf.DUMMYFUNCTION("IF(C8694&lt;&gt;"""", GOOGLETRANSLATE(C8694, ""en"", ""te""),"""")"),"")</f>
        <v/>
      </c>
      <c r="E8694" s="2" t="s">
        <v>2791</v>
      </c>
      <c r="F8694" s="2" t="str">
        <f>IFERROR(__xludf.DUMMYFUNCTION("IF(E8694&lt;&gt;"""", GOOGLETRANSLATE(E8694, ""en"", ""te""),"""")"),"[ '5 వ ఉత్తమ కెరీర్ బౌలింగ్ సరాసరి (అర్హత లేకుండా) (5.00)']")</f>
        <v>[ '5 వ ఉత్తమ కెరీర్ బౌలింగ్ సరాసరి (అర్హత లేకుండా) (5.00)']</v>
      </c>
      <c r="G8694" s="2" t="s">
        <v>4879</v>
      </c>
      <c r="H8694" s="2" t="str">
        <f>IFERROR(__xludf.DUMMYFUNCTION("IF(G8694&lt;&gt;"""", GOOGLETRANSLATE(G8694, ""en"", ""te""),"""")"),"[ '17 వ ఇన్నింగ్స్ లో అత్యధిక పరుగులు (బ్యాటింగ్ స్థానంలో ప్రకారం) (59)']")</f>
        <v>[ '17 వ ఇన్నింగ్స్ లో అత్యధిక పరుగులు (బ్యాటింగ్ స్థానంలో ప్రకారం) (59)']</v>
      </c>
      <c r="I8694" s="3"/>
    </row>
    <row r="8695" customHeight="1" spans="1:9">
      <c r="A8695" s="2"/>
      <c r="B8695" s="2" t="str">
        <f>IFERROR(__xludf.DUMMYFUNCTION("IF(A8695&lt;&gt;"""", GOOGLETRANSLATE(A8695, ""en"", ""te""),"""")"),"")</f>
        <v/>
      </c>
      <c r="C8695" s="2"/>
      <c r="D8695" s="2" t="str">
        <f>IFERROR(__xludf.DUMMYFUNCTION("IF(C8695&lt;&gt;"""", GOOGLETRANSLATE(C8695, ""en"", ""te""),"""")"),"")</f>
        <v/>
      </c>
      <c r="E8695" s="2"/>
      <c r="F8695" s="2" t="str">
        <f>IFERROR(__xludf.DUMMYFUNCTION("IF(E8695&lt;&gt;"""", GOOGLETRANSLATE(E8695, ""en"", ""te""),"""")"),"")</f>
        <v/>
      </c>
      <c r="G8695" s="2"/>
      <c r="H8695" s="2" t="str">
        <f>IFERROR(__xludf.DUMMYFUNCTION("IF(G8695&lt;&gt;"""", GOOGLETRANSLATE(G8695, ""en"", ""te""),"""")"),"")</f>
        <v/>
      </c>
      <c r="I8695" s="3"/>
    </row>
    <row r="8696" customHeight="1" spans="1:9">
      <c r="A8696" s="2"/>
      <c r="B8696" s="2" t="str">
        <f>IFERROR(__xludf.DUMMYFUNCTION("IF(A8696&lt;&gt;"""", GOOGLETRANSLATE(A8696, ""en"", ""te""),"""")"),"")</f>
        <v/>
      </c>
      <c r="C8696" s="2"/>
      <c r="D8696" s="2" t="str">
        <f>IFERROR(__xludf.DUMMYFUNCTION("IF(C8696&lt;&gt;"""", GOOGLETRANSLATE(C8696, ""en"", ""te""),"""")"),"")</f>
        <v/>
      </c>
      <c r="E8696" s="2"/>
      <c r="F8696" s="2" t="str">
        <f>IFERROR(__xludf.DUMMYFUNCTION("IF(E8696&lt;&gt;"""", GOOGLETRANSLATE(E8696, ""en"", ""te""),"""")"),"")</f>
        <v/>
      </c>
      <c r="G8696" s="2"/>
      <c r="H8696" s="2" t="str">
        <f>IFERROR(__xludf.DUMMYFUNCTION("IF(G8696&lt;&gt;"""", GOOGLETRANSLATE(G8696, ""en"", ""te""),"""")"),"")</f>
        <v/>
      </c>
      <c r="I8696" s="3"/>
    </row>
    <row r="8697" customHeight="1" spans="1:9">
      <c r="A8697" s="2"/>
      <c r="B8697" s="2" t="str">
        <f>IFERROR(__xludf.DUMMYFUNCTION("IF(A8697&lt;&gt;"""", GOOGLETRANSLATE(A8697, ""en"", ""te""),"""")"),"")</f>
        <v/>
      </c>
      <c r="C8697" s="2"/>
      <c r="D8697" s="2" t="str">
        <f>IFERROR(__xludf.DUMMYFUNCTION("IF(C8697&lt;&gt;"""", GOOGLETRANSLATE(C8697, ""en"", ""te""),"""")"),"")</f>
        <v/>
      </c>
      <c r="E8697" s="2"/>
      <c r="F8697" s="2" t="str">
        <f>IFERROR(__xludf.DUMMYFUNCTION("IF(E8697&lt;&gt;"""", GOOGLETRANSLATE(E8697, ""en"", ""te""),"""")"),"")</f>
        <v/>
      </c>
      <c r="G8697" s="2"/>
      <c r="H8697" s="2" t="str">
        <f>IFERROR(__xludf.DUMMYFUNCTION("IF(G8697&lt;&gt;"""", GOOGLETRANSLATE(G8697, ""en"", ""te""),"""")"),"")</f>
        <v/>
      </c>
      <c r="I8697" s="3"/>
    </row>
    <row r="8698" customHeight="1" spans="1:9">
      <c r="A8698" s="2"/>
      <c r="B8698" s="2" t="str">
        <f>IFERROR(__xludf.DUMMYFUNCTION("IF(A8698&lt;&gt;"""", GOOGLETRANSLATE(A8698, ""en"", ""te""),"""")"),"")</f>
        <v/>
      </c>
      <c r="C8698" s="2"/>
      <c r="D8698" s="2" t="str">
        <f>IFERROR(__xludf.DUMMYFUNCTION("IF(C8698&lt;&gt;"""", GOOGLETRANSLATE(C8698, ""en"", ""te""),"""")"),"")</f>
        <v/>
      </c>
      <c r="E8698" s="2"/>
      <c r="F8698" s="2" t="str">
        <f>IFERROR(__xludf.DUMMYFUNCTION("IF(E8698&lt;&gt;"""", GOOGLETRANSLATE(E8698, ""en"", ""te""),"""")"),"")</f>
        <v/>
      </c>
      <c r="G8698" s="2"/>
      <c r="H8698" s="2" t="str">
        <f>IFERROR(__xludf.DUMMYFUNCTION("IF(G8698&lt;&gt;"""", GOOGLETRANSLATE(G8698, ""en"", ""te""),"""")"),"")</f>
        <v/>
      </c>
      <c r="I8698" s="3"/>
    </row>
    <row r="8699" customHeight="1" spans="1:9">
      <c r="A8699" s="2"/>
      <c r="B8699" s="2" t="str">
        <f>IFERROR(__xludf.DUMMYFUNCTION("IF(A8699&lt;&gt;"""", GOOGLETRANSLATE(A8699, ""en"", ""te""),"""")"),"")</f>
        <v/>
      </c>
      <c r="C8699" s="2"/>
      <c r="D8699" s="2" t="str">
        <f>IFERROR(__xludf.DUMMYFUNCTION("IF(C8699&lt;&gt;"""", GOOGLETRANSLATE(C8699, ""en"", ""te""),"""")"),"")</f>
        <v/>
      </c>
      <c r="E8699" s="2"/>
      <c r="F8699" s="2" t="str">
        <f>IFERROR(__xludf.DUMMYFUNCTION("IF(E8699&lt;&gt;"""", GOOGLETRANSLATE(E8699, ""en"", ""te""),"""")"),"")</f>
        <v/>
      </c>
      <c r="G8699" s="2" t="s">
        <v>4880</v>
      </c>
      <c r="H8699" s="2" t="str">
        <f>IFERROR(__xludf.DUMMYFUNCTION("IF(G8699&lt;&gt;"""", GOOGLETRANSLATE(G8699, ""en"", ""te""),"""")"),"[ 'ఇన్నింగ్స్ లో 15 వ అత్యధిక క్యాచ్లు (3)' '20 వ అత్యధిక సమ్మె ఇన్నింగ్స్ లో రేటు (308.33)', 'రెండవ వికెట్కు 48 వ అత్యధిక భాగస్వామ్యం (103)']")</f>
        <v>[ 'ఇన్నింగ్స్ లో 15 వ అత్యధిక క్యాచ్లు (3)' '20 వ అత్యధిక సమ్మె ఇన్నింగ్స్ లో రేటు (308.33)', 'రెండవ వికెట్కు 48 వ అత్యధిక భాగస్వామ్యం (103)']</v>
      </c>
      <c r="I8699" s="3"/>
    </row>
    <row r="8700" customHeight="1" spans="1:9">
      <c r="A8700" s="2"/>
      <c r="B8700" s="2" t="str">
        <f>IFERROR(__xludf.DUMMYFUNCTION("IF(A8700&lt;&gt;"""", GOOGLETRANSLATE(A8700, ""en"", ""te""),"""")"),"")</f>
        <v/>
      </c>
      <c r="C8700" s="2"/>
      <c r="D8700" s="2" t="str">
        <f>IFERROR(__xludf.DUMMYFUNCTION("IF(C8700&lt;&gt;"""", GOOGLETRANSLATE(C8700, ""en"", ""te""),"""")"),"")</f>
        <v/>
      </c>
      <c r="E8700" s="2"/>
      <c r="F8700" s="2" t="str">
        <f>IFERROR(__xludf.DUMMYFUNCTION("IF(E8700&lt;&gt;"""", GOOGLETRANSLATE(E8700, ""en"", ""te""),"""")"),"")</f>
        <v/>
      </c>
      <c r="G8700" s="2"/>
      <c r="H8700" s="2" t="str">
        <f>IFERROR(__xludf.DUMMYFUNCTION("IF(G8700&lt;&gt;"""", GOOGLETRANSLATE(G8700, ""en"", ""te""),"""")"),"")</f>
        <v/>
      </c>
      <c r="I8700" s="3"/>
    </row>
    <row r="8701" customHeight="1" spans="1:9">
      <c r="A8701" s="2"/>
      <c r="B8701" s="2" t="str">
        <f>IFERROR(__xludf.DUMMYFUNCTION("IF(A8701&lt;&gt;"""", GOOGLETRANSLATE(A8701, ""en"", ""te""),"""")"),"")</f>
        <v/>
      </c>
      <c r="C8701" s="2"/>
      <c r="D8701" s="2" t="str">
        <f>IFERROR(__xludf.DUMMYFUNCTION("IF(C8701&lt;&gt;"""", GOOGLETRANSLATE(C8701, ""en"", ""te""),"""")"),"")</f>
        <v/>
      </c>
      <c r="E8701" s="2" t="s">
        <v>4881</v>
      </c>
      <c r="F8701" s="2" t="str">
        <f>IFERROR(__xludf.DUMMYFUNCTION("IF(E8701&lt;&gt;"""", GOOGLETRANSLATE(E8701, ""en"", ""te""),"""")"),"[ '25 పిన్న కాప్టెన్ (24y 16d)']")</f>
        <v>[ '25 పిన్న కాప్టెన్ (24y 16d)']</v>
      </c>
      <c r="G8701" s="2" t="s">
        <v>4882</v>
      </c>
      <c r="H8701" s="2" t="str">
        <f>IFERROR(__xludf.DUMMYFUNCTION("IF(G8701&lt;&gt;"""", GOOGLETRANSLATE(G8701, ""en"", ""te""),"""")"),"[ '39 వ ఒక క్యాలెండర్ సంవత్సరంలో అత్యధిక పరుగులు (407)', '22 వ ఇన్నింగ్స్ లో అత్యధిక పరుగులు (బ్యాటింగ్ స్థానంలో ప్రకారం) (72)', '32 వ అత్యధిక కెరీర్ సమ్మె రేటు (141.10)', 'కెరీర్లో 36 వ లేవు బాతులు (17 ) ',' ఒక కెప్టెన్ (3) ',' ఆరవ వికెట్కు 18 అత్యధిక భా"&amp;"గస్వామ్యం (73 *) ',' 38 వ అత్యధిక మ్యాచ్లు కెప్టెన్గా (18) ',' 23 వ పిన్న కాప్టెన్ (24y 40D ద్వారా ఒక ఇన్నింగ్స్ లో 20 వ బెస్ట్ ఫిగర్స్ ) ']")</f>
        <v>[ '39 వ ఒక క్యాలెండర్ సంవత్సరంలో అత్యధిక పరుగులు (407)', '22 వ ఇన్నింగ్స్ లో అత్యధిక పరుగులు (బ్యాటింగ్ స్థానంలో ప్రకారం) (72)', '32 వ అత్యధిక కెరీర్ సమ్మె రేటు (141.10)', 'కెరీర్లో 36 వ లేవు బాతులు (17 ) ',' ఒక కెప్టెన్ (3) ',' ఆరవ వికెట్కు 18 అత్యధిక భాగస్వామ్యం (73 *) ',' 38 వ అత్యధిక మ్యాచ్లు కెప్టెన్గా (18) ',' 23 వ పిన్న కాప్టెన్ (24y 40D ద్వారా ఒక ఇన్నింగ్స్ లో 20 వ బెస్ట్ ఫిగర్స్ ) ']</v>
      </c>
      <c r="I8701" s="3"/>
    </row>
    <row r="8702" customHeight="1" spans="1:9">
      <c r="A8702" s="2" t="s">
        <v>4883</v>
      </c>
      <c r="B8702" s="2" t="str">
        <f>IFERROR(__xludf.DUMMYFUNCTION("IF(A8702&lt;&gt;"""", GOOGLETRANSLATE(A8702, ""en"", ""te""),"""")"),"[ '10 వ ఇన్నింగ్స్ లో అత్యధిక పరుగులు (19 *) (బ్యాటింగ్ స్థానం)', 'తొమ్మిదవ వికెట్కు 1st అత్యధిక భాగస్వామ్యం (67 *)']")</f>
        <v>[ '10 వ ఇన్నింగ్స్ లో అత్యధిక పరుగులు (19 *) (బ్యాటింగ్ స్థానం)', 'తొమ్మిదవ వికెట్కు 1st అత్యధిక భాగస్వామ్యం (67 *)']</v>
      </c>
      <c r="C8702" s="2"/>
      <c r="D8702" s="2" t="str">
        <f>IFERROR(__xludf.DUMMYFUNCTION("IF(C8702&lt;&gt;"""", GOOGLETRANSLATE(C8702, ""en"", ""te""),"""")"),"")</f>
        <v/>
      </c>
      <c r="E8702" s="2"/>
      <c r="F8702" s="2" t="str">
        <f>IFERROR(__xludf.DUMMYFUNCTION("IF(E8702&lt;&gt;"""", GOOGLETRANSLATE(E8702, ""en"", ""te""),"""")"),"")</f>
        <v/>
      </c>
      <c r="G8702" s="2" t="s">
        <v>4884</v>
      </c>
      <c r="H8702" s="2" t="str">
        <f>IFERROR(__xludf.DUMMYFUNCTION("IF(G8702&lt;&gt;"""", GOOGLETRANSLATE(G8702, ""en"", ""te""),"""")"),"[ '10 వ ఇన్నింగ్స్ లో అత్యధిక పరుగులు (బ్యాటింగ్ స్థానంలో ప్రకారం) (19 *)', 'కెరీర్లో 29 వ లేవు బాతులు (10)', 'వికెట్ తేడాతో 9 వ అత్యధిక భాగస్వామ్యాల (9)', 'తొమ్మిదవ వికెట్కు 1st అత్యధిక భాగస్వామ్యం ( 67 *) ',' తొలి 46 వ ఓల్డెస్ట్ క్రీడాకారులు (37y 155d) "&amp;"',' 48 వ ఓల్డెస్ట్ క్రీడాకారులు (38y 173d) ']")</f>
        <v>[ '10 వ ఇన్నింగ్స్ లో అత్యధిక పరుగులు (బ్యాటింగ్ స్థానంలో ప్రకారం) (19 *)', 'కెరీర్లో 29 వ లేవు బాతులు (10)', 'వికెట్ తేడాతో 9 వ అత్యధిక భాగస్వామ్యాల (9)', 'తొమ్మిదవ వికెట్కు 1st అత్యధిక భాగస్వామ్యం ( 67 *) ',' తొలి 46 వ ఓల్డెస్ట్ క్రీడాకారులు (37y 155d) ',' 48 వ ఓల్డెస్ట్ క్రీడాకారులు (38y 173d) ']</v>
      </c>
      <c r="I8702" s="3"/>
    </row>
    <row r="8703" customHeight="1" spans="1:9">
      <c r="A8703" s="2" t="s">
        <v>4885</v>
      </c>
      <c r="B8703" s="2" t="str">
        <f>IFERROR(__xludf.DUMMYFUNCTION("IF(A8703&lt;&gt;"""", GOOGLETRANSLATE(A8703, ""en"", ""te""),"""")"),"[ 'తొలి ఇన్నింగ్స్లో 3 వ ఉత్తమ బొమ్మలు (5)', '8 వ అత్యుత్తమ బౌలింగ్ ఇన్నింగ్స్ లో విశ్లేషించడం (1/1)']")</f>
        <v>[ 'తొలి ఇన్నింగ్స్లో 3 వ ఉత్తమ బొమ్మలు (5)', '8 వ అత్యుత్తమ బౌలింగ్ ఇన్నింగ్స్ లో విశ్లేషించడం (1/1)']</v>
      </c>
      <c r="C8703" s="2"/>
      <c r="D8703" s="2" t="str">
        <f>IFERROR(__xludf.DUMMYFUNCTION("IF(C8703&lt;&gt;"""", GOOGLETRANSLATE(C8703, ""en"", ""te""),"""")"),"")</f>
        <v/>
      </c>
      <c r="E8703" s="2" t="s">
        <v>4886</v>
      </c>
      <c r="F8703" s="2" t="str">
        <f>IFERROR(__xludf.DUMMYFUNCTION("IF(E8703&lt;&gt;"""", GOOGLETRANSLATE(E8703, ""en"", ""te""),"""")"),"[ 'ప్రవేశం (5) ఒక ఇన్నింగ్స్ లో 3 వ బెస్ట్ ఫిగర్స్' '11 వ అత్యుత్తమ ఇన్నింగ్స్ లో విశ్లేషణలు బౌలింగ్ (5/13)',]")</f>
        <v>[ 'ప్రవేశం (5) ఒక ఇన్నింగ్స్ లో 3 వ బెస్ట్ ఫిగర్స్' '11 వ అత్యుత్తమ ఇన్నింగ్స్ లో విశ్లేషణలు బౌలింగ్ (5/13)',]</v>
      </c>
      <c r="G8703" s="2" t="s">
        <v>4887</v>
      </c>
      <c r="H8703" s="2" t="str">
        <f>IFERROR(__xludf.DUMMYFUNCTION("IF(G8703&lt;&gt;"""", GOOGLETRANSLATE(G8703, ""en"", ""te""),"""")"),"[ '30 వ ఒక క్యాలెండర్ సంవత్సరంలో అత్యధిక వికెట్లు (21)', '8 వ అత్యుత్తమ బౌలింగ్ ఇన్నింగ్స్ లో విశ్లేషించడం (1/1)', 'ఇన్నింగ్స్ లో 31 ఉత్తమ సమ్మె రేటు (4.5)', '30 వ తొమ్మిదవ వికెట్కు అత్యధిక భాగస్వామ్యం (30) ']")</f>
        <v>[ '30 వ ఒక క్యాలెండర్ సంవత్సరంలో అత్యధిక వికెట్లు (21)', '8 వ అత్యుత్తమ బౌలింగ్ ఇన్నింగ్స్ లో విశ్లేషించడం (1/1)', 'ఇన్నింగ్స్ లో 31 ఉత్తమ సమ్మె రేటు (4.5)', '30 వ తొమ్మిదవ వికెట్కు అత్యధిక భాగస్వామ్యం (30) ']</v>
      </c>
      <c r="I8703" s="3"/>
    </row>
    <row r="8704" customHeight="1" spans="1:9">
      <c r="A8704" s="2"/>
      <c r="B8704" s="2" t="str">
        <f>IFERROR(__xludf.DUMMYFUNCTION("IF(A8704&lt;&gt;"""", GOOGLETRANSLATE(A8704, ""en"", ""te""),"""")"),"")</f>
        <v/>
      </c>
      <c r="C8704" s="2"/>
      <c r="D8704" s="2" t="str">
        <f>IFERROR(__xludf.DUMMYFUNCTION("IF(C8704&lt;&gt;"""", GOOGLETRANSLATE(C8704, ""en"", ""te""),"""")"),"")</f>
        <v/>
      </c>
      <c r="E8704" s="2"/>
      <c r="F8704" s="2" t="str">
        <f>IFERROR(__xludf.DUMMYFUNCTION("IF(E8704&lt;&gt;"""", GOOGLETRANSLATE(E8704, ""en"", ""te""),"""")"),"")</f>
        <v/>
      </c>
      <c r="G8704" s="2"/>
      <c r="H8704" s="2" t="str">
        <f>IFERROR(__xludf.DUMMYFUNCTION("IF(G8704&lt;&gt;"""", GOOGLETRANSLATE(G8704, ""en"", ""te""),"""")"),"")</f>
        <v/>
      </c>
      <c r="I8704" s="3"/>
    </row>
    <row r="8705" customHeight="1" spans="1:9">
      <c r="A8705" s="2"/>
      <c r="B8705" s="2" t="str">
        <f>IFERROR(__xludf.DUMMYFUNCTION("IF(A8705&lt;&gt;"""", GOOGLETRANSLATE(A8705, ""en"", ""te""),"""")"),"")</f>
        <v/>
      </c>
      <c r="C8705" s="2"/>
      <c r="D8705" s="2" t="str">
        <f>IFERROR(__xludf.DUMMYFUNCTION("IF(C8705&lt;&gt;"""", GOOGLETRANSLATE(C8705, ""en"", ""te""),"""")"),"")</f>
        <v/>
      </c>
      <c r="E8705" s="2"/>
      <c r="F8705" s="2" t="str">
        <f>IFERROR(__xludf.DUMMYFUNCTION("IF(E8705&lt;&gt;"""", GOOGLETRANSLATE(E8705, ""en"", ""te""),"""")"),"")</f>
        <v/>
      </c>
      <c r="G8705" s="2"/>
      <c r="H8705" s="2" t="str">
        <f>IFERROR(__xludf.DUMMYFUNCTION("IF(G8705&lt;&gt;"""", GOOGLETRANSLATE(G8705, ""en"", ""te""),"""")"),"")</f>
        <v/>
      </c>
      <c r="I8705" s="3"/>
    </row>
    <row r="8706" customHeight="1" spans="1:9">
      <c r="A8706" s="2" t="s">
        <v>4888</v>
      </c>
      <c r="B8706" s="2" t="str">
        <f>IFERROR(__xludf.DUMMYFUNCTION("IF(A8706&lt;&gt;"""", GOOGLETRANSLATE(A8706, ""en"", ""te""),"""")"),"[ 'ఇన్నింగ్స్ లో 5 వ అత్యధిక వికెట్లు (4)']")</f>
        <v>[ 'ఇన్నింగ్స్ లో 5 వ అత్యధిక వికెట్లు (4)']</v>
      </c>
      <c r="C8706" s="2"/>
      <c r="D8706" s="2" t="str">
        <f>IFERROR(__xludf.DUMMYFUNCTION("IF(C8706&lt;&gt;"""", GOOGLETRANSLATE(C8706, ""en"", ""te""),"""")"),"")</f>
        <v/>
      </c>
      <c r="E8706" s="2" t="s">
        <v>2236</v>
      </c>
      <c r="F8706" s="2" t="str">
        <f>IFERROR(__xludf.DUMMYFUNCTION("IF(E8706&lt;&gt;"""", GOOGLETRANSLATE(E8706, ""en"", ""te""),"""")"),"[ '16 వ ఇన్నింగ్స్ లో అత్యధిక వికెట్లు (5)', '11 వ అత్యంత ఇన్నింగ్స్ లో క్యాచ్లు (5)']")</f>
        <v>[ '16 వ ఇన్నింగ్స్ లో అత్యధిక వికెట్లు (5)', '11 వ అత్యంత ఇన్నింగ్స్ లో క్యాచ్లు (5)']</v>
      </c>
      <c r="G8706" s="2" t="s">
        <v>4889</v>
      </c>
      <c r="H8706" s="2" t="str">
        <f>IFERROR(__xludf.DUMMYFUNCTION("IF(G8706&lt;&gt;"""", GOOGLETRANSLATE(G8706, ""en"", ""te""),"""")"),"[ 'ఇన్నింగ్స్ లో 5 వ అత్యధిక వికెట్లు (4)', '40 వ కెరీర్ లో అత్యధిక క్యాచ్లు (10)', '13 వ ఇన్నింగ్స్ లో అత్యధిక క్యాచ్లు (3)', 'కెరీర్ లో 24 వ (5) అత్యంత స్టంపింగ్లు']")</f>
        <v>[ 'ఇన్నింగ్స్ లో 5 వ అత్యధిక వికెట్లు (4)', '40 వ కెరీర్ లో అత్యధిక క్యాచ్లు (10)', '13 వ ఇన్నింగ్స్ లో అత్యధిక క్యాచ్లు (3)', 'కెరీర్ లో 24 వ (5) అత్యంత స్టంపింగ్లు']</v>
      </c>
      <c r="I8706" s="3"/>
    </row>
    <row r="8707" customHeight="1" spans="1:9">
      <c r="A8707" s="2" t="s">
        <v>4890</v>
      </c>
      <c r="B8707" s="2" t="str">
        <f>IFERROR(__xludf.DUMMYFUNCTION("IF(A8707&lt;&gt;"""", GOOGLETRANSLATE(A8707, ""en"", ""te""),"""")"),"[ 'కెరీర్లో 4 వ లేవు బాతులు (22)', 'ఇన్నింగ్స్ లో 10 వ అత్యుత్తమ బౌలింగ్ విశ్లేషణలు (2/1)' 'ఇన్నింగ్స్ లో 2 వ పెద్ద పనికత్తెలయొద్ద (3)',]")</f>
        <v>[ 'కెరీర్లో 4 వ లేవు బాతులు (22)', 'ఇన్నింగ్స్ లో 10 వ అత్యుత్తమ బౌలింగ్ విశ్లేషణలు (2/1)' 'ఇన్నింగ్స్ లో 2 వ పెద్ద పనికత్తెలయొద్ద (3)',]</v>
      </c>
      <c r="C8707" s="2"/>
      <c r="D8707" s="2" t="str">
        <f>IFERROR(__xludf.DUMMYFUNCTION("IF(C8707&lt;&gt;"""", GOOGLETRANSLATE(C8707, ""en"", ""te""),"""")"),"")</f>
        <v/>
      </c>
      <c r="E8707" s="2"/>
      <c r="F8707" s="2" t="str">
        <f>IFERROR(__xludf.DUMMYFUNCTION("IF(E8707&lt;&gt;"""", GOOGLETRANSLATE(E8707, ""en"", ""te""),"""")"),"")</f>
        <v/>
      </c>
      <c r="G8707" s="2" t="s">
        <v>4891</v>
      </c>
      <c r="H8707" s="2" t="str">
        <f>IFERROR(__xludf.DUMMYFUNCTION("IF(G8707&lt;&gt;"""", GOOGLETRANSLATE(G8707, ""en"", ""te""),"""")"),"[ 'కెరీర్లో 4 వ లేవు బాతులు (22)', 'ఇన్నింగ్స్ లో 10 వ అత్యుత్తమ బౌలింగ్ విశ్లేషణలు (2/1)', 'ఇన్నింగ్స్ లో 13 వ ఉత్తమ సమ్మె రేటు (3.0)', '12 వ అరంగేట్రంలోనే ఇన్నింగ్స్ లోని బెస్ట్ ఫిగర్స్ ( 3) ',' 20 వ అత్యంత పనికత్తెలయొద్ద కెరీర్లో (7) ',' ఇన్నింగ్స్ లో "&amp;"2 వ పెద్ద పనికత్తెలయొద్ద (3) ']")</f>
        <v>[ 'కెరీర్లో 4 వ లేవు బాతులు (22)', 'ఇన్నింగ్స్ లో 10 వ అత్యుత్తమ బౌలింగ్ విశ్లేషణలు (2/1)', 'ఇన్నింగ్స్ లో 13 వ ఉత్తమ సమ్మె రేటు (3.0)', '12 వ అరంగేట్రంలోనే ఇన్నింగ్స్ లోని బెస్ట్ ఫిగర్స్ ( 3) ',' 20 వ అత్యంత పనికత్తెలయొద్ద కెరీర్లో (7) ',' ఇన్నింగ్స్ లో 2 వ పెద్ద పనికత్తెలయొద్ద (3) ']</v>
      </c>
      <c r="I8707" s="3"/>
    </row>
    <row r="8708" customHeight="1" spans="1:9">
      <c r="A8708" s="2"/>
      <c r="B8708" s="2" t="str">
        <f>IFERROR(__xludf.DUMMYFUNCTION("IF(A8708&lt;&gt;"""", GOOGLETRANSLATE(A8708, ""en"", ""te""),"""")"),"")</f>
        <v/>
      </c>
      <c r="C8708" s="2"/>
      <c r="D8708" s="2" t="str">
        <f>IFERROR(__xludf.DUMMYFUNCTION("IF(C8708&lt;&gt;"""", GOOGLETRANSLATE(C8708, ""en"", ""te""),"""")"),"")</f>
        <v/>
      </c>
      <c r="E8708" s="2"/>
      <c r="F8708" s="2" t="str">
        <f>IFERROR(__xludf.DUMMYFUNCTION("IF(E8708&lt;&gt;"""", GOOGLETRANSLATE(E8708, ""en"", ""te""),"""")"),"")</f>
        <v/>
      </c>
      <c r="G8708" s="2"/>
      <c r="H8708" s="2" t="str">
        <f>IFERROR(__xludf.DUMMYFUNCTION("IF(G8708&lt;&gt;"""", GOOGLETRANSLATE(G8708, ""en"", ""te""),"""")"),"")</f>
        <v/>
      </c>
      <c r="I8708" s="3"/>
    </row>
    <row r="8709" customHeight="1" spans="1:9">
      <c r="A8709" s="2"/>
      <c r="B8709" s="2" t="str">
        <f>IFERROR(__xludf.DUMMYFUNCTION("IF(A8709&lt;&gt;"""", GOOGLETRANSLATE(A8709, ""en"", ""te""),"""")"),"")</f>
        <v/>
      </c>
      <c r="C8709" s="2"/>
      <c r="D8709" s="2" t="str">
        <f>IFERROR(__xludf.DUMMYFUNCTION("IF(C8709&lt;&gt;"""", GOOGLETRANSLATE(C8709, ""en"", ""te""),"""")"),"")</f>
        <v/>
      </c>
      <c r="E8709" s="2" t="s">
        <v>4892</v>
      </c>
      <c r="F8709" s="2" t="str">
        <f>IFERROR(__xludf.DUMMYFUNCTION("IF(E8709&lt;&gt;"""", GOOGLETRANSLATE(E8709, ""en"", ""te""),"""")"),"[ '34 వ ఉత్తమ కెరీర్ బౌలింగ్ సరాసరి (అర్హత లేకుండా) (11,81)']")</f>
        <v>[ '34 వ ఉత్తమ కెరీర్ బౌలింగ్ సరాసరి (అర్హత లేకుండా) (11,81)']</v>
      </c>
      <c r="G8709" s="2"/>
      <c r="H8709" s="2" t="str">
        <f>IFERROR(__xludf.DUMMYFUNCTION("IF(G8709&lt;&gt;"""", GOOGLETRANSLATE(G8709, ""en"", ""te""),"""")"),"")</f>
        <v/>
      </c>
      <c r="I8709" s="3"/>
    </row>
    <row r="8710" customHeight="1" spans="1:9">
      <c r="A8710" s="2"/>
      <c r="B8710" s="2" t="str">
        <f>IFERROR(__xludf.DUMMYFUNCTION("IF(A8710&lt;&gt;"""", GOOGLETRANSLATE(A8710, ""en"", ""te""),"""")"),"")</f>
        <v/>
      </c>
      <c r="C8710" s="2"/>
      <c r="D8710" s="2" t="str">
        <f>IFERROR(__xludf.DUMMYFUNCTION("IF(C8710&lt;&gt;"""", GOOGLETRANSLATE(C8710, ""en"", ""te""),"""")"),"")</f>
        <v/>
      </c>
      <c r="E8710" s="2"/>
      <c r="F8710" s="2" t="str">
        <f>IFERROR(__xludf.DUMMYFUNCTION("IF(E8710&lt;&gt;"""", GOOGLETRANSLATE(E8710, ""en"", ""te""),"""")"),"")</f>
        <v/>
      </c>
      <c r="G8710" s="2"/>
      <c r="H8710" s="2" t="str">
        <f>IFERROR(__xludf.DUMMYFUNCTION("IF(G8710&lt;&gt;"""", GOOGLETRANSLATE(G8710, ""en"", ""te""),"""")"),"")</f>
        <v/>
      </c>
      <c r="I8710" s="3"/>
    </row>
    <row r="8711" customHeight="1" spans="1:9">
      <c r="A8711" s="2"/>
      <c r="B8711" s="2" t="str">
        <f>IFERROR(__xludf.DUMMYFUNCTION("IF(A8711&lt;&gt;"""", GOOGLETRANSLATE(A8711, ""en"", ""te""),"""")"),"")</f>
        <v/>
      </c>
      <c r="C8711" s="2"/>
      <c r="D8711" s="2" t="str">
        <f>IFERROR(__xludf.DUMMYFUNCTION("IF(C8711&lt;&gt;"""", GOOGLETRANSLATE(C8711, ""en"", ""te""),"""")"),"")</f>
        <v/>
      </c>
      <c r="E8711" s="2" t="s">
        <v>4893</v>
      </c>
      <c r="F8711" s="2" t="str">
        <f>IFERROR(__xludf.DUMMYFUNCTION("IF(E8711&lt;&gt;"""", GOOGLETRANSLATE(E8711, ""en"", ""te""),"""")"),"[ '27 చెత్త కెరీర్ బౌలింగ్ సరాసరి (అర్హత లేకుండా) (128.00)']")</f>
        <v>[ '27 చెత్త కెరీర్ బౌలింగ్ సరాసరి (అర్హత లేకుండా) (128.00)']</v>
      </c>
      <c r="G8711" s="2"/>
      <c r="H8711" s="2" t="str">
        <f>IFERROR(__xludf.DUMMYFUNCTION("IF(G8711&lt;&gt;"""", GOOGLETRANSLATE(G8711, ""en"", ""te""),"""")"),"")</f>
        <v/>
      </c>
      <c r="I8711" s="3"/>
    </row>
    <row r="8712" customHeight="1" spans="1:9">
      <c r="A8712" s="2" t="s">
        <v>4894</v>
      </c>
      <c r="B8712" s="2" t="str">
        <f>IFERROR(__xludf.DUMMYFUNCTION("IF(A8712&lt;&gt;"""", GOOGLETRANSLATE(A8712, ""en"", ""te""),"""")"),"[ 'ఇన్నింగ్స్ లో 5 వ అత్యధిక పరుగులు (బ్యాటింగ్ స్థానంలో ప్రకారం) (101 *)', 'నాలుగవ వికెట్కు 6 వ అత్యధిక భాగస్వామ్యం (112 *)' '3 వ అత్యంత తొలి మ్యాచ్ (101 *) లో నడుస్తుంది']")</f>
        <v>[ 'ఇన్నింగ్స్ లో 5 వ అత్యధిక పరుగులు (బ్యాటింగ్ స్థానంలో ప్రకారం) (101 *)', 'నాలుగవ వికెట్కు 6 వ అత్యధిక భాగస్వామ్యం (112 *)' '3 వ అత్యంత తొలి మ్యాచ్ (101 *) లో నడుస్తుంది']</v>
      </c>
      <c r="C8712" s="2"/>
      <c r="D8712" s="2" t="str">
        <f>IFERROR(__xludf.DUMMYFUNCTION("IF(C8712&lt;&gt;"""", GOOGLETRANSLATE(C8712, ""en"", ""te""),"""")"),"")</f>
        <v/>
      </c>
      <c r="E8712" s="2" t="s">
        <v>4895</v>
      </c>
      <c r="F8712" s="2" t="str">
        <f>IFERROR(__xludf.DUMMYFUNCTION("IF(E8712&lt;&gt;"""", GOOGLETRANSLATE(E8712, ""en"", ""te""),"""")"),"[ '44 వ అత్యధిక తొలి వంద (136)', '44 వ ఇన్నింగ్స్ లో వచ్చిన ఎక్కువ సిక్స్ (8)']")</f>
        <v>[ '44 వ అత్యధిక తొలి వంద (136)', '44 వ ఇన్నింగ్స్ లో వచ్చిన ఎక్కువ సిక్స్ (8)']</v>
      </c>
      <c r="G8712" s="2" t="s">
        <v>4896</v>
      </c>
      <c r="H8712" s="2" t="str">
        <f>IFERROR(__xludf.DUMMYFUNCTION("IF(G8712&lt;&gt;"""", GOOGLETRANSLATE(G8712, ""en"", ""te""),"""")"),"[ '47 వ ఇన్నింగ్స్ (101 *) లో అత్యధిక పరుగులు' 'ఇన్నింగ్స్ లో 5 వ అత్యధిక పరుగులు (బ్యాటింగ్ స్థానంలో ప్రకారం) (101 *)', '' 3 వ అత్యంత తొలి మ్యాచ్ (101 *) లో నడుస్తుంది ', 17 లో వచ్చిన ఎక్కువ సిక్స్ ఇన్నింగ్స్ (9) ',' ఇన్నింగ్స్ లో ఫోర్లు, సిక్సర్లు నుండి"&amp;" 22 వ అత్యధిక పరుగులు (82) ',' నాలుగవ వికెట్కు 6 వ అత్యధిక భాగస్వామ్యం (112 *) ']")</f>
        <v>[ '47 వ ఇన్నింగ్స్ (101 *) లో అత్యధిక పరుగులు' 'ఇన్నింగ్స్ లో 5 వ అత్యధిక పరుగులు (బ్యాటింగ్ స్థానంలో ప్రకారం) (101 *)', '' 3 వ అత్యంత తొలి మ్యాచ్ (101 *) లో నడుస్తుంది ', 17 లో వచ్చిన ఎక్కువ సిక్స్ ఇన్నింగ్స్ (9) ',' ఇన్నింగ్స్ లో ఫోర్లు, సిక్సర్లు నుండి 22 వ అత్యధిక పరుగులు (82) ',' నాలుగవ వికెట్కు 6 వ అత్యధిక భాగస్వామ్యం (112 *) ']</v>
      </c>
      <c r="I8712" s="3"/>
    </row>
    <row r="8713" customHeight="1" spans="1:9">
      <c r="A8713" s="2"/>
      <c r="B8713" s="2" t="str">
        <f>IFERROR(__xludf.DUMMYFUNCTION("IF(A8713&lt;&gt;"""", GOOGLETRANSLATE(A8713, ""en"", ""te""),"""")"),"")</f>
        <v/>
      </c>
      <c r="C8713" s="2"/>
      <c r="D8713" s="2" t="str">
        <f>IFERROR(__xludf.DUMMYFUNCTION("IF(C8713&lt;&gt;"""", GOOGLETRANSLATE(C8713, ""en"", ""te""),"""")"),"")</f>
        <v/>
      </c>
      <c r="E8713" s="2"/>
      <c r="F8713" s="2" t="str">
        <f>IFERROR(__xludf.DUMMYFUNCTION("IF(E8713&lt;&gt;"""", GOOGLETRANSLATE(E8713, ""en"", ""te""),"""")"),"")</f>
        <v/>
      </c>
      <c r="G8713" s="2"/>
      <c r="H8713" s="2" t="str">
        <f>IFERROR(__xludf.DUMMYFUNCTION("IF(G8713&lt;&gt;"""", GOOGLETRANSLATE(G8713, ""en"", ""te""),"""")"),"")</f>
        <v/>
      </c>
      <c r="I8713" s="3"/>
    </row>
    <row r="8714" customHeight="1" spans="1:9">
      <c r="A8714" s="2"/>
      <c r="B8714" s="2" t="str">
        <f>IFERROR(__xludf.DUMMYFUNCTION("IF(A8714&lt;&gt;"""", GOOGLETRANSLATE(A8714, ""en"", ""te""),"""")"),"")</f>
        <v/>
      </c>
      <c r="C8714" s="2"/>
      <c r="D8714" s="2" t="str">
        <f>IFERROR(__xludf.DUMMYFUNCTION("IF(C8714&lt;&gt;"""", GOOGLETRANSLATE(C8714, ""en"", ""te""),"""")"),"")</f>
        <v/>
      </c>
      <c r="E8714" s="2"/>
      <c r="F8714" s="2" t="str">
        <f>IFERROR(__xludf.DUMMYFUNCTION("IF(E8714&lt;&gt;"""", GOOGLETRANSLATE(E8714, ""en"", ""te""),"""")"),"")</f>
        <v/>
      </c>
      <c r="G8714" s="2"/>
      <c r="H8714" s="2" t="str">
        <f>IFERROR(__xludf.DUMMYFUNCTION("IF(G8714&lt;&gt;"""", GOOGLETRANSLATE(G8714, ""en"", ""te""),"""")"),"")</f>
        <v/>
      </c>
      <c r="I8714" s="3"/>
    </row>
    <row r="8715" customHeight="1" spans="1:9">
      <c r="A8715" s="2"/>
      <c r="B8715" s="2" t="str">
        <f>IFERROR(__xludf.DUMMYFUNCTION("IF(A8715&lt;&gt;"""", GOOGLETRANSLATE(A8715, ""en"", ""te""),"""")"),"")</f>
        <v/>
      </c>
      <c r="C8715" s="2"/>
      <c r="D8715" s="2" t="str">
        <f>IFERROR(__xludf.DUMMYFUNCTION("IF(C8715&lt;&gt;"""", GOOGLETRANSLATE(C8715, ""en"", ""te""),"""")"),"")</f>
        <v/>
      </c>
      <c r="E8715" s="2"/>
      <c r="F8715" s="2" t="str">
        <f>IFERROR(__xludf.DUMMYFUNCTION("IF(E8715&lt;&gt;"""", GOOGLETRANSLATE(E8715, ""en"", ""te""),"""")"),"")</f>
        <v/>
      </c>
      <c r="G8715" s="2"/>
      <c r="H8715" s="2" t="str">
        <f>IFERROR(__xludf.DUMMYFUNCTION("IF(G8715&lt;&gt;"""", GOOGLETRANSLATE(G8715, ""en"", ""te""),"""")"),"")</f>
        <v/>
      </c>
      <c r="I8715" s="3"/>
    </row>
    <row r="8716" customHeight="1" spans="1:9">
      <c r="A8716" s="2"/>
      <c r="B8716" s="2" t="str">
        <f>IFERROR(__xludf.DUMMYFUNCTION("IF(A8716&lt;&gt;"""", GOOGLETRANSLATE(A8716, ""en"", ""te""),"""")"),"")</f>
        <v/>
      </c>
      <c r="C8716" s="2"/>
      <c r="D8716" s="2" t="str">
        <f>IFERROR(__xludf.DUMMYFUNCTION("IF(C8716&lt;&gt;"""", GOOGLETRANSLATE(C8716, ""en"", ""te""),"""")"),"")</f>
        <v/>
      </c>
      <c r="E8716" s="2"/>
      <c r="F8716" s="2" t="str">
        <f>IFERROR(__xludf.DUMMYFUNCTION("IF(E8716&lt;&gt;"""", GOOGLETRANSLATE(E8716, ""en"", ""te""),"""")"),"")</f>
        <v/>
      </c>
      <c r="G8716" s="2"/>
      <c r="H8716" s="2" t="str">
        <f>IFERROR(__xludf.DUMMYFUNCTION("IF(G8716&lt;&gt;"""", GOOGLETRANSLATE(G8716, ""en"", ""te""),"""")"),"")</f>
        <v/>
      </c>
      <c r="I8716" s="3"/>
    </row>
    <row r="8717" customHeight="1" spans="1:9">
      <c r="A8717" s="2"/>
      <c r="B8717" s="2" t="str">
        <f>IFERROR(__xludf.DUMMYFUNCTION("IF(A8717&lt;&gt;"""", GOOGLETRANSLATE(A8717, ""en"", ""te""),"""")"),"")</f>
        <v/>
      </c>
      <c r="C8717" s="2"/>
      <c r="D8717" s="2" t="str">
        <f>IFERROR(__xludf.DUMMYFUNCTION("IF(C8717&lt;&gt;"""", GOOGLETRANSLATE(C8717, ""en"", ""te""),"""")"),"")</f>
        <v/>
      </c>
      <c r="E8717" s="2"/>
      <c r="F8717" s="2" t="str">
        <f>IFERROR(__xludf.DUMMYFUNCTION("IF(E8717&lt;&gt;"""", GOOGLETRANSLATE(E8717, ""en"", ""te""),"""")"),"")</f>
        <v/>
      </c>
      <c r="G8717" s="2"/>
      <c r="H8717" s="2" t="str">
        <f>IFERROR(__xludf.DUMMYFUNCTION("IF(G8717&lt;&gt;"""", GOOGLETRANSLATE(G8717, ""en"", ""te""),"""")"),"")</f>
        <v/>
      </c>
      <c r="I8717" s="3"/>
    </row>
    <row r="8718" customHeight="1" spans="1:9">
      <c r="A8718" s="2"/>
      <c r="B8718" s="2" t="str">
        <f>IFERROR(__xludf.DUMMYFUNCTION("IF(A8718&lt;&gt;"""", GOOGLETRANSLATE(A8718, ""en"", ""te""),"""")"),"")</f>
        <v/>
      </c>
      <c r="C8718" s="2"/>
      <c r="D8718" s="2" t="str">
        <f>IFERROR(__xludf.DUMMYFUNCTION("IF(C8718&lt;&gt;"""", GOOGLETRANSLATE(C8718, ""en"", ""te""),"""")"),"")</f>
        <v/>
      </c>
      <c r="E8718" s="2"/>
      <c r="F8718" s="2" t="str">
        <f>IFERROR(__xludf.DUMMYFUNCTION("IF(E8718&lt;&gt;"""", GOOGLETRANSLATE(E8718, ""en"", ""te""),"""")"),"")</f>
        <v/>
      </c>
      <c r="G8718" s="2"/>
      <c r="H8718" s="2" t="str">
        <f>IFERROR(__xludf.DUMMYFUNCTION("IF(G8718&lt;&gt;"""", GOOGLETRANSLATE(G8718, ""en"", ""te""),"""")"),"")</f>
        <v/>
      </c>
      <c r="I8718" s="3"/>
    </row>
    <row r="8719" customHeight="1" spans="1:9">
      <c r="A8719" s="2"/>
      <c r="B8719" s="2" t="str">
        <f>IFERROR(__xludf.DUMMYFUNCTION("IF(A8719&lt;&gt;"""", GOOGLETRANSLATE(A8719, ""en"", ""te""),"""")"),"")</f>
        <v/>
      </c>
      <c r="C8719" s="2"/>
      <c r="D8719" s="2" t="str">
        <f>IFERROR(__xludf.DUMMYFUNCTION("IF(C8719&lt;&gt;"""", GOOGLETRANSLATE(C8719, ""en"", ""te""),"""")"),"")</f>
        <v/>
      </c>
      <c r="E8719" s="2"/>
      <c r="F8719" s="2" t="str">
        <f>IFERROR(__xludf.DUMMYFUNCTION("IF(E8719&lt;&gt;"""", GOOGLETRANSLATE(E8719, ""en"", ""te""),"""")"),"")</f>
        <v/>
      </c>
      <c r="G8719" s="2"/>
      <c r="H8719" s="2" t="str">
        <f>IFERROR(__xludf.DUMMYFUNCTION("IF(G8719&lt;&gt;"""", GOOGLETRANSLATE(G8719, ""en"", ""te""),"""")"),"")</f>
        <v/>
      </c>
      <c r="I8719" s="3"/>
    </row>
    <row r="8720" customHeight="1" spans="1:9">
      <c r="A8720" s="2"/>
      <c r="B8720" s="2" t="str">
        <f>IFERROR(__xludf.DUMMYFUNCTION("IF(A8720&lt;&gt;"""", GOOGLETRANSLATE(A8720, ""en"", ""te""),"""")"),"")</f>
        <v/>
      </c>
      <c r="C8720" s="2"/>
      <c r="D8720" s="2" t="str">
        <f>IFERROR(__xludf.DUMMYFUNCTION("IF(C8720&lt;&gt;"""", GOOGLETRANSLATE(C8720, ""en"", ""te""),"""")"),"")</f>
        <v/>
      </c>
      <c r="E8720" s="2"/>
      <c r="F8720" s="2" t="str">
        <f>IFERROR(__xludf.DUMMYFUNCTION("IF(E8720&lt;&gt;"""", GOOGLETRANSLATE(E8720, ""en"", ""te""),"""")"),"")</f>
        <v/>
      </c>
      <c r="G8720" s="2"/>
      <c r="H8720" s="2" t="str">
        <f>IFERROR(__xludf.DUMMYFUNCTION("IF(G8720&lt;&gt;"""", GOOGLETRANSLATE(G8720, ""en"", ""te""),"""")"),"")</f>
        <v/>
      </c>
      <c r="I8720" s="3"/>
    </row>
    <row r="8721" customHeight="1" spans="1:9">
      <c r="A8721" s="2" t="s">
        <v>4897</v>
      </c>
      <c r="B8721" s="2" t="str">
        <f>IFERROR(__xludf.DUMMYFUNCTION("IF(A8721&lt;&gt;"""", GOOGLETRANSLATE(A8721, ""en"", ""te""),"""")"),"[ 'తొలి 4 వ ఓల్డెస్ట్ క్రీడాకారులు (43y 236d)']")</f>
        <v>[ 'తొలి 4 వ ఓల్డెస్ట్ క్రీడాకారులు (43y 236d)']</v>
      </c>
      <c r="C8721" s="2"/>
      <c r="D8721" s="2" t="str">
        <f>IFERROR(__xludf.DUMMYFUNCTION("IF(C8721&lt;&gt;"""", GOOGLETRANSLATE(C8721, ""en"", ""te""),"""")"),"")</f>
        <v/>
      </c>
      <c r="E8721" s="2" t="s">
        <v>4898</v>
      </c>
      <c r="F8721" s="2" t="str">
        <f>IFERROR(__xludf.DUMMYFUNCTION("IF(E8721&lt;&gt;"""", GOOGLETRANSLATE(E8721, ""en"", ""te""),"""")"),"[ 'తొలి 4 వ ఓల్డెస్ట్ క్రీడాకారులు (43y 236d)', '6 వ ఓల్డెస్ట్ క్రీడాకారులు (43y 236d)']")</f>
        <v>[ 'తొలి 4 వ ఓల్డెస్ట్ క్రీడాకారులు (43y 236d)', '6 వ ఓల్డెస్ట్ క్రీడాకారులు (43y 236d)']</v>
      </c>
      <c r="G8721" s="2"/>
      <c r="H8721" s="2" t="str">
        <f>IFERROR(__xludf.DUMMYFUNCTION("IF(G8721&lt;&gt;"""", GOOGLETRANSLATE(G8721, ""en"", ""te""),"""")"),"")</f>
        <v/>
      </c>
      <c r="I8721" s="3"/>
    </row>
    <row r="8722" customHeight="1" spans="1:9">
      <c r="A8722" s="2"/>
      <c r="B8722" s="2" t="str">
        <f>IFERROR(__xludf.DUMMYFUNCTION("IF(A8722&lt;&gt;"""", GOOGLETRANSLATE(A8722, ""en"", ""te""),"""")"),"")</f>
        <v/>
      </c>
      <c r="C8722" s="2"/>
      <c r="D8722" s="2" t="str">
        <f>IFERROR(__xludf.DUMMYFUNCTION("IF(C8722&lt;&gt;"""", GOOGLETRANSLATE(C8722, ""en"", ""te""),"""")"),"")</f>
        <v/>
      </c>
      <c r="E8722" s="2"/>
      <c r="F8722" s="2" t="str">
        <f>IFERROR(__xludf.DUMMYFUNCTION("IF(E8722&lt;&gt;"""", GOOGLETRANSLATE(E8722, ""en"", ""te""),"""")"),"")</f>
        <v/>
      </c>
      <c r="G8722" s="2"/>
      <c r="H8722" s="2" t="str">
        <f>IFERROR(__xludf.DUMMYFUNCTION("IF(G8722&lt;&gt;"""", GOOGLETRANSLATE(G8722, ""en"", ""te""),"""")"),"")</f>
        <v/>
      </c>
      <c r="I8722" s="3"/>
    </row>
    <row r="8723" customHeight="1" spans="1:9">
      <c r="A8723" s="2"/>
      <c r="B8723" s="2" t="str">
        <f>IFERROR(__xludf.DUMMYFUNCTION("IF(A8723&lt;&gt;"""", GOOGLETRANSLATE(A8723, ""en"", ""te""),"""")"),"")</f>
        <v/>
      </c>
      <c r="C8723" s="2"/>
      <c r="D8723" s="2" t="str">
        <f>IFERROR(__xludf.DUMMYFUNCTION("IF(C8723&lt;&gt;"""", GOOGLETRANSLATE(C8723, ""en"", ""te""),"""")"),"")</f>
        <v/>
      </c>
      <c r="E8723" s="2"/>
      <c r="F8723" s="2" t="str">
        <f>IFERROR(__xludf.DUMMYFUNCTION("IF(E8723&lt;&gt;"""", GOOGLETRANSLATE(E8723, ""en"", ""te""),"""")"),"")</f>
        <v/>
      </c>
      <c r="G8723" s="2"/>
      <c r="H8723" s="2" t="str">
        <f>IFERROR(__xludf.DUMMYFUNCTION("IF(G8723&lt;&gt;"""", GOOGLETRANSLATE(G8723, ""en"", ""te""),"""")"),"")</f>
        <v/>
      </c>
      <c r="I8723" s="3"/>
    </row>
    <row r="8724" customHeight="1" spans="1:9">
      <c r="A8724" s="2" t="s">
        <v>435</v>
      </c>
      <c r="B8724" s="2" t="str">
        <f>IFERROR(__xludf.DUMMYFUNCTION("IF(A8724&lt;&gt;"""", GOOGLETRANSLATE(A8724, ""en"", ""te""),"""")"),"[ '1st వరుస బాతులు (3)']")</f>
        <v>[ '1st వరుస బాతులు (3)']</v>
      </c>
      <c r="C8724" s="2"/>
      <c r="D8724" s="2" t="str">
        <f>IFERROR(__xludf.DUMMYFUNCTION("IF(C8724&lt;&gt;"""", GOOGLETRANSLATE(C8724, ""en"", ""te""),"""")"),"")</f>
        <v/>
      </c>
      <c r="E8724" s="2"/>
      <c r="F8724" s="2" t="str">
        <f>IFERROR(__xludf.DUMMYFUNCTION("IF(E8724&lt;&gt;"""", GOOGLETRANSLATE(E8724, ""en"", ""te""),"""")"),"")</f>
        <v/>
      </c>
      <c r="G8724" s="2" t="s">
        <v>4899</v>
      </c>
      <c r="H8724" s="2" t="str">
        <f>IFERROR(__xludf.DUMMYFUNCTION("IF(G8724&lt;&gt;"""", GOOGLETRANSLATE(G8724, ""en"", ""te""),"""")"),"[ 'ఇన్నింగ్స్ లో 22 వ అత్యధిక పరుగులు (బ్యాటింగ్ స్థానంలో ప్రకారం) (16)', '1 వ వరుస బాతులు (3)', 'ఇన్నింగ్స్ లో 22 వ ఉత్తమ ఆర్థిక రేటు (0.50)' పదవ వికెట్కు, '25 వ అత్యధిక భాగస్వామ్యం ( 12) ']")</f>
        <v>[ 'ఇన్నింగ్స్ లో 22 వ అత్యధిక పరుగులు (బ్యాటింగ్ స్థానంలో ప్రకారం) (16)', '1 వ వరుస బాతులు (3)', 'ఇన్నింగ్స్ లో 22 వ ఉత్తమ ఆర్థిక రేటు (0.50)' పదవ వికెట్కు, '25 వ అత్యధిక భాగస్వామ్యం ( 12) ']</v>
      </c>
      <c r="I8724" s="3"/>
    </row>
    <row r="8725" customHeight="1" spans="1:9">
      <c r="A8725" s="2"/>
      <c r="B8725" s="2" t="str">
        <f>IFERROR(__xludf.DUMMYFUNCTION("IF(A8725&lt;&gt;"""", GOOGLETRANSLATE(A8725, ""en"", ""te""),"""")"),"")</f>
        <v/>
      </c>
      <c r="C8725" s="2"/>
      <c r="D8725" s="2" t="str">
        <f>IFERROR(__xludf.DUMMYFUNCTION("IF(C8725&lt;&gt;"""", GOOGLETRANSLATE(C8725, ""en"", ""te""),"""")"),"")</f>
        <v/>
      </c>
      <c r="E8725" s="2"/>
      <c r="F8725" s="2" t="str">
        <f>IFERROR(__xludf.DUMMYFUNCTION("IF(E8725&lt;&gt;"""", GOOGLETRANSLATE(E8725, ""en"", ""te""),"""")"),"")</f>
        <v/>
      </c>
      <c r="G8725" s="2"/>
      <c r="H8725" s="2" t="str">
        <f>IFERROR(__xludf.DUMMYFUNCTION("IF(G8725&lt;&gt;"""", GOOGLETRANSLATE(G8725, ""en"", ""te""),"""")"),"")</f>
        <v/>
      </c>
      <c r="I8725" s="3"/>
    </row>
    <row r="8726" customHeight="1" spans="1:9">
      <c r="A8726" s="2"/>
      <c r="B8726" s="2" t="str">
        <f>IFERROR(__xludf.DUMMYFUNCTION("IF(A8726&lt;&gt;"""", GOOGLETRANSLATE(A8726, ""en"", ""te""),"""")"),"")</f>
        <v/>
      </c>
      <c r="C8726" s="2"/>
      <c r="D8726" s="2" t="str">
        <f>IFERROR(__xludf.DUMMYFUNCTION("IF(C8726&lt;&gt;"""", GOOGLETRANSLATE(C8726, ""en"", ""te""),"""")"),"")</f>
        <v/>
      </c>
      <c r="E8726" s="2"/>
      <c r="F8726" s="2" t="str">
        <f>IFERROR(__xludf.DUMMYFUNCTION("IF(E8726&lt;&gt;"""", GOOGLETRANSLATE(E8726, ""en"", ""te""),"""")"),"")</f>
        <v/>
      </c>
      <c r="G8726" s="2"/>
      <c r="H8726" s="2" t="str">
        <f>IFERROR(__xludf.DUMMYFUNCTION("IF(G8726&lt;&gt;"""", GOOGLETRANSLATE(G8726, ""en"", ""te""),"""")"),"")</f>
        <v/>
      </c>
      <c r="I8726" s="3"/>
    </row>
    <row r="8727" customHeight="1" spans="1:9">
      <c r="A8727" s="2"/>
      <c r="B8727" s="2" t="str">
        <f>IFERROR(__xludf.DUMMYFUNCTION("IF(A8727&lt;&gt;"""", GOOGLETRANSLATE(A8727, ""en"", ""te""),"""")"),"")</f>
        <v/>
      </c>
      <c r="C8727" s="2"/>
      <c r="D8727" s="2" t="str">
        <f>IFERROR(__xludf.DUMMYFUNCTION("IF(C8727&lt;&gt;"""", GOOGLETRANSLATE(C8727, ""en"", ""te""),"""")"),"")</f>
        <v/>
      </c>
      <c r="E8727" s="2"/>
      <c r="F8727" s="2" t="str">
        <f>IFERROR(__xludf.DUMMYFUNCTION("IF(E8727&lt;&gt;"""", GOOGLETRANSLATE(E8727, ""en"", ""te""),"""")"),"")</f>
        <v/>
      </c>
      <c r="G8727" s="2"/>
      <c r="H8727" s="2" t="str">
        <f>IFERROR(__xludf.DUMMYFUNCTION("IF(G8727&lt;&gt;"""", GOOGLETRANSLATE(G8727, ""en"", ""te""),"""")"),"")</f>
        <v/>
      </c>
      <c r="I8727" s="3"/>
    </row>
    <row r="8728" customHeight="1" spans="1:9">
      <c r="A8728" s="2"/>
      <c r="B8728" s="2" t="str">
        <f>IFERROR(__xludf.DUMMYFUNCTION("IF(A8728&lt;&gt;"""", GOOGLETRANSLATE(A8728, ""en"", ""te""),"""")"),"")</f>
        <v/>
      </c>
      <c r="C8728" s="2"/>
      <c r="D8728" s="2" t="str">
        <f>IFERROR(__xludf.DUMMYFUNCTION("IF(C8728&lt;&gt;"""", GOOGLETRANSLATE(C8728, ""en"", ""te""),"""")"),"")</f>
        <v/>
      </c>
      <c r="E8728" s="2"/>
      <c r="F8728" s="2" t="str">
        <f>IFERROR(__xludf.DUMMYFUNCTION("IF(E8728&lt;&gt;"""", GOOGLETRANSLATE(E8728, ""en"", ""te""),"""")"),"")</f>
        <v/>
      </c>
      <c r="G8728" s="2"/>
      <c r="H8728" s="2" t="str">
        <f>IFERROR(__xludf.DUMMYFUNCTION("IF(G8728&lt;&gt;"""", GOOGLETRANSLATE(G8728, ""en"", ""te""),"""")"),"")</f>
        <v/>
      </c>
      <c r="I8728" s="3"/>
    </row>
    <row r="8729" customHeight="1" spans="1:9">
      <c r="A8729" s="2"/>
      <c r="B8729" s="2" t="str">
        <f>IFERROR(__xludf.DUMMYFUNCTION("IF(A8729&lt;&gt;"""", GOOGLETRANSLATE(A8729, ""en"", ""te""),"""")"),"")</f>
        <v/>
      </c>
      <c r="C8729" s="2"/>
      <c r="D8729" s="2" t="str">
        <f>IFERROR(__xludf.DUMMYFUNCTION("IF(C8729&lt;&gt;"""", GOOGLETRANSLATE(C8729, ""en"", ""te""),"""")"),"")</f>
        <v/>
      </c>
      <c r="E8729" s="2"/>
      <c r="F8729" s="2" t="str">
        <f>IFERROR(__xludf.DUMMYFUNCTION("IF(E8729&lt;&gt;"""", GOOGLETRANSLATE(E8729, ""en"", ""te""),"""")"),"")</f>
        <v/>
      </c>
      <c r="G8729" s="2"/>
      <c r="H8729" s="2" t="str">
        <f>IFERROR(__xludf.DUMMYFUNCTION("IF(G8729&lt;&gt;"""", GOOGLETRANSLATE(G8729, ""en"", ""te""),"""")"),"")</f>
        <v/>
      </c>
      <c r="I8729" s="3"/>
    </row>
    <row r="8730" customHeight="1" spans="1:9">
      <c r="A8730" s="2"/>
      <c r="B8730" s="2" t="str">
        <f>IFERROR(__xludf.DUMMYFUNCTION("IF(A8730&lt;&gt;"""", GOOGLETRANSLATE(A8730, ""en"", ""te""),"""")"),"")</f>
        <v/>
      </c>
      <c r="C8730" s="2"/>
      <c r="D8730" s="2" t="str">
        <f>IFERROR(__xludf.DUMMYFUNCTION("IF(C8730&lt;&gt;"""", GOOGLETRANSLATE(C8730, ""en"", ""te""),"""")"),"")</f>
        <v/>
      </c>
      <c r="E8730" s="2"/>
      <c r="F8730" s="2" t="str">
        <f>IFERROR(__xludf.DUMMYFUNCTION("IF(E8730&lt;&gt;"""", GOOGLETRANSLATE(E8730, ""en"", ""te""),"""")"),"")</f>
        <v/>
      </c>
      <c r="G8730" s="2"/>
      <c r="H8730" s="2" t="str">
        <f>IFERROR(__xludf.DUMMYFUNCTION("IF(G8730&lt;&gt;"""", GOOGLETRANSLATE(G8730, ""en"", ""te""),"""")"),"")</f>
        <v/>
      </c>
      <c r="I8730" s="3"/>
    </row>
    <row r="8731" customHeight="1" spans="1:9">
      <c r="A8731" s="2"/>
      <c r="B8731" s="2" t="str">
        <f>IFERROR(__xludf.DUMMYFUNCTION("IF(A8731&lt;&gt;"""", GOOGLETRANSLATE(A8731, ""en"", ""te""),"""")"),"")</f>
        <v/>
      </c>
      <c r="C8731" s="2"/>
      <c r="D8731" s="2" t="str">
        <f>IFERROR(__xludf.DUMMYFUNCTION("IF(C8731&lt;&gt;"""", GOOGLETRANSLATE(C8731, ""en"", ""te""),"""")"),"")</f>
        <v/>
      </c>
      <c r="E8731" s="2"/>
      <c r="F8731" s="2" t="str">
        <f>IFERROR(__xludf.DUMMYFUNCTION("IF(E8731&lt;&gt;"""", GOOGLETRANSLATE(E8731, ""en"", ""te""),"""")"),"")</f>
        <v/>
      </c>
      <c r="G8731" s="2"/>
      <c r="H8731" s="2" t="str">
        <f>IFERROR(__xludf.DUMMYFUNCTION("IF(G8731&lt;&gt;"""", GOOGLETRANSLATE(G8731, ""en"", ""te""),"""")"),"")</f>
        <v/>
      </c>
      <c r="I8731" s="3"/>
    </row>
    <row r="8732" customHeight="1" spans="1:9">
      <c r="A8732" s="2"/>
      <c r="B8732" s="2" t="str">
        <f>IFERROR(__xludf.DUMMYFUNCTION("IF(A8732&lt;&gt;"""", GOOGLETRANSLATE(A8732, ""en"", ""te""),"""")"),"")</f>
        <v/>
      </c>
      <c r="C8732" s="2"/>
      <c r="D8732" s="2" t="str">
        <f>IFERROR(__xludf.DUMMYFUNCTION("IF(C8732&lt;&gt;"""", GOOGLETRANSLATE(C8732, ""en"", ""te""),"""")"),"")</f>
        <v/>
      </c>
      <c r="E8732" s="2"/>
      <c r="F8732" s="2" t="str">
        <f>IFERROR(__xludf.DUMMYFUNCTION("IF(E8732&lt;&gt;"""", GOOGLETRANSLATE(E8732, ""en"", ""te""),"""")"),"")</f>
        <v/>
      </c>
      <c r="G8732" s="2"/>
      <c r="H8732" s="2" t="str">
        <f>IFERROR(__xludf.DUMMYFUNCTION("IF(G8732&lt;&gt;"""", GOOGLETRANSLATE(G8732, ""en"", ""te""),"""")"),"")</f>
        <v/>
      </c>
      <c r="I8732" s="3"/>
    </row>
    <row r="8733" customHeight="1" spans="1:9">
      <c r="A8733" s="2" t="s">
        <v>4900</v>
      </c>
      <c r="B8733" s="2" t="str">
        <f>IFERROR(__xludf.DUMMYFUNCTION("IF(A8733&lt;&gt;"""", GOOGLETRANSLATE(A8733, ""en"", ""te""),"""")"),"[ '6 వ అత్యంత ఇన్నింగ్స్ లో నడుస్తుంది (బ్యాటింగ్ స్థానం) (59)']")</f>
        <v>[ '6 వ అత్యంత ఇన్నింగ్స్ లో నడుస్తుంది (బ్యాటింగ్ స్థానం) (59)']</v>
      </c>
      <c r="C8733" s="2"/>
      <c r="D8733" s="2" t="str">
        <f>IFERROR(__xludf.DUMMYFUNCTION("IF(C8733&lt;&gt;"""", GOOGLETRANSLATE(C8733, ""en"", ""te""),"""")"),"")</f>
        <v/>
      </c>
      <c r="E8733" s="2"/>
      <c r="F8733" s="2" t="str">
        <f>IFERROR(__xludf.DUMMYFUNCTION("IF(E8733&lt;&gt;"""", GOOGLETRANSLATE(E8733, ""en"", ""te""),"""")"),"")</f>
        <v/>
      </c>
      <c r="G8733" s="2" t="s">
        <v>4901</v>
      </c>
      <c r="H8733" s="2" t="str">
        <f>IFERROR(__xludf.DUMMYFUNCTION("IF(G8733&lt;&gt;"""", GOOGLETRANSLATE(G8733, ""en"", ""te""),"""")"),"[ 'ఒకే మైదానంలో 43 వ అత్యధిక వికెట్లు (11)', '15 వ అత్యధిక క్యాచ్లు ఒక ఇన్నింగ్స్ లో (3)' '6 వ అత్యంత ఇన్నింగ్స్ (59) పరుగులు (బ్యాటింగ్ స్థానంలో ద్వారా)']")</f>
        <v>[ 'ఒకే మైదానంలో 43 వ అత్యధిక వికెట్లు (11)', '15 వ అత్యధిక క్యాచ్లు ఒక ఇన్నింగ్స్ లో (3)' '6 వ అత్యంత ఇన్నింగ్స్ (59) పరుగులు (బ్యాటింగ్ స్థానంలో ద్వారా)']</v>
      </c>
      <c r="I8733" s="3"/>
    </row>
    <row r="8734" customHeight="1" spans="1:9">
      <c r="A8734" s="2"/>
      <c r="B8734" s="2" t="str">
        <f>IFERROR(__xludf.DUMMYFUNCTION("IF(A8734&lt;&gt;"""", GOOGLETRANSLATE(A8734, ""en"", ""te""),"""")"),"")</f>
        <v/>
      </c>
      <c r="C8734" s="2"/>
      <c r="D8734" s="2" t="str">
        <f>IFERROR(__xludf.DUMMYFUNCTION("IF(C8734&lt;&gt;"""", GOOGLETRANSLATE(C8734, ""en"", ""te""),"""")"),"")</f>
        <v/>
      </c>
      <c r="E8734" s="2"/>
      <c r="F8734" s="2" t="str">
        <f>IFERROR(__xludf.DUMMYFUNCTION("IF(E8734&lt;&gt;"""", GOOGLETRANSLATE(E8734, ""en"", ""te""),"""")"),"")</f>
        <v/>
      </c>
      <c r="G8734" s="2"/>
      <c r="H8734" s="2" t="str">
        <f>IFERROR(__xludf.DUMMYFUNCTION("IF(G8734&lt;&gt;"""", GOOGLETRANSLATE(G8734, ""en"", ""te""),"""")"),"")</f>
        <v/>
      </c>
      <c r="I8734" s="3"/>
    </row>
    <row r="8735" customHeight="1" spans="1:9">
      <c r="A8735" s="2"/>
      <c r="B8735" s="2" t="str">
        <f>IFERROR(__xludf.DUMMYFUNCTION("IF(A8735&lt;&gt;"""", GOOGLETRANSLATE(A8735, ""en"", ""te""),"""")"),"")</f>
        <v/>
      </c>
      <c r="C8735" s="2"/>
      <c r="D8735" s="2" t="str">
        <f>IFERROR(__xludf.DUMMYFUNCTION("IF(C8735&lt;&gt;"""", GOOGLETRANSLATE(C8735, ""en"", ""te""),"""")"),"")</f>
        <v/>
      </c>
      <c r="E8735" s="2"/>
      <c r="F8735" s="2" t="str">
        <f>IFERROR(__xludf.DUMMYFUNCTION("IF(E8735&lt;&gt;"""", GOOGLETRANSLATE(E8735, ""en"", ""te""),"""")"),"")</f>
        <v/>
      </c>
      <c r="G8735" s="2"/>
      <c r="H8735" s="2" t="str">
        <f>IFERROR(__xludf.DUMMYFUNCTION("IF(G8735&lt;&gt;"""", GOOGLETRANSLATE(G8735, ""en"", ""te""),"""")"),"")</f>
        <v/>
      </c>
      <c r="I8735" s="3"/>
    </row>
    <row r="8736" customHeight="1" spans="1:9">
      <c r="A8736" s="2"/>
      <c r="B8736" s="2" t="str">
        <f>IFERROR(__xludf.DUMMYFUNCTION("IF(A8736&lt;&gt;"""", GOOGLETRANSLATE(A8736, ""en"", ""te""),"""")"),"")</f>
        <v/>
      </c>
      <c r="C8736" s="2"/>
      <c r="D8736" s="2" t="str">
        <f>IFERROR(__xludf.DUMMYFUNCTION("IF(C8736&lt;&gt;"""", GOOGLETRANSLATE(C8736, ""en"", ""te""),"""")"),"")</f>
        <v/>
      </c>
      <c r="E8736" s="2"/>
      <c r="F8736" s="2" t="str">
        <f>IFERROR(__xludf.DUMMYFUNCTION("IF(E8736&lt;&gt;"""", GOOGLETRANSLATE(E8736, ""en"", ""te""),"""")"),"")</f>
        <v/>
      </c>
      <c r="G8736" s="2"/>
      <c r="H8736" s="2" t="str">
        <f>IFERROR(__xludf.DUMMYFUNCTION("IF(G8736&lt;&gt;"""", GOOGLETRANSLATE(G8736, ""en"", ""te""),"""")"),"")</f>
        <v/>
      </c>
      <c r="I8736" s="3"/>
    </row>
    <row r="8737" customHeight="1" spans="1:9">
      <c r="A8737" s="2"/>
      <c r="B8737" s="2" t="str">
        <f>IFERROR(__xludf.DUMMYFUNCTION("IF(A8737&lt;&gt;"""", GOOGLETRANSLATE(A8737, ""en"", ""te""),"""")"),"")</f>
        <v/>
      </c>
      <c r="C8737" s="2"/>
      <c r="D8737" s="2" t="str">
        <f>IFERROR(__xludf.DUMMYFUNCTION("IF(C8737&lt;&gt;"""", GOOGLETRANSLATE(C8737, ""en"", ""te""),"""")"),"")</f>
        <v/>
      </c>
      <c r="E8737" s="2"/>
      <c r="F8737" s="2" t="str">
        <f>IFERROR(__xludf.DUMMYFUNCTION("IF(E8737&lt;&gt;"""", GOOGLETRANSLATE(E8737, ""en"", ""te""),"""")"),"")</f>
        <v/>
      </c>
      <c r="G8737" s="2" t="s">
        <v>4902</v>
      </c>
      <c r="H8737" s="2" t="str">
        <f>IFERROR(__xludf.DUMMYFUNCTION("IF(G8737&lt;&gt;"""", GOOGLETRANSLATE(G8737, ""en"", ""te""),"""")"),"[ '36 వ అత్యధిక వికెట్లు తీసుకున్న ఎల్బిడబ్ల్యు (6)']")</f>
        <v>[ '36 వ అత్యధిక వికెట్లు తీసుకున్న ఎల్బిడబ్ల్యు (6)']</v>
      </c>
      <c r="I8737" s="3"/>
    </row>
    <row r="8738" customHeight="1" spans="1:9">
      <c r="A8738" s="2"/>
      <c r="B8738" s="2" t="str">
        <f>IFERROR(__xludf.DUMMYFUNCTION("IF(A8738&lt;&gt;"""", GOOGLETRANSLATE(A8738, ""en"", ""te""),"""")"),"")</f>
        <v/>
      </c>
      <c r="C8738" s="2"/>
      <c r="D8738" s="2" t="str">
        <f>IFERROR(__xludf.DUMMYFUNCTION("IF(C8738&lt;&gt;"""", GOOGLETRANSLATE(C8738, ""en"", ""te""),"""")"),"")</f>
        <v/>
      </c>
      <c r="E8738" s="2"/>
      <c r="F8738" s="2" t="str">
        <f>IFERROR(__xludf.DUMMYFUNCTION("IF(E8738&lt;&gt;"""", GOOGLETRANSLATE(E8738, ""en"", ""te""),"""")"),"")</f>
        <v/>
      </c>
      <c r="G8738" s="2" t="s">
        <v>4903</v>
      </c>
      <c r="H8738" s="2" t="str">
        <f>IFERROR(__xludf.DUMMYFUNCTION("IF(G8738&lt;&gt;"""", GOOGLETRANSLATE(G8738, ""en"", ""te""),"""")"),"[ '20 వ అత్యుత్తమ ఇన్నింగ్స్ (2/4) విశ్లేషణలలో బౌలింగ్']")</f>
        <v>[ '20 వ అత్యుత్తమ ఇన్నింగ్స్ (2/4) విశ్లేషణలలో బౌలింగ్']</v>
      </c>
      <c r="I8738" s="3"/>
    </row>
    <row r="8739" customHeight="1" spans="1:9">
      <c r="A8739" s="2" t="s">
        <v>175</v>
      </c>
      <c r="B8739" s="2" t="str">
        <f>IFERROR(__xludf.DUMMYFUNCTION("IF(A8739&lt;&gt;"""", GOOGLETRANSLATE(A8739, ""en"", ""te""),"""")"),"[ 'ఒక సిరీస్లో 6 వ అత్యంత బాతులు (3)']")</f>
        <v>[ 'ఒక సిరీస్లో 6 వ అత్యంత బాతులు (3)']</v>
      </c>
      <c r="C8739" s="2"/>
      <c r="D8739" s="2" t="str">
        <f>IFERROR(__xludf.DUMMYFUNCTION("IF(C8739&lt;&gt;"""", GOOGLETRANSLATE(C8739, ""en"", ""te""),"""")"),"")</f>
        <v/>
      </c>
      <c r="E8739" s="2" t="s">
        <v>175</v>
      </c>
      <c r="F8739" s="2" t="str">
        <f>IFERROR(__xludf.DUMMYFUNCTION("IF(E8739&lt;&gt;"""", GOOGLETRANSLATE(E8739, ""en"", ""te""),"""")"),"[ 'ఒక సిరీస్లో 6 వ అత్యంత బాతులు (3)']")</f>
        <v>[ 'ఒక సిరీస్లో 6 వ అత్యంత బాతులు (3)']</v>
      </c>
      <c r="G8739" s="2"/>
      <c r="H8739" s="2" t="str">
        <f>IFERROR(__xludf.DUMMYFUNCTION("IF(G8739&lt;&gt;"""", GOOGLETRANSLATE(G8739, ""en"", ""te""),"""")"),"")</f>
        <v/>
      </c>
      <c r="I8739" s="3"/>
    </row>
    <row r="8740" customHeight="1" spans="1:9">
      <c r="A8740" s="2"/>
      <c r="B8740" s="2" t="str">
        <f>IFERROR(__xludf.DUMMYFUNCTION("IF(A8740&lt;&gt;"""", GOOGLETRANSLATE(A8740, ""en"", ""te""),"""")"),"")</f>
        <v/>
      </c>
      <c r="C8740" s="2"/>
      <c r="D8740" s="2" t="str">
        <f>IFERROR(__xludf.DUMMYFUNCTION("IF(C8740&lt;&gt;"""", GOOGLETRANSLATE(C8740, ""en"", ""te""),"""")"),"")</f>
        <v/>
      </c>
      <c r="E8740" s="2"/>
      <c r="F8740" s="2" t="str">
        <f>IFERROR(__xludf.DUMMYFUNCTION("IF(E8740&lt;&gt;"""", GOOGLETRANSLATE(E8740, ""en"", ""te""),"""")"),"")</f>
        <v/>
      </c>
      <c r="G8740" s="2" t="s">
        <v>4904</v>
      </c>
      <c r="H8740" s="2" t="str">
        <f>IFERROR(__xludf.DUMMYFUNCTION("IF(G8740&lt;&gt;"""", GOOGLETRANSLATE(G8740, ""en"", ""te""),"""")"),"[ '23 ఒక క్యాలెండర్ సంవత్సరంలో అత్యధిక వికెట్లు (22)', '17 వ బౌలర్ / బ్యాట్స్ కలయికలు (3)', '17 వ అత్యధిక వికెట్లు తీసుకున్న స్టంప్ (5)']")</f>
        <v>[ '23 ఒక క్యాలెండర్ సంవత్సరంలో అత్యధిక వికెట్లు (22)', '17 వ బౌలర్ / బ్యాట్స్ కలయికలు (3)', '17 వ అత్యధిక వికెట్లు తీసుకున్న స్టంప్ (5)']</v>
      </c>
      <c r="I8740" s="3"/>
    </row>
    <row r="8741" customHeight="1" spans="1:9">
      <c r="A8741" s="2"/>
      <c r="B8741" s="2" t="str">
        <f>IFERROR(__xludf.DUMMYFUNCTION("IF(A8741&lt;&gt;"""", GOOGLETRANSLATE(A8741, ""en"", ""te""),"""")"),"")</f>
        <v/>
      </c>
      <c r="C8741" s="2"/>
      <c r="D8741" s="2" t="str">
        <f>IFERROR(__xludf.DUMMYFUNCTION("IF(C8741&lt;&gt;"""", GOOGLETRANSLATE(C8741, ""en"", ""te""),"""")"),"")</f>
        <v/>
      </c>
      <c r="E8741" s="2"/>
      <c r="F8741" s="2" t="str">
        <f>IFERROR(__xludf.DUMMYFUNCTION("IF(E8741&lt;&gt;"""", GOOGLETRANSLATE(E8741, ""en"", ""te""),"""")"),"")</f>
        <v/>
      </c>
      <c r="G8741" s="2" t="s">
        <v>4905</v>
      </c>
      <c r="H8741" s="2" t="str">
        <f>IFERROR(__xludf.DUMMYFUNCTION("IF(G8741&lt;&gt;"""", GOOGLETRANSLATE(G8741, ""en"", ""te""),"""")"),"[18 వ అత్యుత్తమ ఇన్నింగ్స్ లో విశ్లేషణలు బౌలింగ్ (4/7) ',' పదవ వికెట్ను (10) కోసం 39 వ అత్యధిక భాగస్వామ్యం ']")</f>
        <v>[18 వ అత్యుత్తమ ఇన్నింగ్స్ లో విశ్లేషణలు బౌలింగ్ (4/7) ',' పదవ వికెట్ను (10) కోసం 39 వ అత్యధిక భాగస్వామ్యం ']</v>
      </c>
      <c r="I8741" s="3"/>
    </row>
    <row r="8742" customHeight="1" spans="1:9">
      <c r="A8742" s="2"/>
      <c r="B8742" s="2" t="str">
        <f>IFERROR(__xludf.DUMMYFUNCTION("IF(A8742&lt;&gt;"""", GOOGLETRANSLATE(A8742, ""en"", ""te""),"""")"),"")</f>
        <v/>
      </c>
      <c r="C8742" s="2"/>
      <c r="D8742" s="2" t="str">
        <f>IFERROR(__xludf.DUMMYFUNCTION("IF(C8742&lt;&gt;"""", GOOGLETRANSLATE(C8742, ""en"", ""te""),"""")"),"")</f>
        <v/>
      </c>
      <c r="E8742" s="2"/>
      <c r="F8742" s="2" t="str">
        <f>IFERROR(__xludf.DUMMYFUNCTION("IF(E8742&lt;&gt;"""", GOOGLETRANSLATE(E8742, ""en"", ""te""),"""")"),"")</f>
        <v/>
      </c>
      <c r="G8742" s="2"/>
      <c r="H8742" s="2" t="str">
        <f>IFERROR(__xludf.DUMMYFUNCTION("IF(G8742&lt;&gt;"""", GOOGLETRANSLATE(G8742, ""en"", ""te""),"""")"),"")</f>
        <v/>
      </c>
      <c r="I8742" s="3"/>
    </row>
    <row r="8743" customHeight="1" spans="1:9">
      <c r="A8743" s="2"/>
      <c r="B8743" s="2" t="str">
        <f>IFERROR(__xludf.DUMMYFUNCTION("IF(A8743&lt;&gt;"""", GOOGLETRANSLATE(A8743, ""en"", ""te""),"""")"),"")</f>
        <v/>
      </c>
      <c r="C8743" s="2"/>
      <c r="D8743" s="2" t="str">
        <f>IFERROR(__xludf.DUMMYFUNCTION("IF(C8743&lt;&gt;"""", GOOGLETRANSLATE(C8743, ""en"", ""te""),"""")"),"")</f>
        <v/>
      </c>
      <c r="E8743" s="2" t="s">
        <v>4906</v>
      </c>
      <c r="F8743" s="2" t="str">
        <f>IFERROR(__xludf.DUMMYFUNCTION("IF(E8743&lt;&gt;"""", GOOGLETRANSLATE(E8743, ""en"", ""te""),"""")"),"[ '14 వ ఒక ఇన్నింగ్స్ లోని బెస్ట్ ఫిగర్స్ పరాజయం వైపు (5) ఉన్నప్పుడు', (ఒక ఇన్నింగ్స్ లో, '42 వ అత్యధిక పరుగులు సాధించిన 47 వ అత్యంత వృద్ధ ఆటగాడు ఒక ఐదు మైడెన్-వికెట్ల లో-ఒక-ఇన్నింగ్స్ (30y 152d) తీసుకోవాలని' 92) ']")</f>
        <v>[ '14 వ ఒక ఇన్నింగ్స్ లోని బెస్ట్ ఫిగర్స్ పరాజయం వైపు (5) ఉన్నప్పుడు', (ఒక ఇన్నింగ్స్ లో, '42 వ అత్యధిక పరుగులు సాధించిన 47 వ అత్యంత వృద్ధ ఆటగాడు ఒక ఐదు మైడెన్-వికెట్ల లో-ఒక-ఇన్నింగ్స్ (30y 152d) తీసుకోవాలని' 92) ']</v>
      </c>
      <c r="G8743" s="2"/>
      <c r="H8743" s="2" t="str">
        <f>IFERROR(__xludf.DUMMYFUNCTION("IF(G8743&lt;&gt;"""", GOOGLETRANSLATE(G8743, ""en"", ""te""),"""")"),"")</f>
        <v/>
      </c>
      <c r="I8743" s="3"/>
    </row>
    <row r="8744" customHeight="1" spans="1:9">
      <c r="A8744" s="2"/>
      <c r="B8744" s="2" t="str">
        <f>IFERROR(__xludf.DUMMYFUNCTION("IF(A8744&lt;&gt;"""", GOOGLETRANSLATE(A8744, ""en"", ""te""),"""")"),"")</f>
        <v/>
      </c>
      <c r="C8744" s="2"/>
      <c r="D8744" s="2" t="str">
        <f>IFERROR(__xludf.DUMMYFUNCTION("IF(C8744&lt;&gt;"""", GOOGLETRANSLATE(C8744, ""en"", ""te""),"""")"),"")</f>
        <v/>
      </c>
      <c r="E8744" s="2"/>
      <c r="F8744" s="2" t="str">
        <f>IFERROR(__xludf.DUMMYFUNCTION("IF(E8744&lt;&gt;"""", GOOGLETRANSLATE(E8744, ""en"", ""te""),"""")"),"")</f>
        <v/>
      </c>
      <c r="G8744" s="2"/>
      <c r="H8744" s="2" t="str">
        <f>IFERROR(__xludf.DUMMYFUNCTION("IF(G8744&lt;&gt;"""", GOOGLETRANSLATE(G8744, ""en"", ""te""),"""")"),"")</f>
        <v/>
      </c>
      <c r="I8744" s="3"/>
    </row>
    <row r="8745" customHeight="1" spans="1:9">
      <c r="A8745" s="2"/>
      <c r="B8745" s="2" t="str">
        <f>IFERROR(__xludf.DUMMYFUNCTION("IF(A8745&lt;&gt;"""", GOOGLETRANSLATE(A8745, ""en"", ""te""),"""")"),"")</f>
        <v/>
      </c>
      <c r="C8745" s="2"/>
      <c r="D8745" s="2" t="str">
        <f>IFERROR(__xludf.DUMMYFUNCTION("IF(C8745&lt;&gt;"""", GOOGLETRANSLATE(C8745, ""en"", ""te""),"""")"),"")</f>
        <v/>
      </c>
      <c r="E8745" s="2"/>
      <c r="F8745" s="2" t="str">
        <f>IFERROR(__xludf.DUMMYFUNCTION("IF(E8745&lt;&gt;"""", GOOGLETRANSLATE(E8745, ""en"", ""te""),"""")"),"")</f>
        <v/>
      </c>
      <c r="G8745" s="2"/>
      <c r="H8745" s="2" t="str">
        <f>IFERROR(__xludf.DUMMYFUNCTION("IF(G8745&lt;&gt;"""", GOOGLETRANSLATE(G8745, ""en"", ""te""),"""")"),"")</f>
        <v/>
      </c>
      <c r="I8745" s="3"/>
    </row>
    <row r="8746" customHeight="1" spans="1:9">
      <c r="A8746" s="2" t="s">
        <v>4907</v>
      </c>
      <c r="B8746" s="2" t="str">
        <f>IFERROR(__xludf.DUMMYFUNCTION("IF(A8746&lt;&gt;"""", GOOGLETRANSLATE(A8746, ""en"", ""te""),"""")"),"[ '9 వ అత్యుత్తమ బౌలింగ్ ఇన్నింగ్స్ (5/9) విశ్లేషణలలో' '1 వ వరుస నాలుగు వికెట్లు-ఇన్-ఒక-ఇన్నింగ్స్ (2)']")</f>
        <v>[ '9 వ అత్యుత్తమ బౌలింగ్ ఇన్నింగ్స్ (5/9) విశ్లేషణలలో' '1 వ వరుస నాలుగు వికెట్లు-ఇన్-ఒక-ఇన్నింగ్స్ (2)']</v>
      </c>
      <c r="C8746" s="2"/>
      <c r="D8746" s="2" t="str">
        <f>IFERROR(__xludf.DUMMYFUNCTION("IF(C8746&lt;&gt;"""", GOOGLETRANSLATE(C8746, ""en"", ""te""),"""")"),"")</f>
        <v/>
      </c>
      <c r="E8746" s="2" t="s">
        <v>4908</v>
      </c>
      <c r="F8746" s="2" t="str">
        <f>IFERROR(__xludf.DUMMYFUNCTION("IF(E8746&lt;&gt;"""", GOOGLETRANSLATE(E8746, ""en"", ""te""),"""")"),"[ '13 వ ఉత్తమ కెరీర్ బౌలింగ్ సరాసరి (అర్హత లేకుండా) (7.00)']")</f>
        <v>[ '13 వ ఉత్తమ కెరీర్ బౌలింగ్ సరాసరి (అర్హత లేకుండా) (7.00)']</v>
      </c>
      <c r="G8746" s="2" t="s">
        <v>4909</v>
      </c>
      <c r="H8746" s="2" t="str">
        <f>IFERROR(__xludf.DUMMYFUNCTION("IF(G8746&lt;&gt;"""", GOOGLETRANSLATE(G8746, ""en"", ""te""),"""")"),"[ '14 వ ఇన్నింగ్స్ లో బెస్ట్ ఫిగర్స్ (5/9)', '36 వ ఒక క్యాలెండర్ సంవత్సరంలో అత్యధిక వికెట్లు (20)', '9 వ అత్యుత్తమ బౌలింగ్ ఇన్నింగ్స్ లో విశ్లేషించడం (5/9)', '16 వ అత్యంత నాలుగు wickets- లో-ఒక-ఇన్నింగ్స్ కెరీర్లో (2) ',' 1 వ వరుస నాలుగు వికెట్లు-ఇన్-ఒక-ఇన"&amp;"్నింగ్స్ (2) ']")</f>
        <v>[ '14 వ ఇన్నింగ్స్ లో బెస్ట్ ఫిగర్స్ (5/9)', '36 వ ఒక క్యాలెండర్ సంవత్సరంలో అత్యధిక వికెట్లు (20)', '9 వ అత్యుత్తమ బౌలింగ్ ఇన్నింగ్స్ లో విశ్లేషించడం (5/9)', '16 వ అత్యంత నాలుగు wickets- లో-ఒక-ఇన్నింగ్స్ కెరీర్లో (2) ',' 1 వ వరుస నాలుగు వికెట్లు-ఇన్-ఒక-ఇన్నింగ్స్ (2) ']</v>
      </c>
      <c r="I8746" s="3"/>
    </row>
    <row r="8747" customHeight="1" spans="1:9">
      <c r="A8747" s="2"/>
      <c r="B8747" s="2" t="str">
        <f>IFERROR(__xludf.DUMMYFUNCTION("IF(A8747&lt;&gt;"""", GOOGLETRANSLATE(A8747, ""en"", ""te""),"""")"),"")</f>
        <v/>
      </c>
      <c r="C8747" s="2"/>
      <c r="D8747" s="2" t="str">
        <f>IFERROR(__xludf.DUMMYFUNCTION("IF(C8747&lt;&gt;"""", GOOGLETRANSLATE(C8747, ""en"", ""te""),"""")"),"")</f>
        <v/>
      </c>
      <c r="E8747" s="2"/>
      <c r="F8747" s="2" t="str">
        <f>IFERROR(__xludf.DUMMYFUNCTION("IF(E8747&lt;&gt;"""", GOOGLETRANSLATE(E8747, ""en"", ""te""),"""")"),"")</f>
        <v/>
      </c>
      <c r="G8747" s="2"/>
      <c r="H8747" s="2" t="str">
        <f>IFERROR(__xludf.DUMMYFUNCTION("IF(G8747&lt;&gt;"""", GOOGLETRANSLATE(G8747, ""en"", ""te""),"""")"),"")</f>
        <v/>
      </c>
      <c r="I8747" s="3"/>
    </row>
    <row r="8748" customHeight="1" spans="1:9">
      <c r="A8748" s="2"/>
      <c r="B8748" s="2" t="str">
        <f>IFERROR(__xludf.DUMMYFUNCTION("IF(A8748&lt;&gt;"""", GOOGLETRANSLATE(A8748, ""en"", ""te""),"""")"),"")</f>
        <v/>
      </c>
      <c r="C8748" s="2"/>
      <c r="D8748" s="2" t="str">
        <f>IFERROR(__xludf.DUMMYFUNCTION("IF(C8748&lt;&gt;"""", GOOGLETRANSLATE(C8748, ""en"", ""te""),"""")"),"")</f>
        <v/>
      </c>
      <c r="E8748" s="2"/>
      <c r="F8748" s="2" t="str">
        <f>IFERROR(__xludf.DUMMYFUNCTION("IF(E8748&lt;&gt;"""", GOOGLETRANSLATE(E8748, ""en"", ""te""),"""")"),"")</f>
        <v/>
      </c>
      <c r="G8748" s="2"/>
      <c r="H8748" s="2" t="str">
        <f>IFERROR(__xludf.DUMMYFUNCTION("IF(G8748&lt;&gt;"""", GOOGLETRANSLATE(G8748, ""en"", ""te""),"""")"),"")</f>
        <v/>
      </c>
      <c r="I8748" s="3"/>
    </row>
    <row r="8749" customHeight="1" spans="1:9">
      <c r="A8749" s="2"/>
      <c r="B8749" s="2" t="str">
        <f>IFERROR(__xludf.DUMMYFUNCTION("IF(A8749&lt;&gt;"""", GOOGLETRANSLATE(A8749, ""en"", ""te""),"""")"),"")</f>
        <v/>
      </c>
      <c r="C8749" s="2"/>
      <c r="D8749" s="2" t="str">
        <f>IFERROR(__xludf.DUMMYFUNCTION("IF(C8749&lt;&gt;"""", GOOGLETRANSLATE(C8749, ""en"", ""te""),"""")"),"")</f>
        <v/>
      </c>
      <c r="E8749" s="2"/>
      <c r="F8749" s="2" t="str">
        <f>IFERROR(__xludf.DUMMYFUNCTION("IF(E8749&lt;&gt;"""", GOOGLETRANSLATE(E8749, ""en"", ""te""),"""")"),"")</f>
        <v/>
      </c>
      <c r="G8749" s="2"/>
      <c r="H8749" s="2" t="str">
        <f>IFERROR(__xludf.DUMMYFUNCTION("IF(G8749&lt;&gt;"""", GOOGLETRANSLATE(G8749, ""en"", ""te""),"""")"),"")</f>
        <v/>
      </c>
      <c r="I8749" s="3"/>
    </row>
    <row r="8750" customHeight="1" spans="1:9">
      <c r="A8750" s="2"/>
      <c r="B8750" s="2" t="str">
        <f>IFERROR(__xludf.DUMMYFUNCTION("IF(A8750&lt;&gt;"""", GOOGLETRANSLATE(A8750, ""en"", ""te""),"""")"),"")</f>
        <v/>
      </c>
      <c r="C8750" s="2"/>
      <c r="D8750" s="2" t="str">
        <f>IFERROR(__xludf.DUMMYFUNCTION("IF(C8750&lt;&gt;"""", GOOGLETRANSLATE(C8750, ""en"", ""te""),"""")"),"")</f>
        <v/>
      </c>
      <c r="E8750" s="2"/>
      <c r="F8750" s="2" t="str">
        <f>IFERROR(__xludf.DUMMYFUNCTION("IF(E8750&lt;&gt;"""", GOOGLETRANSLATE(E8750, ""en"", ""te""),"""")"),"")</f>
        <v/>
      </c>
      <c r="G8750" s="2" t="s">
        <v>4910</v>
      </c>
      <c r="H8750" s="2" t="str">
        <f>IFERROR(__xludf.DUMMYFUNCTION("IF(G8750&lt;&gt;"""", GOOGLETRANSLATE(G8750, ""en"", ""te""),"""")"),"[ '14 వ అత్యధిక కెరీర్ బ్యాటింగ్ సగటు (28.11)', 'మొదటి వికెట్కు 32 వ అత్యధిక భాగస్వామ్యం (110)', 'ఏడవ వికెట్కు 37 వ అత్యధిక భాగస్వామ్యం (34 *)']")</f>
        <v>[ '14 వ అత్యధిక కెరీర్ బ్యాటింగ్ సగటు (28.11)', 'మొదటి వికెట్కు 32 వ అత్యధిక భాగస్వామ్యం (110)', 'ఏడవ వికెట్కు 37 వ అత్యధిక భాగస్వామ్యం (34 *)']</v>
      </c>
      <c r="I8750" s="3"/>
    </row>
    <row r="8751" customHeight="1" spans="1:9">
      <c r="A8751" s="2"/>
      <c r="B8751" s="2" t="str">
        <f>IFERROR(__xludf.DUMMYFUNCTION("IF(A8751&lt;&gt;"""", GOOGLETRANSLATE(A8751, ""en"", ""te""),"""")"),"")</f>
        <v/>
      </c>
      <c r="C8751" s="2"/>
      <c r="D8751" s="2" t="str">
        <f>IFERROR(__xludf.DUMMYFUNCTION("IF(C8751&lt;&gt;"""", GOOGLETRANSLATE(C8751, ""en"", ""te""),"""")"),"")</f>
        <v/>
      </c>
      <c r="E8751" s="2" t="s">
        <v>4911</v>
      </c>
      <c r="F8751" s="2" t="str">
        <f>IFERROR(__xludf.DUMMYFUNCTION("IF(E8751&lt;&gt;"""", GOOGLETRANSLATE(E8751, ""en"", ""te""),"""")"),"[ '34 వ చెత్త కెరీర్ బౌలింగ్ సరాసరి (అర్హత లేకుండా) (119.00)']")</f>
        <v>[ '34 వ చెత్త కెరీర్ బౌలింగ్ సరాసరి (అర్హత లేకుండా) (119.00)']</v>
      </c>
      <c r="G8751" s="2"/>
      <c r="H8751" s="2" t="str">
        <f>IFERROR(__xludf.DUMMYFUNCTION("IF(G8751&lt;&gt;"""", GOOGLETRANSLATE(G8751, ""en"", ""te""),"""")"),"")</f>
        <v/>
      </c>
      <c r="I8751" s="3"/>
    </row>
    <row r="8752" customHeight="1" spans="1:9">
      <c r="A8752" s="2"/>
      <c r="B8752" s="2" t="str">
        <f>IFERROR(__xludf.DUMMYFUNCTION("IF(A8752&lt;&gt;"""", GOOGLETRANSLATE(A8752, ""en"", ""te""),"""")"),"")</f>
        <v/>
      </c>
      <c r="C8752" s="2"/>
      <c r="D8752" s="2" t="str">
        <f>IFERROR(__xludf.DUMMYFUNCTION("IF(C8752&lt;&gt;"""", GOOGLETRANSLATE(C8752, ""en"", ""te""),"""")"),"")</f>
        <v/>
      </c>
      <c r="E8752" s="2"/>
      <c r="F8752" s="2" t="str">
        <f>IFERROR(__xludf.DUMMYFUNCTION("IF(E8752&lt;&gt;"""", GOOGLETRANSLATE(E8752, ""en"", ""te""),"""")"),"")</f>
        <v/>
      </c>
      <c r="G8752" s="2"/>
      <c r="H8752" s="2" t="str">
        <f>IFERROR(__xludf.DUMMYFUNCTION("IF(G8752&lt;&gt;"""", GOOGLETRANSLATE(G8752, ""en"", ""te""),"""")"),"")</f>
        <v/>
      </c>
      <c r="I8752" s="3"/>
    </row>
    <row r="8753" customHeight="1" spans="1:9">
      <c r="A8753" s="2" t="s">
        <v>4912</v>
      </c>
      <c r="B8753" s="2" t="str">
        <f>IFERROR(__xludf.DUMMYFUNCTION("IF(A8753&lt;&gt;"""", GOOGLETRANSLATE(A8753, ""en"", ""te""),"""")"),"[ '10 వ అత్యంత వృద్ధ ఆటగాడు తొలి శతకాలను సాధించిన (35y 317d)', 'ఆరవ వికెట్కు 10 వ అత్యధిక భాగస్వామ్యం (83)']")</f>
        <v>[ '10 వ అత్యంత వృద్ధ ఆటగాడు తొలి శతకాలను సాధించిన (35y 317d)', 'ఆరవ వికెట్కు 10 వ అత్యధిక భాగస్వామ్యం (83)']</v>
      </c>
      <c r="C8753" s="2"/>
      <c r="D8753" s="2" t="str">
        <f>IFERROR(__xludf.DUMMYFUNCTION("IF(C8753&lt;&gt;"""", GOOGLETRANSLATE(C8753, ""en"", ""te""),"""")"),"")</f>
        <v/>
      </c>
      <c r="E8753" s="2" t="s">
        <v>4913</v>
      </c>
      <c r="F8753" s="2" t="str">
        <f>IFERROR(__xludf.DUMMYFUNCTION("IF(E8753&lt;&gt;"""", GOOGLETRANSLATE(E8753, ""en"", ""te""),"""")"),"[ '15 వ ఇన్నింగ్స్ లో అత్యధిక పరుగులు (బ్యాటింగ్ స్థానంలో ప్రకారం) (129 *)', '10 వ అత్యంత వృద్ధ ఆటగాడు తొలి వంద (35y 317d) స్కోర్' '28 అత్యంత వృద్ధ ఆటగాడు వంద (35y 317d) స్కోర్',]")</f>
        <v>[ '15 వ ఇన్నింగ్స్ లో అత్యధిక పరుగులు (బ్యాటింగ్ స్థానంలో ప్రకారం) (129 *)', '10 వ అత్యంత వృద్ధ ఆటగాడు తొలి వంద (35y 317d) స్కోర్' '28 అత్యంత వృద్ధ ఆటగాడు వంద (35y 317d) స్కోర్',]</v>
      </c>
      <c r="G8753" s="2" t="s">
        <v>4914</v>
      </c>
      <c r="H8753" s="2" t="str">
        <f>IFERROR(__xludf.DUMMYFUNCTION("IF(G8753&lt;&gt;"""", GOOGLETRANSLATE(G8753, ""en"", ""te""),"""")"),"[ '28 ఇన్నింగ్స్ లో అత్యధిక పరుగులు (బ్యాటింగ్ స్థానంలో ప్రకారం) (68 *)', '17 వ తొలి మ్యాచ్ (68 *) లో అత్యధిక పరుగులు', '12 వ అత్యంత ఫోర్లు ఒక ఇన్నింగ్స్ లో (12)', '24 వ అత్యధిక కొరకు చేసిన భాగస్వామ్యం ఐదవ వికెట్ (77 *) ఆరవ వికెట్కు ',' 10 వ అత్యధిక భాగస్"&amp;"వామ్యం (83) ']")</f>
        <v>[ '28 ఇన్నింగ్స్ లో అత్యధిక పరుగులు (బ్యాటింగ్ స్థానంలో ప్రకారం) (68 *)', '17 వ తొలి మ్యాచ్ (68 *) లో అత్యధిక పరుగులు', '12 వ అత్యంత ఫోర్లు ఒక ఇన్నింగ్స్ లో (12)', '24 వ అత్యధిక కొరకు చేసిన భాగస్వామ్యం ఐదవ వికెట్ (77 *) ఆరవ వికెట్కు ',' 10 వ అత్యధిక భాగస్వామ్యం (83) ']</v>
      </c>
      <c r="I8753" s="3"/>
    </row>
    <row r="8754" customHeight="1" spans="1:9">
      <c r="A8754" s="2"/>
      <c r="B8754" s="2" t="str">
        <f>IFERROR(__xludf.DUMMYFUNCTION("IF(A8754&lt;&gt;"""", GOOGLETRANSLATE(A8754, ""en"", ""te""),"""")"),"")</f>
        <v/>
      </c>
      <c r="C8754" s="2"/>
      <c r="D8754" s="2" t="str">
        <f>IFERROR(__xludf.DUMMYFUNCTION("IF(C8754&lt;&gt;"""", GOOGLETRANSLATE(C8754, ""en"", ""te""),"""")"),"")</f>
        <v/>
      </c>
      <c r="E8754" s="2"/>
      <c r="F8754" s="2" t="str">
        <f>IFERROR(__xludf.DUMMYFUNCTION("IF(E8754&lt;&gt;"""", GOOGLETRANSLATE(E8754, ""en"", ""te""),"""")"),"")</f>
        <v/>
      </c>
      <c r="G8754" s="2"/>
      <c r="H8754" s="2" t="str">
        <f>IFERROR(__xludf.DUMMYFUNCTION("IF(G8754&lt;&gt;"""", GOOGLETRANSLATE(G8754, ""en"", ""te""),"""")"),"")</f>
        <v/>
      </c>
      <c r="I8754" s="3"/>
    </row>
    <row r="8755" customHeight="1" spans="1:9">
      <c r="A8755" s="2"/>
      <c r="B8755" s="2" t="str">
        <f>IFERROR(__xludf.DUMMYFUNCTION("IF(A8755&lt;&gt;"""", GOOGLETRANSLATE(A8755, ""en"", ""te""),"""")"),"")</f>
        <v/>
      </c>
      <c r="C8755" s="2"/>
      <c r="D8755" s="2" t="str">
        <f>IFERROR(__xludf.DUMMYFUNCTION("IF(C8755&lt;&gt;"""", GOOGLETRANSLATE(C8755, ""en"", ""te""),"""")"),"")</f>
        <v/>
      </c>
      <c r="E8755" s="2"/>
      <c r="F8755" s="2" t="str">
        <f>IFERROR(__xludf.DUMMYFUNCTION("IF(E8755&lt;&gt;"""", GOOGLETRANSLATE(E8755, ""en"", ""te""),"""")"),"")</f>
        <v/>
      </c>
      <c r="G8755" s="2"/>
      <c r="H8755" s="2" t="str">
        <f>IFERROR(__xludf.DUMMYFUNCTION("IF(G8755&lt;&gt;"""", GOOGLETRANSLATE(G8755, ""en"", ""te""),"""")"),"")</f>
        <v/>
      </c>
      <c r="I8755" s="3"/>
    </row>
    <row r="8756" customHeight="1" spans="1:9">
      <c r="A8756" s="2" t="s">
        <v>4915</v>
      </c>
      <c r="B8756" s="2" t="str">
        <f>IFERROR(__xludf.DUMMYFUNCTION("IF(A8756&lt;&gt;"""", GOOGLETRANSLATE(A8756, ""en"", ""te""),"""")"),"[ '4 వ పిన్న కాప్టెన్ (19y 225d)']")</f>
        <v>[ '4 వ పిన్న కాప్టెన్ (19y 225d)']</v>
      </c>
      <c r="C8756" s="2"/>
      <c r="D8756" s="2" t="str">
        <f>IFERROR(__xludf.DUMMYFUNCTION("IF(C8756&lt;&gt;"""", GOOGLETRANSLATE(C8756, ""en"", ""te""),"""")"),"")</f>
        <v/>
      </c>
      <c r="E8756" s="2"/>
      <c r="F8756" s="2" t="str">
        <f>IFERROR(__xludf.DUMMYFUNCTION("IF(E8756&lt;&gt;"""", GOOGLETRANSLATE(E8756, ""en"", ""te""),"""")"),"")</f>
        <v/>
      </c>
      <c r="G8756" s="2" t="s">
        <v>4916</v>
      </c>
      <c r="H8756" s="2" t="str">
        <f>IFERROR(__xludf.DUMMYFUNCTION("IF(G8756&lt;&gt;"""", GOOGLETRANSLATE(G8756, ""en"", ""te""),"""")"),"[ '44 వ ఏ వికెట్కు అత్యధిక భాగస్వామ్యాల (119)', '21 వ అత్యధిక మ్యాచ్లు కెప్టెన్గా (25) ',' 4 వ పిన్న కాప్టెన్ (19y 225d) ',' 6 వ కెప్టెన్ల, 'మొదటి వికెట్కు (119) 24 వ అత్యధిక భాగస్వామ్యం' ఎవరు వికెట్ (8) ఉండేది ',' వికెట్ను కాపాడుకున్నాడు మరియు బ్యాటింగ్ "&amp;"తెరిచారు ఎవరు 5 వ కెప్టెన్ల (3) ']")</f>
        <v>[ '44 వ ఏ వికెట్కు అత్యధిక భాగస్వామ్యాల (119)', '21 వ అత్యధిక మ్యాచ్లు కెప్టెన్గా (25) ',' 4 వ పిన్న కాప్టెన్ (19y 225d) ',' 6 వ కెప్టెన్ల, 'మొదటి వికెట్కు (119) 24 వ అత్యధిక భాగస్వామ్యం' ఎవరు వికెట్ (8) ఉండేది ',' వికెట్ను కాపాడుకున్నాడు మరియు బ్యాటింగ్ తెరిచారు ఎవరు 5 వ కెప్టెన్ల (3) ']</v>
      </c>
      <c r="I8756" s="3"/>
    </row>
    <row r="8757" customHeight="1" spans="1:9">
      <c r="A8757" s="2"/>
      <c r="B8757" s="2" t="str">
        <f>IFERROR(__xludf.DUMMYFUNCTION("IF(A8757&lt;&gt;"""", GOOGLETRANSLATE(A8757, ""en"", ""te""),"""")"),"")</f>
        <v/>
      </c>
      <c r="C8757" s="2"/>
      <c r="D8757" s="2" t="str">
        <f>IFERROR(__xludf.DUMMYFUNCTION("IF(C8757&lt;&gt;"""", GOOGLETRANSLATE(C8757, ""en"", ""te""),"""")"),"")</f>
        <v/>
      </c>
      <c r="E8757" s="2"/>
      <c r="F8757" s="2" t="str">
        <f>IFERROR(__xludf.DUMMYFUNCTION("IF(E8757&lt;&gt;"""", GOOGLETRANSLATE(E8757, ""en"", ""te""),"""")"),"")</f>
        <v/>
      </c>
      <c r="G8757" s="2"/>
      <c r="H8757" s="2" t="str">
        <f>IFERROR(__xludf.DUMMYFUNCTION("IF(G8757&lt;&gt;"""", GOOGLETRANSLATE(G8757, ""en"", ""te""),"""")"),"")</f>
        <v/>
      </c>
      <c r="I8757" s="3"/>
    </row>
    <row r="8758" customHeight="1" spans="1:9">
      <c r="A8758" s="2" t="s">
        <v>4917</v>
      </c>
      <c r="B8758" s="2" t="str">
        <f>IFERROR(__xludf.DUMMYFUNCTION("IF(A8758&lt;&gt;"""", GOOGLETRANSLATE(A8758, ""en"", ""te""),"""")"),"[ '8 వ ఓల్డెస్ట్ క్రీడాకారులు (42y 154d)']")</f>
        <v>[ '8 వ ఓల్డెస్ట్ క్రీడాకారులు (42y 154d)']</v>
      </c>
      <c r="C8758" s="2"/>
      <c r="D8758" s="2" t="str">
        <f>IFERROR(__xludf.DUMMYFUNCTION("IF(C8758&lt;&gt;"""", GOOGLETRANSLATE(C8758, ""en"", ""te""),"""")"),"")</f>
        <v/>
      </c>
      <c r="E8758" s="2" t="s">
        <v>4918</v>
      </c>
      <c r="F8758" s="2" t="str">
        <f>IFERROR(__xludf.DUMMYFUNCTION("IF(E8758&lt;&gt;"""", GOOGLETRANSLATE(E8758, ""en"", ""te""),"""")"),"[ 'తొలి 9 వ ఓల్డెస్ట్ క్రీడాకారులు (38y 133d)', '8 వ ఓల్డెస్ట్ క్రీడాకారులు (42y 154d)']")</f>
        <v>[ 'తొలి 9 వ ఓల్డెస్ట్ క్రీడాకారులు (38y 133d)', '8 వ ఓల్డెస్ట్ క్రీడాకారులు (42y 154d)']</v>
      </c>
      <c r="G8758" s="2"/>
      <c r="H8758" s="2" t="str">
        <f>IFERROR(__xludf.DUMMYFUNCTION("IF(G8758&lt;&gt;"""", GOOGLETRANSLATE(G8758, ""en"", ""te""),"""")"),"")</f>
        <v/>
      </c>
      <c r="I8758" s="3"/>
    </row>
    <row r="8759" customHeight="1" spans="1:9">
      <c r="A8759" s="2"/>
      <c r="B8759" s="2" t="str">
        <f>IFERROR(__xludf.DUMMYFUNCTION("IF(A8759&lt;&gt;"""", GOOGLETRANSLATE(A8759, ""en"", ""te""),"""")"),"")</f>
        <v/>
      </c>
      <c r="C8759" s="2"/>
      <c r="D8759" s="2" t="str">
        <f>IFERROR(__xludf.DUMMYFUNCTION("IF(C8759&lt;&gt;"""", GOOGLETRANSLATE(C8759, ""en"", ""te""),"""")"),"")</f>
        <v/>
      </c>
      <c r="E8759" s="2"/>
      <c r="F8759" s="2" t="str">
        <f>IFERROR(__xludf.DUMMYFUNCTION("IF(E8759&lt;&gt;"""", GOOGLETRANSLATE(E8759, ""en"", ""te""),"""")"),"")</f>
        <v/>
      </c>
      <c r="G8759" s="2"/>
      <c r="H8759" s="2" t="str">
        <f>IFERROR(__xludf.DUMMYFUNCTION("IF(G8759&lt;&gt;"""", GOOGLETRANSLATE(G8759, ""en"", ""te""),"""")"),"")</f>
        <v/>
      </c>
      <c r="I8759" s="3"/>
    </row>
    <row r="8760" customHeight="1" spans="1:9">
      <c r="A8760" s="2" t="s">
        <v>4919</v>
      </c>
      <c r="B8760" s="2" t="str">
        <f>IFERROR(__xludf.DUMMYFUNCTION("IF(A8760&lt;&gt;"""", GOOGLETRANSLATE(A8760, ""en"", ""te""),"""")"),"[ 'ఒక క్యాలెండర్ సంవత్సరంలో 7 వ అత్యధిక వికెట్లు (27)', '4 వ ఉత్తమ తొలి ఇన్నింగ్స్లో గణాంకాలు (4)']")</f>
        <v>[ 'ఒక క్యాలెండర్ సంవత్సరంలో 7 వ అత్యధిక వికెట్లు (27)', '4 వ ఉత్తమ తొలి ఇన్నింగ్స్లో గణాంకాలు (4)']</v>
      </c>
      <c r="C8760" s="2"/>
      <c r="D8760" s="2" t="str">
        <f>IFERROR(__xludf.DUMMYFUNCTION("IF(C8760&lt;&gt;"""", GOOGLETRANSLATE(C8760, ""en"", ""te""),"""")"),"")</f>
        <v/>
      </c>
      <c r="E8760" s="2"/>
      <c r="F8760" s="2" t="str">
        <f>IFERROR(__xludf.DUMMYFUNCTION("IF(E8760&lt;&gt;"""", GOOGLETRANSLATE(E8760, ""en"", ""te""),"""")"),"")</f>
        <v/>
      </c>
      <c r="G8760" s="2" t="s">
        <v>4920</v>
      </c>
      <c r="H8760" s="2" t="str">
        <f>IFERROR(__xludf.DUMMYFUNCTION("IF(G8760&lt;&gt;"""", GOOGLETRANSLATE(G8760, ""en"", ""te""),"""")"),"[ 'ఒక క్యాలెండర్ సంవత్సరంలో 7 వ అత్యధిక వికెట్లు (27)', 'ఇన్నింగ్స్ లో 31 ఉత్తమ సమ్మె రేటు (4.5)', 'ప్రవేశం (4) ఒక ఇన్నింగ్స్ లో 4 వ బెస్ట్ ఫిగర్స్']")</f>
        <v>[ 'ఒక క్యాలెండర్ సంవత్సరంలో 7 వ అత్యధిక వికెట్లు (27)', 'ఇన్నింగ్స్ లో 31 ఉత్తమ సమ్మె రేటు (4.5)', 'ప్రవేశం (4) ఒక ఇన్నింగ్స్ లో 4 వ బెస్ట్ ఫిగర్స్']</v>
      </c>
      <c r="I8760" s="3"/>
    </row>
    <row r="8761" customHeight="1" spans="1:9">
      <c r="A8761" s="2" t="s">
        <v>3805</v>
      </c>
      <c r="B8761" s="2" t="str">
        <f>IFERROR(__xludf.DUMMYFUNCTION("IF(A8761&lt;&gt;"""", GOOGLETRANSLATE(A8761, ""en"", ""te""),"""")"),"[ '10 వ ఉత్తమ ఇన్నింగ్స్ లో ఆర్థిక రేటు (0.62)']")</f>
        <v>[ '10 వ ఉత్తమ ఇన్నింగ్స్ లో ఆర్థిక రేటు (0.62)']</v>
      </c>
      <c r="C8761" s="2"/>
      <c r="D8761" s="2" t="str">
        <f>IFERROR(__xludf.DUMMYFUNCTION("IF(C8761&lt;&gt;"""", GOOGLETRANSLATE(C8761, ""en"", ""te""),"""")"),"")</f>
        <v/>
      </c>
      <c r="E8761" s="2" t="s">
        <v>3805</v>
      </c>
      <c r="F8761" s="2" t="str">
        <f>IFERROR(__xludf.DUMMYFUNCTION("IF(E8761&lt;&gt;"""", GOOGLETRANSLATE(E8761, ""en"", ""te""),"""")"),"[ '10 వ ఉత్తమ ఇన్నింగ్స్ లో ఆర్థిక రేటు (0.62)']")</f>
        <v>[ '10 వ ఉత్తమ ఇన్నింగ్స్ లో ఆర్థిక రేటు (0.62)']</v>
      </c>
      <c r="G8761" s="2" t="s">
        <v>4921</v>
      </c>
      <c r="H8761" s="2" t="str">
        <f>IFERROR(__xludf.DUMMYFUNCTION("IF(G8761&lt;&gt;"""", GOOGLETRANSLATE(G8761, ""en"", ""te""),"""")"),"[ '20 వ అత్యుత్తమ ఇన్నింగ్స్ లో విశ్లేషణలు బౌలింగ్ (2/4)', '46 వ ఉత్తమ కెరీర్ బౌలింగ్ సరాసరి (అర్హత లేకుండా) (8.76)', '45 వ బౌలర్ / ఫీల్డర్ కలయికలు (6)']")</f>
        <v>[ '20 వ అత్యుత్తమ ఇన్నింగ్స్ లో విశ్లేషణలు బౌలింగ్ (2/4)', '46 వ ఉత్తమ కెరీర్ బౌలింగ్ సరాసరి (అర్హత లేకుండా) (8.76)', '45 వ బౌలర్ / ఫీల్డర్ కలయికలు (6)']</v>
      </c>
      <c r="I8761" s="3"/>
    </row>
    <row r="8762" customHeight="1" spans="1:9">
      <c r="A8762" s="2" t="s">
        <v>4922</v>
      </c>
      <c r="B8762" s="2" t="str">
        <f>IFERROR(__xludf.DUMMYFUNCTION("IF(A8762&lt;&gt;"""", GOOGLETRANSLATE(A8762, ""en"", ""te""),"""")"),"[ 'తొలి పెయిర్', 'ఇన్నింగ్స్ లో 2 వ అత్యధిక క్యాచ్లు (4)', 'ఒక క్యాలెండర్ సంవత్సరంలో 7 వ అత్యధిక పరుగులు (601)']")</f>
        <v>[ 'తొలి పెయిర్', 'ఇన్నింగ్స్ లో 2 వ అత్యధిక క్యాచ్లు (4)', 'ఒక క్యాలెండర్ సంవత్సరంలో 7 వ అత్యధిక పరుగులు (601)']</v>
      </c>
      <c r="C8762" s="2"/>
      <c r="D8762" s="2" t="str">
        <f>IFERROR(__xludf.DUMMYFUNCTION("IF(C8762&lt;&gt;"""", GOOGLETRANSLATE(C8762, ""en"", ""te""),"""")"),"")</f>
        <v/>
      </c>
      <c r="E8762" s="2" t="s">
        <v>4923</v>
      </c>
      <c r="F8762" s="2" t="str">
        <f>IFERROR(__xludf.DUMMYFUNCTION("IF(E8762&lt;&gt;"""", GOOGLETRANSLATE(E8762, ""en"", ""te""),"""")"),"[ 'మొదటి డక్ (31) ముందు 38 వ అత్యంత ఇన్నింగ్స్' '44 వ ఇన్నింగ్స్ లో వచ్చిన ఎక్కువ సిక్స్ (8)' 'ఇన్నింగ్స్ లో 2 వ అత్యధిక క్యాచ్లు (4)',]")</f>
        <v>[ 'మొదటి డక్ (31) ముందు 38 వ అత్యంత ఇన్నింగ్స్' '44 వ ఇన్నింగ్స్ లో వచ్చిన ఎక్కువ సిక్స్ (8)' 'ఇన్నింగ్స్ లో 2 వ అత్యధిక క్యాచ్లు (4)',]</v>
      </c>
      <c r="G8762" s="2" t="s">
        <v>4924</v>
      </c>
      <c r="H8762" s="2" t="str">
        <f>IFERROR(__xludf.DUMMYFUNCTION("IF(G8762&lt;&gt;"""", GOOGLETRANSLATE(G8762, ""en"", ""te""),"""")"),"[ '7th చాలా క్యాలెండర్ సంవత్సరంలో పరుగులు (601)', '34 వ ఇన్నింగ్స్ లో అత్యధిక పరుగులు (బ్యాటింగ్ స్థానంలో ప్రకారం) (83)', '50 వ కెరీర్ ఫోర్లు (111)', '12 వ ఇన్నింగ్స్ లో వచ్చిన ఎక్కువ ఫోర్లు ( 12) ',' నాలుగవ వికెట్కు 35 వ అత్యధిక భాగస్వామ్యం (91) ']")</f>
        <v>[ '7th చాలా క్యాలెండర్ సంవత్సరంలో పరుగులు (601)', '34 వ ఇన్నింగ్స్ లో అత్యధిక పరుగులు (బ్యాటింగ్ స్థానంలో ప్రకారం) (83)', '50 వ కెరీర్ ఫోర్లు (111)', '12 వ ఇన్నింగ్స్ లో వచ్చిన ఎక్కువ ఫోర్లు ( 12) ',' నాలుగవ వికెట్కు 35 వ అత్యధిక భాగస్వామ్యం (91) ']</v>
      </c>
      <c r="I8762" s="3"/>
    </row>
    <row r="8763" customHeight="1" spans="1:9">
      <c r="A8763" s="2" t="s">
        <v>4925</v>
      </c>
      <c r="B8763" s="2" t="str">
        <f>IFERROR(__xludf.DUMMYFUNCTION("IF(A8763&lt;&gt;"""", GOOGLETRANSLATE(A8763, ""en"", ""te""),"""")"),"[ 'ఇన్నింగ్స్ లో (51 *) 5 వ అత్యధిక పరుగులు (బ్యాటింగ్ స్థానంలో ద్వారా)' '10 వ తొలి డక్ (27) ముందు చాలా ఇన్నింగ్స్' '9 వ అత్యంత ఇన్నింగ్స్ లో సాధించిన బైస్ (10)',]")</f>
        <v>[ 'ఇన్నింగ్స్ లో (51 *) 5 వ అత్యధిక పరుగులు (బ్యాటింగ్ స్థానంలో ద్వారా)' '10 వ తొలి డక్ (27) ముందు చాలా ఇన్నింగ్స్' '9 వ అత్యంత ఇన్నింగ్స్ లో సాధించిన బైస్ (10)',]</v>
      </c>
      <c r="C8763" s="2"/>
      <c r="D8763" s="2" t="str">
        <f>IFERROR(__xludf.DUMMYFUNCTION("IF(C8763&lt;&gt;"""", GOOGLETRANSLATE(C8763, ""en"", ""te""),"""")"),"")</f>
        <v/>
      </c>
      <c r="E8763" s="2" t="s">
        <v>4926</v>
      </c>
      <c r="F8763" s="2" t="str">
        <f>IFERROR(__xludf.DUMMYFUNCTION("IF(E8763&lt;&gt;"""", GOOGLETRANSLATE(E8763, ""en"", ""te""),"""")"),"[ 'వంద (1217) లేకుండా 20 ఒక జీవితంలో అత్యధిక పరుగులు', 'వికెట్కీపర్గా (78 *) ద్వారా ఇన్నింగ్స్ లో 44 వ అత్యధిక పరుగులు' '5 వ ఎక్కువ (51 *) ఒక ఇన్నింగ్స్ లో నడుస్తుంది (బ్యాటింగ్ స్థానం)', 'మొదటి డక్ ముందు 10 వ అత్యంత ఇన్నింగ్స్ (27)', '13 వ అత్యధిక భాగస్వ"&amp;"ామ్యం మూడో వికెట్కు (154 *)' జట్టు '31 చెత్త కెరీర్ సగటు (81.33) (అర్హత లేకుండా) బౌలింగ్', '15 వ వరుస మ్యాచ్లు ( ఒక ఇన్నింగ్స్ లో సాధించిన 57) ',' 9 వ అత్యంత బైలు (10) ']")</f>
        <v>[ 'వంద (1217) లేకుండా 20 ఒక జీవితంలో అత్యధిక పరుగులు', 'వికెట్కీపర్గా (78 *) ద్వారా ఇన్నింగ్స్ లో 44 వ అత్యధిక పరుగులు' '5 వ ఎక్కువ (51 *) ఒక ఇన్నింగ్స్ లో నడుస్తుంది (బ్యాటింగ్ స్థానం)', 'మొదటి డక్ ముందు 10 వ అత్యంత ఇన్నింగ్స్ (27)', '13 వ అత్యధిక భాగస్వామ్యం మూడో వికెట్కు (154 *)' జట్టు '31 చెత్త కెరీర్ సగటు (81.33) (అర్హత లేకుండా) బౌలింగ్', '15 వ వరుస మ్యాచ్లు ( ఒక ఇన్నింగ్స్ లో సాధించిన 57) ',' 9 వ అత్యంత బైలు (10) ']</v>
      </c>
      <c r="G8763" s="2"/>
      <c r="H8763" s="2" t="str">
        <f>IFERROR(__xludf.DUMMYFUNCTION("IF(G8763&lt;&gt;"""", GOOGLETRANSLATE(G8763, ""en"", ""te""),"""")"),"")</f>
        <v/>
      </c>
      <c r="I8763" s="3"/>
    </row>
    <row r="8764" customHeight="1" spans="1:9">
      <c r="A8764" s="2" t="s">
        <v>4927</v>
      </c>
      <c r="B8764" s="2" t="str">
        <f>IFERROR(__xludf.DUMMYFUNCTION("IF(A8764&lt;&gt;"""", GOOGLETRANSLATE(A8764, ""en"", ""te""),"""")"),"[ '8 వ ఉత్తమ కెరీర్ ఆర్థిక రేటు (2.15)', '1 వ అత్యధిక వికెట్లు తీసిన హిట్ వికెట్ (1)']")</f>
        <v>[ '8 వ ఉత్తమ కెరీర్ ఆర్థిక రేటు (2.15)', '1 వ అత్యధిక వికెట్లు తీసిన హిట్ వికెట్ (1)']</v>
      </c>
      <c r="C8764" s="2"/>
      <c r="D8764" s="2" t="str">
        <f>IFERROR(__xludf.DUMMYFUNCTION("IF(C8764&lt;&gt;"""", GOOGLETRANSLATE(C8764, ""en"", ""te""),"""")"),"")</f>
        <v/>
      </c>
      <c r="E8764" s="2" t="s">
        <v>4928</v>
      </c>
      <c r="F8764" s="2" t="str">
        <f>IFERROR(__xludf.DUMMYFUNCTION("IF(E8764&lt;&gt;"""", GOOGLETRANSLATE(E8764, ""en"", ""te""),"""")"),"[తీసుకోవాలని, '8 వ ఉత్తమ కెరీర్ ఆర్థిక రేటు (2.15)', '22 వ చెత్త కెరీర్లో సమ్మె రేటు (59.0)', '25 వ పిన్న ఆటగాడు' పరాజయం వైపు (4) ఉన్నప్పుడు 11 ఒక ఇన్నింగ్స్ లోని బెస్ట్ ఫిగర్స్ 'అయిదు wickets- లో-ఒక-ఇన్నింగ్స్ (22y 325d) ',' 25 వ అత్యధిక వికెట్లు బౌల్డ్"&amp;" (22) ',' 1 వ అత్యధిక వికెట్లు తీసిన హిట్ వికెట్ (1) 'తీసిన]")</f>
        <v>[తీసుకోవాలని, '8 వ ఉత్తమ కెరీర్ ఆర్థిక రేటు (2.15)', '22 వ చెత్త కెరీర్లో సమ్మె రేటు (59.0)', '25 వ పిన్న ఆటగాడు' పరాజయం వైపు (4) ఉన్నప్పుడు 11 ఒక ఇన్నింగ్స్ లోని బెస్ట్ ఫిగర్స్ 'అయిదు wickets- లో-ఒక-ఇన్నింగ్స్ (22y 325d) ',' 25 వ అత్యధిక వికెట్లు బౌల్డ్ (22) ',' 1 వ అత్యధిక వికెట్లు తీసిన హిట్ వికెట్ (1) 'తీసిన]</v>
      </c>
      <c r="G8764" s="2"/>
      <c r="H8764" s="2" t="str">
        <f>IFERROR(__xludf.DUMMYFUNCTION("IF(G8764&lt;&gt;"""", GOOGLETRANSLATE(G8764, ""en"", ""te""),"""")"),"")</f>
        <v/>
      </c>
      <c r="I8764" s="3"/>
    </row>
    <row r="8765" customHeight="1" spans="1:9">
      <c r="A8765" s="2"/>
      <c r="B8765" s="2" t="str">
        <f>IFERROR(__xludf.DUMMYFUNCTION("IF(A8765&lt;&gt;"""", GOOGLETRANSLATE(A8765, ""en"", ""te""),"""")"),"")</f>
        <v/>
      </c>
      <c r="C8765" s="2"/>
      <c r="D8765" s="2" t="str">
        <f>IFERROR(__xludf.DUMMYFUNCTION("IF(C8765&lt;&gt;"""", GOOGLETRANSLATE(C8765, ""en"", ""te""),"""")"),"")</f>
        <v/>
      </c>
      <c r="E8765" s="2"/>
      <c r="F8765" s="2" t="str">
        <f>IFERROR(__xludf.DUMMYFUNCTION("IF(E8765&lt;&gt;"""", GOOGLETRANSLATE(E8765, ""en"", ""te""),"""")"),"")</f>
        <v/>
      </c>
      <c r="G8765" s="2"/>
      <c r="H8765" s="2" t="str">
        <f>IFERROR(__xludf.DUMMYFUNCTION("IF(G8765&lt;&gt;"""", GOOGLETRANSLATE(G8765, ""en"", ""te""),"""")"),"")</f>
        <v/>
      </c>
      <c r="I8765" s="3"/>
    </row>
    <row r="8766" customHeight="1" spans="1:9">
      <c r="A8766" s="2"/>
      <c r="B8766" s="2" t="str">
        <f>IFERROR(__xludf.DUMMYFUNCTION("IF(A8766&lt;&gt;"""", GOOGLETRANSLATE(A8766, ""en"", ""te""),"""")"),"")</f>
        <v/>
      </c>
      <c r="C8766" s="2"/>
      <c r="D8766" s="2" t="str">
        <f>IFERROR(__xludf.DUMMYFUNCTION("IF(C8766&lt;&gt;"""", GOOGLETRANSLATE(C8766, ""en"", ""te""),"""")"),"")</f>
        <v/>
      </c>
      <c r="E8766" s="2" t="s">
        <v>4929</v>
      </c>
      <c r="F8766" s="2" t="str">
        <f>IFERROR(__xludf.DUMMYFUNCTION("IF(E8766&lt;&gt;"""", GOOGLETRANSLATE(E8766, ""en"", ""te""),"""")"),"[ '28 అత్యంత వృద్ధ ఆటగాడు తొలి వంద (33y 61d) స్కోర్']")</f>
        <v>[ '28 అత్యంత వృద్ధ ఆటగాడు తొలి వంద (33y 61d) స్కోర్']</v>
      </c>
      <c r="G8766" s="2"/>
      <c r="H8766" s="2" t="str">
        <f>IFERROR(__xludf.DUMMYFUNCTION("IF(G8766&lt;&gt;"""", GOOGLETRANSLATE(G8766, ""en"", ""te""),"""")"),"")</f>
        <v/>
      </c>
      <c r="I8766" s="3"/>
    </row>
    <row r="8767" customHeight="1" spans="1:9">
      <c r="A8767" s="2"/>
      <c r="B8767" s="2" t="str">
        <f>IFERROR(__xludf.DUMMYFUNCTION("IF(A8767&lt;&gt;"""", GOOGLETRANSLATE(A8767, ""en"", ""te""),"""")"),"")</f>
        <v/>
      </c>
      <c r="C8767" s="2"/>
      <c r="D8767" s="2" t="str">
        <f>IFERROR(__xludf.DUMMYFUNCTION("IF(C8767&lt;&gt;"""", GOOGLETRANSLATE(C8767, ""en"", ""te""),"""")"),"")</f>
        <v/>
      </c>
      <c r="E8767" s="2"/>
      <c r="F8767" s="2" t="str">
        <f>IFERROR(__xludf.DUMMYFUNCTION("IF(E8767&lt;&gt;"""", GOOGLETRANSLATE(E8767, ""en"", ""te""),"""")"),"")</f>
        <v/>
      </c>
      <c r="G8767" s="2"/>
      <c r="H8767" s="2" t="str">
        <f>IFERROR(__xludf.DUMMYFUNCTION("IF(G8767&lt;&gt;"""", GOOGLETRANSLATE(G8767, ""en"", ""te""),"""")"),"")</f>
        <v/>
      </c>
      <c r="I8767" s="3"/>
    </row>
    <row r="8768" customHeight="1" spans="1:9">
      <c r="A8768" s="2"/>
      <c r="B8768" s="2" t="str">
        <f>IFERROR(__xludf.DUMMYFUNCTION("IF(A8768&lt;&gt;"""", GOOGLETRANSLATE(A8768, ""en"", ""te""),"""")"),"")</f>
        <v/>
      </c>
      <c r="C8768" s="2"/>
      <c r="D8768" s="2" t="str">
        <f>IFERROR(__xludf.DUMMYFUNCTION("IF(C8768&lt;&gt;"""", GOOGLETRANSLATE(C8768, ""en"", ""te""),"""")"),"")</f>
        <v/>
      </c>
      <c r="E8768" s="2"/>
      <c r="F8768" s="2" t="str">
        <f>IFERROR(__xludf.DUMMYFUNCTION("IF(E8768&lt;&gt;"""", GOOGLETRANSLATE(E8768, ""en"", ""te""),"""")"),"")</f>
        <v/>
      </c>
      <c r="G8768" s="2"/>
      <c r="H8768" s="2" t="str">
        <f>IFERROR(__xludf.DUMMYFUNCTION("IF(G8768&lt;&gt;"""", GOOGLETRANSLATE(G8768, ""en"", ""te""),"""")"),"")</f>
        <v/>
      </c>
      <c r="I8768" s="3"/>
    </row>
    <row r="8769" customHeight="1" spans="1:9">
      <c r="A8769" s="2"/>
      <c r="B8769" s="2" t="str">
        <f>IFERROR(__xludf.DUMMYFUNCTION("IF(A8769&lt;&gt;"""", GOOGLETRANSLATE(A8769, ""en"", ""te""),"""")"),"")</f>
        <v/>
      </c>
      <c r="C8769" s="2"/>
      <c r="D8769" s="2" t="str">
        <f>IFERROR(__xludf.DUMMYFUNCTION("IF(C8769&lt;&gt;"""", GOOGLETRANSLATE(C8769, ""en"", ""te""),"""")"),"")</f>
        <v/>
      </c>
      <c r="E8769" s="2"/>
      <c r="F8769" s="2" t="str">
        <f>IFERROR(__xludf.DUMMYFUNCTION("IF(E8769&lt;&gt;"""", GOOGLETRANSLATE(E8769, ""en"", ""te""),"""")"),"")</f>
        <v/>
      </c>
      <c r="G8769" s="2"/>
      <c r="H8769" s="2" t="str">
        <f>IFERROR(__xludf.DUMMYFUNCTION("IF(G8769&lt;&gt;"""", GOOGLETRANSLATE(G8769, ""en"", ""te""),"""")"),"")</f>
        <v/>
      </c>
      <c r="I8769" s="3"/>
    </row>
    <row r="8770" customHeight="1" spans="1:9">
      <c r="A8770" s="2"/>
      <c r="B8770" s="2" t="str">
        <f>IFERROR(__xludf.DUMMYFUNCTION("IF(A8770&lt;&gt;"""", GOOGLETRANSLATE(A8770, ""en"", ""te""),"""")"),"")</f>
        <v/>
      </c>
      <c r="C8770" s="2"/>
      <c r="D8770" s="2" t="str">
        <f>IFERROR(__xludf.DUMMYFUNCTION("IF(C8770&lt;&gt;"""", GOOGLETRANSLATE(C8770, ""en"", ""te""),"""")"),"")</f>
        <v/>
      </c>
      <c r="E8770" s="2"/>
      <c r="F8770" s="2" t="str">
        <f>IFERROR(__xludf.DUMMYFUNCTION("IF(E8770&lt;&gt;"""", GOOGLETRANSLATE(E8770, ""en"", ""te""),"""")"),"")</f>
        <v/>
      </c>
      <c r="G8770" s="2"/>
      <c r="H8770" s="2" t="str">
        <f>IFERROR(__xludf.DUMMYFUNCTION("IF(G8770&lt;&gt;"""", GOOGLETRANSLATE(G8770, ""en"", ""te""),"""")"),"")</f>
        <v/>
      </c>
      <c r="I8770" s="3"/>
    </row>
    <row r="8771" customHeight="1" spans="1:9">
      <c r="A8771" s="2" t="s">
        <v>4930</v>
      </c>
      <c r="B8771" s="2" t="str">
        <f>IFERROR(__xludf.DUMMYFUNCTION("IF(A8771&lt;&gt;"""", GOOGLETRANSLATE(A8771, ""en"", ""te""),"""")"),"[ '6 వ అత్యధిక వరుస బాతులు (3)', '1st చెత్త కెరీర్లో ఆర్థిక రేటు (6.57)', '8 వ ఒక ఇన్నింగ్స్ లోని బెస్ట్ ఫిగర్స్ ఉన్నప్పుడు పరాజయం వైపు (4)']")</f>
        <v>[ '6 వ అత్యధిక వరుస బాతులు (3)', '1st చెత్త కెరీర్లో ఆర్థిక రేటు (6.57)', '8 వ ఒక ఇన్నింగ్స్ లోని బెస్ట్ ఫిగర్స్ ఉన్నప్పుడు పరాజయం వైపు (4)']</v>
      </c>
      <c r="C8771" s="2"/>
      <c r="D8771" s="2" t="str">
        <f>IFERROR(__xludf.DUMMYFUNCTION("IF(C8771&lt;&gt;"""", GOOGLETRANSLATE(C8771, ""en"", ""te""),"""")"),"")</f>
        <v/>
      </c>
      <c r="E8771" s="2" t="s">
        <v>4931</v>
      </c>
      <c r="F8771" s="2" t="str">
        <f>IFERROR(__xludf.DUMMYFUNCTION("IF(E8771&lt;&gt;"""", GOOGLETRANSLATE(E8771, ""en"", ""te""),"""")"),"[ '6 వ అత్యధిక వరుస బాతులు (3)', '1st చెత్త కెరీర్లో ఆర్థిక రేటు (6.57)', 'ఇన్నింగ్స్ లో 39 వ చెత్త ఆర్థిక రేటు (11.00)', '42 వ ఇన్నింగ్స్ లో సాధించిన అత్యధిక పరుగులు (92)']")</f>
        <v>[ '6 వ అత్యధిక వరుస బాతులు (3)', '1st చెత్త కెరీర్లో ఆర్థిక రేటు (6.57)', 'ఇన్నింగ్స్ లో 39 వ చెత్త ఆర్థిక రేటు (11.00)', '42 వ ఇన్నింగ్స్ లో సాధించిన అత్యధిక పరుగులు (92)']</v>
      </c>
      <c r="G8771" s="2" t="s">
        <v>814</v>
      </c>
      <c r="H8771" s="2" t="str">
        <f>IFERROR(__xludf.DUMMYFUNCTION("IF(G8771&lt;&gt;"""", GOOGLETRANSLATE(G8771, ""en"", ""te""),"""")"),"[ 'ఒక ఇన్నింగ్స్ లో 8 వ బెస్ట్ ఫిగర్స్ ఉన్నప్పుడు పరాజయం వైపు (4)']")</f>
        <v>[ 'ఒక ఇన్నింగ్స్ లో 8 వ బెస్ట్ ఫిగర్స్ ఉన్నప్పుడు పరాజయం వైపు (4)']</v>
      </c>
      <c r="I8771" s="3"/>
    </row>
    <row r="8772" customHeight="1" spans="1:9">
      <c r="A8772" s="2"/>
      <c r="B8772" s="2" t="str">
        <f>IFERROR(__xludf.DUMMYFUNCTION("IF(A8772&lt;&gt;"""", GOOGLETRANSLATE(A8772, ""en"", ""te""),"""")"),"")</f>
        <v/>
      </c>
      <c r="C8772" s="2"/>
      <c r="D8772" s="2" t="str">
        <f>IFERROR(__xludf.DUMMYFUNCTION("IF(C8772&lt;&gt;"""", GOOGLETRANSLATE(C8772, ""en"", ""te""),"""")"),"")</f>
        <v/>
      </c>
      <c r="E8772" s="2" t="s">
        <v>4932</v>
      </c>
      <c r="F8772" s="2" t="str">
        <f>IFERROR(__xludf.DUMMYFUNCTION("IF(E8772&lt;&gt;"""", GOOGLETRANSLATE(E8772, ""en"", ""te""),"""")"),"[ '27 అత్యధిక పరుగులు ఇన్నింగ్స్ లో (95) సాధించిన]")</f>
        <v>[ '27 అత్యధిక పరుగులు ఇన్నింగ్స్ లో (95) సాధించిన]</v>
      </c>
      <c r="G8772" s="2" t="s">
        <v>4933</v>
      </c>
      <c r="H8772" s="2" t="str">
        <f>IFERROR(__xludf.DUMMYFUNCTION("IF(G8772&lt;&gt;"""", GOOGLETRANSLATE(G8772, ""en"", ""te""),"""")"),"[ '25 వ అత్యుత్తమ ఇన్నింగ్స్ (3/8) విశ్లేషణలలో బౌలింగ్']")</f>
        <v>[ '25 వ అత్యుత్తమ ఇన్నింగ్స్ (3/8) విశ్లేషణలలో బౌలింగ్']</v>
      </c>
      <c r="I8772" s="3"/>
    </row>
    <row r="8773" customHeight="1" spans="1:9">
      <c r="A8773" s="2"/>
      <c r="B8773" s="2" t="str">
        <f>IFERROR(__xludf.DUMMYFUNCTION("IF(A8773&lt;&gt;"""", GOOGLETRANSLATE(A8773, ""en"", ""te""),"""")"),"")</f>
        <v/>
      </c>
      <c r="C8773" s="2"/>
      <c r="D8773" s="2" t="str">
        <f>IFERROR(__xludf.DUMMYFUNCTION("IF(C8773&lt;&gt;"""", GOOGLETRANSLATE(C8773, ""en"", ""te""),"""")"),"")</f>
        <v/>
      </c>
      <c r="E8773" s="2" t="s">
        <v>4934</v>
      </c>
      <c r="F8773" s="2" t="str">
        <f>IFERROR(__xludf.DUMMYFUNCTION("IF(E8773&lt;&gt;"""", GOOGLETRANSLATE(E8773, ""en"", ""te""),"""")"),"[ '50 వ చెత్త కెరీర్ బౌలింగ్ సరాసరి (అర్హత లేకుండా) (65.80)']")</f>
        <v>[ '50 వ చెత్త కెరీర్ బౌలింగ్ సరాసరి (అర్హత లేకుండా) (65.80)']</v>
      </c>
      <c r="G8773" s="2"/>
      <c r="H8773" s="2" t="str">
        <f>IFERROR(__xludf.DUMMYFUNCTION("IF(G8773&lt;&gt;"""", GOOGLETRANSLATE(G8773, ""en"", ""te""),"""")"),"")</f>
        <v/>
      </c>
      <c r="I8773" s="3"/>
    </row>
    <row r="8774" customHeight="1" spans="1:9">
      <c r="A8774" s="2"/>
      <c r="B8774" s="2" t="str">
        <f>IFERROR(__xludf.DUMMYFUNCTION("IF(A8774&lt;&gt;"""", GOOGLETRANSLATE(A8774, ""en"", ""te""),"""")"),"")</f>
        <v/>
      </c>
      <c r="C8774" s="2"/>
      <c r="D8774" s="2" t="str">
        <f>IFERROR(__xludf.DUMMYFUNCTION("IF(C8774&lt;&gt;"""", GOOGLETRANSLATE(C8774, ""en"", ""te""),"""")"),"")</f>
        <v/>
      </c>
      <c r="E8774" s="2"/>
      <c r="F8774" s="2" t="str">
        <f>IFERROR(__xludf.DUMMYFUNCTION("IF(E8774&lt;&gt;"""", GOOGLETRANSLATE(E8774, ""en"", ""te""),"""")"),"")</f>
        <v/>
      </c>
      <c r="G8774" s="2"/>
      <c r="H8774" s="2" t="str">
        <f>IFERROR(__xludf.DUMMYFUNCTION("IF(G8774&lt;&gt;"""", GOOGLETRANSLATE(G8774, ""en"", ""te""),"""")"),"")</f>
        <v/>
      </c>
      <c r="I8774" s="3"/>
    </row>
    <row r="8775" customHeight="1" spans="1:9">
      <c r="A8775" s="2"/>
      <c r="B8775" s="2" t="str">
        <f>IFERROR(__xludf.DUMMYFUNCTION("IF(A8775&lt;&gt;"""", GOOGLETRANSLATE(A8775, ""en"", ""te""),"""")"),"")</f>
        <v/>
      </c>
      <c r="C8775" s="2"/>
      <c r="D8775" s="2" t="str">
        <f>IFERROR(__xludf.DUMMYFUNCTION("IF(C8775&lt;&gt;"""", GOOGLETRANSLATE(C8775, ""en"", ""te""),"""")"),"")</f>
        <v/>
      </c>
      <c r="E8775" s="2"/>
      <c r="F8775" s="2" t="str">
        <f>IFERROR(__xludf.DUMMYFUNCTION("IF(E8775&lt;&gt;"""", GOOGLETRANSLATE(E8775, ""en"", ""te""),"""")"),"")</f>
        <v/>
      </c>
      <c r="G8775" s="2"/>
      <c r="H8775" s="2" t="str">
        <f>IFERROR(__xludf.DUMMYFUNCTION("IF(G8775&lt;&gt;"""", GOOGLETRANSLATE(G8775, ""en"", ""te""),"""")"),"")</f>
        <v/>
      </c>
      <c r="I8775" s="3"/>
    </row>
    <row r="8776" customHeight="1" spans="1:9">
      <c r="A8776" s="2"/>
      <c r="B8776" s="2" t="str">
        <f>IFERROR(__xludf.DUMMYFUNCTION("IF(A8776&lt;&gt;"""", GOOGLETRANSLATE(A8776, ""en"", ""te""),"""")"),"")</f>
        <v/>
      </c>
      <c r="C8776" s="2"/>
      <c r="D8776" s="2" t="str">
        <f>IFERROR(__xludf.DUMMYFUNCTION("IF(C8776&lt;&gt;"""", GOOGLETRANSLATE(C8776, ""en"", ""te""),"""")"),"")</f>
        <v/>
      </c>
      <c r="E8776" s="2"/>
      <c r="F8776" s="2" t="str">
        <f>IFERROR(__xludf.DUMMYFUNCTION("IF(E8776&lt;&gt;"""", GOOGLETRANSLATE(E8776, ""en"", ""te""),"""")"),"")</f>
        <v/>
      </c>
      <c r="G8776" s="2"/>
      <c r="H8776" s="2" t="str">
        <f>IFERROR(__xludf.DUMMYFUNCTION("IF(G8776&lt;&gt;"""", GOOGLETRANSLATE(G8776, ""en"", ""te""),"""")"),"")</f>
        <v/>
      </c>
      <c r="I8776" s="3"/>
    </row>
    <row r="8777" customHeight="1" spans="1:9">
      <c r="A8777" s="2"/>
      <c r="B8777" s="2" t="str">
        <f>IFERROR(__xludf.DUMMYFUNCTION("IF(A8777&lt;&gt;"""", GOOGLETRANSLATE(A8777, ""en"", ""te""),"""")"),"")</f>
        <v/>
      </c>
      <c r="C8777" s="2"/>
      <c r="D8777" s="2" t="str">
        <f>IFERROR(__xludf.DUMMYFUNCTION("IF(C8777&lt;&gt;"""", GOOGLETRANSLATE(C8777, ""en"", ""te""),"""")"),"")</f>
        <v/>
      </c>
      <c r="E8777" s="2"/>
      <c r="F8777" s="2" t="str">
        <f>IFERROR(__xludf.DUMMYFUNCTION("IF(E8777&lt;&gt;"""", GOOGLETRANSLATE(E8777, ""en"", ""te""),"""")"),"")</f>
        <v/>
      </c>
      <c r="G8777" s="2"/>
      <c r="H8777" s="2" t="str">
        <f>IFERROR(__xludf.DUMMYFUNCTION("IF(G8777&lt;&gt;"""", GOOGLETRANSLATE(G8777, ""en"", ""te""),"""")"),"")</f>
        <v/>
      </c>
      <c r="I8777" s="3"/>
    </row>
    <row r="8778" customHeight="1" spans="1:9">
      <c r="A8778" s="2" t="s">
        <v>4935</v>
      </c>
      <c r="B8778" s="2" t="str">
        <f>IFERROR(__xludf.DUMMYFUNCTION("IF(A8778&lt;&gt;"""", GOOGLETRANSLATE(A8778, ""en"", ""te""),"""")"),"[ '6 వ అత్యధిక వరుస బాతులు (3)', 'ఇన్నింగ్స్ లో 7 వ ఉత్తమ ఆర్థిక రేటు (0.60)', 'ఇన్నింగ్స్ లో 4 వ అత్యధిక పరుగులు (బ్యాటింగ్ స్థానంలో ప్రకారం) (13 *)', '7 వ అత్యుత్తమ బౌలింగ్ ఇన్నింగ్స్ విశ్లేషణలలో (2/3) ',' తొలి ఇన్నింగ్స్లో 4 వ ఉత్తమ బొమ్మలు (4) ',' 7 వ"&amp;" అత్యంత నాలుగు వికెట్లు-ఇన్-ఒక-ఇన్నింగ్స్ కెరీర్లో (3) ']")</f>
        <v>[ '6 వ అత్యధిక వరుస బాతులు (3)', 'ఇన్నింగ్స్ లో 7 వ ఉత్తమ ఆర్థిక రేటు (0.60)', 'ఇన్నింగ్స్ లో 4 వ అత్యధిక పరుగులు (బ్యాటింగ్ స్థానంలో ప్రకారం) (13 *)', '7 వ అత్యుత్తమ బౌలింగ్ ఇన్నింగ్స్ విశ్లేషణలలో (2/3) ',' తొలి ఇన్నింగ్స్లో 4 వ ఉత్తమ బొమ్మలు (4) ',' 7 వ అత్యంత నాలుగు వికెట్లు-ఇన్-ఒక-ఇన్నింగ్స్ కెరీర్లో (3) ']</v>
      </c>
      <c r="C8778" s="2"/>
      <c r="D8778" s="2" t="str">
        <f>IFERROR(__xludf.DUMMYFUNCTION("IF(C8778&lt;&gt;"""", GOOGLETRANSLATE(C8778, ""en"", ""te""),"""")"),"")</f>
        <v/>
      </c>
      <c r="E8778" s="2" t="s">
        <v>4936</v>
      </c>
      <c r="F8778" s="2" t="str">
        <f>IFERROR(__xludf.DUMMYFUNCTION("IF(E8778&lt;&gt;"""", GOOGLETRANSLATE(E8778, ""en"", ""te""),"""")"),"[ '6 వ అత్యధిక వరుస బాతులు (3)', '44th సగటు (23.96) బౌలింగ్ ఉత్తమ జీవితం' '34 వ ఉత్తమ కెరీర్ సమ్మె రేటు (31.0)', 'ఇన్నింగ్స్ లో 7 వ ఉత్తమ ఆర్థిక రేటు (0.60)']")</f>
        <v>[ '6 వ అత్యధిక వరుస బాతులు (3)', '44th సగటు (23.96) బౌలింగ్ ఉత్తమ జీవితం' '34 వ ఉత్తమ కెరీర్ సమ్మె రేటు (31.0)', 'ఇన్నింగ్స్ లో 7 వ ఉత్తమ ఆర్థిక రేటు (0.60)']</v>
      </c>
      <c r="G8778" s="2" t="s">
        <v>4937</v>
      </c>
      <c r="H8778" s="2" t="str">
        <f>IFERROR(__xludf.DUMMYFUNCTION("IF(G8778&lt;&gt;"""", GOOGLETRANSLATE(G8778, ""en"", ""te""),"""")"),"[ 'ఇన్నింగ్స్ లో 4 వ అత్యధిక పరుగులు (బ్యాటింగ్ స్థానంలో ప్రకారం) (13 *)', '29 వ అత్యధిక ఇన్నింగ్స్ తొలి డక్ ముందు (20)', 'ఇన్నింగ్స్ లో 7 వ అత్యుత్తమ బౌలింగ్ విశ్లేషణలు (2/3)', '8 వ బెస్ట్ ఫిగర్స్ ఒక ఇన్నింగ్స్ లో ఉన్నప్పుడు పరాజయం వైపు (4) ',' 32 వ ఉత్"&amp;"తమ కెరీర్ సగటు (20.40) ',' 46 వ ఉత్తమ కెరీర్ ఎకానమీ రేట్ బౌలింగ్ (7.06) ',' 38 వ ఉత్తమ కెరీర్ సమ్మె రేటు (17.3) ',' 31 ఉత్తమ సమ్మె ఒక ఇన్నింగ్స్ లో రేటు (4.5) ',' తొలి ఇన్నింగ్స్ (4) ',' 7 వ అత్యంత నాలుగు వికెట్లు-ఇన్-ఒక-ఇన్నింగ్స్ కెరీర్లో (3) ',' 32 వ అ"&amp;"త్యధిక వికెట్లు తీసుకున్న LBW లో 4 వ బెస్ట్ ఫిగర్స్ ( 5) ',' 19 వ కెరీర్ పనికత్తెలయొద్ద (3) ']")</f>
        <v>[ 'ఇన్నింగ్స్ లో 4 వ అత్యధిక పరుగులు (బ్యాటింగ్ స్థానంలో ప్రకారం) (13 *)', '29 వ అత్యధిక ఇన్నింగ్స్ తొలి డక్ ముందు (20)', 'ఇన్నింగ్స్ లో 7 వ అత్యుత్తమ బౌలింగ్ విశ్లేషణలు (2/3)', '8 వ బెస్ట్ ఫిగర్స్ ఒక ఇన్నింగ్స్ లో ఉన్నప్పుడు పరాజయం వైపు (4) ',' 32 వ ఉత్తమ కెరీర్ సగటు (20.40) ',' 46 వ ఉత్తమ కెరీర్ ఎకానమీ రేట్ బౌలింగ్ (7.06) ',' 38 వ ఉత్తమ కెరీర్ సమ్మె రేటు (17.3) ',' 31 ఉత్తమ సమ్మె ఒక ఇన్నింగ్స్ లో రేటు (4.5) ',' తొలి ఇన్నింగ్స్ (4) ',' 7 వ అత్యంత నాలుగు వికెట్లు-ఇన్-ఒక-ఇన్నింగ్స్ కెరీర్లో (3) ',' 32 వ అత్యధిక వికెట్లు తీసుకున్న LBW లో 4 వ బెస్ట్ ఫిగర్స్ ( 5) ',' 19 వ కెరీర్ పనికత్తెలయొద్ద (3) ']</v>
      </c>
      <c r="I8778" s="3"/>
    </row>
    <row r="8779" customHeight="1" spans="1:9">
      <c r="A8779" s="2"/>
      <c r="B8779" s="2" t="str">
        <f>IFERROR(__xludf.DUMMYFUNCTION("IF(A8779&lt;&gt;"""", GOOGLETRANSLATE(A8779, ""en"", ""te""),"""")"),"")</f>
        <v/>
      </c>
      <c r="C8779" s="2"/>
      <c r="D8779" s="2" t="str">
        <f>IFERROR(__xludf.DUMMYFUNCTION("IF(C8779&lt;&gt;"""", GOOGLETRANSLATE(C8779, ""en"", ""te""),"""")"),"")</f>
        <v/>
      </c>
      <c r="E8779" s="2"/>
      <c r="F8779" s="2" t="str">
        <f>IFERROR(__xludf.DUMMYFUNCTION("IF(E8779&lt;&gt;"""", GOOGLETRANSLATE(E8779, ""en"", ""te""),"""")"),"")</f>
        <v/>
      </c>
      <c r="G8779" s="2"/>
      <c r="H8779" s="2" t="str">
        <f>IFERROR(__xludf.DUMMYFUNCTION("IF(G8779&lt;&gt;"""", GOOGLETRANSLATE(G8779, ""en"", ""te""),"""")"),"")</f>
        <v/>
      </c>
      <c r="I8779" s="3"/>
    </row>
    <row r="8780" customHeight="1" spans="1:9">
      <c r="A8780" s="2"/>
      <c r="B8780" s="2" t="str">
        <f>IFERROR(__xludf.DUMMYFUNCTION("IF(A8780&lt;&gt;"""", GOOGLETRANSLATE(A8780, ""en"", ""te""),"""")"),"")</f>
        <v/>
      </c>
      <c r="C8780" s="2"/>
      <c r="D8780" s="2" t="str">
        <f>IFERROR(__xludf.DUMMYFUNCTION("IF(C8780&lt;&gt;"""", GOOGLETRANSLATE(C8780, ""en"", ""te""),"""")"),"")</f>
        <v/>
      </c>
      <c r="E8780" s="2"/>
      <c r="F8780" s="2" t="str">
        <f>IFERROR(__xludf.DUMMYFUNCTION("IF(E8780&lt;&gt;"""", GOOGLETRANSLATE(E8780, ""en"", ""te""),"""")"),"")</f>
        <v/>
      </c>
      <c r="G8780" s="2"/>
      <c r="H8780" s="2" t="str">
        <f>IFERROR(__xludf.DUMMYFUNCTION("IF(G8780&lt;&gt;"""", GOOGLETRANSLATE(G8780, ""en"", ""te""),"""")"),"")</f>
        <v/>
      </c>
      <c r="I8780" s="3"/>
    </row>
    <row r="8781" customHeight="1" spans="1:9">
      <c r="A8781" s="2"/>
      <c r="B8781" s="2" t="str">
        <f>IFERROR(__xludf.DUMMYFUNCTION("IF(A8781&lt;&gt;"""", GOOGLETRANSLATE(A8781, ""en"", ""te""),"""")"),"")</f>
        <v/>
      </c>
      <c r="C8781" s="2"/>
      <c r="D8781" s="2" t="str">
        <f>IFERROR(__xludf.DUMMYFUNCTION("IF(C8781&lt;&gt;"""", GOOGLETRANSLATE(C8781, ""en"", ""te""),"""")"),"")</f>
        <v/>
      </c>
      <c r="E8781" s="2"/>
      <c r="F8781" s="2" t="str">
        <f>IFERROR(__xludf.DUMMYFUNCTION("IF(E8781&lt;&gt;"""", GOOGLETRANSLATE(E8781, ""en"", ""te""),"""")"),"")</f>
        <v/>
      </c>
      <c r="G8781" s="2"/>
      <c r="H8781" s="2" t="str">
        <f>IFERROR(__xludf.DUMMYFUNCTION("IF(G8781&lt;&gt;"""", GOOGLETRANSLATE(G8781, ""en"", ""te""),"""")"),"")</f>
        <v/>
      </c>
      <c r="I8781" s="3"/>
    </row>
    <row r="8782" customHeight="1" spans="1:9">
      <c r="A8782" s="2"/>
      <c r="B8782" s="2" t="str">
        <f>IFERROR(__xludf.DUMMYFUNCTION("IF(A8782&lt;&gt;"""", GOOGLETRANSLATE(A8782, ""en"", ""te""),"""")"),"")</f>
        <v/>
      </c>
      <c r="C8782" s="2"/>
      <c r="D8782" s="2" t="str">
        <f>IFERROR(__xludf.DUMMYFUNCTION("IF(C8782&lt;&gt;"""", GOOGLETRANSLATE(C8782, ""en"", ""te""),"""")"),"")</f>
        <v/>
      </c>
      <c r="E8782" s="2"/>
      <c r="F8782" s="2" t="str">
        <f>IFERROR(__xludf.DUMMYFUNCTION("IF(E8782&lt;&gt;"""", GOOGLETRANSLATE(E8782, ""en"", ""te""),"""")"),"")</f>
        <v/>
      </c>
      <c r="G8782" s="2" t="s">
        <v>4938</v>
      </c>
      <c r="H8782" s="2" t="str">
        <f>IFERROR(__xludf.DUMMYFUNCTION("IF(G8782&lt;&gt;"""", GOOGLETRANSLATE(G8782, ""en"", ""te""),"""")"),"[ '21 వ ఇన్నింగ్స్ లో అత్యధిక పరుగులు (బ్యాటింగ్ స్థానంలో ప్రకారం) (89 *)', '13 వ అత్యధిక కెరీర్ సమ్మె రేటు (150.34)', 'కెరీర్లో 24 వ లేవు బాతులు (21)']")</f>
        <v>[ '21 వ ఇన్నింగ్స్ లో అత్యధిక పరుగులు (బ్యాటింగ్ స్థానంలో ప్రకారం) (89 *)', '13 వ అత్యధిక కెరీర్ సమ్మె రేటు (150.34)', 'కెరీర్లో 24 వ లేవు బాతులు (21)']</v>
      </c>
      <c r="I8782" s="3"/>
    </row>
    <row r="8783" customHeight="1" spans="1:9">
      <c r="A8783" s="2" t="s">
        <v>4939</v>
      </c>
      <c r="B8783" s="2" t="str">
        <f>IFERROR(__xludf.DUMMYFUNCTION("IF(A8783&lt;&gt;"""", GOOGLETRANSLATE(A8783, ""en"", ""te""),"""")"),"[ 'పదవ వికెట్కు 10 వ అత్యధిక భాగస్వామ్యం (18)']")</f>
        <v>[ 'పదవ వికెట్కు 10 వ అత్యధిక భాగస్వామ్యం (18)']</v>
      </c>
      <c r="C8783" s="2"/>
      <c r="D8783" s="2" t="str">
        <f>IFERROR(__xludf.DUMMYFUNCTION("IF(C8783&lt;&gt;"""", GOOGLETRANSLATE(C8783, ""en"", ""te""),"""")"),"")</f>
        <v/>
      </c>
      <c r="E8783" s="2" t="s">
        <v>4940</v>
      </c>
      <c r="F8783" s="2" t="str">
        <f>IFERROR(__xludf.DUMMYFUNCTION("IF(E8783&lt;&gt;"""", GOOGLETRANSLATE(E8783, ""en"", ""te""),"""")"),"[ '45 వ కెప్టెన్గా అత్యధిక మ్యాచ్లు (17)', '33 వ పిన్న కాప్టెన్ (23y 226d)']")</f>
        <v>[ '45 వ కెప్టెన్గా అత్యధిక మ్యాచ్లు (17)', '33 వ పిన్న కాప్టెన్ (23y 226d)']</v>
      </c>
      <c r="G8783" s="2" t="s">
        <v>4941</v>
      </c>
      <c r="H8783" s="2" t="str">
        <f>IFERROR(__xludf.DUMMYFUNCTION("IF(G8783&lt;&gt;"""", GOOGLETRANSLATE(G8783, ""en"", ""te""),"""")"),"[ '28 మొదటి డక్ ముందు అత్యంత ఇన్నింగ్స్ (16)', 'ఇన్నింగ్స్ లో 33 వ ఉత్తమ సమ్మె రేటు (4.0)', '20 వ చెత్త కెరీర్లో ఆర్థిక రేటు (6.27)', '49 వ కెరీర్ లో సాధించిన అత్యధిక పరుగులు (875)', ' 24 వ అత్యంత తీసుకున్న ఎల్బిడబ్ల్యు వికెట్స్ (7) ',' ఆరవ వికెట్కు 39 వ "&amp;"అత్యధిక భాగస్వామ్యం (41) ',' ఎనిమిదవ వికెట్కు 29 అత్యధిక భాగస్వామ్యం (25) ',' పదవ వికెట్కు 10 వ అత్యధిక భాగస్వామ్యం (18) ',' 15 వ అత్యంత కెప్టెన్ (32) గా పేర్కొంటే ']")</f>
        <v>[ '28 మొదటి డక్ ముందు అత్యంత ఇన్నింగ్స్ (16)', 'ఇన్నింగ్స్ లో 33 వ ఉత్తమ సమ్మె రేటు (4.0)', '20 వ చెత్త కెరీర్లో ఆర్థిక రేటు (6.27)', '49 వ కెరీర్ లో సాధించిన అత్యధిక పరుగులు (875)', ' 24 వ అత్యంత తీసుకున్న ఎల్బిడబ్ల్యు వికెట్స్ (7) ',' ఆరవ వికెట్కు 39 వ అత్యధిక భాగస్వామ్యం (41) ',' ఎనిమిదవ వికెట్కు 29 అత్యధిక భాగస్వామ్యం (25) ',' పదవ వికెట్కు 10 వ అత్యధిక భాగస్వామ్యం (18) ',' 15 వ అత్యంత కెప్టెన్ (32) గా పేర్కొంటే ']</v>
      </c>
      <c r="I8783" s="3"/>
    </row>
    <row r="8784" customHeight="1" spans="1:9">
      <c r="A8784" s="2"/>
      <c r="B8784" s="2" t="str">
        <f>IFERROR(__xludf.DUMMYFUNCTION("IF(A8784&lt;&gt;"""", GOOGLETRANSLATE(A8784, ""en"", ""te""),"""")"),"")</f>
        <v/>
      </c>
      <c r="C8784" s="2"/>
      <c r="D8784" s="2" t="str">
        <f>IFERROR(__xludf.DUMMYFUNCTION("IF(C8784&lt;&gt;"""", GOOGLETRANSLATE(C8784, ""en"", ""te""),"""")"),"")</f>
        <v/>
      </c>
      <c r="E8784" s="2"/>
      <c r="F8784" s="2" t="str">
        <f>IFERROR(__xludf.DUMMYFUNCTION("IF(E8784&lt;&gt;"""", GOOGLETRANSLATE(E8784, ""en"", ""te""),"""")"),"")</f>
        <v/>
      </c>
      <c r="G8784" s="2"/>
      <c r="H8784" s="2" t="str">
        <f>IFERROR(__xludf.DUMMYFUNCTION("IF(G8784&lt;&gt;"""", GOOGLETRANSLATE(G8784, ""en"", ""te""),"""")"),"")</f>
        <v/>
      </c>
      <c r="I8784" s="3"/>
    </row>
    <row r="8785" customHeight="1" spans="1:9">
      <c r="A8785" s="2"/>
      <c r="B8785" s="2" t="str">
        <f>IFERROR(__xludf.DUMMYFUNCTION("IF(A8785&lt;&gt;"""", GOOGLETRANSLATE(A8785, ""en"", ""te""),"""")"),"")</f>
        <v/>
      </c>
      <c r="C8785" s="2"/>
      <c r="D8785" s="2" t="str">
        <f>IFERROR(__xludf.DUMMYFUNCTION("IF(C8785&lt;&gt;"""", GOOGLETRANSLATE(C8785, ""en"", ""te""),"""")"),"")</f>
        <v/>
      </c>
      <c r="E8785" s="2"/>
      <c r="F8785" s="2" t="str">
        <f>IFERROR(__xludf.DUMMYFUNCTION("IF(E8785&lt;&gt;"""", GOOGLETRANSLATE(E8785, ""en"", ""te""),"""")"),"")</f>
        <v/>
      </c>
      <c r="G8785" s="2"/>
      <c r="H8785" s="2" t="str">
        <f>IFERROR(__xludf.DUMMYFUNCTION("IF(G8785&lt;&gt;"""", GOOGLETRANSLATE(G8785, ""en"", ""te""),"""")"),"")</f>
        <v/>
      </c>
      <c r="I8785" s="3"/>
    </row>
    <row r="8786" customHeight="1" spans="1:9">
      <c r="A8786" s="2" t="s">
        <v>4942</v>
      </c>
      <c r="B8786" s="2" t="str">
        <f>IFERROR(__xludf.DUMMYFUNCTION("IF(A8786&lt;&gt;"""", GOOGLETRANSLATE(A8786, ""en"", ""te""),"""")"),"[ 'కెరీర్లో 8 వ అత్యధిక వికెట్లు (76)', '7 వ అత్యంత బంతుల్లో కెరీర్లో బౌల్డ్ (1370)', '9 వ అత్యధిక పరుగులు కెరీర్లో సాధించిన (1624)', '3 వ అత్యంత చిక్కుకున్న ఫీల్డర్ చేత తీసుకోబడిన వికెట్ల (48)', 'పదవ వికెట్కు 4 వ అత్యధిక భాగస్వామ్యం (29 *)']")</f>
        <v>[ 'కెరీర్లో 8 వ అత్యధిక వికెట్లు (76)', '7 వ అత్యంత బంతుల్లో కెరీర్లో బౌల్డ్ (1370)', '9 వ అత్యధిక పరుగులు కెరీర్లో సాధించిన (1624)', '3 వ అత్యంత చిక్కుకున్న ఫీల్డర్ చేత తీసుకోబడిన వికెట్ల (48)', 'పదవ వికెట్కు 4 వ అత్యధిక భాగస్వామ్యం (29 *)']</v>
      </c>
      <c r="C8786" s="2" t="s">
        <v>4943</v>
      </c>
      <c r="D8786" s="2" t="str">
        <f>IFERROR(__xludf.DUMMYFUNCTION("IF(C8786&lt;&gt;"""", GOOGLETRANSLATE(C8786, ""en"", ""te""),"""")"),"[ 'పదవ వికెట్కు 42 వ అత్యధిక భాగస్వామ్యం (87)']")</f>
        <v>[ 'పదవ వికెట్కు 42 వ అత్యధిక భాగస్వామ్యం (87)']</v>
      </c>
      <c r="E8786" s="2" t="s">
        <v>4944</v>
      </c>
      <c r="F8786" s="2" t="str">
        <f>IFERROR(__xludf.DUMMYFUNCTION("IF(E8786&lt;&gt;"""", GOOGLETRANSLATE(E8786, ""en"", ""te""),"""")"),"[ '43 వ పిన్న క్రీడాకారులు (17y 267d)']")</f>
        <v>[ '43 వ పిన్న క్రీడాకారులు (17y 267d)']</v>
      </c>
      <c r="G8786" s="2" t="s">
        <v>4945</v>
      </c>
      <c r="H8786" s="2" t="str">
        <f>IFERROR(__xludf.DUMMYFUNCTION("IF(G8786&lt;&gt;"""", GOOGLETRANSLATE(G8786, ""en"", ""te""),"""")"),"[ '28 ఇన్నింగ్స్ లో అత్యధిక పరుగులు (బ్యాటింగ్ స్థానంలో ప్రకారం) (25 *)', '8 వ కెరీర్ లో అత్యధిక వికెట్లు (76)', '17 వ అత్యుత్తమ బౌలింగ్ ఇన్నింగ్స్ లో విశ్లేషించడం (3/7)', '15 న అత్యధిక వికెట్లు ఒకే క్రీడా (16) ',' 41 వ బౌలింగ్ ఉత్తమ కెరీర్ సగటు (21.36) '"&amp;",' 49 వ ఉత్తమ కెరీర్ ఆర్థిక రేటు (7.11) ',' 45 వ ఉత్తమ కెరీర్ సమ్మె రేటు (18.0) ',' 7 వ కెరీర్ లో బౌల్డ్ చాలా బంతుల్లో (1370 ) ',' 9 వ కెరీర్ లో సాధించిన (1624) ',' 17 వ బౌలర్ అత్యధిక పరుగులు / బ్యాట్స్ కలయికలు (3) ',' 12 వ బౌలర్ / ఫీల్డర్ కలయికలు (8) ','"&amp;" 6 వ అత్యధిక వికెట్లు తీసుకున్న ఆకర్షించింది (51) ',' 10 వ అత్యధిక వికెట్లను తీసుకున్నాడు క్యాచ్ మరియు బౌల్డ్ (4) ',' 3 వ అత్యంత ఫీల్డర్ చేత క్యాచ్ తీసుకోబడిన వికెట్ల (48) ',' 9 వ అత్యధిక వికెట్లు తీసుకున్న ఎల్బిడబ్ల్యు (8) ',' 6 వ అత్యధిక వికెట్లు తీసుకు"&amp;"న్న స్టంప్ (9) ',' 18 వ వేగంగా ఒక ఇన్నింగ్స్ లో 50 వికెట్లు (42) ',' 13 వ అత్యధిక క్యాచ్లు కెరీర్లో (40) ',' 15 వ అత్యధిక క్యాచ్లు (3) ',' ఏడవ వికెట్కు 10 వ అత్యధిక భాగస్వామ్యం (67 *) ',' 4 వ అత్యధిక భాగస్వామ్యాన్ని పదవ వికెట్ను (29 *) ',' 30 వ కెరీర్ లో "&amp;"అత్యధిక మ్యాచ్లు (77) ']")</f>
        <v>[ '28 ఇన్నింగ్స్ లో అత్యధిక పరుగులు (బ్యాటింగ్ స్థానంలో ప్రకారం) (25 *)', '8 వ కెరీర్ లో అత్యధిక వికెట్లు (76)', '17 వ అత్యుత్తమ బౌలింగ్ ఇన్నింగ్స్ లో విశ్లేషించడం (3/7)', '15 న అత్యధిక వికెట్లు ఒకే క్రీడా (16) ',' 41 వ బౌలింగ్ ఉత్తమ కెరీర్ సగటు (21.36) ',' 49 వ ఉత్తమ కెరీర్ ఆర్థిక రేటు (7.11) ',' 45 వ ఉత్తమ కెరీర్ సమ్మె రేటు (18.0) ',' 7 వ కెరీర్ లో బౌల్డ్ చాలా బంతుల్లో (1370 ) ',' 9 వ కెరీర్ లో సాధించిన (1624) ',' 17 వ బౌలర్ అత్యధిక పరుగులు / బ్యాట్స్ కలయికలు (3) ',' 12 వ బౌలర్ / ఫీల్డర్ కలయికలు (8) ',' 6 వ అత్యధిక వికెట్లు తీసుకున్న ఆకర్షించింది (51) ',' 10 వ అత్యధిక వికెట్లను తీసుకున్నాడు క్యాచ్ మరియు బౌల్డ్ (4) ',' 3 వ అత్యంత ఫీల్డర్ చేత క్యాచ్ తీసుకోబడిన వికెట్ల (48) ',' 9 వ అత్యధిక వికెట్లు తీసుకున్న ఎల్బిడబ్ల్యు (8) ',' 6 వ అత్యధిక వికెట్లు తీసుకున్న స్టంప్ (9) ',' 18 వ వేగంగా ఒక ఇన్నింగ్స్ లో 50 వికెట్లు (42) ',' 13 వ అత్యధిక క్యాచ్లు కెరీర్లో (40) ',' 15 వ అత్యధిక క్యాచ్లు (3) ',' ఏడవ వికెట్కు 10 వ అత్యధిక భాగస్వామ్యం (67 *) ',' 4 వ అత్యధిక భాగస్వామ్యాన్ని పదవ వికెట్ను (29 *) ',' 30 వ కెరీర్ లో అత్యధిక మ్యాచ్లు (77) ']</v>
      </c>
      <c r="I8786" s="3"/>
    </row>
    <row r="8787" customHeight="1" spans="1:9">
      <c r="A8787" s="2"/>
      <c r="B8787" s="2" t="str">
        <f>IFERROR(__xludf.DUMMYFUNCTION("IF(A8787&lt;&gt;"""", GOOGLETRANSLATE(A8787, ""en"", ""te""),"""")"),"")</f>
        <v/>
      </c>
      <c r="C8787" s="2"/>
      <c r="D8787" s="2" t="str">
        <f>IFERROR(__xludf.DUMMYFUNCTION("IF(C8787&lt;&gt;"""", GOOGLETRANSLATE(C8787, ""en"", ""te""),"""")"),"")</f>
        <v/>
      </c>
      <c r="E8787" s="2"/>
      <c r="F8787" s="2" t="str">
        <f>IFERROR(__xludf.DUMMYFUNCTION("IF(E8787&lt;&gt;"""", GOOGLETRANSLATE(E8787, ""en"", ""te""),"""")"),"")</f>
        <v/>
      </c>
      <c r="G8787" s="2"/>
      <c r="H8787" s="2" t="str">
        <f>IFERROR(__xludf.DUMMYFUNCTION("IF(G8787&lt;&gt;"""", GOOGLETRANSLATE(G8787, ""en"", ""te""),"""")"),"")</f>
        <v/>
      </c>
      <c r="I8787" s="3"/>
    </row>
    <row r="8788" customHeight="1" spans="1:9">
      <c r="A8788" s="2"/>
      <c r="B8788" s="2" t="str">
        <f>IFERROR(__xludf.DUMMYFUNCTION("IF(A8788&lt;&gt;"""", GOOGLETRANSLATE(A8788, ""en"", ""te""),"""")"),"")</f>
        <v/>
      </c>
      <c r="C8788" s="2"/>
      <c r="D8788" s="2" t="str">
        <f>IFERROR(__xludf.DUMMYFUNCTION("IF(C8788&lt;&gt;"""", GOOGLETRANSLATE(C8788, ""en"", ""te""),"""")"),"")</f>
        <v/>
      </c>
      <c r="E8788" s="2" t="s">
        <v>4893</v>
      </c>
      <c r="F8788" s="2" t="str">
        <f>IFERROR(__xludf.DUMMYFUNCTION("IF(E8788&lt;&gt;"""", GOOGLETRANSLATE(E8788, ""en"", ""te""),"""")"),"[ '27 చెత్త కెరీర్ బౌలింగ్ సరాసరి (అర్హత లేకుండా) (128.00)']")</f>
        <v>[ '27 చెత్త కెరీర్ బౌలింగ్ సరాసరి (అర్హత లేకుండా) (128.00)']</v>
      </c>
      <c r="G8788" s="2"/>
      <c r="H8788" s="2" t="str">
        <f>IFERROR(__xludf.DUMMYFUNCTION("IF(G8788&lt;&gt;"""", GOOGLETRANSLATE(G8788, ""en"", ""te""),"""")"),"")</f>
        <v/>
      </c>
      <c r="I8788" s="3"/>
    </row>
    <row r="8789" customHeight="1" spans="1:9">
      <c r="A8789" s="2"/>
      <c r="B8789" s="2" t="str">
        <f>IFERROR(__xludf.DUMMYFUNCTION("IF(A8789&lt;&gt;"""", GOOGLETRANSLATE(A8789, ""en"", ""te""),"""")"),"")</f>
        <v/>
      </c>
      <c r="C8789" s="2"/>
      <c r="D8789" s="2" t="str">
        <f>IFERROR(__xludf.DUMMYFUNCTION("IF(C8789&lt;&gt;"""", GOOGLETRANSLATE(C8789, ""en"", ""te""),"""")"),"")</f>
        <v/>
      </c>
      <c r="E8789" s="2"/>
      <c r="F8789" s="2" t="str">
        <f>IFERROR(__xludf.DUMMYFUNCTION("IF(E8789&lt;&gt;"""", GOOGLETRANSLATE(E8789, ""en"", ""te""),"""")"),"")</f>
        <v/>
      </c>
      <c r="G8789" s="2"/>
      <c r="H8789" s="2" t="str">
        <f>IFERROR(__xludf.DUMMYFUNCTION("IF(G8789&lt;&gt;"""", GOOGLETRANSLATE(G8789, ""en"", ""te""),"""")"),"")</f>
        <v/>
      </c>
      <c r="I8789" s="3"/>
    </row>
    <row r="8790" customHeight="1" spans="1:9">
      <c r="A8790" s="2"/>
      <c r="B8790" s="2" t="str">
        <f>IFERROR(__xludf.DUMMYFUNCTION("IF(A8790&lt;&gt;"""", GOOGLETRANSLATE(A8790, ""en"", ""te""),"""")"),"")</f>
        <v/>
      </c>
      <c r="C8790" s="2"/>
      <c r="D8790" s="2" t="str">
        <f>IFERROR(__xludf.DUMMYFUNCTION("IF(C8790&lt;&gt;"""", GOOGLETRANSLATE(C8790, ""en"", ""te""),"""")"),"")</f>
        <v/>
      </c>
      <c r="E8790" s="2"/>
      <c r="F8790" s="2" t="str">
        <f>IFERROR(__xludf.DUMMYFUNCTION("IF(E8790&lt;&gt;"""", GOOGLETRANSLATE(E8790, ""en"", ""te""),"""")"),"")</f>
        <v/>
      </c>
      <c r="G8790" s="2"/>
      <c r="H8790" s="2" t="str">
        <f>IFERROR(__xludf.DUMMYFUNCTION("IF(G8790&lt;&gt;"""", GOOGLETRANSLATE(G8790, ""en"", ""te""),"""")"),"")</f>
        <v/>
      </c>
      <c r="I8790" s="3"/>
    </row>
    <row r="8791" customHeight="1" spans="1:9">
      <c r="A8791" s="2" t="s">
        <v>749</v>
      </c>
      <c r="B8791" s="2" t="str">
        <f>IFERROR(__xludf.DUMMYFUNCTION("IF(A8791&lt;&gt;"""", GOOGLETRANSLATE(A8791, ""en"", ""te""),"""")"),"[ '6 వ అత్యధిక వరుస బాతులు (3)']")</f>
        <v>[ '6 వ అత్యధిక వరుస బాతులు (3)']</v>
      </c>
      <c r="C8791" s="2"/>
      <c r="D8791" s="2" t="str">
        <f>IFERROR(__xludf.DUMMYFUNCTION("IF(C8791&lt;&gt;"""", GOOGLETRANSLATE(C8791, ""en"", ""te""),"""")"),"")</f>
        <v/>
      </c>
      <c r="E8791" s="2" t="s">
        <v>749</v>
      </c>
      <c r="F8791" s="2" t="str">
        <f>IFERROR(__xludf.DUMMYFUNCTION("IF(E8791&lt;&gt;"""", GOOGLETRANSLATE(E8791, ""en"", ""te""),"""")"),"[ '6 వ అత్యధిక వరుస బాతులు (3)']")</f>
        <v>[ '6 వ అత్యధిక వరుస బాతులు (3)']</v>
      </c>
      <c r="G8791" s="2"/>
      <c r="H8791" s="2" t="str">
        <f>IFERROR(__xludf.DUMMYFUNCTION("IF(G8791&lt;&gt;"""", GOOGLETRANSLATE(G8791, ""en"", ""te""),"""")"),"")</f>
        <v/>
      </c>
      <c r="I8791" s="3"/>
    </row>
    <row r="8792" customHeight="1" spans="1:9">
      <c r="A8792" s="2" t="s">
        <v>4946</v>
      </c>
      <c r="B8792" s="2" t="str">
        <f>IFERROR(__xludf.DUMMYFUNCTION("IF(A8792&lt;&gt;"""", GOOGLETRANSLATE(A8792, ""en"", ""te""),"""")"),"[ 'ఇన్నింగ్స్ లో 5 వ అత్యధిక వికెట్లు (5)', '7 వ పిన్న క్రీడాకారులు (14y 70d)', '1 వ ఇన్నింగ్స్ లో అత్యధిక క్యాచ్లు (5)', 'బ్యాటింగ్ తెరవడం మరియు అదే మ్యాచ్ లో బౌలింగ్', '4 వ అత్యధిక పదవ వికెట్కు భాగస్వామ్యం (53) ',' కెరీర్ లో 6 వ అతి తక్కువ బాతులు (46) '"&amp;"]")</f>
        <v>[ 'ఇన్నింగ్స్ లో 5 వ అత్యధిక వికెట్లు (5)', '7 వ పిన్న క్రీడాకారులు (14y 70d)', '1 వ ఇన్నింగ్స్ లో అత్యధిక క్యాచ్లు (5)', 'బ్యాటింగ్ తెరవడం మరియు అదే మ్యాచ్ లో బౌలింగ్', '4 వ అత్యధిక పదవ వికెట్కు భాగస్వామ్యం (53) ',' కెరీర్ లో 6 వ అతి తక్కువ బాతులు (46) ']</v>
      </c>
      <c r="C8792" s="2"/>
      <c r="D8792" s="2" t="str">
        <f>IFERROR(__xludf.DUMMYFUNCTION("IF(C8792&lt;&gt;"""", GOOGLETRANSLATE(C8792, ""en"", ""te""),"""")"),"")</f>
        <v/>
      </c>
      <c r="E8792" s="2" t="s">
        <v>4947</v>
      </c>
      <c r="F8792" s="2" t="str">
        <f>IFERROR(__xludf.DUMMYFUNCTION("IF(E8792&lt;&gt;"""", GOOGLETRANSLATE(E8792, ""en"", ""te""),"""")"),"[ '12 వ ఇన్నింగ్స్ లో అత్యధిక పరుగులు (బ్యాటింగ్ స్థానంలో ప్రకారం) (72 *)', '21 వ ఉత్తమ ఇన్నింగ్స్ లో సమ్మె రేటు (7.5) ',' 31 సగటు (33.91) బౌలింగ్ చెత్త జీవితం ',' 16 వ చెత్త కెరీర్లో ఆర్థిక రేటు ( 4.48) పదవ వికెట్కు ',' 4 వ అత్యధిక భాగస్వామ్యం (53) ',' ఇ"&amp;"న్నింగ్స్ లో 7 వ పిన్న క్రీడాకారులు (14y 70d) ',' ఇన్నింగ్స్ లో 5 వ అత్యధిక వికెట్లు (5) ',' 1 వ అత్యధిక క్యాచ్లు (5) ' ]")</f>
        <v>[ '12 వ ఇన్నింగ్స్ లో అత్యధిక పరుగులు (బ్యాటింగ్ స్థానంలో ప్రకారం) (72 *)', '21 వ ఉత్తమ ఇన్నింగ్స్ లో సమ్మె రేటు (7.5) ',' 31 సగటు (33.91) బౌలింగ్ చెత్త జీవితం ',' 16 వ చెత్త కెరీర్లో ఆర్థిక రేటు ( 4.48) పదవ వికెట్కు ',' 4 వ అత్యధిక భాగస్వామ్యం (53) ',' ఇన్నింగ్స్ లో 7 వ పిన్న క్రీడాకారులు (14y 70d) ',' ఇన్నింగ్స్ లో 5 వ అత్యధిక వికెట్లు (5) ',' 1 వ అత్యధిక క్యాచ్లు (5) ' ]</v>
      </c>
      <c r="G8792" s="2" t="s">
        <v>4948</v>
      </c>
      <c r="H8792" s="2" t="str">
        <f>IFERROR(__xludf.DUMMYFUNCTION("IF(G8792&lt;&gt;"""", GOOGLETRANSLATE(G8792, ""en"", ""te""),"""")"),"[, '39 వ వరుస ఒక డక్ లేకుండా ఇన్నింగ్స్ (30)', 'మొదటి డక్ (30) ముందు 6 వ అత్యంత ఇన్నింగ్స్' 'కెరీర్లో 6 వ అతి తక్కువ బాతులు (46)' '23 (210) ఒకే మైదానంలో అత్యధిక పరుగులు', 'ఒక ఇన్నింగ్స్లో పరుగులు అత్యధికంగా 16 శాతం (61.33)', '42 వ ఉత్తమ కెరీర్ సగటు (19.8"&amp;"8) బౌలింగ్', '48 వ ఉత్తమ కెరీర్ ఎకానమీ రేట్' కెప్టెన్ (3) ఒక ఇన్నింగ్స్ లో 21 వ బెస్ట్ ఫిగర్స్ '(5.77) ',' 42 వ ఉత్తమ కెరీర్ సమ్మె రేటు (20.6) ',' 34 వ బౌలర్ / ఫీల్డర్ కలయికలు (8) ',' 32 వ అత్యధిక వికెట్లు తీసుకున్న బౌల్డ్ (13) ',' 43 వ అత్యధిక వికెట్లు త"&amp;"ీసుకున్న ఆకర్షించింది (26) ',' 12 వ అత్యధిక వికెట్లు ఒక వికెట్ కీపర్ చే కాట్ తీసుకోకూడదు (7) ',' 46 వ కెరీర్ లో అత్యధిక క్యాచ్లు (18) ',' ఏడవ వికెట్ (45 *) ',' ఎనిమిదవ వికెట్కు 40 వ అత్యధిక భాగస్వామ్యం (22 *) కోసం 14 అత్యధిక భాగస్వామ్యం ',' తొమ్మిదవ వికెట"&amp;"్కు 35 వ అత్యధిక భాగస్వామ్యం (17) ',' 44th పిన్న క్రీడాకారులు (14y 174d) ',' 45 వ పిన్న కాప్టెన్ (23y 33d) ',' 41 వ కెరీర్ (5) అత్యంత పనికత్తెలయొద్ద ']")</f>
        <v>[, '39 వ వరుస ఒక డక్ లేకుండా ఇన్నింగ్స్ (30)', 'మొదటి డక్ (30) ముందు 6 వ అత్యంత ఇన్నింగ్స్' 'కెరీర్లో 6 వ అతి తక్కువ బాతులు (46)' '23 (210) ఒకే మైదానంలో అత్యధిక పరుగులు', 'ఒక ఇన్నింగ్స్లో పరుగులు అత్యధికంగా 16 శాతం (61.33)', '42 వ ఉత్తమ కెరీర్ సగటు (19.88) బౌలింగ్', '48 వ ఉత్తమ కెరీర్ ఎకానమీ రేట్' కెప్టెన్ (3) ఒక ఇన్నింగ్స్ లో 21 వ బెస్ట్ ఫిగర్స్ '(5.77) ',' 42 వ ఉత్తమ కెరీర్ సమ్మె రేటు (20.6) ',' 34 వ బౌలర్ / ఫీల్డర్ కలయికలు (8) ',' 32 వ అత్యధిక వికెట్లు తీసుకున్న బౌల్డ్ (13) ',' 43 వ అత్యధిక వికెట్లు తీసుకున్న ఆకర్షించింది (26) ',' 12 వ అత్యధిక వికెట్లు ఒక వికెట్ కీపర్ చే కాట్ తీసుకోకూడదు (7) ',' 46 వ కెరీర్ లో అత్యధిక క్యాచ్లు (18) ',' ఏడవ వికెట్ (45 *) ',' ఎనిమిదవ వికెట్కు 40 వ అత్యధిక భాగస్వామ్యం (22 *) కోసం 14 అత్యధిక భాగస్వామ్యం ',' తొమ్మిదవ వికెట్కు 35 వ అత్యధిక భాగస్వామ్యం (17) ',' 44th పిన్న క్రీడాకారులు (14y 174d) ',' 45 వ పిన్న కాప్టెన్ (23y 33d) ',' 41 వ కెరీర్ (5) అత్యంత పనికత్తెలయొద్ద ']</v>
      </c>
      <c r="I8792" s="3"/>
    </row>
    <row r="8793" customHeight="1" spans="1:9">
      <c r="A8793" s="2"/>
      <c r="B8793" s="2" t="str">
        <f>IFERROR(__xludf.DUMMYFUNCTION("IF(A8793&lt;&gt;"""", GOOGLETRANSLATE(A8793, ""en"", ""te""),"""")"),"")</f>
        <v/>
      </c>
      <c r="C8793" s="2"/>
      <c r="D8793" s="2" t="str">
        <f>IFERROR(__xludf.DUMMYFUNCTION("IF(C8793&lt;&gt;"""", GOOGLETRANSLATE(C8793, ""en"", ""te""),"""")"),"")</f>
        <v/>
      </c>
      <c r="E8793" s="2" t="s">
        <v>832</v>
      </c>
      <c r="F8793" s="2" t="str">
        <f>IFERROR(__xludf.DUMMYFUNCTION("IF(E8793&lt;&gt;"""", GOOGLETRANSLATE(E8793, ""en"", ""te""),"""")"),"[ 'తొలి ఇన్నింగ్స్ 15 వ బెస్ట్ ఫిగర్స్ (3)']")</f>
        <v>[ 'తొలి ఇన్నింగ్స్ 15 వ బెస్ట్ ఫిగర్స్ (3)']</v>
      </c>
      <c r="G8793" s="2"/>
      <c r="H8793" s="2" t="str">
        <f>IFERROR(__xludf.DUMMYFUNCTION("IF(G8793&lt;&gt;"""", GOOGLETRANSLATE(G8793, ""en"", ""te""),"""")"),"")</f>
        <v/>
      </c>
      <c r="I8793" s="3"/>
    </row>
    <row r="8794" customHeight="1" spans="1:9">
      <c r="A8794" s="2"/>
      <c r="B8794" s="2" t="str">
        <f>IFERROR(__xludf.DUMMYFUNCTION("IF(A8794&lt;&gt;"""", GOOGLETRANSLATE(A8794, ""en"", ""te""),"""")"),"")</f>
        <v/>
      </c>
      <c r="C8794" s="2"/>
      <c r="D8794" s="2" t="str">
        <f>IFERROR(__xludf.DUMMYFUNCTION("IF(C8794&lt;&gt;"""", GOOGLETRANSLATE(C8794, ""en"", ""te""),"""")"),"")</f>
        <v/>
      </c>
      <c r="E8794" s="2"/>
      <c r="F8794" s="2" t="str">
        <f>IFERROR(__xludf.DUMMYFUNCTION("IF(E8794&lt;&gt;"""", GOOGLETRANSLATE(E8794, ""en"", ""te""),"""")"),"")</f>
        <v/>
      </c>
      <c r="G8794" s="2"/>
      <c r="H8794" s="2" t="str">
        <f>IFERROR(__xludf.DUMMYFUNCTION("IF(G8794&lt;&gt;"""", GOOGLETRANSLATE(G8794, ""en"", ""te""),"""")"),"")</f>
        <v/>
      </c>
      <c r="I8794" s="3"/>
    </row>
    <row r="8795" customHeight="1" spans="1:9">
      <c r="A8795" s="2"/>
      <c r="B8795" s="2" t="str">
        <f>IFERROR(__xludf.DUMMYFUNCTION("IF(A8795&lt;&gt;"""", GOOGLETRANSLATE(A8795, ""en"", ""te""),"""")"),"")</f>
        <v/>
      </c>
      <c r="C8795" s="2"/>
      <c r="D8795" s="2" t="str">
        <f>IFERROR(__xludf.DUMMYFUNCTION("IF(C8795&lt;&gt;"""", GOOGLETRANSLATE(C8795, ""en"", ""te""),"""")"),"")</f>
        <v/>
      </c>
      <c r="E8795" s="2"/>
      <c r="F8795" s="2" t="str">
        <f>IFERROR(__xludf.DUMMYFUNCTION("IF(E8795&lt;&gt;"""", GOOGLETRANSLATE(E8795, ""en"", ""te""),"""")"),"")</f>
        <v/>
      </c>
      <c r="G8795" s="2"/>
      <c r="H8795" s="2" t="str">
        <f>IFERROR(__xludf.DUMMYFUNCTION("IF(G8795&lt;&gt;"""", GOOGLETRANSLATE(G8795, ""en"", ""te""),"""")"),"")</f>
        <v/>
      </c>
      <c r="I8795" s="3"/>
    </row>
    <row r="8796" customHeight="1" spans="1:9">
      <c r="A8796" s="2" t="s">
        <v>4949</v>
      </c>
      <c r="B8796" s="2" t="str">
        <f>IFERROR(__xludf.DUMMYFUNCTION("IF(A8796&lt;&gt;"""", GOOGLETRANSLATE(A8796, ""en"", ""te""),"""")"),"[ 'కెప్టెన్సీ తొలి 8 వ ఓల్డెస్ట్ కాప్టెన్ (34y 216d)', '9 వ లాంగెస్ట్ కెరీర్లు (17y 277d)', పరుగులు 6 వ అత్యధిక శాతం ఒక ఇన్నింగ్స్లో ( '4 వ అత్యంత వృద్ధ ఆటగాడు తొలి వంద (34y 211d) స్కోర్', ' 58.46) ',' 4 వ చెత్త కెరీర్లో సమ్మె రేటు (73.7) ']")</f>
        <v>[ 'కెప్టెన్సీ తొలి 8 వ ఓల్డెస్ట్ కాప్టెన్ (34y 216d)', '9 వ లాంగెస్ట్ కెరీర్లు (17y 277d)', పరుగులు 6 వ అత్యధిక శాతం ఒక ఇన్నింగ్స్లో ( '4 వ అత్యంత వృద్ధ ఆటగాడు తొలి వంద (34y 211d) స్కోర్', ' 58.46) ',' 4 వ చెత్త కెరీర్లో సమ్మె రేటు (73.7) ']</v>
      </c>
      <c r="C8796" s="2" t="s">
        <v>4950</v>
      </c>
      <c r="D8796" s="2" t="str">
        <f>IFERROR(__xludf.DUMMYFUNCTION("IF(C8796&lt;&gt;"""", GOOGLETRANSLATE(C8796, ""en"", ""te""),"""")"),"[ 'తొలి 24 ఓల్డెస్ట్ క్రీడాకారులు (34y 216d)', 'కెప్టెన్సీ తొలి 8 వ ఓల్డెస్ట్ కాప్టెన్ (34y 216d)']")</f>
        <v>[ 'తొలి 24 ఓల్డెస్ట్ క్రీడాకారులు (34y 216d)', 'కెప్టెన్సీ తొలి 8 వ ఓల్డెస్ట్ కాప్టెన్ (34y 216d)']</v>
      </c>
      <c r="E8796" s="2" t="s">
        <v>4951</v>
      </c>
      <c r="F8796" s="2" t="str">
        <f>IFERROR(__xludf.DUMMYFUNCTION("IF(E8796&lt;&gt;"""", GOOGLETRANSLATE(E8796, ""en"", ""te""),"""")"),"[ 'ఇన్నింగ్స్ లో 16 వ అత్యధిక పరుగులు (బ్యాటింగ్ స్థానంలో ప్రకారం) (101)', 'ఒక కెప్టెన్తో 46 వ ఇన్నింగ్స్ లో అత్యధిక పరుగులు (101)', 4 వ ఓల్డెస్ట్ 'వంద (34y 211d) సాధించటం 8 వ ఓల్డెస్ట్ ఆటగాడు', ' కెరీర్లో తొలి వంద (34y 211d) ',' 49 వ స్కోర్ ఆటగాడు అతి తక"&amp;"్కువ బాతులు (18.25) ',' ఒక ఇన్నింగ్స్లో పరుగుల 6 వ అత్యధిక శాతం (58.46) ',' 8 వ చెత్త కెరీర్ బౌలింగ్ సరాసరి (44.71) ',' 4 వ చెత్త కెరీర్లో సమ్మె రేటు (73.7) ',' 47 వ కెరీర్ లో బౌల్డ్ చాలా బంతుల్లో (2803) ',' 49 వ కెరీర్ లో సాధించిన అత్యధిక పరుగులు (1699) "&amp;"',' ఎనిమిదవ వికెట్ (49 *) కోసం 22 అత్యధిక భాగస్వామ్యం ',' 9 వ ఒక జట్టు వరుస మ్యాచ్లు (61) ',' 25 వ ఓల్డెస్ట్ క్రీడాకారులు (39y 95d) ',' 9 వ లాంగెస్ట్ కెరీర్లు (17y 277d) ', '21 వ కెప్టెన్గా అత్యధిక మ్యాచ్లు (33)', 'కెప్టెన్గా 13 వ వరుస మ్యాచ్లు ఒక జట్టు ("&amp;"33) ']")</f>
        <v>[ 'ఇన్నింగ్స్ లో 16 వ అత్యధిక పరుగులు (బ్యాటింగ్ స్థానంలో ప్రకారం) (101)', 'ఒక కెప్టెన్తో 46 వ ఇన్నింగ్స్ లో అత్యధిక పరుగులు (101)', 4 వ ఓల్డెస్ట్ 'వంద (34y 211d) సాధించటం 8 వ ఓల్డెస్ట్ ఆటగాడు', ' కెరీర్లో తొలి వంద (34y 211d) ',' 49 వ స్కోర్ ఆటగాడు అతి తక్కువ బాతులు (18.25) ',' ఒక ఇన్నింగ్స్లో పరుగుల 6 వ అత్యధిక శాతం (58.46) ',' 8 వ చెత్త కెరీర్ బౌలింగ్ సరాసరి (44.71) ',' 4 వ చెత్త కెరీర్లో సమ్మె రేటు (73.7) ',' 47 వ కెరీర్ లో బౌల్డ్ చాలా బంతుల్లో (2803) ',' 49 వ కెరీర్ లో సాధించిన అత్యధిక పరుగులు (1699) ',' ఎనిమిదవ వికెట్ (49 *) కోసం 22 అత్యధిక భాగస్వామ్యం ',' 9 వ ఒక జట్టు వరుస మ్యాచ్లు (61) ',' 25 వ ఓల్డెస్ట్ క్రీడాకారులు (39y 95d) ',' 9 వ లాంగెస్ట్ కెరీర్లు (17y 277d) ', '21 వ కెప్టెన్గా అత్యధిక మ్యాచ్లు (33)', 'కెప్టెన్గా 13 వ వరుస మ్యాచ్లు ఒక జట్టు (33) ']</v>
      </c>
      <c r="G8796" s="2"/>
      <c r="H8796" s="2" t="str">
        <f>IFERROR(__xludf.DUMMYFUNCTION("IF(G8796&lt;&gt;"""", GOOGLETRANSLATE(G8796, ""en"", ""te""),"""")"),"")</f>
        <v/>
      </c>
      <c r="I8796" s="3"/>
    </row>
    <row r="8797" customHeight="1" spans="1:9">
      <c r="A8797" s="2"/>
      <c r="B8797" s="2" t="str">
        <f>IFERROR(__xludf.DUMMYFUNCTION("IF(A8797&lt;&gt;"""", GOOGLETRANSLATE(A8797, ""en"", ""te""),"""")"),"")</f>
        <v/>
      </c>
      <c r="C8797" s="2"/>
      <c r="D8797" s="2" t="str">
        <f>IFERROR(__xludf.DUMMYFUNCTION("IF(C8797&lt;&gt;"""", GOOGLETRANSLATE(C8797, ""en"", ""te""),"""")"),"")</f>
        <v/>
      </c>
      <c r="E8797" s="2"/>
      <c r="F8797" s="2" t="str">
        <f>IFERROR(__xludf.DUMMYFUNCTION("IF(E8797&lt;&gt;"""", GOOGLETRANSLATE(E8797, ""en"", ""te""),"""")"),"")</f>
        <v/>
      </c>
      <c r="G8797" s="2"/>
      <c r="H8797" s="2" t="str">
        <f>IFERROR(__xludf.DUMMYFUNCTION("IF(G8797&lt;&gt;"""", GOOGLETRANSLATE(G8797, ""en"", ""te""),"""")"),"")</f>
        <v/>
      </c>
      <c r="I8797" s="3"/>
    </row>
    <row r="8798" customHeight="1" spans="1:9">
      <c r="A8798" s="2"/>
      <c r="B8798" s="2" t="str">
        <f>IFERROR(__xludf.DUMMYFUNCTION("IF(A8798&lt;&gt;"""", GOOGLETRANSLATE(A8798, ""en"", ""te""),"""")"),"")</f>
        <v/>
      </c>
      <c r="C8798" s="2"/>
      <c r="D8798" s="2" t="str">
        <f>IFERROR(__xludf.DUMMYFUNCTION("IF(C8798&lt;&gt;"""", GOOGLETRANSLATE(C8798, ""en"", ""te""),"""")"),"")</f>
        <v/>
      </c>
      <c r="E8798" s="2"/>
      <c r="F8798" s="2" t="str">
        <f>IFERROR(__xludf.DUMMYFUNCTION("IF(E8798&lt;&gt;"""", GOOGLETRANSLATE(E8798, ""en"", ""te""),"""")"),"")</f>
        <v/>
      </c>
      <c r="G8798" s="2"/>
      <c r="H8798" s="2" t="str">
        <f>IFERROR(__xludf.DUMMYFUNCTION("IF(G8798&lt;&gt;"""", GOOGLETRANSLATE(G8798, ""en"", ""te""),"""")"),"")</f>
        <v/>
      </c>
      <c r="I8798" s="3"/>
    </row>
    <row r="8799" customHeight="1" spans="1:9">
      <c r="A8799" s="2"/>
      <c r="B8799" s="2" t="str">
        <f>IFERROR(__xludf.DUMMYFUNCTION("IF(A8799&lt;&gt;"""", GOOGLETRANSLATE(A8799, ""en"", ""te""),"""")"),"")</f>
        <v/>
      </c>
      <c r="C8799" s="2"/>
      <c r="D8799" s="2" t="str">
        <f>IFERROR(__xludf.DUMMYFUNCTION("IF(C8799&lt;&gt;"""", GOOGLETRANSLATE(C8799, ""en"", ""te""),"""")"),"")</f>
        <v/>
      </c>
      <c r="E8799" s="2"/>
      <c r="F8799" s="2" t="str">
        <f>IFERROR(__xludf.DUMMYFUNCTION("IF(E8799&lt;&gt;"""", GOOGLETRANSLATE(E8799, ""en"", ""te""),"""")"),"")</f>
        <v/>
      </c>
      <c r="G8799" s="2"/>
      <c r="H8799" s="2" t="str">
        <f>IFERROR(__xludf.DUMMYFUNCTION("IF(G8799&lt;&gt;"""", GOOGLETRANSLATE(G8799, ""en"", ""te""),"""")"),"")</f>
        <v/>
      </c>
      <c r="I8799" s="3"/>
    </row>
    <row r="8800" customHeight="1" spans="1:9">
      <c r="A8800" s="2"/>
      <c r="B8800" s="2" t="str">
        <f>IFERROR(__xludf.DUMMYFUNCTION("IF(A8800&lt;&gt;"""", GOOGLETRANSLATE(A8800, ""en"", ""te""),"""")"),"")</f>
        <v/>
      </c>
      <c r="C8800" s="2"/>
      <c r="D8800" s="2" t="str">
        <f>IFERROR(__xludf.DUMMYFUNCTION("IF(C8800&lt;&gt;"""", GOOGLETRANSLATE(C8800, ""en"", ""te""),"""")"),"")</f>
        <v/>
      </c>
      <c r="E8800" s="2"/>
      <c r="F8800" s="2" t="str">
        <f>IFERROR(__xludf.DUMMYFUNCTION("IF(E8800&lt;&gt;"""", GOOGLETRANSLATE(E8800, ""en"", ""te""),"""")"),"")</f>
        <v/>
      </c>
      <c r="G8800" s="2"/>
      <c r="H8800" s="2" t="str">
        <f>IFERROR(__xludf.DUMMYFUNCTION("IF(G8800&lt;&gt;"""", GOOGLETRANSLATE(G8800, ""en"", ""te""),"""")"),"")</f>
        <v/>
      </c>
      <c r="I8800" s="3"/>
    </row>
    <row r="8801" customHeight="1" spans="1:9">
      <c r="A8801" s="2"/>
      <c r="B8801" s="2" t="str">
        <f>IFERROR(__xludf.DUMMYFUNCTION("IF(A8801&lt;&gt;"""", GOOGLETRANSLATE(A8801, ""en"", ""te""),"""")"),"")</f>
        <v/>
      </c>
      <c r="C8801" s="2"/>
      <c r="D8801" s="2" t="str">
        <f>IFERROR(__xludf.DUMMYFUNCTION("IF(C8801&lt;&gt;"""", GOOGLETRANSLATE(C8801, ""en"", ""te""),"""")"),"")</f>
        <v/>
      </c>
      <c r="E8801" s="2"/>
      <c r="F8801" s="2" t="str">
        <f>IFERROR(__xludf.DUMMYFUNCTION("IF(E8801&lt;&gt;"""", GOOGLETRANSLATE(E8801, ""en"", ""te""),"""")"),"")</f>
        <v/>
      </c>
      <c r="G8801" s="2"/>
      <c r="H8801" s="2" t="str">
        <f>IFERROR(__xludf.DUMMYFUNCTION("IF(G8801&lt;&gt;"""", GOOGLETRANSLATE(G8801, ""en"", ""te""),"""")"),"")</f>
        <v/>
      </c>
      <c r="I8801" s="3"/>
    </row>
    <row r="8802" customHeight="1" spans="1:9">
      <c r="A8802" s="2" t="s">
        <v>4952</v>
      </c>
      <c r="B8802" s="2" t="str">
        <f>IFERROR(__xludf.DUMMYFUNCTION("IF(A8802&lt;&gt;"""", GOOGLETRANSLATE(A8802, ""en"", ""te""),"""")"),"[ '9 వ చెత్త కెరీర్లో సమ్మె రేటు (68.2)']")</f>
        <v>[ '9 వ చెత్త కెరీర్లో సమ్మె రేటు (68.2)']</v>
      </c>
      <c r="C8802" s="2"/>
      <c r="D8802" s="2" t="str">
        <f>IFERROR(__xludf.DUMMYFUNCTION("IF(C8802&lt;&gt;"""", GOOGLETRANSLATE(C8802, ""en"", ""te""),"""")"),"")</f>
        <v/>
      </c>
      <c r="E8802" s="2" t="s">
        <v>4953</v>
      </c>
      <c r="F8802" s="2" t="str">
        <f>IFERROR(__xludf.DUMMYFUNCTION("IF(E8802&lt;&gt;"""", GOOGLETRANSLATE(E8802, ""en"", ""te""),"""")"),"[ '26 చెత్త కెరీర్ బౌలింగ్ సరాసరి (34.90)', '9 వ చెత్త కెరీర్లో సమ్మె రేటు (68.2)']")</f>
        <v>[ '26 చెత్త కెరీర్ బౌలింగ్ సరాసరి (34.90)', '9 వ చెత్త కెరీర్లో సమ్మె రేటు (68.2)']</v>
      </c>
      <c r="G8802" s="2"/>
      <c r="H8802" s="2" t="str">
        <f>IFERROR(__xludf.DUMMYFUNCTION("IF(G8802&lt;&gt;"""", GOOGLETRANSLATE(G8802, ""en"", ""te""),"""")"),"")</f>
        <v/>
      </c>
      <c r="I8802" s="3"/>
    </row>
    <row r="8803" customHeight="1" spans="1:9">
      <c r="A8803" s="2" t="s">
        <v>4954</v>
      </c>
      <c r="B8803" s="2" t="str">
        <f>IFERROR(__xludf.DUMMYFUNCTION("IF(A8803&lt;&gt;"""", GOOGLETRANSLATE(A8803, ""en"", ""te""),"""")"),"[ '9 వ అత్యంత వృద్ధ ఆటగాడు ఒక ఐదు మైడెన్-వికెట్ల లో-ఒక-ఇన్నింగ్స్ (34y 355d) తీసుకోవాలని' '3 వ అత్యధిక కెరీర్ (5) పనికత్తెలయొద్ద']")</f>
        <v>[ '9 వ అత్యంత వృద్ధ ఆటగాడు ఒక ఐదు మైడెన్-వికెట్ల లో-ఒక-ఇన్నింగ్స్ (34y 355d) తీసుకోవాలని' '3 వ అత్యధిక కెరీర్ (5) పనికత్తెలయొద్ద']</v>
      </c>
      <c r="C8803" s="2"/>
      <c r="D8803" s="2" t="str">
        <f>IFERROR(__xludf.DUMMYFUNCTION("IF(C8803&lt;&gt;"""", GOOGLETRANSLATE(C8803, ""en"", ""te""),"""")"),"")</f>
        <v/>
      </c>
      <c r="E8803" s="2" t="s">
        <v>4955</v>
      </c>
      <c r="F8803" s="2" t="str">
        <f>IFERROR(__xludf.DUMMYFUNCTION("IF(E8803&lt;&gt;"""", GOOGLETRANSLATE(E8803, ""en"", ""te""),"""")"),"'(5/14) 13 వ అత్యుత్తమ ఇన్నింగ్స్ లో బౌలింగ్ విశ్లేషణలు', 'అయిదు వికెట్లు లో-ఒక-ఇన్నింగ్స్ తీసుకోవడం 17 ఓల్డెస్ట్ ఆటగాడు (34y 355d)' [ '9 వ అత్యంత వృద్ధ ఆటగాడు తొలి తీసుకుని ఐదు-వికెట్ల లో -an-ఇన్నింగ్స్ (34y 355d) ',' 50 వ ఓల్డెస్ట్ కాప్టెన్ (36y 131d) '"&amp;"]")</f>
        <v>'(5/14) 13 వ అత్యుత్తమ ఇన్నింగ్స్ లో బౌలింగ్ విశ్లేషణలు', 'అయిదు వికెట్లు లో-ఒక-ఇన్నింగ్స్ తీసుకోవడం 17 ఓల్డెస్ట్ ఆటగాడు (34y 355d)' [ '9 వ అత్యంత వృద్ధ ఆటగాడు తొలి తీసుకుని ఐదు-వికెట్ల లో -an-ఇన్నింగ్స్ (34y 355d) ',' 50 వ ఓల్డెస్ట్ కాప్టెన్ (36y 131d) ']</v>
      </c>
      <c r="G8803" s="2" t="s">
        <v>4956</v>
      </c>
      <c r="H8803" s="2" t="str">
        <f>IFERROR(__xludf.DUMMYFUNCTION("IF(G8803&lt;&gt;"""", GOOGLETRANSLATE(G8803, ""en"", ""te""),"""")"),"[18 వ ఒకే మైదానంలో అత్యధిక వికెట్లు (15) ',' 28th సగటు (19.87) బౌలింగ్ ఉత్తమ జీవితం '' 13 వ ఉత్తమ కెరీర్ ఆర్థిక రేటు (6.42) ',' 17 వ బౌలర్ / బ్యాట్స్ కలయికలు (3) ',' 15 వ అత్యంత ఒక ఇన్నింగ్స్ లో క్యాచ్లు (3) ',' 3 వ అత్యధిక కెరీర్ (5) పనికత్తెలయొద్ద ']")</f>
        <v>[18 వ ఒకే మైదానంలో అత్యధిక వికెట్లు (15) ',' 28th సగటు (19.87) బౌలింగ్ ఉత్తమ జీవితం '' 13 వ ఉత్తమ కెరీర్ ఆర్థిక రేటు (6.42) ',' 17 వ బౌలర్ / బ్యాట్స్ కలయికలు (3) ',' 15 వ అత్యంత ఒక ఇన్నింగ్స్ లో క్యాచ్లు (3) ',' 3 వ అత్యధిక కెరీర్ (5) పనికత్తెలయొద్ద ']</v>
      </c>
      <c r="I8803" s="3"/>
    </row>
    <row r="8804" customHeight="1" spans="1:9">
      <c r="A8804" s="2" t="s">
        <v>4957</v>
      </c>
      <c r="B8804" s="2" t="str">
        <f>IFERROR(__xludf.DUMMYFUNCTION("IF(A8804&lt;&gt;"""", GOOGLETRANSLATE(A8804, ""en"", ""te""),"""")"),"[ 'రెండు దేశాలకు ప్రాతినిధ్యం', 'వంద స్కోర్ 4 వ అత్యంత వృద్ధ ఆటగాడు (39y 111d)', 'ఒక ఇన్నింగ్స్లో పరుగుల 10 వ అత్యధిక శాతం (60.37)', 'రెండు దేశాలకు ప్రాతినిధ్యం']")</f>
        <v>[ 'రెండు దేశాలకు ప్రాతినిధ్యం', 'వంద స్కోర్ 4 వ అత్యంత వృద్ధ ఆటగాడు (39y 111d)', 'ఒక ఇన్నింగ్స్లో పరుగుల 10 వ అత్యధిక శాతం (60.37)', 'రెండు దేశాలకు ప్రాతినిధ్యం']</v>
      </c>
      <c r="C8804" s="2" t="s">
        <v>4958</v>
      </c>
      <c r="D8804" s="2" t="str">
        <f>IFERROR(__xludf.DUMMYFUNCTION("IF(C8804&lt;&gt;"""", GOOGLETRANSLATE(C8804, ""en"", ""te""),"""")"),"[ 'తొలి 19 ఓల్డెస్ట్ క్రీడాకారులు (39y 231d)']")</f>
        <v>[ 'తొలి 19 ఓల్డెస్ట్ క్రీడాకారులు (39y 231d)']</v>
      </c>
      <c r="E8804" s="2" t="s">
        <v>4959</v>
      </c>
      <c r="F8804" s="2" t="str">
        <f>IFERROR(__xludf.DUMMYFUNCTION("IF(E8804&lt;&gt;"""", GOOGLETRANSLATE(E8804, ""en"", ""te""),"""")"),"[ 'ఇన్నింగ్స్ లో 39 వ అత్యంత ఫోర్లు (19)' 'పరుగులు 10 వ అత్యధిక శాతం ఒక ఇన్నింగ్స్లో (60.37)' 34 వ అత్యధిక భాగస్వామ్యం ఆరవ వికెట్కు '4 వ అత్యంత వృద్ధ ఆటగాడు వంద (39y 111d) స్కోర్', ' (131) ']")</f>
        <v>[ 'ఇన్నింగ్స్ లో 39 వ అత్యంత ఫోర్లు (19)' 'పరుగులు 10 వ అత్యధిక శాతం ఒక ఇన్నింగ్స్లో (60.37)' 34 వ అత్యధిక భాగస్వామ్యం ఆరవ వికెట్కు '4 వ అత్యంత వృద్ధ ఆటగాడు వంద (39y 111d) స్కోర్', ' (131) ']</v>
      </c>
      <c r="G8804" s="2" t="s">
        <v>4960</v>
      </c>
      <c r="H8804" s="2" t="str">
        <f>IFERROR(__xludf.DUMMYFUNCTION("IF(G8804&lt;&gt;"""", GOOGLETRANSLATE(G8804, ""en"", ""te""),"""")"),"[40 వ కెరీర్ లో బాతులు (15) ',' ప్రదర్శనల మధ్య 46 వ లాంగెస్ట్ వ్యవధిలో (5 సం 44d) ']")</f>
        <v>[40 వ కెరీర్ లో బాతులు (15) ',' ప్రదర్శనల మధ్య 46 వ లాంగెస్ట్ వ్యవధిలో (5 సం 44d) ']</v>
      </c>
      <c r="I8804" s="3"/>
    </row>
    <row r="8805" customHeight="1" spans="1:9">
      <c r="A8805" s="2"/>
      <c r="B8805" s="2" t="str">
        <f>IFERROR(__xludf.DUMMYFUNCTION("IF(A8805&lt;&gt;"""", GOOGLETRANSLATE(A8805, ""en"", ""te""),"""")"),"")</f>
        <v/>
      </c>
      <c r="C8805" s="2"/>
      <c r="D8805" s="2" t="str">
        <f>IFERROR(__xludf.DUMMYFUNCTION("IF(C8805&lt;&gt;"""", GOOGLETRANSLATE(C8805, ""en"", ""te""),"""")"),"")</f>
        <v/>
      </c>
      <c r="E8805" s="2"/>
      <c r="F8805" s="2" t="str">
        <f>IFERROR(__xludf.DUMMYFUNCTION("IF(E8805&lt;&gt;"""", GOOGLETRANSLATE(E8805, ""en"", ""te""),"""")"),"")</f>
        <v/>
      </c>
      <c r="G8805" s="2"/>
      <c r="H8805" s="2" t="str">
        <f>IFERROR(__xludf.DUMMYFUNCTION("IF(G8805&lt;&gt;"""", GOOGLETRANSLATE(G8805, ""en"", ""te""),"""")"),"")</f>
        <v/>
      </c>
      <c r="I8805" s="3"/>
    </row>
    <row r="8806" customHeight="1" spans="1:9">
      <c r="A8806" s="2"/>
      <c r="B8806" s="2" t="str">
        <f>IFERROR(__xludf.DUMMYFUNCTION("IF(A8806&lt;&gt;"""", GOOGLETRANSLATE(A8806, ""en"", ""te""),"""")"),"")</f>
        <v/>
      </c>
      <c r="C8806" s="2"/>
      <c r="D8806" s="2" t="str">
        <f>IFERROR(__xludf.DUMMYFUNCTION("IF(C8806&lt;&gt;"""", GOOGLETRANSLATE(C8806, ""en"", ""te""),"""")"),"")</f>
        <v/>
      </c>
      <c r="E8806" s="2" t="s">
        <v>4961</v>
      </c>
      <c r="F8806" s="2" t="str">
        <f>IFERROR(__xludf.DUMMYFUNCTION("IF(E8806&lt;&gt;"""", GOOGLETRANSLATE(E8806, ""en"", ""te""),"""")"),"[ 'రెండవ వికెట్కు 35 వ అత్యధిక భాగస్వామ్యం (150)', '15 వ లాంగెస్ట్ కెరీర్లు (16y,' బౌలింగ్ సరాసరి (అర్హత లేకుండా) (135.00) 11 వ చెత్త జీవితం '' 23 వ వంద (1172) లేకుండా ఒక వృత్తిలో పరుగులు ' 331d) ']")</f>
        <v>[ 'రెండవ వికెట్కు 35 వ అత్యధిక భాగస్వామ్యం (150)', '15 వ లాంగెస్ట్ కెరీర్లు (16y,' బౌలింగ్ సరాసరి (అర్హత లేకుండా) (135.00) 11 వ చెత్త జీవితం '' 23 వ వంద (1172) లేకుండా ఒక వృత్తిలో పరుగులు ' 331d) ']</v>
      </c>
      <c r="G8806" s="2" t="s">
        <v>4962</v>
      </c>
      <c r="H8806" s="2" t="str">
        <f>IFERROR(__xludf.DUMMYFUNCTION("IF(G8806&lt;&gt;"""", GOOGLETRANSLATE(G8806, ""en"", ""te""),"""")"),"[ '41 వ పరాజయం వైపు ఒక మ్యాచ్లో అత్యధిక పరుగులు (60)', '21 వ తొలి మ్యాచ్లో అత్యధిక పరుగులు (41) ']")</f>
        <v>[ '41 వ పరాజయం వైపు ఒక మ్యాచ్లో అత్యధిక పరుగులు (60)', '21 వ తొలి మ్యాచ్లో అత్యధిక పరుగులు (41) ']</v>
      </c>
      <c r="I8806" s="3"/>
    </row>
    <row r="8807" customHeight="1" spans="1:9">
      <c r="A8807" s="2" t="s">
        <v>4963</v>
      </c>
      <c r="B8807" s="2" t="str">
        <f>IFERROR(__xludf.DUMMYFUNCTION("IF(A8807&lt;&gt;"""", GOOGLETRANSLATE(A8807, ""en"", ""te""),"""")"),"[ '9 వ పిన్న క్రీడాకారులు (17y 5D)', '2 వ అత్యుత్తమ బౌలింగ్ ఇన్నింగ్స్ లో విశ్లేషించడం (6/21)', '3 వ ఉత్తమ కెరీర్ (3.50) (అర్హత లేకుండా) సగటు బౌలింగ్', '4 వ అరంగేట్రంలోనే ఇన్నింగ్స్ లోని బెస్ట్ ఫిగర్స్ (6) ',' 1st పిన్న ఆటగాడు ఐదు వికెట్ల లో-ఒక-ఇన్నింగ్స్"&amp;" (17y 5D) ',' తీసుకోవాలని 6 వ లాంగెస్ట్ కెరీర్లు (18y 347d) ',' 2 వ వరుస బాతులు (4) ',' బ్యాటింగ్ తెరవడం మరియు అదే మ్యాచ్ లో బౌలింగ్ ',' 5 వ చెత్త కెరీర్లో సమ్మె రేటు (31.6) ']")</f>
        <v>[ '9 వ పిన్న క్రీడాకారులు (17y 5D)', '2 వ అత్యుత్తమ బౌలింగ్ ఇన్నింగ్స్ లో విశ్లేషించడం (6/21)', '3 వ ఉత్తమ కెరీర్ (3.50) (అర్హత లేకుండా) సగటు బౌలింగ్', '4 వ అరంగేట్రంలోనే ఇన్నింగ్స్ లోని బెస్ట్ ఫిగర్స్ (6) ',' 1st పిన్న ఆటగాడు ఐదు వికెట్ల లో-ఒక-ఇన్నింగ్స్ (17y 5D) ',' తీసుకోవాలని 6 వ లాంగెస్ట్ కెరీర్లు (18y 347d) ',' 2 వ వరుస బాతులు (4) ',' బ్యాటింగ్ తెరవడం మరియు అదే మ్యాచ్ లో బౌలింగ్ ',' 5 వ చెత్త కెరీర్లో సమ్మె రేటు (31.6) ']</v>
      </c>
      <c r="C8807" s="2" t="s">
        <v>4964</v>
      </c>
      <c r="D8807" s="2" t="str">
        <f>IFERROR(__xludf.DUMMYFUNCTION("IF(C8807&lt;&gt;"""", GOOGLETRANSLATE(C8807, ""en"", ""te""),"""")"),"[ '13 వ ఇన్నింగ్స్ లో బెస్ట్ ఫిగర్స్ (6/21)', '2 వ అత్యుత్తమ బౌలింగ్ ఇన్నింగ్స్ లో విశ్లేషించడం (6/21)', '3 వ ఉత్తమ కెరీర్ సగటు (3.50) (అర్హత లేకుండా) బౌలింగ్', '4 వ ఉత్తమ సమ్మె రేటు ఒక ఇన్నింగ్స్ లో తొలి ఇన్నింగ్స్లో (11.1) ',' 4 వ ఉత్తమ బొమ్మలు (6) ',' "&amp;"15 వ అరంగేట్రంలోనే మ్యాచ్లో ఉత్తమ బొమ్మలు (6) ',' అయిదు వికెట్లు ఇన్ an- తీసుకోవాలని 1st పిన్న ఆటగాడు ఇన్నింగ్స్ (17y 5D) ',' 9 వ పిన్న క్రీడాకారులు (17y 5D) ']")</f>
        <v>[ '13 వ ఇన్నింగ్స్ లో బెస్ట్ ఫిగర్స్ (6/21)', '2 వ అత్యుత్తమ బౌలింగ్ ఇన్నింగ్స్ లో విశ్లేషించడం (6/21)', '3 వ ఉత్తమ కెరీర్ సగటు (3.50) (అర్హత లేకుండా) బౌలింగ్', '4 వ ఉత్తమ సమ్మె రేటు ఒక ఇన్నింగ్స్ లో తొలి ఇన్నింగ్స్లో (11.1) ',' 4 వ ఉత్తమ బొమ్మలు (6) ',' 15 వ అరంగేట్రంలోనే మ్యాచ్లో ఉత్తమ బొమ్మలు (6) ',' అయిదు వికెట్లు ఇన్ an- తీసుకోవాలని 1st పిన్న ఆటగాడు ఇన్నింగ్స్ (17y 5D) ',' 9 వ పిన్న క్రీడాకారులు (17y 5D) ']</v>
      </c>
      <c r="E8807" s="2" t="s">
        <v>4965</v>
      </c>
      <c r="F8807" s="2" t="str">
        <f>IFERROR(__xludf.DUMMYFUNCTION("IF(E8807&lt;&gt;"""", GOOGLETRANSLATE(E8807, ""en"", ""te""),"""")"),"[ '36 వ అత్యంత వంద (995) లేకుండా ఒక వృత్తిలో పరుగులు', '21 వ కెరీర్ బాతులు (9) ',' 2 వ వరుస బాతులు (4) ',' 11 వ పరాజయం వైపు ఉన్నప్పుడు ఒక ఇన్నింగ్స్ లోని బెస్ట్ ఫిగర్స్ ( 4) ',' 50th చెత్త వృత్తి జీవితంలో సగటు (30.45) ',' 38 వ అత్యంత నాలుగు వికెట్లు-ఇన్-"&amp;"ఒక-ఇన్నింగ్స్ బౌలింగ్ (3) ',' 35 వ కెరీర్ లో బౌల్డ్ చాలా బంతుల్లో (3118) ',' 38 వ అత్యంత కెరీర్ (2010) లో ఇవ్వబడిన పరుగులలో ',' 41 వ ఇన్నింగ్స్ (71) ',' 42 వ అత్యధిక వికెట్లు తీసుకున్న బౌల్డ్ (17) ',' 31 అత్యధిక వికెట్లు తీసుకున్న క్యాచ్ మరియు బౌల్డ్ (5) "&amp;"',' 49 వ అత్యధిక వికెట్లు సాధించింది అత్యధిక పరుగులు ఒక ఫీల్డర్ చేత క్యాచ్ తీసుకున్న (31) ',' 36 వ అత్యధిక వికెట్లు తీసుకున్న ఎల్బిడబ్ల్యు (12) ',' 47 వ ఒక సిరీస్లో అత్యధిక క్యాచ్లు (6) ',' ఎనిమిదవ వికెట్కు 48 వ అత్యధిక భాగస్వామ్యం (41 *) ',' 26th పిన్న క"&amp;"్రీడాకారులు (15y 336d) ',' 6 వ లాంగెస్ట్ కెరీర్లు (18y 347d) ',' 45 వ కెప్టెన్గా అత్యధిక మ్యాచ్లు (17) ',' 45 వ పిన్న కాప్టెన్ (24y 335d) ']")</f>
        <v>[ '36 వ అత్యంత వంద (995) లేకుండా ఒక వృత్తిలో పరుగులు', '21 వ కెరీర్ బాతులు (9) ',' 2 వ వరుస బాతులు (4) ',' 11 వ పరాజయం వైపు ఉన్నప్పుడు ఒక ఇన్నింగ్స్ లోని బెస్ట్ ఫిగర్స్ ( 4) ',' 50th చెత్త వృత్తి జీవితంలో సగటు (30.45) ',' 38 వ అత్యంత నాలుగు వికెట్లు-ఇన్-ఒక-ఇన్నింగ్స్ బౌలింగ్ (3) ',' 35 వ కెరీర్ లో బౌల్డ్ చాలా బంతుల్లో (3118) ',' 38 వ అత్యంత కెరీర్ (2010) లో ఇవ్వబడిన పరుగులలో ',' 41 వ ఇన్నింగ్స్ (71) ',' 42 వ అత్యధిక వికెట్లు తీసుకున్న బౌల్డ్ (17) ',' 31 అత్యధిక వికెట్లు తీసుకున్న క్యాచ్ మరియు బౌల్డ్ (5) ',' 49 వ అత్యధిక వికెట్లు సాధించింది అత్యధిక పరుగులు ఒక ఫీల్డర్ చేత క్యాచ్ తీసుకున్న (31) ',' 36 వ అత్యధిక వికెట్లు తీసుకున్న ఎల్బిడబ్ల్యు (12) ',' 47 వ ఒక సిరీస్లో అత్యధిక క్యాచ్లు (6) ',' ఎనిమిదవ వికెట్కు 48 వ అత్యధిక భాగస్వామ్యం (41 *) ',' 26th పిన్న క్రీడాకారులు (15y 336d) ',' 6 వ లాంగెస్ట్ కెరీర్లు (18y 347d) ',' 45 వ కెప్టెన్గా అత్యధిక మ్యాచ్లు (17) ',' 45 వ పిన్న కాప్టెన్ (24y 335d) ']</v>
      </c>
      <c r="G8807" s="2" t="s">
        <v>4966</v>
      </c>
      <c r="H8807" s="2" t="str">
        <f>IFERROR(__xludf.DUMMYFUNCTION("IF(G8807&lt;&gt;"""", GOOGLETRANSLATE(G8807, ""en"", ""te""),"""")"),"[40 వ కెరీర్ లో అత్యధిక పరుగులు (944) ',' 16 వ కెరీర్ బాతులు (6) ',' 8 వ చెత్త కెరీర్ బౌలింగ్ సరాసరి (30.81) ',' 5 వ చెత్త కెరీర్లో సమ్మె రేటు (31.6) ',' 37 వ అత్యంత బంతులను బౌలింగ్ చేశాడు కెరీర్లో (1046) ',' 35 వ అత్యధిక పరుగులు కెరీర్లో సాధించిన (1017) "&amp;"',' 44 వ అత్యధిక వికెట్లు తీసుకున్న బౌల్డ్ (10) ',' ఐదవ వికెట్ (61 *) కోసం 26 అత్యధిక భాగస్వామ్యం ',' 28th వరుస మ్యాచ్లు ఒక జట్టు (41) ',' 17 వ అత్యంత కెప్టెన్ (31) గా పేర్కొంటే ']")</f>
        <v>[40 వ కెరీర్ లో అత్యధిక పరుగులు (944) ',' 16 వ కెరీర్ బాతులు (6) ',' 8 వ చెత్త కెరీర్ బౌలింగ్ సరాసరి (30.81) ',' 5 వ చెత్త కెరీర్లో సమ్మె రేటు (31.6) ',' 37 వ అత్యంత బంతులను బౌలింగ్ చేశాడు కెరీర్లో (1046) ',' 35 వ అత్యధిక పరుగులు కెరీర్లో సాధించిన (1017) ',' 44 వ అత్యధిక వికెట్లు తీసుకున్న బౌల్డ్ (10) ',' ఐదవ వికెట్ (61 *) కోసం 26 అత్యధిక భాగస్వామ్యం ',' 28th వరుస మ్యాచ్లు ఒక జట్టు (41) ',' 17 వ అత్యంత కెప్టెన్ (31) గా పేర్కొంటే ']</v>
      </c>
      <c r="I8807" s="3"/>
    </row>
    <row r="8808" customHeight="1" spans="1:9">
      <c r="A8808" s="2"/>
      <c r="B8808" s="2" t="str">
        <f>IFERROR(__xludf.DUMMYFUNCTION("IF(A8808&lt;&gt;"""", GOOGLETRANSLATE(A8808, ""en"", ""te""),"""")"),"")</f>
        <v/>
      </c>
      <c r="C8808" s="2"/>
      <c r="D8808" s="2" t="str">
        <f>IFERROR(__xludf.DUMMYFUNCTION("IF(C8808&lt;&gt;"""", GOOGLETRANSLATE(C8808, ""en"", ""te""),"""")"),"")</f>
        <v/>
      </c>
      <c r="E8808" s="2"/>
      <c r="F8808" s="2" t="str">
        <f>IFERROR(__xludf.DUMMYFUNCTION("IF(E8808&lt;&gt;"""", GOOGLETRANSLATE(E8808, ""en"", ""te""),"""")"),"")</f>
        <v/>
      </c>
      <c r="G8808" s="2"/>
      <c r="H8808" s="2" t="str">
        <f>IFERROR(__xludf.DUMMYFUNCTION("IF(G8808&lt;&gt;"""", GOOGLETRANSLATE(G8808, ""en"", ""te""),"""")"),"")</f>
        <v/>
      </c>
      <c r="I8808" s="3"/>
    </row>
    <row r="8809" customHeight="1" spans="1:9">
      <c r="A8809" s="2" t="s">
        <v>4967</v>
      </c>
      <c r="B8809" s="2" t="str">
        <f>IFERROR(__xludf.DUMMYFUNCTION("IF(A8809&lt;&gt;"""", GOOGLETRANSLATE(A8809, ""en"", ""te""),"""")"),"[ '7th చెత్త కెరీర్ బౌలింగ్ సరాసరి (అర్హత లేకుండా) (140.00)']")</f>
        <v>[ '7th చెత్త కెరీర్ బౌలింగ్ సరాసరి (అర్హత లేకుండా) (140.00)']</v>
      </c>
      <c r="C8809" s="2"/>
      <c r="D8809" s="2" t="str">
        <f>IFERROR(__xludf.DUMMYFUNCTION("IF(C8809&lt;&gt;"""", GOOGLETRANSLATE(C8809, ""en"", ""te""),"""")"),"")</f>
        <v/>
      </c>
      <c r="E8809" s="2" t="s">
        <v>4967</v>
      </c>
      <c r="F8809" s="2" t="str">
        <f>IFERROR(__xludf.DUMMYFUNCTION("IF(E8809&lt;&gt;"""", GOOGLETRANSLATE(E8809, ""en"", ""te""),"""")"),"[ '7th చెత్త కెరీర్ బౌలింగ్ సరాసరి (అర్హత లేకుండా) (140.00)']")</f>
        <v>[ '7th చెత్త కెరీర్ బౌలింగ్ సరాసరి (అర్హత లేకుండా) (140.00)']</v>
      </c>
      <c r="G8809" s="2" t="s">
        <v>4968</v>
      </c>
      <c r="H8809" s="2" t="str">
        <f>IFERROR(__xludf.DUMMYFUNCTION("IF(G8809&lt;&gt;"""", GOOGLETRANSLATE(G8809, ""en"", ""te""),"""")"),"[ 'తొమ్మిదవ వికెట్కు 18 అత్యధిక భాగస్వామ్యం (23)']")</f>
        <v>[ 'తొమ్మిదవ వికెట్కు 18 అత్యధిక భాగస్వామ్యం (23)']</v>
      </c>
      <c r="I8809" s="3"/>
    </row>
    <row r="8810" customHeight="1" spans="1:9">
      <c r="A8810" s="2" t="s">
        <v>4969</v>
      </c>
      <c r="B8810" s="2" t="str">
        <f>IFERROR(__xludf.DUMMYFUNCTION("IF(A8810&lt;&gt;"""", GOOGLETRANSLATE(A8810, ""en"", ""te""),"""")"),"[ '7th చెత్త కెరీర్ బౌలింగ్ సరాసరి (అర్హత లేకుండా) (172.00)']")</f>
        <v>[ '7th చెత్త కెరీర్ బౌలింగ్ సరాసరి (అర్హత లేకుండా) (172.00)']</v>
      </c>
      <c r="C8810" s="2"/>
      <c r="D8810" s="2" t="str">
        <f>IFERROR(__xludf.DUMMYFUNCTION("IF(C8810&lt;&gt;"""", GOOGLETRANSLATE(C8810, ""en"", ""te""),"""")"),"")</f>
        <v/>
      </c>
      <c r="E8810" s="2" t="s">
        <v>4969</v>
      </c>
      <c r="F8810" s="2" t="str">
        <f>IFERROR(__xludf.DUMMYFUNCTION("IF(E8810&lt;&gt;"""", GOOGLETRANSLATE(E8810, ""en"", ""te""),"""")"),"[ '7th చెత్త కెరీర్ బౌలింగ్ సరాసరి (అర్హత లేకుండా) (172.00)']")</f>
        <v>[ '7th చెత్త కెరీర్ బౌలింగ్ సరాసరి (అర్హత లేకుండా) (172.00)']</v>
      </c>
      <c r="G8810" s="2"/>
      <c r="H8810" s="2" t="str">
        <f>IFERROR(__xludf.DUMMYFUNCTION("IF(G8810&lt;&gt;"""", GOOGLETRANSLATE(G8810, ""en"", ""te""),"""")"),"")</f>
        <v/>
      </c>
      <c r="I8810" s="3"/>
    </row>
    <row r="8811" customHeight="1" spans="1:9">
      <c r="A8811" s="2"/>
      <c r="B8811" s="2" t="str">
        <f>IFERROR(__xludf.DUMMYFUNCTION("IF(A8811&lt;&gt;"""", GOOGLETRANSLATE(A8811, ""en"", ""te""),"""")"),"")</f>
        <v/>
      </c>
      <c r="C8811" s="2"/>
      <c r="D8811" s="2" t="str">
        <f>IFERROR(__xludf.DUMMYFUNCTION("IF(C8811&lt;&gt;"""", GOOGLETRANSLATE(C8811, ""en"", ""te""),"""")"),"")</f>
        <v/>
      </c>
      <c r="E8811" s="2"/>
      <c r="F8811" s="2" t="str">
        <f>IFERROR(__xludf.DUMMYFUNCTION("IF(E8811&lt;&gt;"""", GOOGLETRANSLATE(E8811, ""en"", ""te""),"""")"),"")</f>
        <v/>
      </c>
      <c r="G8811" s="2"/>
      <c r="H8811" s="2" t="str">
        <f>IFERROR(__xludf.DUMMYFUNCTION("IF(G8811&lt;&gt;"""", GOOGLETRANSLATE(G8811, ""en"", ""te""),"""")"),"")</f>
        <v/>
      </c>
      <c r="I8811" s="3"/>
    </row>
    <row r="8812" customHeight="1" spans="1:9">
      <c r="A8812" s="2"/>
      <c r="B8812" s="2" t="str">
        <f>IFERROR(__xludf.DUMMYFUNCTION("IF(A8812&lt;&gt;"""", GOOGLETRANSLATE(A8812, ""en"", ""te""),"""")"),"")</f>
        <v/>
      </c>
      <c r="C8812" s="2"/>
      <c r="D8812" s="2" t="str">
        <f>IFERROR(__xludf.DUMMYFUNCTION("IF(C8812&lt;&gt;"""", GOOGLETRANSLATE(C8812, ""en"", ""te""),"""")"),"")</f>
        <v/>
      </c>
      <c r="E8812" s="2"/>
      <c r="F8812" s="2" t="str">
        <f>IFERROR(__xludf.DUMMYFUNCTION("IF(E8812&lt;&gt;"""", GOOGLETRANSLATE(E8812, ""en"", ""te""),"""")"),"")</f>
        <v/>
      </c>
      <c r="G8812" s="2" t="s">
        <v>4970</v>
      </c>
      <c r="H8812" s="2" t="str">
        <f>IFERROR(__xludf.DUMMYFUNCTION("IF(G8812&lt;&gt;"""", GOOGLETRANSLATE(G8812, ""en"", ""te""),"""")"),"[ '16 వ చెత్త కెరీర్ బౌలింగ్ సరాసరి (అర్హత లేకుండా) (85.00)']")</f>
        <v>[ '16 వ చెత్త కెరీర్ బౌలింగ్ సరాసరి (అర్హత లేకుండా) (85.00)']</v>
      </c>
      <c r="I8812" s="3"/>
    </row>
    <row r="8813" customHeight="1" spans="1:9">
      <c r="A8813" s="2"/>
      <c r="B8813" s="2" t="str">
        <f>IFERROR(__xludf.DUMMYFUNCTION("IF(A8813&lt;&gt;"""", GOOGLETRANSLATE(A8813, ""en"", ""te""),"""")"),"")</f>
        <v/>
      </c>
      <c r="C8813" s="2"/>
      <c r="D8813" s="2" t="str">
        <f>IFERROR(__xludf.DUMMYFUNCTION("IF(C8813&lt;&gt;"""", GOOGLETRANSLATE(C8813, ""en"", ""te""),"""")"),"")</f>
        <v/>
      </c>
      <c r="E8813" s="2" t="s">
        <v>4971</v>
      </c>
      <c r="F8813" s="2" t="str">
        <f>IFERROR(__xludf.DUMMYFUNCTION("IF(E8813&lt;&gt;"""", GOOGLETRANSLATE(E8813, ""en"", ""te""),"""")"),"[ '12 వ చెత్త ఆర్థిక వ్యవస్థ ఇన్నింగ్స్లో రేటు (9.42)', '11 వ పరాజయం వైపు (4) ఒక ఇన్నింగ్స్ లోని బెస్ట్ ఫిగర్స్' '14 వ అత్యంత ఇన్నింగ్స్ లో సాధించిన పరుగులు (81)']")</f>
        <v>[ '12 వ చెత్త ఆర్థిక వ్యవస్థ ఇన్నింగ్స్లో రేటు (9.42)', '11 వ పరాజయం వైపు (4) ఒక ఇన్నింగ్స్ లోని బెస్ట్ ఫిగర్స్' '14 వ అత్యంత ఇన్నింగ్స్ లో సాధించిన పరుగులు (81)']</v>
      </c>
      <c r="G8813" s="2"/>
      <c r="H8813" s="2" t="str">
        <f>IFERROR(__xludf.DUMMYFUNCTION("IF(G8813&lt;&gt;"""", GOOGLETRANSLATE(G8813, ""en"", ""te""),"""")"),"")</f>
        <v/>
      </c>
      <c r="I8813" s="3"/>
    </row>
    <row r="8814" customHeight="1" spans="1:9">
      <c r="A8814" s="2"/>
      <c r="B8814" s="2" t="str">
        <f>IFERROR(__xludf.DUMMYFUNCTION("IF(A8814&lt;&gt;"""", GOOGLETRANSLATE(A8814, ""en"", ""te""),"""")"),"")</f>
        <v/>
      </c>
      <c r="C8814" s="2"/>
      <c r="D8814" s="2" t="str">
        <f>IFERROR(__xludf.DUMMYFUNCTION("IF(C8814&lt;&gt;"""", GOOGLETRANSLATE(C8814, ""en"", ""te""),"""")"),"")</f>
        <v/>
      </c>
      <c r="E8814" s="2"/>
      <c r="F8814" s="2" t="str">
        <f>IFERROR(__xludf.DUMMYFUNCTION("IF(E8814&lt;&gt;"""", GOOGLETRANSLATE(E8814, ""en"", ""te""),"""")"),"")</f>
        <v/>
      </c>
      <c r="G8814" s="2"/>
      <c r="H8814" s="2" t="str">
        <f>IFERROR(__xludf.DUMMYFUNCTION("IF(G8814&lt;&gt;"""", GOOGLETRANSLATE(G8814, ""en"", ""te""),"""")"),"")</f>
        <v/>
      </c>
      <c r="I8814" s="3"/>
    </row>
    <row r="8815" customHeight="1" spans="1:9">
      <c r="A8815" s="2"/>
      <c r="B8815" s="2" t="str">
        <f>IFERROR(__xludf.DUMMYFUNCTION("IF(A8815&lt;&gt;"""", GOOGLETRANSLATE(A8815, ""en"", ""te""),"""")"),"")</f>
        <v/>
      </c>
      <c r="C8815" s="2"/>
      <c r="D8815" s="2" t="str">
        <f>IFERROR(__xludf.DUMMYFUNCTION("IF(C8815&lt;&gt;"""", GOOGLETRANSLATE(C8815, ""en"", ""te""),"""")"),"")</f>
        <v/>
      </c>
      <c r="E8815" s="2"/>
      <c r="F8815" s="2" t="str">
        <f>IFERROR(__xludf.DUMMYFUNCTION("IF(E8815&lt;&gt;"""", GOOGLETRANSLATE(E8815, ""en"", ""te""),"""")"),"")</f>
        <v/>
      </c>
      <c r="G8815" s="2"/>
      <c r="H8815" s="2" t="str">
        <f>IFERROR(__xludf.DUMMYFUNCTION("IF(G8815&lt;&gt;"""", GOOGLETRANSLATE(G8815, ""en"", ""te""),"""")"),"")</f>
        <v/>
      </c>
      <c r="I8815" s="3"/>
    </row>
    <row r="8816" customHeight="1" spans="1:9">
      <c r="A8816" s="2" t="s">
        <v>4972</v>
      </c>
      <c r="B8816" s="2" t="str">
        <f>IFERROR(__xludf.DUMMYFUNCTION("IF(A8816&lt;&gt;"""", GOOGLETRANSLATE(A8816, ""en"", ""te""),"""")"),"[ '5 వ పిన్న క్రీడాకారులు (13y 360d)', '1st చెత్త కెరీర్ (అర్హత లేకుండా) సగటు బౌలింగ్ (341.00)', 'ఇన్నింగ్స్ లో 5 వ అత్యంత సాధించిన పరుగులు (92)']")</f>
        <v>[ '5 వ పిన్న క్రీడాకారులు (13y 360d)', '1st చెత్త కెరీర్ (అర్హత లేకుండా) సగటు బౌలింగ్ (341.00)', 'ఇన్నింగ్స్ లో 5 వ అత్యంత సాధించిన పరుగులు (92)']</v>
      </c>
      <c r="C8816" s="2"/>
      <c r="D8816" s="2" t="str">
        <f>IFERROR(__xludf.DUMMYFUNCTION("IF(C8816&lt;&gt;"""", GOOGLETRANSLATE(C8816, ""en"", ""te""),"""")"),"")</f>
        <v/>
      </c>
      <c r="E8816" s="2" t="s">
        <v>4973</v>
      </c>
      <c r="F8816" s="2" t="str">
        <f>IFERROR(__xludf.DUMMYFUNCTION("IF(E8816&lt;&gt;"""", GOOGLETRANSLATE(E8816, ""en"", ""te""),"""")"),"[ '1st చెత్త కెరీర్ (341.00) (అర్హత లేకుండా) సగటు బౌలింగ్', 'ఇన్నింగ్స్ లో 17 చెత్త ఆర్థిక రేటు (9.20)', '5 వ పిన్న క్రీడాకారులు (13y 360d)' 5 వ ఎక్కువ (92) ఒక ఇన్నింగ్స్ లో ఇవ్వబడిన పరుగులలో ' ']")</f>
        <v>[ '1st చెత్త కెరీర్ (341.00) (అర్హత లేకుండా) సగటు బౌలింగ్', 'ఇన్నింగ్స్ లో 17 చెత్త ఆర్థిక రేటు (9.20)', '5 వ పిన్న క్రీడాకారులు (13y 360d)' 5 వ ఎక్కువ (92) ఒక ఇన్నింగ్స్ లో ఇవ్వబడిన పరుగులలో ' ']</v>
      </c>
      <c r="G8816" s="2" t="s">
        <v>4974</v>
      </c>
      <c r="H8816" s="2" t="str">
        <f>IFERROR(__xludf.DUMMYFUNCTION("IF(G8816&lt;&gt;"""", GOOGLETRANSLATE(G8816, ""en"", ""te""),"""")"),"[ '12 వ చెత్త ఇన్నింగ్స్ లో ఆర్థిక రేటు (16.50)']")</f>
        <v>[ '12 వ చెత్త ఇన్నింగ్స్ లో ఆర్థిక రేటు (16.50)']</v>
      </c>
      <c r="I8816" s="3"/>
    </row>
    <row r="8817" customHeight="1" spans="1:9">
      <c r="A8817" s="2"/>
      <c r="B8817" s="2" t="str">
        <f>IFERROR(__xludf.DUMMYFUNCTION("IF(A8817&lt;&gt;"""", GOOGLETRANSLATE(A8817, ""en"", ""te""),"""")"),"")</f>
        <v/>
      </c>
      <c r="C8817" s="2"/>
      <c r="D8817" s="2" t="str">
        <f>IFERROR(__xludf.DUMMYFUNCTION("IF(C8817&lt;&gt;"""", GOOGLETRANSLATE(C8817, ""en"", ""te""),"""")"),"")</f>
        <v/>
      </c>
      <c r="E8817" s="2"/>
      <c r="F8817" s="2" t="str">
        <f>IFERROR(__xludf.DUMMYFUNCTION("IF(E8817&lt;&gt;"""", GOOGLETRANSLATE(E8817, ""en"", ""te""),"""")"),"")</f>
        <v/>
      </c>
      <c r="G8817" s="2"/>
      <c r="H8817" s="2" t="str">
        <f>IFERROR(__xludf.DUMMYFUNCTION("IF(G8817&lt;&gt;"""", GOOGLETRANSLATE(G8817, ""en"", ""te""),"""")"),"")</f>
        <v/>
      </c>
      <c r="I8817" s="3"/>
    </row>
    <row r="8818" customHeight="1" spans="1:9">
      <c r="A8818" s="2"/>
      <c r="B8818" s="2" t="str">
        <f>IFERROR(__xludf.DUMMYFUNCTION("IF(A8818&lt;&gt;"""", GOOGLETRANSLATE(A8818, ""en"", ""te""),"""")"),"")</f>
        <v/>
      </c>
      <c r="C8818" s="2"/>
      <c r="D8818" s="2" t="str">
        <f>IFERROR(__xludf.DUMMYFUNCTION("IF(C8818&lt;&gt;"""", GOOGLETRANSLATE(C8818, ""en"", ""te""),"""")"),"")</f>
        <v/>
      </c>
      <c r="E8818" s="2" t="s">
        <v>549</v>
      </c>
      <c r="F8818" s="2" t="str">
        <f>IFERROR(__xludf.DUMMYFUNCTION("IF(E8818&lt;&gt;"""", GOOGLETRANSLATE(E8818, ""en"", ""te""),"""")"),"[ 'తొలి ఇన్నింగ్స్ 15 వ బెస్ట్ ఫిగర్స్ (4)']")</f>
        <v>[ 'తొలి ఇన్నింగ్స్ 15 వ బెస్ట్ ఫిగర్స్ (4)']</v>
      </c>
      <c r="G8818" s="2" t="s">
        <v>4975</v>
      </c>
      <c r="H8818" s="2" t="str">
        <f>IFERROR(__xludf.DUMMYFUNCTION("IF(G8818&lt;&gt;"""", GOOGLETRANSLATE(G8818, ""en"", ""te""),"""")"),"[ '17 వ బౌలర్ / బ్యాట్స్ కలయికలు (3)', '28th పిన్న క్రీడాకారులు (16y 309d)']")</f>
        <v>[ '17 వ బౌలర్ / బ్యాట్స్ కలయికలు (3)', '28th పిన్న క్రీడాకారులు (16y 309d)']</v>
      </c>
      <c r="I8818" s="3"/>
    </row>
    <row r="8819" customHeight="1" spans="1:9">
      <c r="A8819" s="2" t="s">
        <v>4976</v>
      </c>
      <c r="B8819" s="2" t="str">
        <f>IFERROR(__xludf.DUMMYFUNCTION("IF(A8819&lt;&gt;"""", GOOGLETRANSLATE(A8819, ""en"", ""te""),"""")"),"[ 'కెరీర్ (42) 10 వ అతి తక్కువ బాతులు' '5 వ అత్యధిక పరుగులు ఇన్నింగ్స్ (92) లో సాధించిన,]")</f>
        <v>[ 'కెరీర్ (42) 10 వ అతి తక్కువ బాతులు' '5 వ అత్యధిక పరుగులు ఇన్నింగ్స్ (92) లో సాధించిన,]</v>
      </c>
      <c r="C8819" s="2"/>
      <c r="D8819" s="2" t="str">
        <f>IFERROR(__xludf.DUMMYFUNCTION("IF(C8819&lt;&gt;"""", GOOGLETRANSLATE(C8819, ""en"", ""te""),"""")"),"")</f>
        <v/>
      </c>
      <c r="E8819" s="2" t="s">
        <v>4977</v>
      </c>
      <c r="F8819" s="2" t="str">
        <f>IFERROR(__xludf.DUMMYFUNCTION("IF(E8819&lt;&gt;"""", GOOGLETRANSLATE(E8819, ""en"", ""te""),"""")"),"[ '43 వ చెత్త కెరీర్ (నమోదు చేయడంతోపాటు, 70.50) (అర్హత లేకుండా) సగటు బౌలింగ్', 'ఇన్నింగ్స్ లో 17 చెత్త ఆర్థిక రేటు (9.20)', 'చాలా 5 వ ఇన్నింగ్స్ లో సాధించిన పరుగులు (92)', '13 వ పిన్న క్రీడాకారులు (15y 131d) ']")</f>
        <v>[ '43 వ చెత్త కెరీర్ (నమోదు చేయడంతోపాటు, 70.50) (అర్హత లేకుండా) సగటు బౌలింగ్', 'ఇన్నింగ్స్ లో 17 చెత్త ఆర్థిక రేటు (9.20)', 'చాలా 5 వ ఇన్నింగ్స్ లో సాధించిన పరుగులు (92)', '13 వ పిన్న క్రీడాకారులు (15y 131d) ']</v>
      </c>
      <c r="G8819" s="2" t="s">
        <v>4978</v>
      </c>
      <c r="H8819" s="2" t="str">
        <f>IFERROR(__xludf.DUMMYFUNCTION("IF(G8819&lt;&gt;"""", GOOGLETRANSLATE(G8819, ""en"", ""te""),"""")"),"[ '22 వ ఇన్నింగ్స్ లో అత్యధిక పరుగులు (బ్యాటింగ్ స్థానంలో ప్రకారం) (61)', '44 వ అత్యధిక పరుగులు ఒకే నేలపై (180)', '26 వ అధిక' 34 వ (61) పరాజయం వైపు ఒక మ్యాచ్లో అత్యధిక పరుగులు ' కెరీర్లో అర్ధ మొదటి డక్ (24) ',' 10 వ అతి తక్కువ బాతులు కెరీర్ లో (42) ',' "&amp;"ఇన్నింగ్స్ లో 43 చెత్త ఆర్థిక రేటు (14.00) ',' 30 వ అత్యధిక పార్టనర్షిప్ ఫర్ ముందు (4) ',' 10 వ అత్యంత ఇన్నింగ్స్ తొలి వికెట్కు (112) రెండో వికెట్కు (113 *) కోసం ',' 15 వ అత్యధిక భాగస్వామ్యం ',' మూడో వికెట్కు 21 అత్యధిక భాగస్వామ్యం (93) ',' 22 వ పిన్న క్ర"&amp;"ీడాకారులు (13y 166d) ']")</f>
        <v>[ '22 వ ఇన్నింగ్స్ లో అత్యధిక పరుగులు (బ్యాటింగ్ స్థానంలో ప్రకారం) (61)', '44 వ అత్యధిక పరుగులు ఒకే నేలపై (180)', '26 వ అధిక' 34 వ (61) పరాజయం వైపు ఒక మ్యాచ్లో అత్యధిక పరుగులు ' కెరీర్లో అర్ధ మొదటి డక్ (24) ',' 10 వ అతి తక్కువ బాతులు కెరీర్ లో (42) ',' ఇన్నింగ్స్ లో 43 చెత్త ఆర్థిక రేటు (14.00) ',' 30 వ అత్యధిక పార్టనర్షిప్ ఫర్ ముందు (4) ',' 10 వ అత్యంత ఇన్నింగ్స్ తొలి వికెట్కు (112) రెండో వికెట్కు (113 *) కోసం ',' 15 వ అత్యధిక భాగస్వామ్యం ',' మూడో వికెట్కు 21 అత్యధిక భాగస్వామ్యం (93) ',' 22 వ పిన్న క్రీడాకారులు (13y 166d) ']</v>
      </c>
      <c r="I8819" s="3"/>
    </row>
    <row r="8820" customHeight="1" spans="1:9">
      <c r="A8820" s="2"/>
      <c r="B8820" s="2" t="str">
        <f>IFERROR(__xludf.DUMMYFUNCTION("IF(A8820&lt;&gt;"""", GOOGLETRANSLATE(A8820, ""en"", ""te""),"""")"),"")</f>
        <v/>
      </c>
      <c r="C8820" s="2"/>
      <c r="D8820" s="2" t="str">
        <f>IFERROR(__xludf.DUMMYFUNCTION("IF(C8820&lt;&gt;"""", GOOGLETRANSLATE(C8820, ""en"", ""te""),"""")"),"")</f>
        <v/>
      </c>
      <c r="E8820" s="2"/>
      <c r="F8820" s="2" t="str">
        <f>IFERROR(__xludf.DUMMYFUNCTION("IF(E8820&lt;&gt;"""", GOOGLETRANSLATE(E8820, ""en"", ""te""),"""")"),"")</f>
        <v/>
      </c>
      <c r="G8820" s="2"/>
      <c r="H8820" s="2" t="str">
        <f>IFERROR(__xludf.DUMMYFUNCTION("IF(G8820&lt;&gt;"""", GOOGLETRANSLATE(G8820, ""en"", ""te""),"""")"),"")</f>
        <v/>
      </c>
      <c r="I8820" s="3"/>
    </row>
    <row r="8821" customHeight="1" spans="1:9">
      <c r="A8821" s="2" t="s">
        <v>4979</v>
      </c>
      <c r="B8821" s="2" t="str">
        <f>IFERROR(__xludf.DUMMYFUNCTION("IF(A8821&lt;&gt;"""", GOOGLETRANSLATE(A8821, ""en"", ""te""),"""")"),"[ '7th లాంగెస్ట్ కెరీర్లు (18y 214d)', '4 వ కెప్టెన్ల వికెట్ను కాపాడుకున్నాడు మరియు బ్యాటింగ్ (1) తెరిచిన చేసిన']")</f>
        <v>[ '7th లాంగెస్ట్ కెరీర్లు (18y 214d)', '4 వ కెప్టెన్ల వికెట్ను కాపాడుకున్నాడు మరియు బ్యాటింగ్ (1) తెరిచిన చేసిన']</v>
      </c>
      <c r="C8821" s="2"/>
      <c r="D8821" s="2" t="str">
        <f>IFERROR(__xludf.DUMMYFUNCTION("IF(C8821&lt;&gt;"""", GOOGLETRANSLATE(C8821, ""en"", ""te""),"""")"),"")</f>
        <v/>
      </c>
      <c r="E8821" s="2" t="s">
        <v>4980</v>
      </c>
      <c r="F8821" s="2" t="str">
        <f>IFERROR(__xludf.DUMMYFUNCTION("IF(E8821&lt;&gt;"""", GOOGLETRANSLATE(E8821, ""en"", ""te""),"""")"),"[ 'ఏ వికెట్కు 36 వ అత్యధిక భాగస్వామ్యాల (181)', 'మొదటి వికెట్కు 14 అత్యధిక భాగస్వామ్యం (181)', '20 వ పిన్న క్రీడాకారులు (15y 285D)', '7 వ లాంగెస్ట్ 40 వ (8) కెరీర్ బాతులు' కెరీర్లు (18y 214d) ',' వికెట్ (5) ఉంచింది చేసిన 8 వ కెప్టెన్ల ',' వికెట్ను కాపాడుక"&amp;"ున్నాడు మరియు బ్యాటింగ్ తెరిచారు 4 వ కెప్టెన్ల (1) ',' కెరీర్లో 29 వ అత్యధిక వికెట్లు (24) ',' 28th అత్యధిక క్యాచ్లు కెరీర్లో (15) ', '21 వ ఇన్నింగ్స్ లో అత్యధిక క్యాచ్లు (3)', '29th కెరీర్ (9) అత్యంత స్టంపింగ్లు']")</f>
        <v>[ 'ఏ వికెట్కు 36 వ అత్యధిక భాగస్వామ్యాల (181)', 'మొదటి వికెట్కు 14 అత్యధిక భాగస్వామ్యం (181)', '20 వ పిన్న క్రీడాకారులు (15y 285D)', '7 వ లాంగెస్ట్ 40 వ (8) కెరీర్ బాతులు' కెరీర్లు (18y 214d) ',' వికెట్ (5) ఉంచింది చేసిన 8 వ కెప్టెన్ల ',' వికెట్ను కాపాడుకున్నాడు మరియు బ్యాటింగ్ తెరిచారు 4 వ కెప్టెన్ల (1) ',' కెరీర్లో 29 వ అత్యధిక వికెట్లు (24) ',' 28th అత్యధిక క్యాచ్లు కెరీర్లో (15) ', '21 వ ఇన్నింగ్స్ లో అత్యధిక క్యాచ్లు (3)', '29th కెరీర్ (9) అత్యంత స్టంపింగ్లు']</v>
      </c>
      <c r="G8821" s="2"/>
      <c r="H8821" s="2" t="str">
        <f>IFERROR(__xludf.DUMMYFUNCTION("IF(G8821&lt;&gt;"""", GOOGLETRANSLATE(G8821, ""en"", ""te""),"""")"),"")</f>
        <v/>
      </c>
      <c r="I8821" s="3"/>
    </row>
    <row r="8822" customHeight="1" spans="1:9">
      <c r="A8822" s="2"/>
      <c r="B8822" s="2" t="str">
        <f>IFERROR(__xludf.DUMMYFUNCTION("IF(A8822&lt;&gt;"""", GOOGLETRANSLATE(A8822, ""en"", ""te""),"""")"),"")</f>
        <v/>
      </c>
      <c r="C8822" s="2"/>
      <c r="D8822" s="2" t="str">
        <f>IFERROR(__xludf.DUMMYFUNCTION("IF(C8822&lt;&gt;"""", GOOGLETRANSLATE(C8822, ""en"", ""te""),"""")"),"")</f>
        <v/>
      </c>
      <c r="E8822" s="2"/>
      <c r="F8822" s="2" t="str">
        <f>IFERROR(__xludf.DUMMYFUNCTION("IF(E8822&lt;&gt;"""", GOOGLETRANSLATE(E8822, ""en"", ""te""),"""")"),"")</f>
        <v/>
      </c>
      <c r="G8822" s="2"/>
      <c r="H8822" s="2" t="str">
        <f>IFERROR(__xludf.DUMMYFUNCTION("IF(G8822&lt;&gt;"""", GOOGLETRANSLATE(G8822, ""en"", ""te""),"""")"),"")</f>
        <v/>
      </c>
      <c r="I8822" s="3"/>
    </row>
    <row r="8823" customHeight="1" spans="1:9">
      <c r="A8823" s="2"/>
      <c r="B8823" s="2" t="str">
        <f>IFERROR(__xludf.DUMMYFUNCTION("IF(A8823&lt;&gt;"""", GOOGLETRANSLATE(A8823, ""en"", ""te""),"""")"),"")</f>
        <v/>
      </c>
      <c r="C8823" s="2"/>
      <c r="D8823" s="2" t="str">
        <f>IFERROR(__xludf.DUMMYFUNCTION("IF(C8823&lt;&gt;"""", GOOGLETRANSLATE(C8823, ""en"", ""te""),"""")"),"")</f>
        <v/>
      </c>
      <c r="E8823" s="2"/>
      <c r="F8823" s="2" t="str">
        <f>IFERROR(__xludf.DUMMYFUNCTION("IF(E8823&lt;&gt;"""", GOOGLETRANSLATE(E8823, ""en"", ""te""),"""")"),"")</f>
        <v/>
      </c>
      <c r="G8823" s="2"/>
      <c r="H8823" s="2" t="str">
        <f>IFERROR(__xludf.DUMMYFUNCTION("IF(G8823&lt;&gt;"""", GOOGLETRANSLATE(G8823, ""en"", ""te""),"""")"),"")</f>
        <v/>
      </c>
      <c r="I8823" s="3"/>
    </row>
    <row r="8824" customHeight="1" spans="1:9">
      <c r="A8824" s="2" t="s">
        <v>4981</v>
      </c>
      <c r="B8824" s="2" t="str">
        <f>IFERROR(__xludf.DUMMYFUNCTION("IF(A8824&lt;&gt;"""", GOOGLETRANSLATE(A8824, ""en"", ""te""),"""")"),"[ '99 (199, 299 etc) (99) అవుటయ్యాడు 1st' '5 వ అత్యంత వృద్ధ ఆటగాడు తొలి వంద (34y 85d) స్కోర్']")</f>
        <v>[ '99 (199, 299 etc) (99) అవుటయ్యాడు 1st' '5 వ అత్యంత వృద్ధ ఆటగాడు తొలి వంద (34y 85d) స్కోర్']</v>
      </c>
      <c r="C8824" s="2"/>
      <c r="D8824" s="2" t="str">
        <f>IFERROR(__xludf.DUMMYFUNCTION("IF(C8824&lt;&gt;"""", GOOGLETRANSLATE(C8824, ""en"", ""te""),"""")"),"")</f>
        <v/>
      </c>
      <c r="E8824" s="2" t="s">
        <v>4982</v>
      </c>
      <c r="F8824" s="2" t="str">
        <f>IFERROR(__xludf.DUMMYFUNCTION("IF(E8824&lt;&gt;"""", GOOGLETRANSLATE(E8824, ""en"", ""te""),"""")"),"[ '32 వ అత్యధిక తొలి వంద (114 *)', '1 వ 99 (199 అవుటయ్యాడు' కన్య వందల (34y 85d) స్కోర్ 5 వ అత్యంత వృద్ధ ఆటగాడు ',' 10 వ అత్యంత వృద్ధ ఆటగాడు వంద (34y 85d) స్కోర్ ', 299 etc) (కెరీర్ 99) ',' 46 వ అతి తక్కువ బాతులు (18.5) ',' 36 వ అత్యధిక మ్యాచ్లు కెప్టెన్గా"&amp;" (21) ']")</f>
        <v>[ '32 వ అత్యధిక తొలి వంద (114 *)', '1 వ 99 (199 అవుటయ్యాడు' కన్య వందల (34y 85d) స్కోర్ 5 వ అత్యంత వృద్ధ ఆటగాడు ',' 10 వ అత్యంత వృద్ధ ఆటగాడు వంద (34y 85d) స్కోర్ ', 299 etc) (కెరీర్ 99) ',' 46 వ అతి తక్కువ బాతులు (18.5) ',' 36 వ అత్యధిక మ్యాచ్లు కెప్టెన్గా (21) ']</v>
      </c>
      <c r="G8824" s="2"/>
      <c r="H8824" s="2" t="str">
        <f>IFERROR(__xludf.DUMMYFUNCTION("IF(G8824&lt;&gt;"""", GOOGLETRANSLATE(G8824, ""en"", ""te""),"""")"),"")</f>
        <v/>
      </c>
      <c r="I8824" s="3"/>
    </row>
    <row r="8825" customHeight="1" spans="1:9">
      <c r="A8825" s="2"/>
      <c r="B8825" s="2" t="str">
        <f>IFERROR(__xludf.DUMMYFUNCTION("IF(A8825&lt;&gt;"""", GOOGLETRANSLATE(A8825, ""en"", ""te""),"""")"),"")</f>
        <v/>
      </c>
      <c r="C8825" s="2"/>
      <c r="D8825" s="2" t="str">
        <f>IFERROR(__xludf.DUMMYFUNCTION("IF(C8825&lt;&gt;"""", GOOGLETRANSLATE(C8825, ""en"", ""te""),"""")"),"")</f>
        <v/>
      </c>
      <c r="E8825" s="2"/>
      <c r="F8825" s="2" t="str">
        <f>IFERROR(__xludf.DUMMYFUNCTION("IF(E8825&lt;&gt;"""", GOOGLETRANSLATE(E8825, ""en"", ""te""),"""")"),"")</f>
        <v/>
      </c>
      <c r="G8825" s="2"/>
      <c r="H8825" s="2" t="str">
        <f>IFERROR(__xludf.DUMMYFUNCTION("IF(G8825&lt;&gt;"""", GOOGLETRANSLATE(G8825, ""en"", ""te""),"""")"),"")</f>
        <v/>
      </c>
      <c r="I8825" s="3"/>
    </row>
    <row r="8826" customHeight="1" spans="1:9">
      <c r="A8826" s="2"/>
      <c r="B8826" s="2" t="str">
        <f>IFERROR(__xludf.DUMMYFUNCTION("IF(A8826&lt;&gt;"""", GOOGLETRANSLATE(A8826, ""en"", ""te""),"""")"),"")</f>
        <v/>
      </c>
      <c r="C8826" s="2"/>
      <c r="D8826" s="2" t="str">
        <f>IFERROR(__xludf.DUMMYFUNCTION("IF(C8826&lt;&gt;"""", GOOGLETRANSLATE(C8826, ""en"", ""te""),"""")"),"")</f>
        <v/>
      </c>
      <c r="E8826" s="2"/>
      <c r="F8826" s="2" t="str">
        <f>IFERROR(__xludf.DUMMYFUNCTION("IF(E8826&lt;&gt;"""", GOOGLETRANSLATE(E8826, ""en"", ""te""),"""")"),"")</f>
        <v/>
      </c>
      <c r="G8826" s="2" t="s">
        <v>4983</v>
      </c>
      <c r="H8826" s="2" t="str">
        <f>IFERROR(__xludf.DUMMYFUNCTION("IF(G8826&lt;&gt;"""", GOOGLETRANSLATE(G8826, ""en"", ""te""),"""")"),"[ 'కెరీర్లో 17 వ లేవు బాతులు (23)']")</f>
        <v>[ 'కెరీర్లో 17 వ లేవు బాతులు (23)']</v>
      </c>
      <c r="I8826" s="3"/>
    </row>
    <row r="8827" customHeight="1" spans="1:9">
      <c r="A8827" s="2" t="s">
        <v>4984</v>
      </c>
      <c r="B8827" s="2" t="str">
        <f>IFERROR(__xludf.DUMMYFUNCTION("IF(A8827&lt;&gt;"""", GOOGLETRANSLATE(A8827, ""en"", ""te""),"""")"),"[ '4 వ అత్యధిక పరుగులు ఇన్నింగ్స్ (93) లో సాధించిన]")</f>
        <v>[ '4 వ అత్యధిక పరుగులు ఇన్నింగ్స్ (93) లో సాధించిన]</v>
      </c>
      <c r="C8827" s="2"/>
      <c r="D8827" s="2" t="str">
        <f>IFERROR(__xludf.DUMMYFUNCTION("IF(C8827&lt;&gt;"""", GOOGLETRANSLATE(C8827, ""en"", ""te""),"""")"),"")</f>
        <v/>
      </c>
      <c r="E8827" s="2" t="s">
        <v>4985</v>
      </c>
      <c r="F8827" s="2" t="str">
        <f>IFERROR(__xludf.DUMMYFUNCTION("IF(E8827&lt;&gt;"""", GOOGLETRANSLATE(E8827, ""en"", ""te""),"""")"),"[ '15 వ చెత్త ఆర్థిక వ్యవస్థ ఇన్నింగ్స్లో రేటు (9.30)', '11 వ పరాజయం వైపు (4) ఒక ఇన్నింగ్స్ లోని బెస్ట్ ఫిగర్స్' '4 వ అత్యంత ఇన్నింగ్స్ లో సాధించిన పరుగులు (93)', '34 వ పిన్న క్రీడాకారులు (16y 120d) ']")</f>
        <v>[ '15 వ చెత్త ఆర్థిక వ్యవస్థ ఇన్నింగ్స్లో రేటు (9.30)', '11 వ పరాజయం వైపు (4) ఒక ఇన్నింగ్స్ లోని బెస్ట్ ఫిగర్స్' '4 వ అత్యంత ఇన్నింగ్స్ లో సాధించిన పరుగులు (93)', '34 వ పిన్న క్రీడాకారులు (16y 120d) ']</v>
      </c>
      <c r="G8827" s="2" t="s">
        <v>4748</v>
      </c>
      <c r="H8827" s="2" t="str">
        <f>IFERROR(__xludf.DUMMYFUNCTION("IF(G8827&lt;&gt;"""", GOOGLETRANSLATE(G8827, ""en"", ""te""),"""")"),"[ '26 అత్యుత్తమ ఇన్నింగ్స్ (3/4) విశ్లేషణలలో బౌలింగ్']")</f>
        <v>[ '26 అత్యుత్తమ ఇన్నింగ్స్ (3/4) విశ్లేషణలలో బౌలింగ్']</v>
      </c>
      <c r="I8827" s="3"/>
    </row>
    <row r="8828" customHeight="1" spans="1:9">
      <c r="A8828" s="2" t="s">
        <v>4986</v>
      </c>
      <c r="B8828" s="2" t="str">
        <f>IFERROR(__xludf.DUMMYFUNCTION("IF(A8828&lt;&gt;"""", GOOGLETRANSLATE(A8828, ""en"", ""te""),"""")"),"[ '1st అత్యుత్తమ ఇన్నింగ్స్ లో విశ్లేషణలు బౌలింగ్ (1/0)', ​​'ఇన్నింగ్స్ లో 1 వ ఉత్తమ ఆర్థిక రేటు (0.00)']")</f>
        <v>[ '1st అత్యుత్తమ ఇన్నింగ్స్ లో విశ్లేషణలు బౌలింగ్ (1/0)', ​​'ఇన్నింగ్స్ లో 1 వ ఉత్తమ ఆర్థిక రేటు (0.00)']</v>
      </c>
      <c r="C8828" s="2"/>
      <c r="D8828" s="2" t="str">
        <f>IFERROR(__xludf.DUMMYFUNCTION("IF(C8828&lt;&gt;"""", GOOGLETRANSLATE(C8828, ""en"", ""te""),"""")"),"")</f>
        <v/>
      </c>
      <c r="E8828" s="2" t="s">
        <v>4986</v>
      </c>
      <c r="F8828" s="2" t="str">
        <f>IFERROR(__xludf.DUMMYFUNCTION("IF(E8828&lt;&gt;"""", GOOGLETRANSLATE(E8828, ""en"", ""te""),"""")"),"[ '1st అత్యుత్తమ ఇన్నింగ్స్ లో విశ్లేషణలు బౌలింగ్ (1/0)', ​​'ఇన్నింగ్స్ లో 1 వ ఉత్తమ ఆర్థిక రేటు (0.00)']")</f>
        <v>[ '1st అత్యుత్తమ ఇన్నింగ్స్ లో విశ్లేషణలు బౌలింగ్ (1/0)', ​​'ఇన్నింగ్స్ లో 1 వ ఉత్తమ ఆర్థిక రేటు (0.00)']</v>
      </c>
      <c r="G8828" s="2"/>
      <c r="H8828" s="2" t="str">
        <f>IFERROR(__xludf.DUMMYFUNCTION("IF(G8828&lt;&gt;"""", GOOGLETRANSLATE(G8828, ""en"", ""te""),"""")"),"")</f>
        <v/>
      </c>
      <c r="I8828" s="3"/>
    </row>
    <row r="8829" customHeight="1" spans="1:9">
      <c r="A8829" s="2" t="s">
        <v>4987</v>
      </c>
      <c r="B8829" s="2" t="str">
        <f>IFERROR(__xludf.DUMMYFUNCTION("IF(A8829&lt;&gt;"""", GOOGLETRANSLATE(A8829, ""en"", ""te""),"""")"),"[ '3 వ అత్యంత వృద్ధ ఆటగాడు తొలి తీసుకుని ఐదు-వికెట్ల లో-ఒక-ఇన్నింగ్స్ (37y 336d)']")</f>
        <v>[ '3 వ అత్యంత వృద్ధ ఆటగాడు తొలి తీసుకుని ఐదు-వికెట్ల లో-ఒక-ఇన్నింగ్స్ (37y 336d)']</v>
      </c>
      <c r="C8829" s="2" t="s">
        <v>4988</v>
      </c>
      <c r="D8829" s="2" t="str">
        <f>IFERROR(__xludf.DUMMYFUNCTION("IF(C8829&lt;&gt;"""", GOOGLETRANSLATE(C8829, ""en"", ""te""),"""")"),"[ '11 వ ఇన్నింగ్స్ లో అత్యధిక పరుగులు (బ్యాటింగ్ స్థానంలో ప్రకారం) (54 *)', '11 వ సంఖ్య పదకొండు టాప్ స్కోరింగ్ ఇన్నింగ్స్ లో (54 *)', '12 వ అత్యుత్తమ బౌలింగ్ ఇన్నింగ్స్ లో విశ్లేషించడం (5/13)', ' 27 అత్యంత వృద్ధ ఆటగాడు తొలి తీసుకుని ఐదు-వికెట్ల లో-ఒక-ఇన్న"&amp;"ింగ్స్ (37y 356d) ',' 11 వ అత్యంత వృద్ధ ఆటగాడు తీసుకుని ఐదు-వికెట్ల లో-ఒక-ఇన్నింగ్స్ (37y 356d) ']")</f>
        <v>[ '11 వ ఇన్నింగ్స్ లో అత్యధిక పరుగులు (బ్యాటింగ్ స్థానంలో ప్రకారం) (54 *)', '11 వ సంఖ్య పదకొండు టాప్ స్కోరింగ్ ఇన్నింగ్స్ లో (54 *)', '12 వ అత్యుత్తమ బౌలింగ్ ఇన్నింగ్స్ లో విశ్లేషించడం (5/13)', ' 27 అత్యంత వృద్ధ ఆటగాడు తొలి తీసుకుని ఐదు-వికెట్ల లో-ఒక-ఇన్నింగ్స్ (37y 356d) ',' 11 వ అత్యంత వృద్ధ ఆటగాడు తీసుకుని ఐదు-వికెట్ల లో-ఒక-ఇన్నింగ్స్ (37y 356d) ']</v>
      </c>
      <c r="E8829" s="2" t="s">
        <v>4989</v>
      </c>
      <c r="F8829" s="2" t="str">
        <f>IFERROR(__xludf.DUMMYFUNCTION("IF(E8829&lt;&gt;"""", GOOGLETRANSLATE(E8829, ""en"", ""te""),"""")"),"[ '13 వ వరుస నాలుగు వికెట్లు-ఇన్-ఒక-ఇన్నింగ్స్ (2)', కన్య ఐదు- తీసుకోవాలని 'ఐదు వికెట్ల తేడాతో-ఒక ఇన్నింగ్స్లో తీసుకోవాలని 4 వ అత్యంత వృద్ధ ఆటగాడు (37y 336d)', '3 వ అత్యంత వృద్ధ ఆటగాడు వికెట్లు-ఇన్-ఒక-ఇన్నింగ్స్ (37y 336d) ']")</f>
        <v>[ '13 వ వరుస నాలుగు వికెట్లు-ఇన్-ఒక-ఇన్నింగ్స్ (2)', కన్య ఐదు- తీసుకోవాలని 'ఐదు వికెట్ల తేడాతో-ఒక ఇన్నింగ్స్లో తీసుకోవాలని 4 వ అత్యంత వృద్ధ ఆటగాడు (37y 336d)', '3 వ అత్యంత వృద్ధ ఆటగాడు వికెట్లు-ఇన్-ఒక-ఇన్నింగ్స్ (37y 336d) ']</v>
      </c>
      <c r="G8829" s="2" t="s">
        <v>4990</v>
      </c>
      <c r="H8829" s="2" t="str">
        <f>IFERROR(__xludf.DUMMYFUNCTION("IF(G8829&lt;&gt;"""", GOOGLETRANSLATE(G8829, ""en"", ""te""),"""")"),"[ 'తొమ్మిదవ వికెట్కు 40 వ అత్యధిక భాగస్వామ్యం (27 *)']")</f>
        <v>[ 'తొమ్మిదవ వికెట్కు 40 వ అత్యధిక భాగస్వామ్యం (27 *)']</v>
      </c>
      <c r="I8829" s="3"/>
    </row>
    <row r="8830" customHeight="1" spans="1:9">
      <c r="A8830" s="2" t="s">
        <v>4991</v>
      </c>
      <c r="B8830" s="2" t="str">
        <f>IFERROR(__xludf.DUMMYFUNCTION("IF(A8830&lt;&gt;"""", GOOGLETRANSLATE(A8830, ""en"", ""te""),"""")"),"[ '4 వ చెత్త కెరీర్ బౌలింగ్ సరాసరి (48.05)', 'బ్యాటింగ్ తెరవడం మరియు అదే మ్యాచ్ లో బౌలింగ్', '1st చెత్త కెరీర్లో సమ్మె రేటు (45.0)', 'పదవ వికెట్కు 4 వ అత్యధిక భాగస్వామ్యం (23 *)']")</f>
        <v>[ '4 వ చెత్త కెరీర్ బౌలింగ్ సరాసరి (48.05)', 'బ్యాటింగ్ తెరవడం మరియు అదే మ్యాచ్ లో బౌలింగ్', '1st చెత్త కెరీర్లో సమ్మె రేటు (45.0)', 'పదవ వికెట్కు 4 వ అత్యధిక భాగస్వామ్యం (23 *)']</v>
      </c>
      <c r="C8830" s="2"/>
      <c r="D8830" s="2" t="str">
        <f>IFERROR(__xludf.DUMMYFUNCTION("IF(C8830&lt;&gt;"""", GOOGLETRANSLATE(C8830, ""en"", ""te""),"""")"),"")</f>
        <v/>
      </c>
      <c r="E8830" s="2" t="s">
        <v>4992</v>
      </c>
      <c r="F8830" s="2" t="str">
        <f>IFERROR(__xludf.DUMMYFUNCTION("IF(E8830&lt;&gt;"""", GOOGLETRANSLATE(E8830, ""en"", ""te""),"""")"),"[ '4 వ చెత్త కెరీర్ సగటు (48.05) బౌలింగ్', '27 చెత్త కెరీర్లో ఆర్థిక రేటు (4.33)', '12 వ చెత్త కెరీర్లో సమ్మె రేటు (66.4)', '41 వ ఇన్నింగ్స్ లో సాధించిన అత్యధిక పరుగులు (71)', '49 వ పిన్న క్రీడాకారులు (16y 262d) ']")</f>
        <v>[ '4 వ చెత్త కెరీర్ సగటు (48.05) బౌలింగ్', '27 చెత్త కెరీర్లో ఆర్థిక రేటు (4.33)', '12 వ చెత్త కెరీర్లో సమ్మె రేటు (66.4)', '41 వ ఇన్నింగ్స్ లో సాధించిన అత్యధిక పరుగులు (71)', '49 వ పిన్న క్రీడాకారులు (16y 262d) ']</v>
      </c>
      <c r="G8830" s="2" t="s">
        <v>4993</v>
      </c>
      <c r="H8830" s="2" t="str">
        <f>IFERROR(__xludf.DUMMYFUNCTION("IF(G8830&lt;&gt;"""", GOOGLETRANSLATE(G8830, ""en"", ""te""),"""")"),"[ '49 వ ఉత్తమ కెరీర్ ఆర్థిక రేటు (5.78)', '1st చెత్త కెరీర్ సగటు (43.41) బౌలింగ్', '1st చెత్త కెరీర్లో సమ్మె రేటు (45.0)', 'పదవ వికెట్కు 4 వ అత్యధిక భాగస్వామ్యం (23 *)']")</f>
        <v>[ '49 వ ఉత్తమ కెరీర్ ఆర్థిక రేటు (5.78)', '1st చెత్త కెరీర్ సగటు (43.41) బౌలింగ్', '1st చెత్త కెరీర్లో సమ్మె రేటు (45.0)', 'పదవ వికెట్కు 4 వ అత్యధిక భాగస్వామ్యం (23 *)']</v>
      </c>
      <c r="I8830" s="3"/>
    </row>
    <row r="8831" customHeight="1" spans="1:9">
      <c r="A8831" s="2" t="s">
        <v>4994</v>
      </c>
      <c r="B8831" s="2" t="str">
        <f>IFERROR(__xludf.DUMMYFUNCTION("IF(A8831&lt;&gt;"""", GOOGLETRANSLATE(A8831, ""en"", ""te""),"""")"),"[ 'వరుస 1st చాలా బాతులు (4)']")</f>
        <v>[ 'వరుస 1st చాలా బాతులు (4)']</v>
      </c>
      <c r="C8831" s="2"/>
      <c r="D8831" s="2" t="str">
        <f>IFERROR(__xludf.DUMMYFUNCTION("IF(C8831&lt;&gt;"""", GOOGLETRANSLATE(C8831, ""en"", ""te""),"""")"),"")</f>
        <v/>
      </c>
      <c r="E8831" s="2" t="s">
        <v>4994</v>
      </c>
      <c r="F8831" s="2" t="str">
        <f>IFERROR(__xludf.DUMMYFUNCTION("IF(E8831&lt;&gt;"""", GOOGLETRANSLATE(E8831, ""en"", ""te""),"""")"),"[ 'వరుస 1st చాలా బాతులు (4)']")</f>
        <v>[ 'వరుస 1st చాలా బాతులు (4)']</v>
      </c>
      <c r="G8831" s="2"/>
      <c r="H8831" s="2" t="str">
        <f>IFERROR(__xludf.DUMMYFUNCTION("IF(G8831&lt;&gt;"""", GOOGLETRANSLATE(G8831, ""en"", ""te""),"""")"),"")</f>
        <v/>
      </c>
      <c r="I8831" s="3"/>
    </row>
    <row r="8832" customHeight="1" spans="1:9">
      <c r="A8832" s="2" t="s">
        <v>4995</v>
      </c>
      <c r="B8832" s="2" t="str">
        <f>IFERROR(__xludf.DUMMYFUNCTION("IF(A8832&lt;&gt;"""", GOOGLETRANSLATE(A8832, ""en"", ""te""),"""")"),"[ '10 వ కెరీర్ లో చాలా బాతులు (11)', 'ఒక కెప్టెన్తో ఒక ఇన్నింగ్స్ లో 9 వ బెస్ట్ ఫిగర్స్ (4)']")</f>
        <v>[ '10 వ కెరీర్ లో చాలా బాతులు (11)', 'ఒక కెప్టెన్తో ఒక ఇన్నింగ్స్ లో 9 వ బెస్ట్ ఫిగర్స్ (4)']</v>
      </c>
      <c r="C8832" s="2" t="s">
        <v>4996</v>
      </c>
      <c r="D8832" s="2" t="str">
        <f>IFERROR(__xludf.DUMMYFUNCTION("IF(C8832&lt;&gt;"""", GOOGLETRANSLATE(C8832, ""en"", ""te""),"""")"),"[ 'ప్రవేశం (4) ఒక ఇన్నింగ్స్ లో 14 వ బెస్ట్ ఫిగర్స్' '23 వ ఉత్తమ కెరీర్ (10.50) (అర్హత లేకుండా) సగటు బౌలింగ్', 'ఇన్నింగ్స్ లో 24 వ ఉత్తమ సమ్మె రేటు (18.0)',]")</f>
        <v>[ 'ప్రవేశం (4) ఒక ఇన్నింగ్స్ లో 14 వ బెస్ట్ ఫిగర్స్' '23 వ ఉత్తమ కెరీర్ (10.50) (అర్హత లేకుండా) సగటు బౌలింగ్', 'ఇన్నింగ్స్ లో 24 వ ఉత్తమ సమ్మె రేటు (18.0)',]</v>
      </c>
      <c r="E8832" s="2" t="s">
        <v>4997</v>
      </c>
      <c r="F8832" s="2" t="str">
        <f>IFERROR(__xludf.DUMMYFUNCTION("IF(E8832&lt;&gt;"""", GOOGLETRANSLATE(E8832, ""en"", ""te""),"""")"),"[ '10 వ కెరీర్ లో చాలా బాతులు (11)', '44 వ ఉత్తమ ఇన్నింగ్స్ లో సంఖ్యలు (5/18)', 'ఒక కెప్టెన్తో ఒక ఇన్నింగ్స్ లో 9 వ బెస్ట్ ఫిగర్స్ (4)', ఒక ఇన్నింగ్స్ లో '43 వ ఉత్తమ సమ్మె రేటు ( 9.0) ',' 46 వ చెత్త కెరీర్లో ఆర్థిక రేటు (4.08) ',' 25 వ అత్యంత నాలుగు వికెట"&amp;"్లు-ఇన్-ఒక-ఇన్నింగ్స్ కెరీర్లో (4) ',' 40 వ అత్యధిక వికెట్లు ఒక ఫీల్డర్ చేత క్యాచ్ తీసుకున్న (33) ',' పదవ వికెట్కు 47 వ అత్యధిక భాగస్వామ్యం (25) ',' 11 వ లాంగెస్ట్ కెరీర్లు (17y 215d) ',' కెప్టెన్సీ తొలి 24 ఓల్డెస్ట్ కాప్టెన్ (31y 7D) ']")</f>
        <v>[ '10 వ కెరీర్ లో చాలా బాతులు (11)', '44 వ ఉత్తమ ఇన్నింగ్స్ లో సంఖ్యలు (5/18)', 'ఒక కెప్టెన్తో ఒక ఇన్నింగ్స్ లో 9 వ బెస్ట్ ఫిగర్స్ (4)', ఒక ఇన్నింగ్స్ లో '43 వ ఉత్తమ సమ్మె రేటు ( 9.0) ',' 46 వ చెత్త కెరీర్లో ఆర్థిక రేటు (4.08) ',' 25 వ అత్యంత నాలుగు వికెట్లు-ఇన్-ఒక-ఇన్నింగ్స్ కెరీర్లో (4) ',' 40 వ అత్యధిక వికెట్లు ఒక ఫీల్డర్ చేత క్యాచ్ తీసుకున్న (33) ',' పదవ వికెట్కు 47 వ అత్యధిక భాగస్వామ్యం (25) ',' 11 వ లాంగెస్ట్ కెరీర్లు (17y 215d) ',' కెప్టెన్సీ తొలి 24 ఓల్డెస్ట్ కాప్టెన్ (31y 7D) ']</v>
      </c>
      <c r="G8832" s="2" t="s">
        <v>4998</v>
      </c>
      <c r="H8832" s="2" t="str">
        <f>IFERROR(__xludf.DUMMYFUNCTION("IF(G8832&lt;&gt;"""", GOOGLETRANSLATE(G8832, ""en"", ""te""),"""")"),"[ 'ఒక ఇన్నింగ్స్ లో 5 వ ఉత్తమ సంఖ్యలు ఉన్నప్పుడు పరాజయం వైపు (4)', '41 వ ఓల్డెస్ట్ క్రీడాకారులు (39y 49d)', 'కెప్టెన్సీ తొలి 36 వ ఓల్డెస్ట్ కాప్టెన్ (31y 15d)']")</f>
        <v>[ 'ఒక ఇన్నింగ్స్ లో 5 వ ఉత్తమ సంఖ్యలు ఉన్నప్పుడు పరాజయం వైపు (4)', '41 వ ఓల్డెస్ట్ క్రీడాకారులు (39y 49d)', 'కెప్టెన్సీ తొలి 36 వ ఓల్డెస్ట్ కాప్టెన్ (31y 15d)']</v>
      </c>
      <c r="I8832" s="3"/>
    </row>
    <row r="8833" customHeight="1" spans="1:9">
      <c r="A8833" s="2" t="s">
        <v>4999</v>
      </c>
      <c r="B8833" s="2" t="str">
        <f>IFERROR(__xludf.DUMMYFUNCTION("IF(A8833&lt;&gt;"""", GOOGLETRANSLATE(A8833, ""en"", ""te""),"""")"),"[ '7th 50 వికెట్లు (25) వేగంగా', '8 వ ఒక ఇన్నింగ్స్ లోని బెస్ట్ ఫిగర్స్ పరాజయం వైపు (4) ఉన్నప్పుడు', '4 వ అరంగేట్రంలోనే ఇన్నింగ్స్ లోని బెస్ట్ ఫిగర్స్ (4)', '3 వ చాల వరకు ఒక లో ఇవ్వబడిన పరుగులలో ఇన్నింగ్స్ (69) ']")</f>
        <v>[ '7th 50 వికెట్లు (25) వేగంగా', '8 వ ఒక ఇన్నింగ్స్ లోని బెస్ట్ ఫిగర్స్ పరాజయం వైపు (4) ఉన్నప్పుడు', '4 వ అరంగేట్రంలోనే ఇన్నింగ్స్ లోని బెస్ట్ ఫిగర్స్ (4)', '3 వ చాల వరకు ఒక లో ఇవ్వబడిన పరుగులలో ఇన్నింగ్స్ (69) ']</v>
      </c>
      <c r="C8833" s="2"/>
      <c r="D8833" s="2" t="str">
        <f>IFERROR(__xludf.DUMMYFUNCTION("IF(C8833&lt;&gt;"""", GOOGLETRANSLATE(C8833, ""en"", ""te""),"""")"),"")</f>
        <v/>
      </c>
      <c r="E8833" s="2" t="s">
        <v>5000</v>
      </c>
      <c r="F8833" s="2" t="str">
        <f>IFERROR(__xludf.DUMMYFUNCTION("IF(E8833&lt;&gt;"""", GOOGLETRANSLATE(E8833, ""en"", ""te""),"""")"),"[ '16 వ ఉత్తమ కెరీర్ సమ్మె రేటు (29.1)', '17 వ చెత్త కెరీర్లో ఆర్థిక రేటు (5.92)', 'ఫాస్టెస్ట్ 50 వికెట్లు 7 వ (25)']")</f>
        <v>[ '16 వ ఉత్తమ కెరీర్ సమ్మె రేటు (29.1)', '17 వ చెత్త కెరీర్లో ఆర్థిక రేటు (5.92)', 'ఫాస్టెస్ట్ 50 వికెట్లు 7 వ (25)']</v>
      </c>
      <c r="G8833" s="2" t="s">
        <v>5001</v>
      </c>
      <c r="H8833" s="2" t="str">
        <f>IFERROR(__xludf.DUMMYFUNCTION("IF(G8833&lt;&gt;"""", GOOGLETRANSLATE(G8833, ""en"", ""te""),"""")"),"[ 'ఒక ఇన్నింగ్స్ లో 8 వ బెస్ట్ ఫిగర్స్ పరాజయం వైపు (4) ఉన్నప్పుడు', '4 వ ఉత్తమ తొలి ఇన్నింగ్స్లో గణాంకాలు (4)', '3 వ అత్యంత ఇన్నింగ్స్ లో సాధించిన పరుగులు (69)']")</f>
        <v>[ 'ఒక ఇన్నింగ్స్ లో 8 వ బెస్ట్ ఫిగర్స్ పరాజయం వైపు (4) ఉన్నప్పుడు', '4 వ ఉత్తమ తొలి ఇన్నింగ్స్లో గణాంకాలు (4)', '3 వ అత్యంత ఇన్నింగ్స్ లో సాధించిన పరుగులు (69)']</v>
      </c>
      <c r="I8833" s="3"/>
    </row>
    <row r="8834" customHeight="1" spans="1:9">
      <c r="A8834" s="2"/>
      <c r="B8834" s="2" t="str">
        <f>IFERROR(__xludf.DUMMYFUNCTION("IF(A8834&lt;&gt;"""", GOOGLETRANSLATE(A8834, ""en"", ""te""),"""")"),"")</f>
        <v/>
      </c>
      <c r="C8834" s="2"/>
      <c r="D8834" s="2" t="str">
        <f>IFERROR(__xludf.DUMMYFUNCTION("IF(C8834&lt;&gt;"""", GOOGLETRANSLATE(C8834, ""en"", ""te""),"""")"),"")</f>
        <v/>
      </c>
      <c r="E8834" s="2"/>
      <c r="F8834" s="2" t="str">
        <f>IFERROR(__xludf.DUMMYFUNCTION("IF(E8834&lt;&gt;"""", GOOGLETRANSLATE(E8834, ""en"", ""te""),"""")"),"")</f>
        <v/>
      </c>
      <c r="G8834" s="2"/>
      <c r="H8834" s="2" t="str">
        <f>IFERROR(__xludf.DUMMYFUNCTION("IF(G8834&lt;&gt;"""", GOOGLETRANSLATE(G8834, ""en"", ""te""),"""")"),"")</f>
        <v/>
      </c>
      <c r="I8834" s="3"/>
    </row>
    <row r="8835" customHeight="1" spans="1:9">
      <c r="A8835" s="2"/>
      <c r="B8835" s="2" t="str">
        <f>IFERROR(__xludf.DUMMYFUNCTION("IF(A8835&lt;&gt;"""", GOOGLETRANSLATE(A8835, ""en"", ""te""),"""")"),"")</f>
        <v/>
      </c>
      <c r="C8835" s="2"/>
      <c r="D8835" s="2" t="str">
        <f>IFERROR(__xludf.DUMMYFUNCTION("IF(C8835&lt;&gt;"""", GOOGLETRANSLATE(C8835, ""en"", ""te""),"""")"),"")</f>
        <v/>
      </c>
      <c r="E8835" s="2" t="s">
        <v>5002</v>
      </c>
      <c r="F8835" s="2" t="str">
        <f>IFERROR(__xludf.DUMMYFUNCTION("IF(E8835&lt;&gt;"""", GOOGLETRANSLATE(E8835, ""en"", ""te""),"""")"),"[ '46 వ చెత్త కెరీర్ బౌలింగ్ సరాసరి (అర్హత లేకుండా) (69.00)']")</f>
        <v>[ '46 వ చెత్త కెరీర్ బౌలింగ్ సరాసరి (అర్హత లేకుండా) (69.00)']</v>
      </c>
      <c r="G8835" s="2"/>
      <c r="H8835" s="2" t="str">
        <f>IFERROR(__xludf.DUMMYFUNCTION("IF(G8835&lt;&gt;"""", GOOGLETRANSLATE(G8835, ""en"", ""te""),"""")"),"")</f>
        <v/>
      </c>
      <c r="I8835" s="3"/>
    </row>
    <row r="8836" customHeight="1" spans="1:9">
      <c r="A8836" s="2"/>
      <c r="B8836" s="2" t="str">
        <f>IFERROR(__xludf.DUMMYFUNCTION("IF(A8836&lt;&gt;"""", GOOGLETRANSLATE(A8836, ""en"", ""te""),"""")"),"")</f>
        <v/>
      </c>
      <c r="C8836" s="2"/>
      <c r="D8836" s="2" t="str">
        <f>IFERROR(__xludf.DUMMYFUNCTION("IF(C8836&lt;&gt;"""", GOOGLETRANSLATE(C8836, ""en"", ""te""),"""")"),"")</f>
        <v/>
      </c>
      <c r="E8836" s="2"/>
      <c r="F8836" s="2" t="str">
        <f>IFERROR(__xludf.DUMMYFUNCTION("IF(E8836&lt;&gt;"""", GOOGLETRANSLATE(E8836, ""en"", ""te""),"""")"),"")</f>
        <v/>
      </c>
      <c r="G8836" s="2"/>
      <c r="H8836" s="2" t="str">
        <f>IFERROR(__xludf.DUMMYFUNCTION("IF(G8836&lt;&gt;"""", GOOGLETRANSLATE(G8836, ""en"", ""te""),"""")"),"")</f>
        <v/>
      </c>
      <c r="I8836" s="3"/>
    </row>
    <row r="8837" customHeight="1" spans="1:9">
      <c r="A8837" s="2"/>
      <c r="B8837" s="2" t="str">
        <f>IFERROR(__xludf.DUMMYFUNCTION("IF(A8837&lt;&gt;"""", GOOGLETRANSLATE(A8837, ""en"", ""te""),"""")"),"")</f>
        <v/>
      </c>
      <c r="C8837" s="2"/>
      <c r="D8837" s="2" t="str">
        <f>IFERROR(__xludf.DUMMYFUNCTION("IF(C8837&lt;&gt;"""", GOOGLETRANSLATE(C8837, ""en"", ""te""),"""")"),"")</f>
        <v/>
      </c>
      <c r="E8837" s="2" t="s">
        <v>5003</v>
      </c>
      <c r="F8837" s="2" t="str">
        <f>IFERROR(__xludf.DUMMYFUNCTION("IF(E8837&lt;&gt;"""", GOOGLETRANSLATE(E8837, ""en"", ""te""),"""")"),"[ '11 వ ఇన్నింగ్స్ లో అత్యధిక పరుగులు (బ్యాటింగ్ స్థానంలో ప్రకారం) (79)', '14 వ ఒక ఇన్నింగ్స్ లోని బెస్ట్ ఫిగర్స్ ఉన్నప్పుడు పరాజయం వైపు (5)', 'పదవ వికెట్కు 28 అత్యధిక భాగస్వామ్యం (54)']")</f>
        <v>[ '11 వ ఇన్నింగ్స్ లో అత్యధిక పరుగులు (బ్యాటింగ్ స్థానంలో ప్రకారం) (79)', '14 వ ఒక ఇన్నింగ్స్ లోని బెస్ట్ ఫిగర్స్ ఉన్నప్పుడు పరాజయం వైపు (5)', 'పదవ వికెట్కు 28 అత్యధిక భాగస్వామ్యం (54)']</v>
      </c>
      <c r="G8837" s="2"/>
      <c r="H8837" s="2" t="str">
        <f>IFERROR(__xludf.DUMMYFUNCTION("IF(G8837&lt;&gt;"""", GOOGLETRANSLATE(G8837, ""en"", ""te""),"""")"),"")</f>
        <v/>
      </c>
      <c r="I8837" s="3"/>
    </row>
    <row r="8838" customHeight="1" spans="1:9">
      <c r="A8838" s="2" t="s">
        <v>5004</v>
      </c>
      <c r="B8838" s="2" t="str">
        <f>IFERROR(__xludf.DUMMYFUNCTION("IF(A8838&lt;&gt;"""", GOOGLETRANSLATE(A8838, ""en"", ""te""),"""")"),"[ '1st చెత్త ఆర్థిక వ్యవస్థ ఇన్నింగ్స్లో రేటు (12.00)', '1 వ ఇన్నింగ్స్ (119) లో సాధించిన అత్యధిక పరుగులు']")</f>
        <v>[ '1st చెత్త ఆర్థిక వ్యవస్థ ఇన్నింగ్స్లో రేటు (12.00)', '1 వ ఇన్నింగ్స్ (119) లో సాధించిన అత్యధిక పరుగులు']</v>
      </c>
      <c r="C8838" s="2"/>
      <c r="D8838" s="2" t="str">
        <f>IFERROR(__xludf.DUMMYFUNCTION("IF(C8838&lt;&gt;"""", GOOGLETRANSLATE(C8838, ""en"", ""te""),"""")"),"")</f>
        <v/>
      </c>
      <c r="E8838" s="2" t="s">
        <v>5004</v>
      </c>
      <c r="F8838" s="2" t="str">
        <f>IFERROR(__xludf.DUMMYFUNCTION("IF(E8838&lt;&gt;"""", GOOGLETRANSLATE(E8838, ""en"", ""te""),"""")"),"[ '1st చెత్త ఆర్థిక వ్యవస్థ ఇన్నింగ్స్లో రేటు (12.00)', '1 వ ఇన్నింగ్స్ (119) లో సాధించిన అత్యధిక పరుగులు']")</f>
        <v>[ '1st చెత్త ఆర్థిక వ్యవస్థ ఇన్నింగ్స్లో రేటు (12.00)', '1 వ ఇన్నింగ్స్ (119) లో సాధించిన అత్యధిక పరుగులు']</v>
      </c>
      <c r="G8838" s="2" t="s">
        <v>4574</v>
      </c>
      <c r="H8838" s="2" t="str">
        <f>IFERROR(__xludf.DUMMYFUNCTION("IF(G8838&lt;&gt;"""", GOOGLETRANSLATE(G8838, ""en"", ""te""),"""")"),"[ '20 వ చెత్త ఇన్నింగ్స్ లో ఆర్థిక రేటు (15.50)']")</f>
        <v>[ '20 వ చెత్త ఇన్నింగ్స్ లో ఆర్థిక రేటు (15.50)']</v>
      </c>
      <c r="I8838" s="3"/>
    </row>
    <row r="8839" customHeight="1" spans="1:9">
      <c r="A8839" s="2"/>
      <c r="B8839" s="2" t="str">
        <f>IFERROR(__xludf.DUMMYFUNCTION("IF(A8839&lt;&gt;"""", GOOGLETRANSLATE(A8839, ""en"", ""te""),"""")"),"")</f>
        <v/>
      </c>
      <c r="C8839" s="2"/>
      <c r="D8839" s="2" t="str">
        <f>IFERROR(__xludf.DUMMYFUNCTION("IF(C8839&lt;&gt;"""", GOOGLETRANSLATE(C8839, ""en"", ""te""),"""")"),"")</f>
        <v/>
      </c>
      <c r="E8839" s="2"/>
      <c r="F8839" s="2" t="str">
        <f>IFERROR(__xludf.DUMMYFUNCTION("IF(E8839&lt;&gt;"""", GOOGLETRANSLATE(E8839, ""en"", ""te""),"""")"),"")</f>
        <v/>
      </c>
      <c r="G8839" s="2"/>
      <c r="H8839" s="2" t="str">
        <f>IFERROR(__xludf.DUMMYFUNCTION("IF(G8839&lt;&gt;"""", GOOGLETRANSLATE(G8839, ""en"", ""te""),"""")"),"")</f>
        <v/>
      </c>
      <c r="I8839" s="3"/>
    </row>
    <row r="8840" customHeight="1" spans="1:9">
      <c r="A8840" s="2"/>
      <c r="B8840" s="2" t="str">
        <f>IFERROR(__xludf.DUMMYFUNCTION("IF(A8840&lt;&gt;"""", GOOGLETRANSLATE(A8840, ""en"", ""te""),"""")"),"")</f>
        <v/>
      </c>
      <c r="C8840" s="2"/>
      <c r="D8840" s="2" t="str">
        <f>IFERROR(__xludf.DUMMYFUNCTION("IF(C8840&lt;&gt;"""", GOOGLETRANSLATE(C8840, ""en"", ""te""),"""")"),"")</f>
        <v/>
      </c>
      <c r="E8840" s="2"/>
      <c r="F8840" s="2" t="str">
        <f>IFERROR(__xludf.DUMMYFUNCTION("IF(E8840&lt;&gt;"""", GOOGLETRANSLATE(E8840, ""en"", ""te""),"""")"),"")</f>
        <v/>
      </c>
      <c r="G8840" s="2"/>
      <c r="H8840" s="2" t="str">
        <f>IFERROR(__xludf.DUMMYFUNCTION("IF(G8840&lt;&gt;"""", GOOGLETRANSLATE(G8840, ""en"", ""te""),"""")"),"")</f>
        <v/>
      </c>
      <c r="I8840" s="3"/>
    </row>
    <row r="8841" customHeight="1" spans="1:9">
      <c r="A8841" s="2"/>
      <c r="B8841" s="2" t="str">
        <f>IFERROR(__xludf.DUMMYFUNCTION("IF(A8841&lt;&gt;"""", GOOGLETRANSLATE(A8841, ""en"", ""te""),"""")"),"")</f>
        <v/>
      </c>
      <c r="C8841" s="2"/>
      <c r="D8841" s="2" t="str">
        <f>IFERROR(__xludf.DUMMYFUNCTION("IF(C8841&lt;&gt;"""", GOOGLETRANSLATE(C8841, ""en"", ""te""),"""")"),"")</f>
        <v/>
      </c>
      <c r="E8841" s="2" t="s">
        <v>5005</v>
      </c>
      <c r="F8841" s="2" t="str">
        <f>IFERROR(__xludf.DUMMYFUNCTION("IF(E8841&lt;&gt;"""", GOOGLETRANSLATE(E8841, ""en"", ""te""),"""")"),"[ '32 వ చెత్త కెరీర్ (అర్హత లేకుండా) సగటు బౌలింగ్ (81.00)']")</f>
        <v>[ '32 వ చెత్త కెరీర్ (అర్హత లేకుండా) సగటు బౌలింగ్ (81.00)']</v>
      </c>
      <c r="G8841" s="2"/>
      <c r="H8841" s="2" t="str">
        <f>IFERROR(__xludf.DUMMYFUNCTION("IF(G8841&lt;&gt;"""", GOOGLETRANSLATE(G8841, ""en"", ""te""),"""")"),"")</f>
        <v/>
      </c>
      <c r="I8841" s="3"/>
    </row>
    <row r="8842" customHeight="1" spans="1:9">
      <c r="A8842" s="2"/>
      <c r="B8842" s="2" t="str">
        <f>IFERROR(__xludf.DUMMYFUNCTION("IF(A8842&lt;&gt;"""", GOOGLETRANSLATE(A8842, ""en"", ""te""),"""")"),"")</f>
        <v/>
      </c>
      <c r="C8842" s="2"/>
      <c r="D8842" s="2" t="str">
        <f>IFERROR(__xludf.DUMMYFUNCTION("IF(C8842&lt;&gt;"""", GOOGLETRANSLATE(C8842, ""en"", ""te""),"""")"),"")</f>
        <v/>
      </c>
      <c r="E8842" s="2"/>
      <c r="F8842" s="2" t="str">
        <f>IFERROR(__xludf.DUMMYFUNCTION("IF(E8842&lt;&gt;"""", GOOGLETRANSLATE(E8842, ""en"", ""te""),"""")"),"")</f>
        <v/>
      </c>
      <c r="G8842" s="2"/>
      <c r="H8842" s="2" t="str">
        <f>IFERROR(__xludf.DUMMYFUNCTION("IF(G8842&lt;&gt;"""", GOOGLETRANSLATE(G8842, ""en"", ""te""),"""")"),"")</f>
        <v/>
      </c>
      <c r="I8842" s="3"/>
    </row>
    <row r="8843" customHeight="1" spans="1:9">
      <c r="A8843" s="2"/>
      <c r="B8843" s="2" t="str">
        <f>IFERROR(__xludf.DUMMYFUNCTION("IF(A8843&lt;&gt;"""", GOOGLETRANSLATE(A8843, ""en"", ""te""),"""")"),"")</f>
        <v/>
      </c>
      <c r="C8843" s="2"/>
      <c r="D8843" s="2" t="str">
        <f>IFERROR(__xludf.DUMMYFUNCTION("IF(C8843&lt;&gt;"""", GOOGLETRANSLATE(C8843, ""en"", ""te""),"""")"),"")</f>
        <v/>
      </c>
      <c r="E8843" s="2" t="s">
        <v>5006</v>
      </c>
      <c r="F8843" s="2" t="str">
        <f>IFERROR(__xludf.DUMMYFUNCTION("IF(E8843&lt;&gt;"""", GOOGLETRANSLATE(E8843, ""en"", ""te""),"""")"),"[ '25 చెత్త కెరీర్ బౌలింగ్ సరాసరి (34.93)', '11 వ చెత్త కెరీర్లో సమ్మె రేటు (67.1)']")</f>
        <v>[ '25 చెత్త కెరీర్ బౌలింగ్ సరాసరి (34.93)', '11 వ చెత్త కెరీర్లో సమ్మె రేటు (67.1)']</v>
      </c>
      <c r="G8843" s="2"/>
      <c r="H8843" s="2" t="str">
        <f>IFERROR(__xludf.DUMMYFUNCTION("IF(G8843&lt;&gt;"""", GOOGLETRANSLATE(G8843, ""en"", ""te""),"""")"),"")</f>
        <v/>
      </c>
      <c r="I8843" s="3"/>
    </row>
    <row r="8844" customHeight="1" spans="1:9">
      <c r="A8844" s="2" t="s">
        <v>5007</v>
      </c>
      <c r="B8844" s="2" t="str">
        <f>IFERROR(__xludf.DUMMYFUNCTION("IF(A8844&lt;&gt;"""", GOOGLETRANSLATE(A8844, ""en"", ""te""),"""")"),"[ 'హండ్రెడ్ ప్రవేశం (118) న', '6 వ ఇన్నింగ్స్ లో అత్యధిక పరుగులు (బ్యాటింగ్ స్థానంలో ప్రకారం) (142)', 'ఇన్నింగ్స్ లో 1 వ చెత్త ఆర్థిక రేటు (13.57)', '1000 పరుగులు మరియు 100 వికెట్లు', '1000 పరుగులు, 50 వికెట్లు, 50 క్యాచ్లు ',' ఆరవ వికెట్ (162) ',' 8 వ వర"&amp;"ుస జట్టు మ్యాచ్లు (48 *) 9 వ అత్యధిక భాగస్వామ్యం ',' 2 వ అత్యధిక పరుగులు ఒక క్యాలెండర్ సంవత్సరంలో (729) ',' కెరీర్లో 1st చాలా బాతులు (10) ',' 8 వ ఒక ఇన్నింగ్స్ లోని బెస్ట్ ఫిగర్స్ ఉన్నప్పుడు పరాజయం వైపు (4) ']")</f>
        <v>[ 'హండ్రెడ్ ప్రవేశం (118) న', '6 వ ఇన్నింగ్స్ లో అత్యధిక పరుగులు (బ్యాటింగ్ స్థానంలో ప్రకారం) (142)', 'ఇన్నింగ్స్ లో 1 వ చెత్త ఆర్థిక రేటు (13.57)', '1000 పరుగులు మరియు 100 వికెట్లు', '1000 పరుగులు, 50 వికెట్లు, 50 క్యాచ్లు ',' ఆరవ వికెట్ (162) ',' 8 వ వరుస జట్టు మ్యాచ్లు (48 *) 9 వ అత్యధిక భాగస్వామ్యం ',' 2 వ అత్యధిక పరుగులు ఒక క్యాలెండర్ సంవత్సరంలో (729) ',' కెరీర్లో 1st చాలా బాతులు (10) ',' 8 వ ఒక ఇన్నింగ్స్ లోని బెస్ట్ ఫిగర్స్ ఉన్నప్పుడు పరాజయం వైపు (4) ']</v>
      </c>
      <c r="C8844" s="2" t="s">
        <v>3154</v>
      </c>
      <c r="D8844" s="2" t="str">
        <f>IFERROR(__xludf.DUMMYFUNCTION("IF(C8844&lt;&gt;"""", GOOGLETRANSLATE(C8844, ""en"", ""te""),"""")"),"[ '42 వ తొలి మ్యాచ్ (158) అత్యధిక పరుగులు']")</f>
        <v>[ '42 వ తొలి మ్యాచ్ (158) అత్యధిక పరుగులు']</v>
      </c>
      <c r="E8844" s="2" t="s">
        <v>5008</v>
      </c>
      <c r="F8844" s="2" t="str">
        <f>IFERROR(__xludf.DUMMYFUNCTION("IF(E8844&lt;&gt;"""", GOOGLETRANSLATE(E8844, ""en"", ""te""),"""")"),"[ 'ఇన్నింగ్స్ లో 6 వ అత్యధిక పరుగులు (బ్యాటింగ్ స్థానంలో ప్రకారం) (142)', '31 అత్యధిక తొలి వంద (142)', '34 వ అత్యంత ఇన్నింగ్స్ మొదటి ముందు' 30 వ (142) పరాజయం వైపు ఒక మ్యాచ్లో అత్యధిక పరుగులు ' డక్ (33) ',' ఒక డక్ లేకుండా 44th వరుస ఇన్నింగ్స్ (63 *) ',' క"&amp;"ెరీర్లో 42 వ అతి తక్కువ బాతులు (28) ',' ఇన్నింగ్స్ లో 1 వ చెత్త ఆర్థిక రేటు (13.57) ',' 27 వ మోస్ట్ రన్స్ సాధించిన ఇన్నింగ్స్ (95) ',' ఆరవ వికెట్ (162) 9 వ అత్యధిక భాగస్వామ్యం ']")</f>
        <v>[ 'ఇన్నింగ్స్ లో 6 వ అత్యధిక పరుగులు (బ్యాటింగ్ స్థానంలో ప్రకారం) (142)', '31 అత్యధిక తొలి వంద (142)', '34 వ అత్యంత ఇన్నింగ్స్ మొదటి ముందు' 30 వ (142) పరాజయం వైపు ఒక మ్యాచ్లో అత్యధిక పరుగులు ' డక్ (33) ',' ఒక డక్ లేకుండా 44th వరుస ఇన్నింగ్స్ (63 *) ',' కెరీర్లో 42 వ అతి తక్కువ బాతులు (28) ',' ఇన్నింగ్స్ లో 1 వ చెత్త ఆర్థిక రేటు (13.57) ',' 27 వ మోస్ట్ రన్స్ సాధించిన ఇన్నింగ్స్ (95) ',' ఆరవ వికెట్ (162) 9 వ అత్యధిక భాగస్వామ్యం ']</v>
      </c>
      <c r="G8844" s="2" t="s">
        <v>5009</v>
      </c>
      <c r="H8844" s="2" t="str">
        <f>IFERROR(__xludf.DUMMYFUNCTION("IF(G8844&lt;&gt;"""", GOOGLETRANSLATE(G8844, ""en"", ""te""),"""")"),"[ 'ఒక క్యాలెండర్ సంవత్సరంలో 2 వ అత్యధిక పరుగులు (729)' '23 వ కెరీర్ లో పరుగులు (1672)', '10 వ ఇన్నింగ్స్ లో అత్యధిక పరుగులు (124)', '9 వ ఇన్నింగ్స్ లో అత్యధిక పరుగులు (బ్యాటింగ్ స్థానంలో ప్రకారం) ( 124) ',' ఒకే క్రీడా 23 వ అత్యధిక పరుగులు (321) ',' 1 వ కె"&amp;"రీర్ బాతులు (10) ',' 15 వ కెరీర్ లో వచ్చిన ఎక్కువ సిక్స్ (76) ',' 34 వ కెరీర్ ఫోర్లు (137) ', '42 వ ఇన్నింగ్స్ లో వచ్చిన ఎక్కువ సిక్స్ (7)', '12 వ ఇన్నింగ్స్ లో వచ్చిన ఎక్కువ ఫోర్లు (12)', 'ఇన్నింగ్స్ లో ఫోర్లు, సిక్సర్లు నుండి 13 వ అత్యధిక పరుగులు (90)',"&amp;" '36 వ లాంగెస్ట్ వ్యక్తిగత ఇన్నింగ్స్ (బంతులతో) ( 62) ',' ఒక ఇన్నింగ్స్లో పరుగులు 23 వ అత్యధిక శాతం (59.61) ',' 22 వ కెరీర్ లో అత్యధిక వికెట్లు (58) ',' ఇన్నింగ్స్ లో 25 అత్యుత్తమ బౌలింగ్ విశ్లేషణలు (3/8) ',' 30 వ అత్యధిక వికెట్లు పై ఒకే క్రీడా (12) ',' "&amp;"ఒక ఇన్నింగ్స్ లో 8 వ బెస్ట్ ఫిగర్స్ ఉన్నప్పుడు పరాజయం వైపు (4) ',' 22 వ ఉత్తమ కెరీర్ సగటు (19.55) ',' 14 వ ఉత్తమ కెరీర్ సమ్మె రేటు (15.5) బౌలింగ్ ',' 50th చెత్త న వృత్తి ఆర్థిక రేటు (7.53) ',' 40 వ కెరీర్ లో బౌల్డ్ చాలా బంతుల్లో (903) ',' 39 వ అత్యధిక పర"&amp;"ుగులు కెరీర్లో సాధించిన (1134) ',' 12 వ బౌలర్ / ఫీల్డర్ కలయికలు (8) ',' 38 వ అత్యధిక వికెట్లు తీసుకున్న బౌల్డ్ (11) ',' 14 వ అత్యధిక వికెట్లు తీసుకున్న ఆకర్షించింది (41) ',' 14 వ అత్యధిక వికెట్లు ఆకర్షించింది తీసుకున్న మరియు బౌల్డ్ (3) ',' 17 వ అత్యధిక వి"&amp;"కెట్లు ఒక ఫీల్డర్ చేత క్యాచ్ తీసుకున్న (34) ',' 22 వ అత్యధిక వికెట్లు ఒక వికెట్ కీపర్ చే కాట్ తీసుకోకూడదు (7) ',' 32 వ అత్యధిక వికెట్లు తీసుకున్న ఎల్బిడబ్ల్యు (5) ',' 17 వ కెరీర్ లో అత్యధిక క్యాచ్లు (35) ',' 9 వ కెరీర్లో అత్యధిక మ్యాచ్లు (96) ',' ఒక జట్టు"&amp;" 8 వ వరుస మ్యాచ్లు (48 *) ',' 45 వ లాంగెస్ట్ కెరీర్లు (11y 221d) ']")</f>
        <v>[ 'ఒక క్యాలెండర్ సంవత్సరంలో 2 వ అత్యధిక పరుగులు (729)' '23 వ కెరీర్ లో పరుగులు (1672)', '10 వ ఇన్నింగ్స్ లో అత్యధిక పరుగులు (124)', '9 వ ఇన్నింగ్స్ లో అత్యధిక పరుగులు (బ్యాటింగ్ స్థానంలో ప్రకారం) ( 124) ',' ఒకే క్రీడా 23 వ అత్యధిక పరుగులు (321) ',' 1 వ కెరీర్ బాతులు (10) ',' 15 వ కెరీర్ లో వచ్చిన ఎక్కువ సిక్స్ (76) ',' 34 వ కెరీర్ ఫోర్లు (137) ', '42 వ ఇన్నింగ్స్ లో వచ్చిన ఎక్కువ సిక్స్ (7)', '12 వ ఇన్నింగ్స్ లో వచ్చిన ఎక్కువ ఫోర్లు (12)', 'ఇన్నింగ్స్ లో ఫోర్లు, సిక్సర్లు నుండి 13 వ అత్యధిక పరుగులు (90)', '36 వ లాంగెస్ట్ వ్యక్తిగత ఇన్నింగ్స్ (బంతులతో) ( 62) ',' ఒక ఇన్నింగ్స్లో పరుగులు 23 వ అత్యధిక శాతం (59.61) ',' 22 వ కెరీర్ లో అత్యధిక వికెట్లు (58) ',' ఇన్నింగ్స్ లో 25 అత్యుత్తమ బౌలింగ్ విశ్లేషణలు (3/8) ',' 30 వ అత్యధిక వికెట్లు పై ఒకే క్రీడా (12) ',' ఒక ఇన్నింగ్స్ లో 8 వ బెస్ట్ ఫిగర్స్ ఉన్నప్పుడు పరాజయం వైపు (4) ',' 22 వ ఉత్తమ కెరీర్ సగటు (19.55) ',' 14 వ ఉత్తమ కెరీర్ సమ్మె రేటు (15.5) బౌలింగ్ ',' 50th చెత్త న వృత్తి ఆర్థిక రేటు (7.53) ',' 40 వ కెరీర్ లో బౌల్డ్ చాలా బంతుల్లో (903) ',' 39 వ అత్యధిక పరుగులు కెరీర్లో సాధించిన (1134) ',' 12 వ బౌలర్ / ఫీల్డర్ కలయికలు (8) ',' 38 వ అత్యధిక వికెట్లు తీసుకున్న బౌల్డ్ (11) ',' 14 వ అత్యధిక వికెట్లు తీసుకున్న ఆకర్షించింది (41) ',' 14 వ అత్యధిక వికెట్లు ఆకర్షించింది తీసుకున్న మరియు బౌల్డ్ (3) ',' 17 వ అత్యధిక వికెట్లు ఒక ఫీల్డర్ చేత క్యాచ్ తీసుకున్న (34) ',' 22 వ అత్యధిక వికెట్లు ఒక వికెట్ కీపర్ చే కాట్ తీసుకోకూడదు (7) ',' 32 వ అత్యధిక వికెట్లు తీసుకున్న ఎల్బిడబ్ల్యు (5) ',' 17 వ కెరీర్ లో అత్యధిక క్యాచ్లు (35) ',' 9 వ కెరీర్లో అత్యధిక మ్యాచ్లు (96) ',' ఒక జట్టు 8 వ వరుస మ్యాచ్లు (48 *) ',' 45 వ లాంగెస్ట్ కెరీర్లు (11y 221d) ']</v>
      </c>
      <c r="I8844" s="3"/>
    </row>
    <row r="8845" customHeight="1" spans="1:9">
      <c r="A8845" s="2" t="s">
        <v>5010</v>
      </c>
      <c r="B8845" s="2" t="str">
        <f>IFERROR(__xludf.DUMMYFUNCTION("IF(A8845&lt;&gt;"""", GOOGLETRANSLATE(A8845, ""en"", ""te""),"""")"),"[ '2nd పిన్న క్రీడాకారులు (13y 243d)', 'ఒక ఇన్నింగ్స్ లో 5 వ బెస్ట్ ఫిగర్స్ కూడా ఓడిపోయింది వైపు (4)', '8 వ చెత్త కెరీర్లో ఆర్థిక రేటు (6,66)']")</f>
        <v>[ '2nd పిన్న క్రీడాకారులు (13y 243d)', 'ఒక ఇన్నింగ్స్ లో 5 వ బెస్ట్ ఫిగర్స్ కూడా ఓడిపోయింది వైపు (4)', '8 వ చెత్త కెరీర్లో ఆర్థిక రేటు (6,66)']</v>
      </c>
      <c r="C8845" s="2"/>
      <c r="D8845" s="2" t="str">
        <f>IFERROR(__xludf.DUMMYFUNCTION("IF(C8845&lt;&gt;"""", GOOGLETRANSLATE(C8845, ""en"", ""te""),"""")"),"")</f>
        <v/>
      </c>
      <c r="E8845" s="2" t="s">
        <v>5011</v>
      </c>
      <c r="F8845" s="2" t="str">
        <f>IFERROR(__xludf.DUMMYFUNCTION("IF(E8845&lt;&gt;"""", GOOGLETRANSLATE(E8845, ""en"", ""te""),"""")"),"[ '2nd పిన్న క్రీడాకారులు (13y 243d)']")</f>
        <v>[ '2nd పిన్న క్రీడాకారులు (13y 243d)']</v>
      </c>
      <c r="G8845" s="2" t="s">
        <v>5012</v>
      </c>
      <c r="H8845" s="2" t="str">
        <f>IFERROR(__xludf.DUMMYFUNCTION("IF(G8845&lt;&gt;"""", GOOGLETRANSLATE(G8845, ""en"", ""te""),"""")"),"[ 'ఒక ఇన్నింగ్స్ లో 5 వ ఉత్తమ గణాంకాలు పరాజయం వైపు (4) ఉన్నప్పుడు', '20th చెత్త కెరీర్ సగటు (25.03) బౌలింగ్', '8 వ చెత్త కెరీర్లో ఆర్థిక రేటు (6,66)', '38 వ అత్యధిక వికెట్లు తీసుకున్న బౌల్డ్ (11)' , '25 వ పిన్న క్రీడాకారులు (13y 241d)']")</f>
        <v>[ 'ఒక ఇన్నింగ్స్ లో 5 వ ఉత్తమ గణాంకాలు పరాజయం వైపు (4) ఉన్నప్పుడు', '20th చెత్త కెరీర్ సగటు (25.03) బౌలింగ్', '8 వ చెత్త కెరీర్లో ఆర్థిక రేటు (6,66)', '38 వ అత్యధిక వికెట్లు తీసుకున్న బౌల్డ్ (11)' , '25 వ పిన్న క్రీడాకారులు (13y 241d)']</v>
      </c>
      <c r="I8845" s="3"/>
    </row>
    <row r="8846" customHeight="1" spans="1:9">
      <c r="A8846" s="2" t="s">
        <v>5013</v>
      </c>
      <c r="B8846" s="2" t="str">
        <f>IFERROR(__xludf.DUMMYFUNCTION("IF(A8846&lt;&gt;"""", GOOGLETRANSLATE(A8846, ""en"", ""te""),"""")"),"[ 'ఇన్నింగ్స్ (4) 5 వ అత్యధిక వికెట్లు' 'కెరీర్లో 9 వ అత్యంత స్టంపింగ్లు (10)']")</f>
        <v>[ 'ఇన్నింగ్స్ (4) 5 వ అత్యధిక వికెట్లు' 'కెరీర్లో 9 వ అత్యంత స్టంపింగ్లు (10)']</v>
      </c>
      <c r="C8846" s="2"/>
      <c r="D8846" s="2" t="str">
        <f>IFERROR(__xludf.DUMMYFUNCTION("IF(C8846&lt;&gt;"""", GOOGLETRANSLATE(C8846, ""en"", ""te""),"""")"),"")</f>
        <v/>
      </c>
      <c r="E8846" s="2" t="s">
        <v>5014</v>
      </c>
      <c r="F8846" s="2" t="str">
        <f>IFERROR(__xludf.DUMMYFUNCTION("IF(E8846&lt;&gt;"""", GOOGLETRANSLATE(E8846, ""en"", ""te""),"""")"),"[ '12 వ అత్యంత వృద్ధ ఆటగాడు తొలి వంద (35y 187d) స్కోర్', 'ఒక డక్ లేకుండా 44th వరుస ఇన్నింగ్స్ (63 *)', '29th కెరీర్లో అతి తక్కువ బాతులు' 41 వ అత్యంత వృద్ధ ఆటగాడు వంద (35y 187d) స్కోర్ ', (33.66) ',' 32 వ కెరీర్ లో అత్యధిక వికెట్లు (96) ',' వరుస ఇన్నింగ్స్"&amp;" (5) ',' 46 వ అత్యధిక వికెట్లు 16 వ అత్యధిక వికెట్లు (14) ',' 32 వ అత్యధిక క్యాచ్లు కెరీర్లో (82) ' '11 వ ఇన్నింగ్స్ లో అత్యధిక క్యాచ్లు (5)', '28th కెరీర్ (14) అత్యంత స్టంపింగ్లు']")</f>
        <v>[ '12 వ అత్యంత వృద్ధ ఆటగాడు తొలి వంద (35y 187d) స్కోర్', 'ఒక డక్ లేకుండా 44th వరుస ఇన్నింగ్స్ (63 *)', '29th కెరీర్లో అతి తక్కువ బాతులు' 41 వ అత్యంత వృద్ధ ఆటగాడు వంద (35y 187d) స్కోర్ ', (33.66) ',' 32 వ కెరీర్ లో అత్యధిక వికెట్లు (96) ',' వరుస ఇన్నింగ్స్ (5) ',' 46 వ అత్యధిక వికెట్లు 16 వ అత్యధిక వికెట్లు (14) ',' 32 వ అత్యధిక క్యాచ్లు కెరీర్లో (82) ' '11 వ ఇన్నింగ్స్ లో అత్యధిక క్యాచ్లు (5)', '28th కెరీర్ (14) అత్యంత స్టంపింగ్లు']</v>
      </c>
      <c r="G8846" s="2" t="s">
        <v>5015</v>
      </c>
      <c r="H8846" s="2" t="str">
        <f>IFERROR(__xludf.DUMMYFUNCTION("IF(G8846&lt;&gt;"""", GOOGLETRANSLATE(G8846, ""en"", ""te""),"""")"),"[ '12 వ కెరీర్ లో బాతులు (28)', '18 వ కెరీర్ లో అత్యధిక వికెట్లు (25)', 'చాలా 5 వ ఇన్నింగ్స్ లో వికెట్లు (4)', '26th అత్యధిక క్యాచ్లు కెరీర్లో (15)', '13 వ అత్యధిక క్యాచ్లు ఒక ఇన్నింగ్స్ లో (3) ',' కెరీర్లో 9 వ అత్యంత స్టంపింగ్లు (10) ']")</f>
        <v>[ '12 వ కెరీర్ లో బాతులు (28)', '18 వ కెరీర్ లో అత్యధిక వికెట్లు (25)', 'చాలా 5 వ ఇన్నింగ్స్ లో వికెట్లు (4)', '26th అత్యధిక క్యాచ్లు కెరీర్లో (15)', '13 వ అత్యధిక క్యాచ్లు ఒక ఇన్నింగ్స్ లో (3) ',' కెరీర్లో 9 వ అత్యంత స్టంపింగ్లు (10) ']</v>
      </c>
      <c r="I8846" s="3"/>
    </row>
    <row r="8847" customHeight="1" spans="1:9">
      <c r="A8847" s="2" t="s">
        <v>5016</v>
      </c>
      <c r="B8847" s="2" t="str">
        <f>IFERROR(__xludf.DUMMYFUNCTION("IF(A8847&lt;&gt;"""", GOOGLETRANSLATE(A8847, ""en"", ""te""),"""")"),"[ 'ఒక జట్టు కెప్టెన్గా 8 వ వరుస మ్యాచ్లు (67)', 'నాలుగవ వికెట్కు 6 వ అత్యధిక భాగస్వామ్యం (227)', '2 వ వరుస అన్ని టాస్ గెలిచిన (4)']")</f>
        <v>[ 'ఒక జట్టు కెప్టెన్గా 8 వ వరుస మ్యాచ్లు (67)', 'నాలుగవ వికెట్కు 6 వ అత్యధిక భాగస్వామ్యం (227)', '2 వ వరుస అన్ని టాస్ గెలిచిన (4)']</v>
      </c>
      <c r="C8847" s="2"/>
      <c r="D8847" s="2" t="str">
        <f>IFERROR(__xludf.DUMMYFUNCTION("IF(C8847&lt;&gt;"""", GOOGLETRANSLATE(C8847, ""en"", ""te""),"""")"),"")</f>
        <v/>
      </c>
      <c r="E8847" s="2" t="s">
        <v>5017</v>
      </c>
      <c r="F8847" s="2" t="str">
        <f>IFERROR(__xludf.DUMMYFUNCTION("IF(E8847&lt;&gt;"""", GOOGLETRANSLATE(E8847, ""en"", ""te""),"""")"),"[ '34 వ అత్యంత ఒక కెప్టెన్తో ఇన్నింగ్స్ లో పరుగులు (139)', '41 వ ఒక వృత్తిలో అత్యధిక వందలు (11)', '24th ఒక సిరీస్లో అత్యధిక క్యాచ్లు (8)' మొదటి వికెట్కు, '35 వ అత్యధిక భాగస్వామ్యం (205 ) ',' రెండవ వికెట్కు 41 వ అత్యధిక భాగస్వామ్యం ((113) ',' 8 వ వరుస ఒక జ"&amp;"ట్టు కెప్టెన్గా మ్యాచ్లు 201) ',' నాలుగవ వికెట్కు 6 వ అత్యధిక భాగస్వామ్యం (227) ',' 15 వ అత్యంత కెప్టెన్గా మ్యాచ్లు (67) ', '21 వ పిన్న కాప్టెన్ (23y 326d)']")</f>
        <v>[ '34 వ అత్యంత ఒక కెప్టెన్తో ఇన్నింగ్స్ లో పరుగులు (139)', '41 వ ఒక వృత్తిలో అత్యధిక వందలు (11)', '24th ఒక సిరీస్లో అత్యధిక క్యాచ్లు (8)' మొదటి వికెట్కు, '35 వ అత్యధిక భాగస్వామ్యం (205 ) ',' రెండవ వికెట్కు 41 వ అత్యధిక భాగస్వామ్యం ((113) ',' 8 వ వరుస ఒక జట్టు కెప్టెన్గా మ్యాచ్లు 201) ',' నాలుగవ వికెట్కు 6 వ అత్యధిక భాగస్వామ్యం (227) ',' 15 వ అత్యంత కెప్టెన్గా మ్యాచ్లు (67) ', '21 వ పిన్న కాప్టెన్ (23y 326d)']</v>
      </c>
      <c r="G8847" s="2" t="s">
        <v>5018</v>
      </c>
      <c r="H8847" s="2" t="str">
        <f>IFERROR(__xludf.DUMMYFUNCTION("IF(G8847&lt;&gt;"""", GOOGLETRANSLATE(G8847, ""en"", ""te""),"""")"),"[ '32 వ కెరీర్ బాతులు (5)', '42 వ కెరీర్ ఫోర్లు (120)', 'ఒక ఇన్నింగ్స్లో పరుగుల 42 వ అత్యధిక శాతం (56.25)', పదవ వికెట్కు '32 వ అత్యధిక భాగస్వామ్యం (18 *) ',' 50 వ కెరీర్ లో అత్యధిక మ్యాచ్లు (61) ',' ఒక జట్టు కోసం 24 వరుస మ్యాచ్లు (37) ',' 3 వ అత్యంత కెప్ట"&amp;"ెన్గా (56) ', '21 వ పిన్న కాప్టెన్ (23y 331d)', '8 వ అత్యధిక మ్యాచ్లు ఒక జట్టు కెప్టెన్గా ఒక జట్టు కెప్టెన్గా (67) ',' 2 వ వరుస మ్యాచ్లు వంటి వరుస పోటీలలో (37) ',' వరుస (4) లో అన్ని టాస్ గెలిచి 2nd ']")</f>
        <v>[ '32 వ కెరీర్ బాతులు (5)', '42 వ కెరీర్ ఫోర్లు (120)', 'ఒక ఇన్నింగ్స్లో పరుగుల 42 వ అత్యధిక శాతం (56.25)', పదవ వికెట్కు '32 వ అత్యధిక భాగస్వామ్యం (18 *) ',' 50 వ కెరీర్ లో అత్యధిక మ్యాచ్లు (61) ',' ఒక జట్టు కోసం 24 వరుస మ్యాచ్లు (37) ',' 3 వ అత్యంత కెప్టెన్గా (56) ', '21 వ పిన్న కాప్టెన్ (23y 331d)', '8 వ అత్యధిక మ్యాచ్లు ఒక జట్టు కెప్టెన్గా ఒక జట్టు కెప్టెన్గా (67) ',' 2 వ వరుస మ్యాచ్లు వంటి వరుస పోటీలలో (37) ',' వరుస (4) లో అన్ని టాస్ గెలిచి 2nd ']</v>
      </c>
      <c r="I8847" s="3"/>
    </row>
    <row r="8848" customHeight="1" spans="1:9">
      <c r="A8848" s="2" t="s">
        <v>5019</v>
      </c>
      <c r="B8848" s="2" t="str">
        <f>IFERROR(__xludf.DUMMYFUNCTION("IF(A8848&lt;&gt;"""", GOOGLETRANSLATE(A8848, ""en"", ""te""),"""")"),"[ 'ఐదవ వికెట్కు 8 వ అత్యధిక భాగస్వామ్యం (76)']")</f>
        <v>[ 'ఐదవ వికెట్కు 8 వ అత్యధిక భాగస్వామ్యం (76)']</v>
      </c>
      <c r="C8848" s="2"/>
      <c r="D8848" s="2" t="str">
        <f>IFERROR(__xludf.DUMMYFUNCTION("IF(C8848&lt;&gt;"""", GOOGLETRANSLATE(C8848, ""en"", ""te""),"""")"),"")</f>
        <v/>
      </c>
      <c r="E8848" s="2"/>
      <c r="F8848" s="2" t="str">
        <f>IFERROR(__xludf.DUMMYFUNCTION("IF(E8848&lt;&gt;"""", GOOGLETRANSLATE(E8848, ""en"", ""te""),"""")"),"")</f>
        <v/>
      </c>
      <c r="G8848" s="2" t="s">
        <v>5020</v>
      </c>
      <c r="H8848" s="2" t="str">
        <f>IFERROR(__xludf.DUMMYFUNCTION("IF(G8848&lt;&gt;"""", GOOGLETRANSLATE(G8848, ""en"", ""te""),"""")"),"[ 'ఐదవ వికెట్కు 8 వ అత్యధిక భాగస్వామ్యం (76)', 'ఎనిమిదవ వికెట్ (26) 26 అత్యధిక భాగస్వామ్యం']")</f>
        <v>[ 'ఐదవ వికెట్కు 8 వ అత్యధిక భాగస్వామ్యం (76)', 'ఎనిమిదవ వికెట్ (26) 26 అత్యధిక భాగస్వామ్యం']</v>
      </c>
      <c r="I8848" s="3"/>
    </row>
    <row r="8849" customHeight="1" spans="1:9">
      <c r="A8849" s="2" t="s">
        <v>749</v>
      </c>
      <c r="B8849" s="2" t="str">
        <f>IFERROR(__xludf.DUMMYFUNCTION("IF(A8849&lt;&gt;"""", GOOGLETRANSLATE(A8849, ""en"", ""te""),"""")"),"[ '6 వ అత్యధిక వరుస బాతులు (3)']")</f>
        <v>[ '6 వ అత్యధిక వరుస బాతులు (3)']</v>
      </c>
      <c r="C8849" s="2"/>
      <c r="D8849" s="2" t="str">
        <f>IFERROR(__xludf.DUMMYFUNCTION("IF(C8849&lt;&gt;"""", GOOGLETRANSLATE(C8849, ""en"", ""te""),"""")"),"")</f>
        <v/>
      </c>
      <c r="E8849" s="2" t="s">
        <v>1335</v>
      </c>
      <c r="F8849" s="2" t="str">
        <f>IFERROR(__xludf.DUMMYFUNCTION("IF(E8849&lt;&gt;"""", GOOGLETRANSLATE(E8849, ""en"", ""te""),"""")"),"[ 'ఒక సిరీస్లో 6 వ అత్యంత బాతులు (3)', '6 వ అత్యధిక వరుస బాతులు (3)']")</f>
        <v>[ 'ఒక సిరీస్లో 6 వ అత్యంత బాతులు (3)', '6 వ అత్యధిక వరుస బాతులు (3)']</v>
      </c>
      <c r="G8849" s="2" t="s">
        <v>5021</v>
      </c>
      <c r="H8849" s="2" t="str">
        <f>IFERROR(__xludf.DUMMYFUNCTION("IF(G8849&lt;&gt;"""", GOOGLETRANSLATE(G8849, ""en"", ""te""),"""")"),"[ 'నాలుగో వికెట్కు (101) 18 వ అత్యధిక భాగస్వామ్యం']")</f>
        <v>[ 'నాలుగో వికెట్కు (101) 18 వ అత్యధిక భాగస్వామ్యం']</v>
      </c>
      <c r="I8849" s="3"/>
    </row>
    <row r="8850" customHeight="1" spans="1:9">
      <c r="A8850" s="2"/>
      <c r="B8850" s="2" t="str">
        <f>IFERROR(__xludf.DUMMYFUNCTION("IF(A8850&lt;&gt;"""", GOOGLETRANSLATE(A8850, ""en"", ""te""),"""")"),"")</f>
        <v/>
      </c>
      <c r="C8850" s="2"/>
      <c r="D8850" s="2" t="str">
        <f>IFERROR(__xludf.DUMMYFUNCTION("IF(C8850&lt;&gt;"""", GOOGLETRANSLATE(C8850, ""en"", ""te""),"""")"),"")</f>
        <v/>
      </c>
      <c r="E8850" s="2"/>
      <c r="F8850" s="2" t="str">
        <f>IFERROR(__xludf.DUMMYFUNCTION("IF(E8850&lt;&gt;"""", GOOGLETRANSLATE(E8850, ""en"", ""te""),"""")"),"")</f>
        <v/>
      </c>
      <c r="G8850" s="2" t="s">
        <v>5022</v>
      </c>
      <c r="H8850" s="2" t="str">
        <f>IFERROR(__xludf.DUMMYFUNCTION("IF(G8850&lt;&gt;"""", GOOGLETRANSLATE(G8850, ""en"", ""te""),"""")"),"[ '32 వ ఇన్నింగ్స్ లో అత్యధిక పరుగులు (బ్యాటింగ్ స్థానంలో ప్రకారం) (31 *)', 'కెరీర్ (21) 24 వ లేవు బాతులు']")</f>
        <v>[ '32 వ ఇన్నింగ్స్ లో అత్యధిక పరుగులు (బ్యాటింగ్ స్థానంలో ప్రకారం) (31 *)', 'కెరీర్ (21) 24 వ లేవు బాతులు']</v>
      </c>
      <c r="I8850" s="3"/>
    </row>
    <row r="8851" customHeight="1" spans="1:9">
      <c r="A8851" s="2"/>
      <c r="B8851" s="2" t="str">
        <f>IFERROR(__xludf.DUMMYFUNCTION("IF(A8851&lt;&gt;"""", GOOGLETRANSLATE(A8851, ""en"", ""te""),"""")"),"")</f>
        <v/>
      </c>
      <c r="C8851" s="2"/>
      <c r="D8851" s="2" t="str">
        <f>IFERROR(__xludf.DUMMYFUNCTION("IF(C8851&lt;&gt;"""", GOOGLETRANSLATE(C8851, ""en"", ""te""),"""")"),"")</f>
        <v/>
      </c>
      <c r="E8851" s="2"/>
      <c r="F8851" s="2" t="str">
        <f>IFERROR(__xludf.DUMMYFUNCTION("IF(E8851&lt;&gt;"""", GOOGLETRANSLATE(E8851, ""en"", ""te""),"""")"),"")</f>
        <v/>
      </c>
      <c r="G8851" s="2" t="s">
        <v>5023</v>
      </c>
      <c r="H8851" s="2" t="str">
        <f>IFERROR(__xludf.DUMMYFUNCTION("IF(G8851&lt;&gt;"""", GOOGLETRANSLATE(G8851, ""en"", ""te""),"""")"),"[ '27 కెరీర్ పనికత్తెలయొద్ద (6)', '12 వ అత్యంత ఇన్నింగ్స్ లో పనికత్తెలయొద్ద (2)']")</f>
        <v>[ '27 కెరీర్ పనికత్తెలయొద్ద (6)', '12 వ అత్యంత ఇన్నింగ్స్ లో పనికత్తెలయొద్ద (2)']</v>
      </c>
      <c r="I8851" s="3"/>
    </row>
    <row r="8852" customHeight="1" spans="1:9">
      <c r="A8852" s="2" t="s">
        <v>5024</v>
      </c>
      <c r="B8852" s="2" t="str">
        <f>IFERROR(__xludf.DUMMYFUNCTION("IF(A8852&lt;&gt;"""", GOOGLETRANSLATE(A8852, ""en"", ""te""),"""")"),"[ 'ఇన్నింగ్స్ (3) 4 వ అత్యధిక క్యాచ్లు' '3 వ అత్యంత ఇన్నింగ్స్ లో నడుస్తుంది (బ్యాటింగ్ స్థానం) (63 *)']")</f>
        <v>[ 'ఇన్నింగ్స్ (3) 4 వ అత్యధిక క్యాచ్లు' '3 వ అత్యంత ఇన్నింగ్స్ లో నడుస్తుంది (బ్యాటింగ్ స్థానం) (63 *)']</v>
      </c>
      <c r="C8852" s="2"/>
      <c r="D8852" s="2" t="str">
        <f>IFERROR(__xludf.DUMMYFUNCTION("IF(C8852&lt;&gt;"""", GOOGLETRANSLATE(C8852, ""en"", ""te""),"""")"),"")</f>
        <v/>
      </c>
      <c r="E8852" s="2" t="s">
        <v>5025</v>
      </c>
      <c r="F8852" s="2" t="str">
        <f>IFERROR(__xludf.DUMMYFUNCTION("IF(E8852&lt;&gt;"""", GOOGLETRANSLATE(E8852, ""en"", ""te""),"""")"),"[ '29 ఒక ఇన్నింగ్స్ లోని బెస్ట్ ఫిగర్స్ (5/13)', '12 వ అత్యుత్తమ ఇన్నింగ్స్ లో బౌలింగ్ విశ్లేషణలు (5/13)', '35 వ చెత్త కెరీర్లో సమ్మె రేటు (54.0)', 'అయిదు వికెట్లు తీసుకోవాలని 25 పిన్న ఆటగాడు -ఇన్-ఒక-ఇన్నింగ్స్ (22y 325d) ',' 4 వ ఇన్నింగ్స్ లో అత్యధిక క్య"&amp;"ాచ్లు (3) ']")</f>
        <v>[ '29 ఒక ఇన్నింగ్స్ లోని బెస్ట్ ఫిగర్స్ (5/13)', '12 వ అత్యుత్తమ ఇన్నింగ్స్ లో బౌలింగ్ విశ్లేషణలు (5/13)', '35 వ చెత్త కెరీర్లో సమ్మె రేటు (54.0)', 'అయిదు వికెట్లు తీసుకోవాలని 25 పిన్న ఆటగాడు -ఇన్-ఒక-ఇన్నింగ్స్ (22y 325d) ',' 4 వ ఇన్నింగ్స్ లో అత్యధిక క్యాచ్లు (3) ']</v>
      </c>
      <c r="G8852" s="2" t="s">
        <v>5026</v>
      </c>
      <c r="H8852" s="2" t="str">
        <f>IFERROR(__xludf.DUMMYFUNCTION("IF(G8852&lt;&gt;"""", GOOGLETRANSLATE(G8852, ""en"", ""te""),"""")"),"[ '3 వ భాగం (బ్యాటింగ్ స్థానంలో ద్వారా) ఒక ఇన్నింగ్స్ లో నడుస్తుంది (63 *)', '36 వ ఉత్తమ కెరీర్ ఆర్థిక రేటు (5.60)', '20 వ ఇన్నింగ్స్ లో సాధించిన అత్యధిక పరుగులు (50)']")</f>
        <v>[ '3 వ భాగం (బ్యాటింగ్ స్థానంలో ద్వారా) ఒక ఇన్నింగ్స్ లో నడుస్తుంది (63 *)', '36 వ ఉత్తమ కెరీర్ ఆర్థిక రేటు (5.60)', '20 వ ఇన్నింగ్స్ లో సాధించిన అత్యధిక పరుగులు (50)']</v>
      </c>
      <c r="I8852" s="3"/>
    </row>
    <row r="8853" customHeight="1" spans="1:9">
      <c r="A8853" s="2"/>
      <c r="B8853" s="2" t="str">
        <f>IFERROR(__xludf.DUMMYFUNCTION("IF(A8853&lt;&gt;"""", GOOGLETRANSLATE(A8853, ""en"", ""te""),"""")"),"")</f>
        <v/>
      </c>
      <c r="C8853" s="2"/>
      <c r="D8853" s="2" t="str">
        <f>IFERROR(__xludf.DUMMYFUNCTION("IF(C8853&lt;&gt;"""", GOOGLETRANSLATE(C8853, ""en"", ""te""),"""")"),"")</f>
        <v/>
      </c>
      <c r="E8853" s="2"/>
      <c r="F8853" s="2" t="str">
        <f>IFERROR(__xludf.DUMMYFUNCTION("IF(E8853&lt;&gt;"""", GOOGLETRANSLATE(E8853, ""en"", ""te""),"""")"),"")</f>
        <v/>
      </c>
      <c r="G8853" s="2"/>
      <c r="H8853" s="2" t="str">
        <f>IFERROR(__xludf.DUMMYFUNCTION("IF(G8853&lt;&gt;"""", GOOGLETRANSLATE(G8853, ""en"", ""te""),"""")"),"")</f>
        <v/>
      </c>
      <c r="I8853" s="3"/>
    </row>
    <row r="8854" customHeight="1" spans="1:9">
      <c r="A8854" s="2" t="s">
        <v>153</v>
      </c>
      <c r="B8854" s="2" t="str">
        <f>IFERROR(__xludf.DUMMYFUNCTION("IF(A8854&lt;&gt;"""", GOOGLETRANSLATE(A8854, ""en"", ""te""),"""")"),"[ 'రెండు దేశాలకు ప్రాతినిధ్యం']")</f>
        <v>[ 'రెండు దేశాలకు ప్రాతినిధ్యం']</v>
      </c>
      <c r="C8854" s="2"/>
      <c r="D8854" s="2" t="str">
        <f>IFERROR(__xludf.DUMMYFUNCTION("IF(C8854&lt;&gt;"""", GOOGLETRANSLATE(C8854, ""en"", ""te""),"""")"),"")</f>
        <v/>
      </c>
      <c r="E8854" s="2" t="s">
        <v>5027</v>
      </c>
      <c r="F8854" s="2" t="str">
        <f>IFERROR(__xludf.DUMMYFUNCTION("IF(E8854&lt;&gt;"""", GOOGLETRANSLATE(E8854, ""en"", ""te""),"""")"),"[ '45 వ వేగంగా 100 వికెట్లు (69)']")</f>
        <v>[ '45 వ వేగంగా 100 వికెట్లు (69)']</v>
      </c>
      <c r="G8854" s="2" t="s">
        <v>5028</v>
      </c>
      <c r="H8854" s="2" t="str">
        <f>IFERROR(__xludf.DUMMYFUNCTION("IF(G8854&lt;&gt;"""", GOOGLETRANSLATE(G8854, ""en"", ""te""),"""")"),"[ '27 కెరీర్లో అత్యధిక వికెట్లు (55)', '17 వ ఒక క్యాలెండర్ సంవత్సరంలో అత్యధిక వికెట్లు (23)', '25 వ ఒకే మైదానంలో అత్యధిక వికెట్లు (13)', '49 వ ఉత్తమ కెరీర్ బౌలింగ్ సరాసరి (22.16)', ' 28 ఉత్తమ కెరీర్ ఆర్థిక రేటు (6.84) ',' 27 వ కెరీర్ లో బౌల్డ్ చాలా బంతుల"&amp;"్లో (1068) ',' 26th అత్యధిక పరుగులు కెరీర్లో సాధించిన (1219) ',' 17 వ బౌలర్ / బ్యాట్స్ కలయికలు (3) ',' 30 వ అత్యధిక వికెట్లు తీసుకున్న బౌల్డ్ (12) ', '21 వ అత్యధిక వికెట్లు తీసిన ఒక ఫీల్డర్ చేత క్యాచ్ (38)', '27 వ అత్యధిక వికెట్లు తీసుకున్న ఆకర్షించింది ("&amp;"30)', '13 వ అత్యధిక వికెట్లు ఒక వికెట్ కీపర్ చే కాట్ తీసుకోకూడదు (8)', '32 వ అత్యధిక వికెట్లు తీసుకున్న LBW (5) ',' ఫాస్టెస్ట్ 50 వికెట్లు 26 (45) ']")</f>
        <v>[ '27 కెరీర్లో అత్యధిక వికెట్లు (55)', '17 వ ఒక క్యాలెండర్ సంవత్సరంలో అత్యధిక వికెట్లు (23)', '25 వ ఒకే మైదానంలో అత్యధిక వికెట్లు (13)', '49 వ ఉత్తమ కెరీర్ బౌలింగ్ సరాసరి (22.16)', ' 28 ఉత్తమ కెరీర్ ఆర్థిక రేటు (6.84) ',' 27 వ కెరీర్ లో బౌల్డ్ చాలా బంతుల్లో (1068) ',' 26th అత్యధిక పరుగులు కెరీర్లో సాధించిన (1219) ',' 17 వ బౌలర్ / బ్యాట్స్ కలయికలు (3) ',' 30 వ అత్యధిక వికెట్లు తీసుకున్న బౌల్డ్ (12) ', '21 వ అత్యధిక వికెట్లు తీసిన ఒక ఫీల్డర్ చేత క్యాచ్ (38)', '27 వ అత్యధిక వికెట్లు తీసుకున్న ఆకర్షించింది (30)', '13 వ అత్యధిక వికెట్లు ఒక వికెట్ కీపర్ చే కాట్ తీసుకోకూడదు (8)', '32 వ అత్యధిక వికెట్లు తీసుకున్న LBW (5) ',' ఫాస్టెస్ట్ 50 వికెట్లు 26 (45) ']</v>
      </c>
      <c r="I8854" s="3"/>
    </row>
    <row r="8855" customHeight="1" spans="1:9">
      <c r="A8855" s="2"/>
      <c r="B8855" s="2" t="str">
        <f>IFERROR(__xludf.DUMMYFUNCTION("IF(A8855&lt;&gt;"""", GOOGLETRANSLATE(A8855, ""en"", ""te""),"""")"),"")</f>
        <v/>
      </c>
      <c r="C8855" s="2"/>
      <c r="D8855" s="2" t="str">
        <f>IFERROR(__xludf.DUMMYFUNCTION("IF(C8855&lt;&gt;"""", GOOGLETRANSLATE(C8855, ""en"", ""te""),"""")"),"")</f>
        <v/>
      </c>
      <c r="E8855" s="2"/>
      <c r="F8855" s="2" t="str">
        <f>IFERROR(__xludf.DUMMYFUNCTION("IF(E8855&lt;&gt;"""", GOOGLETRANSLATE(E8855, ""en"", ""te""),"""")"),"")</f>
        <v/>
      </c>
      <c r="G8855" s="2"/>
      <c r="H8855" s="2" t="str">
        <f>IFERROR(__xludf.DUMMYFUNCTION("IF(G8855&lt;&gt;"""", GOOGLETRANSLATE(G8855, ""en"", ""te""),"""")"),"")</f>
        <v/>
      </c>
      <c r="I8855" s="3"/>
    </row>
    <row r="8856" customHeight="1" spans="1:9">
      <c r="A8856" s="2" t="s">
        <v>1828</v>
      </c>
      <c r="B8856" s="2" t="str">
        <f>IFERROR(__xludf.DUMMYFUNCTION("IF(A8856&lt;&gt;"""", GOOGLETRANSLATE(A8856, ""en"", ""te""),"""")"),"[ 'ఇన్నింగ్స్ లో 4 వ అత్యధిక క్యాచ్లు (3)']")</f>
        <v>[ 'ఇన్నింగ్స్ లో 4 వ అత్యధిక క్యాచ్లు (3)']</v>
      </c>
      <c r="C8856" s="2"/>
      <c r="D8856" s="2" t="str">
        <f>IFERROR(__xludf.DUMMYFUNCTION("IF(C8856&lt;&gt;"""", GOOGLETRANSLATE(C8856, ""en"", ""te""),"""")"),"")</f>
        <v/>
      </c>
      <c r="E8856" s="2" t="s">
        <v>5029</v>
      </c>
      <c r="F8856" s="2" t="str">
        <f>IFERROR(__xludf.DUMMYFUNCTION("IF(E8856&lt;&gt;"""", GOOGLETRANSLATE(E8856, ""en"", ""te""),"""")"),"[ 'ఇన్నింగ్స్ లో 4 వ అత్యధిక క్యాచ్లు (3)' '19 చెత్త ఆర్థిక వ్యవస్థ ఇన్నింగ్స్లో రేటు (9.16)', '47 వ ఇన్నింగ్స్ లో సాధించిన అత్యధిక పరుగులు (70)',]")</f>
        <v>[ 'ఇన్నింగ్స్ లో 4 వ అత్యధిక క్యాచ్లు (3)' '19 చెత్త ఆర్థిక వ్యవస్థ ఇన్నింగ్స్లో రేటు (9.16)', '47 వ ఇన్నింగ్స్ లో సాధించిన అత్యధిక పరుగులు (70)',]</v>
      </c>
      <c r="G8856" s="2"/>
      <c r="H8856" s="2" t="str">
        <f>IFERROR(__xludf.DUMMYFUNCTION("IF(G8856&lt;&gt;"""", GOOGLETRANSLATE(G8856, ""en"", ""te""),"""")"),"")</f>
        <v/>
      </c>
      <c r="I8856" s="3"/>
    </row>
    <row r="8857" customHeight="1" spans="1:9">
      <c r="A8857" s="2"/>
      <c r="B8857" s="2" t="str">
        <f>IFERROR(__xludf.DUMMYFUNCTION("IF(A8857&lt;&gt;"""", GOOGLETRANSLATE(A8857, ""en"", ""te""),"""")"),"")</f>
        <v/>
      </c>
      <c r="C8857" s="2"/>
      <c r="D8857" s="2" t="str">
        <f>IFERROR(__xludf.DUMMYFUNCTION("IF(C8857&lt;&gt;"""", GOOGLETRANSLATE(C8857, ""en"", ""te""),"""")"),"")</f>
        <v/>
      </c>
      <c r="E8857" s="2"/>
      <c r="F8857" s="2" t="str">
        <f>IFERROR(__xludf.DUMMYFUNCTION("IF(E8857&lt;&gt;"""", GOOGLETRANSLATE(E8857, ""en"", ""te""),"""")"),"")</f>
        <v/>
      </c>
      <c r="G8857" s="2"/>
      <c r="H8857" s="2" t="str">
        <f>IFERROR(__xludf.DUMMYFUNCTION("IF(G8857&lt;&gt;"""", GOOGLETRANSLATE(G8857, ""en"", ""te""),"""")"),"")</f>
        <v/>
      </c>
      <c r="I8857" s="3"/>
    </row>
    <row r="8858" customHeight="1" spans="1:9">
      <c r="A8858" s="2"/>
      <c r="B8858" s="2" t="str">
        <f>IFERROR(__xludf.DUMMYFUNCTION("IF(A8858&lt;&gt;"""", GOOGLETRANSLATE(A8858, ""en"", ""te""),"""")"),"")</f>
        <v/>
      </c>
      <c r="C8858" s="2"/>
      <c r="D8858" s="2" t="str">
        <f>IFERROR(__xludf.DUMMYFUNCTION("IF(C8858&lt;&gt;"""", GOOGLETRANSLATE(C8858, ""en"", ""te""),"""")"),"")</f>
        <v/>
      </c>
      <c r="E8858" s="2"/>
      <c r="F8858" s="2" t="str">
        <f>IFERROR(__xludf.DUMMYFUNCTION("IF(E8858&lt;&gt;"""", GOOGLETRANSLATE(E8858, ""en"", ""te""),"""")"),"")</f>
        <v/>
      </c>
      <c r="G8858" s="2"/>
      <c r="H8858" s="2" t="str">
        <f>IFERROR(__xludf.DUMMYFUNCTION("IF(G8858&lt;&gt;"""", GOOGLETRANSLATE(G8858, ""en"", ""te""),"""")"),"")</f>
        <v/>
      </c>
      <c r="I8858" s="3"/>
    </row>
    <row r="8859" customHeight="1" spans="1:9">
      <c r="A8859" s="2"/>
      <c r="B8859" s="2" t="str">
        <f>IFERROR(__xludf.DUMMYFUNCTION("IF(A8859&lt;&gt;"""", GOOGLETRANSLATE(A8859, ""en"", ""te""),"""")"),"")</f>
        <v/>
      </c>
      <c r="C8859" s="2"/>
      <c r="D8859" s="2" t="str">
        <f>IFERROR(__xludf.DUMMYFUNCTION("IF(C8859&lt;&gt;"""", GOOGLETRANSLATE(C8859, ""en"", ""te""),"""")"),"")</f>
        <v/>
      </c>
      <c r="E8859" s="2"/>
      <c r="F8859" s="2" t="str">
        <f>IFERROR(__xludf.DUMMYFUNCTION("IF(E8859&lt;&gt;"""", GOOGLETRANSLATE(E8859, ""en"", ""te""),"""")"),"")</f>
        <v/>
      </c>
      <c r="G8859" s="2"/>
      <c r="H8859" s="2" t="str">
        <f>IFERROR(__xludf.DUMMYFUNCTION("IF(G8859&lt;&gt;"""", GOOGLETRANSLATE(G8859, ""en"", ""te""),"""")"),"")</f>
        <v/>
      </c>
      <c r="I8859" s="3"/>
    </row>
    <row r="8860" customHeight="1" spans="1:9">
      <c r="A8860" s="2"/>
      <c r="B8860" s="2" t="str">
        <f>IFERROR(__xludf.DUMMYFUNCTION("IF(A8860&lt;&gt;"""", GOOGLETRANSLATE(A8860, ""en"", ""te""),"""")"),"")</f>
        <v/>
      </c>
      <c r="C8860" s="2"/>
      <c r="D8860" s="2" t="str">
        <f>IFERROR(__xludf.DUMMYFUNCTION("IF(C8860&lt;&gt;"""", GOOGLETRANSLATE(C8860, ""en"", ""te""),"""")"),"")</f>
        <v/>
      </c>
      <c r="E8860" s="2"/>
      <c r="F8860" s="2" t="str">
        <f>IFERROR(__xludf.DUMMYFUNCTION("IF(E8860&lt;&gt;"""", GOOGLETRANSLATE(E8860, ""en"", ""te""),"""")"),"")</f>
        <v/>
      </c>
      <c r="G8860" s="2"/>
      <c r="H8860" s="2" t="str">
        <f>IFERROR(__xludf.DUMMYFUNCTION("IF(G8860&lt;&gt;"""", GOOGLETRANSLATE(G8860, ""en"", ""te""),"""")"),"")</f>
        <v/>
      </c>
      <c r="I8860" s="3"/>
    </row>
    <row r="8861" customHeight="1" spans="1:9">
      <c r="A8861" s="2" t="s">
        <v>5030</v>
      </c>
      <c r="B8861" s="2" t="str">
        <f>IFERROR(__xludf.DUMMYFUNCTION("IF(A8861&lt;&gt;"""", GOOGLETRANSLATE(A8861, ""en"", ""te""),"""")"),"[ '2 వ చెత్త ఆర్థిక వ్యవస్థ ఇన్నింగ్స్లో రేటు (12.66)']")</f>
        <v>[ '2 వ చెత్త ఆర్థిక వ్యవస్థ ఇన్నింగ్స్లో రేటు (12.66)']</v>
      </c>
      <c r="C8861" s="2"/>
      <c r="D8861" s="2" t="str">
        <f>IFERROR(__xludf.DUMMYFUNCTION("IF(C8861&lt;&gt;"""", GOOGLETRANSLATE(C8861, ""en"", ""te""),"""")"),"")</f>
        <v/>
      </c>
      <c r="E8861" s="2" t="s">
        <v>5030</v>
      </c>
      <c r="F8861" s="2" t="str">
        <f>IFERROR(__xludf.DUMMYFUNCTION("IF(E8861&lt;&gt;"""", GOOGLETRANSLATE(E8861, ""en"", ""te""),"""")"),"[ '2 వ చెత్త ఆర్థిక వ్యవస్థ ఇన్నింగ్స్లో రేటు (12.66)']")</f>
        <v>[ '2 వ చెత్త ఆర్థిక వ్యవస్థ ఇన్నింగ్స్లో రేటు (12.66)']</v>
      </c>
      <c r="G8861" s="2"/>
      <c r="H8861" s="2" t="str">
        <f>IFERROR(__xludf.DUMMYFUNCTION("IF(G8861&lt;&gt;"""", GOOGLETRANSLATE(G8861, ""en"", ""te""),"""")"),"")</f>
        <v/>
      </c>
      <c r="I8861" s="3"/>
    </row>
    <row r="8862" customHeight="1" spans="1:9">
      <c r="A8862" s="2"/>
      <c r="B8862" s="2" t="str">
        <f>IFERROR(__xludf.DUMMYFUNCTION("IF(A8862&lt;&gt;"""", GOOGLETRANSLATE(A8862, ""en"", ""te""),"""")"),"")</f>
        <v/>
      </c>
      <c r="C8862" s="2"/>
      <c r="D8862" s="2" t="str">
        <f>IFERROR(__xludf.DUMMYFUNCTION("IF(C8862&lt;&gt;"""", GOOGLETRANSLATE(C8862, ""en"", ""te""),"""")"),"")</f>
        <v/>
      </c>
      <c r="E8862" s="2"/>
      <c r="F8862" s="2" t="str">
        <f>IFERROR(__xludf.DUMMYFUNCTION("IF(E8862&lt;&gt;"""", GOOGLETRANSLATE(E8862, ""en"", ""te""),"""")"),"")</f>
        <v/>
      </c>
      <c r="G8862" s="2"/>
      <c r="H8862" s="2" t="str">
        <f>IFERROR(__xludf.DUMMYFUNCTION("IF(G8862&lt;&gt;"""", GOOGLETRANSLATE(G8862, ""en"", ""te""),"""")"),"")</f>
        <v/>
      </c>
      <c r="I8862" s="3"/>
    </row>
    <row r="8863" customHeight="1" spans="1:9">
      <c r="A8863" s="2"/>
      <c r="B8863" s="2" t="str">
        <f>IFERROR(__xludf.DUMMYFUNCTION("IF(A8863&lt;&gt;"""", GOOGLETRANSLATE(A8863, ""en"", ""te""),"""")"),"")</f>
        <v/>
      </c>
      <c r="C8863" s="2"/>
      <c r="D8863" s="2" t="str">
        <f>IFERROR(__xludf.DUMMYFUNCTION("IF(C8863&lt;&gt;"""", GOOGLETRANSLATE(C8863, ""en"", ""te""),"""")"),"")</f>
        <v/>
      </c>
      <c r="E8863" s="2"/>
      <c r="F8863" s="2" t="str">
        <f>IFERROR(__xludf.DUMMYFUNCTION("IF(E8863&lt;&gt;"""", GOOGLETRANSLATE(E8863, ""en"", ""te""),"""")"),"")</f>
        <v/>
      </c>
      <c r="G8863" s="2"/>
      <c r="H8863" s="2" t="str">
        <f>IFERROR(__xludf.DUMMYFUNCTION("IF(G8863&lt;&gt;"""", GOOGLETRANSLATE(G8863, ""en"", ""te""),"""")"),"")</f>
        <v/>
      </c>
      <c r="I8863" s="3"/>
    </row>
    <row r="8864" customHeight="1" spans="1:9">
      <c r="A8864" s="2"/>
      <c r="B8864" s="2" t="str">
        <f>IFERROR(__xludf.DUMMYFUNCTION("IF(A8864&lt;&gt;"""", GOOGLETRANSLATE(A8864, ""en"", ""te""),"""")"),"")</f>
        <v/>
      </c>
      <c r="C8864" s="2"/>
      <c r="D8864" s="2" t="str">
        <f>IFERROR(__xludf.DUMMYFUNCTION("IF(C8864&lt;&gt;"""", GOOGLETRANSLATE(C8864, ""en"", ""te""),"""")"),"")</f>
        <v/>
      </c>
      <c r="E8864" s="2"/>
      <c r="F8864" s="2" t="str">
        <f>IFERROR(__xludf.DUMMYFUNCTION("IF(E8864&lt;&gt;"""", GOOGLETRANSLATE(E8864, ""en"", ""te""),"""")"),"")</f>
        <v/>
      </c>
      <c r="G8864" s="2"/>
      <c r="H8864" s="2" t="str">
        <f>IFERROR(__xludf.DUMMYFUNCTION("IF(G8864&lt;&gt;"""", GOOGLETRANSLATE(G8864, ""en"", ""te""),"""")"),"")</f>
        <v/>
      </c>
      <c r="I8864" s="3"/>
    </row>
    <row r="8865" customHeight="1" spans="1:9">
      <c r="A8865" s="2" t="s">
        <v>5031</v>
      </c>
      <c r="B8865" s="2" t="str">
        <f>IFERROR(__xludf.DUMMYFUNCTION("IF(A8865&lt;&gt;"""", GOOGLETRANSLATE(A8865, ""en"", ""te""),"""")"),"[ 'A ఏబది ఒక ఇన్నింగ్స్ లో ఐదు వికెట్లు', 'ఇన్నింగ్స్ లో 2 వ అత్యధిక పరుగులు (బ్యాటింగ్ స్థానంలో ప్రకారం) (57 *)', '7 వ అత్యధిక భాగస్వామ్యం' 7th అత్యుత్తమ బౌలింగ్ ఇన్నింగ్స్ (5/10) విశ్లేషణలలో ' తొమ్మిదవ వికెట్ (44 *) ']")</f>
        <v>[ 'A ఏబది ఒక ఇన్నింగ్స్ లో ఐదు వికెట్లు', 'ఇన్నింగ్స్ లో 2 వ అత్యధిక పరుగులు (బ్యాటింగ్ స్థానంలో ప్రకారం) (57 *)', '7 వ అత్యధిక భాగస్వామ్యం' 7th అత్యుత్తమ బౌలింగ్ ఇన్నింగ్స్ (5/10) విశ్లేషణలలో ' తొమ్మిదవ వికెట్ (44 *) ']</v>
      </c>
      <c r="C8865" s="2"/>
      <c r="D8865" s="2" t="str">
        <f>IFERROR(__xludf.DUMMYFUNCTION("IF(C8865&lt;&gt;"""", GOOGLETRANSLATE(C8865, ""en"", ""te""),"""")"),"")</f>
        <v/>
      </c>
      <c r="E8865" s="2" t="s">
        <v>5032</v>
      </c>
      <c r="F8865" s="2" t="str">
        <f>IFERROR(__xludf.DUMMYFUNCTION("IF(E8865&lt;&gt;"""", GOOGLETRANSLATE(E8865, ""en"", ""te""),"""")"),"[ '7th అత్యుత్తమ ఇన్నింగ్స్ లో విశ్లేషణలు బౌలింగ్ (5/10)', '38 వ సగటు (23.60) బౌలింగ్ ఉత్తమ జీవితం' '41 వ ఉత్తమ కెరీర్ ఎకానమీ రేట్ (3.90)', 'ఇన్నింగ్స్ లో 48 వ బెస్ట్ ఆర్థిక రేటు (1.00)' , '(33y 349d) ఐదు వికెట్లు-ఇన్-ఒక-ఇన్నింగ్స్ పడుతుంది 19 ఓల్డెస్ట్ ఆ"&amp;"టగాడు', 'తొలి తీసుకోవాలని 12 వ అత్యంత వృద్ధ ఆటగాడు ఐదు వికెట్ల లో-ఒక-ఇన్నింగ్స్ (33y 349d)']")</f>
        <v>[ '7th అత్యుత్తమ ఇన్నింగ్స్ లో విశ్లేషణలు బౌలింగ్ (5/10)', '38 వ సగటు (23.60) బౌలింగ్ ఉత్తమ జీవితం' '41 వ ఉత్తమ కెరీర్ ఎకానమీ రేట్ (3.90)', 'ఇన్నింగ్స్ లో 48 వ బెస్ట్ ఆర్థిక రేటు (1.00)' , '(33y 349d) ఐదు వికెట్లు-ఇన్-ఒక-ఇన్నింగ్స్ పడుతుంది 19 ఓల్డెస్ట్ ఆటగాడు', 'తొలి తీసుకోవాలని 12 వ అత్యంత వృద్ధ ఆటగాడు ఐదు వికెట్ల లో-ఒక-ఇన్నింగ్స్ (33y 349d)']</v>
      </c>
      <c r="G8865" s="2" t="s">
        <v>5033</v>
      </c>
      <c r="H8865" s="2" t="str">
        <f>IFERROR(__xludf.DUMMYFUNCTION("IF(G8865&lt;&gt;"""", GOOGLETRANSLATE(G8865, ""en"", ""te""),"""")"),"[ '2nd అత్యంత ఇన్నింగ్స్ లో నడుస్తుంది (బ్యాటింగ్ స్థానం) (57 *)', '30th తొలి మ్యాచ్ (57 *) లో అత్యధిక పరుగులు', '13 వ కెరీర్ బాతులు (6)', '7 వ అత్యధిక తొమ్మిదవ కొరకు చేసిన భాగస్వామ్యం వికెట్ (44 *) ']")</f>
        <v>[ '2nd అత్యంత ఇన్నింగ్స్ లో నడుస్తుంది (బ్యాటింగ్ స్థానం) (57 *)', '30th తొలి మ్యాచ్ (57 *) లో అత్యధిక పరుగులు', '13 వ కెరీర్ బాతులు (6)', '7 వ అత్యధిక తొమ్మిదవ కొరకు చేసిన భాగస్వామ్యం వికెట్ (44 *) ']</v>
      </c>
      <c r="I8865" s="3"/>
    </row>
    <row r="8866" customHeight="1" spans="1:9">
      <c r="A8866" s="2"/>
      <c r="B8866" s="2" t="str">
        <f>IFERROR(__xludf.DUMMYFUNCTION("IF(A8866&lt;&gt;"""", GOOGLETRANSLATE(A8866, ""en"", ""te""),"""")"),"")</f>
        <v/>
      </c>
      <c r="C8866" s="2"/>
      <c r="D8866" s="2" t="str">
        <f>IFERROR(__xludf.DUMMYFUNCTION("IF(C8866&lt;&gt;"""", GOOGLETRANSLATE(C8866, ""en"", ""te""),"""")"),"")</f>
        <v/>
      </c>
      <c r="E8866" s="2"/>
      <c r="F8866" s="2" t="str">
        <f>IFERROR(__xludf.DUMMYFUNCTION("IF(E8866&lt;&gt;"""", GOOGLETRANSLATE(E8866, ""en"", ""te""),"""")"),"")</f>
        <v/>
      </c>
      <c r="G8866" s="2"/>
      <c r="H8866" s="2" t="str">
        <f>IFERROR(__xludf.DUMMYFUNCTION("IF(G8866&lt;&gt;"""", GOOGLETRANSLATE(G8866, ""en"", ""te""),"""")"),"")</f>
        <v/>
      </c>
      <c r="I8866" s="3"/>
    </row>
    <row r="8867" customHeight="1" spans="1:9">
      <c r="A8867" s="2" t="s">
        <v>5034</v>
      </c>
      <c r="B8867" s="2" t="str">
        <f>IFERROR(__xludf.DUMMYFUNCTION("IF(A8867&lt;&gt;"""", GOOGLETRANSLATE(A8867, ""en"", ""te""),"""")"),"[ '2nd లాంగెస్ట్ కెరీర్లు (19y 195d)', 'కెరీర్ (12) 7 వ అత్యంత బాతులు']")</f>
        <v>[ '2nd లాంగెస్ట్ కెరీర్లు (19y 195d)', 'కెరీర్ (12) 7 వ అత్యంత బాతులు']</v>
      </c>
      <c r="C8867" s="2"/>
      <c r="D8867" s="2" t="str">
        <f>IFERROR(__xludf.DUMMYFUNCTION("IF(C8867&lt;&gt;"""", GOOGLETRANSLATE(C8867, ""en"", ""te""),"""")"),"")</f>
        <v/>
      </c>
      <c r="E8867" s="2" t="s">
        <v>5035</v>
      </c>
      <c r="F8867" s="2" t="str">
        <f>IFERROR(__xludf.DUMMYFUNCTION("IF(E8867&lt;&gt;"""", GOOGLETRANSLATE(E8867, ""en"", ""te""),"""")"),"[ '15 వ అత్యంత వంద (1276) లేకుండా ఒక వృత్తిలో పరుగులు' 'కెరీర్ లో 7 వ అత్యంత బాతులు (12)', 'ఇన్నింగ్స్ లో 26 వ ఉత్తమ ఆర్థిక రేటు (0.40)', ఒక ఇన్నింగ్స్ లో '39 వ చెత్త ఆర్థిక రేటు (8.66 ) ',' కెరీర్లో 40 వ అత్యధిక క్యాచ్లు (30) ',' 49 వ కెరీర్ లో అత్యధిక మ"&amp;"్యాచ్లు (90) ',' 41 వ పిన్న క్రీడాకారులు (16y 212d) ',' 2 వ లాంగెస్ట్ కెరీర్లు (19y 195d) ', '21 వ పిన్న కాప్టెన్ ( 22y 194d) ']")</f>
        <v>[ '15 వ అత్యంత వంద (1276) లేకుండా ఒక వృత్తిలో పరుగులు' 'కెరీర్ లో 7 వ అత్యంత బాతులు (12)', 'ఇన్నింగ్స్ లో 26 వ ఉత్తమ ఆర్థిక రేటు (0.40)', ఒక ఇన్నింగ్స్ లో '39 వ చెత్త ఆర్థిక రేటు (8.66 ) ',' కెరీర్లో 40 వ అత్యధిక క్యాచ్లు (30) ',' 49 వ కెరీర్ లో అత్యధిక మ్యాచ్లు (90) ',' 41 వ పిన్న క్రీడాకారులు (16y 212d) ',' 2 వ లాంగెస్ట్ కెరీర్లు (19y 195d) ', '21 వ పిన్న కాప్టెన్ ( 22y 194d) ']</v>
      </c>
      <c r="G8867" s="2" t="s">
        <v>5036</v>
      </c>
      <c r="H8867" s="2" t="str">
        <f>IFERROR(__xludf.DUMMYFUNCTION("IF(G8867&lt;&gt;"""", GOOGLETRANSLATE(G8867, ""en"", ""te""),"""")"),"[ '32 వ కెరీర్ లో అత్యధిక పరుగులు (1019)' 'మొదటి డక్ ముందు, 7 వ అత్యంత ఇన్నింగ్స్ (28)', 'ఒక డక్ లేకుండా 43 వ వరుస ఇన్నింగ్స్ (28)', '34 వ అత్యంత బాతులు కెరీర్ లో (5)', '21 వ ఒక జట్టు వరుస మ్యాచ్లు (46) ',' కెప్టెన్సీ ప్రవేశం (33y 244d) పై 14 ఓల్డెస్ట్ క"&amp;"ెప్టెన్లు ']")</f>
        <v>[ '32 వ కెరీర్ లో అత్యధిక పరుగులు (1019)' 'మొదటి డక్ ముందు, 7 వ అత్యంత ఇన్నింగ్స్ (28)', 'ఒక డక్ లేకుండా 43 వ వరుస ఇన్నింగ్స్ (28)', '34 వ అత్యంత బాతులు కెరీర్ లో (5)', '21 వ ఒక జట్టు వరుస మ్యాచ్లు (46) ',' కెప్టెన్సీ ప్రవేశం (33y 244d) పై 14 ఓల్డెస్ట్ కెప్టెన్లు ']</v>
      </c>
      <c r="I8867" s="3"/>
    </row>
    <row r="8868" customHeight="1" spans="1:9">
      <c r="A8868" s="2"/>
      <c r="B8868" s="2" t="str">
        <f>IFERROR(__xludf.DUMMYFUNCTION("IF(A8868&lt;&gt;"""", GOOGLETRANSLATE(A8868, ""en"", ""te""),"""")"),"")</f>
        <v/>
      </c>
      <c r="C8868" s="2"/>
      <c r="D8868" s="2" t="str">
        <f>IFERROR(__xludf.DUMMYFUNCTION("IF(C8868&lt;&gt;"""", GOOGLETRANSLATE(C8868, ""en"", ""te""),"""")"),"")</f>
        <v/>
      </c>
      <c r="E8868" s="2"/>
      <c r="F8868" s="2" t="str">
        <f>IFERROR(__xludf.DUMMYFUNCTION("IF(E8868&lt;&gt;"""", GOOGLETRANSLATE(E8868, ""en"", ""te""),"""")"),"")</f>
        <v/>
      </c>
      <c r="G8868" s="2" t="s">
        <v>5037</v>
      </c>
      <c r="H8868" s="2" t="str">
        <f>IFERROR(__xludf.DUMMYFUNCTION("IF(G8868&lt;&gt;"""", GOOGLETRANSLATE(G8868, ""en"", ""te""),"""")"),"[ '46 వ ఇన్నింగ్స్ లో అత్యధిక పరుగులు (86)', '33 వ ఇన్నింగ్స్ లో అత్యధిక పరుగులు (బ్యాటింగ్ స్థానంలో ద్వారా) (86)']")</f>
        <v>[ '46 వ ఇన్నింగ్స్ లో అత్యధిక పరుగులు (86)', '33 వ ఇన్నింగ్స్ లో అత్యధిక పరుగులు (బ్యాటింగ్ స్థానంలో ద్వారా) (86)']</v>
      </c>
      <c r="I8868" s="3"/>
    </row>
    <row r="8869" customHeight="1" spans="1:9">
      <c r="A8869" s="2" t="s">
        <v>5038</v>
      </c>
      <c r="B8869" s="2" t="str">
        <f>IFERROR(__xludf.DUMMYFUNCTION("IF(A8869&lt;&gt;"""", GOOGLETRANSLATE(A8869, ""en"", ""te""),"""")"),"[ '3 వ అత్యధిక తొలి వంద (177)', '1 వ 99 పరుగుల (199, 299 etc) (99)', 'వరుస ఇన్నింగ్స్లో 2 వ యాభైల్లో (6)', '1st ఒక ఇన్నింగ్స్ లోని బెస్ట్ ఫిగర్స్ ఉన్నప్పుడు ఓడిపోయిన లో వైపు (6) ',' ఒక క్యాలెండర్ సంవత్సరంలో బ్యాటింగ్ ప్రారంభించుటకు మరియు అదే మ్యాచ్ లో బ"&amp;"ౌలింగ్ ',' 1 వ అత్యధిక పరుగులు (748) ',' వరుస ఇన్నింగ్స్లో 3 వ యాభైల్లో (3) ',' కెరీర్లో 4 వ అత్యంత బాతులు (9 ) ',' 4 వ అత్యంత ఫోర్లు కెరీర్లో (251) ',' ఫాస్టెస్ట్ 2000 పరుగులు (6 వ 72) ',' వరుస ఇన్నింగ్స్లో 10 వ యాభైల్లో (6) ']")</f>
        <v>[ '3 వ అత్యధిక తొలి వంద (177)', '1 వ 99 పరుగుల (199, 299 etc) (99)', 'వరుస ఇన్నింగ్స్లో 2 వ యాభైల్లో (6)', '1st ఒక ఇన్నింగ్స్ లోని బెస్ట్ ఫిగర్స్ ఉన్నప్పుడు ఓడిపోయిన లో వైపు (6) ',' ఒక క్యాలెండర్ సంవత్సరంలో బ్యాటింగ్ ప్రారంభించుటకు మరియు అదే మ్యాచ్ లో బౌలింగ్ ',' 1 వ అత్యధిక పరుగులు (748) ',' వరుస ఇన్నింగ్స్లో 3 వ యాభైల్లో (3) ',' కెరీర్లో 4 వ అత్యంత బాతులు (9 ) ',' 4 వ అత్యంత ఫోర్లు కెరీర్లో (251) ',' ఫాస్టెస్ట్ 2000 పరుగులు (6 వ 72) ',' వరుస ఇన్నింగ్స్లో 10 వ యాభైల్లో (6) ']</v>
      </c>
      <c r="C8869" s="2"/>
      <c r="D8869" s="2" t="str">
        <f>IFERROR(__xludf.DUMMYFUNCTION("IF(C8869&lt;&gt;"""", GOOGLETRANSLATE(C8869, ""en"", ""te""),"""")"),"")</f>
        <v/>
      </c>
      <c r="E8869" s="2" t="s">
        <v>5039</v>
      </c>
      <c r="F8869" s="2" t="str">
        <f>IFERROR(__xludf.DUMMYFUNCTION("IF(E8869&lt;&gt;"""", GOOGLETRANSLATE(E8869, ""en"", ""te""),"""")"),"[ '32 వ అత్యంత ఇన్నింగ్స్ లో పరుగులు (177)', '15 వ హండ్రెడ్ గత మ్యాచ్లో (118)', '37 వ ఒక వృత్తిలో అత్యధిక వందలు (12)', '3 వ ఒక సిరీస్లో అత్యధిక సెంచరీలు (3)', '3 వ అత్యధిక తొలి వంద (177) ',' 12 వ పిన్న ఆటగాడు వరుస ఇన్నింగ్స్లో వంద (20y 4D) ',' 1 వ 99 పరుగ"&amp;"ుల (199, 299 etc) (99) సాధించిన ',' 2 వ యాభైల్లో (6) ', '35 వ కెరీర్ లో వచ్చిన ఎక్కువ సిక్స్ (109)', 'ఇన్నింగ్స్ లో 24 ఫోర్లు, సిక్సర్లు నుండి అత్యధిక పరుగులు (114)' '14 వ అత్యంత ఇన్నింగ్స్ లో ఫోర్లు (21)', 'ఒక ఇన్నింగ్స్లో పరుగులు 43 వ అత్యధిక శాతం ( 55"&amp;".27) ',' 45 వ 1000 పరుగులు (వేగంగా 29) ',' 44th 3000 పరుగులు (వేగంగా 89) ', '21 వ ఒక ఇన్నింగ్స్ పరాజయం వైపు ఉన్నప్పుడు 4000 పరుగులు (110)', '1 వ ఉత్తమ లెక్కల వేగవంతమైన ( 6) ',' 25 వ రెండవ వికెట్ (214) ',' ఒక జట్టుకు 42 వ వరుస మ్యాచ్లు (78 *) ',' 24 వ అత"&amp;"్యంత ప్లేయర్ ఆఫ్ ది సిరీస్ అవార్డులు (4) ',' 47 వ పిన్న కోసం అత్యధిక భాగస్వామ్యం క్రీడాకారులు (17y 302d) ']")</f>
        <v>[ '32 వ అత్యంత ఇన్నింగ్స్ లో పరుగులు (177)', '15 వ హండ్రెడ్ గత మ్యాచ్లో (118)', '37 వ ఒక వృత్తిలో అత్యధిక వందలు (12)', '3 వ ఒక సిరీస్లో అత్యధిక సెంచరీలు (3)', '3 వ అత్యధిక తొలి వంద (177) ',' 12 వ పిన్న ఆటగాడు వరుస ఇన్నింగ్స్లో వంద (20y 4D) ',' 1 వ 99 పరుగుల (199, 299 etc) (99) సాధించిన ',' 2 వ యాభైల్లో (6) ', '35 వ కెరీర్ లో వచ్చిన ఎక్కువ సిక్స్ (109)', 'ఇన్నింగ్స్ లో 24 ఫోర్లు, సిక్సర్లు నుండి అత్యధిక పరుగులు (114)' '14 వ అత్యంత ఇన్నింగ్స్ లో ఫోర్లు (21)', 'ఒక ఇన్నింగ్స్లో పరుగులు 43 వ అత్యధిక శాతం ( 55.27) ',' 45 వ 1000 పరుగులు (వేగంగా 29) ',' 44th 3000 పరుగులు (వేగంగా 89) ', '21 వ ఒక ఇన్నింగ్స్ పరాజయం వైపు ఉన్నప్పుడు 4000 పరుగులు (110)', '1 వ ఉత్తమ లెక్కల వేగవంతమైన ( 6) ',' 25 వ రెండవ వికెట్ (214) ',' ఒక జట్టుకు 42 వ వరుస మ్యాచ్లు (78 *) ',' 24 వ అత్యంత ప్లేయర్ ఆఫ్ ది సిరీస్ అవార్డులు (4) ',' 47 వ పిన్న కోసం అత్యధిక భాగస్వామ్యం క్రీడాకారులు (17y 302d) ']</v>
      </c>
      <c r="G8869" s="2" t="s">
        <v>5040</v>
      </c>
      <c r="H8869" s="2" t="str">
        <f>IFERROR(__xludf.DUMMYFUNCTION("IF(G8869&lt;&gt;"""", GOOGLETRANSLATE(G8869, ""en"", ""te""),"""")"),"[ '10 వ కెరీర్ లో అత్యధిక పరుగులు (2124)', '1st ఒక క్యాలెండర్ సంవత్సరంలో అత్యధిక పరుగులు (748)', '13 వ పరాజయం వైపు ఒక మ్యాచ్లో అత్యధిక పరుగులు (91)', '11 వ ఒకే మైదానంలో అత్యధిక పరుగులు ( 379) ',' ఒక కెప్టెన్తో ఇన్నింగ్స్ లో 17 వ అత్యధిక పరుగులు (91) ','"&amp;" 41 వ అత్యధిక కెరీర్ సమ్మె రేటు (139.27) ',' 6 వ కెరీర్ అర్ధ (18) ',' వరుస ఇన్నింగ్స్లో 3 వ యాభైల్లో (3) ',' కెరీర్ లో (9) ',' 20 వ కెరీర్ లో వచ్చిన ఎక్కువ సిక్స్ (71) ',' 4 వ కెరీర్ ఫోర్లు (251) ',' 30 వ ఇన్నింగ్స్ లో వచ్చిన ఎక్కువ సిక్స్ (8) ',' 12 వ అ"&amp;"త్యంత 4th చాలా బాతులు ఒక ఇన్నింగ్స్ లో ఫోర్లు (12) ',' ఒక ఇన్నింగ్స్లో పరుగుల 33 వ అత్యధిక శాతం (57.60) ',' 38 వ 1000 పరుగులు (45) ',' 6 వ వేగంగా 2000 పరుగులు (72) ',' 15 వ అత్యధిక క్యాచ్లు వేగంగా ఇన్నింగ్స్ ఏ వికెట్కు (154) ',' మొదటి వికెట్కు 11 వ అత్యధి"&amp;"క భాగస్వామ్యం (154) ',' 25 వ అత్యధిక కెరీర్ లో మ్యాచ్లు (78) ',' 12 వ అత్యంత ప్లేయర్ ఆఫ్ (3) ',' 18 వ అత్యధిక భాగస్వామ్య -ది-మ్యాచ్ అవార్డులు (7) ']")</f>
        <v>[ '10 వ కెరీర్ లో అత్యధిక పరుగులు (2124)', '1st ఒక క్యాలెండర్ సంవత్సరంలో అత్యధిక పరుగులు (748)', '13 వ పరాజయం వైపు ఒక మ్యాచ్లో అత్యధిక పరుగులు (91)', '11 వ ఒకే మైదానంలో అత్యధిక పరుగులు ( 379) ',' ఒక కెప్టెన్తో ఇన్నింగ్స్ లో 17 వ అత్యధిక పరుగులు (91) ',' 41 వ అత్యధిక కెరీర్ సమ్మె రేటు (139.27) ',' 6 వ కెరీర్ అర్ధ (18) ',' వరుస ఇన్నింగ్స్లో 3 వ యాభైల్లో (3) ',' కెరీర్ లో (9) ',' 20 వ కెరీర్ లో వచ్చిన ఎక్కువ సిక్స్ (71) ',' 4 వ కెరీర్ ఫోర్లు (251) ',' 30 వ ఇన్నింగ్స్ లో వచ్చిన ఎక్కువ సిక్స్ (8) ',' 12 వ అత్యంత 4th చాలా బాతులు ఒక ఇన్నింగ్స్ లో ఫోర్లు (12) ',' ఒక ఇన్నింగ్స్లో పరుగుల 33 వ అత్యధిక శాతం (57.60) ',' 38 వ 1000 పరుగులు (45) ',' 6 వ వేగంగా 2000 పరుగులు (72) ',' 15 వ అత్యధిక క్యాచ్లు వేగంగా ఇన్నింగ్స్ ఏ వికెట్కు (154) ',' మొదటి వికెట్కు 11 వ అత్యధిక భాగస్వామ్యం (154) ',' 25 వ అత్యధిక కెరీర్ లో మ్యాచ్లు (78) ',' 12 వ అత్యంత ప్లేయర్ ఆఫ్ (3) ',' 18 వ అత్యధిక భాగస్వామ్య -ది-మ్యాచ్ అవార్డులు (7) ']</v>
      </c>
      <c r="I8869" s="3"/>
    </row>
    <row r="8870" customHeight="1" spans="1:9">
      <c r="A8870" s="2"/>
      <c r="B8870" s="2" t="str">
        <f>IFERROR(__xludf.DUMMYFUNCTION("IF(A8870&lt;&gt;"""", GOOGLETRANSLATE(A8870, ""en"", ""te""),"""")"),"")</f>
        <v/>
      </c>
      <c r="C8870" s="2"/>
      <c r="D8870" s="2" t="str">
        <f>IFERROR(__xludf.DUMMYFUNCTION("IF(C8870&lt;&gt;"""", GOOGLETRANSLATE(C8870, ""en"", ""te""),"""")"),"")</f>
        <v/>
      </c>
      <c r="E8870" s="2"/>
      <c r="F8870" s="2" t="str">
        <f>IFERROR(__xludf.DUMMYFUNCTION("IF(E8870&lt;&gt;"""", GOOGLETRANSLATE(E8870, ""en"", ""te""),"""")"),"")</f>
        <v/>
      </c>
      <c r="G8870" s="2"/>
      <c r="H8870" s="2" t="str">
        <f>IFERROR(__xludf.DUMMYFUNCTION("IF(G8870&lt;&gt;"""", GOOGLETRANSLATE(G8870, ""en"", ""te""),"""")"),"")</f>
        <v/>
      </c>
      <c r="I8870" s="3"/>
    </row>
    <row r="8871" customHeight="1" spans="1:9">
      <c r="A8871" s="2" t="s">
        <v>5041</v>
      </c>
      <c r="B8871" s="2" t="str">
        <f>IFERROR(__xludf.DUMMYFUNCTION("IF(A8871&lt;&gt;"""", GOOGLETRANSLATE(A8871, ""en"", ""te""),"""")"),"[ 'ఇన్నింగ్స్ లో 1 వ అత్యధిక పరుగులు (బ్యాటింగ్ స్థానంలో ప్రకారం) (14 *)' '3 వ పిన్న క్రీడాకారులు (13y 274d)',]")</f>
        <v>[ 'ఇన్నింగ్స్ లో 1 వ అత్యధిక పరుగులు (బ్యాటింగ్ స్థానంలో ప్రకారం) (14 *)' '3 వ పిన్న క్రీడాకారులు (13y 274d)',]</v>
      </c>
      <c r="C8871" s="2"/>
      <c r="D8871" s="2" t="str">
        <f>IFERROR(__xludf.DUMMYFUNCTION("IF(C8871&lt;&gt;"""", GOOGLETRANSLATE(C8871, ""en"", ""te""),"""")"),"")</f>
        <v/>
      </c>
      <c r="E8871" s="2" t="s">
        <v>5042</v>
      </c>
      <c r="F8871" s="2" t="str">
        <f>IFERROR(__xludf.DUMMYFUNCTION("IF(E8871&lt;&gt;"""", GOOGLETRANSLATE(E8871, ""en"", ""te""),"""")"),"[ '3 వ పిన్న క్రీడాకారులు (13y 274d)']")</f>
        <v>[ '3 వ పిన్న క్రీడాకారులు (13y 274d)']</v>
      </c>
      <c r="G8871" s="2" t="s">
        <v>5043</v>
      </c>
      <c r="H8871" s="2" t="str">
        <f>IFERROR(__xludf.DUMMYFUNCTION("IF(G8871&lt;&gt;"""", GOOGLETRANSLATE(G8871, ""en"", ""te""),"""")"),"[ 'ఇన్నింగ్స్ లో 1 వ అత్యధిక పరుగులు (బ్యాటింగ్ స్థానంలో ప్రకారం) (14 *)', '12 వ అరంగేట్రంలోనే ఇన్నింగ్స్ లోని బెస్ట్ ఫిగర్స్ (3)', '26th పిన్న క్రీడాకారులు (13y 272d)']")</f>
        <v>[ 'ఇన్నింగ్స్ లో 1 వ అత్యధిక పరుగులు (బ్యాటింగ్ స్థానంలో ప్రకారం) (14 *)', '12 వ అరంగేట్రంలోనే ఇన్నింగ్స్ లోని బెస్ట్ ఫిగర్స్ (3)', '26th పిన్న క్రీడాకారులు (13y 272d)']</v>
      </c>
      <c r="I8871" s="3"/>
    </row>
    <row r="8872" customHeight="1" spans="1:9">
      <c r="A8872" s="2"/>
      <c r="B8872" s="2" t="str">
        <f>IFERROR(__xludf.DUMMYFUNCTION("IF(A8872&lt;&gt;"""", GOOGLETRANSLATE(A8872, ""en"", ""te""),"""")"),"")</f>
        <v/>
      </c>
      <c r="C8872" s="2"/>
      <c r="D8872" s="2" t="str">
        <f>IFERROR(__xludf.DUMMYFUNCTION("IF(C8872&lt;&gt;"""", GOOGLETRANSLATE(C8872, ""en"", ""te""),"""")"),"")</f>
        <v/>
      </c>
      <c r="E8872" s="2"/>
      <c r="F8872" s="2" t="str">
        <f>IFERROR(__xludf.DUMMYFUNCTION("IF(E8872&lt;&gt;"""", GOOGLETRANSLATE(E8872, ""en"", ""te""),"""")"),"")</f>
        <v/>
      </c>
      <c r="G8872" s="2"/>
      <c r="H8872" s="2" t="str">
        <f>IFERROR(__xludf.DUMMYFUNCTION("IF(G8872&lt;&gt;"""", GOOGLETRANSLATE(G8872, ""en"", ""te""),"""")"),"")</f>
        <v/>
      </c>
      <c r="I8872" s="3"/>
    </row>
    <row r="8873" customHeight="1" spans="1:9">
      <c r="A8873" s="2"/>
      <c r="B8873" s="2" t="str">
        <f>IFERROR(__xludf.DUMMYFUNCTION("IF(A8873&lt;&gt;"""", GOOGLETRANSLATE(A8873, ""en"", ""te""),"""")"),"")</f>
        <v/>
      </c>
      <c r="C8873" s="2"/>
      <c r="D8873" s="2" t="str">
        <f>IFERROR(__xludf.DUMMYFUNCTION("IF(C8873&lt;&gt;"""", GOOGLETRANSLATE(C8873, ""en"", ""te""),"""")"),"")</f>
        <v/>
      </c>
      <c r="E8873" s="2"/>
      <c r="F8873" s="2" t="str">
        <f>IFERROR(__xludf.DUMMYFUNCTION("IF(E8873&lt;&gt;"""", GOOGLETRANSLATE(E8873, ""en"", ""te""),"""")"),"")</f>
        <v/>
      </c>
      <c r="G8873" s="2"/>
      <c r="H8873" s="2" t="str">
        <f>IFERROR(__xludf.DUMMYFUNCTION("IF(G8873&lt;&gt;"""", GOOGLETRANSLATE(G8873, ""en"", ""te""),"""")"),"")</f>
        <v/>
      </c>
      <c r="I8873" s="3"/>
    </row>
    <row r="8874" customHeight="1" spans="1:9">
      <c r="A8874" s="2" t="s">
        <v>5044</v>
      </c>
      <c r="B8874" s="2" t="str">
        <f>IFERROR(__xludf.DUMMYFUNCTION("IF(A8874&lt;&gt;"""", GOOGLETRANSLATE(A8874, ""en"", ""te""),"""")"),"[ '8 వ అత్యంత వికెట్కీపర్గా (9) ద్వారా ఆకర్షించింది తీసుకోబడిన వికెట్ల']")</f>
        <v>[ '8 వ అత్యంత వికెట్కీపర్గా (9) ద్వారా ఆకర్షించింది తీసుకోబడిన వికెట్ల']</v>
      </c>
      <c r="C8874" s="2"/>
      <c r="D8874" s="2" t="str">
        <f>IFERROR(__xludf.DUMMYFUNCTION("IF(C8874&lt;&gt;"""", GOOGLETRANSLATE(C8874, ""en"", ""te""),"""")"),"")</f>
        <v/>
      </c>
      <c r="E8874" s="2"/>
      <c r="F8874" s="2" t="str">
        <f>IFERROR(__xludf.DUMMYFUNCTION("IF(E8874&lt;&gt;"""", GOOGLETRANSLATE(E8874, ""en"", ""te""),"""")"),"")</f>
        <v/>
      </c>
      <c r="G8874" s="2" t="s">
        <v>5045</v>
      </c>
      <c r="H8874" s="2" t="str">
        <f>IFERROR(__xludf.DUMMYFUNCTION("IF(G8874&lt;&gt;"""", GOOGLETRANSLATE(G8874, ""en"", ""te""),"""")"),"[ '31 ఉత్తమ ఇన్నింగ్స్ లో సమ్మె రేటు (4.5)', '45 వ బౌలర్ / ఫీల్డర్ కలయికలు (6)', '8 వ అత్యధిక వికెట్లు ఆకర్షించింది అత్యధిక వికెట్లు తీసిన (9)', '49 వ కెరీర్ లో అత్యధిక క్యాచ్లు (23)', '15 వ ఇన్నింగ్స్ లో అత్యధిక క్యాచ్లు (3)', 'ఎనిమిదవ వికెట్కు 23 అత్యధి"&amp;"క భాగస్వామ్యం (40 *)']")</f>
        <v>[ '31 ఉత్తమ ఇన్నింగ్స్ లో సమ్మె రేటు (4.5)', '45 వ బౌలర్ / ఫీల్డర్ కలయికలు (6)', '8 వ అత్యధిక వికెట్లు ఆకర్షించింది అత్యధిక వికెట్లు తీసిన (9)', '49 వ కెరీర్ లో అత్యధిక క్యాచ్లు (23)', '15 వ ఇన్నింగ్స్ లో అత్యధిక క్యాచ్లు (3)', 'ఎనిమిదవ వికెట్కు 23 అత్యధిక భాగస్వామ్యం (40 *)']</v>
      </c>
      <c r="I8874" s="3"/>
    </row>
    <row r="8875" customHeight="1" spans="1:9">
      <c r="A8875" s="2"/>
      <c r="B8875" s="2" t="str">
        <f>IFERROR(__xludf.DUMMYFUNCTION("IF(A8875&lt;&gt;"""", GOOGLETRANSLATE(A8875, ""en"", ""te""),"""")"),"")</f>
        <v/>
      </c>
      <c r="C8875" s="2"/>
      <c r="D8875" s="2" t="str">
        <f>IFERROR(__xludf.DUMMYFUNCTION("IF(C8875&lt;&gt;"""", GOOGLETRANSLATE(C8875, ""en"", ""te""),"""")"),"")</f>
        <v/>
      </c>
      <c r="E8875" s="2"/>
      <c r="F8875" s="2" t="str">
        <f>IFERROR(__xludf.DUMMYFUNCTION("IF(E8875&lt;&gt;"""", GOOGLETRANSLATE(E8875, ""en"", ""te""),"""")"),"")</f>
        <v/>
      </c>
      <c r="G8875" s="2" t="s">
        <v>5046</v>
      </c>
      <c r="H8875" s="2" t="str">
        <f>IFERROR(__xludf.DUMMYFUNCTION("IF(G8875&lt;&gt;"""", GOOGLETRANSLATE(G8875, ""en"", ""te""),"""")"),"[ 'కెరీర్లో 32 వ బాతులు నో (18)']")</f>
        <v>[ 'కెరీర్లో 32 వ బాతులు నో (18)']</v>
      </c>
      <c r="I8875" s="3"/>
    </row>
    <row r="8876" customHeight="1" spans="1:9">
      <c r="A8876" s="2"/>
      <c r="B8876" s="2" t="str">
        <f>IFERROR(__xludf.DUMMYFUNCTION("IF(A8876&lt;&gt;"""", GOOGLETRANSLATE(A8876, ""en"", ""te""),"""")"),"")</f>
        <v/>
      </c>
      <c r="C8876" s="2"/>
      <c r="D8876" s="2" t="str">
        <f>IFERROR(__xludf.DUMMYFUNCTION("IF(C8876&lt;&gt;"""", GOOGLETRANSLATE(C8876, ""en"", ""te""),"""")"),"")</f>
        <v/>
      </c>
      <c r="E8876" s="2"/>
      <c r="F8876" s="2" t="str">
        <f>IFERROR(__xludf.DUMMYFUNCTION("IF(E8876&lt;&gt;"""", GOOGLETRANSLATE(E8876, ""en"", ""te""),"""")"),"")</f>
        <v/>
      </c>
      <c r="G8876" s="2"/>
      <c r="H8876" s="2" t="str">
        <f>IFERROR(__xludf.DUMMYFUNCTION("IF(G8876&lt;&gt;"""", GOOGLETRANSLATE(G8876, ""en"", ""te""),"""")"),"")</f>
        <v/>
      </c>
      <c r="I8876" s="3"/>
    </row>
    <row r="8877" customHeight="1" spans="1:9">
      <c r="A8877" s="2"/>
      <c r="B8877" s="2" t="str">
        <f>IFERROR(__xludf.DUMMYFUNCTION("IF(A8877&lt;&gt;"""", GOOGLETRANSLATE(A8877, ""en"", ""te""),"""")"),"")</f>
        <v/>
      </c>
      <c r="C8877" s="2"/>
      <c r="D8877" s="2" t="str">
        <f>IFERROR(__xludf.DUMMYFUNCTION("IF(C8877&lt;&gt;"""", GOOGLETRANSLATE(C8877, ""en"", ""te""),"""")"),"")</f>
        <v/>
      </c>
      <c r="E8877" s="2" t="s">
        <v>5047</v>
      </c>
      <c r="F8877" s="2" t="str">
        <f>IFERROR(__xludf.DUMMYFUNCTION("IF(E8877&lt;&gt;"""", GOOGLETRANSLATE(E8877, ""en"", ""te""),"""")"),"[ '31 అత్యంత వృద్ధ ఆటగాడు తొలి తీసుకుని ఐదు-వికెట్ల లో-ఒక-ఇన్నింగ్స్ (31y 98d)']")</f>
        <v>[ '31 అత్యంత వృద్ధ ఆటగాడు తొలి తీసుకుని ఐదు-వికెట్ల లో-ఒక-ఇన్నింగ్స్ (31y 98d)']</v>
      </c>
      <c r="G8877" s="2"/>
      <c r="H8877" s="2" t="str">
        <f>IFERROR(__xludf.DUMMYFUNCTION("IF(G8877&lt;&gt;"""", GOOGLETRANSLATE(G8877, ""en"", ""te""),"""")"),"")</f>
        <v/>
      </c>
      <c r="I8877" s="3"/>
    </row>
    <row r="8878" customHeight="1" spans="1:9">
      <c r="A8878" s="2"/>
      <c r="B8878" s="2" t="str">
        <f>IFERROR(__xludf.DUMMYFUNCTION("IF(A8878&lt;&gt;"""", GOOGLETRANSLATE(A8878, ""en"", ""te""),"""")"),"")</f>
        <v/>
      </c>
      <c r="C8878" s="2"/>
      <c r="D8878" s="2" t="str">
        <f>IFERROR(__xludf.DUMMYFUNCTION("IF(C8878&lt;&gt;"""", GOOGLETRANSLATE(C8878, ""en"", ""te""),"""")"),"")</f>
        <v/>
      </c>
      <c r="E8878" s="2" t="s">
        <v>5048</v>
      </c>
      <c r="F8878" s="2" t="str">
        <f>IFERROR(__xludf.DUMMYFUNCTION("IF(E8878&lt;&gt;"""", GOOGLETRANSLATE(E8878, ""en"", ""te""),"""")"),"[ '31 అత్యధిక వికెట్లు ఆకర్షించింది తీసుకున్న మరియు బౌల్డ్ (5)']")</f>
        <v>[ '31 అత్యధిక వికెట్లు ఆకర్షించింది తీసుకున్న మరియు బౌల్డ్ (5)']</v>
      </c>
      <c r="G8878" s="2"/>
      <c r="H8878" s="2" t="str">
        <f>IFERROR(__xludf.DUMMYFUNCTION("IF(G8878&lt;&gt;"""", GOOGLETRANSLATE(G8878, ""en"", ""te""),"""")"),"")</f>
        <v/>
      </c>
      <c r="I8878" s="3"/>
    </row>
    <row r="8879" customHeight="1" spans="1:9">
      <c r="A8879" s="2" t="s">
        <v>5049</v>
      </c>
      <c r="B8879" s="2" t="str">
        <f>IFERROR(__xludf.DUMMYFUNCTION("IF(A8879&lt;&gt;"""", GOOGLETRANSLATE(A8879, ""en"", ""te""),"""")"),"[ 'ఇన్నింగ్స్ లో 5 వ అత్యధిక వికెట్లు (4)', 'వికెట్ను కాపాడుకున్నాడు చేసిన 5 వ కెప్టెన్ల (19)', 'కెరీర్ లో 7 వ అత్యధిక క్యాచ్లు (29)', 'తొమ్మిదవ వికెట్కు 4 వ అత్యధిక భాగస్వామ్యం (47 *)']")</f>
        <v>[ 'ఇన్నింగ్స్ లో 5 వ అత్యధిక వికెట్లు (4)', 'వికెట్ను కాపాడుకున్నాడు చేసిన 5 వ కెప్టెన్ల (19)', 'కెరీర్ లో 7 వ అత్యధిక క్యాచ్లు (29)', 'తొమ్మిదవ వికెట్కు 4 వ అత్యధిక భాగస్వామ్యం (47 *)']</v>
      </c>
      <c r="C8879" s="2"/>
      <c r="D8879" s="2" t="str">
        <f>IFERROR(__xludf.DUMMYFUNCTION("IF(C8879&lt;&gt;"""", GOOGLETRANSLATE(C8879, ""en"", ""te""),"""")"),"")</f>
        <v/>
      </c>
      <c r="E8879" s="2" t="s">
        <v>5050</v>
      </c>
      <c r="F8879" s="2" t="str">
        <f>IFERROR(__xludf.DUMMYFUNCTION("IF(E8879&lt;&gt;"""", GOOGLETRANSLATE(E8879, ""en"", ""te""),"""")"),"[ '46 వ కెరీర్ లో అత్యధిక వికెట్లు (59)', '47 వ కెరీర్ లో అత్యధిక క్యాచ్లు (49)', '37 వ కెరీర్ (10) అత్యంత స్టంపింగ్లు']")</f>
        <v>[ '46 వ కెరీర్ లో అత్యధిక వికెట్లు (59)', '47 వ కెరీర్ లో అత్యధిక క్యాచ్లు (49)', '37 వ కెరీర్ (10) అత్యంత స్టంపింగ్లు']</v>
      </c>
      <c r="G8879" s="2" t="s">
        <v>5051</v>
      </c>
      <c r="H8879" s="2" t="str">
        <f>IFERROR(__xludf.DUMMYFUNCTION("IF(G8879&lt;&gt;"""", GOOGLETRANSLATE(G8879, ""en"", ""te""),"""")"),"[ 'ఒక డక్ లేకుండా 45 వ వరుస ఇన్నింగ్స్ (32 *)' '49 వ అత్యధిక కెరీర్ లో పరుగులు (1268)', '35 వ ఇన్నింగ్స్ లో అత్యధిక పరుగులు (బ్యాటింగ్ స్థానంలో ప్రకారం) (65 *)', 'కెరీర్లో 37 వ అతి తక్కువ బాతులు (17) ',' తొమ్మిదవ వికెట్ (47 *) 4 వ అత్యధిక భాగస్వామ్యం ',' "&amp;"17 వ కెరీర్ లో అత్యధిక మ్యాచ్లు (81) ',' 48 వ లాంగెస్ట్ కెరీర్లు (11y 170d) ',' 25 వ అత్యధిక మ్యాచ్లు కెప్టెన్గా (26) ' 'వికెట్ను కాపాడుకున్నాడు చేసిన 5 వ కెప్టెన్ల (19)', '23 (4) వరుస అన్ని టాస్ గెలిచి', '10 వ అత్యధిక వికెట్లు కెరీర్లో (36)', 'ఇన్నింగ్స్"&amp;" లో 5 వ అత్యధిక వికెట్లు (4)', ' కెరీర్లో 7 వ అత్యధిక క్యాచ్లు (29) ',' 13 వ ఇన్నింగ్స్ లో అత్యధిక క్యాచ్లు (3) ',' 14 వ కెరీర్ లో (7) ',' 20 వ అత్యంత ఇన్నింగ్స్ లో సాధించిన బైస్ చాలా స్టంపింగ్లు (6) ']")</f>
        <v>[ 'ఒక డక్ లేకుండా 45 వ వరుస ఇన్నింగ్స్ (32 *)' '49 వ అత్యధిక కెరీర్ లో పరుగులు (1268)', '35 వ ఇన్నింగ్స్ లో అత్యధిక పరుగులు (బ్యాటింగ్ స్థానంలో ప్రకారం) (65 *)', 'కెరీర్లో 37 వ అతి తక్కువ బాతులు (17) ',' తొమ్మిదవ వికెట్ (47 *) 4 వ అత్యధిక భాగస్వామ్యం ',' 17 వ కెరీర్ లో అత్యధిక మ్యాచ్లు (81) ',' 48 వ లాంగెస్ట్ కెరీర్లు (11y 170d) ',' 25 వ అత్యధిక మ్యాచ్లు కెప్టెన్గా (26) ' 'వికెట్ను కాపాడుకున్నాడు చేసిన 5 వ కెప్టెన్ల (19)', '23 (4) వరుస అన్ని టాస్ గెలిచి', '10 వ అత్యధిక వికెట్లు కెరీర్లో (36)', 'ఇన్నింగ్స్ లో 5 వ అత్యధిక వికెట్లు (4)', ' కెరీర్లో 7 వ అత్యధిక క్యాచ్లు (29) ',' 13 వ ఇన్నింగ్స్ లో అత్యధిక క్యాచ్లు (3) ',' 14 వ కెరీర్ లో (7) ',' 20 వ అత్యంత ఇన్నింగ్స్ లో సాధించిన బైస్ చాలా స్టంపింగ్లు (6) ']</v>
      </c>
      <c r="I8879" s="3"/>
    </row>
    <row r="8880" customHeight="1" spans="1:9">
      <c r="A8880" s="2"/>
      <c r="B8880" s="2" t="str">
        <f>IFERROR(__xludf.DUMMYFUNCTION("IF(A8880&lt;&gt;"""", GOOGLETRANSLATE(A8880, ""en"", ""te""),"""")"),"")</f>
        <v/>
      </c>
      <c r="C8880" s="2"/>
      <c r="D8880" s="2" t="str">
        <f>IFERROR(__xludf.DUMMYFUNCTION("IF(C8880&lt;&gt;"""", GOOGLETRANSLATE(C8880, ""en"", ""te""),"""")"),"")</f>
        <v/>
      </c>
      <c r="E8880" s="2" t="s">
        <v>5052</v>
      </c>
      <c r="F8880" s="2" t="str">
        <f>IFERROR(__xludf.DUMMYFUNCTION("IF(E8880&lt;&gt;"""", GOOGLETRANSLATE(E8880, ""en"", ""te""),"""")"),"[ 'సగటు (38.61) బౌలింగ్ 15 చెత్త జీవితం' '20 వ చెత్త కెరీర్లో సమ్మె రేటు (59.5)', 'తొమ్మిదవ వికెట్కు 30 వ అత్యధిక భాగస్వామ్యం (37)']")</f>
        <v>[ 'సగటు (38.61) బౌలింగ్ 15 చెత్త జీవితం' '20 వ చెత్త కెరీర్లో సమ్మె రేటు (59.5)', 'తొమ్మిదవ వికెట్కు 30 వ అత్యధిక భాగస్వామ్యం (37)']</v>
      </c>
      <c r="G8880" s="2" t="s">
        <v>5053</v>
      </c>
      <c r="H8880" s="2" t="str">
        <f>IFERROR(__xludf.DUMMYFUNCTION("IF(G8880&lt;&gt;"""", GOOGLETRANSLATE(G8880, ""en"", ""te""),"""")"),"[ '21 వ ఉత్తమ కెప్టెన్ (3) ఒక ఇన్నింగ్స్ లో బొమ్మల' 32 వ ఉత్తమ కెరీర్ బౌలింగ్ సరాసరి (అర్హత లేకుండా) (6,66) ',' కెప్టెన్సీ ప్రవేశం (31y 229d) 30 వ ఓల్డెస్ట్ కెప్టెన్లు ']")</f>
        <v>[ '21 వ ఉత్తమ కెప్టెన్ (3) ఒక ఇన్నింగ్స్ లో బొమ్మల' 32 వ ఉత్తమ కెరీర్ బౌలింగ్ సరాసరి (అర్హత లేకుండా) (6,66) ',' కెప్టెన్సీ ప్రవేశం (31y 229d) 30 వ ఓల్డెస్ట్ కెప్టెన్లు ']</v>
      </c>
      <c r="I8880" s="3"/>
    </row>
    <row r="8881" customHeight="1" spans="1:9">
      <c r="A8881" s="2" t="s">
        <v>694</v>
      </c>
      <c r="B8881" s="2" t="str">
        <f>IFERROR(__xludf.DUMMYFUNCTION("IF(A8881&lt;&gt;"""", GOOGLETRANSLATE(A8881, ""en"", ""te""),"""")"),"[ '1st అత్యుత్తమ ఇన్నింగ్స్ (1/0) విశ్లేషణలలో బౌలింగ్']")</f>
        <v>[ '1st అత్యుత్తమ ఇన్నింగ్స్ (1/0) విశ్లేషణలలో బౌలింగ్']</v>
      </c>
      <c r="C8881" s="2"/>
      <c r="D8881" s="2" t="str">
        <f>IFERROR(__xludf.DUMMYFUNCTION("IF(C8881&lt;&gt;"""", GOOGLETRANSLATE(C8881, ""en"", ""te""),"""")"),"")</f>
        <v/>
      </c>
      <c r="E8881" s="2" t="s">
        <v>694</v>
      </c>
      <c r="F8881" s="2" t="str">
        <f>IFERROR(__xludf.DUMMYFUNCTION("IF(E8881&lt;&gt;"""", GOOGLETRANSLATE(E8881, ""en"", ""te""),"""")"),"[ '1st అత్యుత్తమ ఇన్నింగ్స్ (1/0) విశ్లేషణలలో బౌలింగ్']")</f>
        <v>[ '1st అత్యుత్తమ ఇన్నింగ్స్ (1/0) విశ్లేషణలలో బౌలింగ్']</v>
      </c>
      <c r="G8881" s="2" t="s">
        <v>5054</v>
      </c>
      <c r="H8881" s="2" t="str">
        <f>IFERROR(__xludf.DUMMYFUNCTION("IF(G8881&lt;&gt;"""", GOOGLETRANSLATE(G8881, ""en"", ""te""),"""")"),"[ '49 వ ఉత్తమ కెరీర్ బౌలింగ్ సరాసరి (అర్హత లేకుండా) (9.00)']")</f>
        <v>[ '49 వ ఉత్తమ కెరీర్ బౌలింగ్ సరాసరి (అర్హత లేకుండా) (9.00)']</v>
      </c>
      <c r="I8881" s="3"/>
    </row>
    <row r="8882" customHeight="1" spans="1:9">
      <c r="A8882" s="2"/>
      <c r="B8882" s="2" t="str">
        <f>IFERROR(__xludf.DUMMYFUNCTION("IF(A8882&lt;&gt;"""", GOOGLETRANSLATE(A8882, ""en"", ""te""),"""")"),"")</f>
        <v/>
      </c>
      <c r="C8882" s="2"/>
      <c r="D8882" s="2" t="str">
        <f>IFERROR(__xludf.DUMMYFUNCTION("IF(C8882&lt;&gt;"""", GOOGLETRANSLATE(C8882, ""en"", ""te""),"""")"),"")</f>
        <v/>
      </c>
      <c r="E8882" s="2"/>
      <c r="F8882" s="2" t="str">
        <f>IFERROR(__xludf.DUMMYFUNCTION("IF(E8882&lt;&gt;"""", GOOGLETRANSLATE(E8882, ""en"", ""te""),"""")"),"")</f>
        <v/>
      </c>
      <c r="G8882" s="2"/>
      <c r="H8882" s="2" t="str">
        <f>IFERROR(__xludf.DUMMYFUNCTION("IF(G8882&lt;&gt;"""", GOOGLETRANSLATE(G8882, ""en"", ""te""),"""")"),"")</f>
        <v/>
      </c>
      <c r="I8882" s="3"/>
    </row>
    <row r="8883" customHeight="1" spans="1:9">
      <c r="A8883" s="2"/>
      <c r="B8883" s="2" t="str">
        <f>IFERROR(__xludf.DUMMYFUNCTION("IF(A8883&lt;&gt;"""", GOOGLETRANSLATE(A8883, ""en"", ""te""),"""")"),"")</f>
        <v/>
      </c>
      <c r="C8883" s="2"/>
      <c r="D8883" s="2" t="str">
        <f>IFERROR(__xludf.DUMMYFUNCTION("IF(C8883&lt;&gt;"""", GOOGLETRANSLATE(C8883, ""en"", ""te""),"""")"),"")</f>
        <v/>
      </c>
      <c r="E8883" s="2"/>
      <c r="F8883" s="2" t="str">
        <f>IFERROR(__xludf.DUMMYFUNCTION("IF(E8883&lt;&gt;"""", GOOGLETRANSLATE(E8883, ""en"", ""te""),"""")"),"")</f>
        <v/>
      </c>
      <c r="G8883" s="2"/>
      <c r="H8883" s="2" t="str">
        <f>IFERROR(__xludf.DUMMYFUNCTION("IF(G8883&lt;&gt;"""", GOOGLETRANSLATE(G8883, ""en"", ""te""),"""")"),"")</f>
        <v/>
      </c>
      <c r="I8883" s="3"/>
    </row>
    <row r="8884" customHeight="1" spans="1:9">
      <c r="A8884" s="2" t="s">
        <v>4279</v>
      </c>
      <c r="B8884" s="2" t="str">
        <f>IFERROR(__xludf.DUMMYFUNCTION("IF(A8884&lt;&gt;"""", GOOGLETRANSLATE(A8884, ""en"", ""te""),"""")"),"[ 'తొలి ఇన్నింగ్స్లో 3 వ ఉత్తమ బొమ్మలు (5)']")</f>
        <v>[ 'తొలి ఇన్నింగ్స్లో 3 వ ఉత్తమ బొమ్మలు (5)']</v>
      </c>
      <c r="C8884" s="2"/>
      <c r="D8884" s="2" t="str">
        <f>IFERROR(__xludf.DUMMYFUNCTION("IF(C8884&lt;&gt;"""", GOOGLETRANSLATE(C8884, ""en"", ""te""),"""")"),"")</f>
        <v/>
      </c>
      <c r="E8884" s="2" t="s">
        <v>5055</v>
      </c>
      <c r="F8884" s="2" t="str">
        <f>IFERROR(__xludf.DUMMYFUNCTION("IF(E8884&lt;&gt;"""", GOOGLETRANSLATE(E8884, ""en"", ""te""),"""")"),"[ '22 వ ఉత్తమ కెరీర్ సమ్మె రేటు (29.5)', '3 వ ప్రవేశం (5) ఒక ఇన్నింగ్స్ లోని బెస్ట్ ఫిగర్స్']")</f>
        <v>[ '22 వ ఉత్తమ కెరీర్ సమ్మె రేటు (29.5)', '3 వ ప్రవేశం (5) ఒక ఇన్నింగ్స్ లోని బెస్ట్ ఫిగర్స్']</v>
      </c>
      <c r="G8884" s="2" t="s">
        <v>5056</v>
      </c>
      <c r="H8884" s="2" t="str">
        <f>IFERROR(__xludf.DUMMYFUNCTION("IF(G8884&lt;&gt;"""", GOOGLETRANSLATE(G8884, ""en"", ""te""),"""")"),"[ '31 చెత్త కెరీర్లో ఆర్థిక రేటు (8.15)', '43 వ అత్యధిక పరుగులు ఇన్నింగ్స్ లో సాధించిన (56)']")</f>
        <v>[ '31 చెత్త కెరీర్లో ఆర్థిక రేటు (8.15)', '43 వ అత్యధిక పరుగులు ఇన్నింగ్స్ లో సాధించిన (56)']</v>
      </c>
      <c r="I8884" s="3"/>
    </row>
    <row r="8885" customHeight="1" spans="1:9">
      <c r="A8885" s="2"/>
      <c r="B8885" s="2" t="str">
        <f>IFERROR(__xludf.DUMMYFUNCTION("IF(A8885&lt;&gt;"""", GOOGLETRANSLATE(A8885, ""en"", ""te""),"""")"),"")</f>
        <v/>
      </c>
      <c r="C8885" s="2" t="s">
        <v>5057</v>
      </c>
      <c r="D8885" s="2" t="str">
        <f>IFERROR(__xludf.DUMMYFUNCTION("IF(C8885&lt;&gt;"""", GOOGLETRANSLATE(C8885, ""en"", ""te""),"""")"),"[ 'రెండో వికెట్కు (112) 19 వ అత్యధిక భాగస్వామ్యం']")</f>
        <v>[ 'రెండో వికెట్కు (112) 19 వ అత్యధిక భాగస్వామ్యం']</v>
      </c>
      <c r="E8885" s="2" t="s">
        <v>5058</v>
      </c>
      <c r="F8885" s="2" t="str">
        <f>IFERROR(__xludf.DUMMYFUNCTION("IF(E8885&lt;&gt;"""", GOOGLETRANSLATE(E8885, ""en"", ""te""),"""")"),"[ '24 వ అత్యధిక తొలి వంద (120)', 'తొలి వంద (32y 51d) స్కోర్ 18 అత్యంత వృద్ధ ఆటగాడు', '27 వ అత్యంత వృద్ధ ఆటగాడు వంద (51d 32y) స్కోర్']")</f>
        <v>[ '24 వ అత్యధిక తొలి వంద (120)', 'తొలి వంద (32y 51d) స్కోర్ 18 అత్యంత వృద్ధ ఆటగాడు', '27 వ అత్యంత వృద్ధ ఆటగాడు వంద (51d 32y) స్కోర్']</v>
      </c>
      <c r="G8885" s="2"/>
      <c r="H8885" s="2" t="str">
        <f>IFERROR(__xludf.DUMMYFUNCTION("IF(G8885&lt;&gt;"""", GOOGLETRANSLATE(G8885, ""en"", ""te""),"""")"),"")</f>
        <v/>
      </c>
      <c r="I8885" s="3"/>
    </row>
    <row r="8886" customHeight="1" spans="1:9">
      <c r="A8886" s="2"/>
      <c r="B8886" s="2" t="str">
        <f>IFERROR(__xludf.DUMMYFUNCTION("IF(A8886&lt;&gt;"""", GOOGLETRANSLATE(A8886, ""en"", ""te""),"""")"),"")</f>
        <v/>
      </c>
      <c r="C8886" s="2"/>
      <c r="D8886" s="2" t="str">
        <f>IFERROR(__xludf.DUMMYFUNCTION("IF(C8886&lt;&gt;"""", GOOGLETRANSLATE(C8886, ""en"", ""te""),"""")"),"")</f>
        <v/>
      </c>
      <c r="E8886" s="2"/>
      <c r="F8886" s="2" t="str">
        <f>IFERROR(__xludf.DUMMYFUNCTION("IF(E8886&lt;&gt;"""", GOOGLETRANSLATE(E8886, ""en"", ""te""),"""")"),"")</f>
        <v/>
      </c>
      <c r="G8886" s="2"/>
      <c r="H8886" s="2" t="str">
        <f>IFERROR(__xludf.DUMMYFUNCTION("IF(G8886&lt;&gt;"""", GOOGLETRANSLATE(G8886, ""en"", ""te""),"""")"),"")</f>
        <v/>
      </c>
      <c r="I8886" s="3"/>
    </row>
    <row r="8887" customHeight="1" spans="1:9">
      <c r="A8887" s="2"/>
      <c r="B8887" s="2" t="str">
        <f>IFERROR(__xludf.DUMMYFUNCTION("IF(A8887&lt;&gt;"""", GOOGLETRANSLATE(A8887, ""en"", ""te""),"""")"),"")</f>
        <v/>
      </c>
      <c r="C8887" s="2"/>
      <c r="D8887" s="2" t="str">
        <f>IFERROR(__xludf.DUMMYFUNCTION("IF(C8887&lt;&gt;"""", GOOGLETRANSLATE(C8887, ""en"", ""te""),"""")"),"")</f>
        <v/>
      </c>
      <c r="E8887" s="2"/>
      <c r="F8887" s="2" t="str">
        <f>IFERROR(__xludf.DUMMYFUNCTION("IF(E8887&lt;&gt;"""", GOOGLETRANSLATE(E8887, ""en"", ""te""),"""")"),"")</f>
        <v/>
      </c>
      <c r="G8887" s="2"/>
      <c r="H8887" s="2" t="str">
        <f>IFERROR(__xludf.DUMMYFUNCTION("IF(G8887&lt;&gt;"""", GOOGLETRANSLATE(G8887, ""en"", ""te""),"""")"),"")</f>
        <v/>
      </c>
      <c r="I8887" s="3"/>
    </row>
    <row r="8888" customHeight="1" spans="1:9">
      <c r="A8888" s="2"/>
      <c r="B8888" s="2" t="str">
        <f>IFERROR(__xludf.DUMMYFUNCTION("IF(A8888&lt;&gt;"""", GOOGLETRANSLATE(A8888, ""en"", ""te""),"""")"),"")</f>
        <v/>
      </c>
      <c r="C8888" s="2"/>
      <c r="D8888" s="2" t="str">
        <f>IFERROR(__xludf.DUMMYFUNCTION("IF(C8888&lt;&gt;"""", GOOGLETRANSLATE(C8888, ""en"", ""te""),"""")"),"")</f>
        <v/>
      </c>
      <c r="E8888" s="2" t="s">
        <v>5059</v>
      </c>
      <c r="F8888" s="2" t="str">
        <f>IFERROR(__xludf.DUMMYFUNCTION("IF(E8888&lt;&gt;"""", GOOGLETRANSLATE(E8888, ""en"", ""te""),"""")"),"['21 వ షార్టేస్ట్ క్రీడాకారులు నివసించారు (42y 37d) ']")</f>
        <v>['21 వ షార్టేస్ట్ క్రీడాకారులు నివసించారు (42y 37d) ']</v>
      </c>
      <c r="G8888" s="2"/>
      <c r="H8888" s="2" t="str">
        <f>IFERROR(__xludf.DUMMYFUNCTION("IF(G8888&lt;&gt;"""", GOOGLETRANSLATE(G8888, ""en"", ""te""),"""")"),"")</f>
        <v/>
      </c>
      <c r="I8888" s="3"/>
    </row>
    <row r="8889" customHeight="1" spans="1:9">
      <c r="A8889" s="2" t="s">
        <v>5060</v>
      </c>
      <c r="B8889" s="2" t="str">
        <f>IFERROR(__xludf.DUMMYFUNCTION("IF(A8889&lt;&gt;"""", GOOGLETRANSLATE(A8889, ""en"", ""te""),"""")"),"[ '2nd పిన్న కాప్టెన్ (20y 273d)', 'బ్యాటింగ్ తెరవడం మరియు అదే మ్యాచ్ లో బౌలింగ్']")</f>
        <v>[ '2nd పిన్న కాప్టెన్ (20y 273d)', 'బ్యాటింగ్ తెరవడం మరియు అదే మ్యాచ్ లో బౌలింగ్']</v>
      </c>
      <c r="C8889" s="2"/>
      <c r="D8889" s="2" t="str">
        <f>IFERROR(__xludf.DUMMYFUNCTION("IF(C8889&lt;&gt;"""", GOOGLETRANSLATE(C8889, ""en"", ""te""),"""")"),"")</f>
        <v/>
      </c>
      <c r="E8889" s="2" t="s">
        <v>5061</v>
      </c>
      <c r="F8889" s="2" t="str">
        <f>IFERROR(__xludf.DUMMYFUNCTION("IF(E8889&lt;&gt;"""", GOOGLETRANSLATE(E8889, ""en"", ""te""),"""")"),"[ '2nd పిన్న కాప్టెన్ (20y 273d)']")</f>
        <v>[ '2nd పిన్న కాప్టెన్ (20y 273d)']</v>
      </c>
      <c r="G8889" s="2"/>
      <c r="H8889" s="2" t="str">
        <f>IFERROR(__xludf.DUMMYFUNCTION("IF(G8889&lt;&gt;"""", GOOGLETRANSLATE(G8889, ""en"", ""te""),"""")"),"")</f>
        <v/>
      </c>
      <c r="I8889" s="3"/>
    </row>
    <row r="8890" customHeight="1" spans="1:9">
      <c r="A8890" s="2"/>
      <c r="B8890" s="2" t="str">
        <f>IFERROR(__xludf.DUMMYFUNCTION("IF(A8890&lt;&gt;"""", GOOGLETRANSLATE(A8890, ""en"", ""te""),"""")"),"")</f>
        <v/>
      </c>
      <c r="C8890" s="2"/>
      <c r="D8890" s="2" t="str">
        <f>IFERROR(__xludf.DUMMYFUNCTION("IF(C8890&lt;&gt;"""", GOOGLETRANSLATE(C8890, ""en"", ""te""),"""")"),"")</f>
        <v/>
      </c>
      <c r="E8890" s="2"/>
      <c r="F8890" s="2" t="str">
        <f>IFERROR(__xludf.DUMMYFUNCTION("IF(E8890&lt;&gt;"""", GOOGLETRANSLATE(E8890, ""en"", ""te""),"""")"),"")</f>
        <v/>
      </c>
      <c r="G8890" s="2" t="s">
        <v>5062</v>
      </c>
      <c r="H8890" s="2" t="str">
        <f>IFERROR(__xludf.DUMMYFUNCTION("IF(G8890&lt;&gt;"""", GOOGLETRANSLATE(G8890, ""en"", ""te""),"""")"),"[ '16 వ ఉత్తమ కెరీర్ బౌలింగ్ సరాసరి (అర్హత లేకుండా) (6.00)']")</f>
        <v>[ '16 వ ఉత్తమ కెరీర్ బౌలింగ్ సరాసరి (అర్హత లేకుండా) (6.00)']</v>
      </c>
      <c r="I8890" s="3"/>
    </row>
    <row r="8891" customHeight="1" spans="1:9">
      <c r="A8891" s="2" t="s">
        <v>5063</v>
      </c>
      <c r="B8891" s="2" t="str">
        <f>IFERROR(__xludf.DUMMYFUNCTION("IF(A8891&lt;&gt;"""", GOOGLETRANSLATE(A8891, ""en"", ""te""),"""")"),"[ 'ఇన్నింగ్స్ లో 1 వ అత్యధిక వికెట్లు (5)', '3 వ పిన్న కాప్టెన్ (19y 212d)', '1 వ ఇన్నింగ్స్ లో వచ్చిన ఎక్కువ స్టంపింగ్లు (4)', '6 వ అత్యధిక కెరీర్ బ్యాటింగ్ సగటు (32.05)']")</f>
        <v>[ 'ఇన్నింగ్స్ లో 1 వ అత్యధిక వికెట్లు (5)', '3 వ పిన్న కాప్టెన్ (19y 212d)', '1 వ ఇన్నింగ్స్ లో వచ్చిన ఎక్కువ స్టంపింగ్లు (4)', '6 వ అత్యధిక కెరీర్ బ్యాటింగ్ సగటు (32.05)']</v>
      </c>
      <c r="C8891" s="2"/>
      <c r="D8891" s="2" t="str">
        <f>IFERROR(__xludf.DUMMYFUNCTION("IF(C8891&lt;&gt;"""", GOOGLETRANSLATE(C8891, ""en"", ""te""),"""")"),"")</f>
        <v/>
      </c>
      <c r="E8891" s="2"/>
      <c r="F8891" s="2" t="str">
        <f>IFERROR(__xludf.DUMMYFUNCTION("IF(E8891&lt;&gt;"""", GOOGLETRANSLATE(E8891, ""en"", ""te""),"""")"),"")</f>
        <v/>
      </c>
      <c r="G8891" s="2" t="s">
        <v>5064</v>
      </c>
      <c r="H8891" s="2" t="str">
        <f>IFERROR(__xludf.DUMMYFUNCTION("IF(G8891&lt;&gt;"""", GOOGLETRANSLATE(G8891, ""en"", ""te""),"""")"),"[ '48 వ ఒక క్యాలెండర్ సంవత్సరంలో అత్యధిక పరుగులు (349)', 'అత్యధిక వికెట్లు ఇన్నింగ్స్ లో 18 వ అత్యధిక పరుగులు (65)', '6 వ అత్యధిక కెరీర్ బ్యాటింగ్ సగటు (32.05)', 'ఏ వికెట్కు 44 వ అత్యధిక భాగస్వామ్యాల (119) ',' మొదటి వికెట్కు 39 వ అత్యధిక భాగస్వామ్యం (102 "&amp;"*) ',' రెండవ వికెట్కు 11 వ అత్యధిక భాగస్వామ్యం (119) ఐదో వికెట్కు ',' 49 వ అత్యధిక భాగస్వామ్యం (50) ',' 3 వ పిన్న కాప్టెన్ (19y 212d) ',' వికెట్ను కాపాడుకున్నాడు చేసిన 8 వ కెప్టెన్ల (6) ',' వికెట్ను కాపాడుకున్నాడు మరియు బ్యాటింగ్ తెరిచారు ఎవరు 12 వ కెప్టె"&amp;"న్ల (6) ',' 13 వ కెరీర్ లో అత్యధిక వికెట్లు (37) ',' 1 వ ఇన్నింగ్స్ లో అత్యధిక వికెట్లు (5 ) ',' 11 వ కెరీర్ లో అత్యధిక క్యాచ్లు (16) ',' 12 వ కెరీర్ స్టంపింగ్లు (21) ',' 1 వ అత్యంత ఇన్నింగ్స్ లో స్టంపింగ్లు (4) ']")</f>
        <v>[ '48 వ ఒక క్యాలెండర్ సంవత్సరంలో అత్యధిక పరుగులు (349)', 'అత్యధిక వికెట్లు ఇన్నింగ్స్ లో 18 వ అత్యధిక పరుగులు (65)', '6 వ అత్యధిక కెరీర్ బ్యాటింగ్ సగటు (32.05)', 'ఏ వికెట్కు 44 వ అత్యధిక భాగస్వామ్యాల (119) ',' మొదటి వికెట్కు 39 వ అత్యధిక భాగస్వామ్యం (102 *) ',' రెండవ వికెట్కు 11 వ అత్యధిక భాగస్వామ్యం (119) ఐదో వికెట్కు ',' 49 వ అత్యధిక భాగస్వామ్యం (50) ',' 3 వ పిన్న కాప్టెన్ (19y 212d) ',' వికెట్ను కాపాడుకున్నాడు చేసిన 8 వ కెప్టెన్ల (6) ',' వికెట్ను కాపాడుకున్నాడు మరియు బ్యాటింగ్ తెరిచారు ఎవరు 12 వ కెప్టెన్ల (6) ',' 13 వ కెరీర్ లో అత్యధిక వికెట్లు (37) ',' 1 వ ఇన్నింగ్స్ లో అత్యధిక వికెట్లు (5 ) ',' 11 వ కెరీర్ లో అత్యధిక క్యాచ్లు (16) ',' 12 వ కెరీర్ స్టంపింగ్లు (21) ',' 1 వ అత్యంత ఇన్నింగ్స్ లో స్టంపింగ్లు (4) ']</v>
      </c>
      <c r="I8891" s="3"/>
    </row>
    <row r="8892" customHeight="1" spans="1:9">
      <c r="A8892" s="2"/>
      <c r="B8892" s="2" t="str">
        <f>IFERROR(__xludf.DUMMYFUNCTION("IF(A8892&lt;&gt;"""", GOOGLETRANSLATE(A8892, ""en"", ""te""),"""")"),"")</f>
        <v/>
      </c>
      <c r="C8892" s="2"/>
      <c r="D8892" s="2" t="str">
        <f>IFERROR(__xludf.DUMMYFUNCTION("IF(C8892&lt;&gt;"""", GOOGLETRANSLATE(C8892, ""en"", ""te""),"""")"),"")</f>
        <v/>
      </c>
      <c r="E8892" s="2"/>
      <c r="F8892" s="2" t="str">
        <f>IFERROR(__xludf.DUMMYFUNCTION("IF(E8892&lt;&gt;"""", GOOGLETRANSLATE(E8892, ""en"", ""te""),"""")"),"")</f>
        <v/>
      </c>
      <c r="G8892" s="2"/>
      <c r="H8892" s="2" t="str">
        <f>IFERROR(__xludf.DUMMYFUNCTION("IF(G8892&lt;&gt;"""", GOOGLETRANSLATE(G8892, ""en"", ""te""),"""")"),"")</f>
        <v/>
      </c>
      <c r="I8892" s="3"/>
    </row>
    <row r="8893" customHeight="1" spans="1:9">
      <c r="A8893" s="2"/>
      <c r="B8893" s="2" t="str">
        <f>IFERROR(__xludf.DUMMYFUNCTION("IF(A8893&lt;&gt;"""", GOOGLETRANSLATE(A8893, ""en"", ""te""),"""")"),"")</f>
        <v/>
      </c>
      <c r="C8893" s="2"/>
      <c r="D8893" s="2" t="str">
        <f>IFERROR(__xludf.DUMMYFUNCTION("IF(C8893&lt;&gt;"""", GOOGLETRANSLATE(C8893, ""en"", ""te""),"""")"),"")</f>
        <v/>
      </c>
      <c r="E8893" s="2"/>
      <c r="F8893" s="2" t="str">
        <f>IFERROR(__xludf.DUMMYFUNCTION("IF(E8893&lt;&gt;"""", GOOGLETRANSLATE(E8893, ""en"", ""te""),"""")"),"")</f>
        <v/>
      </c>
      <c r="G8893" s="2"/>
      <c r="H8893" s="2" t="str">
        <f>IFERROR(__xludf.DUMMYFUNCTION("IF(G8893&lt;&gt;"""", GOOGLETRANSLATE(G8893, ""en"", ""te""),"""")"),"")</f>
        <v/>
      </c>
      <c r="I8893" s="3"/>
    </row>
    <row r="8894" customHeight="1" spans="1:9">
      <c r="A8894" s="2" t="s">
        <v>5065</v>
      </c>
      <c r="B8894" s="2" t="str">
        <f>IFERROR(__xludf.DUMMYFUNCTION("IF(A8894&lt;&gt;"""", GOOGLETRANSLATE(A8894, ""en"", ""te""),"""")"),"[ 'జట్టు 3 వ వరుస మ్యాచ్లు (57 *)']")</f>
        <v>[ 'జట్టు 3 వ వరుస మ్యాచ్లు (57 *)']</v>
      </c>
      <c r="C8894" s="2"/>
      <c r="D8894" s="2" t="str">
        <f>IFERROR(__xludf.DUMMYFUNCTION("IF(C8894&lt;&gt;"""", GOOGLETRANSLATE(C8894, ""en"", ""te""),"""")"),"")</f>
        <v/>
      </c>
      <c r="E8894" s="2"/>
      <c r="F8894" s="2" t="str">
        <f>IFERROR(__xludf.DUMMYFUNCTION("IF(E8894&lt;&gt;"""", GOOGLETRANSLATE(E8894, ""en"", ""te""),"""")"),"")</f>
        <v/>
      </c>
      <c r="G8894" s="2" t="s">
        <v>5066</v>
      </c>
      <c r="H8894" s="2" t="str">
        <f>IFERROR(__xludf.DUMMYFUNCTION("IF(G8894&lt;&gt;"""", GOOGLETRANSLATE(G8894, ""en"", ""te""),"""")"),"[ 'ఇన్నింగ్స్ లో 35 వ అత్యధిక పరుగులు (బ్యాటింగ్ స్థానంలో ప్రకారం) (76)', 'ఒక కెప్టెన్తో 46 వ ఇన్నింగ్స్ లో అత్యధిక పరుగులు (76)', '13 వ కెరీర్ బాతులు (6)', '44 వ అత్యధిక కెరీర్ లో ఫోర్లు (117) ',' ఒక ఇన్నింగ్స్లో పరుగుల 14 అత్యధిక శాతం (61.72) ఐదో వికెట్"&amp;"కు (67 *) కోసం ',' 48 వ అత్యధిక భాగస్వామ్యం ',' 50 వ కెరీర్ లో అత్యధిక మ్యాచ్లు (61) ',' 3 వ వరుస మ్యాచ్లు ఒక జట్టు (57 *) ']")</f>
        <v>[ 'ఇన్నింగ్స్ లో 35 వ అత్యధిక పరుగులు (బ్యాటింగ్ స్థానంలో ప్రకారం) (76)', 'ఒక కెప్టెన్తో 46 వ ఇన్నింగ్స్ లో అత్యధిక పరుగులు (76)', '13 వ కెరీర్ బాతులు (6)', '44 వ అత్యధిక కెరీర్ లో ఫోర్లు (117) ',' ఒక ఇన్నింగ్స్లో పరుగుల 14 అత్యధిక శాతం (61.72) ఐదో వికెట్కు (67 *) కోసం ',' 48 వ అత్యధిక భాగస్వామ్యం ',' 50 వ కెరీర్ లో అత్యధిక మ్యాచ్లు (61) ',' 3 వ వరుస మ్యాచ్లు ఒక జట్టు (57 *) ']</v>
      </c>
      <c r="I8894" s="3"/>
    </row>
    <row r="8895" customHeight="1" spans="1:9">
      <c r="A8895" s="2"/>
      <c r="B8895" s="2" t="str">
        <f>IFERROR(__xludf.DUMMYFUNCTION("IF(A8895&lt;&gt;"""", GOOGLETRANSLATE(A8895, ""en"", ""te""),"""")"),"")</f>
        <v/>
      </c>
      <c r="C8895" s="2"/>
      <c r="D8895" s="2" t="str">
        <f>IFERROR(__xludf.DUMMYFUNCTION("IF(C8895&lt;&gt;"""", GOOGLETRANSLATE(C8895, ""en"", ""te""),"""")"),"")</f>
        <v/>
      </c>
      <c r="E8895" s="2" t="s">
        <v>5067</v>
      </c>
      <c r="F8895" s="2" t="str">
        <f>IFERROR(__xludf.DUMMYFUNCTION("IF(E8895&lt;&gt;"""", GOOGLETRANSLATE(E8895, ""en"", ""te""),"""")"),"[ 'పదవ వికెట్కు 16 అత్యధిక భాగస్వామ్యం (63)', 'ప్రదర్శనల మధ్య 25 లాంగెస్ట్ వ్యవధిలో (7y 27d)']")</f>
        <v>[ 'పదవ వికెట్కు 16 అత్యధిక భాగస్వామ్యం (63)', 'ప్రదర్శనల మధ్య 25 లాంగెస్ట్ వ్యవధిలో (7y 27d)']</v>
      </c>
      <c r="G8895" s="2"/>
      <c r="H8895" s="2" t="str">
        <f>IFERROR(__xludf.DUMMYFUNCTION("IF(G8895&lt;&gt;"""", GOOGLETRANSLATE(G8895, ""en"", ""te""),"""")"),"")</f>
        <v/>
      </c>
      <c r="I8895" s="3"/>
    </row>
    <row r="8896" customHeight="1" spans="1:9">
      <c r="A8896" s="2" t="s">
        <v>153</v>
      </c>
      <c r="B8896" s="2" t="str">
        <f>IFERROR(__xludf.DUMMYFUNCTION("IF(A8896&lt;&gt;"""", GOOGLETRANSLATE(A8896, ""en"", ""te""),"""")"),"[ 'రెండు దేశాలకు ప్రాతినిధ్యం']")</f>
        <v>[ 'రెండు దేశాలకు ప్రాతినిధ్యం']</v>
      </c>
      <c r="C8896" s="2"/>
      <c r="D8896" s="2" t="str">
        <f>IFERROR(__xludf.DUMMYFUNCTION("IF(C8896&lt;&gt;"""", GOOGLETRANSLATE(C8896, ""en"", ""te""),"""")"),"")</f>
        <v/>
      </c>
      <c r="E8896" s="2" t="s">
        <v>5068</v>
      </c>
      <c r="F8896" s="2" t="str">
        <f>IFERROR(__xludf.DUMMYFUNCTION("IF(E8896&lt;&gt;"""", GOOGLETRANSLATE(E8896, ""en"", ""te""),"""")"),"[ 'ప్రదర్శనల మధ్య 16 వ లాంగెస్ట్ వ్యవధిలో (8y 119d)']")</f>
        <v>[ 'ప్రదర్శనల మధ్య 16 వ లాంగెస్ట్ వ్యవధిలో (8y 119d)']</v>
      </c>
      <c r="G8896" s="2" t="s">
        <v>5069</v>
      </c>
      <c r="H8896" s="2" t="str">
        <f>IFERROR(__xludf.DUMMYFUNCTION("IF(G8896&lt;&gt;"""", GOOGLETRANSLATE(G8896, ""en"", ""te""),"""")"),"[ '10 వ పురాతన దేశం ఆటగాళ్ళు (51y 137d)']")</f>
        <v>[ '10 వ పురాతన దేశం ఆటగాళ్ళు (51y 137d)']</v>
      </c>
      <c r="I8896" s="3"/>
    </row>
    <row r="8897" customHeight="1" spans="1:9">
      <c r="A8897" s="2" t="s">
        <v>5070</v>
      </c>
      <c r="B8897" s="2" t="str">
        <f>IFERROR(__xludf.DUMMYFUNCTION("IF(A8897&lt;&gt;"""", GOOGLETRANSLATE(A8897, ""en"", ""te""),"""")"),"[ '8 వ కెరీర్ లో బాతులు (17)', 'రెండవ వికెట్ (140) కోసం 7 వ అత్యధిక భాగస్వామ్యం']")</f>
        <v>[ '8 వ కెరీర్ లో బాతులు (17)', 'రెండవ వికెట్ (140) కోసం 7 వ అత్యధిక భాగస్వామ్యం']</v>
      </c>
      <c r="C8897" s="2"/>
      <c r="D8897" s="2" t="str">
        <f>IFERROR(__xludf.DUMMYFUNCTION("IF(C8897&lt;&gt;"""", GOOGLETRANSLATE(C8897, ""en"", ""te""),"""")"),"")</f>
        <v/>
      </c>
      <c r="E8897" s="2"/>
      <c r="F8897" s="2" t="str">
        <f>IFERROR(__xludf.DUMMYFUNCTION("IF(E8897&lt;&gt;"""", GOOGLETRANSLATE(E8897, ""en"", ""te""),"""")"),"")</f>
        <v/>
      </c>
      <c r="G8897" s="2" t="s">
        <v>5071</v>
      </c>
      <c r="H8897" s="2" t="str">
        <f>IFERROR(__xludf.DUMMYFUNCTION("IF(G8897&lt;&gt;"""", GOOGLETRANSLATE(G8897, ""en"", ""te""),"""")"),"[ '21 వ ఇన్నింగ్స్ లో అత్యధిక పరుగులు (బ్యాటింగ్ స్థానంలో ప్రకారం) (73 *)', '27 వ ఇన్నింగ్స్ లో అత్యధిక పరుగులు ఒక కెప్టెన్తో (73 *)', '34 వ కెరీర్ అర్ధ (3)', '8 వ లేవు బాతులు ఏ వికెట్కు కెరీర్లో (17) ',' ఇన్నింగ్స్ లో 41 వ ఉత్తమ ఆర్థిక రేటు (0.66) ',' 36"&amp;" వ అత్యధిక వికెట్లు తీసుకున్న ఎల్బిడబ్ల్యు (6) ',' 23 వ ఎత్తైన పార్టనర్ షిప్ (140) ',' రెండవ కోసం 7 వ అత్యధిక భాగస్వామ్యం వికెట్ (140) ',' 25 వ కెప్టెన్గా అత్యధిక మ్యాచ్లు (18) ',' 15 వ పిన్న కాప్టెన్ (20y 232d) ',' 27 వ కెరీర్ (6) అత్యంత పనికత్తెలయొద్ద "&amp;"']")</f>
        <v>[ '21 వ ఇన్నింగ్స్ లో అత్యధిక పరుగులు (బ్యాటింగ్ స్థానంలో ప్రకారం) (73 *)', '27 వ ఇన్నింగ్స్ లో అత్యధిక పరుగులు ఒక కెప్టెన్తో (73 *)', '34 వ కెరీర్ అర్ధ (3)', '8 వ లేవు బాతులు ఏ వికెట్కు కెరీర్లో (17) ',' ఇన్నింగ్స్ లో 41 వ ఉత్తమ ఆర్థిక రేటు (0.66) ',' 36 వ అత్యధిక వికెట్లు తీసుకున్న ఎల్బిడబ్ల్యు (6) ',' 23 వ ఎత్తైన పార్టనర్ షిప్ (140) ',' రెండవ కోసం 7 వ అత్యధిక భాగస్వామ్యం వికెట్ (140) ',' 25 వ కెప్టెన్గా అత్యధిక మ్యాచ్లు (18) ',' 15 వ పిన్న కాప్టెన్ (20y 232d) ',' 27 వ కెరీర్ (6) అత్యంత పనికత్తెలయొద్ద ']</v>
      </c>
      <c r="I8897" s="3"/>
    </row>
    <row r="8898" customHeight="1" spans="1:9">
      <c r="A8898" s="2"/>
      <c r="B8898" s="2" t="str">
        <f>IFERROR(__xludf.DUMMYFUNCTION("IF(A8898&lt;&gt;"""", GOOGLETRANSLATE(A8898, ""en"", ""te""),"""")"),"")</f>
        <v/>
      </c>
      <c r="C8898" s="2"/>
      <c r="D8898" s="2" t="str">
        <f>IFERROR(__xludf.DUMMYFUNCTION("IF(C8898&lt;&gt;"""", GOOGLETRANSLATE(C8898, ""en"", ""te""),"""")"),"")</f>
        <v/>
      </c>
      <c r="E8898" s="2"/>
      <c r="F8898" s="2" t="str">
        <f>IFERROR(__xludf.DUMMYFUNCTION("IF(E8898&lt;&gt;"""", GOOGLETRANSLATE(E8898, ""en"", ""te""),"""")"),"")</f>
        <v/>
      </c>
      <c r="G8898" s="2" t="s">
        <v>5072</v>
      </c>
      <c r="H8898" s="2" t="str">
        <f>IFERROR(__xludf.DUMMYFUNCTION("IF(G8898&lt;&gt;"""", GOOGLETRANSLATE(G8898, ""en"", ""te""),"""")"),"[ '12 వ అత్యుత్తమ ఇన్నింగ్స్ (1/1) విశ్లేషణలలో బౌలింగ్']")</f>
        <v>[ '12 వ అత్యుత్తమ ఇన్నింగ్స్ (1/1) విశ్లేషణలలో బౌలింగ్']</v>
      </c>
      <c r="I8898" s="3"/>
    </row>
    <row r="8899" customHeight="1" spans="1:9">
      <c r="A8899" s="2" t="s">
        <v>5073</v>
      </c>
      <c r="B8899" s="2" t="str">
        <f>IFERROR(__xludf.DUMMYFUNCTION("IF(A8899&lt;&gt;"""", GOOGLETRANSLATE(A8899, ""en"", ""te""),"""")"),"[ '9 వ 2000 వరకు వేగంగా పరుగులు (49)', '2 వ చెత్త కెరీర్ (203.00) (అర్హత లేకుండా) సగటు బౌలింగ్']")</f>
        <v>[ '9 వ 2000 వరకు వేగంగా పరుగులు (49)', '2 వ చెత్త కెరీర్ (203.00) (అర్హత లేకుండా) సగటు బౌలింగ్']</v>
      </c>
      <c r="C8899" s="2"/>
      <c r="D8899" s="2" t="str">
        <f>IFERROR(__xludf.DUMMYFUNCTION("IF(C8899&lt;&gt;"""", GOOGLETRANSLATE(C8899, ""en"", ""te""),"""")"),"")</f>
        <v/>
      </c>
      <c r="E8899" s="2" t="s">
        <v>5074</v>
      </c>
      <c r="F8899" s="2" t="str">
        <f>IFERROR(__xludf.DUMMYFUNCTION("IF(E8899&lt;&gt;"""", GOOGLETRANSLATE(E8899, ""en"", ""te""),"""")"),"[ '13 వ పరాజయం వైపు ఒక మ్యాచ్లో అత్యధిక పరుగులు (156)', '41 వ అత్యధిక కెరీర్ బ్యాటింగ్ సగటు (42.71)', '47 వ అత్యధిక తొలి వంద (133)', 'వరుస ఇన్నింగ్స్లో 44 వ యాభైల్లో (4)', ' 36 వ వేగవంతమైన 1000 పరుగులు (28) ',' ఫాస్టెస్ట్ 2000 పరుగులు 9 వ (49) ',' 2 వ "&amp;"చెత్త కెరీర్ బౌలింగ్ సరాసరి (అర్హత లేకుండా) (203.00) ',' 40 వ ఓల్డెస్ట్ కాప్టెన్ (37y 36d) ']")</f>
        <v>[ '13 వ పరాజయం వైపు ఒక మ్యాచ్లో అత్యధిక పరుగులు (156)', '41 వ అత్యధిక కెరీర్ బ్యాటింగ్ సగటు (42.71)', '47 వ అత్యధిక తొలి వంద (133)', 'వరుస ఇన్నింగ్స్లో 44 వ యాభైల్లో (4)', ' 36 వ వేగవంతమైన 1000 పరుగులు (28) ',' ఫాస్టెస్ట్ 2000 పరుగులు 9 వ (49) ',' 2 వ చెత్త కెరీర్ బౌలింగ్ సరాసరి (అర్హత లేకుండా) (203.00) ',' 40 వ ఓల్డెస్ట్ కాప్టెన్ (37y 36d) ']</v>
      </c>
      <c r="G8899" s="2" t="s">
        <v>5075</v>
      </c>
      <c r="H8899" s="2" t="str">
        <f>IFERROR(__xludf.DUMMYFUNCTION("IF(G8899&lt;&gt;"""", GOOGLETRANSLATE(G8899, ""en"", ""te""),"""")"),"[ 'మొదటి డక్ ముందు 15 వ అత్యంత ఇన్నింగ్స్ (26)' '41 వ అత్యధిక కెరీర్ లో పరుగులు (1386)', '22 వ ఒక కెప్టెన్తో ఇన్నింగ్స్ లో అత్యధిక పరుగులు (89)', '48 వ కెరీర్ అర్ధ (6)', 'కెరీర్ లో 32 వ అతి తక్కువ బాతులు (18.66)', '46 వ కెరీర్ లో వచ్చిన ఎక్కువ సిక్స్ (45)"&amp;"', '25 వ కెరీర్ ఫోర్లు (144)', '31 మోస్ట్ ఇన్నింగ్స్ లో ఫోర్లు (11)', '42 వ నుండి చాలా పరుగులు ఒక ఇన్నింగ్స్ లో ఫోర్లు, సిక్సర్లు (74) ',' 1000 పరుగులు (42) ',' ఆరవ వికెట్కు 45 వ అత్యధిక భాగస్వామ్యం (62) ',' ఒక జట్టు కోసం 27 వరుస మ్యాచ్లు (35) ',' 16 వ 32"&amp;" వ వేగంగా కెప్టెన్గా అత్యధిక మ్యాచ్లు (29) ']")</f>
        <v>[ 'మొదటి డక్ ముందు 15 వ అత్యంత ఇన్నింగ్స్ (26)' '41 వ అత్యధిక కెరీర్ లో పరుగులు (1386)', '22 వ ఒక కెప్టెన్తో ఇన్నింగ్స్ లో అత్యధిక పరుగులు (89)', '48 వ కెరీర్ అర్ధ (6)', 'కెరీర్ లో 32 వ అతి తక్కువ బాతులు (18.66)', '46 వ కెరీర్ లో వచ్చిన ఎక్కువ సిక్స్ (45)', '25 వ కెరీర్ ఫోర్లు (144)', '31 మోస్ట్ ఇన్నింగ్స్ లో ఫోర్లు (11)', '42 వ నుండి చాలా పరుగులు ఒక ఇన్నింగ్స్ లో ఫోర్లు, సిక్సర్లు (74) ',' 1000 పరుగులు (42) ',' ఆరవ వికెట్కు 45 వ అత్యధిక భాగస్వామ్యం (62) ',' ఒక జట్టు కోసం 27 వరుస మ్యాచ్లు (35) ',' 16 వ 32 వ వేగంగా కెప్టెన్గా అత్యధిక మ్యాచ్లు (29) ']</v>
      </c>
      <c r="I8899" s="3"/>
    </row>
    <row r="8900" customHeight="1" spans="1:9">
      <c r="A8900" s="2"/>
      <c r="B8900" s="2" t="str">
        <f>IFERROR(__xludf.DUMMYFUNCTION("IF(A8900&lt;&gt;"""", GOOGLETRANSLATE(A8900, ""en"", ""te""),"""")"),"")</f>
        <v/>
      </c>
      <c r="C8900" s="2"/>
      <c r="D8900" s="2" t="str">
        <f>IFERROR(__xludf.DUMMYFUNCTION("IF(C8900&lt;&gt;"""", GOOGLETRANSLATE(C8900, ""en"", ""te""),"""")"),"")</f>
        <v/>
      </c>
      <c r="E8900" s="2"/>
      <c r="F8900" s="2" t="str">
        <f>IFERROR(__xludf.DUMMYFUNCTION("IF(E8900&lt;&gt;"""", GOOGLETRANSLATE(E8900, ""en"", ""te""),"""")"),"")</f>
        <v/>
      </c>
      <c r="G8900" s="2"/>
      <c r="H8900" s="2" t="str">
        <f>IFERROR(__xludf.DUMMYFUNCTION("IF(G8900&lt;&gt;"""", GOOGLETRANSLATE(G8900, ""en"", ""te""),"""")"),"")</f>
        <v/>
      </c>
      <c r="I8900" s="3"/>
    </row>
    <row r="8901" customHeight="1" spans="1:9">
      <c r="A8901" s="2" t="s">
        <v>5076</v>
      </c>
      <c r="B8901" s="2" t="str">
        <f>IFERROR(__xludf.DUMMYFUNCTION("IF(A8901&lt;&gt;"""", GOOGLETRANSLATE(A8901, ""en"", ""te""),"""")"),"[ 'ఇన్నింగ్స్ లో 1 వ అత్యధిక వికెట్లు (6)', '1 వ ఇన్నింగ్స్ లో అత్యధిక క్యాచ్లు (6)', 'కెరీర్ లో 2 వ లేవు బాతులు (50)', '7 వ కెరీర్ (11) అత్యంత స్టంపింగ్లు']")</f>
        <v>[ 'ఇన్నింగ్స్ లో 1 వ అత్యధిక వికెట్లు (6)', '1 వ ఇన్నింగ్స్ లో అత్యధిక క్యాచ్లు (6)', 'కెరీర్ లో 2 వ లేవు బాతులు (50)', '7 వ కెరీర్ (11) అత్యంత స్టంపింగ్లు']</v>
      </c>
      <c r="C8901" s="2"/>
      <c r="D8901" s="2" t="str">
        <f>IFERROR(__xludf.DUMMYFUNCTION("IF(C8901&lt;&gt;"""", GOOGLETRANSLATE(C8901, ""en"", ""te""),"""")"),"")</f>
        <v/>
      </c>
      <c r="E8901" s="2" t="s">
        <v>5077</v>
      </c>
      <c r="F8901" s="2" t="str">
        <f>IFERROR(__xludf.DUMMYFUNCTION("IF(E8901&lt;&gt;"""", GOOGLETRANSLATE(E8901, ""en"", ""te""),"""")"),"[ '2 వ కెరీర్ లో బాతులు (50)', '38 వ కెరీర్ లో అత్యధిక వికెట్లు (79)', '35 వ అత్యధిక క్యాచ్లు కెరీర్లో (75)', '1 వ అత్యధిక క్యాచ్లు' 1st ఇన్నింగ్స్ (6) లో అత్యధిక వికెట్లు ' ఒక ఇన్నింగ్స్ లో (6) ']")</f>
        <v>[ '2 వ కెరీర్ లో బాతులు (50)', '38 వ కెరీర్ లో అత్యధిక వికెట్లు (79)', '35 వ అత్యధిక క్యాచ్లు కెరీర్లో (75)', '1 వ అత్యధిక క్యాచ్లు' 1st ఇన్నింగ్స్ (6) లో అత్యధిక వికెట్లు ' ఒక ఇన్నింగ్స్ లో (6) ']</v>
      </c>
      <c r="G8901" s="2" t="s">
        <v>5078</v>
      </c>
      <c r="H8901" s="2" t="str">
        <f>IFERROR(__xludf.DUMMYFUNCTION("IF(G8901&lt;&gt;"""", GOOGLETRANSLATE(G8901, ""en"", ""te""),"""")"),"[ 'మూడో వికెట్కు 14 అత్యధిక భాగస్వామ్యం (122)', 'ఒక జట్టుకు 40 వ వరుస మ్యాచ్లు (30)', '11 వ కెరీర్ లో అత్యధిక వికెట్లు (33)', '15 వ కెరీర్ లో అత్యధిక క్యాచ్లు (22)', ' కెరీర్లో 7 వ అత్యంత స్టంపింగ్లు (11) ',' 32 వ అత్యంత ఇన్నింగ్స్ లో సాధించిన బైస్ (5) '"&amp;"]")</f>
        <v>[ 'మూడో వికెట్కు 14 అత్యధిక భాగస్వామ్యం (122)', 'ఒక జట్టుకు 40 వ వరుస మ్యాచ్లు (30)', '11 వ కెరీర్ లో అత్యధిక వికెట్లు (33)', '15 వ కెరీర్ లో అత్యధిక క్యాచ్లు (22)', ' కెరీర్లో 7 వ అత్యంత స్టంపింగ్లు (11) ',' 32 వ అత్యంత ఇన్నింగ్స్ లో సాధించిన బైస్ (5) ']</v>
      </c>
      <c r="I8901" s="3"/>
    </row>
    <row r="8902" customHeight="1" spans="1:9">
      <c r="A8902" s="2"/>
      <c r="B8902" s="2" t="str">
        <f>IFERROR(__xludf.DUMMYFUNCTION("IF(A8902&lt;&gt;"""", GOOGLETRANSLATE(A8902, ""en"", ""te""),"""")"),"")</f>
        <v/>
      </c>
      <c r="C8902" s="2"/>
      <c r="D8902" s="2" t="str">
        <f>IFERROR(__xludf.DUMMYFUNCTION("IF(C8902&lt;&gt;"""", GOOGLETRANSLATE(C8902, ""en"", ""te""),"""")"),"")</f>
        <v/>
      </c>
      <c r="E8902" s="2"/>
      <c r="F8902" s="2" t="str">
        <f>IFERROR(__xludf.DUMMYFUNCTION("IF(E8902&lt;&gt;"""", GOOGLETRANSLATE(E8902, ""en"", ""te""),"""")"),"")</f>
        <v/>
      </c>
      <c r="G8902" s="2"/>
      <c r="H8902" s="2" t="str">
        <f>IFERROR(__xludf.DUMMYFUNCTION("IF(G8902&lt;&gt;"""", GOOGLETRANSLATE(G8902, ""en"", ""te""),"""")"),"")</f>
        <v/>
      </c>
      <c r="I8902" s="3"/>
    </row>
    <row r="8903" customHeight="1" spans="1:9">
      <c r="A8903" s="2"/>
      <c r="B8903" s="2" t="str">
        <f>IFERROR(__xludf.DUMMYFUNCTION("IF(A8903&lt;&gt;"""", GOOGLETRANSLATE(A8903, ""en"", ""te""),"""")"),"")</f>
        <v/>
      </c>
      <c r="C8903" s="2"/>
      <c r="D8903" s="2" t="str">
        <f>IFERROR(__xludf.DUMMYFUNCTION("IF(C8903&lt;&gt;"""", GOOGLETRANSLATE(C8903, ""en"", ""te""),"""")"),"")</f>
        <v/>
      </c>
      <c r="E8903" s="2"/>
      <c r="F8903" s="2" t="str">
        <f>IFERROR(__xludf.DUMMYFUNCTION("IF(E8903&lt;&gt;"""", GOOGLETRANSLATE(E8903, ""en"", ""te""),"""")"),"")</f>
        <v/>
      </c>
      <c r="G8903" s="2"/>
      <c r="H8903" s="2" t="str">
        <f>IFERROR(__xludf.DUMMYFUNCTION("IF(G8903&lt;&gt;"""", GOOGLETRANSLATE(G8903, ""en"", ""te""),"""")"),"")</f>
        <v/>
      </c>
      <c r="I8903" s="3"/>
    </row>
    <row r="8904" customHeight="1" spans="1:9">
      <c r="A8904" s="2"/>
      <c r="B8904" s="2" t="str">
        <f>IFERROR(__xludf.DUMMYFUNCTION("IF(A8904&lt;&gt;"""", GOOGLETRANSLATE(A8904, ""en"", ""te""),"""")"),"")</f>
        <v/>
      </c>
      <c r="C8904" s="2"/>
      <c r="D8904" s="2" t="str">
        <f>IFERROR(__xludf.DUMMYFUNCTION("IF(C8904&lt;&gt;"""", GOOGLETRANSLATE(C8904, ""en"", ""te""),"""")"),"")</f>
        <v/>
      </c>
      <c r="E8904" s="2"/>
      <c r="F8904" s="2" t="str">
        <f>IFERROR(__xludf.DUMMYFUNCTION("IF(E8904&lt;&gt;"""", GOOGLETRANSLATE(E8904, ""en"", ""te""),"""")"),"")</f>
        <v/>
      </c>
      <c r="G8904" s="2"/>
      <c r="H8904" s="2" t="str">
        <f>IFERROR(__xludf.DUMMYFUNCTION("IF(G8904&lt;&gt;"""", GOOGLETRANSLATE(G8904, ""en"", ""te""),"""")"),"")</f>
        <v/>
      </c>
      <c r="I8904" s="3"/>
    </row>
    <row r="8905" customHeight="1" spans="1:9">
      <c r="A8905" s="2"/>
      <c r="B8905" s="2" t="str">
        <f>IFERROR(__xludf.DUMMYFUNCTION("IF(A8905&lt;&gt;"""", GOOGLETRANSLATE(A8905, ""en"", ""te""),"""")"),"")</f>
        <v/>
      </c>
      <c r="C8905" s="2"/>
      <c r="D8905" s="2" t="str">
        <f>IFERROR(__xludf.DUMMYFUNCTION("IF(C8905&lt;&gt;"""", GOOGLETRANSLATE(C8905, ""en"", ""te""),"""")"),"")</f>
        <v/>
      </c>
      <c r="E8905" s="2"/>
      <c r="F8905" s="2" t="str">
        <f>IFERROR(__xludf.DUMMYFUNCTION("IF(E8905&lt;&gt;"""", GOOGLETRANSLATE(E8905, ""en"", ""te""),"""")"),"")</f>
        <v/>
      </c>
      <c r="G8905" s="2" t="s">
        <v>5079</v>
      </c>
      <c r="H8905" s="2" t="str">
        <f>IFERROR(__xludf.DUMMYFUNCTION("IF(G8905&lt;&gt;"""", GOOGLETRANSLATE(G8905, ""en"", ""te""),"""")"),"[ 'ఒక కెప్టెన్తో ఒక ఇన్నింగ్స్ లో 20 వ బెస్ట్ ఫిగర్స్ (3)']")</f>
        <v>[ 'ఒక కెప్టెన్తో ఒక ఇన్నింగ్స్ లో 20 వ బెస్ట్ ఫిగర్స్ (3)']</v>
      </c>
      <c r="I8905" s="3"/>
    </row>
    <row r="8906" customHeight="1" spans="1:9">
      <c r="A8906" s="2" t="s">
        <v>5080</v>
      </c>
      <c r="B8906" s="2" t="str">
        <f>IFERROR(__xludf.DUMMYFUNCTION("IF(A8906&lt;&gt;"""", GOOGLETRANSLATE(A8906, ""en"", ""te""),"""")"),"[ '5 వ అత్యుత్తమ బౌలింగ్ ఇన్నింగ్స్ లో విశ్లేషించడం (5/9)', '5 వ ఉత్తమ కెరీర్ సమ్మె రేటు (26.5)', 'ఎ ఏబది ఒక ఇన్నింగ్స్ లో ఐదు వికెట్లు']")</f>
        <v>[ '5 వ అత్యుత్తమ బౌలింగ్ ఇన్నింగ్స్ లో విశ్లేషించడం (5/9)', '5 వ ఉత్తమ కెరీర్ సమ్మె రేటు (26.5)', 'ఎ ఏబది ఒక ఇన్నింగ్స్ లో ఐదు వికెట్లు']</v>
      </c>
      <c r="C8906" s="2"/>
      <c r="D8906" s="2" t="str">
        <f>IFERROR(__xludf.DUMMYFUNCTION("IF(C8906&lt;&gt;"""", GOOGLETRANSLATE(C8906, ""en"", ""te""),"""")"),"")</f>
        <v/>
      </c>
      <c r="E8906" s="2" t="s">
        <v>5081</v>
      </c>
      <c r="F8906" s="2" t="str">
        <f>IFERROR(__xludf.DUMMYFUNCTION("IF(E8906&lt;&gt;"""", GOOGLETRANSLATE(E8906, ""en"", ""te""),"""")"),"[ 'ఇన్నింగ్స్ లో 5 వ అత్యుత్తమ బౌలింగ్ విశ్లేషణలు (5/9)' '46 వ ఉత్తమ ఇన్నింగ్స్ లో సంఖ్యలు (6/28)', '5 వ ఉత్తమ కెరీర్ సమ్మె రేటు' 19 సగటు (22.08) బౌలింగ్ ఉత్తమ కెరీర్లో '(26.5) ',' 43 వ అత్యంత ఐదు-వికెట్ల లో-ఒక-ఇన్నింగ్స్ కెరీర్లో (2) ',' ఐదు వికెట్ల లో-ఒ"&amp;"క-ఇన్నింగ్స్ పడుతుంది 14 పిన్న ఆటగాడు (20y 14D) ']")</f>
        <v>[ 'ఇన్నింగ్స్ లో 5 వ అత్యుత్తమ బౌలింగ్ విశ్లేషణలు (5/9)' '46 వ ఉత్తమ ఇన్నింగ్స్ లో సంఖ్యలు (6/28)', '5 వ ఉత్తమ కెరీర్ సమ్మె రేటు' 19 సగటు (22.08) బౌలింగ్ ఉత్తమ కెరీర్లో '(26.5) ',' 43 వ అత్యంత ఐదు-వికెట్ల లో-ఒక-ఇన్నింగ్స్ కెరీర్లో (2) ',' ఐదు వికెట్ల లో-ఒక-ఇన్నింగ్స్ పడుతుంది 14 పిన్న ఆటగాడు (20y 14D) ']</v>
      </c>
      <c r="G8906" s="2"/>
      <c r="H8906" s="2" t="str">
        <f>IFERROR(__xludf.DUMMYFUNCTION("IF(G8906&lt;&gt;"""", GOOGLETRANSLATE(G8906, ""en"", ""te""),"""")"),"")</f>
        <v/>
      </c>
      <c r="I8906" s="3"/>
    </row>
    <row r="8907" customHeight="1" spans="1:9">
      <c r="A8907" s="2"/>
      <c r="B8907" s="2" t="str">
        <f>IFERROR(__xludf.DUMMYFUNCTION("IF(A8907&lt;&gt;"""", GOOGLETRANSLATE(A8907, ""en"", ""te""),"""")"),"")</f>
        <v/>
      </c>
      <c r="C8907" s="2"/>
      <c r="D8907" s="2" t="str">
        <f>IFERROR(__xludf.DUMMYFUNCTION("IF(C8907&lt;&gt;"""", GOOGLETRANSLATE(C8907, ""en"", ""te""),"""")"),"")</f>
        <v/>
      </c>
      <c r="E8907" s="2" t="s">
        <v>5082</v>
      </c>
      <c r="F8907" s="2" t="str">
        <f>IFERROR(__xludf.DUMMYFUNCTION("IF(E8907&lt;&gt;"""", GOOGLETRANSLATE(E8907, ""en"", ""te""),"""")"),"[ 'తొలి 47 వ ఓల్డెస్ట్ క్రీడాకారులు (36y 275d)']")</f>
        <v>[ 'తొలి 47 వ ఓల్డెస్ట్ క్రీడాకారులు (36y 275d)']</v>
      </c>
      <c r="G8907" s="2"/>
      <c r="H8907" s="2" t="str">
        <f>IFERROR(__xludf.DUMMYFUNCTION("IF(G8907&lt;&gt;"""", GOOGLETRANSLATE(G8907, ""en"", ""te""),"""")"),"")</f>
        <v/>
      </c>
      <c r="I8907" s="3"/>
    </row>
    <row r="8908" customHeight="1" spans="1:9">
      <c r="A8908" s="2" t="s">
        <v>5083</v>
      </c>
      <c r="B8908" s="2" t="str">
        <f>IFERROR(__xludf.DUMMYFUNCTION("IF(A8908&lt;&gt;"""", GOOGLETRANSLATE(A8908, ""en"", ""te""),"""")"),"[ '1st లాంగెస్ట్ క్రీడాకారులు నివసించారు (38y 66d)' '4 వ అత్యంత వృద్ధ ఆటగాడు ఒక ఐదు మైడెన్-వికెట్ల లో-ఒక-ఇన్నింగ్స్ (36y 124d) తీసుకోవాలని']")</f>
        <v>[ '1st లాంగెస్ట్ క్రీడాకారులు నివసించారు (38y 66d)' '4 వ అత్యంత వృద్ధ ఆటగాడు ఒక ఐదు మైడెన్-వికెట్ల లో-ఒక-ఇన్నింగ్స్ (36y 124d) తీసుకోవాలని']</v>
      </c>
      <c r="C8908" s="2"/>
      <c r="D8908" s="2" t="str">
        <f>IFERROR(__xludf.DUMMYFUNCTION("IF(C8908&lt;&gt;"""", GOOGLETRANSLATE(C8908, ""en"", ""te""),"""")"),"")</f>
        <v/>
      </c>
      <c r="E8908" s="2" t="s">
        <v>5084</v>
      </c>
      <c r="F8908" s="2" t="str">
        <f>IFERROR(__xludf.DUMMYFUNCTION("IF(E8908&lt;&gt;"""", GOOGLETRANSLATE(E8908, ""en"", ""te""),"""")"),"[ '17 షార్టేస్ట్ క్రీడాకారులు నివసించారు' తొలి ఐదు వికెట్ల లో-ఒక-ఇన్నింగ్స్ (36y 124d) తీసుకోవాలని 4 వ అత్యంత వృద్ధ ఆటగాడు '' 9 వ అత్యంత వృద్ధ ఆటగాడు (36y 124d) ఐదు వికెట్లు-ఇన్-ఒక-ఇన్నింగ్స్ తీసుకోవాలని ', (38y 66d) ']")</f>
        <v>[ '17 షార్టేస్ట్ క్రీడాకారులు నివసించారు' తొలి ఐదు వికెట్ల లో-ఒక-ఇన్నింగ్స్ (36y 124d) తీసుకోవాలని 4 వ అత్యంత వృద్ధ ఆటగాడు '' 9 వ అత్యంత వృద్ధ ఆటగాడు (36y 124d) ఐదు వికెట్లు-ఇన్-ఒక-ఇన్నింగ్స్ తీసుకోవాలని ', (38y 66d) ']</v>
      </c>
      <c r="G8908" s="2" t="s">
        <v>5085</v>
      </c>
      <c r="H8908" s="2" t="str">
        <f>IFERROR(__xludf.DUMMYFUNCTION("IF(G8908&lt;&gt;"""", GOOGLETRANSLATE(G8908, ""en"", ""te""),"""")"),"[ '1st లాంగెస్ట్ క్రీడాకారులు (38y 66d) నివసించారు']")</f>
        <v>[ '1st లాంగెస్ట్ క్రీడాకారులు (38y 66d) నివసించారు']</v>
      </c>
      <c r="I8908" s="3"/>
    </row>
    <row r="8909" customHeight="1" spans="1:9">
      <c r="A8909" s="2" t="s">
        <v>5086</v>
      </c>
      <c r="B8909" s="2" t="str">
        <f>IFERROR(__xludf.DUMMYFUNCTION("IF(A8909&lt;&gt;"""", GOOGLETRANSLATE(A8909, ""en"", ""te""),"""")"),"[ '1st వరుస బాతులు (3)', '1st ఒక ఇన్నింగ్స్ లోని బెస్ట్ ఫిగర్స్ ఉన్నప్పుడు పరాజయం వైపు (5)', '10 వ కెరీర్ లో అత్యంత పనికత్తెలయొద్ద (4)']")</f>
        <v>[ '1st వరుస బాతులు (3)', '1st ఒక ఇన్నింగ్స్ లోని బెస్ట్ ఫిగర్స్ ఉన్నప్పుడు పరాజయం వైపు (5)', '10 వ కెరీర్ లో అత్యంత పనికత్తెలయొద్ద (4)']</v>
      </c>
      <c r="C8909" s="2"/>
      <c r="D8909" s="2" t="str">
        <f>IFERROR(__xludf.DUMMYFUNCTION("IF(C8909&lt;&gt;"""", GOOGLETRANSLATE(C8909, ""en"", ""te""),"""")"),"")</f>
        <v/>
      </c>
      <c r="E8909" s="2" t="s">
        <v>5087</v>
      </c>
      <c r="F8909" s="2" t="str">
        <f>IFERROR(__xludf.DUMMYFUNCTION("IF(E8909&lt;&gt;"""", GOOGLETRANSLATE(E8909, ""en"", ""te""),"""")"),"[ '38 వ అత్యంత వృద్ధ ఆటగాడు (32y 128d) ఐదు వికెట్లు-ఇన్-ఒక-ఇన్నింగ్స్ తీసుకోవాలని', 'తొలి తీసుకోవాలని 22 వ అత్యంత వృద్ధ ఆటగాడు ఐదు వికెట్ల లో-ఒక-ఇన్నింగ్స్ (32y 128d)']")</f>
        <v>[ '38 వ అత్యంత వృద్ధ ఆటగాడు (32y 128d) ఐదు వికెట్లు-ఇన్-ఒక-ఇన్నింగ్స్ తీసుకోవాలని', 'తొలి తీసుకోవాలని 22 వ అత్యంత వృద్ధ ఆటగాడు ఐదు వికెట్ల లో-ఒక-ఇన్నింగ్స్ (32y 128d)']</v>
      </c>
      <c r="G8909" s="2" t="s">
        <v>5088</v>
      </c>
      <c r="H8909" s="2" t="str">
        <f>IFERROR(__xludf.DUMMYFUNCTION("IF(G8909&lt;&gt;"""", GOOGLETRANSLATE(G8909, ""en"", ""te""),"""")"),"[ '32 వ కెరీర్ బాతులు (5)', '1 వ వరుస బాతులు (3)', '38 వ ఇన్నింగ్స్ లో బెస్ట్ ఫిగర్స్ (5/24)', '1 వ పరాజయం వైపు ఉన్నప్పుడు ఒక ఇన్నింగ్స్ లోని బెస్ట్ ఫిగర్స్ (5 ) ',' 20 వ సగటు (19.13) ',' 14 వ ఉత్తమ కెరీర్ సమ్మె రేటు బౌలింగ్ ఉత్తమ కెరీర్ (15.5) ',' 17 వ "&amp;"బౌలర్ / బ్యాట్స్ కలయికలు (3) ',' 45 వ బౌలర్ / ఫీల్డర్ కలయికలు (6) ',' 46 వ అత్యంత వికెట్లు ఆకర్షించింది తీసుకోకూడదు (31) ',' 43 వ అత్యధిక వికెట్లు ఒక ఫీల్డర్ చేత క్యాచ్ తీసుకున్న (26) ',' 48 వ అత్యధిక వికెట్లు ఒక వికెట్ కీపర్ చే కాట్ తీసుకోకూడదు (5) ',' 1"&amp;"0 వ కెరీర్ (4) అత్యంత పనికత్తెలయొద్ద ']")</f>
        <v>[ '32 వ కెరీర్ బాతులు (5)', '1 వ వరుస బాతులు (3)', '38 వ ఇన్నింగ్స్ లో బెస్ట్ ఫిగర్స్ (5/24)', '1 వ పరాజయం వైపు ఉన్నప్పుడు ఒక ఇన్నింగ్స్ లోని బెస్ట్ ఫిగర్స్ (5 ) ',' 20 వ సగటు (19.13) ',' 14 వ ఉత్తమ కెరీర్ సమ్మె రేటు బౌలింగ్ ఉత్తమ కెరీర్ (15.5) ',' 17 వ బౌలర్ / బ్యాట్స్ కలయికలు (3) ',' 45 వ బౌలర్ / ఫీల్డర్ కలయికలు (6) ',' 46 వ అత్యంత వికెట్లు ఆకర్షించింది తీసుకోకూడదు (31) ',' 43 వ అత్యధిక వికెట్లు ఒక ఫీల్డర్ చేత క్యాచ్ తీసుకున్న (26) ',' 48 వ అత్యధిక వికెట్లు ఒక వికెట్ కీపర్ చే కాట్ తీసుకోకూడదు (5) ',' 10 వ కెరీర్ (4) అత్యంత పనికత్తెలయొద్ద ']</v>
      </c>
      <c r="I8909" s="3"/>
    </row>
    <row r="8910" customHeight="1" spans="1:9">
      <c r="A8910" s="2"/>
      <c r="B8910" s="2" t="str">
        <f>IFERROR(__xludf.DUMMYFUNCTION("IF(A8910&lt;&gt;"""", GOOGLETRANSLATE(A8910, ""en"", ""te""),"""")"),"")</f>
        <v/>
      </c>
      <c r="C8910" s="2"/>
      <c r="D8910" s="2" t="str">
        <f>IFERROR(__xludf.DUMMYFUNCTION("IF(C8910&lt;&gt;"""", GOOGLETRANSLATE(C8910, ""en"", ""te""),"""")"),"")</f>
        <v/>
      </c>
      <c r="E8910" s="2"/>
      <c r="F8910" s="2" t="str">
        <f>IFERROR(__xludf.DUMMYFUNCTION("IF(E8910&lt;&gt;"""", GOOGLETRANSLATE(E8910, ""en"", ""te""),"""")"),"")</f>
        <v/>
      </c>
      <c r="G8910" s="2"/>
      <c r="H8910" s="2" t="str">
        <f>IFERROR(__xludf.DUMMYFUNCTION("IF(G8910&lt;&gt;"""", GOOGLETRANSLATE(G8910, ""en"", ""te""),"""")"),"")</f>
        <v/>
      </c>
      <c r="I8910" s="3"/>
    </row>
    <row r="8911" customHeight="1" spans="1:9">
      <c r="A8911" s="2"/>
      <c r="B8911" s="2" t="str">
        <f>IFERROR(__xludf.DUMMYFUNCTION("IF(A8911&lt;&gt;"""", GOOGLETRANSLATE(A8911, ""en"", ""te""),"""")"),"")</f>
        <v/>
      </c>
      <c r="C8911" s="2"/>
      <c r="D8911" s="2" t="str">
        <f>IFERROR(__xludf.DUMMYFUNCTION("IF(C8911&lt;&gt;"""", GOOGLETRANSLATE(C8911, ""en"", ""te""),"""")"),"")</f>
        <v/>
      </c>
      <c r="E8911" s="2"/>
      <c r="F8911" s="2" t="str">
        <f>IFERROR(__xludf.DUMMYFUNCTION("IF(E8911&lt;&gt;"""", GOOGLETRANSLATE(E8911, ""en"", ""te""),"""")"),"")</f>
        <v/>
      </c>
      <c r="G8911" s="2" t="s">
        <v>5089</v>
      </c>
      <c r="H8911" s="2" t="str">
        <f>IFERROR(__xludf.DUMMYFUNCTION("IF(G8911&lt;&gt;"""", GOOGLETRANSLATE(G8911, ""en"", ""te""),"""")"),"[ '43 వ అత్యంత స్టంప్ వికెట్లు తీసుకున్నారు (5)', '35 వ పిన్న క్రీడాకారులు (14y 81d)']")</f>
        <v>[ '43 వ అత్యంత స్టంప్ వికెట్లు తీసుకున్నారు (5)', '35 వ పిన్న క్రీడాకారులు (14y 81d)']</v>
      </c>
      <c r="I8911" s="3"/>
    </row>
    <row r="8912" customHeight="1" spans="1:9">
      <c r="A8912" s="2" t="s">
        <v>435</v>
      </c>
      <c r="B8912" s="2" t="str">
        <f>IFERROR(__xludf.DUMMYFUNCTION("IF(A8912&lt;&gt;"""", GOOGLETRANSLATE(A8912, ""en"", ""te""),"""")"),"[ '1st వరుస బాతులు (3)']")</f>
        <v>[ '1st వరుస బాతులు (3)']</v>
      </c>
      <c r="C8912" s="2"/>
      <c r="D8912" s="2" t="str">
        <f>IFERROR(__xludf.DUMMYFUNCTION("IF(C8912&lt;&gt;"""", GOOGLETRANSLATE(C8912, ""en"", ""te""),"""")"),"")</f>
        <v/>
      </c>
      <c r="E8912" s="2"/>
      <c r="F8912" s="2" t="str">
        <f>IFERROR(__xludf.DUMMYFUNCTION("IF(E8912&lt;&gt;"""", GOOGLETRANSLATE(E8912, ""en"", ""te""),"""")"),"")</f>
        <v/>
      </c>
      <c r="G8912" s="2" t="s">
        <v>5090</v>
      </c>
      <c r="H8912" s="2" t="str">
        <f>IFERROR(__xludf.DUMMYFUNCTION("IF(G8912&lt;&gt;"""", GOOGLETRANSLATE(G8912, ""en"", ""te""),"""")"),"[ '1st వరుస బాతులు (3)', '30 వ చెత్త కెరీర్ బౌలింగ్ సరాసరి (అర్హత లేకుండా) (68.00)']")</f>
        <v>[ '1st వరుస బాతులు (3)', '30 వ చెత్త కెరీర్ బౌలింగ్ సరాసరి (అర్హత లేకుండా) (68.00)']</v>
      </c>
      <c r="I8912" s="3"/>
    </row>
    <row r="8913" customHeight="1" spans="1:9">
      <c r="A8913" s="2"/>
      <c r="B8913" s="2" t="str">
        <f>IFERROR(__xludf.DUMMYFUNCTION("IF(A8913&lt;&gt;"""", GOOGLETRANSLATE(A8913, ""en"", ""te""),"""")"),"")</f>
        <v/>
      </c>
      <c r="C8913" s="2"/>
      <c r="D8913" s="2" t="str">
        <f>IFERROR(__xludf.DUMMYFUNCTION("IF(C8913&lt;&gt;"""", GOOGLETRANSLATE(C8913, ""en"", ""te""),"""")"),"")</f>
        <v/>
      </c>
      <c r="E8913" s="2" t="s">
        <v>5091</v>
      </c>
      <c r="F8913" s="2" t="str">
        <f>IFERROR(__xludf.DUMMYFUNCTION("IF(E8913&lt;&gt;"""", GOOGLETRANSLATE(E8913, ""en"", ""te""),"""")"),"[ '14 వ ఒక ఇన్నింగ్స్ లోని బెస్ట్ ఫిగర్స్ ఉన్నప్పుడు పరాజయం వైపు (5)', 'ఐదు వికెట్ల లో-ఒక-ఇన్నింగ్స్ పడుతుంది 35 వ పిన్న ఆటగాడు (22y 16d)']")</f>
        <v>[ '14 వ ఒక ఇన్నింగ్స్ లోని బెస్ట్ ఫిగర్స్ ఉన్నప్పుడు పరాజయం వైపు (5)', 'ఐదు వికెట్ల లో-ఒక-ఇన్నింగ్స్ పడుతుంది 35 వ పిన్న ఆటగాడు (22y 16d)']</v>
      </c>
      <c r="G8913" s="2"/>
      <c r="H8913" s="2" t="str">
        <f>IFERROR(__xludf.DUMMYFUNCTION("IF(G8913&lt;&gt;"""", GOOGLETRANSLATE(G8913, ""en"", ""te""),"""")"),"")</f>
        <v/>
      </c>
      <c r="I8913" s="3"/>
    </row>
    <row r="8914" customHeight="1" spans="1:9">
      <c r="A8914" s="2"/>
      <c r="B8914" s="2" t="str">
        <f>IFERROR(__xludf.DUMMYFUNCTION("IF(A8914&lt;&gt;"""", GOOGLETRANSLATE(A8914, ""en"", ""te""),"""")"),"")</f>
        <v/>
      </c>
      <c r="C8914" s="2"/>
      <c r="D8914" s="2" t="str">
        <f>IFERROR(__xludf.DUMMYFUNCTION("IF(C8914&lt;&gt;"""", GOOGLETRANSLATE(C8914, ""en"", ""te""),"""")"),"")</f>
        <v/>
      </c>
      <c r="E8914" s="2"/>
      <c r="F8914" s="2" t="str">
        <f>IFERROR(__xludf.DUMMYFUNCTION("IF(E8914&lt;&gt;"""", GOOGLETRANSLATE(E8914, ""en"", ""te""),"""")"),"")</f>
        <v/>
      </c>
      <c r="G8914" s="2"/>
      <c r="H8914" s="2" t="str">
        <f>IFERROR(__xludf.DUMMYFUNCTION("IF(G8914&lt;&gt;"""", GOOGLETRANSLATE(G8914, ""en"", ""te""),"""")"),"")</f>
        <v/>
      </c>
      <c r="I8914" s="3"/>
    </row>
    <row r="8915" customHeight="1" spans="1:9">
      <c r="A8915" s="2" t="s">
        <v>352</v>
      </c>
      <c r="B8915" s="2" t="str">
        <f>IFERROR(__xludf.DUMMYFUNCTION("IF(A8915&lt;&gt;"""", GOOGLETRANSLATE(A8915, ""en"", ""te""),"""")"),"[ 'బ్యాటింగ్ ప్రారంభించుటకు మరియు అదే మ్యాచ్ లో బౌలింగ్']")</f>
        <v>[ 'బ్యాటింగ్ ప్రారంభించుటకు మరియు అదే మ్యాచ్ లో బౌలింగ్']</v>
      </c>
      <c r="C8915" s="2"/>
      <c r="D8915" s="2" t="str">
        <f>IFERROR(__xludf.DUMMYFUNCTION("IF(C8915&lt;&gt;"""", GOOGLETRANSLATE(C8915, ""en"", ""te""),"""")"),"")</f>
        <v/>
      </c>
      <c r="E8915" s="2"/>
      <c r="F8915" s="2" t="str">
        <f>IFERROR(__xludf.DUMMYFUNCTION("IF(E8915&lt;&gt;"""", GOOGLETRANSLATE(E8915, ""en"", ""te""),"""")"),"")</f>
        <v/>
      </c>
      <c r="G8915" s="2"/>
      <c r="H8915" s="2" t="str">
        <f>IFERROR(__xludf.DUMMYFUNCTION("IF(G8915&lt;&gt;"""", GOOGLETRANSLATE(G8915, ""en"", ""te""),"""")"),"")</f>
        <v/>
      </c>
      <c r="I8915" s="3"/>
    </row>
    <row r="8916" customHeight="1" spans="1:9">
      <c r="A8916" s="2"/>
      <c r="B8916" s="2" t="str">
        <f>IFERROR(__xludf.DUMMYFUNCTION("IF(A8916&lt;&gt;"""", GOOGLETRANSLATE(A8916, ""en"", ""te""),"""")"),"")</f>
        <v/>
      </c>
      <c r="C8916" s="2"/>
      <c r="D8916" s="2" t="str">
        <f>IFERROR(__xludf.DUMMYFUNCTION("IF(C8916&lt;&gt;"""", GOOGLETRANSLATE(C8916, ""en"", ""te""),"""")"),"")</f>
        <v/>
      </c>
      <c r="E8916" s="2"/>
      <c r="F8916" s="2" t="str">
        <f>IFERROR(__xludf.DUMMYFUNCTION("IF(E8916&lt;&gt;"""", GOOGLETRANSLATE(E8916, ""en"", ""te""),"""")"),"")</f>
        <v/>
      </c>
      <c r="G8916" s="2"/>
      <c r="H8916" s="2" t="str">
        <f>IFERROR(__xludf.DUMMYFUNCTION("IF(G8916&lt;&gt;"""", GOOGLETRANSLATE(G8916, ""en"", ""te""),"""")"),"")</f>
        <v/>
      </c>
      <c r="I8916" s="3"/>
    </row>
    <row r="8917" customHeight="1" spans="1:9">
      <c r="A8917" s="2" t="s">
        <v>175</v>
      </c>
      <c r="B8917" s="2" t="str">
        <f>IFERROR(__xludf.DUMMYFUNCTION("IF(A8917&lt;&gt;"""", GOOGLETRANSLATE(A8917, ""en"", ""te""),"""")"),"[ 'ఒక సిరీస్లో 6 వ అత్యంత బాతులు (3)']")</f>
        <v>[ 'ఒక సిరీస్లో 6 వ అత్యంత బాతులు (3)']</v>
      </c>
      <c r="C8917" s="2"/>
      <c r="D8917" s="2" t="str">
        <f>IFERROR(__xludf.DUMMYFUNCTION("IF(C8917&lt;&gt;"""", GOOGLETRANSLATE(C8917, ""en"", ""te""),"""")"),"")</f>
        <v/>
      </c>
      <c r="E8917" s="2" t="s">
        <v>5092</v>
      </c>
      <c r="F8917" s="2" t="str">
        <f>IFERROR(__xludf.DUMMYFUNCTION("IF(E8917&lt;&gt;"""", GOOGLETRANSLATE(E8917, ""en"", ""te""),"""")"),"[ 'ఒక సిరీస్లో 6 వ అత్యంత బాతులు (3)', 'తొలి తీసుకోవాలని 29 అత్యంత వృద్ధ ఆటగాడు ఐదు వికెట్ల లో-ఒక-ఇన్నింగ్స్ (31y 213d)']")</f>
        <v>[ 'ఒక సిరీస్లో 6 వ అత్యంత బాతులు (3)', 'తొలి తీసుకోవాలని 29 అత్యంత వృద్ధ ఆటగాడు ఐదు వికెట్ల లో-ఒక-ఇన్నింగ్స్ (31y 213d)']</v>
      </c>
      <c r="G8917" s="2" t="s">
        <v>5093</v>
      </c>
      <c r="H8917" s="2" t="str">
        <f>IFERROR(__xludf.DUMMYFUNCTION("IF(G8917&lt;&gt;"""", GOOGLETRANSLATE(G8917, ""en"", ""te""),"""")"),"[ '17 వ బౌలర్ / బ్యాట్స్ కలయికలు (3)', '24 వ అత్యధిక వికెట్లు తీసుకున్న ఎల్బిడబ్ల్యు (6)', '17 వ అత్యధిక వికెట్లు తీసుకున్న స్టంప్ (5)', 'పదవ వికెట్ను (21 *) 20 అత్యధిక భాగస్వామ్యం']")</f>
        <v>[ '17 వ బౌలర్ / బ్యాట్స్ కలయికలు (3)', '24 వ అత్యధిక వికెట్లు తీసుకున్న ఎల్బిడబ్ల్యు (6)', '17 వ అత్యధిక వికెట్లు తీసుకున్న స్టంప్ (5)', 'పదవ వికెట్ను (21 *) 20 అత్యధిక భాగస్వామ్యం']</v>
      </c>
      <c r="I8917" s="3"/>
    </row>
    <row r="8918" customHeight="1" spans="1:9">
      <c r="A8918" s="2"/>
      <c r="B8918" s="2" t="str">
        <f>IFERROR(__xludf.DUMMYFUNCTION("IF(A8918&lt;&gt;"""", GOOGLETRANSLATE(A8918, ""en"", ""te""),"""")"),"")</f>
        <v/>
      </c>
      <c r="C8918" s="2"/>
      <c r="D8918" s="2" t="str">
        <f>IFERROR(__xludf.DUMMYFUNCTION("IF(C8918&lt;&gt;"""", GOOGLETRANSLATE(C8918, ""en"", ""te""),"""")"),"")</f>
        <v/>
      </c>
      <c r="E8918" s="2"/>
      <c r="F8918" s="2" t="str">
        <f>IFERROR(__xludf.DUMMYFUNCTION("IF(E8918&lt;&gt;"""", GOOGLETRANSLATE(E8918, ""en"", ""te""),"""")"),"")</f>
        <v/>
      </c>
      <c r="G8918" s="2"/>
      <c r="H8918" s="2" t="str">
        <f>IFERROR(__xludf.DUMMYFUNCTION("IF(G8918&lt;&gt;"""", GOOGLETRANSLATE(G8918, ""en"", ""te""),"""")"),"")</f>
        <v/>
      </c>
      <c r="I8918" s="3"/>
    </row>
    <row r="8919" customHeight="1" spans="1:9">
      <c r="A8919" s="2"/>
      <c r="B8919" s="2" t="str">
        <f>IFERROR(__xludf.DUMMYFUNCTION("IF(A8919&lt;&gt;"""", GOOGLETRANSLATE(A8919, ""en"", ""te""),"""")"),"")</f>
        <v/>
      </c>
      <c r="C8919" s="2"/>
      <c r="D8919" s="2" t="str">
        <f>IFERROR(__xludf.DUMMYFUNCTION("IF(C8919&lt;&gt;"""", GOOGLETRANSLATE(C8919, ""en"", ""te""),"""")"),"")</f>
        <v/>
      </c>
      <c r="E8919" s="2"/>
      <c r="F8919" s="2" t="str">
        <f>IFERROR(__xludf.DUMMYFUNCTION("IF(E8919&lt;&gt;"""", GOOGLETRANSLATE(E8919, ""en"", ""te""),"""")"),"")</f>
        <v/>
      </c>
      <c r="G8919" s="2"/>
      <c r="H8919" s="2" t="str">
        <f>IFERROR(__xludf.DUMMYFUNCTION("IF(G8919&lt;&gt;"""", GOOGLETRANSLATE(G8919, ""en"", ""te""),"""")"),"")</f>
        <v/>
      </c>
      <c r="I8919" s="3"/>
    </row>
    <row r="8920" customHeight="1" spans="1:9">
      <c r="A8920" s="2" t="s">
        <v>5094</v>
      </c>
      <c r="B8920" s="2" t="str">
        <f>IFERROR(__xludf.DUMMYFUNCTION("IF(A8920&lt;&gt;"""", GOOGLETRANSLATE(A8920, ""en"", ""te""),"""")"),"[ 'తొలి పెయిర్', 'రెండు దేశాలకు ప్రాతినిధ్యం']")</f>
        <v>[ 'తొలి పెయిర్', 'రెండు దేశాలకు ప్రాతినిధ్యం']</v>
      </c>
      <c r="C8920" s="2"/>
      <c r="D8920" s="2" t="str">
        <f>IFERROR(__xludf.DUMMYFUNCTION("IF(C8920&lt;&gt;"""", GOOGLETRANSLATE(C8920, ""en"", ""te""),"""")"),"")</f>
        <v/>
      </c>
      <c r="E8920" s="2" t="s">
        <v>5095</v>
      </c>
      <c r="F8920" s="2" t="str">
        <f>IFERROR(__xludf.DUMMYFUNCTION("IF(E8920&lt;&gt;"""", GOOGLETRANSLATE(E8920, ""en"", ""te""),"""")"),"[ '23 వ అత్యంత వృద్ధ ఆటగాడు తొలి వంద (33y 290d) స్కోర్', 'మొదటి వికెట్కు 38 వ అత్యధిక భాగస్వామ్యం (203)' (కెప్టెన్సీ తొలి, '29th ఓల్డెస్ట్ కెప్టెన్లు,' ప్రదర్శనలు (7y 27d) మధ్య 25 లాంగెస్ట్ వ్యవధిలో '34y 294d) ']")</f>
        <v>[ '23 వ అత్యంత వృద్ధ ఆటగాడు తొలి వంద (33y 290d) స్కోర్', 'మొదటి వికెట్కు 38 వ అత్యధిక భాగస్వామ్యం (203)' (కెప్టెన్సీ తొలి, '29th ఓల్డెస్ట్ కెప్టెన్లు,' ప్రదర్శనలు (7y 27d) మధ్య 25 లాంగెస్ట్ వ్యవధిలో '34y 294d) ']</v>
      </c>
      <c r="G8920" s="2" t="s">
        <v>5096</v>
      </c>
      <c r="H8920" s="2" t="str">
        <f>IFERROR(__xludf.DUMMYFUNCTION("IF(G8920&lt;&gt;"""", GOOGLETRANSLATE(G8920, ""en"", ""te""),"""")"),"[ 'ఆరవ వికెట్కు 39 వ అత్యధిక భాగస్వామ్యం (65)', '48 వ ఓల్డెస్ట్ కెప్టెన్లు కెప్టెన్సీ తొలి (34y 263d)']")</f>
        <v>[ 'ఆరవ వికెట్కు 39 వ అత్యధిక భాగస్వామ్యం (65)', '48 వ ఓల్డెస్ట్ కెప్టెన్లు కెప్టెన్సీ తొలి (34y 263d)']</v>
      </c>
      <c r="I8920" s="3"/>
    </row>
    <row r="8921" customHeight="1" spans="1:9">
      <c r="A8921" s="2"/>
      <c r="B8921" s="2" t="str">
        <f>IFERROR(__xludf.DUMMYFUNCTION("IF(A8921&lt;&gt;"""", GOOGLETRANSLATE(A8921, ""en"", ""te""),"""")"),"")</f>
        <v/>
      </c>
      <c r="C8921" s="2"/>
      <c r="D8921" s="2" t="str">
        <f>IFERROR(__xludf.DUMMYFUNCTION("IF(C8921&lt;&gt;"""", GOOGLETRANSLATE(C8921, ""en"", ""te""),"""")"),"")</f>
        <v/>
      </c>
      <c r="E8921" s="2" t="s">
        <v>2320</v>
      </c>
      <c r="F8921" s="2" t="str">
        <f>IFERROR(__xludf.DUMMYFUNCTION("IF(E8921&lt;&gt;"""", GOOGLETRANSLATE(E8921, ""en"", ""te""),"""")"),"[ '15 వ ఉత్తమ తొలి ఇన్నింగ్స్లో గణాంకాలు (4)', '13 వ వరుస నాలుగు వికెట్లు-ఇన్-ఒక-ఇన్నింగ్స్ (2)']")</f>
        <v>[ '15 వ ఉత్తమ తొలి ఇన్నింగ్స్లో గణాంకాలు (4)', '13 వ వరుస నాలుగు వికెట్లు-ఇన్-ఒక-ఇన్నింగ్స్ (2)']</v>
      </c>
      <c r="G8921" s="2" t="s">
        <v>3383</v>
      </c>
      <c r="H8921" s="2" t="str">
        <f>IFERROR(__xludf.DUMMYFUNCTION("IF(G8921&lt;&gt;"""", GOOGLETRANSLATE(G8921, ""en"", ""te""),"""")"),"[ '37 వ అత్యధిక పరుగులు ఇన్నింగ్స్ (57) లో సాధించిన]")</f>
        <v>[ '37 వ అత్యధిక పరుగులు ఇన్నింగ్స్ (57) లో సాధించిన]</v>
      </c>
      <c r="I8921" s="3"/>
    </row>
    <row r="8922" customHeight="1" spans="1:9">
      <c r="A8922" s="2"/>
      <c r="B8922" s="2" t="str">
        <f>IFERROR(__xludf.DUMMYFUNCTION("IF(A8922&lt;&gt;"""", GOOGLETRANSLATE(A8922, ""en"", ""te""),"""")"),"")</f>
        <v/>
      </c>
      <c r="C8922" s="2"/>
      <c r="D8922" s="2" t="str">
        <f>IFERROR(__xludf.DUMMYFUNCTION("IF(C8922&lt;&gt;"""", GOOGLETRANSLATE(C8922, ""en"", ""te""),"""")"),"")</f>
        <v/>
      </c>
      <c r="E8922" s="2"/>
      <c r="F8922" s="2" t="str">
        <f>IFERROR(__xludf.DUMMYFUNCTION("IF(E8922&lt;&gt;"""", GOOGLETRANSLATE(E8922, ""en"", ""te""),"""")"),"")</f>
        <v/>
      </c>
      <c r="G8922" s="2" t="s">
        <v>5097</v>
      </c>
      <c r="H8922" s="2" t="str">
        <f>IFERROR(__xludf.DUMMYFUNCTION("IF(G8922&lt;&gt;"""", GOOGLETRANSLATE(G8922, ""en"", ""te""),"""")"),"[ 'ప్రవేశం (3) ఒక ఇన్నింగ్స్ లో 12 వ బెస్ట్ ఫిగర్స్' '20 వ అత్యుత్తమ ఇన్నింగ్స్ లో విశ్లేషణలు బౌలింగ్ (3/3)',]")</f>
        <v>[ 'ప్రవేశం (3) ఒక ఇన్నింగ్స్ లో 12 వ బెస్ట్ ఫిగర్స్' '20 వ అత్యుత్తమ ఇన్నింగ్స్ లో విశ్లేషణలు బౌలింగ్ (3/3)',]</v>
      </c>
      <c r="I8922" s="3"/>
    </row>
    <row r="8923" customHeight="1" spans="1:9">
      <c r="A8923" s="2"/>
      <c r="B8923" s="2" t="str">
        <f>IFERROR(__xludf.DUMMYFUNCTION("IF(A8923&lt;&gt;"""", GOOGLETRANSLATE(A8923, ""en"", ""te""),"""")"),"")</f>
        <v/>
      </c>
      <c r="C8923" s="2"/>
      <c r="D8923" s="2" t="str">
        <f>IFERROR(__xludf.DUMMYFUNCTION("IF(C8923&lt;&gt;"""", GOOGLETRANSLATE(C8923, ""en"", ""te""),"""")"),"")</f>
        <v/>
      </c>
      <c r="E8923" s="2"/>
      <c r="F8923" s="2" t="str">
        <f>IFERROR(__xludf.DUMMYFUNCTION("IF(E8923&lt;&gt;"""", GOOGLETRANSLATE(E8923, ""en"", ""te""),"""")"),"")</f>
        <v/>
      </c>
      <c r="G8923" s="2"/>
      <c r="H8923" s="2" t="str">
        <f>IFERROR(__xludf.DUMMYFUNCTION("IF(G8923&lt;&gt;"""", GOOGLETRANSLATE(G8923, ""en"", ""te""),"""")"),"")</f>
        <v/>
      </c>
      <c r="I8923" s="3"/>
    </row>
    <row r="8924" customHeight="1" spans="1:9">
      <c r="A8924" s="2"/>
      <c r="B8924" s="2" t="str">
        <f>IFERROR(__xludf.DUMMYFUNCTION("IF(A8924&lt;&gt;"""", GOOGLETRANSLATE(A8924, ""en"", ""te""),"""")"),"")</f>
        <v/>
      </c>
      <c r="C8924" s="2"/>
      <c r="D8924" s="2" t="str">
        <f>IFERROR(__xludf.DUMMYFUNCTION("IF(C8924&lt;&gt;"""", GOOGLETRANSLATE(C8924, ""en"", ""te""),"""")"),"")</f>
        <v/>
      </c>
      <c r="E8924" s="2" t="s">
        <v>5098</v>
      </c>
      <c r="F8924" s="2" t="str">
        <f>IFERROR(__xludf.DUMMYFUNCTION("IF(E8924&lt;&gt;"""", GOOGLETRANSLATE(E8924, ""en"", ""te""),"""")"),"[ '23 వ తొలి మ్యాచ్ (87) లో నడుస్తుంది']")</f>
        <v>[ '23 వ తొలి మ్యాచ్ (87) లో నడుస్తుంది']</v>
      </c>
      <c r="G8924" s="2"/>
      <c r="H8924" s="2" t="str">
        <f>IFERROR(__xludf.DUMMYFUNCTION("IF(G8924&lt;&gt;"""", GOOGLETRANSLATE(G8924, ""en"", ""te""),"""")"),"")</f>
        <v/>
      </c>
      <c r="I8924" s="3"/>
    </row>
    <row r="8925" customHeight="1" spans="1:9">
      <c r="A8925" s="2"/>
      <c r="B8925" s="2" t="str">
        <f>IFERROR(__xludf.DUMMYFUNCTION("IF(A8925&lt;&gt;"""", GOOGLETRANSLATE(A8925, ""en"", ""te""),"""")"),"")</f>
        <v/>
      </c>
      <c r="C8925" s="2"/>
      <c r="D8925" s="2" t="str">
        <f>IFERROR(__xludf.DUMMYFUNCTION("IF(C8925&lt;&gt;"""", GOOGLETRANSLATE(C8925, ""en"", ""te""),"""")"),"")</f>
        <v/>
      </c>
      <c r="E8925" s="2"/>
      <c r="F8925" s="2" t="str">
        <f>IFERROR(__xludf.DUMMYFUNCTION("IF(E8925&lt;&gt;"""", GOOGLETRANSLATE(E8925, ""en"", ""te""),"""")"),"")</f>
        <v/>
      </c>
      <c r="G8925" s="2"/>
      <c r="H8925" s="2" t="str">
        <f>IFERROR(__xludf.DUMMYFUNCTION("IF(G8925&lt;&gt;"""", GOOGLETRANSLATE(G8925, ""en"", ""te""),"""")"),"")</f>
        <v/>
      </c>
      <c r="I8925" s="3"/>
    </row>
    <row r="8926" customHeight="1" spans="1:9">
      <c r="A8926" s="2"/>
      <c r="B8926" s="2" t="str">
        <f>IFERROR(__xludf.DUMMYFUNCTION("IF(A8926&lt;&gt;"""", GOOGLETRANSLATE(A8926, ""en"", ""te""),"""")"),"")</f>
        <v/>
      </c>
      <c r="C8926" s="2"/>
      <c r="D8926" s="2" t="str">
        <f>IFERROR(__xludf.DUMMYFUNCTION("IF(C8926&lt;&gt;"""", GOOGLETRANSLATE(C8926, ""en"", ""te""),"""")"),"")</f>
        <v/>
      </c>
      <c r="E8926" s="2"/>
      <c r="F8926" s="2" t="str">
        <f>IFERROR(__xludf.DUMMYFUNCTION("IF(E8926&lt;&gt;"""", GOOGLETRANSLATE(E8926, ""en"", ""te""),"""")"),"")</f>
        <v/>
      </c>
      <c r="G8926" s="2"/>
      <c r="H8926" s="2" t="str">
        <f>IFERROR(__xludf.DUMMYFUNCTION("IF(G8926&lt;&gt;"""", GOOGLETRANSLATE(G8926, ""en"", ""te""),"""")"),"")</f>
        <v/>
      </c>
      <c r="I8926" s="3"/>
    </row>
    <row r="8927" customHeight="1" spans="1:9">
      <c r="A8927" s="2"/>
      <c r="B8927" s="2" t="str">
        <f>IFERROR(__xludf.DUMMYFUNCTION("IF(A8927&lt;&gt;"""", GOOGLETRANSLATE(A8927, ""en"", ""te""),"""")"),"")</f>
        <v/>
      </c>
      <c r="C8927" s="2"/>
      <c r="D8927" s="2" t="str">
        <f>IFERROR(__xludf.DUMMYFUNCTION("IF(C8927&lt;&gt;"""", GOOGLETRANSLATE(C8927, ""en"", ""te""),"""")"),"")</f>
        <v/>
      </c>
      <c r="E8927" s="2"/>
      <c r="F8927" s="2" t="str">
        <f>IFERROR(__xludf.DUMMYFUNCTION("IF(E8927&lt;&gt;"""", GOOGLETRANSLATE(E8927, ""en"", ""te""),"""")"),"")</f>
        <v/>
      </c>
      <c r="G8927" s="2"/>
      <c r="H8927" s="2" t="str">
        <f>IFERROR(__xludf.DUMMYFUNCTION("IF(G8927&lt;&gt;"""", GOOGLETRANSLATE(G8927, ""en"", ""te""),"""")"),"")</f>
        <v/>
      </c>
      <c r="I8927" s="3"/>
    </row>
    <row r="8928" customHeight="1" spans="1:9">
      <c r="A8928" s="2" t="s">
        <v>5099</v>
      </c>
      <c r="B8928" s="2" t="str">
        <f>IFERROR(__xludf.DUMMYFUNCTION("IF(A8928&lt;&gt;"""", GOOGLETRANSLATE(A8928, ""en"", ""te""),"""")"),"[ 'ఒక ఇన్నింగ్స్ లో ఒక ప్రత్యామ్నాయంగా ద్వారా 1st అత్యధిక క్యాచ్లు (3)' 'బ్యాటింగ్ తెరవడం మరియు అదే మ్యాచ్ లో బౌలింగ్',]")</f>
        <v>[ 'ఒక ఇన్నింగ్స్ లో ఒక ప్రత్యామ్నాయంగా ద్వారా 1st అత్యధిక క్యాచ్లు (3)' 'బ్యాటింగ్ తెరవడం మరియు అదే మ్యాచ్ లో బౌలింగ్',]</v>
      </c>
      <c r="C8928" s="2"/>
      <c r="D8928" s="2" t="str">
        <f>IFERROR(__xludf.DUMMYFUNCTION("IF(C8928&lt;&gt;"""", GOOGLETRANSLATE(C8928, ""en"", ""te""),"""")"),"")</f>
        <v/>
      </c>
      <c r="E8928" s="2" t="s">
        <v>5100</v>
      </c>
      <c r="F8928" s="2" t="str">
        <f>IFERROR(__xludf.DUMMYFUNCTION("IF(E8928&lt;&gt;"""", GOOGLETRANSLATE(E8928, ""en"", ""te""),"""")"),"[ '48 వ అత్యధిక ఇన్నింగ్స్ లో సమ్మె రేటు (262.50)', '25 వ చెత్త కెరీర్ బౌలింగ్ సరాసరి (51.00)']")</f>
        <v>[ '48 వ అత్యధిక ఇన్నింగ్స్ లో సమ్మె రేటు (262.50)', '25 వ చెత్త కెరీర్ బౌలింగ్ సరాసరి (51.00)']</v>
      </c>
      <c r="G8928" s="2" t="s">
        <v>5101</v>
      </c>
      <c r="H8928" s="2" t="str">
        <f>IFERROR(__xludf.DUMMYFUNCTION("IF(G8928&lt;&gt;"""", GOOGLETRANSLATE(G8928, ""en"", ""te""),"""")"),"[ '15 వ ఇన్నింగ్స్ లో అత్యధిక క్యాచ్లు (3)', '1 వ ఇన్నింగ్స్ లో ఒక ప్రత్యామ్నాయంగా (3) ద్వారా అత్యధిక క్యాచ్లు']")</f>
        <v>[ '15 వ ఇన్నింగ్స్ లో అత్యధిక క్యాచ్లు (3)', '1 వ ఇన్నింగ్స్ లో ఒక ప్రత్యామ్నాయంగా (3) ద్వారా అత్యధిక క్యాచ్లు']</v>
      </c>
      <c r="I8928" s="3"/>
    </row>
    <row r="8929" customHeight="1" spans="1:9">
      <c r="A8929" s="2"/>
      <c r="B8929" s="2" t="str">
        <f>IFERROR(__xludf.DUMMYFUNCTION("IF(A8929&lt;&gt;"""", GOOGLETRANSLATE(A8929, ""en"", ""te""),"""")"),"")</f>
        <v/>
      </c>
      <c r="C8929" s="2"/>
      <c r="D8929" s="2" t="str">
        <f>IFERROR(__xludf.DUMMYFUNCTION("IF(C8929&lt;&gt;"""", GOOGLETRANSLATE(C8929, ""en"", ""te""),"""")"),"")</f>
        <v/>
      </c>
      <c r="E8929" s="2"/>
      <c r="F8929" s="2" t="str">
        <f>IFERROR(__xludf.DUMMYFUNCTION("IF(E8929&lt;&gt;"""", GOOGLETRANSLATE(E8929, ""en"", ""te""),"""")"),"")</f>
        <v/>
      </c>
      <c r="G8929" s="2"/>
      <c r="H8929" s="2" t="str">
        <f>IFERROR(__xludf.DUMMYFUNCTION("IF(G8929&lt;&gt;"""", GOOGLETRANSLATE(G8929, ""en"", ""te""),"""")"),"")</f>
        <v/>
      </c>
      <c r="I8929" s="3"/>
    </row>
    <row r="8930" customHeight="1" spans="1:9">
      <c r="A8930" s="2"/>
      <c r="B8930" s="2" t="str">
        <f>IFERROR(__xludf.DUMMYFUNCTION("IF(A8930&lt;&gt;"""", GOOGLETRANSLATE(A8930, ""en"", ""te""),"""")"),"")</f>
        <v/>
      </c>
      <c r="C8930" s="2"/>
      <c r="D8930" s="2" t="str">
        <f>IFERROR(__xludf.DUMMYFUNCTION("IF(C8930&lt;&gt;"""", GOOGLETRANSLATE(C8930, ""en"", ""te""),"""")"),"")</f>
        <v/>
      </c>
      <c r="E8930" s="2"/>
      <c r="F8930" s="2" t="str">
        <f>IFERROR(__xludf.DUMMYFUNCTION("IF(E8930&lt;&gt;"""", GOOGLETRANSLATE(E8930, ""en"", ""te""),"""")"),"")</f>
        <v/>
      </c>
      <c r="G8930" s="2"/>
      <c r="H8930" s="2" t="str">
        <f>IFERROR(__xludf.DUMMYFUNCTION("IF(G8930&lt;&gt;"""", GOOGLETRANSLATE(G8930, ""en"", ""te""),"""")"),"")</f>
        <v/>
      </c>
      <c r="I8930" s="3"/>
    </row>
    <row r="8931" customHeight="1" spans="1:9">
      <c r="A8931" s="2" t="s">
        <v>5102</v>
      </c>
      <c r="B8931" s="2" t="str">
        <f>IFERROR(__xludf.DUMMYFUNCTION("IF(A8931&lt;&gt;"""", GOOGLETRANSLATE(A8931, ""en"", ""te""),"""")"),"[ 'ఇన్నింగ్స్ లో 6 వ అత్యధిక పరుగులు (బ్యాటింగ్ స్థానంలో ప్రకారం) (127 *)', '7 వ అత్యధిక కెరీర్ సమ్మె రేటు (154.21)', '2 వ ఎక్కువ సిక్స్ ఇన్నింగ్స్ లో (14)', 'మొదటి వికెట్కు 3 వ అత్యధిక భాగస్వామ్యం (200) ']")</f>
        <v>[ 'ఇన్నింగ్స్ లో 6 వ అత్యధిక పరుగులు (బ్యాటింగ్ స్థానంలో ప్రకారం) (127 *)', '7 వ అత్యధిక కెరీర్ సమ్మె రేటు (154.21)', '2 వ ఎక్కువ సిక్స్ ఇన్నింగ్స్ లో (14)', 'మొదటి వికెట్కు 3 వ అత్యధిక భాగస్వామ్యం (200) ']</v>
      </c>
      <c r="C8931" s="2"/>
      <c r="D8931" s="2" t="str">
        <f>IFERROR(__xludf.DUMMYFUNCTION("IF(C8931&lt;&gt;"""", GOOGLETRANSLATE(C8931, ""en"", ""te""),"""")"),"")</f>
        <v/>
      </c>
      <c r="E8931" s="2"/>
      <c r="F8931" s="2" t="str">
        <f>IFERROR(__xludf.DUMMYFUNCTION("IF(E8931&lt;&gt;"""", GOOGLETRANSLATE(E8931, ""en"", ""te""),"""")"),"")</f>
        <v/>
      </c>
      <c r="G8931" s="2" t="s">
        <v>5103</v>
      </c>
      <c r="H8931" s="2" t="str">
        <f>IFERROR(__xludf.DUMMYFUNCTION("IF(G8931&lt;&gt;"""", GOOGLETRANSLATE(G8931, ""en"", ""te""),"""")"),"[ '(526) ఒక క్యాలెండర్ సంవత్సరంలో 15 వ అత్యధిక పరుగులు', 'ఇన్నింగ్స్ (127 *) లో 6 వ అత్యధిక పరుగులు' 'ఇన్నింగ్స్ లో 6 వ అత్యధిక పరుగులు (బ్యాటింగ్ స్థానంలో ప్రకారం) (127 *)', '7 వ అత్యధిక కెరీర్ సమ్మె రేటు (154.21) ',' ఇన్నింగ్స్ 28 వ అత్యధిక స్ట్రైక్ రే"&amp;"ట్ (290.90) ',' 48 వ అత్యధిక కెరీర్ లో అర్ధ (6) ',' 46 వ కెరీర్ లో వచ్చిన ఎక్కువ సిక్స్ (45) ',' 49 వ కెరీర్ ఫోర్లు (114) ',' ఇన్నింగ్స్ లో 2 వ ఎక్కువ సిక్స్ (14) ',' 31 ఇన్నింగ్స్ లో వచ్చిన ఎక్కువ ఫోర్లు (11) ',' 6 వ ఇన్నింగ్స్ లో ఒక ఇన్నింగ్స్ లో ఫోర్లు"&amp;", సిక్సర్లు (104) ',' 15 వ అత్యధిక క్యాచ్లు నుండి అత్యధిక పరుగులు ( 3) ',' 3 వ ఏ వికెట్కు అత్యధిక భాగస్వామ్యాల (200) ',' తొలి వికెట్కు (200 3 వ అత్యధిక భాగస్వామ్యం) ']")</f>
        <v>[ '(526) ఒక క్యాలెండర్ సంవత్సరంలో 15 వ అత్యధిక పరుగులు', 'ఇన్నింగ్స్ (127 *) లో 6 వ అత్యధిక పరుగులు' 'ఇన్నింగ్స్ లో 6 వ అత్యధిక పరుగులు (బ్యాటింగ్ స్థానంలో ప్రకారం) (127 *)', '7 వ అత్యధిక కెరీర్ సమ్మె రేటు (154.21) ',' ఇన్నింగ్స్ 28 వ అత్యధిక స్ట్రైక్ రేట్ (290.90) ',' 48 వ అత్యధిక కెరీర్ లో అర్ధ (6) ',' 46 వ కెరీర్ లో వచ్చిన ఎక్కువ సిక్స్ (45) ',' 49 వ కెరీర్ ఫోర్లు (114) ',' ఇన్నింగ్స్ లో 2 వ ఎక్కువ సిక్స్ (14) ',' 31 ఇన్నింగ్స్ లో వచ్చిన ఎక్కువ ఫోర్లు (11) ',' 6 వ ఇన్నింగ్స్ లో ఒక ఇన్నింగ్స్ లో ఫోర్లు, సిక్సర్లు (104) ',' 15 వ అత్యధిక క్యాచ్లు నుండి అత్యధిక పరుగులు ( 3) ',' 3 వ ఏ వికెట్కు అత్యధిక భాగస్వామ్యాల (200) ',' తొలి వికెట్కు (200 3 వ అత్యధిక భాగస్వామ్యం) ']</v>
      </c>
      <c r="I8931" s="3"/>
    </row>
    <row r="8932" customHeight="1" spans="1:9">
      <c r="A8932" s="2"/>
      <c r="B8932" s="2" t="str">
        <f>IFERROR(__xludf.DUMMYFUNCTION("IF(A8932&lt;&gt;"""", GOOGLETRANSLATE(A8932, ""en"", ""te""),"""")"),"")</f>
        <v/>
      </c>
      <c r="C8932" s="2"/>
      <c r="D8932" s="2" t="str">
        <f>IFERROR(__xludf.DUMMYFUNCTION("IF(C8932&lt;&gt;"""", GOOGLETRANSLATE(C8932, ""en"", ""te""),"""")"),"")</f>
        <v/>
      </c>
      <c r="E8932" s="2" t="s">
        <v>3570</v>
      </c>
      <c r="F8932" s="2" t="str">
        <f>IFERROR(__xludf.DUMMYFUNCTION("IF(E8932&lt;&gt;"""", GOOGLETRANSLATE(E8932, ""en"", ""te""),"""")"),"[ '16 వ ఇన్నింగ్స్ లో అత్యధిక వికెట్లు (5)']")</f>
        <v>[ '16 వ ఇన్నింగ్స్ లో అత్యధిక వికెట్లు (5)']</v>
      </c>
      <c r="G8932" s="2"/>
      <c r="H8932" s="2" t="str">
        <f>IFERROR(__xludf.DUMMYFUNCTION("IF(G8932&lt;&gt;"""", GOOGLETRANSLATE(G8932, ""en"", ""te""),"""")"),"")</f>
        <v/>
      </c>
      <c r="I8932" s="3"/>
    </row>
    <row r="8933" customHeight="1" spans="1:9">
      <c r="A8933" s="2" t="s">
        <v>5104</v>
      </c>
      <c r="B8933" s="2" t="str">
        <f>IFERROR(__xludf.DUMMYFUNCTION("IF(A8933&lt;&gt;"""", GOOGLETRANSLATE(A8933, ""en"", ""te""),"""")"),"[ 'ఎనిమిదవ వికెట్కు 1st అత్యధిక భాగస్వామ్యం (80)' '9 వ అత్యంత ఇన్నింగ్స్ లో నడుస్తుంది (బ్యాటింగ్ స్థానం) (68 *)',]")</f>
        <v>[ 'ఎనిమిదవ వికెట్కు 1st అత్యధిక భాగస్వామ్యం (80)' '9 వ అత్యంత ఇన్నింగ్స్ లో నడుస్తుంది (బ్యాటింగ్ స్థానం) (68 *)',]</v>
      </c>
      <c r="C8933" s="2"/>
      <c r="D8933" s="2" t="str">
        <f>IFERROR(__xludf.DUMMYFUNCTION("IF(C8933&lt;&gt;"""", GOOGLETRANSLATE(C8933, ""en"", ""te""),"""")"),"")</f>
        <v/>
      </c>
      <c r="E8933" s="2" t="s">
        <v>5105</v>
      </c>
      <c r="F8933" s="2" t="str">
        <f>IFERROR(__xludf.DUMMYFUNCTION("IF(E8933&lt;&gt;"""", GOOGLETRANSLATE(E8933, ""en"", ""te""),"""")"),"[ 'ఒక కెప్టెన్తో ఇన్నింగ్స్ లో 30 వ అత్యధిక పరుగులు (139 *)', '38 వ అత్యధిక తొలి వంద (139 *)']")</f>
        <v>[ 'ఒక కెప్టెన్తో ఇన్నింగ్స్ లో 30 వ అత్యధిక పరుగులు (139 *)', '38 వ అత్యధిక తొలి వంద (139 *)']</v>
      </c>
      <c r="G8933" s="2" t="s">
        <v>5106</v>
      </c>
      <c r="H8933" s="2" t="str">
        <f>IFERROR(__xludf.DUMMYFUNCTION("IF(G8933&lt;&gt;"""", GOOGLETRANSLATE(G8933, ""en"", ""te""),"""")"),"[ 'ఇన్నింగ్స్ లో 9 వ అత్యధిక పరుగులు (68 *) (బ్యాటింగ్ స్థానం)', 'వికెట్ తేడాతో 8 వ అత్యధిక భాగస్వామ్యాల (8 వ)', 'ఎనిమిదవ వికెట్కు 1st అత్యధిక భాగస్వామ్యం (80)', '44 వ కెప్టెన్గా అత్యధిక మ్యాచ్లు ( 17) ',' 41 వ పిన్న కాప్టెన్ (25y 263d) ']")</f>
        <v>[ 'ఇన్నింగ్స్ లో 9 వ అత్యధిక పరుగులు (68 *) (బ్యాటింగ్ స్థానం)', 'వికెట్ తేడాతో 8 వ అత్యధిక భాగస్వామ్యాల (8 వ)', 'ఎనిమిదవ వికెట్కు 1st అత్యధిక భాగస్వామ్యం (80)', '44 వ కెప్టెన్గా అత్యధిక మ్యాచ్లు ( 17) ',' 41 వ పిన్న కాప్టెన్ (25y 263d) ']</v>
      </c>
      <c r="I8933" s="3"/>
    </row>
    <row r="8934" customHeight="1" spans="1:9">
      <c r="A8934" s="2" t="s">
        <v>5107</v>
      </c>
      <c r="B8934" s="2" t="str">
        <f>IFERROR(__xludf.DUMMYFUNCTION("IF(A8934&lt;&gt;"""", GOOGLETRANSLATE(A8934, ""en"", ""te""),"""")"),"[ '5 వ అత్యధిక తొలి వంద (175)' '99 నాటౌట్ (199, 299 etc) (99 *)', '8 వ అత్యంత ఫోర్లు ఒక ఇన్నింగ్స్ లో (23)', '2 వ అత్యధిక క్యాచ్లు ఒక ఇన్నింగ్స్ లో (4) ',' మూడో వికెట్ (127) కోసం 10 వ అత్యధిక భాగస్వామ్యం ']")</f>
        <v>[ '5 వ అత్యధిక తొలి వంద (175)' '99 నాటౌట్ (199, 299 etc) (99 *)', '8 వ అత్యంత ఫోర్లు ఒక ఇన్నింగ్స్ లో (23)', '2 వ అత్యధిక క్యాచ్లు ఒక ఇన్నింగ్స్ లో (4) ',' మూడో వికెట్ (127) కోసం 10 వ అత్యధిక భాగస్వామ్యం ']</v>
      </c>
      <c r="C8934" s="2"/>
      <c r="D8934" s="2" t="str">
        <f>IFERROR(__xludf.DUMMYFUNCTION("IF(C8934&lt;&gt;"""", GOOGLETRANSLATE(C8934, ""en"", ""te""),"""")"),"")</f>
        <v/>
      </c>
      <c r="E8934" s="2" t="s">
        <v>5108</v>
      </c>
      <c r="F8934" s="2" t="str">
        <f>IFERROR(__xludf.DUMMYFUNCTION("IF(E8934&lt;&gt;"""", GOOGLETRANSLATE(E8934, ""en"", ""te""),"""")"),"[ '37 వ ఇన్నింగ్స్ లో అత్యధిక పరుగులు (175)', '13 వ ఇన్నింగ్స్ లో అత్యధిక పరుగులు (బ్యాటింగ్ స్థానంలో ప్రకారం) (157 *)', '5 వ అత్యధిక తొలి వంద (175)', '8 వ ఇన్నింగ్స్ లో వచ్చిన ఎక్కువ ఫోర్లు (23 ) ',' 24th లాంగెస్ట్ వ్యక్తిగత ఇన్నింగ్స్ (బంతులతో) (163) ',"&amp;"' 40 వ అత్యధిక ఇన్నింగ్స్ లో (55.39) ',' 2 వ అత్యధిక క్యాచ్లు ఒక ఇన్నింగ్స్లో పరుగుల శాతం (4) ',' 24th చాలా లో క్యాచ్లు సిరీస్ (8) ',' మూడో వికెట్ (208) 25 వ అత్యధిక భాగస్వామ్యం ']")</f>
        <v>[ '37 వ ఇన్నింగ్స్ లో అత్యధిక పరుగులు (175)', '13 వ ఇన్నింగ్స్ లో అత్యధిక పరుగులు (బ్యాటింగ్ స్థానంలో ప్రకారం) (157 *)', '5 వ అత్యధిక తొలి వంద (175)', '8 వ ఇన్నింగ్స్ లో వచ్చిన ఎక్కువ ఫోర్లు (23 ) ',' 24th లాంగెస్ట్ వ్యక్తిగత ఇన్నింగ్స్ (బంతులతో) (163) ',' 40 వ అత్యధిక ఇన్నింగ్స్ లో (55.39) ',' 2 వ అత్యధిక క్యాచ్లు ఒక ఇన్నింగ్స్లో పరుగుల శాతం (4) ',' 24th చాలా లో క్యాచ్లు సిరీస్ (8) ',' మూడో వికెట్ (208) 25 వ అత్యధిక భాగస్వామ్యం ']</v>
      </c>
      <c r="G8934" s="2" t="s">
        <v>5109</v>
      </c>
      <c r="H8934" s="2" t="str">
        <f>IFERROR(__xludf.DUMMYFUNCTION("IF(G8934&lt;&gt;"""", GOOGLETRANSLATE(G8934, ""en"", ""te""),"""")"),"[ '28 ఒక క్యాలెండర్ సంవత్సరంలో అత్యధిక పరుగులు (440)', '41 వ అత్యంత అర్ధ కెరీర్లో (7)', 'ఫాస్టెస్ట్ 1000 పరుగులు 37 వ (44)', '36 వ కెరీర్ లో అత్యధిక క్యాచ్లు (27)', '1st చాలా ఒక ఇన్నింగ్స్ లో క్యాచ్లు (4) మూడో వికెట్కు (127) కోసం ',' 10 వ అత్యధిక భాగస్వామ"&amp;"్యం ']")</f>
        <v>[ '28 ఒక క్యాలెండర్ సంవత్సరంలో అత్యధిక పరుగులు (440)', '41 వ అత్యంత అర్ధ కెరీర్లో (7)', 'ఫాస్టెస్ట్ 1000 పరుగులు 37 వ (44)', '36 వ కెరీర్ లో అత్యధిక క్యాచ్లు (27)', '1st చాలా ఒక ఇన్నింగ్స్ లో క్యాచ్లు (4) మూడో వికెట్కు (127) కోసం ',' 10 వ అత్యధిక భాగస్వామ్యం ']</v>
      </c>
      <c r="I8934" s="3"/>
    </row>
    <row r="8935" customHeight="1" spans="1:9">
      <c r="A8935" s="2"/>
      <c r="B8935" s="2" t="str">
        <f>IFERROR(__xludf.DUMMYFUNCTION("IF(A8935&lt;&gt;"""", GOOGLETRANSLATE(A8935, ""en"", ""te""),"""")"),"")</f>
        <v/>
      </c>
      <c r="C8935" s="2"/>
      <c r="D8935" s="2" t="str">
        <f>IFERROR(__xludf.DUMMYFUNCTION("IF(C8935&lt;&gt;"""", GOOGLETRANSLATE(C8935, ""en"", ""te""),"""")"),"")</f>
        <v/>
      </c>
      <c r="E8935" s="2"/>
      <c r="F8935" s="2" t="str">
        <f>IFERROR(__xludf.DUMMYFUNCTION("IF(E8935&lt;&gt;"""", GOOGLETRANSLATE(E8935, ""en"", ""te""),"""")"),"")</f>
        <v/>
      </c>
      <c r="G8935" s="2" t="s">
        <v>5110</v>
      </c>
      <c r="H8935" s="2" t="str">
        <f>IFERROR(__xludf.DUMMYFUNCTION("IF(G8935&lt;&gt;"""", GOOGLETRANSLATE(G8935, ""en"", ""te""),"""")"),"[ '44 వ అత్యుత్తమ ఇన్నింగ్స్ (2/4) విశ్లేషణలలో బౌలింగ్']")</f>
        <v>[ '44 వ అత్యుత్తమ ఇన్నింగ్స్ (2/4) విశ్లేషణలలో బౌలింగ్']</v>
      </c>
      <c r="I8935" s="3"/>
    </row>
    <row r="8936" customHeight="1" spans="1:9">
      <c r="A8936" s="2" t="s">
        <v>5111</v>
      </c>
      <c r="B8936" s="2" t="str">
        <f>IFERROR(__xludf.DUMMYFUNCTION("IF(A8936&lt;&gt;"""", GOOGLETRANSLATE(A8936, ""en"", ""te""),"""")"),"[ 'ఇన్నింగ్స్ లో 4 వ అత్యధిక పరుగులు (బ్యాటింగ్ స్థానంలో ప్రకారం) (30 *)', 'ఎనిమిదవ వికెట్ (42 *) కోసం 2 వ అత్యధిక భాగస్వామ్యం']")</f>
        <v>[ 'ఇన్నింగ్స్ లో 4 వ అత్యధిక పరుగులు (బ్యాటింగ్ స్థానంలో ప్రకారం) (30 *)', 'ఎనిమిదవ వికెట్ (42 *) కోసం 2 వ అత్యధిక భాగస్వామ్యం']</v>
      </c>
      <c r="C8936" s="2"/>
      <c r="D8936" s="2" t="str">
        <f>IFERROR(__xludf.DUMMYFUNCTION("IF(C8936&lt;&gt;"""", GOOGLETRANSLATE(C8936, ""en"", ""te""),"""")"),"")</f>
        <v/>
      </c>
      <c r="E8936" s="2"/>
      <c r="F8936" s="2" t="str">
        <f>IFERROR(__xludf.DUMMYFUNCTION("IF(E8936&lt;&gt;"""", GOOGLETRANSLATE(E8936, ""en"", ""te""),"""")"),"")</f>
        <v/>
      </c>
      <c r="G8936" s="2" t="s">
        <v>5111</v>
      </c>
      <c r="H8936" s="2" t="str">
        <f>IFERROR(__xludf.DUMMYFUNCTION("IF(G8936&lt;&gt;"""", GOOGLETRANSLATE(G8936, ""en"", ""te""),"""")"),"[ 'ఇన్నింగ్స్ లో 4 వ అత్యధిక పరుగులు (బ్యాటింగ్ స్థానంలో ప్రకారం) (30 *)', 'ఎనిమిదవ వికెట్ (42 *) కోసం 2 వ అత్యధిక భాగస్వామ్యం']")</f>
        <v>[ 'ఇన్నింగ్స్ లో 4 వ అత్యధిక పరుగులు (బ్యాటింగ్ స్థానంలో ప్రకారం) (30 *)', 'ఎనిమిదవ వికెట్ (42 *) కోసం 2 వ అత్యధిక భాగస్వామ్యం']</v>
      </c>
      <c r="I8936" s="3"/>
    </row>
    <row r="8937" customHeight="1" spans="1:9">
      <c r="A8937" s="2" t="s">
        <v>5112</v>
      </c>
      <c r="B8937" s="2" t="str">
        <f>IFERROR(__xludf.DUMMYFUNCTION("IF(A8937&lt;&gt;"""", GOOGLETRANSLATE(A8937, ""en"", ""te""),"""")"),"[ '9 వ ఎక్కువ (121 *) ఒక ఇన్నింగ్స్ లో నడుస్తుంది (బ్యాటింగ్ స్థానం)']")</f>
        <v>[ '9 వ ఎక్కువ (121 *) ఒక ఇన్నింగ్స్ లో నడుస్తుంది (బ్యాటింగ్ స్థానం)']</v>
      </c>
      <c r="C8937" s="2"/>
      <c r="D8937" s="2" t="str">
        <f>IFERROR(__xludf.DUMMYFUNCTION("IF(C8937&lt;&gt;"""", GOOGLETRANSLATE(C8937, ""en"", ""te""),"""")"),"")</f>
        <v/>
      </c>
      <c r="E8937" s="2" t="s">
        <v>5113</v>
      </c>
      <c r="F8937" s="2" t="str">
        <f>IFERROR(__xludf.DUMMYFUNCTION("IF(E8937&lt;&gt;"""", GOOGLETRANSLATE(E8937, ""en"", ""te""),"""")"),"[ 'ఏడవ వికెట్కు 36 వ అత్యధిక భాగస్వామ్యం (104)' '9 వ అత్యంత ఇన్నింగ్స్ లో నడుస్తుంది (బ్యాటింగ్ స్థానం) (121 *)',]")</f>
        <v>[ 'ఏడవ వికెట్కు 36 వ అత్యధిక భాగస్వామ్యం (104)' '9 వ అత్యంత ఇన్నింగ్స్ లో నడుస్తుంది (బ్యాటింగ్ స్థానం) (121 *)',]</v>
      </c>
      <c r="G8937" s="2"/>
      <c r="H8937" s="2" t="str">
        <f>IFERROR(__xludf.DUMMYFUNCTION("IF(G8937&lt;&gt;"""", GOOGLETRANSLATE(G8937, ""en"", ""te""),"""")"),"")</f>
        <v/>
      </c>
      <c r="I8937" s="3"/>
    </row>
    <row r="8938" customHeight="1" spans="1:9">
      <c r="A8938" s="2"/>
      <c r="B8938" s="2" t="str">
        <f>IFERROR(__xludf.DUMMYFUNCTION("IF(A8938&lt;&gt;"""", GOOGLETRANSLATE(A8938, ""en"", ""te""),"""")"),"")</f>
        <v/>
      </c>
      <c r="C8938" s="2"/>
      <c r="D8938" s="2" t="str">
        <f>IFERROR(__xludf.DUMMYFUNCTION("IF(C8938&lt;&gt;"""", GOOGLETRANSLATE(C8938, ""en"", ""te""),"""")"),"")</f>
        <v/>
      </c>
      <c r="E8938" s="2"/>
      <c r="F8938" s="2" t="str">
        <f>IFERROR(__xludf.DUMMYFUNCTION("IF(E8938&lt;&gt;"""", GOOGLETRANSLATE(E8938, ""en"", ""te""),"""")"),"")</f>
        <v/>
      </c>
      <c r="G8938" s="2"/>
      <c r="H8938" s="2" t="str">
        <f>IFERROR(__xludf.DUMMYFUNCTION("IF(G8938&lt;&gt;"""", GOOGLETRANSLATE(G8938, ""en"", ""te""),"""")"),"")</f>
        <v/>
      </c>
      <c r="I8938" s="3"/>
    </row>
    <row r="8939" customHeight="1" spans="1:9">
      <c r="A8939" s="2" t="s">
        <v>5114</v>
      </c>
      <c r="B8939" s="2" t="str">
        <f>IFERROR(__xludf.DUMMYFUNCTION("IF(A8939&lt;&gt;"""", GOOGLETRANSLATE(A8939, ""en"", ""te""),"""")"),"[ '10 వ బౌలర్ / ఫీల్డర్ కలయికలు (11)', '(3) ఇన్నింగ్స్ లో 3 వ అత్యధిక క్యాచ్లు']")</f>
        <v>[ '10 వ బౌలర్ / ఫీల్డర్ కలయికలు (11)', '(3) ఇన్నింగ్స్ లో 3 వ అత్యధిక క్యాచ్లు']</v>
      </c>
      <c r="C8939" s="2"/>
      <c r="D8939" s="2" t="str">
        <f>IFERROR(__xludf.DUMMYFUNCTION("IF(C8939&lt;&gt;"""", GOOGLETRANSLATE(C8939, ""en"", ""te""),"""")"),"")</f>
        <v/>
      </c>
      <c r="E8939" s="2"/>
      <c r="F8939" s="2" t="str">
        <f>IFERROR(__xludf.DUMMYFUNCTION("IF(E8939&lt;&gt;"""", GOOGLETRANSLATE(E8939, ""en"", ""te""),"""")"),"")</f>
        <v/>
      </c>
      <c r="G8939" s="2" t="s">
        <v>5115</v>
      </c>
      <c r="H8939" s="2" t="str">
        <f>IFERROR(__xludf.DUMMYFUNCTION("IF(G8939&lt;&gt;"""", GOOGLETRANSLATE(G8939, ""en"", ""te""),"""")"),"[ '26 అత్యుత్తమ ఇన్నింగ్స్ లో బౌలింగ్ విశ్లేషణలు (2/3)', 'తొలి ఇన్నింగ్స్ 12 వ బెస్ట్ ఫిగర్స్ (3)', '10 వ బౌలర్ / ఫీల్డర్ కలయికలు (11)', '25 వ అత్యధిక వికెట్లు స్టంప్ తీసుకున్న (7) ',' (3) ఇన్నింగ్స్ లో 3 వ అత్యధిక క్యాచ్లు ']")</f>
        <v>[ '26 అత్యుత్తమ ఇన్నింగ్స్ లో బౌలింగ్ విశ్లేషణలు (2/3)', 'తొలి ఇన్నింగ్స్ 12 వ బెస్ట్ ఫిగర్స్ (3)', '10 వ బౌలర్ / ఫీల్డర్ కలయికలు (11)', '25 వ అత్యధిక వికెట్లు స్టంప్ తీసుకున్న (7) ',' (3) ఇన్నింగ్స్ లో 3 వ అత్యధిక క్యాచ్లు ']</v>
      </c>
      <c r="I8939" s="3"/>
    </row>
    <row r="8940" customHeight="1" spans="1:9">
      <c r="A8940" s="2" t="s">
        <v>5116</v>
      </c>
      <c r="B8940" s="2" t="str">
        <f>IFERROR(__xludf.DUMMYFUNCTION("IF(A8940&lt;&gt;"""", GOOGLETRANSLATE(A8940, ""en"", ""te""),"""")"),"[ '4 వ అత్యంత ఇన్నింగ్స్ లో నడుస్తుంది (బ్యాటింగ్ స్థానం) (13 *)', '1 వ అత్యంత పనికత్తెలయొద్ద ఇన్నింగ్స్ (2)']")</f>
        <v>[ '4 వ అత్యంత ఇన్నింగ్స్ లో నడుస్తుంది (బ్యాటింగ్ స్థానం) (13 *)', '1 వ అత్యంత పనికత్తెలయొద్ద ఇన్నింగ్స్ (2)']</v>
      </c>
      <c r="C8940" s="2"/>
      <c r="D8940" s="2" t="str">
        <f>IFERROR(__xludf.DUMMYFUNCTION("IF(C8940&lt;&gt;"""", GOOGLETRANSLATE(C8940, ""en"", ""te""),"""")"),"")</f>
        <v/>
      </c>
      <c r="E8940" s="2"/>
      <c r="F8940" s="2" t="str">
        <f>IFERROR(__xludf.DUMMYFUNCTION("IF(E8940&lt;&gt;"""", GOOGLETRANSLATE(E8940, ""en"", ""te""),"""")"),"")</f>
        <v/>
      </c>
      <c r="G8940" s="2" t="s">
        <v>5117</v>
      </c>
      <c r="H8940" s="2" t="str">
        <f>IFERROR(__xludf.DUMMYFUNCTION("IF(G8940&lt;&gt;"""", GOOGLETRANSLATE(G8940, ""en"", ""te""),"""")"),"[ '4 వ అత్యంత ఇన్నింగ్స్ లో నడుస్తుంది (బ్యాటింగ్ స్థానం) (13 *)', 'కెరీర్ లో 19 వ అత్యంత పనికత్తెలయొద్ద (3)', 'ఇన్నింగ్స్ లో 1 వ అత్యంత పనికత్తెలయొద్ద (2)']")</f>
        <v>[ '4 వ అత్యంత ఇన్నింగ్స్ లో నడుస్తుంది (బ్యాటింగ్ స్థానం) (13 *)', 'కెరీర్ లో 19 వ అత్యంత పనికత్తెలయొద్ద (3)', 'ఇన్నింగ్స్ లో 1 వ అత్యంత పనికత్తెలయొద్ద (2)']</v>
      </c>
      <c r="I8940" s="3"/>
    </row>
    <row r="8941" customHeight="1" spans="1:9">
      <c r="A8941" s="2"/>
      <c r="B8941" s="2" t="str">
        <f>IFERROR(__xludf.DUMMYFUNCTION("IF(A8941&lt;&gt;"""", GOOGLETRANSLATE(A8941, ""en"", ""te""),"""")"),"")</f>
        <v/>
      </c>
      <c r="C8941" s="2"/>
      <c r="D8941" s="2" t="str">
        <f>IFERROR(__xludf.DUMMYFUNCTION("IF(C8941&lt;&gt;"""", GOOGLETRANSLATE(C8941, ""en"", ""te""),"""")"),"")</f>
        <v/>
      </c>
      <c r="E8941" s="2"/>
      <c r="F8941" s="2" t="str">
        <f>IFERROR(__xludf.DUMMYFUNCTION("IF(E8941&lt;&gt;"""", GOOGLETRANSLATE(E8941, ""en"", ""te""),"""")"),"")</f>
        <v/>
      </c>
      <c r="G8941" s="2"/>
      <c r="H8941" s="2" t="str">
        <f>IFERROR(__xludf.DUMMYFUNCTION("IF(G8941&lt;&gt;"""", GOOGLETRANSLATE(G8941, ""en"", ""te""),"""")"),"")</f>
        <v/>
      </c>
      <c r="I8941" s="3"/>
    </row>
    <row r="8942" customHeight="1" spans="1:9">
      <c r="A8942" s="2"/>
      <c r="B8942" s="2" t="str">
        <f>IFERROR(__xludf.DUMMYFUNCTION("IF(A8942&lt;&gt;"""", GOOGLETRANSLATE(A8942, ""en"", ""te""),"""")"),"")</f>
        <v/>
      </c>
      <c r="C8942" s="2"/>
      <c r="D8942" s="2" t="str">
        <f>IFERROR(__xludf.DUMMYFUNCTION("IF(C8942&lt;&gt;"""", GOOGLETRANSLATE(C8942, ""en"", ""te""),"""")"),"")</f>
        <v/>
      </c>
      <c r="E8942" s="2" t="s">
        <v>5118</v>
      </c>
      <c r="F8942" s="2" t="str">
        <f>IFERROR(__xludf.DUMMYFUNCTION("IF(E8942&lt;&gt;"""", GOOGLETRANSLATE(E8942, ""en"", ""te""),"""")"),"[ 'తొలి 15 నాడు ఓల్డెస్ట్ క్రీడాకారులు (40y 341d)', '28th ఓల్డెస్ట్ క్రీడాకారులు (40y 349d)']")</f>
        <v>[ 'తొలి 15 నాడు ఓల్డెస్ట్ క్రీడాకారులు (40y 341d)', '28th ఓల్డెస్ట్ క్రీడాకారులు (40y 349d)']</v>
      </c>
      <c r="G8942" s="2"/>
      <c r="H8942" s="2" t="str">
        <f>IFERROR(__xludf.DUMMYFUNCTION("IF(G8942&lt;&gt;"""", GOOGLETRANSLATE(G8942, ""en"", ""te""),"""")"),"")</f>
        <v/>
      </c>
      <c r="I8942" s="3"/>
    </row>
    <row r="8943" customHeight="1" spans="1:9">
      <c r="A8943" s="2" t="s">
        <v>749</v>
      </c>
      <c r="B8943" s="2" t="str">
        <f>IFERROR(__xludf.DUMMYFUNCTION("IF(A8943&lt;&gt;"""", GOOGLETRANSLATE(A8943, ""en"", ""te""),"""")"),"[ '6 వ అత్యధిక వరుస బాతులు (3)']")</f>
        <v>[ '6 వ అత్యధిక వరుస బాతులు (3)']</v>
      </c>
      <c r="C8943" s="2"/>
      <c r="D8943" s="2" t="str">
        <f>IFERROR(__xludf.DUMMYFUNCTION("IF(C8943&lt;&gt;"""", GOOGLETRANSLATE(C8943, ""en"", ""te""),"""")"),"")</f>
        <v/>
      </c>
      <c r="E8943" s="2" t="s">
        <v>749</v>
      </c>
      <c r="F8943" s="2" t="str">
        <f>IFERROR(__xludf.DUMMYFUNCTION("IF(E8943&lt;&gt;"""", GOOGLETRANSLATE(E8943, ""en"", ""te""),"""")"),"[ '6 వ అత్యధిక వరుస బాతులు (3)']")</f>
        <v>[ '6 వ అత్యధిక వరుస బాతులు (3)']</v>
      </c>
      <c r="G8943" s="2"/>
      <c r="H8943" s="2" t="str">
        <f>IFERROR(__xludf.DUMMYFUNCTION("IF(G8943&lt;&gt;"""", GOOGLETRANSLATE(G8943, ""en"", ""te""),"""")"),"")</f>
        <v/>
      </c>
      <c r="I8943" s="3"/>
    </row>
    <row r="8944" customHeight="1" spans="1:9">
      <c r="A8944" s="2"/>
      <c r="B8944" s="2" t="str">
        <f>IFERROR(__xludf.DUMMYFUNCTION("IF(A8944&lt;&gt;"""", GOOGLETRANSLATE(A8944, ""en"", ""te""),"""")"),"")</f>
        <v/>
      </c>
      <c r="C8944" s="2"/>
      <c r="D8944" s="2" t="str">
        <f>IFERROR(__xludf.DUMMYFUNCTION("IF(C8944&lt;&gt;"""", GOOGLETRANSLATE(C8944, ""en"", ""te""),"""")"),"")</f>
        <v/>
      </c>
      <c r="E8944" s="2"/>
      <c r="F8944" s="2" t="str">
        <f>IFERROR(__xludf.DUMMYFUNCTION("IF(E8944&lt;&gt;"""", GOOGLETRANSLATE(E8944, ""en"", ""te""),"""")"),"")</f>
        <v/>
      </c>
      <c r="G8944" s="2"/>
      <c r="H8944" s="2" t="str">
        <f>IFERROR(__xludf.DUMMYFUNCTION("IF(G8944&lt;&gt;"""", GOOGLETRANSLATE(G8944, ""en"", ""te""),"""")"),"")</f>
        <v/>
      </c>
      <c r="I8944" s="3"/>
    </row>
    <row r="8945" customHeight="1" spans="1:9">
      <c r="A8945" s="2"/>
      <c r="B8945" s="2" t="str">
        <f>IFERROR(__xludf.DUMMYFUNCTION("IF(A8945&lt;&gt;"""", GOOGLETRANSLATE(A8945, ""en"", ""te""),"""")"),"")</f>
        <v/>
      </c>
      <c r="C8945" s="2"/>
      <c r="D8945" s="2" t="str">
        <f>IFERROR(__xludf.DUMMYFUNCTION("IF(C8945&lt;&gt;"""", GOOGLETRANSLATE(C8945, ""en"", ""te""),"""")"),"")</f>
        <v/>
      </c>
      <c r="E8945" s="2"/>
      <c r="F8945" s="2" t="str">
        <f>IFERROR(__xludf.DUMMYFUNCTION("IF(E8945&lt;&gt;"""", GOOGLETRANSLATE(E8945, ""en"", ""te""),"""")"),"")</f>
        <v/>
      </c>
      <c r="G8945" s="2"/>
      <c r="H8945" s="2" t="str">
        <f>IFERROR(__xludf.DUMMYFUNCTION("IF(G8945&lt;&gt;"""", GOOGLETRANSLATE(G8945, ""en"", ""te""),"""")"),"")</f>
        <v/>
      </c>
      <c r="I8945" s="3"/>
    </row>
    <row r="8946" customHeight="1" spans="1:9">
      <c r="A8946" s="2"/>
      <c r="B8946" s="2" t="str">
        <f>IFERROR(__xludf.DUMMYFUNCTION("IF(A8946&lt;&gt;"""", GOOGLETRANSLATE(A8946, ""en"", ""te""),"""")"),"")</f>
        <v/>
      </c>
      <c r="C8946" s="2"/>
      <c r="D8946" s="2" t="str">
        <f>IFERROR(__xludf.DUMMYFUNCTION("IF(C8946&lt;&gt;"""", GOOGLETRANSLATE(C8946, ""en"", ""te""),"""")"),"")</f>
        <v/>
      </c>
      <c r="E8946" s="2"/>
      <c r="F8946" s="2" t="str">
        <f>IFERROR(__xludf.DUMMYFUNCTION("IF(E8946&lt;&gt;"""", GOOGLETRANSLATE(E8946, ""en"", ""te""),"""")"),"")</f>
        <v/>
      </c>
      <c r="G8946" s="2"/>
      <c r="H8946" s="2" t="str">
        <f>IFERROR(__xludf.DUMMYFUNCTION("IF(G8946&lt;&gt;"""", GOOGLETRANSLATE(G8946, ""en"", ""te""),"""")"),"")</f>
        <v/>
      </c>
      <c r="I8946" s="3"/>
    </row>
    <row r="8947" customHeight="1" spans="1:9">
      <c r="A8947" s="2"/>
      <c r="B8947" s="2" t="str">
        <f>IFERROR(__xludf.DUMMYFUNCTION("IF(A8947&lt;&gt;"""", GOOGLETRANSLATE(A8947, ""en"", ""te""),"""")"),"")</f>
        <v/>
      </c>
      <c r="C8947" s="2"/>
      <c r="D8947" s="2" t="str">
        <f>IFERROR(__xludf.DUMMYFUNCTION("IF(C8947&lt;&gt;"""", GOOGLETRANSLATE(C8947, ""en"", ""te""),"""")"),"")</f>
        <v/>
      </c>
      <c r="E8947" s="2"/>
      <c r="F8947" s="2" t="str">
        <f>IFERROR(__xludf.DUMMYFUNCTION("IF(E8947&lt;&gt;"""", GOOGLETRANSLATE(E8947, ""en"", ""te""),"""")"),"")</f>
        <v/>
      </c>
      <c r="G8947" s="2"/>
      <c r="H8947" s="2" t="str">
        <f>IFERROR(__xludf.DUMMYFUNCTION("IF(G8947&lt;&gt;"""", GOOGLETRANSLATE(G8947, ""en"", ""te""),"""")"),"")</f>
        <v/>
      </c>
      <c r="I8947" s="3"/>
    </row>
    <row r="8948" customHeight="1" spans="1:9">
      <c r="A8948" s="2"/>
      <c r="B8948" s="2" t="str">
        <f>IFERROR(__xludf.DUMMYFUNCTION("IF(A8948&lt;&gt;"""", GOOGLETRANSLATE(A8948, ""en"", ""te""),"""")"),"")</f>
        <v/>
      </c>
      <c r="C8948" s="2"/>
      <c r="D8948" s="2" t="str">
        <f>IFERROR(__xludf.DUMMYFUNCTION("IF(C8948&lt;&gt;"""", GOOGLETRANSLATE(C8948, ""en"", ""te""),"""")"),"")</f>
        <v/>
      </c>
      <c r="E8948" s="2"/>
      <c r="F8948" s="2" t="str">
        <f>IFERROR(__xludf.DUMMYFUNCTION("IF(E8948&lt;&gt;"""", GOOGLETRANSLATE(E8948, ""en"", ""te""),"""")"),"")</f>
        <v/>
      </c>
      <c r="G8948" s="2"/>
      <c r="H8948" s="2" t="str">
        <f>IFERROR(__xludf.DUMMYFUNCTION("IF(G8948&lt;&gt;"""", GOOGLETRANSLATE(G8948, ""en"", ""te""),"""")"),"")</f>
        <v/>
      </c>
      <c r="I8948" s="3"/>
    </row>
    <row r="8949" customHeight="1" spans="1:9">
      <c r="A8949" s="2"/>
      <c r="B8949" s="2" t="str">
        <f>IFERROR(__xludf.DUMMYFUNCTION("IF(A8949&lt;&gt;"""", GOOGLETRANSLATE(A8949, ""en"", ""te""),"""")"),"")</f>
        <v/>
      </c>
      <c r="C8949" s="2"/>
      <c r="D8949" s="2" t="str">
        <f>IFERROR(__xludf.DUMMYFUNCTION("IF(C8949&lt;&gt;"""", GOOGLETRANSLATE(C8949, ""en"", ""te""),"""")"),"")</f>
        <v/>
      </c>
      <c r="E8949" s="2"/>
      <c r="F8949" s="2" t="str">
        <f>IFERROR(__xludf.DUMMYFUNCTION("IF(E8949&lt;&gt;"""", GOOGLETRANSLATE(E8949, ""en"", ""te""),"""")"),"")</f>
        <v/>
      </c>
      <c r="G8949" s="2"/>
      <c r="H8949" s="2" t="str">
        <f>IFERROR(__xludf.DUMMYFUNCTION("IF(G8949&lt;&gt;"""", GOOGLETRANSLATE(G8949, ""en"", ""te""),"""")"),"")</f>
        <v/>
      </c>
      <c r="I8949" s="3"/>
    </row>
    <row r="8950" customHeight="1" spans="1:9">
      <c r="A8950" s="2"/>
      <c r="B8950" s="2" t="str">
        <f>IFERROR(__xludf.DUMMYFUNCTION("IF(A8950&lt;&gt;"""", GOOGLETRANSLATE(A8950, ""en"", ""te""),"""")"),"")</f>
        <v/>
      </c>
      <c r="C8950" s="2"/>
      <c r="D8950" s="2" t="str">
        <f>IFERROR(__xludf.DUMMYFUNCTION("IF(C8950&lt;&gt;"""", GOOGLETRANSLATE(C8950, ""en"", ""te""),"""")"),"")</f>
        <v/>
      </c>
      <c r="E8950" s="2"/>
      <c r="F8950" s="2" t="str">
        <f>IFERROR(__xludf.DUMMYFUNCTION("IF(E8950&lt;&gt;"""", GOOGLETRANSLATE(E8950, ""en"", ""te""),"""")"),"")</f>
        <v/>
      </c>
      <c r="G8950" s="2" t="s">
        <v>5119</v>
      </c>
      <c r="H8950" s="2" t="str">
        <f>IFERROR(__xludf.DUMMYFUNCTION("IF(G8950&lt;&gt;"""", GOOGLETRANSLATE(G8950, ""en"", ""te""),"""")"),"[ '28 ఇన్నింగ్స్ లో అత్యధిక పరుగులు (బ్యాటింగ్ స్థానంలో ప్రకారం) (45)']")</f>
        <v>[ '28 ఇన్నింగ్స్ లో అత్యధిక పరుగులు (బ్యాటింగ్ స్థానంలో ప్రకారం) (45)']</v>
      </c>
      <c r="I8950" s="3"/>
    </row>
    <row r="8951" customHeight="1" spans="1:9">
      <c r="A8951" s="2"/>
      <c r="B8951" s="2" t="str">
        <f>IFERROR(__xludf.DUMMYFUNCTION("IF(A8951&lt;&gt;"""", GOOGLETRANSLATE(A8951, ""en"", ""te""),"""")"),"")</f>
        <v/>
      </c>
      <c r="C8951" s="2"/>
      <c r="D8951" s="2" t="str">
        <f>IFERROR(__xludf.DUMMYFUNCTION("IF(C8951&lt;&gt;"""", GOOGLETRANSLATE(C8951, ""en"", ""te""),"""")"),"")</f>
        <v/>
      </c>
      <c r="E8951" s="2"/>
      <c r="F8951" s="2" t="str">
        <f>IFERROR(__xludf.DUMMYFUNCTION("IF(E8951&lt;&gt;"""", GOOGLETRANSLATE(E8951, ""en"", ""te""),"""")"),"")</f>
        <v/>
      </c>
      <c r="G8951" s="2"/>
      <c r="H8951" s="2" t="str">
        <f>IFERROR(__xludf.DUMMYFUNCTION("IF(G8951&lt;&gt;"""", GOOGLETRANSLATE(G8951, ""en"", ""te""),"""")"),"")</f>
        <v/>
      </c>
      <c r="I8951" s="3"/>
    </row>
    <row r="8952" customHeight="1" spans="1:9">
      <c r="A8952" s="2"/>
      <c r="B8952" s="2" t="str">
        <f>IFERROR(__xludf.DUMMYFUNCTION("IF(A8952&lt;&gt;"""", GOOGLETRANSLATE(A8952, ""en"", ""te""),"""")"),"")</f>
        <v/>
      </c>
      <c r="C8952" s="2"/>
      <c r="D8952" s="2" t="str">
        <f>IFERROR(__xludf.DUMMYFUNCTION("IF(C8952&lt;&gt;"""", GOOGLETRANSLATE(C8952, ""en"", ""te""),"""")"),"")</f>
        <v/>
      </c>
      <c r="E8952" s="2"/>
      <c r="F8952" s="2" t="str">
        <f>IFERROR(__xludf.DUMMYFUNCTION("IF(E8952&lt;&gt;"""", GOOGLETRANSLATE(E8952, ""en"", ""te""),"""")"),"")</f>
        <v/>
      </c>
      <c r="G8952" s="2" t="s">
        <v>5120</v>
      </c>
      <c r="H8952" s="2" t="str">
        <f>IFERROR(__xludf.DUMMYFUNCTION("IF(G8952&lt;&gt;"""", GOOGLETRANSLATE(G8952, ""en"", ""te""),"""")"),"[18 వ అత్యంత ఇన్నింగ్స్ లో సాధించిన బైస్ (7) ']")</f>
        <v>[18 వ అత్యంత ఇన్నింగ్స్ లో సాధించిన బైస్ (7) ']</v>
      </c>
      <c r="I8952" s="3"/>
    </row>
    <row r="8953" customHeight="1" spans="1:9">
      <c r="A8953" s="2"/>
      <c r="B8953" s="2" t="str">
        <f>IFERROR(__xludf.DUMMYFUNCTION("IF(A8953&lt;&gt;"""", GOOGLETRANSLATE(A8953, ""en"", ""te""),"""")"),"")</f>
        <v/>
      </c>
      <c r="C8953" s="2"/>
      <c r="D8953" s="2" t="str">
        <f>IFERROR(__xludf.DUMMYFUNCTION("IF(C8953&lt;&gt;"""", GOOGLETRANSLATE(C8953, ""en"", ""te""),"""")"),"")</f>
        <v/>
      </c>
      <c r="E8953" s="2"/>
      <c r="F8953" s="2" t="str">
        <f>IFERROR(__xludf.DUMMYFUNCTION("IF(E8953&lt;&gt;"""", GOOGLETRANSLATE(E8953, ""en"", ""te""),"""")"),"")</f>
        <v/>
      </c>
      <c r="G8953" s="2"/>
      <c r="H8953" s="2" t="str">
        <f>IFERROR(__xludf.DUMMYFUNCTION("IF(G8953&lt;&gt;"""", GOOGLETRANSLATE(G8953, ""en"", ""te""),"""")"),"")</f>
        <v/>
      </c>
      <c r="I8953" s="3"/>
    </row>
    <row r="8954" customHeight="1" spans="1:9">
      <c r="A8954" s="2"/>
      <c r="B8954" s="2" t="str">
        <f>IFERROR(__xludf.DUMMYFUNCTION("IF(A8954&lt;&gt;"""", GOOGLETRANSLATE(A8954, ""en"", ""te""),"""")"),"")</f>
        <v/>
      </c>
      <c r="C8954" s="2"/>
      <c r="D8954" s="2" t="str">
        <f>IFERROR(__xludf.DUMMYFUNCTION("IF(C8954&lt;&gt;"""", GOOGLETRANSLATE(C8954, ""en"", ""te""),"""")"),"")</f>
        <v/>
      </c>
      <c r="E8954" s="2" t="s">
        <v>5121</v>
      </c>
      <c r="F8954" s="2" t="str">
        <f>IFERROR(__xludf.DUMMYFUNCTION("IF(E8954&lt;&gt;"""", GOOGLETRANSLATE(E8954, ""en"", ""te""),"""")"),"[ 'ప్రదర్శనల మధ్య 25 లాంగెస్ట్ వ్యవధిలో (7y 27d)']")</f>
        <v>[ 'ప్రదర్శనల మధ్య 25 లాంగెస్ట్ వ్యవధిలో (7y 27d)']</v>
      </c>
      <c r="G8954" s="2"/>
      <c r="H8954" s="2" t="str">
        <f>IFERROR(__xludf.DUMMYFUNCTION("IF(G8954&lt;&gt;"""", GOOGLETRANSLATE(G8954, ""en"", ""te""),"""")"),"")</f>
        <v/>
      </c>
      <c r="I8954" s="3"/>
    </row>
    <row r="8955" customHeight="1" spans="1:9">
      <c r="A8955" s="2"/>
      <c r="B8955" s="2" t="str">
        <f>IFERROR(__xludf.DUMMYFUNCTION("IF(A8955&lt;&gt;"""", GOOGLETRANSLATE(A8955, ""en"", ""te""),"""")"),"")</f>
        <v/>
      </c>
      <c r="C8955" s="2"/>
      <c r="D8955" s="2" t="str">
        <f>IFERROR(__xludf.DUMMYFUNCTION("IF(C8955&lt;&gt;"""", GOOGLETRANSLATE(C8955, ""en"", ""te""),"""")"),"")</f>
        <v/>
      </c>
      <c r="E8955" s="2"/>
      <c r="F8955" s="2" t="str">
        <f>IFERROR(__xludf.DUMMYFUNCTION("IF(E8955&lt;&gt;"""", GOOGLETRANSLATE(E8955, ""en"", ""te""),"""")"),"")</f>
        <v/>
      </c>
      <c r="G8955" s="2"/>
      <c r="H8955" s="2" t="str">
        <f>IFERROR(__xludf.DUMMYFUNCTION("IF(G8955&lt;&gt;"""", GOOGLETRANSLATE(G8955, ""en"", ""te""),"""")"),"")</f>
        <v/>
      </c>
      <c r="I8955" s="3"/>
    </row>
    <row r="8956" customHeight="1" spans="1:9">
      <c r="A8956" s="2" t="s">
        <v>5122</v>
      </c>
      <c r="B8956" s="2" t="str">
        <f>IFERROR(__xludf.DUMMYFUNCTION("IF(A8956&lt;&gt;"""", GOOGLETRANSLATE(A8956, ""en"", ""te""),"""")"),"[ 'A ఏబది ఇన్నింగ్స్ లో ఐదు తొలగింపులకు', '1 వ వరుస బాతులు (3)']")</f>
        <v>[ 'A ఏబది ఇన్నింగ్స్ లో ఐదు తొలగింపులకు', '1 వ వరుస బాతులు (3)']</v>
      </c>
      <c r="C8956" s="2"/>
      <c r="D8956" s="2" t="str">
        <f>IFERROR(__xludf.DUMMYFUNCTION("IF(C8956&lt;&gt;"""", GOOGLETRANSLATE(C8956, ""en"", ""te""),"""")"),"")</f>
        <v/>
      </c>
      <c r="E8956" s="2" t="s">
        <v>5123</v>
      </c>
      <c r="F8956" s="2" t="str">
        <f>IFERROR(__xludf.DUMMYFUNCTION("IF(E8956&lt;&gt;"""", GOOGLETRANSLATE(E8956, ""en"", ""te""),"""")"),"[ 'ఇన్నింగ్స్ (5) 16 వ అత్యధిక వికెట్లు' 'ఇన్నింగ్స్ లో 11 వ అత్యధిక క్యాచ్లు (5)', '35 వ కెరీర్ (11) అత్యంత స్టంపింగ్లు']")</f>
        <v>[ 'ఇన్నింగ్స్ (5) 16 వ అత్యధిక వికెట్లు' 'ఇన్నింగ్స్ లో 11 వ అత్యధిక క్యాచ్లు (5)', '35 వ కెరీర్ (11) అత్యంత స్టంపింగ్లు']</v>
      </c>
      <c r="G8956" s="2" t="s">
        <v>5124</v>
      </c>
      <c r="H8956" s="2" t="str">
        <f>IFERROR(__xludf.DUMMYFUNCTION("IF(G8956&lt;&gt;"""", GOOGLETRANSLATE(G8956, ""en"", ""te""),"""")"),"[ '1st వరుస బాతులు (3)', '41 వ పురాతన దేశం ఆటగాళ్ళు (48y 169d)']")</f>
        <v>[ '1st వరుస బాతులు (3)', '41 వ పురాతన దేశం ఆటగాళ్ళు (48y 169d)']</v>
      </c>
      <c r="I8956" s="3"/>
    </row>
    <row r="8957" customHeight="1" spans="1:9">
      <c r="A8957" s="2"/>
      <c r="B8957" s="2" t="str">
        <f>IFERROR(__xludf.DUMMYFUNCTION("IF(A8957&lt;&gt;"""", GOOGLETRANSLATE(A8957, ""en"", ""te""),"""")"),"")</f>
        <v/>
      </c>
      <c r="C8957" s="2"/>
      <c r="D8957" s="2" t="str">
        <f>IFERROR(__xludf.DUMMYFUNCTION("IF(C8957&lt;&gt;"""", GOOGLETRANSLATE(C8957, ""en"", ""te""),"""")"),"")</f>
        <v/>
      </c>
      <c r="E8957" s="2"/>
      <c r="F8957" s="2" t="str">
        <f>IFERROR(__xludf.DUMMYFUNCTION("IF(E8957&lt;&gt;"""", GOOGLETRANSLATE(E8957, ""en"", ""te""),"""")"),"")</f>
        <v/>
      </c>
      <c r="G8957" s="2"/>
      <c r="H8957" s="2" t="str">
        <f>IFERROR(__xludf.DUMMYFUNCTION("IF(G8957&lt;&gt;"""", GOOGLETRANSLATE(G8957, ""en"", ""te""),"""")"),"")</f>
        <v/>
      </c>
      <c r="I8957" s="3"/>
    </row>
    <row r="8958" customHeight="1" spans="1:9">
      <c r="A8958" s="2" t="s">
        <v>814</v>
      </c>
      <c r="B8958" s="2" t="str">
        <f>IFERROR(__xludf.DUMMYFUNCTION("IF(A8958&lt;&gt;"""", GOOGLETRANSLATE(A8958, ""en"", ""te""),"""")"),"[ 'ఒక ఇన్నింగ్స్ లో 8 వ బెస్ట్ ఫిగర్స్ ఉన్నప్పుడు పరాజయం వైపు (4)']")</f>
        <v>[ 'ఒక ఇన్నింగ్స్ లో 8 వ బెస్ట్ ఫిగర్స్ ఉన్నప్పుడు పరాజయం వైపు (4)']</v>
      </c>
      <c r="C8958" s="2"/>
      <c r="D8958" s="2" t="str">
        <f>IFERROR(__xludf.DUMMYFUNCTION("IF(C8958&lt;&gt;"""", GOOGLETRANSLATE(C8958, ""en"", ""te""),"""")"),"")</f>
        <v/>
      </c>
      <c r="E8958" s="2" t="s">
        <v>549</v>
      </c>
      <c r="F8958" s="2" t="str">
        <f>IFERROR(__xludf.DUMMYFUNCTION("IF(E8958&lt;&gt;"""", GOOGLETRANSLATE(E8958, ""en"", ""te""),"""")"),"[ 'తొలి ఇన్నింగ్స్ 15 వ బెస్ట్ ఫిగర్స్ (4)']")</f>
        <v>[ 'తొలి ఇన్నింగ్స్ 15 వ బెస్ట్ ఫిగర్స్ (4)']</v>
      </c>
      <c r="G8958" s="2" t="s">
        <v>5125</v>
      </c>
      <c r="H8958" s="2" t="str">
        <f>IFERROR(__xludf.DUMMYFUNCTION("IF(G8958&lt;&gt;"""", GOOGLETRANSLATE(G8958, ""en"", ""te""),"""")"),"[ '27 ఇన్నింగ్స్ లో అత్యధిక పరుగులు (బ్యాటింగ్ స్థానంలో ప్రకారం) (26)', '38 వ కెరీర్ లో అత్యధిక వికెట్లు (49)', '(13) 25 వ ఒకే మైదానంలో అత్యధిక వికెట్లు', 'ఒక ఇన్నింగ్స్ ఉన్నప్పుడు 8 వ బెస్ట్ ఫిగర్స్ పరాజయం వైపు (4) ',' 41 వ ఉత్తమ కెరీర్ సమ్మె రేటు (17."&amp;"6) ',' 24th చెత్త కెరీర్లో ఆర్థిక రేటు (8.23) ',' 45 వ కెరీర్ లో బౌల్డ్ చాలా బంతుల్లో (863) ',' 35 వ అత్యధిక పరుగులు కెరీర్లో సాధించిన (1185) ',' 12 వ అత్యధిక వికెట్లు తీసుకున్న బౌల్డ్ (17) ',' 46 వ అత్యధిక వికెట్లు తీసుకున్న ఆకర్షించింది (31) ',' 43 వ అత"&amp;"్యధిక వికెట్లు ఒక ఫీల్డర్ చేత క్యాచ్ తీసుకున్న (26) ',' 48 వ అత్యధిక వికెట్లు ఒక వికెట్ కీపర్ చే కాట్ తీసుకున్న (5) ',' తొమ్మిదవ వికెట్కు 36 వ అత్యధిక భాగస్వామ్యం (28 *) ']")</f>
        <v>[ '27 ఇన్నింగ్స్ లో అత్యధిక పరుగులు (బ్యాటింగ్ స్థానంలో ప్రకారం) (26)', '38 వ కెరీర్ లో అత్యధిక వికెట్లు (49)', '(13) 25 వ ఒకే మైదానంలో అత్యధిక వికెట్లు', 'ఒక ఇన్నింగ్స్ ఉన్నప్పుడు 8 వ బెస్ట్ ఫిగర్స్ పరాజయం వైపు (4) ',' 41 వ ఉత్తమ కెరీర్ సమ్మె రేటు (17.6) ',' 24th చెత్త కెరీర్లో ఆర్థిక రేటు (8.23) ',' 45 వ కెరీర్ లో బౌల్డ్ చాలా బంతుల్లో (863) ',' 35 వ అత్యధిక పరుగులు కెరీర్లో సాధించిన (1185) ',' 12 వ అత్యధిక వికెట్లు తీసుకున్న బౌల్డ్ (17) ',' 46 వ అత్యధిక వికెట్లు తీసుకున్న ఆకర్షించింది (31) ',' 43 వ అత్యధిక వికెట్లు ఒక ఫీల్డర్ చేత క్యాచ్ తీసుకున్న (26) ',' 48 వ అత్యధిక వికెట్లు ఒక వికెట్ కీపర్ చే కాట్ తీసుకున్న (5) ',' తొమ్మిదవ వికెట్కు 36 వ అత్యధిక భాగస్వామ్యం (28 *) ']</v>
      </c>
      <c r="I8958" s="3"/>
    </row>
    <row r="8959" customHeight="1" spans="1:9">
      <c r="A8959" s="2"/>
      <c r="B8959" s="2" t="str">
        <f>IFERROR(__xludf.DUMMYFUNCTION("IF(A8959&lt;&gt;"""", GOOGLETRANSLATE(A8959, ""en"", ""te""),"""")"),"")</f>
        <v/>
      </c>
      <c r="C8959" s="2"/>
      <c r="D8959" s="2" t="str">
        <f>IFERROR(__xludf.DUMMYFUNCTION("IF(C8959&lt;&gt;"""", GOOGLETRANSLATE(C8959, ""en"", ""te""),"""")"),"")</f>
        <v/>
      </c>
      <c r="E8959" s="2"/>
      <c r="F8959" s="2" t="str">
        <f>IFERROR(__xludf.DUMMYFUNCTION("IF(E8959&lt;&gt;"""", GOOGLETRANSLATE(E8959, ""en"", ""te""),"""")"),"")</f>
        <v/>
      </c>
      <c r="G8959" s="2" t="s">
        <v>5126</v>
      </c>
      <c r="H8959" s="2" t="str">
        <f>IFERROR(__xludf.DUMMYFUNCTION("IF(G8959&lt;&gt;"""", GOOGLETRANSLATE(G8959, ""en"", ""te""),"""")"),"[ '39 వ చెత్త కెరీర్ బౌలింగ్ సరాసరి (అర్హత లేకుండా) (నమోదు చేయడంతోపాటు, 70.50)']")</f>
        <v>[ '39 వ చెత్త కెరీర్ బౌలింగ్ సరాసరి (అర్హత లేకుండా) (నమోదు చేయడంతోపాటు, 70.50)']</v>
      </c>
      <c r="I8959" s="3"/>
    </row>
    <row r="8960" customHeight="1" spans="1:9">
      <c r="A8960" s="2"/>
      <c r="B8960" s="2" t="str">
        <f>IFERROR(__xludf.DUMMYFUNCTION("IF(A8960&lt;&gt;"""", GOOGLETRANSLATE(A8960, ""en"", ""te""),"""")"),"")</f>
        <v/>
      </c>
      <c r="C8960" s="2"/>
      <c r="D8960" s="2" t="str">
        <f>IFERROR(__xludf.DUMMYFUNCTION("IF(C8960&lt;&gt;"""", GOOGLETRANSLATE(C8960, ""en"", ""te""),"""")"),"")</f>
        <v/>
      </c>
      <c r="E8960" s="2"/>
      <c r="F8960" s="2" t="str">
        <f>IFERROR(__xludf.DUMMYFUNCTION("IF(E8960&lt;&gt;"""", GOOGLETRANSLATE(E8960, ""en"", ""te""),"""")"),"")</f>
        <v/>
      </c>
      <c r="G8960" s="2"/>
      <c r="H8960" s="2" t="str">
        <f>IFERROR(__xludf.DUMMYFUNCTION("IF(G8960&lt;&gt;"""", GOOGLETRANSLATE(G8960, ""en"", ""te""),"""")"),"")</f>
        <v/>
      </c>
      <c r="I8960" s="3"/>
    </row>
    <row r="8961" customHeight="1" spans="1:9">
      <c r="A8961" s="2"/>
      <c r="B8961" s="2" t="str">
        <f>IFERROR(__xludf.DUMMYFUNCTION("IF(A8961&lt;&gt;"""", GOOGLETRANSLATE(A8961, ""en"", ""te""),"""")"),"")</f>
        <v/>
      </c>
      <c r="C8961" s="2"/>
      <c r="D8961" s="2" t="str">
        <f>IFERROR(__xludf.DUMMYFUNCTION("IF(C8961&lt;&gt;"""", GOOGLETRANSLATE(C8961, ""en"", ""te""),"""")"),"")</f>
        <v/>
      </c>
      <c r="E8961" s="2"/>
      <c r="F8961" s="2" t="str">
        <f>IFERROR(__xludf.DUMMYFUNCTION("IF(E8961&lt;&gt;"""", GOOGLETRANSLATE(E8961, ""en"", ""te""),"""")"),"")</f>
        <v/>
      </c>
      <c r="G8961" s="2"/>
      <c r="H8961" s="2" t="str">
        <f>IFERROR(__xludf.DUMMYFUNCTION("IF(G8961&lt;&gt;"""", GOOGLETRANSLATE(G8961, ""en"", ""te""),"""")"),"")</f>
        <v/>
      </c>
      <c r="I8961" s="3"/>
    </row>
    <row r="8962" customHeight="1" spans="1:9">
      <c r="A8962" s="2"/>
      <c r="B8962" s="2" t="str">
        <f>IFERROR(__xludf.DUMMYFUNCTION("IF(A8962&lt;&gt;"""", GOOGLETRANSLATE(A8962, ""en"", ""te""),"""")"),"")</f>
        <v/>
      </c>
      <c r="C8962" s="2"/>
      <c r="D8962" s="2" t="str">
        <f>IFERROR(__xludf.DUMMYFUNCTION("IF(C8962&lt;&gt;"""", GOOGLETRANSLATE(C8962, ""en"", ""te""),"""")"),"")</f>
        <v/>
      </c>
      <c r="E8962" s="2"/>
      <c r="F8962" s="2" t="str">
        <f>IFERROR(__xludf.DUMMYFUNCTION("IF(E8962&lt;&gt;"""", GOOGLETRANSLATE(E8962, ""en"", ""te""),"""")"),"")</f>
        <v/>
      </c>
      <c r="G8962" s="2"/>
      <c r="H8962" s="2" t="str">
        <f>IFERROR(__xludf.DUMMYFUNCTION("IF(G8962&lt;&gt;"""", GOOGLETRANSLATE(G8962, ""en"", ""te""),"""")"),"")</f>
        <v/>
      </c>
      <c r="I8962" s="3"/>
    </row>
    <row r="8963" customHeight="1" spans="1:9">
      <c r="A8963" s="2"/>
      <c r="B8963" s="2" t="str">
        <f>IFERROR(__xludf.DUMMYFUNCTION("IF(A8963&lt;&gt;"""", GOOGLETRANSLATE(A8963, ""en"", ""te""),"""")"),"")</f>
        <v/>
      </c>
      <c r="C8963" s="2"/>
      <c r="D8963" s="2" t="str">
        <f>IFERROR(__xludf.DUMMYFUNCTION("IF(C8963&lt;&gt;"""", GOOGLETRANSLATE(C8963, ""en"", ""te""),"""")"),"")</f>
        <v/>
      </c>
      <c r="E8963" s="2"/>
      <c r="F8963" s="2" t="str">
        <f>IFERROR(__xludf.DUMMYFUNCTION("IF(E8963&lt;&gt;"""", GOOGLETRANSLATE(E8963, ""en"", ""te""),"""")"),"")</f>
        <v/>
      </c>
      <c r="G8963" s="2"/>
      <c r="H8963" s="2" t="str">
        <f>IFERROR(__xludf.DUMMYFUNCTION("IF(G8963&lt;&gt;"""", GOOGLETRANSLATE(G8963, ""en"", ""te""),"""")"),"")</f>
        <v/>
      </c>
      <c r="I8963" s="3"/>
    </row>
    <row r="8964" customHeight="1" spans="1:9">
      <c r="A8964" s="2"/>
      <c r="B8964" s="2" t="str">
        <f>IFERROR(__xludf.DUMMYFUNCTION("IF(A8964&lt;&gt;"""", GOOGLETRANSLATE(A8964, ""en"", ""te""),"""")"),"")</f>
        <v/>
      </c>
      <c r="C8964" s="2"/>
      <c r="D8964" s="2" t="str">
        <f>IFERROR(__xludf.DUMMYFUNCTION("IF(C8964&lt;&gt;"""", GOOGLETRANSLATE(C8964, ""en"", ""te""),"""")"),"")</f>
        <v/>
      </c>
      <c r="E8964" s="2"/>
      <c r="F8964" s="2" t="str">
        <f>IFERROR(__xludf.DUMMYFUNCTION("IF(E8964&lt;&gt;"""", GOOGLETRANSLATE(E8964, ""en"", ""te""),"""")"),"")</f>
        <v/>
      </c>
      <c r="G8964" s="2"/>
      <c r="H8964" s="2" t="str">
        <f>IFERROR(__xludf.DUMMYFUNCTION("IF(G8964&lt;&gt;"""", GOOGLETRANSLATE(G8964, ""en"", ""te""),"""")"),"")</f>
        <v/>
      </c>
      <c r="I8964" s="3"/>
    </row>
    <row r="8965" customHeight="1" spans="1:9">
      <c r="A8965" s="2"/>
      <c r="B8965" s="2" t="str">
        <f>IFERROR(__xludf.DUMMYFUNCTION("IF(A8965&lt;&gt;"""", GOOGLETRANSLATE(A8965, ""en"", ""te""),"""")"),"")</f>
        <v/>
      </c>
      <c r="C8965" s="2"/>
      <c r="D8965" s="2" t="str">
        <f>IFERROR(__xludf.DUMMYFUNCTION("IF(C8965&lt;&gt;"""", GOOGLETRANSLATE(C8965, ""en"", ""te""),"""")"),"")</f>
        <v/>
      </c>
      <c r="E8965" s="2"/>
      <c r="F8965" s="2" t="str">
        <f>IFERROR(__xludf.DUMMYFUNCTION("IF(E8965&lt;&gt;"""", GOOGLETRANSLATE(E8965, ""en"", ""te""),"""")"),"")</f>
        <v/>
      </c>
      <c r="G8965" s="2"/>
      <c r="H8965" s="2" t="str">
        <f>IFERROR(__xludf.DUMMYFUNCTION("IF(G8965&lt;&gt;"""", GOOGLETRANSLATE(G8965, ""en"", ""te""),"""")"),"")</f>
        <v/>
      </c>
      <c r="I8965" s="3"/>
    </row>
    <row r="8966" customHeight="1" spans="1:9">
      <c r="A8966" s="2"/>
      <c r="B8966" s="2" t="str">
        <f>IFERROR(__xludf.DUMMYFUNCTION("IF(A8966&lt;&gt;"""", GOOGLETRANSLATE(A8966, ""en"", ""te""),"""")"),"")</f>
        <v/>
      </c>
      <c r="C8966" s="2"/>
      <c r="D8966" s="2" t="str">
        <f>IFERROR(__xludf.DUMMYFUNCTION("IF(C8966&lt;&gt;"""", GOOGLETRANSLATE(C8966, ""en"", ""te""),"""")"),"")</f>
        <v/>
      </c>
      <c r="E8966" s="2" t="s">
        <v>972</v>
      </c>
      <c r="F8966" s="2" t="str">
        <f>IFERROR(__xludf.DUMMYFUNCTION("IF(E8966&lt;&gt;"""", GOOGLETRANSLATE(E8966, ""en"", ""te""),"""")"),"[ 'ఒక కెప్టెన్తో ఒక ఇన్నింగ్స్ లో 26 వ బెస్ట్ ఫిగర్స్ (4)']")</f>
        <v>[ 'ఒక కెప్టెన్తో ఒక ఇన్నింగ్స్ లో 26 వ బెస్ట్ ఫిగర్స్ (4)']</v>
      </c>
      <c r="G8966" s="2"/>
      <c r="H8966" s="2" t="str">
        <f>IFERROR(__xludf.DUMMYFUNCTION("IF(G8966&lt;&gt;"""", GOOGLETRANSLATE(G8966, ""en"", ""te""),"""")"),"")</f>
        <v/>
      </c>
      <c r="I8966" s="3"/>
    </row>
    <row r="8967" customHeight="1" spans="1:9">
      <c r="A8967" s="2"/>
      <c r="B8967" s="2" t="str">
        <f>IFERROR(__xludf.DUMMYFUNCTION("IF(A8967&lt;&gt;"""", GOOGLETRANSLATE(A8967, ""en"", ""te""),"""")"),"")</f>
        <v/>
      </c>
      <c r="C8967" s="2"/>
      <c r="D8967" s="2" t="str">
        <f>IFERROR(__xludf.DUMMYFUNCTION("IF(C8967&lt;&gt;"""", GOOGLETRANSLATE(C8967, ""en"", ""te""),"""")"),"")</f>
        <v/>
      </c>
      <c r="E8967" s="2"/>
      <c r="F8967" s="2" t="str">
        <f>IFERROR(__xludf.DUMMYFUNCTION("IF(E8967&lt;&gt;"""", GOOGLETRANSLATE(E8967, ""en"", ""te""),"""")"),"")</f>
        <v/>
      </c>
      <c r="G8967" s="2"/>
      <c r="H8967" s="2" t="str">
        <f>IFERROR(__xludf.DUMMYFUNCTION("IF(G8967&lt;&gt;"""", GOOGLETRANSLATE(G8967, ""en"", ""te""),"""")"),"")</f>
        <v/>
      </c>
      <c r="I8967" s="3"/>
    </row>
    <row r="8968" customHeight="1" spans="1:9">
      <c r="A8968" s="2"/>
      <c r="B8968" s="2" t="str">
        <f>IFERROR(__xludf.DUMMYFUNCTION("IF(A8968&lt;&gt;"""", GOOGLETRANSLATE(A8968, ""en"", ""te""),"""")"),"")</f>
        <v/>
      </c>
      <c r="C8968" s="2"/>
      <c r="D8968" s="2" t="str">
        <f>IFERROR(__xludf.DUMMYFUNCTION("IF(C8968&lt;&gt;"""", GOOGLETRANSLATE(C8968, ""en"", ""te""),"""")"),"")</f>
        <v/>
      </c>
      <c r="E8968" s="2" t="s">
        <v>5127</v>
      </c>
      <c r="F8968" s="2" t="str">
        <f>IFERROR(__xludf.DUMMYFUNCTION("IF(E8968&lt;&gt;"""", GOOGLETRANSLATE(E8968, ""en"", ""te""),"""")"),"[ '33 వ అత్యంత తొలి మ్యాచ్ (80) లో నడుస్తుంది']")</f>
        <v>[ '33 వ అత్యంత తొలి మ్యాచ్ (80) లో నడుస్తుంది']</v>
      </c>
      <c r="G8968" s="2" t="s">
        <v>5128</v>
      </c>
      <c r="H8968" s="2" t="str">
        <f>IFERROR(__xludf.DUMMYFUNCTION("IF(G8968&lt;&gt;"""", GOOGLETRANSLATE(G8968, ""en"", ""te""),"""")"),"[ '44 వ లాంగెస్ట్ వ్యక్తిగత ఇన్నింగ్స్ (బంతులతో) (61)']")</f>
        <v>[ '44 వ లాంగెస్ట్ వ్యక్తిగత ఇన్నింగ్స్ (బంతులతో) (61)']</v>
      </c>
      <c r="I8968" s="3"/>
    </row>
    <row r="8969" customHeight="1" spans="1:9">
      <c r="A8969" s="2"/>
      <c r="B8969" s="2" t="str">
        <f>IFERROR(__xludf.DUMMYFUNCTION("IF(A8969&lt;&gt;"""", GOOGLETRANSLATE(A8969, ""en"", ""te""),"""")"),"")</f>
        <v/>
      </c>
      <c r="C8969" s="2"/>
      <c r="D8969" s="2" t="str">
        <f>IFERROR(__xludf.DUMMYFUNCTION("IF(C8969&lt;&gt;"""", GOOGLETRANSLATE(C8969, ""en"", ""te""),"""")"),"")</f>
        <v/>
      </c>
      <c r="E8969" s="2"/>
      <c r="F8969" s="2" t="str">
        <f>IFERROR(__xludf.DUMMYFUNCTION("IF(E8969&lt;&gt;"""", GOOGLETRANSLATE(E8969, ""en"", ""te""),"""")"),"")</f>
        <v/>
      </c>
      <c r="G8969" s="2"/>
      <c r="H8969" s="2" t="str">
        <f>IFERROR(__xludf.DUMMYFUNCTION("IF(G8969&lt;&gt;"""", GOOGLETRANSLATE(G8969, ""en"", ""te""),"""")"),"")</f>
        <v/>
      </c>
      <c r="I8969" s="3"/>
    </row>
    <row r="8970" customHeight="1" spans="1:9">
      <c r="A8970" s="2"/>
      <c r="B8970" s="2" t="str">
        <f>IFERROR(__xludf.DUMMYFUNCTION("IF(A8970&lt;&gt;"""", GOOGLETRANSLATE(A8970, ""en"", ""te""),"""")"),"")</f>
        <v/>
      </c>
      <c r="C8970" s="2"/>
      <c r="D8970" s="2" t="str">
        <f>IFERROR(__xludf.DUMMYFUNCTION("IF(C8970&lt;&gt;"""", GOOGLETRANSLATE(C8970, ""en"", ""te""),"""")"),"")</f>
        <v/>
      </c>
      <c r="E8970" s="2"/>
      <c r="F8970" s="2" t="str">
        <f>IFERROR(__xludf.DUMMYFUNCTION("IF(E8970&lt;&gt;"""", GOOGLETRANSLATE(E8970, ""en"", ""te""),"""")"),"")</f>
        <v/>
      </c>
      <c r="G8970" s="2" t="s">
        <v>5129</v>
      </c>
      <c r="H8970" s="2" t="str">
        <f>IFERROR(__xludf.DUMMYFUNCTION("IF(G8970&lt;&gt;"""", GOOGLETRANSLATE(G8970, ""en"", ""te""),"""")"),"[ '48 వ కెరీర్ లో అత్యధిక వికెట్లు (45)', '45 వ ఇన్నింగ్స్ లో బెస్ట్ ఫిగర్స్ (5/27)', '17 వ ఒక క్యాలెండర్ సంవత్సరంలో అత్యధిక వికెట్లు (23)', ఒకే నేలపై '43 వ అత్యధిక వికెట్లు (11) ',' 29th సగటు (20.06) ',' 30 వ ఉత్తమ కెరీర్ సమ్మె రేటు బౌలింగ్ ఉత్తమ కెరీర్"&amp;" (16.6) ',' 45 వ బౌలర్ / ఫీల్డర్ కలయికలు (6) ',' 14 వ అత్యధిక వికెట్లు తీసుకున్న ఎల్బిడబ్ల్యు (7) ']")</f>
        <v>[ '48 వ కెరీర్ లో అత్యధిక వికెట్లు (45)', '45 వ ఇన్నింగ్స్ లో బెస్ట్ ఫిగర్స్ (5/27)', '17 వ ఒక క్యాలెండర్ సంవత్సరంలో అత్యధిక వికెట్లు (23)', ఒకే నేలపై '43 వ అత్యధిక వికెట్లు (11) ',' 29th సగటు (20.06) ',' 30 వ ఉత్తమ కెరీర్ సమ్మె రేటు బౌలింగ్ ఉత్తమ కెరీర్ (16.6) ',' 45 వ బౌలర్ / ఫీల్డర్ కలయికలు (6) ',' 14 వ అత్యధిక వికెట్లు తీసుకున్న ఎల్బిడబ్ల్యు (7) ']</v>
      </c>
      <c r="I8970" s="3"/>
    </row>
    <row r="8971" customHeight="1" spans="1:9">
      <c r="A8971" s="2"/>
      <c r="B8971" s="2" t="str">
        <f>IFERROR(__xludf.DUMMYFUNCTION("IF(A8971&lt;&gt;"""", GOOGLETRANSLATE(A8971, ""en"", ""te""),"""")"),"")</f>
        <v/>
      </c>
      <c r="C8971" s="2"/>
      <c r="D8971" s="2" t="str">
        <f>IFERROR(__xludf.DUMMYFUNCTION("IF(C8971&lt;&gt;"""", GOOGLETRANSLATE(C8971, ""en"", ""te""),"""")"),"")</f>
        <v/>
      </c>
      <c r="E8971" s="2"/>
      <c r="F8971" s="2" t="str">
        <f>IFERROR(__xludf.DUMMYFUNCTION("IF(E8971&lt;&gt;"""", GOOGLETRANSLATE(E8971, ""en"", ""te""),"""")"),"")</f>
        <v/>
      </c>
      <c r="G8971" s="2" t="s">
        <v>933</v>
      </c>
      <c r="H8971" s="2" t="str">
        <f>IFERROR(__xludf.DUMMYFUNCTION("IF(G8971&lt;&gt;"""", GOOGLETRANSLATE(G8971, ""en"", ""te""),"""")"),"[ '15 వ ఇన్నింగ్స్ లో అత్యధిక క్యాచ్లు (3)']")</f>
        <v>[ '15 వ ఇన్నింగ్స్ లో అత్యధిక క్యాచ్లు (3)']</v>
      </c>
      <c r="I8971" s="3"/>
    </row>
    <row r="8972" customHeight="1" spans="1:9">
      <c r="A8972" s="2"/>
      <c r="B8972" s="2" t="str">
        <f>IFERROR(__xludf.DUMMYFUNCTION("IF(A8972&lt;&gt;"""", GOOGLETRANSLATE(A8972, ""en"", ""te""),"""")"),"")</f>
        <v/>
      </c>
      <c r="C8972" s="2"/>
      <c r="D8972" s="2" t="str">
        <f>IFERROR(__xludf.DUMMYFUNCTION("IF(C8972&lt;&gt;"""", GOOGLETRANSLATE(C8972, ""en"", ""te""),"""")"),"")</f>
        <v/>
      </c>
      <c r="E8972" s="2"/>
      <c r="F8972" s="2" t="str">
        <f>IFERROR(__xludf.DUMMYFUNCTION("IF(E8972&lt;&gt;"""", GOOGLETRANSLATE(E8972, ""en"", ""te""),"""")"),"")</f>
        <v/>
      </c>
      <c r="G8972" s="2"/>
      <c r="H8972" s="2" t="str">
        <f>IFERROR(__xludf.DUMMYFUNCTION("IF(G8972&lt;&gt;"""", GOOGLETRANSLATE(G8972, ""en"", ""te""),"""")"),"")</f>
        <v/>
      </c>
      <c r="I8972" s="3"/>
    </row>
    <row r="8973" customHeight="1" spans="1:9">
      <c r="A8973" s="2"/>
      <c r="B8973" s="2" t="str">
        <f>IFERROR(__xludf.DUMMYFUNCTION("IF(A8973&lt;&gt;"""", GOOGLETRANSLATE(A8973, ""en"", ""te""),"""")"),"")</f>
        <v/>
      </c>
      <c r="C8973" s="2"/>
      <c r="D8973" s="2" t="str">
        <f>IFERROR(__xludf.DUMMYFUNCTION("IF(C8973&lt;&gt;"""", GOOGLETRANSLATE(C8973, ""en"", ""te""),"""")"),"")</f>
        <v/>
      </c>
      <c r="E8973" s="2"/>
      <c r="F8973" s="2" t="str">
        <f>IFERROR(__xludf.DUMMYFUNCTION("IF(E8973&lt;&gt;"""", GOOGLETRANSLATE(E8973, ""en"", ""te""),"""")"),"")</f>
        <v/>
      </c>
      <c r="G8973" s="2"/>
      <c r="H8973" s="2" t="str">
        <f>IFERROR(__xludf.DUMMYFUNCTION("IF(G8973&lt;&gt;"""", GOOGLETRANSLATE(G8973, ""en"", ""te""),"""")"),"")</f>
        <v/>
      </c>
      <c r="I8973" s="3"/>
    </row>
    <row r="8974" customHeight="1" spans="1:9">
      <c r="A8974" s="2" t="s">
        <v>1532</v>
      </c>
      <c r="B8974" s="2" t="str">
        <f>IFERROR(__xludf.DUMMYFUNCTION("IF(A8974&lt;&gt;"""", GOOGLETRANSLATE(A8974, ""en"", ""te""),"""")"),"[ '7th అత్యుత్తమ ఇన్నింగ్స్ (2/3) విశ్లేషణలలో బౌలింగ్']")</f>
        <v>[ '7th అత్యుత్తమ ఇన్నింగ్స్ (2/3) విశ్లేషణలలో బౌలింగ్']</v>
      </c>
      <c r="C8974" s="2"/>
      <c r="D8974" s="2" t="str">
        <f>IFERROR(__xludf.DUMMYFUNCTION("IF(C8974&lt;&gt;"""", GOOGLETRANSLATE(C8974, ""en"", ""te""),"""")"),"")</f>
        <v/>
      </c>
      <c r="E8974" s="2"/>
      <c r="F8974" s="2" t="str">
        <f>IFERROR(__xludf.DUMMYFUNCTION("IF(E8974&lt;&gt;"""", GOOGLETRANSLATE(E8974, ""en"", ""te""),"""")"),"")</f>
        <v/>
      </c>
      <c r="G8974" s="2" t="s">
        <v>5130</v>
      </c>
      <c r="H8974" s="2" t="str">
        <f>IFERROR(__xludf.DUMMYFUNCTION("IF(G8974&lt;&gt;"""", GOOGLETRANSLATE(G8974, ""en"", ""te""),"""")"),"[ '7th అత్యుత్తమ బౌలింగ్ ఇన్నింగ్స్ లో విశ్లేషించడం (2/3)', 'పరాజయం వైపు ఉన్నప్పుడు ఒక ఇన్నింగ్స్ లో 8 వ బెస్ట్ ఫిగర్స్ (4)']")</f>
        <v>[ '7th అత్యుత్తమ బౌలింగ్ ఇన్నింగ్స్ లో విశ్లేషించడం (2/3)', 'పరాజయం వైపు ఉన్నప్పుడు ఒక ఇన్నింగ్స్ లో 8 వ బెస్ట్ ఫిగర్స్ (4)']</v>
      </c>
      <c r="I8974" s="3"/>
    </row>
    <row r="8975" customHeight="1" spans="1:9">
      <c r="A8975" s="2"/>
      <c r="B8975" s="2" t="str">
        <f>IFERROR(__xludf.DUMMYFUNCTION("IF(A8975&lt;&gt;"""", GOOGLETRANSLATE(A8975, ""en"", ""te""),"""")"),"")</f>
        <v/>
      </c>
      <c r="C8975" s="2"/>
      <c r="D8975" s="2" t="str">
        <f>IFERROR(__xludf.DUMMYFUNCTION("IF(C8975&lt;&gt;"""", GOOGLETRANSLATE(C8975, ""en"", ""te""),"""")"),"")</f>
        <v/>
      </c>
      <c r="E8975" s="2"/>
      <c r="F8975" s="2" t="str">
        <f>IFERROR(__xludf.DUMMYFUNCTION("IF(E8975&lt;&gt;"""", GOOGLETRANSLATE(E8975, ""en"", ""te""),"""")"),"")</f>
        <v/>
      </c>
      <c r="G8975" s="2"/>
      <c r="H8975" s="2" t="str">
        <f>IFERROR(__xludf.DUMMYFUNCTION("IF(G8975&lt;&gt;"""", GOOGLETRANSLATE(G8975, ""en"", ""te""),"""")"),"")</f>
        <v/>
      </c>
      <c r="I8975" s="3"/>
    </row>
    <row r="8976" customHeight="1" spans="1:9">
      <c r="A8976" s="2"/>
      <c r="B8976" s="2" t="str">
        <f>IFERROR(__xludf.DUMMYFUNCTION("IF(A8976&lt;&gt;"""", GOOGLETRANSLATE(A8976, ""en"", ""te""),"""")"),"")</f>
        <v/>
      </c>
      <c r="C8976" s="2"/>
      <c r="D8976" s="2" t="str">
        <f>IFERROR(__xludf.DUMMYFUNCTION("IF(C8976&lt;&gt;"""", GOOGLETRANSLATE(C8976, ""en"", ""te""),"""")"),"")</f>
        <v/>
      </c>
      <c r="E8976" s="2"/>
      <c r="F8976" s="2" t="str">
        <f>IFERROR(__xludf.DUMMYFUNCTION("IF(E8976&lt;&gt;"""", GOOGLETRANSLATE(E8976, ""en"", ""te""),"""")"),"")</f>
        <v/>
      </c>
      <c r="G8976" s="2"/>
      <c r="H8976" s="2" t="str">
        <f>IFERROR(__xludf.DUMMYFUNCTION("IF(G8976&lt;&gt;"""", GOOGLETRANSLATE(G8976, ""en"", ""te""),"""")"),"")</f>
        <v/>
      </c>
      <c r="I8976" s="3"/>
    </row>
    <row r="8977" customHeight="1" spans="1:9">
      <c r="A8977" s="2"/>
      <c r="B8977" s="2" t="str">
        <f>IFERROR(__xludf.DUMMYFUNCTION("IF(A8977&lt;&gt;"""", GOOGLETRANSLATE(A8977, ""en"", ""te""),"""")"),"")</f>
        <v/>
      </c>
      <c r="C8977" s="2"/>
      <c r="D8977" s="2" t="str">
        <f>IFERROR(__xludf.DUMMYFUNCTION("IF(C8977&lt;&gt;"""", GOOGLETRANSLATE(C8977, ""en"", ""te""),"""")"),"")</f>
        <v/>
      </c>
      <c r="E8977" s="2"/>
      <c r="F8977" s="2" t="str">
        <f>IFERROR(__xludf.DUMMYFUNCTION("IF(E8977&lt;&gt;"""", GOOGLETRANSLATE(E8977, ""en"", ""te""),"""")"),"")</f>
        <v/>
      </c>
      <c r="G8977" s="2"/>
      <c r="H8977" s="2" t="str">
        <f>IFERROR(__xludf.DUMMYFUNCTION("IF(G8977&lt;&gt;"""", GOOGLETRANSLATE(G8977, ""en"", ""te""),"""")"),"")</f>
        <v/>
      </c>
      <c r="I8977" s="3"/>
    </row>
    <row r="8978" customHeight="1" spans="1:9">
      <c r="A8978" s="2" t="s">
        <v>4888</v>
      </c>
      <c r="B8978" s="2" t="str">
        <f>IFERROR(__xludf.DUMMYFUNCTION("IF(A8978&lt;&gt;"""", GOOGLETRANSLATE(A8978, ""en"", ""te""),"""")"),"[ 'ఇన్నింగ్స్ లో 5 వ అత్యధిక వికెట్లు (4)']")</f>
        <v>[ 'ఇన్నింగ్స్ లో 5 వ అత్యధిక వికెట్లు (4)']</v>
      </c>
      <c r="C8978" s="2"/>
      <c r="D8978" s="2" t="str">
        <f>IFERROR(__xludf.DUMMYFUNCTION("IF(C8978&lt;&gt;"""", GOOGLETRANSLATE(C8978, ""en"", ""te""),"""")"),"")</f>
        <v/>
      </c>
      <c r="E8978" s="2"/>
      <c r="F8978" s="2" t="str">
        <f>IFERROR(__xludf.DUMMYFUNCTION("IF(E8978&lt;&gt;"""", GOOGLETRANSLATE(E8978, ""en"", ""te""),"""")"),"")</f>
        <v/>
      </c>
      <c r="G8978" s="2" t="s">
        <v>5131</v>
      </c>
      <c r="H8978" s="2" t="str">
        <f>IFERROR(__xludf.DUMMYFUNCTION("IF(G8978&lt;&gt;"""", GOOGLETRANSLATE(G8978, ""en"", ""te""),"""")"),"[ 'ఇన్నింగ్స్ లో 5 వ అత్యధిక వికెట్లు (4)', '13 వ అత్యంత ఇన్నింగ్స్ లో క్యాచ్లు (3)']")</f>
        <v>[ 'ఇన్నింగ్స్ లో 5 వ అత్యధిక వికెట్లు (4)', '13 వ అత్యంత ఇన్నింగ్స్ లో క్యాచ్లు (3)']</v>
      </c>
      <c r="I8978" s="3"/>
    </row>
    <row r="8979" customHeight="1" spans="1:9">
      <c r="A8979" s="2"/>
      <c r="B8979" s="2" t="str">
        <f>IFERROR(__xludf.DUMMYFUNCTION("IF(A8979&lt;&gt;"""", GOOGLETRANSLATE(A8979, ""en"", ""te""),"""")"),"")</f>
        <v/>
      </c>
      <c r="C8979" s="2"/>
      <c r="D8979" s="2" t="str">
        <f>IFERROR(__xludf.DUMMYFUNCTION("IF(C8979&lt;&gt;"""", GOOGLETRANSLATE(C8979, ""en"", ""te""),"""")"),"")</f>
        <v/>
      </c>
      <c r="E8979" s="2"/>
      <c r="F8979" s="2" t="str">
        <f>IFERROR(__xludf.DUMMYFUNCTION("IF(E8979&lt;&gt;"""", GOOGLETRANSLATE(E8979, ""en"", ""te""),"""")"),"")</f>
        <v/>
      </c>
      <c r="G8979" s="2"/>
      <c r="H8979" s="2" t="str">
        <f>IFERROR(__xludf.DUMMYFUNCTION("IF(G8979&lt;&gt;"""", GOOGLETRANSLATE(G8979, ""en"", ""te""),"""")"),"")</f>
        <v/>
      </c>
      <c r="I8979" s="3"/>
    </row>
    <row r="8980" customHeight="1" spans="1:9">
      <c r="A8980" s="2"/>
      <c r="B8980" s="2" t="str">
        <f>IFERROR(__xludf.DUMMYFUNCTION("IF(A8980&lt;&gt;"""", GOOGLETRANSLATE(A8980, ""en"", ""te""),"""")"),"")</f>
        <v/>
      </c>
      <c r="C8980" s="2"/>
      <c r="D8980" s="2" t="str">
        <f>IFERROR(__xludf.DUMMYFUNCTION("IF(C8980&lt;&gt;"""", GOOGLETRANSLATE(C8980, ""en"", ""te""),"""")"),"")</f>
        <v/>
      </c>
      <c r="E8980" s="2"/>
      <c r="F8980" s="2" t="str">
        <f>IFERROR(__xludf.DUMMYFUNCTION("IF(E8980&lt;&gt;"""", GOOGLETRANSLATE(E8980, ""en"", ""te""),"""")"),"")</f>
        <v/>
      </c>
      <c r="G8980" s="2"/>
      <c r="H8980" s="2" t="str">
        <f>IFERROR(__xludf.DUMMYFUNCTION("IF(G8980&lt;&gt;"""", GOOGLETRANSLATE(G8980, ""en"", ""te""),"""")"),"")</f>
        <v/>
      </c>
      <c r="I8980" s="3"/>
    </row>
    <row r="8981" customHeight="1" spans="1:9">
      <c r="A8981" s="2" t="s">
        <v>4557</v>
      </c>
      <c r="B8981" s="2" t="str">
        <f>IFERROR(__xludf.DUMMYFUNCTION("IF(A8981&lt;&gt;"""", GOOGLETRANSLATE(A8981, ""en"", ""te""),"""")"),"[ 'ఒక కెప్టెన్తో ఒక ఇన్నింగ్స్ లో 4 వ ఉత్తమ బొమ్మలు (4)']")</f>
        <v>[ 'ఒక కెప్టెన్తో ఒక ఇన్నింగ్స్ లో 4 వ ఉత్తమ బొమ్మలు (4)']</v>
      </c>
      <c r="C8981" s="2"/>
      <c r="D8981" s="2" t="str">
        <f>IFERROR(__xludf.DUMMYFUNCTION("IF(C8981&lt;&gt;"""", GOOGLETRANSLATE(C8981, ""en"", ""te""),"""")"),"")</f>
        <v/>
      </c>
      <c r="E8981" s="2"/>
      <c r="F8981" s="2" t="str">
        <f>IFERROR(__xludf.DUMMYFUNCTION("IF(E8981&lt;&gt;"""", GOOGLETRANSLATE(E8981, ""en"", ""te""),"""")"),"")</f>
        <v/>
      </c>
      <c r="G8981" s="2" t="s">
        <v>4557</v>
      </c>
      <c r="H8981" s="2" t="str">
        <f>IFERROR(__xludf.DUMMYFUNCTION("IF(G8981&lt;&gt;"""", GOOGLETRANSLATE(G8981, ""en"", ""te""),"""")"),"[ 'ఒక కెప్టెన్తో ఒక ఇన్నింగ్స్ లో 4 వ ఉత్తమ బొమ్మలు (4)']")</f>
        <v>[ 'ఒక కెప్టెన్తో ఒక ఇన్నింగ్స్ లో 4 వ ఉత్తమ బొమ్మలు (4)']</v>
      </c>
      <c r="I8981" s="3"/>
    </row>
    <row r="8982" customHeight="1" spans="1:9">
      <c r="A8982" s="2"/>
      <c r="B8982" s="2" t="str">
        <f>IFERROR(__xludf.DUMMYFUNCTION("IF(A8982&lt;&gt;"""", GOOGLETRANSLATE(A8982, ""en"", ""te""),"""")"),"")</f>
        <v/>
      </c>
      <c r="C8982" s="2"/>
      <c r="D8982" s="2" t="str">
        <f>IFERROR(__xludf.DUMMYFUNCTION("IF(C8982&lt;&gt;"""", GOOGLETRANSLATE(C8982, ""en"", ""te""),"""")"),"")</f>
        <v/>
      </c>
      <c r="E8982" s="2"/>
      <c r="F8982" s="2" t="str">
        <f>IFERROR(__xludf.DUMMYFUNCTION("IF(E8982&lt;&gt;"""", GOOGLETRANSLATE(E8982, ""en"", ""te""),"""")"),"")</f>
        <v/>
      </c>
      <c r="G8982" s="2" t="s">
        <v>933</v>
      </c>
      <c r="H8982" s="2" t="str">
        <f>IFERROR(__xludf.DUMMYFUNCTION("IF(G8982&lt;&gt;"""", GOOGLETRANSLATE(G8982, ""en"", ""te""),"""")"),"[ '15 వ ఇన్నింగ్స్ లో అత్యధిక క్యాచ్లు (3)']")</f>
        <v>[ '15 వ ఇన్నింగ్స్ లో అత్యధిక క్యాచ్లు (3)']</v>
      </c>
      <c r="I8982" s="3"/>
    </row>
    <row r="8983" customHeight="1" spans="1:9">
      <c r="A8983" s="2" t="s">
        <v>1574</v>
      </c>
      <c r="B8983" s="2" t="str">
        <f>IFERROR(__xludf.DUMMYFUNCTION("IF(A8983&lt;&gt;"""", GOOGLETRANSLATE(A8983, ""en"", ""te""),"""")"),"[ 'తొలి ఇన్నింగ్స్లో 4 వ ఉత్తమ బొమ్మలు (4)']")</f>
        <v>[ 'తొలి ఇన్నింగ్స్లో 4 వ ఉత్తమ బొమ్మలు (4)']</v>
      </c>
      <c r="C8983" s="2"/>
      <c r="D8983" s="2" t="str">
        <f>IFERROR(__xludf.DUMMYFUNCTION("IF(C8983&lt;&gt;"""", GOOGLETRANSLATE(C8983, ""en"", ""te""),"""")"),"")</f>
        <v/>
      </c>
      <c r="E8983" s="2"/>
      <c r="F8983" s="2" t="str">
        <f>IFERROR(__xludf.DUMMYFUNCTION("IF(E8983&lt;&gt;"""", GOOGLETRANSLATE(E8983, ""en"", ""te""),"""")"),"")</f>
        <v/>
      </c>
      <c r="G8983" s="2" t="s">
        <v>1574</v>
      </c>
      <c r="H8983" s="2" t="str">
        <f>IFERROR(__xludf.DUMMYFUNCTION("IF(G8983&lt;&gt;"""", GOOGLETRANSLATE(G8983, ""en"", ""te""),"""")"),"[ 'తొలి ఇన్నింగ్స్లో 4 వ ఉత్తమ బొమ్మలు (4)']")</f>
        <v>[ 'తొలి ఇన్నింగ్స్లో 4 వ ఉత్తమ బొమ్మలు (4)']</v>
      </c>
      <c r="I8983" s="3"/>
    </row>
    <row r="8984" customHeight="1" spans="1:9">
      <c r="A8984" s="2"/>
      <c r="B8984" s="2" t="str">
        <f>IFERROR(__xludf.DUMMYFUNCTION("IF(A8984&lt;&gt;"""", GOOGLETRANSLATE(A8984, ""en"", ""te""),"""")"),"")</f>
        <v/>
      </c>
      <c r="C8984" s="2"/>
      <c r="D8984" s="2" t="str">
        <f>IFERROR(__xludf.DUMMYFUNCTION("IF(C8984&lt;&gt;"""", GOOGLETRANSLATE(C8984, ""en"", ""te""),"""")"),"")</f>
        <v/>
      </c>
      <c r="E8984" s="2"/>
      <c r="F8984" s="2" t="str">
        <f>IFERROR(__xludf.DUMMYFUNCTION("IF(E8984&lt;&gt;"""", GOOGLETRANSLATE(E8984, ""en"", ""te""),"""")"),"")</f>
        <v/>
      </c>
      <c r="G8984" s="2"/>
      <c r="H8984" s="2" t="str">
        <f>IFERROR(__xludf.DUMMYFUNCTION("IF(G8984&lt;&gt;"""", GOOGLETRANSLATE(G8984, ""en"", ""te""),"""")"),"")</f>
        <v/>
      </c>
      <c r="I8984" s="3"/>
    </row>
    <row r="8985" customHeight="1" spans="1:9">
      <c r="A8985" s="2"/>
      <c r="B8985" s="2" t="str">
        <f>IFERROR(__xludf.DUMMYFUNCTION("IF(A8985&lt;&gt;"""", GOOGLETRANSLATE(A8985, ""en"", ""te""),"""")"),"")</f>
        <v/>
      </c>
      <c r="C8985" s="2"/>
      <c r="D8985" s="2" t="str">
        <f>IFERROR(__xludf.DUMMYFUNCTION("IF(C8985&lt;&gt;"""", GOOGLETRANSLATE(C8985, ""en"", ""te""),"""")"),"")</f>
        <v/>
      </c>
      <c r="E8985" s="2"/>
      <c r="F8985" s="2" t="str">
        <f>IFERROR(__xludf.DUMMYFUNCTION("IF(E8985&lt;&gt;"""", GOOGLETRANSLATE(E8985, ""en"", ""te""),"""")"),"")</f>
        <v/>
      </c>
      <c r="G8985" s="2"/>
      <c r="H8985" s="2" t="str">
        <f>IFERROR(__xludf.DUMMYFUNCTION("IF(G8985&lt;&gt;"""", GOOGLETRANSLATE(G8985, ""en"", ""te""),"""")"),"")</f>
        <v/>
      </c>
      <c r="I8985" s="3"/>
    </row>
    <row r="8986" customHeight="1" spans="1:9">
      <c r="A8986" s="2"/>
      <c r="B8986" s="2" t="str">
        <f>IFERROR(__xludf.DUMMYFUNCTION("IF(A8986&lt;&gt;"""", GOOGLETRANSLATE(A8986, ""en"", ""te""),"""")"),"")</f>
        <v/>
      </c>
      <c r="C8986" s="2"/>
      <c r="D8986" s="2" t="str">
        <f>IFERROR(__xludf.DUMMYFUNCTION("IF(C8986&lt;&gt;"""", GOOGLETRANSLATE(C8986, ""en"", ""te""),"""")"),"")</f>
        <v/>
      </c>
      <c r="E8986" s="2"/>
      <c r="F8986" s="2" t="str">
        <f>IFERROR(__xludf.DUMMYFUNCTION("IF(E8986&lt;&gt;"""", GOOGLETRANSLATE(E8986, ""en"", ""te""),"""")"),"")</f>
        <v/>
      </c>
      <c r="G8986" s="2"/>
      <c r="H8986" s="2" t="str">
        <f>IFERROR(__xludf.DUMMYFUNCTION("IF(G8986&lt;&gt;"""", GOOGLETRANSLATE(G8986, ""en"", ""te""),"""")"),"")</f>
        <v/>
      </c>
      <c r="I8986" s="3"/>
    </row>
    <row r="8987" customHeight="1" spans="1:9">
      <c r="A8987" s="2"/>
      <c r="B8987" s="2" t="str">
        <f>IFERROR(__xludf.DUMMYFUNCTION("IF(A8987&lt;&gt;"""", GOOGLETRANSLATE(A8987, ""en"", ""te""),"""")"),"")</f>
        <v/>
      </c>
      <c r="C8987" s="2"/>
      <c r="D8987" s="2" t="str">
        <f>IFERROR(__xludf.DUMMYFUNCTION("IF(C8987&lt;&gt;"""", GOOGLETRANSLATE(C8987, ""en"", ""te""),"""")"),"")</f>
        <v/>
      </c>
      <c r="E8987" s="2"/>
      <c r="F8987" s="2" t="str">
        <f>IFERROR(__xludf.DUMMYFUNCTION("IF(E8987&lt;&gt;"""", GOOGLETRANSLATE(E8987, ""en"", ""te""),"""")"),"")</f>
        <v/>
      </c>
      <c r="G8987" s="2"/>
      <c r="H8987" s="2" t="str">
        <f>IFERROR(__xludf.DUMMYFUNCTION("IF(G8987&lt;&gt;"""", GOOGLETRANSLATE(G8987, ""en"", ""te""),"""")"),"")</f>
        <v/>
      </c>
      <c r="I8987" s="3"/>
    </row>
    <row r="8988" customHeight="1" spans="1:9">
      <c r="A8988" s="2"/>
      <c r="B8988" s="2" t="str">
        <f>IFERROR(__xludf.DUMMYFUNCTION("IF(A8988&lt;&gt;"""", GOOGLETRANSLATE(A8988, ""en"", ""te""),"""")"),"")</f>
        <v/>
      </c>
      <c r="C8988" s="2"/>
      <c r="D8988" s="2" t="str">
        <f>IFERROR(__xludf.DUMMYFUNCTION("IF(C8988&lt;&gt;"""", GOOGLETRANSLATE(C8988, ""en"", ""te""),"""")"),"")</f>
        <v/>
      </c>
      <c r="E8988" s="2"/>
      <c r="F8988" s="2" t="str">
        <f>IFERROR(__xludf.DUMMYFUNCTION("IF(E8988&lt;&gt;"""", GOOGLETRANSLATE(E8988, ""en"", ""te""),"""")"),"")</f>
        <v/>
      </c>
      <c r="G8988" s="2" t="s">
        <v>5132</v>
      </c>
      <c r="H8988" s="2" t="str">
        <f>IFERROR(__xludf.DUMMYFUNCTION("IF(G8988&lt;&gt;"""", GOOGLETRANSLATE(G8988, ""en"", ""te""),"""")"),"[ '37 వ తొలి మ్యాచ్లో అత్యధిక పరుగులు (54 *)']")</f>
        <v>[ '37 వ తొలి మ్యాచ్లో అత్యధిక పరుగులు (54 *)']</v>
      </c>
      <c r="I8988" s="3"/>
    </row>
    <row r="8989" customHeight="1" spans="1:9">
      <c r="A8989" s="2"/>
      <c r="B8989" s="2" t="str">
        <f>IFERROR(__xludf.DUMMYFUNCTION("IF(A8989&lt;&gt;"""", GOOGLETRANSLATE(A8989, ""en"", ""te""),"""")"),"")</f>
        <v/>
      </c>
      <c r="C8989" s="2"/>
      <c r="D8989" s="2" t="str">
        <f>IFERROR(__xludf.DUMMYFUNCTION("IF(C8989&lt;&gt;"""", GOOGLETRANSLATE(C8989, ""en"", ""te""),"""")"),"")</f>
        <v/>
      </c>
      <c r="E8989" s="2"/>
      <c r="F8989" s="2" t="str">
        <f>IFERROR(__xludf.DUMMYFUNCTION("IF(E8989&lt;&gt;"""", GOOGLETRANSLATE(E8989, ""en"", ""te""),"""")"),"")</f>
        <v/>
      </c>
      <c r="G8989" s="2"/>
      <c r="H8989" s="2" t="str">
        <f>IFERROR(__xludf.DUMMYFUNCTION("IF(G8989&lt;&gt;"""", GOOGLETRANSLATE(G8989, ""en"", ""te""),"""")"),"")</f>
        <v/>
      </c>
      <c r="I8989" s="3"/>
    </row>
    <row r="8990" customHeight="1" spans="1:9">
      <c r="A8990" s="2"/>
      <c r="B8990" s="2" t="str">
        <f>IFERROR(__xludf.DUMMYFUNCTION("IF(A8990&lt;&gt;"""", GOOGLETRANSLATE(A8990, ""en"", ""te""),"""")"),"")</f>
        <v/>
      </c>
      <c r="C8990" s="2"/>
      <c r="D8990" s="2" t="str">
        <f>IFERROR(__xludf.DUMMYFUNCTION("IF(C8990&lt;&gt;"""", GOOGLETRANSLATE(C8990, ""en"", ""te""),"""")"),"")</f>
        <v/>
      </c>
      <c r="E8990" s="2"/>
      <c r="F8990" s="2" t="str">
        <f>IFERROR(__xludf.DUMMYFUNCTION("IF(E8990&lt;&gt;"""", GOOGLETRANSLATE(E8990, ""en"", ""te""),"""")"),"")</f>
        <v/>
      </c>
      <c r="G8990" s="2" t="s">
        <v>498</v>
      </c>
      <c r="H8990" s="2" t="str">
        <f>IFERROR(__xludf.DUMMYFUNCTION("IF(G8990&lt;&gt;"""", GOOGLETRANSLATE(G8990, ""en"", ""te""),"""")"),"[ '21 వ కెరీర్ (22) వెనుదిరిగాడు']")</f>
        <v>[ '21 వ కెరీర్ (22) వెనుదిరిగాడు']</v>
      </c>
      <c r="I8990" s="3"/>
    </row>
    <row r="8991" customHeight="1" spans="1:9">
      <c r="A8991" s="2"/>
      <c r="B8991" s="2" t="str">
        <f>IFERROR(__xludf.DUMMYFUNCTION("IF(A8991&lt;&gt;"""", GOOGLETRANSLATE(A8991, ""en"", ""te""),"""")"),"")</f>
        <v/>
      </c>
      <c r="C8991" s="2"/>
      <c r="D8991" s="2" t="str">
        <f>IFERROR(__xludf.DUMMYFUNCTION("IF(C8991&lt;&gt;"""", GOOGLETRANSLATE(C8991, ""en"", ""te""),"""")"),"")</f>
        <v/>
      </c>
      <c r="E8991" s="2"/>
      <c r="F8991" s="2" t="str">
        <f>IFERROR(__xludf.DUMMYFUNCTION("IF(E8991&lt;&gt;"""", GOOGLETRANSLATE(E8991, ""en"", ""te""),"""")"),"")</f>
        <v/>
      </c>
      <c r="G8991" s="2" t="s">
        <v>5133</v>
      </c>
      <c r="H8991" s="2" t="str">
        <f>IFERROR(__xludf.DUMMYFUNCTION("IF(G8991&lt;&gt;"""", GOOGLETRANSLATE(G8991, ""en"", ""te""),"""")"),"[ '33 వ ఉత్తమ కెరీర్ బౌలింగ్ సరాసరి (అర్హత లేకుండా) (7.60)']")</f>
        <v>[ '33 వ ఉత్తమ కెరీర్ బౌలింగ్ సరాసరి (అర్హత లేకుండా) (7.60)']</v>
      </c>
      <c r="I8991" s="3"/>
    </row>
    <row r="8992" customHeight="1" spans="1:9">
      <c r="A8992" s="2"/>
      <c r="B8992" s="2" t="str">
        <f>IFERROR(__xludf.DUMMYFUNCTION("IF(A8992&lt;&gt;"""", GOOGLETRANSLATE(A8992, ""en"", ""te""),"""")"),"")</f>
        <v/>
      </c>
      <c r="C8992" s="2"/>
      <c r="D8992" s="2" t="str">
        <f>IFERROR(__xludf.DUMMYFUNCTION("IF(C8992&lt;&gt;"""", GOOGLETRANSLATE(C8992, ""en"", ""te""),"""")"),"")</f>
        <v/>
      </c>
      <c r="E8992" s="2"/>
      <c r="F8992" s="2" t="str">
        <f>IFERROR(__xludf.DUMMYFUNCTION("IF(E8992&lt;&gt;"""", GOOGLETRANSLATE(E8992, ""en"", ""te""),"""")"),"")</f>
        <v/>
      </c>
      <c r="G8992" s="2"/>
      <c r="H8992" s="2" t="str">
        <f>IFERROR(__xludf.DUMMYFUNCTION("IF(G8992&lt;&gt;"""", GOOGLETRANSLATE(G8992, ""en"", ""te""),"""")"),"")</f>
        <v/>
      </c>
      <c r="I8992" s="3"/>
    </row>
    <row r="8993" customHeight="1" spans="1:9">
      <c r="A8993" s="2"/>
      <c r="B8993" s="2" t="str">
        <f>IFERROR(__xludf.DUMMYFUNCTION("IF(A8993&lt;&gt;"""", GOOGLETRANSLATE(A8993, ""en"", ""te""),"""")"),"")</f>
        <v/>
      </c>
      <c r="C8993" s="2"/>
      <c r="D8993" s="2" t="str">
        <f>IFERROR(__xludf.DUMMYFUNCTION("IF(C8993&lt;&gt;"""", GOOGLETRANSLATE(C8993, ""en"", ""te""),"""")"),"")</f>
        <v/>
      </c>
      <c r="E8993" s="2"/>
      <c r="F8993" s="2" t="str">
        <f>IFERROR(__xludf.DUMMYFUNCTION("IF(E8993&lt;&gt;"""", GOOGLETRANSLATE(E8993, ""en"", ""te""),"""")"),"")</f>
        <v/>
      </c>
      <c r="G8993" s="2"/>
      <c r="H8993" s="2" t="str">
        <f>IFERROR(__xludf.DUMMYFUNCTION("IF(G8993&lt;&gt;"""", GOOGLETRANSLATE(G8993, ""en"", ""te""),"""")"),"")</f>
        <v/>
      </c>
      <c r="I8993" s="3"/>
    </row>
    <row r="8994" customHeight="1" spans="1:9">
      <c r="A8994" s="2" t="s">
        <v>5134</v>
      </c>
      <c r="B8994" s="2" t="str">
        <f>IFERROR(__xludf.DUMMYFUNCTION("IF(A8994&lt;&gt;"""", GOOGLETRANSLATE(A8994, ""en"", ""te""),"""")"),"[ '1st అత్యుత్తమ ఇన్నింగ్స్ (2/0) విశ్లేషణలలో బౌలింగ్']")</f>
        <v>[ '1st అత్యుత్తమ ఇన్నింగ్స్ (2/0) విశ్లేషణలలో బౌలింగ్']</v>
      </c>
      <c r="C8994" s="2"/>
      <c r="D8994" s="2" t="str">
        <f>IFERROR(__xludf.DUMMYFUNCTION("IF(C8994&lt;&gt;"""", GOOGLETRANSLATE(C8994, ""en"", ""te""),"""")"),"")</f>
        <v/>
      </c>
      <c r="E8994" s="2"/>
      <c r="F8994" s="2" t="str">
        <f>IFERROR(__xludf.DUMMYFUNCTION("IF(E8994&lt;&gt;"""", GOOGLETRANSLATE(E8994, ""en"", ""te""),"""")"),"")</f>
        <v/>
      </c>
      <c r="G8994" s="2" t="s">
        <v>5135</v>
      </c>
      <c r="H8994" s="2" t="str">
        <f>IFERROR(__xludf.DUMMYFUNCTION("IF(G8994&lt;&gt;"""", GOOGLETRANSLATE(G8994, ""en"", ""te""),"""")"),"[ '22 వ కెరీర్ లో బాతులు (11)', '45 వ ఉత్తమ ఇన్నింగ్స్ లో సంఖ్యలు (4/2)', '1 వ అత్యుత్తమ బౌలింగ్ ఇన్నింగ్స్ లో విశ్లేషించడం (2/0)', ​​'6 వ ఒక ద్వారా ఒక ఇన్నింగ్స్ లోని బెస్ట్ ఫిగర్స్ కెప్టెన్ (4) ',' ఇన్నింగ్స్ లో 22 వ ఉత్తమ ఆర్థిక రేటు (0.50) ',' 13 వ ఉత"&amp;"్తమ ఇన్నింగ్స్ లో సమ్మె రేటు (3.0) ',' 33 వ కెప్టెన్గా అత్యధిక మ్యాచ్లు (14) ',' 20 వ కెరీర్ పనికత్తెలయొద్ద ( 7) ',' 12 వ ఇన్నింగ్స్ లో వచ్చిన ఎక్కువ పనికత్తెలయొద్ద (2) ']")</f>
        <v>[ '22 వ కెరీర్ లో బాతులు (11)', '45 వ ఉత్తమ ఇన్నింగ్స్ లో సంఖ్యలు (4/2)', '1 వ అత్యుత్తమ బౌలింగ్ ఇన్నింగ్స్ లో విశ్లేషించడం (2/0)', ​​'6 వ ఒక ద్వారా ఒక ఇన్నింగ్స్ లోని బెస్ట్ ఫిగర్స్ కెప్టెన్ (4) ',' ఇన్నింగ్స్ లో 22 వ ఉత్తమ ఆర్థిక రేటు (0.50) ',' 13 వ ఉత్తమ ఇన్నింగ్స్ లో సమ్మె రేటు (3.0) ',' 33 వ కెప్టెన్గా అత్యధిక మ్యాచ్లు (14) ',' 20 వ కెరీర్ పనికత్తెలయొద్ద ( 7) ',' 12 వ ఇన్నింగ్స్ లో వచ్చిన ఎక్కువ పనికత్తెలయొద్ద (2) ']</v>
      </c>
      <c r="I8994" s="3"/>
    </row>
    <row r="8995" customHeight="1" spans="1:9">
      <c r="A8995" s="2"/>
      <c r="B8995" s="2" t="str">
        <f>IFERROR(__xludf.DUMMYFUNCTION("IF(A8995&lt;&gt;"""", GOOGLETRANSLATE(A8995, ""en"", ""te""),"""")"),"")</f>
        <v/>
      </c>
      <c r="C8995" s="2"/>
      <c r="D8995" s="2" t="str">
        <f>IFERROR(__xludf.DUMMYFUNCTION("IF(C8995&lt;&gt;"""", GOOGLETRANSLATE(C8995, ""en"", ""te""),"""")"),"")</f>
        <v/>
      </c>
      <c r="E8995" s="2"/>
      <c r="F8995" s="2" t="str">
        <f>IFERROR(__xludf.DUMMYFUNCTION("IF(E8995&lt;&gt;"""", GOOGLETRANSLATE(E8995, ""en"", ""te""),"""")"),"")</f>
        <v/>
      </c>
      <c r="G8995" s="2"/>
      <c r="H8995" s="2" t="str">
        <f>IFERROR(__xludf.DUMMYFUNCTION("IF(G8995&lt;&gt;"""", GOOGLETRANSLATE(G8995, ""en"", ""te""),"""")"),"")</f>
        <v/>
      </c>
      <c r="I8995" s="3"/>
    </row>
    <row r="8996" customHeight="1" spans="1:9">
      <c r="A8996" s="2" t="s">
        <v>5136</v>
      </c>
      <c r="B8996" s="2" t="str">
        <f>IFERROR(__xludf.DUMMYFUNCTION("IF(A8996&lt;&gt;"""", GOOGLETRANSLATE(A8996, ""en"", ""te""),"""")"),"[ 'ఇన్నింగ్స్ లో 8 వ అత్యధిక పరుగులు (బ్యాటింగ్ స్థానంలో ద్వారా) (12)', '8 వ ఒక ఇన్నింగ్స్ లోని బెస్ట్ ఫిగర్స్ ఉన్నప్పుడు పరాజయం వైపు (4)']")</f>
        <v>[ 'ఇన్నింగ్స్ లో 8 వ అత్యధిక పరుగులు (బ్యాటింగ్ స్థానంలో ద్వారా) (12)', '8 వ ఒక ఇన్నింగ్స్ లోని బెస్ట్ ఫిగర్స్ ఉన్నప్పుడు పరాజయం వైపు (4)']</v>
      </c>
      <c r="C8996" s="2"/>
      <c r="D8996" s="2" t="str">
        <f>IFERROR(__xludf.DUMMYFUNCTION("IF(C8996&lt;&gt;"""", GOOGLETRANSLATE(C8996, ""en"", ""te""),"""")"),"")</f>
        <v/>
      </c>
      <c r="E8996" s="2"/>
      <c r="F8996" s="2" t="str">
        <f>IFERROR(__xludf.DUMMYFUNCTION("IF(E8996&lt;&gt;"""", GOOGLETRANSLATE(E8996, ""en"", ""te""),"""")"),"")</f>
        <v/>
      </c>
      <c r="G8996" s="2" t="s">
        <v>5136</v>
      </c>
      <c r="H8996" s="2" t="str">
        <f>IFERROR(__xludf.DUMMYFUNCTION("IF(G8996&lt;&gt;"""", GOOGLETRANSLATE(G8996, ""en"", ""te""),"""")"),"[ 'ఇన్నింగ్స్ లో 8 వ అత్యధిక పరుగులు (బ్యాటింగ్ స్థానంలో ద్వారా) (12)', '8 వ ఒక ఇన్నింగ్స్ లోని బెస్ట్ ఫిగర్స్ ఉన్నప్పుడు పరాజయం వైపు (4)']")</f>
        <v>[ 'ఇన్నింగ్స్ లో 8 వ అత్యధిక పరుగులు (బ్యాటింగ్ స్థానంలో ద్వారా) (12)', '8 వ ఒక ఇన్నింగ్స్ లోని బెస్ట్ ఫిగర్స్ ఉన్నప్పుడు పరాజయం వైపు (4)']</v>
      </c>
      <c r="I8996" s="3"/>
    </row>
    <row r="8997" customHeight="1" spans="1:9">
      <c r="A8997" s="2" t="s">
        <v>5137</v>
      </c>
      <c r="B8997" s="2" t="str">
        <f>IFERROR(__xludf.DUMMYFUNCTION("IF(A8997&lt;&gt;"""", GOOGLETRANSLATE(A8997, ""en"", ""te""),"""")"),"[ '3 వ అత్యుత్తమ బౌలింగ్ ఇన్నింగ్స్ విశ్లేషణలలో (4/5)', 'ఇన్నింగ్స్ లో 4 వ ఉత్తమ సమ్మె రేటు (4.5)']")</f>
        <v>[ '3 వ అత్యుత్తమ బౌలింగ్ ఇన్నింగ్స్ విశ్లేషణలలో (4/5)', 'ఇన్నింగ్స్ లో 4 వ ఉత్తమ సమ్మె రేటు (4.5)']</v>
      </c>
      <c r="C8997" s="2"/>
      <c r="D8997" s="2" t="str">
        <f>IFERROR(__xludf.DUMMYFUNCTION("IF(C8997&lt;&gt;"""", GOOGLETRANSLATE(C8997, ""en"", ""te""),"""")"),"")</f>
        <v/>
      </c>
      <c r="E8997" s="2" t="s">
        <v>5138</v>
      </c>
      <c r="F8997" s="2" t="str">
        <f>IFERROR(__xludf.DUMMYFUNCTION("IF(E8997&lt;&gt;"""", GOOGLETRANSLATE(E8997, ""en"", ""te""),"""")"),"[ '3 వ అత్యుత్తమ బౌలింగ్ ఇన్నింగ్స్ విశ్లేషణలలో (4/5)', '19 వ ఉత్తమ కెరీర్ (9.36) (అర్హత లేకుండా) సగటు బౌలింగ్', 'ఇన్నింగ్స్ లో 4 వ ఉత్తమ సమ్మె రేటు (4.5)']")</f>
        <v>[ '3 వ అత్యుత్తమ బౌలింగ్ ఇన్నింగ్స్ విశ్లేషణలలో (4/5)', '19 వ ఉత్తమ కెరీర్ (9.36) (అర్హత లేకుండా) సగటు బౌలింగ్', 'ఇన్నింగ్స్ లో 4 వ ఉత్తమ సమ్మె రేటు (4.5)']</v>
      </c>
      <c r="G8997" s="2"/>
      <c r="H8997" s="2" t="str">
        <f>IFERROR(__xludf.DUMMYFUNCTION("IF(G8997&lt;&gt;"""", GOOGLETRANSLATE(G8997, ""en"", ""te""),"""")"),"")</f>
        <v/>
      </c>
      <c r="I8997" s="3"/>
    </row>
    <row r="8998" customHeight="1" spans="1:9">
      <c r="A8998" s="2" t="s">
        <v>389</v>
      </c>
      <c r="B8998" s="2" t="str">
        <f>IFERROR(__xludf.DUMMYFUNCTION("IF(A8998&lt;&gt;"""", GOOGLETRANSLATE(A8998, ""en"", ""te""),"""")"),"[ '8 వ అత్యంత ఇన్నింగ్స్ లో సాధించిన బైస్ (8)']")</f>
        <v>[ '8 వ అత్యంత ఇన్నింగ్స్ లో సాధించిన బైస్ (8)']</v>
      </c>
      <c r="C8998" s="2"/>
      <c r="D8998" s="2" t="str">
        <f>IFERROR(__xludf.DUMMYFUNCTION("IF(C8998&lt;&gt;"""", GOOGLETRANSLATE(C8998, ""en"", ""te""),"""")"),"")</f>
        <v/>
      </c>
      <c r="E8998" s="2"/>
      <c r="F8998" s="2" t="str">
        <f>IFERROR(__xludf.DUMMYFUNCTION("IF(E8998&lt;&gt;"""", GOOGLETRANSLATE(E8998, ""en"", ""te""),"""")"),"")</f>
        <v/>
      </c>
      <c r="G8998" s="2" t="s">
        <v>5139</v>
      </c>
      <c r="H8998" s="2" t="str">
        <f>IFERROR(__xludf.DUMMYFUNCTION("IF(G8998&lt;&gt;"""", GOOGLETRANSLATE(G8998, ""en"", ""te""),"""")"),"[18 వ ఇన్నింగ్స్ లో అత్యధిక పరుగులు (బ్యాటింగ్ స్థానంలో ద్వారా) (58 *) ',' 15 వ అత్యధిక క్యాచ్లు ఒక ఇన్నింగ్స్ లో (3) ',' 12 వ కెరీర్ స్టంపింగ్లు (8) ',' 8 వ అత్యంత ఇన్నింగ్స్ లో సాధించిన బైస్ (8) ']")</f>
        <v>[18 వ ఇన్నింగ్స్ లో అత్యధిక పరుగులు (బ్యాటింగ్ స్థానంలో ద్వారా) (58 *) ',' 15 వ అత్యధిక క్యాచ్లు ఒక ఇన్నింగ్స్ లో (3) ',' 12 వ కెరీర్ స్టంపింగ్లు (8) ',' 8 వ అత్యంత ఇన్నింగ్స్ లో సాధించిన బైస్ (8) ']</v>
      </c>
      <c r="I8998" s="3"/>
    </row>
    <row r="8999" customHeight="1" spans="1:9">
      <c r="A8999" s="2" t="s">
        <v>735</v>
      </c>
      <c r="B8999" s="2" t="str">
        <f>IFERROR(__xludf.DUMMYFUNCTION("IF(A8999&lt;&gt;"""", GOOGLETRANSLATE(A8999, ""en"", ""te""),"""")"),"[ 'వరుస ఇన్నింగ్స్లో 3 వ యాభైల్లో (3)']")</f>
        <v>[ 'వరుస ఇన్నింగ్స్లో 3 వ యాభైల్లో (3)']</v>
      </c>
      <c r="C8999" s="2"/>
      <c r="D8999" s="2" t="str">
        <f>IFERROR(__xludf.DUMMYFUNCTION("IF(C8999&lt;&gt;"""", GOOGLETRANSLATE(C8999, ""en"", ""te""),"""")"),"")</f>
        <v/>
      </c>
      <c r="E8999" s="2"/>
      <c r="F8999" s="2" t="str">
        <f>IFERROR(__xludf.DUMMYFUNCTION("IF(E8999&lt;&gt;"""", GOOGLETRANSLATE(E8999, ""en"", ""te""),"""")"),"")</f>
        <v/>
      </c>
      <c r="G8999" s="2" t="s">
        <v>5140</v>
      </c>
      <c r="H8999" s="2" t="str">
        <f>IFERROR(__xludf.DUMMYFUNCTION("IF(G8999&lt;&gt;"""", GOOGLETRANSLATE(G8999, ""en"", ""te""),"""")"),"[ '43 వ ఒకే మైదానంలో అత్యధిక పరుగులు (278)', 'తొలి మ్యాచ్లో 23 వ అత్యధిక పరుగులు (62)', 'వరుస ఇన్నింగ్స్లో 3 వ యాభైల్లో (3)', 'తొలి వికెట్కు (116) కోసం 45 వ అత్యధిక భాగస్వామ్యం']")</f>
        <v>[ '43 వ ఒకే మైదానంలో అత్యధిక పరుగులు (278)', 'తొలి మ్యాచ్లో 23 వ అత్యధిక పరుగులు (62)', 'వరుస ఇన్నింగ్స్లో 3 వ యాభైల్లో (3)', 'తొలి వికెట్కు (116) కోసం 45 వ అత్యధిక భాగస్వామ్యం']</v>
      </c>
      <c r="I8999" s="3"/>
    </row>
    <row r="9000" customHeight="1" spans="1:9">
      <c r="A9000" s="2"/>
      <c r="B9000" s="2" t="str">
        <f>IFERROR(__xludf.DUMMYFUNCTION("IF(A9000&lt;&gt;"""", GOOGLETRANSLATE(A9000, ""en"", ""te""),"""")"),"")</f>
        <v/>
      </c>
      <c r="C9000" s="2"/>
      <c r="D9000" s="2" t="str">
        <f>IFERROR(__xludf.DUMMYFUNCTION("IF(C9000&lt;&gt;"""", GOOGLETRANSLATE(C9000, ""en"", ""te""),"""")"),"")</f>
        <v/>
      </c>
      <c r="E9000" s="2"/>
      <c r="F9000" s="2" t="str">
        <f>IFERROR(__xludf.DUMMYFUNCTION("IF(E9000&lt;&gt;"""", GOOGLETRANSLATE(E9000, ""en"", ""te""),"""")"),"")</f>
        <v/>
      </c>
      <c r="G9000" s="2"/>
      <c r="H9000" s="2" t="str">
        <f>IFERROR(__xludf.DUMMYFUNCTION("IF(G9000&lt;&gt;"""", GOOGLETRANSLATE(G9000, ""en"", ""te""),"""")"),"")</f>
        <v/>
      </c>
      <c r="I9000" s="3"/>
    </row>
    <row r="9001" customHeight="1" spans="1:9">
      <c r="A9001" s="2"/>
      <c r="B9001" s="2" t="str">
        <f>IFERROR(__xludf.DUMMYFUNCTION("IF(A9001&lt;&gt;"""", GOOGLETRANSLATE(A9001, ""en"", ""te""),"""")"),"")</f>
        <v/>
      </c>
      <c r="C9001" s="2"/>
      <c r="D9001" s="2" t="str">
        <f>IFERROR(__xludf.DUMMYFUNCTION("IF(C9001&lt;&gt;"""", GOOGLETRANSLATE(C9001, ""en"", ""te""),"""")"),"")</f>
        <v/>
      </c>
      <c r="E9001" s="2"/>
      <c r="F9001" s="2" t="str">
        <f>IFERROR(__xludf.DUMMYFUNCTION("IF(E9001&lt;&gt;"""", GOOGLETRANSLATE(E9001, ""en"", ""te""),"""")"),"")</f>
        <v/>
      </c>
      <c r="G9001" s="2"/>
      <c r="H9001" s="2" t="str">
        <f>IFERROR(__xludf.DUMMYFUNCTION("IF(G9001&lt;&gt;"""", GOOGLETRANSLATE(G9001, ""en"", ""te""),"""")"),"")</f>
        <v/>
      </c>
      <c r="I9001" s="3"/>
    </row>
    <row r="9002" customHeight="1" spans="1:9">
      <c r="A9002" s="2"/>
      <c r="B9002" s="2" t="str">
        <f>IFERROR(__xludf.DUMMYFUNCTION("IF(A9002&lt;&gt;"""", GOOGLETRANSLATE(A9002, ""en"", ""te""),"""")"),"")</f>
        <v/>
      </c>
      <c r="C9002" s="2"/>
      <c r="D9002" s="2" t="str">
        <f>IFERROR(__xludf.DUMMYFUNCTION("IF(C9002&lt;&gt;"""", GOOGLETRANSLATE(C9002, ""en"", ""te""),"""")"),"")</f>
        <v/>
      </c>
      <c r="E9002" s="2"/>
      <c r="F9002" s="2" t="str">
        <f>IFERROR(__xludf.DUMMYFUNCTION("IF(E9002&lt;&gt;"""", GOOGLETRANSLATE(E9002, ""en"", ""te""),"""")"),"")</f>
        <v/>
      </c>
      <c r="G9002" s="2" t="s">
        <v>5141</v>
      </c>
      <c r="H9002" s="2" t="str">
        <f>IFERROR(__xludf.DUMMYFUNCTION("IF(G9002&lt;&gt;"""", GOOGLETRANSLATE(G9002, ""en"", ""te""),"""")"),"[ 'తొమ్మిదవ వికెట్కు 12 వ అత్యధిక భాగస్వామ్యం (43)']")</f>
        <v>[ 'తొమ్మిదవ వికెట్కు 12 వ అత్యధిక భాగస్వామ్యం (43)']</v>
      </c>
      <c r="I9002" s="3"/>
    </row>
    <row r="9003" customHeight="1" spans="1:9">
      <c r="A9003" s="2"/>
      <c r="B9003" s="2" t="str">
        <f>IFERROR(__xludf.DUMMYFUNCTION("IF(A9003&lt;&gt;"""", GOOGLETRANSLATE(A9003, ""en"", ""te""),"""")"),"")</f>
        <v/>
      </c>
      <c r="C9003" s="2"/>
      <c r="D9003" s="2" t="str">
        <f>IFERROR(__xludf.DUMMYFUNCTION("IF(C9003&lt;&gt;"""", GOOGLETRANSLATE(C9003, ""en"", ""te""),"""")"),"")</f>
        <v/>
      </c>
      <c r="E9003" s="2" t="s">
        <v>5142</v>
      </c>
      <c r="F9003" s="2" t="str">
        <f>IFERROR(__xludf.DUMMYFUNCTION("IF(E9003&lt;&gt;"""", GOOGLETRANSLATE(E9003, ""en"", ""te""),"""")"),"[ '29 పిన్న క్రీడాకారులు (17y 100d)']")</f>
        <v>[ '29 పిన్న క్రీడాకారులు (17y 100d)']</v>
      </c>
      <c r="G9003" s="2" t="s">
        <v>5143</v>
      </c>
      <c r="H9003" s="2" t="str">
        <f>IFERROR(__xludf.DUMMYFUNCTION("IF(G9003&lt;&gt;"""", GOOGLETRANSLATE(G9003, ""en"", ""te""),"""")"),"[ '38 వ తొలి మ్యాచ్లో అత్యధిక పరుగులు (53 *)', '45 వ పిన్న క్రీడాకారులు (17y 103d)']")</f>
        <v>[ '38 వ తొలి మ్యాచ్లో అత్యధిక పరుగులు (53 *)', '45 వ పిన్న క్రీడాకారులు (17y 103d)']</v>
      </c>
      <c r="I9003" s="3"/>
    </row>
    <row r="9004" customHeight="1" spans="1:9">
      <c r="A9004" s="2"/>
      <c r="B9004" s="2" t="str">
        <f>IFERROR(__xludf.DUMMYFUNCTION("IF(A9004&lt;&gt;"""", GOOGLETRANSLATE(A9004, ""en"", ""te""),"""")"),"")</f>
        <v/>
      </c>
      <c r="C9004" s="2"/>
      <c r="D9004" s="2" t="str">
        <f>IFERROR(__xludf.DUMMYFUNCTION("IF(C9004&lt;&gt;"""", GOOGLETRANSLATE(C9004, ""en"", ""te""),"""")"),"")</f>
        <v/>
      </c>
      <c r="E9004" s="2"/>
      <c r="F9004" s="2" t="str">
        <f>IFERROR(__xludf.DUMMYFUNCTION("IF(E9004&lt;&gt;"""", GOOGLETRANSLATE(E9004, ""en"", ""te""),"""")"),"")</f>
        <v/>
      </c>
      <c r="G9004" s="2" t="s">
        <v>5062</v>
      </c>
      <c r="H9004" s="2" t="str">
        <f>IFERROR(__xludf.DUMMYFUNCTION("IF(G9004&lt;&gt;"""", GOOGLETRANSLATE(G9004, ""en"", ""te""),"""")"),"[ '16 వ ఉత్తమ కెరీర్ బౌలింగ్ సరాసరి (అర్హత లేకుండా) (6.00)']")</f>
        <v>[ '16 వ ఉత్తమ కెరీర్ బౌలింగ్ సరాసరి (అర్హత లేకుండా) (6.00)']</v>
      </c>
      <c r="I9004" s="3"/>
    </row>
    <row r="9005" customHeight="1" spans="1:9">
      <c r="A9005" s="2" t="s">
        <v>4986</v>
      </c>
      <c r="B9005" s="2" t="str">
        <f>IFERROR(__xludf.DUMMYFUNCTION("IF(A9005&lt;&gt;"""", GOOGLETRANSLATE(A9005, ""en"", ""te""),"""")"),"[ '1st అత్యుత్తమ ఇన్నింగ్స్ లో విశ్లేషణలు బౌలింగ్ (1/0)', ​​'ఇన్నింగ్స్ లో 1 వ ఉత్తమ ఆర్థిక రేటు (0.00)']")</f>
        <v>[ '1st అత్యుత్తమ ఇన్నింగ్స్ లో విశ్లేషణలు బౌలింగ్ (1/0)', ​​'ఇన్నింగ్స్ లో 1 వ ఉత్తమ ఆర్థిక రేటు (0.00)']</v>
      </c>
      <c r="C9005" s="2"/>
      <c r="D9005" s="2" t="str">
        <f>IFERROR(__xludf.DUMMYFUNCTION("IF(C9005&lt;&gt;"""", GOOGLETRANSLATE(C9005, ""en"", ""te""),"""")"),"")</f>
        <v/>
      </c>
      <c r="E9005" s="2"/>
      <c r="F9005" s="2" t="str">
        <f>IFERROR(__xludf.DUMMYFUNCTION("IF(E9005&lt;&gt;"""", GOOGLETRANSLATE(E9005, ""en"", ""te""),"""")"),"")</f>
        <v/>
      </c>
      <c r="G9005" s="2" t="s">
        <v>5144</v>
      </c>
      <c r="H9005" s="2" t="str">
        <f>IFERROR(__xludf.DUMMYFUNCTION("IF(G9005&lt;&gt;"""", GOOGLETRANSLATE(G9005, ""en"", ""te""),"""")"),"[ 'ఇన్నింగ్స్ లో 1 వ ఉత్తమ ఆర్థిక రేటు (0.00)', '12 వ అరంగేట్రంలోనే ఇన్నింగ్స్ లోని బెస్ట్ ఫిగర్స్ (3)', '20 వ అత్యధిక వికెట్లు ఆకర్షించింది తీసుకున్న' 1st అత్యుత్తమ బౌలింగ్ ఇన్నింగ్స్ (1/0) విశ్లేషణలలో 'మరియు బౌల్డ్ (3) ',' 12 వ ఇన్నింగ్స్ లో వచ్చిన ఎక్క"&amp;"ువ పనికత్తెలయొద్ద (2) ']")</f>
        <v>[ 'ఇన్నింగ్స్ లో 1 వ ఉత్తమ ఆర్థిక రేటు (0.00)', '12 వ అరంగేట్రంలోనే ఇన్నింగ్స్ లోని బెస్ట్ ఫిగర్స్ (3)', '20 వ అత్యధిక వికెట్లు ఆకర్షించింది తీసుకున్న' 1st అత్యుత్తమ బౌలింగ్ ఇన్నింగ్స్ (1/0) విశ్లేషణలలో 'మరియు బౌల్డ్ (3) ',' 12 వ ఇన్నింగ్స్ లో వచ్చిన ఎక్కువ పనికత్తెలయొద్ద (2) ']</v>
      </c>
      <c r="I9005" s="3"/>
    </row>
    <row r="9006" customHeight="1" spans="1:9">
      <c r="A9006" s="2"/>
      <c r="B9006" s="2" t="str">
        <f>IFERROR(__xludf.DUMMYFUNCTION("IF(A9006&lt;&gt;"""", GOOGLETRANSLATE(A9006, ""en"", ""te""),"""")"),"")</f>
        <v/>
      </c>
      <c r="C9006" s="2"/>
      <c r="D9006" s="2" t="str">
        <f>IFERROR(__xludf.DUMMYFUNCTION("IF(C9006&lt;&gt;"""", GOOGLETRANSLATE(C9006, ""en"", ""te""),"""")"),"")</f>
        <v/>
      </c>
      <c r="E9006" s="2"/>
      <c r="F9006" s="2" t="str">
        <f>IFERROR(__xludf.DUMMYFUNCTION("IF(E9006&lt;&gt;"""", GOOGLETRANSLATE(E9006, ""en"", ""te""),"""")"),"")</f>
        <v/>
      </c>
      <c r="G9006" s="2"/>
      <c r="H9006" s="2" t="str">
        <f>IFERROR(__xludf.DUMMYFUNCTION("IF(G9006&lt;&gt;"""", GOOGLETRANSLATE(G9006, ""en"", ""te""),"""")"),"")</f>
        <v/>
      </c>
      <c r="I9006" s="3"/>
    </row>
    <row r="9007" customHeight="1" spans="1:9">
      <c r="A9007" s="2" t="s">
        <v>5145</v>
      </c>
      <c r="B9007" s="2" t="str">
        <f>IFERROR(__xludf.DUMMYFUNCTION("IF(A9007&lt;&gt;"""", GOOGLETRANSLATE(A9007, ""en"", ""te""),"""")"),"[ 'ఒక క్యాలెండర్ సంవత్సరంలో 2 వ అత్యధిక వికెట్లు (28)', '1 వ వరుస నాలుగు వికెట్లు-ఇన్-ఒక-ఇన్నింగ్స్ (2)', '1 వ ఇన్నింగ్స్ లో వచ్చిన ఎక్కువ పనికత్తెలయొద్ద (2)']")</f>
        <v>[ 'ఒక క్యాలెండర్ సంవత్సరంలో 2 వ అత్యధిక వికెట్లు (28)', '1 వ వరుస నాలుగు వికెట్లు-ఇన్-ఒక-ఇన్నింగ్స్ (2)', '1 వ ఇన్నింగ్స్ లో వచ్చిన ఎక్కువ పనికత్తెలయొద్ద (2)']</v>
      </c>
      <c r="C9007" s="2"/>
      <c r="D9007" s="2" t="str">
        <f>IFERROR(__xludf.DUMMYFUNCTION("IF(C9007&lt;&gt;"""", GOOGLETRANSLATE(C9007, ""en"", ""te""),"""")"),"")</f>
        <v/>
      </c>
      <c r="E9007" s="2" t="s">
        <v>2700</v>
      </c>
      <c r="F9007" s="2" t="str">
        <f>IFERROR(__xludf.DUMMYFUNCTION("IF(E9007&lt;&gt;"""", GOOGLETRANSLATE(E9007, ""en"", ""te""),"""")"),"[ '13 వ వరుస నాలుగు వికెట్లు-ఇన్-ఒక-ఇన్నింగ్స్ (2)']")</f>
        <v>[ '13 వ వరుస నాలుగు వికెట్లు-ఇన్-ఒక-ఇన్నింగ్స్ (2)']</v>
      </c>
      <c r="G9007" s="2" t="s">
        <v>5146</v>
      </c>
      <c r="H9007" s="2" t="str">
        <f>IFERROR(__xludf.DUMMYFUNCTION("IF(G9007&lt;&gt;"""", GOOGLETRANSLATE(G9007, ""en"", ""te""),"""")"),"[ '11 వ ఇన్నింగ్స్ లో అత్యధిక పరుగులు (బ్యాటింగ్ స్థానంలో ప్రకారం) (40 *)', '12 వ అత్యధిక ఇన్నింగ్స్ లో సమ్మె రేటు (346.15)', '42 వ ఇన్నింగ్స్ లో వచ్చిన ఎక్కువ సిక్స్ (7)', 'ఒక 2 వ అత్యధిక వికెట్లు క్యాలెండర్ ఏడాది (28) ',' (11) ',' 16 వ సగటు (18.63) ',' "&amp;"11 వ ఉత్తమ కెరీర్ సమ్మె రేటు (15.1) ',' 16 వ అత్యంత బౌలింగ్ ఉత్తమ కెరీర్లో నాలుగు వికెట్లు-ఒక ఏకైక మైదానంలో 43 వ అత్యధిక వికెట్లు ఒక వృత్తిలో -an-ఇన్నింగ్స్ (2) ',' 1 వ వరుస నాలుగు వికెట్లు-ఇన్-ఒక-ఇన్నింగ్స్ (2) ',' 17 వ బౌలర్ / బ్యాట్స్ కలయికలు (3) ','"&amp;" 29 వ అత్యధిక వికెట్లు తీసుకున్న ఆకర్షించింది (35) ',' 27 వ అత్యధిక వికెట్లు ఒక ఫీల్డర్ చేత క్యాచ్ తీసుకున్న (30) ',' 48 వ అత్యధిక వికెట్లు సాధించిన వికెట్కీపర్గా (5) ',' ఒక జట్టుకు 49 వ వరుస మ్యాచ్లు (29 *) ',' 28th చాలా ఆటగాడు ఆఫ్ పట్టుకుంటే తీసుకున్న -"&amp;"ది-మ్యాచ్ అవార్డులు (5) ',' 1 వ ఇన్నింగ్స్ లో వచ్చిన ఎక్కువ పనికత్తెలయొద్ద (2) ']")</f>
        <v>[ '11 వ ఇన్నింగ్స్ లో అత్యధిక పరుగులు (బ్యాటింగ్ స్థానంలో ప్రకారం) (40 *)', '12 వ అత్యధిక ఇన్నింగ్స్ లో సమ్మె రేటు (346.15)', '42 వ ఇన్నింగ్స్ లో వచ్చిన ఎక్కువ సిక్స్ (7)', 'ఒక 2 వ అత్యధిక వికెట్లు క్యాలెండర్ ఏడాది (28) ',' (11) ',' 16 వ సగటు (18.63) ',' 11 వ ఉత్తమ కెరీర్ సమ్మె రేటు (15.1) ',' 16 వ అత్యంత బౌలింగ్ ఉత్తమ కెరీర్లో నాలుగు వికెట్లు-ఒక ఏకైక మైదానంలో 43 వ అత్యధిక వికెట్లు ఒక వృత్తిలో -an-ఇన్నింగ్స్ (2) ',' 1 వ వరుస నాలుగు వికెట్లు-ఇన్-ఒక-ఇన్నింగ్స్ (2) ',' 17 వ బౌలర్ / బ్యాట్స్ కలయికలు (3) ',' 29 వ అత్యధిక వికెట్లు తీసుకున్న ఆకర్షించింది (35) ',' 27 వ అత్యధిక వికెట్లు ఒక ఫీల్డర్ చేత క్యాచ్ తీసుకున్న (30) ',' 48 వ అత్యధిక వికెట్లు సాధించిన వికెట్కీపర్గా (5) ',' ఒక జట్టుకు 49 వ వరుస మ్యాచ్లు (29 *) ',' 28th చాలా ఆటగాడు ఆఫ్ పట్టుకుంటే తీసుకున్న -ది-మ్యాచ్ అవార్డులు (5) ',' 1 వ ఇన్నింగ్స్ లో వచ్చిన ఎక్కువ పనికత్తెలయొద్ద (2) ']</v>
      </c>
      <c r="I9007" s="3"/>
    </row>
    <row r="9008" customHeight="1" spans="1:9">
      <c r="A9008" s="2" t="s">
        <v>5147</v>
      </c>
      <c r="B9008" s="2" t="str">
        <f>IFERROR(__xludf.DUMMYFUNCTION("IF(A9008&lt;&gt;"""", GOOGLETRANSLATE(A9008, ""en"", ""te""),"""")"),"[ '6 వ అత్యంత ఇన్నింగ్స్ లో సాధించిన బైస్ (9)']")</f>
        <v>[ '6 వ అత్యంత ఇన్నింగ్స్ లో సాధించిన బైస్ (9)']</v>
      </c>
      <c r="C9008" s="2"/>
      <c r="D9008" s="2" t="str">
        <f>IFERROR(__xludf.DUMMYFUNCTION("IF(C9008&lt;&gt;"""", GOOGLETRANSLATE(C9008, ""en"", ""te""),"""")"),"")</f>
        <v/>
      </c>
      <c r="E9008" s="2"/>
      <c r="F9008" s="2" t="str">
        <f>IFERROR(__xludf.DUMMYFUNCTION("IF(E9008&lt;&gt;"""", GOOGLETRANSLATE(E9008, ""en"", ""te""),"""")"),"")</f>
        <v/>
      </c>
      <c r="G9008" s="2" t="s">
        <v>5147</v>
      </c>
      <c r="H9008" s="2" t="str">
        <f>IFERROR(__xludf.DUMMYFUNCTION("IF(G9008&lt;&gt;"""", GOOGLETRANSLATE(G9008, ""en"", ""te""),"""")"),"[ '6 వ అత్యంత ఇన్నింగ్స్ లో సాధించిన బైస్ (9)']")</f>
        <v>[ '6 వ అత్యంత ఇన్నింగ్స్ లో సాధించిన బైస్ (9)']</v>
      </c>
      <c r="I9008" s="3"/>
    </row>
    <row r="9009" customHeight="1" spans="1:9">
      <c r="A9009" s="2" t="s">
        <v>5148</v>
      </c>
      <c r="B9009" s="2" t="str">
        <f>IFERROR(__xludf.DUMMYFUNCTION("IF(A9009&lt;&gt;"""", GOOGLETRANSLATE(A9009, ""en"", ""te""),"""")"),"[ '9 వ అత్యంత ఒక కెప్టెన్తో ఇన్నింగ్స్ లో పరుగులు (106 *)', 'రెండవ వికెట్ (145 *) 6 వ అత్యధిక భాగస్వామ్యం']")</f>
        <v>[ '9 వ అత్యంత ఒక కెప్టెన్తో ఇన్నింగ్స్ లో పరుగులు (106 *)', 'రెండవ వికెట్ (145 *) 6 వ అత్యధిక భాగస్వామ్యం']</v>
      </c>
      <c r="C9009" s="2"/>
      <c r="D9009" s="2" t="str">
        <f>IFERROR(__xludf.DUMMYFUNCTION("IF(C9009&lt;&gt;"""", GOOGLETRANSLATE(C9009, ""en"", ""te""),"""")"),"")</f>
        <v/>
      </c>
      <c r="E9009" s="2" t="s">
        <v>5149</v>
      </c>
      <c r="F9009" s="2" t="str">
        <f>IFERROR(__xludf.DUMMYFUNCTION("IF(E9009&lt;&gt;"""", GOOGLETRANSLATE(E9009, ""en"", ""te""),"""")"),"[ 'ఒక కెప్టెన్తో ఒక ఇన్నింగ్స్ లో 26 వ బెస్ట్ ఫిగర్స్ (4)', '15 వ ఉత్తమ తొలి ఇన్నింగ్స్లో గణాంకాలు (4)']")</f>
        <v>[ 'ఒక కెప్టెన్తో ఒక ఇన్నింగ్స్ లో 26 వ బెస్ట్ ఫిగర్స్ (4)', '15 వ ఉత్తమ తొలి ఇన్నింగ్స్లో గణాంకాలు (4)']</v>
      </c>
      <c r="G9009" s="2" t="s">
        <v>5150</v>
      </c>
      <c r="H9009" s="2" t="str">
        <f>IFERROR(__xludf.DUMMYFUNCTION("IF(G9009&lt;&gt;"""", GOOGLETRANSLATE(G9009, ""en"", ""te""),"""")"),"[ '32 వ ఇన్నింగ్స్ (106 *) లో అత్యధిక పరుగులు' 'ఒక క్యాలెండర్ సంవత్సరంలో 12 వ అత్యధిక పరుగులు (541)', '24 వ ఇన్నింగ్స్ లో అత్యధిక పరుగులు (బ్యాటింగ్ స్థానంలో ప్రకారం) (106 *)', '9 వ అత్యంత పరుగులు ఒక కెప్టెన్తో ఇన్నింగ్స్ (106 *) ',' 17 వ ఇన్నింగ్స్ లో వచ"&amp;"్చిన ఎక్కువ సిక్స్ (9) ',' 31 ఇన్నింగ్స్ లో వచ్చిన ఎక్కువ ఫోర్లు (11) ',' 22 వ ఇన్నింగ్స్ లో ఫోర్లు, సిక్సర్లు (82) నుండి అత్యధిక పరుగులు ' 'ఏ వికెట్కు 21 అత్యధిక భాగస్వామ్యాల (145 *)', 'రెండవ వికెట్ (145 *) 6 వ అత్యధిక భాగస్వామ్యం', 'నాలుగవ వికెట్కు 43 వ"&amp;" అత్యధిక భాగస్వామ్యం' 15 వ ఇన్నింగ్స్ (3) లో అత్యధిక క్యాచ్లు '(85 ) ',' 22 వ అత్యంత కెప్టెన్ (27 మ్యాచ్లు) ']")</f>
        <v>[ '32 వ ఇన్నింగ్స్ (106 *) లో అత్యధిక పరుగులు' 'ఒక క్యాలెండర్ సంవత్సరంలో 12 వ అత్యధిక పరుగులు (541)', '24 వ ఇన్నింగ్స్ లో అత్యధిక పరుగులు (బ్యాటింగ్ స్థానంలో ప్రకారం) (106 *)', '9 వ అత్యంత పరుగులు ఒక కెప్టెన్తో ఇన్నింగ్స్ (106 *) ',' 17 వ ఇన్నింగ్స్ లో వచ్చిన ఎక్కువ సిక్స్ (9) ',' 31 ఇన్నింగ్స్ లో వచ్చిన ఎక్కువ ఫోర్లు (11) ',' 22 వ ఇన్నింగ్స్ లో ఫోర్లు, సిక్సర్లు (82) నుండి అత్యధిక పరుగులు ' 'ఏ వికెట్కు 21 అత్యధిక భాగస్వామ్యాల (145 *)', 'రెండవ వికెట్ (145 *) 6 వ అత్యధిక భాగస్వామ్యం', 'నాలుగవ వికెట్కు 43 వ అత్యధిక భాగస్వామ్యం' 15 వ ఇన్నింగ్స్ (3) లో అత్యధిక క్యాచ్లు '(85 ) ',' 22 వ అత్యంత కెప్టెన్ (27 మ్యాచ్లు) ']</v>
      </c>
      <c r="I9009" s="3"/>
    </row>
    <row r="9010" customHeight="1" spans="1:9">
      <c r="A9010" s="2"/>
      <c r="B9010" s="2" t="str">
        <f>IFERROR(__xludf.DUMMYFUNCTION("IF(A9010&lt;&gt;"""", GOOGLETRANSLATE(A9010, ""en"", ""te""),"""")"),"")</f>
        <v/>
      </c>
      <c r="C9010" s="2"/>
      <c r="D9010" s="2" t="str">
        <f>IFERROR(__xludf.DUMMYFUNCTION("IF(C9010&lt;&gt;"""", GOOGLETRANSLATE(C9010, ""en"", ""te""),"""")"),"")</f>
        <v/>
      </c>
      <c r="E9010" s="2"/>
      <c r="F9010" s="2" t="str">
        <f>IFERROR(__xludf.DUMMYFUNCTION("IF(E9010&lt;&gt;"""", GOOGLETRANSLATE(E9010, ""en"", ""te""),"""")"),"")</f>
        <v/>
      </c>
      <c r="G9010" s="2"/>
      <c r="H9010" s="2" t="str">
        <f>IFERROR(__xludf.DUMMYFUNCTION("IF(G9010&lt;&gt;"""", GOOGLETRANSLATE(G9010, ""en"", ""te""),"""")"),"")</f>
        <v/>
      </c>
      <c r="I9010" s="3"/>
    </row>
    <row r="9011" customHeight="1" spans="1:9">
      <c r="A9011" s="2" t="s">
        <v>5151</v>
      </c>
      <c r="B9011" s="2" t="str">
        <f>IFERROR(__xludf.DUMMYFUNCTION("IF(A9011&lt;&gt;"""", GOOGLETRANSLATE(A9011, ""en"", ""te""),"""")"),"[ '6 వ పిన్న క్రీడాకారులు (15y 340d)']")</f>
        <v>[ '6 వ పిన్న క్రీడాకారులు (15y 340d)']</v>
      </c>
      <c r="C9011" s="2"/>
      <c r="D9011" s="2" t="str">
        <f>IFERROR(__xludf.DUMMYFUNCTION("IF(C9011&lt;&gt;"""", GOOGLETRANSLATE(C9011, ""en"", ""te""),"""")"),"")</f>
        <v/>
      </c>
      <c r="E9011" s="2" t="s">
        <v>5151</v>
      </c>
      <c r="F9011" s="2" t="str">
        <f>IFERROR(__xludf.DUMMYFUNCTION("IF(E9011&lt;&gt;"""", GOOGLETRANSLATE(E9011, ""en"", ""te""),"""")"),"[ '6 వ పిన్న క్రీడాకారులు (15y 340d)']")</f>
        <v>[ '6 వ పిన్న క్రీడాకారులు (15y 340d)']</v>
      </c>
      <c r="G9011" s="2" t="s">
        <v>5152</v>
      </c>
      <c r="H9011" s="2" t="str">
        <f>IFERROR(__xludf.DUMMYFUNCTION("IF(G9011&lt;&gt;"""", GOOGLETRANSLATE(G9011, ""en"", ""te""),"""")"),"[ 'ఆరవ వికెట్కు 36 వ అత్యధిక భాగస్వామ్యం (66)', '7 వ పిన్న క్రీడాకారులు (15y 206d)']")</f>
        <v>[ 'ఆరవ వికెట్కు 36 వ అత్యధిక భాగస్వామ్యం (66)', '7 వ పిన్న క్రీడాకారులు (15y 206d)']</v>
      </c>
      <c r="I9011" s="3"/>
    </row>
    <row r="9012" customHeight="1" spans="1:9">
      <c r="A9012" s="2"/>
      <c r="B9012" s="2" t="str">
        <f>IFERROR(__xludf.DUMMYFUNCTION("IF(A9012&lt;&gt;"""", GOOGLETRANSLATE(A9012, ""en"", ""te""),"""")"),"")</f>
        <v/>
      </c>
      <c r="C9012" s="2"/>
      <c r="D9012" s="2" t="str">
        <f>IFERROR(__xludf.DUMMYFUNCTION("IF(C9012&lt;&gt;"""", GOOGLETRANSLATE(C9012, ""en"", ""te""),"""")"),"")</f>
        <v/>
      </c>
      <c r="E9012" s="2"/>
      <c r="F9012" s="2" t="str">
        <f>IFERROR(__xludf.DUMMYFUNCTION("IF(E9012&lt;&gt;"""", GOOGLETRANSLATE(E9012, ""en"", ""te""),"""")"),"")</f>
        <v/>
      </c>
      <c r="G9012" s="2"/>
      <c r="H9012" s="2" t="str">
        <f>IFERROR(__xludf.DUMMYFUNCTION("IF(G9012&lt;&gt;"""", GOOGLETRANSLATE(G9012, ""en"", ""te""),"""")"),"")</f>
        <v/>
      </c>
      <c r="I9012" s="3"/>
    </row>
    <row r="9013" customHeight="1" spans="1:9">
      <c r="A9013" s="2" t="s">
        <v>5153</v>
      </c>
      <c r="B9013" s="2" t="str">
        <f>IFERROR(__xludf.DUMMYFUNCTION("IF(A9013&lt;&gt;"""", GOOGLETRANSLATE(A9013, ""en"", ""te""),"""")"),"[ 'అయిదు వికెట్లు-ఇన్-ఒక-ఇన్నింగ్స్ (19y 194d) తీసుకోవాలని 10 వ పిన్న ఆటగాడు', 'ఒక క్యాలెండర్ సంవత్సరంలో 2 వ అత్యధిక వికెట్లు (28)' '8 వ అత్యుత్తమ బౌలింగ్ ఇన్నింగ్స్ లో విశ్లేషించడం (6/16)', '2 వ ఉత్తమ కెరీర్ సమ్మె రేటు (12.2)', '1 వ అత్యంత పనికత్తెలయొద్ద"&amp;" ఇన్నింగ్స్ (2)']")</f>
        <v>[ 'అయిదు వికెట్లు-ఇన్-ఒక-ఇన్నింగ్స్ (19y 194d) తీసుకోవాలని 10 వ పిన్న ఆటగాడు', 'ఒక క్యాలెండర్ సంవత్సరంలో 2 వ అత్యధిక వికెట్లు (28)' '8 వ అత్యుత్తమ బౌలింగ్ ఇన్నింగ్స్ లో విశ్లేషించడం (6/16)', '2 వ ఉత్తమ కెరీర్ సమ్మె రేటు (12.2)', '1 వ అత్యంత పనికత్తెలయొద్ద ఇన్నింగ్స్ (2)']</v>
      </c>
      <c r="C9013" s="2"/>
      <c r="D9013" s="2" t="str">
        <f>IFERROR(__xludf.DUMMYFUNCTION("IF(C9013&lt;&gt;"""", GOOGLETRANSLATE(C9013, ""en"", ""te""),"""")"),"")</f>
        <v/>
      </c>
      <c r="E9013" s="2" t="s">
        <v>5154</v>
      </c>
      <c r="F9013" s="2" t="str">
        <f>IFERROR(__xludf.DUMMYFUNCTION("IF(E9013&lt;&gt;"""", GOOGLETRANSLATE(E9013, ""en"", ""te""),"""")"),"[ 'ఇన్నింగ్స్ లో 8 వ అత్యుత్తమ బౌలింగ్ విశ్లేషణలు (6/16)' '20 వ ఉత్తమ ఇన్నింగ్స్ లో సంఖ్యలు (6/16)', 'ఇన్నింగ్స్ లో 12 వ ఉత్తమ సమ్మె రేటు (6.0)', '10 వ పిన్న క్రీడాకారుడు ఐదు తీసుకోవాలని -wickets-ఇన్-ఒక-ఇన్నింగ్స్ (19y 194d) ']")</f>
        <v>[ 'ఇన్నింగ్స్ లో 8 వ అత్యుత్తమ బౌలింగ్ విశ్లేషణలు (6/16)' '20 వ ఉత్తమ ఇన్నింగ్స్ లో సంఖ్యలు (6/16)', 'ఇన్నింగ్స్ లో 12 వ ఉత్తమ సమ్మె రేటు (6.0)', '10 వ పిన్న క్రీడాకారుడు ఐదు తీసుకోవాలని -wickets-ఇన్-ఒక-ఇన్నింగ్స్ (19y 194d) ']</v>
      </c>
      <c r="G9013" s="2" t="s">
        <v>5155</v>
      </c>
      <c r="H9013" s="2" t="str">
        <f>IFERROR(__xludf.DUMMYFUNCTION("IF(G9013&lt;&gt;"""", GOOGLETRANSLATE(G9013, ""en"", ""te""),"""")"),"[ '41 వ కెరీర్ లో అత్యధిక వికెట్లు (47)', 'ఒక క్యాలెండర్ సంవత్సరంలో 2 వ అత్యధిక వికెట్లు (28)', '25 వ ఒకే మైదానంలో అత్యధిక వికెట్లు (13)', '8 వ ఉత్తమ ఇన్నింగ్స్ లో సంఖ్యలు కోల్పోకుండా వైపు ఉన్నప్పుడు (4) ',' 2 వ ఉత్తమ కెరీర్ బౌలింగ్ సరాసరి (14.00) ',' 2"&amp;"9th ఉత్తమ కెరీర్ ఆర్థిక రేటు (6.86) ',' 2 వ ఉత్తమ కెరీర్ సమ్మె రేటు (12.2) ',' 16 వ అత్యంత నాలుగు వికెట్లు-ఇన్-ఒక-ఇన్నింగ్స్ ఒక వృత్తిలో (2) ',' 17 వ బౌలర్ / బ్యాట్స్ కలయికలు (3) ',' 45 వ బౌలర్ / ఫీల్డర్ కలయికలు (6) ',' 37 వ అత్యధిక వికెట్లు తీసుకున్న ఆకర"&amp;"్షించింది (33) ',' 23 వ అత్యధిక వికెట్లు ఒక ఫీల్డర్ చేత క్యాచ్ తీసుకున్న (32) ',' 14 వ అత్యధిక వికెట్లు తీసుకున్న ఎల్బిడబ్ల్యు (7) ',' 19 వ కెరీర్ పనికత్తెలయొద్ద (3) ',' 1 వ ఇన్నింగ్స్ లో వచ్చిన ఎక్కువ పనికత్తెలయొద్ద (2) ']")</f>
        <v>[ '41 వ కెరీర్ లో అత్యధిక వికెట్లు (47)', 'ఒక క్యాలెండర్ సంవత్సరంలో 2 వ అత్యధిక వికెట్లు (28)', '25 వ ఒకే మైదానంలో అత్యధిక వికెట్లు (13)', '8 వ ఉత్తమ ఇన్నింగ్స్ లో సంఖ్యలు కోల్పోకుండా వైపు ఉన్నప్పుడు (4) ',' 2 వ ఉత్తమ కెరీర్ బౌలింగ్ సరాసరి (14.00) ',' 29th ఉత్తమ కెరీర్ ఆర్థిక రేటు (6.86) ',' 2 వ ఉత్తమ కెరీర్ సమ్మె రేటు (12.2) ',' 16 వ అత్యంత నాలుగు వికెట్లు-ఇన్-ఒక-ఇన్నింగ్స్ ఒక వృత్తిలో (2) ',' 17 వ బౌలర్ / బ్యాట్స్ కలయికలు (3) ',' 45 వ బౌలర్ / ఫీల్డర్ కలయికలు (6) ',' 37 వ అత్యధిక వికెట్లు తీసుకున్న ఆకర్షించింది (33) ',' 23 వ అత్యధిక వికెట్లు ఒక ఫీల్డర్ చేత క్యాచ్ తీసుకున్న (32) ',' 14 వ అత్యధిక వికెట్లు తీసుకున్న ఎల్బిడబ్ల్యు (7) ',' 19 వ కెరీర్ పనికత్తెలయొద్ద (3) ',' 1 వ ఇన్నింగ్స్ లో వచ్చిన ఎక్కువ పనికత్తెలయొద్ద (2) ']</v>
      </c>
      <c r="I9013" s="3"/>
    </row>
    <row r="9014" customHeight="1" spans="1:9">
      <c r="A9014" s="2"/>
      <c r="B9014" s="2" t="str">
        <f>IFERROR(__xludf.DUMMYFUNCTION("IF(A9014&lt;&gt;"""", GOOGLETRANSLATE(A9014, ""en"", ""te""),"""")"),"")</f>
        <v/>
      </c>
      <c r="C9014" s="2"/>
      <c r="D9014" s="2" t="str">
        <f>IFERROR(__xludf.DUMMYFUNCTION("IF(C9014&lt;&gt;"""", GOOGLETRANSLATE(C9014, ""en"", ""te""),"""")"),"")</f>
        <v/>
      </c>
      <c r="E9014" s="2"/>
      <c r="F9014" s="2" t="str">
        <f>IFERROR(__xludf.DUMMYFUNCTION("IF(E9014&lt;&gt;"""", GOOGLETRANSLATE(E9014, ""en"", ""te""),"""")"),"")</f>
        <v/>
      </c>
      <c r="G9014" s="2"/>
      <c r="H9014" s="2" t="str">
        <f>IFERROR(__xludf.DUMMYFUNCTION("IF(G9014&lt;&gt;"""", GOOGLETRANSLATE(G9014, ""en"", ""te""),"""")"),"")</f>
        <v/>
      </c>
      <c r="I9014" s="3"/>
    </row>
    <row r="9015" customHeight="1" spans="1:9">
      <c r="A9015" s="2"/>
      <c r="B9015" s="2" t="str">
        <f>IFERROR(__xludf.DUMMYFUNCTION("IF(A9015&lt;&gt;"""", GOOGLETRANSLATE(A9015, ""en"", ""te""),"""")"),"")</f>
        <v/>
      </c>
      <c r="C9015" s="2"/>
      <c r="D9015" s="2" t="str">
        <f>IFERROR(__xludf.DUMMYFUNCTION("IF(C9015&lt;&gt;"""", GOOGLETRANSLATE(C9015, ""en"", ""te""),"""")"),"")</f>
        <v/>
      </c>
      <c r="E9015" s="2"/>
      <c r="F9015" s="2" t="str">
        <f>IFERROR(__xludf.DUMMYFUNCTION("IF(E9015&lt;&gt;"""", GOOGLETRANSLATE(E9015, ""en"", ""te""),"""")"),"")</f>
        <v/>
      </c>
      <c r="G9015" s="2"/>
      <c r="H9015" s="2" t="str">
        <f>IFERROR(__xludf.DUMMYFUNCTION("IF(G9015&lt;&gt;"""", GOOGLETRANSLATE(G9015, ""en"", ""te""),"""")"),"")</f>
        <v/>
      </c>
      <c r="I9015" s="3"/>
    </row>
    <row r="9016" customHeight="1" spans="1:9">
      <c r="A9016" s="2" t="s">
        <v>5156</v>
      </c>
      <c r="B9016" s="2" t="str">
        <f>IFERROR(__xludf.DUMMYFUNCTION("IF(A9016&lt;&gt;"""", GOOGLETRANSLATE(A9016, ""en"", ""te""),"""")"),"[ '8 వ అత్యంత కెప్టెన్ (107) ద్వారా ఇన్నింగ్స్ లో నడుస్తుంది']")</f>
        <v>[ '8 వ అత్యంత కెప్టెన్ (107) ద్వారా ఇన్నింగ్స్ లో నడుస్తుంది']</v>
      </c>
      <c r="C9016" s="2"/>
      <c r="D9016" s="2" t="str">
        <f>IFERROR(__xludf.DUMMYFUNCTION("IF(C9016&lt;&gt;"""", GOOGLETRANSLATE(C9016, ""en"", ""te""),"""")"),"")</f>
        <v/>
      </c>
      <c r="E9016" s="2"/>
      <c r="F9016" s="2" t="str">
        <f>IFERROR(__xludf.DUMMYFUNCTION("IF(E9016&lt;&gt;"""", GOOGLETRANSLATE(E9016, ""en"", ""te""),"""")"),"")</f>
        <v/>
      </c>
      <c r="G9016" s="2" t="s">
        <v>5157</v>
      </c>
      <c r="H9016" s="2" t="str">
        <f>IFERROR(__xludf.DUMMYFUNCTION("IF(G9016&lt;&gt;"""", GOOGLETRANSLATE(G9016, ""en"", ""te""),"""")"),"[ '31 ఇన్నింగ్స్ లో అత్యధిక పరుగులు (107)', 'ఇన్నింగ్స్ లో 23 వ అత్యధిక పరుగులు (బ్యాటింగ్ స్థానంలో ప్రకారం) (107)', 'ఒక కెప్టెన్తో 8 వ ఇన్నింగ్స్ లో అత్యధిక పరుగులు (107)', '17 వ ఎక్కువ సిక్స్ లో ఇన్నింగ్స్ (9) ',' ఇన్నింగ్స్ లో ఒక ఇన్నింగ్స్ లో ఫోర్లు, "&amp;"సిక్సర్లు (74) ',' 15 వ అత్యధిక క్యాచ్లు నుండి 42 వ అత్యధిక పరుగులు (3) ']")</f>
        <v>[ '31 ఇన్నింగ్స్ లో అత్యధిక పరుగులు (107)', 'ఇన్నింగ్స్ లో 23 వ అత్యధిక పరుగులు (బ్యాటింగ్ స్థానంలో ప్రకారం) (107)', 'ఒక కెప్టెన్తో 8 వ ఇన్నింగ్స్ లో అత్యధిక పరుగులు (107)', '17 వ ఎక్కువ సిక్స్ లో ఇన్నింగ్స్ (9) ',' ఇన్నింగ్స్ లో ఒక ఇన్నింగ్స్ లో ఫోర్లు, సిక్సర్లు (74) ',' 15 వ అత్యధిక క్యాచ్లు నుండి 42 వ అత్యధిక పరుగులు (3) ']</v>
      </c>
      <c r="I9016" s="3"/>
    </row>
    <row r="9017" customHeight="1" spans="1:9">
      <c r="A9017" s="2"/>
      <c r="B9017" s="2" t="str">
        <f>IFERROR(__xludf.DUMMYFUNCTION("IF(A9017&lt;&gt;"""", GOOGLETRANSLATE(A9017, ""en"", ""te""),"""")"),"")</f>
        <v/>
      </c>
      <c r="C9017" s="2"/>
      <c r="D9017" s="2" t="str">
        <f>IFERROR(__xludf.DUMMYFUNCTION("IF(C9017&lt;&gt;"""", GOOGLETRANSLATE(C9017, ""en"", ""te""),"""")"),"")</f>
        <v/>
      </c>
      <c r="E9017" s="2"/>
      <c r="F9017" s="2" t="str">
        <f>IFERROR(__xludf.DUMMYFUNCTION("IF(E9017&lt;&gt;"""", GOOGLETRANSLATE(E9017, ""en"", ""te""),"""")"),"")</f>
        <v/>
      </c>
      <c r="G9017" s="2"/>
      <c r="H9017" s="2" t="str">
        <f>IFERROR(__xludf.DUMMYFUNCTION("IF(G9017&lt;&gt;"""", GOOGLETRANSLATE(G9017, ""en"", ""te""),"""")"),"")</f>
        <v/>
      </c>
      <c r="I9017" s="3"/>
    </row>
    <row r="9018" customHeight="1" spans="1:9">
      <c r="A9018" s="2"/>
      <c r="B9018" s="2" t="str">
        <f>IFERROR(__xludf.DUMMYFUNCTION("IF(A9018&lt;&gt;"""", GOOGLETRANSLATE(A9018, ""en"", ""te""),"""")"),"")</f>
        <v/>
      </c>
      <c r="C9018" s="2"/>
      <c r="D9018" s="2" t="str">
        <f>IFERROR(__xludf.DUMMYFUNCTION("IF(C9018&lt;&gt;"""", GOOGLETRANSLATE(C9018, ""en"", ""te""),"""")"),"")</f>
        <v/>
      </c>
      <c r="E9018" s="2"/>
      <c r="F9018" s="2" t="str">
        <f>IFERROR(__xludf.DUMMYFUNCTION("IF(E9018&lt;&gt;"""", GOOGLETRANSLATE(E9018, ""en"", ""te""),"""")"),"")</f>
        <v/>
      </c>
      <c r="G9018" s="2"/>
      <c r="H9018" s="2" t="str">
        <f>IFERROR(__xludf.DUMMYFUNCTION("IF(G9018&lt;&gt;"""", GOOGLETRANSLATE(G9018, ""en"", ""te""),"""")"),"")</f>
        <v/>
      </c>
      <c r="I9018" s="3"/>
    </row>
    <row r="9019" customHeight="1" spans="1:9">
      <c r="A9019" s="2" t="s">
        <v>5158</v>
      </c>
      <c r="B9019" s="2" t="str">
        <f>IFERROR(__xludf.DUMMYFUNCTION("IF(A9019&lt;&gt;"""", GOOGLETRANSLATE(A9019, ""en"", ""te""),"""")"),"[ '1st అత్యుత్తమ ఇన్నింగ్స్ లో విశ్లేషణలు బౌలింగ్ (2/0)', ​​'ఇన్నింగ్స్ లో 1 వ ఉత్తమ ఆర్థిక రేటు (0.00)']")</f>
        <v>[ '1st అత్యుత్తమ ఇన్నింగ్స్ లో విశ్లేషణలు బౌలింగ్ (2/0)', ​​'ఇన్నింగ్స్ లో 1 వ ఉత్తమ ఆర్థిక రేటు (0.00)']</v>
      </c>
      <c r="C9019" s="2"/>
      <c r="D9019" s="2" t="str">
        <f>IFERROR(__xludf.DUMMYFUNCTION("IF(C9019&lt;&gt;"""", GOOGLETRANSLATE(C9019, ""en"", ""te""),"""")"),"")</f>
        <v/>
      </c>
      <c r="E9019" s="2"/>
      <c r="F9019" s="2" t="str">
        <f>IFERROR(__xludf.DUMMYFUNCTION("IF(E9019&lt;&gt;"""", GOOGLETRANSLATE(E9019, ""en"", ""te""),"""")"),"")</f>
        <v/>
      </c>
      <c r="G9019" s="2" t="s">
        <v>5159</v>
      </c>
      <c r="H9019" s="2" t="str">
        <f>IFERROR(__xludf.DUMMYFUNCTION("IF(G9019&lt;&gt;"""", GOOGLETRANSLATE(G9019, ""en"", ""te""),"""")"),"[ '1st అత్యుత్తమ ఇన్నింగ్స్ లో బౌలింగ్ విశ్లేషణలు (2/0)', ​​'1 వ ఉత్తమ ఆర్థిక వ్యవస్థ ఇన్నింగ్స్లో రేటు (0.00)', '27 వ కెరీర్ పనికత్తెలయొద్ద (6)', '12 వ ఇన్నింగ్స్ లో వచ్చిన ఎక్కువ పనికత్తెలయొద్ద (2) ']")</f>
        <v>[ '1st అత్యుత్తమ ఇన్నింగ్స్ లో బౌలింగ్ విశ్లేషణలు (2/0)', ​​'1 వ ఉత్తమ ఆర్థిక వ్యవస్థ ఇన్నింగ్స్లో రేటు (0.00)', '27 వ కెరీర్ పనికత్తెలయొద్ద (6)', '12 వ ఇన్నింగ్స్ లో వచ్చిన ఎక్కువ పనికత్తెలయొద్ద (2) ']</v>
      </c>
      <c r="I9019" s="3"/>
    </row>
    <row r="9020" customHeight="1" spans="1:9">
      <c r="A9020" s="2" t="s">
        <v>5160</v>
      </c>
      <c r="B9020" s="2" t="str">
        <f>IFERROR(__xludf.DUMMYFUNCTION("IF(A9020&lt;&gt;"""", GOOGLETRANSLATE(A9020, ""en"", ""te""),"""")"),"[ '3 వ అత్యుత్తమ ఇన్నింగ్స్ లో విశ్లేషణలు బౌలింగ్ (6/8)', '1 వ వరుస నాలుగు వికెట్ల-ఒక ఇన్నింగ్స్లో (2)']")</f>
        <v>[ '3 వ అత్యుత్తమ ఇన్నింగ్స్ లో విశ్లేషణలు బౌలింగ్ (6/8)', '1 వ వరుస నాలుగు వికెట్ల-ఒక ఇన్నింగ్స్లో (2)']</v>
      </c>
      <c r="C9020" s="2"/>
      <c r="D9020" s="2" t="str">
        <f>IFERROR(__xludf.DUMMYFUNCTION("IF(C9020&lt;&gt;"""", GOOGLETRANSLATE(C9020, ""en"", ""te""),"""")"),"")</f>
        <v/>
      </c>
      <c r="E9020" s="2"/>
      <c r="F9020" s="2" t="str">
        <f>IFERROR(__xludf.DUMMYFUNCTION("IF(E9020&lt;&gt;"""", GOOGLETRANSLATE(E9020, ""en"", ""te""),"""")"),"")</f>
        <v/>
      </c>
      <c r="G9020" s="2" t="s">
        <v>5161</v>
      </c>
      <c r="H9020" s="2" t="str">
        <f>IFERROR(__xludf.DUMMYFUNCTION("IF(G9020&lt;&gt;"""", GOOGLETRANSLATE(G9020, ""en"", ""te""),"""")"),"[ 'ఇన్నింగ్స్ లో 3 వ బెస్ట్ ఫిగర్స్ (6/8)', 'ఇన్నింగ్స్ లో 3 వ అత్యుత్తమ బౌలింగ్ విశ్లేషణలు (6/8)', '11 వ ఒకే మైదానంలో అత్యధిక వికెట్లు (11)', '41 వ ఉత్తమ కెరీర్ సగటు బౌలింగ్ ( అర్హత లేకుండా) (7.17) ',' ఇన్నింగ్స్ (4.0) ',' 13 వ అత్యంత నాలుగు వికెట్లు-ఇన"&amp;"్-ఒక-ఇన్నింగ్స్ కెరీర్లో (2) ',' 1 వ వరుస నాలుగు వికెట్ల లో 33 వ ఉత్తమ సమ్మె రేటు -an-ఇన్నింగ్స్ (2) ']")</f>
        <v>[ 'ఇన్నింగ్స్ లో 3 వ బెస్ట్ ఫిగర్స్ (6/8)', 'ఇన్నింగ్స్ లో 3 వ అత్యుత్తమ బౌలింగ్ విశ్లేషణలు (6/8)', '11 వ ఒకే మైదానంలో అత్యధిక వికెట్లు (11)', '41 వ ఉత్తమ కెరీర్ సగటు బౌలింగ్ ( అర్హత లేకుండా) (7.17) ',' ఇన్నింగ్స్ (4.0) ',' 13 వ అత్యంత నాలుగు వికెట్లు-ఇన్-ఒక-ఇన్నింగ్స్ కెరీర్లో (2) ',' 1 వ వరుస నాలుగు వికెట్ల లో 33 వ ఉత్తమ సమ్మె రేటు -an-ఇన్నింగ్స్ (2) ']</v>
      </c>
      <c r="I9020" s="3"/>
    </row>
    <row r="9021" customHeight="1" spans="1:9">
      <c r="A9021" s="2"/>
      <c r="B9021" s="2" t="str">
        <f>IFERROR(__xludf.DUMMYFUNCTION("IF(A9021&lt;&gt;"""", GOOGLETRANSLATE(A9021, ""en"", ""te""),"""")"),"")</f>
        <v/>
      </c>
      <c r="C9021" s="2"/>
      <c r="D9021" s="2" t="str">
        <f>IFERROR(__xludf.DUMMYFUNCTION("IF(C9021&lt;&gt;"""", GOOGLETRANSLATE(C9021, ""en"", ""te""),"""")"),"")</f>
        <v/>
      </c>
      <c r="E9021" s="2"/>
      <c r="F9021" s="2" t="str">
        <f>IFERROR(__xludf.DUMMYFUNCTION("IF(E9021&lt;&gt;"""", GOOGLETRANSLATE(E9021, ""en"", ""te""),"""")"),"")</f>
        <v/>
      </c>
      <c r="G9021" s="2"/>
      <c r="H9021" s="2" t="str">
        <f>IFERROR(__xludf.DUMMYFUNCTION("IF(G9021&lt;&gt;"""", GOOGLETRANSLATE(G9021, ""en"", ""te""),"""")"),"")</f>
        <v/>
      </c>
      <c r="I9021" s="3"/>
    </row>
    <row r="9022" customHeight="1" spans="1:9">
      <c r="A9022" s="2" t="s">
        <v>814</v>
      </c>
      <c r="B9022" s="2" t="str">
        <f>IFERROR(__xludf.DUMMYFUNCTION("IF(A9022&lt;&gt;"""", GOOGLETRANSLATE(A9022, ""en"", ""te""),"""")"),"[ 'ఒక ఇన్నింగ్స్ లో 8 వ బెస్ట్ ఫిగర్స్ ఉన్నప్పుడు పరాజయం వైపు (4)']")</f>
        <v>[ 'ఒక ఇన్నింగ్స్ లో 8 వ బెస్ట్ ఫిగర్స్ ఉన్నప్పుడు పరాజయం వైపు (4)']</v>
      </c>
      <c r="C9022" s="2"/>
      <c r="D9022" s="2" t="str">
        <f>IFERROR(__xludf.DUMMYFUNCTION("IF(C9022&lt;&gt;"""", GOOGLETRANSLATE(C9022, ""en"", ""te""),"""")"),"")</f>
        <v/>
      </c>
      <c r="E9022" s="2"/>
      <c r="F9022" s="2" t="str">
        <f>IFERROR(__xludf.DUMMYFUNCTION("IF(E9022&lt;&gt;"""", GOOGLETRANSLATE(E9022, ""en"", ""te""),"""")"),"")</f>
        <v/>
      </c>
      <c r="G9022" s="2" t="s">
        <v>5162</v>
      </c>
      <c r="H9022" s="2" t="str">
        <f>IFERROR(__xludf.DUMMYFUNCTION("IF(G9022&lt;&gt;"""", GOOGLETRANSLATE(G9022, ""en"", ""te""),"""")"),"[ 'ఒక ఇన్నింగ్స్ లో 8 వ బెస్ట్ ఫిగర్స్ ఉన్నప్పుడు పరాజయం వైపు (4)', '17 వ బౌలర్ / బ్యాట్స్ కలయికలు (3)']")</f>
        <v>[ 'ఒక ఇన్నింగ్స్ లో 8 వ బెస్ట్ ఫిగర్స్ ఉన్నప్పుడు పరాజయం వైపు (4)', '17 వ బౌలర్ / బ్యాట్స్ కలయికలు (3)']</v>
      </c>
      <c r="I9022" s="3"/>
    </row>
    <row r="9023" customHeight="1" spans="1:9">
      <c r="A9023" s="2"/>
      <c r="B9023" s="2" t="str">
        <f>IFERROR(__xludf.DUMMYFUNCTION("IF(A9023&lt;&gt;"""", GOOGLETRANSLATE(A9023, ""en"", ""te""),"""")"),"")</f>
        <v/>
      </c>
      <c r="C9023" s="2"/>
      <c r="D9023" s="2" t="str">
        <f>IFERROR(__xludf.DUMMYFUNCTION("IF(C9023&lt;&gt;"""", GOOGLETRANSLATE(C9023, ""en"", ""te""),"""")"),"")</f>
        <v/>
      </c>
      <c r="E9023" s="2"/>
      <c r="F9023" s="2" t="str">
        <f>IFERROR(__xludf.DUMMYFUNCTION("IF(E9023&lt;&gt;"""", GOOGLETRANSLATE(E9023, ""en"", ""te""),"""")"),"")</f>
        <v/>
      </c>
      <c r="G9023" s="2" t="s">
        <v>5163</v>
      </c>
      <c r="H9023" s="2" t="str">
        <f>IFERROR(__xludf.DUMMYFUNCTION("IF(G9023&lt;&gt;"""", GOOGLETRANSLATE(G9023, ""en"", ""te""),"""")"),"[ '13 వ అత్యుత్తమ ఇన్నింగ్స్ (3/6) విశ్లేషణలలో బౌలింగ్']")</f>
        <v>[ '13 వ అత్యుత్తమ ఇన్నింగ్స్ (3/6) విశ్లేషణలలో బౌలింగ్']</v>
      </c>
      <c r="I9023" s="3"/>
    </row>
    <row r="9024" customHeight="1" spans="1:9">
      <c r="A9024" s="2" t="s">
        <v>5164</v>
      </c>
      <c r="B9024" s="2" t="str">
        <f>IFERROR(__xludf.DUMMYFUNCTION("IF(A9024&lt;&gt;"""", GOOGLETRANSLATE(A9024, ""en"", ""te""),"""")"),"[ '1st చాలా ఇన్నింగ్స్ లో నడుస్తుంది (బ్యాటింగ్ స్థానం) (40)']")</f>
        <v>[ '1st చాలా ఇన్నింగ్స్ లో నడుస్తుంది (బ్యాటింగ్ స్థానం) (40)']</v>
      </c>
      <c r="C9024" s="2"/>
      <c r="D9024" s="2" t="str">
        <f>IFERROR(__xludf.DUMMYFUNCTION("IF(C9024&lt;&gt;"""", GOOGLETRANSLATE(C9024, ""en"", ""te""),"""")"),"")</f>
        <v/>
      </c>
      <c r="E9024" s="2"/>
      <c r="F9024" s="2" t="str">
        <f>IFERROR(__xludf.DUMMYFUNCTION("IF(E9024&lt;&gt;"""", GOOGLETRANSLATE(E9024, ""en"", ""te""),"""")"),"")</f>
        <v/>
      </c>
      <c r="G9024" s="2" t="s">
        <v>5165</v>
      </c>
      <c r="H9024" s="2" t="str">
        <f>IFERROR(__xludf.DUMMYFUNCTION("IF(G9024&lt;&gt;"""", GOOGLETRANSLATE(G9024, ""en"", ""te""),"""")"),"[ 'ఇన్నింగ్స్ లో 1 వ అత్యధిక పరుగులు (బ్యాటింగ్ స్థానంలో ప్రకారం) (40)', 'ఒక ఇన్నింగ్స్లో పరుగుల 46 వ అత్యధిక శాతం (55.55)', '30 వ ఉత్తమ కెరీర్ ఆర్థిక రేటు (6.87)', '17 వ బౌలర్ / బ్యాట్స్ కాంబినేషన్ (3) ',' 27 వ అత్యధిక వికెట్లు బౌల్డ్ (13) ',' 32 వ అత్యధ"&amp;"ిక వికెట్లు తీసుకున్న ఎల్బిడబ్ల్యు (5) ఒక జట్టు (28) కోసం తీసుకువెళ్లారు ',' 50 వ వరుస మ్యాచ్లు]")</f>
        <v>[ 'ఇన్నింగ్స్ లో 1 వ అత్యధిక పరుగులు (బ్యాటింగ్ స్థానంలో ప్రకారం) (40)', 'ఒక ఇన్నింగ్స్లో పరుగుల 46 వ అత్యధిక శాతం (55.55)', '30 వ ఉత్తమ కెరీర్ ఆర్థిక రేటు (6.87)', '17 వ బౌలర్ / బ్యాట్స్ కాంబినేషన్ (3) ',' 27 వ అత్యధిక వికెట్లు బౌల్డ్ (13) ',' 32 వ అత్యధిక వికెట్లు తీసుకున్న ఎల్బిడబ్ల్యు (5) ఒక జట్టు (28) కోసం తీసుకువెళ్లారు ',' 50 వ వరుస మ్యాచ్లు]</v>
      </c>
      <c r="I9024" s="3"/>
    </row>
    <row r="9025" customHeight="1" spans="1:9">
      <c r="A9025" s="2"/>
      <c r="B9025" s="2" t="str">
        <f>IFERROR(__xludf.DUMMYFUNCTION("IF(A9025&lt;&gt;"""", GOOGLETRANSLATE(A9025, ""en"", ""te""),"""")"),"")</f>
        <v/>
      </c>
      <c r="C9025" s="2"/>
      <c r="D9025" s="2" t="str">
        <f>IFERROR(__xludf.DUMMYFUNCTION("IF(C9025&lt;&gt;"""", GOOGLETRANSLATE(C9025, ""en"", ""te""),"""")"),"")</f>
        <v/>
      </c>
      <c r="E9025" s="2"/>
      <c r="F9025" s="2" t="str">
        <f>IFERROR(__xludf.DUMMYFUNCTION("IF(E9025&lt;&gt;"""", GOOGLETRANSLATE(E9025, ""en"", ""te""),"""")"),"")</f>
        <v/>
      </c>
      <c r="G9025" s="2" t="s">
        <v>5166</v>
      </c>
      <c r="H9025" s="2" t="str">
        <f>IFERROR(__xludf.DUMMYFUNCTION("IF(G9025&lt;&gt;"""", GOOGLETRANSLATE(G9025, ""en"", ""te""),"""")"),"[ '30 వ కెరీర్ స్టంపింగ్లు (6)']")</f>
        <v>[ '30 వ కెరీర్ స్టంపింగ్లు (6)']</v>
      </c>
      <c r="I9025" s="3"/>
    </row>
    <row r="9026" customHeight="1" spans="1:9">
      <c r="A9026" s="2"/>
      <c r="B9026" s="2" t="str">
        <f>IFERROR(__xludf.DUMMYFUNCTION("IF(A9026&lt;&gt;"""", GOOGLETRANSLATE(A9026, ""en"", ""te""),"""")"),"")</f>
        <v/>
      </c>
      <c r="C9026" s="2"/>
      <c r="D9026" s="2" t="str">
        <f>IFERROR(__xludf.DUMMYFUNCTION("IF(C9026&lt;&gt;"""", GOOGLETRANSLATE(C9026, ""en"", ""te""),"""")"),"")</f>
        <v/>
      </c>
      <c r="E9026" s="2"/>
      <c r="F9026" s="2" t="str">
        <f>IFERROR(__xludf.DUMMYFUNCTION("IF(E9026&lt;&gt;"""", GOOGLETRANSLATE(E9026, ""en"", ""te""),"""")"),"")</f>
        <v/>
      </c>
      <c r="G9026" s="2"/>
      <c r="H9026" s="2" t="str">
        <f>IFERROR(__xludf.DUMMYFUNCTION("IF(G9026&lt;&gt;"""", GOOGLETRANSLATE(G9026, ""en"", ""te""),"""")"),"")</f>
        <v/>
      </c>
      <c r="I9026" s="3"/>
    </row>
    <row r="9027" customHeight="1" spans="1:9">
      <c r="A9027" s="2" t="s">
        <v>4540</v>
      </c>
      <c r="B9027" s="2" t="str">
        <f>IFERROR(__xludf.DUMMYFUNCTION("IF(A9027&lt;&gt;"""", GOOGLETRANSLATE(A9027, ""en"", ""te""),"""")"),"[ 'ఇన్నింగ్స్ లో 1 వ అత్యధిక క్యాచ్లు (4)']")</f>
        <v>[ 'ఇన్నింగ్స్ లో 1 వ అత్యధిక క్యాచ్లు (4)']</v>
      </c>
      <c r="C9027" s="2"/>
      <c r="D9027" s="2" t="str">
        <f>IFERROR(__xludf.DUMMYFUNCTION("IF(C9027&lt;&gt;"""", GOOGLETRANSLATE(C9027, ""en"", ""te""),"""")"),"")</f>
        <v/>
      </c>
      <c r="E9027" s="2"/>
      <c r="F9027" s="2" t="str">
        <f>IFERROR(__xludf.DUMMYFUNCTION("IF(E9027&lt;&gt;"""", GOOGLETRANSLATE(E9027, ""en"", ""te""),"""")"),"")</f>
        <v/>
      </c>
      <c r="G9027" s="2" t="s">
        <v>4540</v>
      </c>
      <c r="H9027" s="2" t="str">
        <f>IFERROR(__xludf.DUMMYFUNCTION("IF(G9027&lt;&gt;"""", GOOGLETRANSLATE(G9027, ""en"", ""te""),"""")"),"[ 'ఇన్నింగ్స్ లో 1 వ అత్యధిక క్యాచ్లు (4)']")</f>
        <v>[ 'ఇన్నింగ్స్ లో 1 వ అత్యధిక క్యాచ్లు (4)']</v>
      </c>
      <c r="I9027" s="3"/>
    </row>
    <row r="9028" customHeight="1" spans="1:9">
      <c r="A9028" s="2"/>
      <c r="B9028" s="2" t="str">
        <f>IFERROR(__xludf.DUMMYFUNCTION("IF(A9028&lt;&gt;"""", GOOGLETRANSLATE(A9028, ""en"", ""te""),"""")"),"")</f>
        <v/>
      </c>
      <c r="C9028" s="2"/>
      <c r="D9028" s="2" t="str">
        <f>IFERROR(__xludf.DUMMYFUNCTION("IF(C9028&lt;&gt;"""", GOOGLETRANSLATE(C9028, ""en"", ""te""),"""")"),"")</f>
        <v/>
      </c>
      <c r="E9028" s="2"/>
      <c r="F9028" s="2" t="str">
        <f>IFERROR(__xludf.DUMMYFUNCTION("IF(E9028&lt;&gt;"""", GOOGLETRANSLATE(E9028, ""en"", ""te""),"""")"),"")</f>
        <v/>
      </c>
      <c r="G9028" s="2" t="s">
        <v>5167</v>
      </c>
      <c r="H9028" s="2" t="str">
        <f>IFERROR(__xludf.DUMMYFUNCTION("IF(G9028&lt;&gt;"""", GOOGLETRANSLATE(G9028, ""en"", ""te""),"""")"),"[ 'కెరీర్లో 38 వ లేవు బాతులు (16)']")</f>
        <v>[ 'కెరీర్లో 38 వ లేవు బాతులు (16)']</v>
      </c>
      <c r="I9028" s="3"/>
    </row>
    <row r="9029" customHeight="1" spans="1:9">
      <c r="A9029" s="2" t="s">
        <v>5168</v>
      </c>
      <c r="B9029" s="2" t="str">
        <f>IFERROR(__xludf.DUMMYFUNCTION("IF(A9029&lt;&gt;"""", GOOGLETRANSLATE(A9029, ""en"", ""te""),"""")"),"[ '4 వ ఎక్కువ (22 *) ఒక ఇన్నింగ్స్ లో నడుస్తుంది (బ్యాటింగ్ స్థానం)']")</f>
        <v>[ '4 వ ఎక్కువ (22 *) ఒక ఇన్నింగ్స్ లో నడుస్తుంది (బ్యాటింగ్ స్థానం)']</v>
      </c>
      <c r="C9029" s="2"/>
      <c r="D9029" s="2" t="str">
        <f>IFERROR(__xludf.DUMMYFUNCTION("IF(C9029&lt;&gt;"""", GOOGLETRANSLATE(C9029, ""en"", ""te""),"""")"),"")</f>
        <v/>
      </c>
      <c r="E9029" s="2"/>
      <c r="F9029" s="2" t="str">
        <f>IFERROR(__xludf.DUMMYFUNCTION("IF(E9029&lt;&gt;"""", GOOGLETRANSLATE(E9029, ""en"", ""te""),"""")"),"")</f>
        <v/>
      </c>
      <c r="G9029" s="2" t="s">
        <v>5169</v>
      </c>
      <c r="H9029" s="2" t="str">
        <f>IFERROR(__xludf.DUMMYFUNCTION("IF(G9029&lt;&gt;"""", GOOGLETRANSLATE(G9029, ""en"", ""te""),"""")"),"[ 'ఇన్నింగ్స్ లో 4 వ అత్యధిక పరుగులు (బ్యాటింగ్ స్థానంలో ప్రకారం) (22 *)', '13 వ అత్యుత్తమ బౌలింగ్ ఇన్నింగ్స్ లో విశ్లేషించడం (4/6)', '13 వ అత్యంత నాలుగు వికెట్లు-ఇన్-ఒక-ఇన్నింగ్స్ కెరీర్లో ( 2) ',' 16 వ తొమ్మిదవ వికెట్కు అత్యధిక భాగస్వామ్యం (24) ',' 15 వ"&amp;" కెరీర్ పనికత్తెలయొద్ద (8) ',' 12 వ ఇన్నింగ్స్ లో వచ్చిన ఎక్కువ పనికత్తెలయొద్ద (2) ']")</f>
        <v>[ 'ఇన్నింగ్స్ లో 4 వ అత్యధిక పరుగులు (బ్యాటింగ్ స్థానంలో ప్రకారం) (22 *)', '13 వ అత్యుత్తమ బౌలింగ్ ఇన్నింగ్స్ లో విశ్లేషించడం (4/6)', '13 వ అత్యంత నాలుగు వికెట్లు-ఇన్-ఒక-ఇన్నింగ్స్ కెరీర్లో ( 2) ',' 16 వ తొమ్మిదవ వికెట్కు అత్యధిక భాగస్వామ్యం (24) ',' 15 వ కెరీర్ పనికత్తెలయొద్ద (8) ',' 12 వ ఇన్నింగ్స్ లో వచ్చిన ఎక్కువ పనికత్తెలయొద్ద (2) ']</v>
      </c>
      <c r="I9029" s="3"/>
    </row>
    <row r="9030" customHeight="1" spans="1:9">
      <c r="A9030" s="2" t="s">
        <v>5170</v>
      </c>
      <c r="B9030" s="2" t="str">
        <f>IFERROR(__xludf.DUMMYFUNCTION("IF(A9030&lt;&gt;"""", GOOGLETRANSLATE(A9030, ""en"", ""te""),"""")"),"[ '7th ఎక్కువ (బ్యాటింగ్ స్థానంలో ద్వారా) ఒక ఇన్నింగ్స్ లో నడుస్తుంది (116)', 'రెండవ వికెట్ (227) 1 వ అత్యధిక భాగస్వామ్యం']")</f>
        <v>[ '7th ఎక్కువ (బ్యాటింగ్ స్థానంలో ద్వారా) ఒక ఇన్నింగ్స్ లో నడుస్తుంది (116)', 'రెండవ వికెట్ (227) 1 వ అత్యధిక భాగస్వామ్యం']</v>
      </c>
      <c r="C9030" s="2"/>
      <c r="D9030" s="2" t="str">
        <f>IFERROR(__xludf.DUMMYFUNCTION("IF(C9030&lt;&gt;"""", GOOGLETRANSLATE(C9030, ""en"", ""te""),"""")"),"")</f>
        <v/>
      </c>
      <c r="E9030" s="2"/>
      <c r="F9030" s="2" t="str">
        <f>IFERROR(__xludf.DUMMYFUNCTION("IF(E9030&lt;&gt;"""", GOOGLETRANSLATE(E9030, ""en"", ""te""),"""")"),"")</f>
        <v/>
      </c>
      <c r="G9030" s="2" t="s">
        <v>5171</v>
      </c>
      <c r="H9030" s="2" t="str">
        <f>IFERROR(__xludf.DUMMYFUNCTION("IF(G9030&lt;&gt;"""", GOOGLETRANSLATE(G9030, ""en"", ""te""),"""")"),"[వికెట్ తేడాతో, '2 వ అత్యధిక భాగస్వామ్యాలు' ఏ వికెట్కు (227) 3 వ అత్యధిక భాగస్వామ్యాలు '' ఇన్నింగ్స్ (బ్యాటింగ్ స్థానం) లో 7 వ అత్యధిక పరుగులు (116) ',' ఇన్నింగ్స్ (116) లో 9 వ అత్యధిక పరుగులు '(2 వ ) ',' రెండవ వికెట్ (227 కోసం 1 వ అత్యధిక భాగస్వామ్యం) ']")</f>
        <v>[వికెట్ తేడాతో, '2 వ అత్యధిక భాగస్వామ్యాలు' ఏ వికెట్కు (227) 3 వ అత్యధిక భాగస్వామ్యాలు '' ఇన్నింగ్స్ (బ్యాటింగ్ స్థానం) లో 7 వ అత్యధిక పరుగులు (116) ',' ఇన్నింగ్స్ (116) లో 9 వ అత్యధిక పరుగులు '(2 వ ) ',' రెండవ వికెట్ (227 కోసం 1 వ అత్యధిక భాగస్వామ్యం) ']</v>
      </c>
      <c r="I9030" s="3"/>
    </row>
    <row r="9031" customHeight="1" spans="1:9">
      <c r="A9031" s="2"/>
      <c r="B9031" s="2" t="str">
        <f>IFERROR(__xludf.DUMMYFUNCTION("IF(A9031&lt;&gt;"""", GOOGLETRANSLATE(A9031, ""en"", ""te""),"""")"),"")</f>
        <v/>
      </c>
      <c r="C9031" s="2"/>
      <c r="D9031" s="2" t="str">
        <f>IFERROR(__xludf.DUMMYFUNCTION("IF(C9031&lt;&gt;"""", GOOGLETRANSLATE(C9031, ""en"", ""te""),"""")"),"")</f>
        <v/>
      </c>
      <c r="E9031" s="2"/>
      <c r="F9031" s="2" t="str">
        <f>IFERROR(__xludf.DUMMYFUNCTION("IF(E9031&lt;&gt;"""", GOOGLETRANSLATE(E9031, ""en"", ""te""),"""")"),"")</f>
        <v/>
      </c>
      <c r="G9031" s="2"/>
      <c r="H9031" s="2" t="str">
        <f>IFERROR(__xludf.DUMMYFUNCTION("IF(G9031&lt;&gt;"""", GOOGLETRANSLATE(G9031, ""en"", ""te""),"""")"),"")</f>
        <v/>
      </c>
      <c r="I9031" s="3"/>
    </row>
    <row r="9032" customHeight="1" spans="1:9">
      <c r="A9032" s="2"/>
      <c r="B9032" s="2" t="str">
        <f>IFERROR(__xludf.DUMMYFUNCTION("IF(A9032&lt;&gt;"""", GOOGLETRANSLATE(A9032, ""en"", ""te""),"""")"),"")</f>
        <v/>
      </c>
      <c r="C9032" s="2"/>
      <c r="D9032" s="2" t="str">
        <f>IFERROR(__xludf.DUMMYFUNCTION("IF(C9032&lt;&gt;"""", GOOGLETRANSLATE(C9032, ""en"", ""te""),"""")"),"")</f>
        <v/>
      </c>
      <c r="E9032" s="2"/>
      <c r="F9032" s="2" t="str">
        <f>IFERROR(__xludf.DUMMYFUNCTION("IF(E9032&lt;&gt;"""", GOOGLETRANSLATE(E9032, ""en"", ""te""),"""")"),"")</f>
        <v/>
      </c>
      <c r="G9032" s="2"/>
      <c r="H9032" s="2" t="str">
        <f>IFERROR(__xludf.DUMMYFUNCTION("IF(G9032&lt;&gt;"""", GOOGLETRANSLATE(G9032, ""en"", ""te""),"""")"),"")</f>
        <v/>
      </c>
      <c r="I9032" s="3"/>
    </row>
    <row r="9033" customHeight="1" spans="1:9">
      <c r="A9033" s="2"/>
      <c r="B9033" s="2" t="str">
        <f>IFERROR(__xludf.DUMMYFUNCTION("IF(A9033&lt;&gt;"""", GOOGLETRANSLATE(A9033, ""en"", ""te""),"""")"),"")</f>
        <v/>
      </c>
      <c r="C9033" s="2"/>
      <c r="D9033" s="2" t="str">
        <f>IFERROR(__xludf.DUMMYFUNCTION("IF(C9033&lt;&gt;"""", GOOGLETRANSLATE(C9033, ""en"", ""te""),"""")"),"")</f>
        <v/>
      </c>
      <c r="E9033" s="2"/>
      <c r="F9033" s="2" t="str">
        <f>IFERROR(__xludf.DUMMYFUNCTION("IF(E9033&lt;&gt;"""", GOOGLETRANSLATE(E9033, ""en"", ""te""),"""")"),"")</f>
        <v/>
      </c>
      <c r="G9033" s="2"/>
      <c r="H9033" s="2" t="str">
        <f>IFERROR(__xludf.DUMMYFUNCTION("IF(G9033&lt;&gt;"""", GOOGLETRANSLATE(G9033, ""en"", ""te""),"""")"),"")</f>
        <v/>
      </c>
      <c r="I9033" s="3"/>
    </row>
    <row r="9034" customHeight="1" spans="1:9">
      <c r="A9034" s="2" t="s">
        <v>5172</v>
      </c>
      <c r="B9034" s="2" t="str">
        <f>IFERROR(__xludf.DUMMYFUNCTION("IF(A9034&lt;&gt;"""", GOOGLETRANSLATE(A9034, ""en"", ""te""),"""")"),"[ '2 వ అత్యుత్తమ ఇన్నింగ్స్ (4/2) విశ్లేషణలలో బౌలింగ్']")</f>
        <v>[ '2 వ అత్యుత్తమ ఇన్నింగ్స్ (4/2) విశ్లేషణలలో బౌలింగ్']</v>
      </c>
      <c r="C9034" s="2"/>
      <c r="D9034" s="2" t="str">
        <f>IFERROR(__xludf.DUMMYFUNCTION("IF(C9034&lt;&gt;"""", GOOGLETRANSLATE(C9034, ""en"", ""te""),"""")"),"")</f>
        <v/>
      </c>
      <c r="E9034" s="2"/>
      <c r="F9034" s="2" t="str">
        <f>IFERROR(__xludf.DUMMYFUNCTION("IF(E9034&lt;&gt;"""", GOOGLETRANSLATE(E9034, ""en"", ""te""),"""")"),"")</f>
        <v/>
      </c>
      <c r="G9034" s="2" t="s">
        <v>5173</v>
      </c>
      <c r="H9034" s="2" t="str">
        <f>IFERROR(__xludf.DUMMYFUNCTION("IF(G9034&lt;&gt;"""", GOOGLETRANSLATE(G9034, ""en"", ""te""),"""")"),"[ '45 వ ఉత్తమ ఇన్నింగ్స్ లో సంఖ్యలు (4/2)', '2 వ అత్యుత్తమ బౌలింగ్ ఇన్నింగ్స్ లో విశ్లేషించడం (4/2)', 'ఒకే మైదానంలో 19 వ అత్యధిక వికెట్లు (10)', '48 వ బెస్ట్ కెరీర్ సగటు బౌలింగ్ ( అర్హత లేకుండా) (7.57) ',' 22 వ ఉత్తమ ఆర్ధిక ఇన్నింగ్స్ లో ఒక ఇన్నింగ్స్ (0"&amp;".50) ',' 12 వ అత్యంత పనికత్తెలయొద్ద లో రేటు (2) ']")</f>
        <v>[ '45 వ ఉత్తమ ఇన్నింగ్స్ లో సంఖ్యలు (4/2)', '2 వ అత్యుత్తమ బౌలింగ్ ఇన్నింగ్స్ లో విశ్లేషించడం (4/2)', 'ఒకే మైదానంలో 19 వ అత్యధిక వికెట్లు (10)', '48 వ బెస్ట్ కెరీర్ సగటు బౌలింగ్ ( అర్హత లేకుండా) (7.57) ',' 22 వ ఉత్తమ ఆర్ధిక ఇన్నింగ్స్ లో ఒక ఇన్నింగ్స్ (0.50) ',' 12 వ అత్యంత పనికత్తెలయొద్ద లో రేటు (2) ']</v>
      </c>
      <c r="I9034" s="3"/>
    </row>
    <row r="9035" customHeight="1" spans="1:9">
      <c r="A9035" s="2"/>
      <c r="B9035" s="2" t="str">
        <f>IFERROR(__xludf.DUMMYFUNCTION("IF(A9035&lt;&gt;"""", GOOGLETRANSLATE(A9035, ""en"", ""te""),"""")"),"")</f>
        <v/>
      </c>
      <c r="C9035" s="2"/>
      <c r="D9035" s="2" t="str">
        <f>IFERROR(__xludf.DUMMYFUNCTION("IF(C9035&lt;&gt;"""", GOOGLETRANSLATE(C9035, ""en"", ""te""),"""")"),"")</f>
        <v/>
      </c>
      <c r="E9035" s="2"/>
      <c r="F9035" s="2" t="str">
        <f>IFERROR(__xludf.DUMMYFUNCTION("IF(E9035&lt;&gt;"""", GOOGLETRANSLATE(E9035, ""en"", ""te""),"""")"),"")</f>
        <v/>
      </c>
      <c r="G9035" s="2"/>
      <c r="H9035" s="2" t="str">
        <f>IFERROR(__xludf.DUMMYFUNCTION("IF(G9035&lt;&gt;"""", GOOGLETRANSLATE(G9035, ""en"", ""te""),"""")"),"")</f>
        <v/>
      </c>
      <c r="I9035" s="3"/>
    </row>
    <row r="9036" customHeight="1" spans="1:9">
      <c r="A9036" s="2"/>
      <c r="B9036" s="2" t="str">
        <f>IFERROR(__xludf.DUMMYFUNCTION("IF(A9036&lt;&gt;"""", GOOGLETRANSLATE(A9036, ""en"", ""te""),"""")"),"")</f>
        <v/>
      </c>
      <c r="C9036" s="2"/>
      <c r="D9036" s="2" t="str">
        <f>IFERROR(__xludf.DUMMYFUNCTION("IF(C9036&lt;&gt;"""", GOOGLETRANSLATE(C9036, ""en"", ""te""),"""")"),"")</f>
        <v/>
      </c>
      <c r="E9036" s="2"/>
      <c r="F9036" s="2" t="str">
        <f>IFERROR(__xludf.DUMMYFUNCTION("IF(E9036&lt;&gt;"""", GOOGLETRANSLATE(E9036, ""en"", ""te""),"""")"),"")</f>
        <v/>
      </c>
      <c r="G9036" s="2"/>
      <c r="H9036" s="2" t="str">
        <f>IFERROR(__xludf.DUMMYFUNCTION("IF(G9036&lt;&gt;"""", GOOGLETRANSLATE(G9036, ""en"", ""te""),"""")"),"")</f>
        <v/>
      </c>
      <c r="I9036" s="3"/>
    </row>
    <row r="9037" customHeight="1" spans="1:9">
      <c r="A9037" s="2"/>
      <c r="B9037" s="2" t="str">
        <f>IFERROR(__xludf.DUMMYFUNCTION("IF(A9037&lt;&gt;"""", GOOGLETRANSLATE(A9037, ""en"", ""te""),"""")"),"")</f>
        <v/>
      </c>
      <c r="C9037" s="2"/>
      <c r="D9037" s="2" t="str">
        <f>IFERROR(__xludf.DUMMYFUNCTION("IF(C9037&lt;&gt;"""", GOOGLETRANSLATE(C9037, ""en"", ""te""),"""")"),"")</f>
        <v/>
      </c>
      <c r="E9037" s="2"/>
      <c r="F9037" s="2" t="str">
        <f>IFERROR(__xludf.DUMMYFUNCTION("IF(E9037&lt;&gt;"""", GOOGLETRANSLATE(E9037, ""en"", ""te""),"""")"),"")</f>
        <v/>
      </c>
      <c r="G9037" s="2"/>
      <c r="H9037" s="2" t="str">
        <f>IFERROR(__xludf.DUMMYFUNCTION("IF(G9037&lt;&gt;"""", GOOGLETRANSLATE(G9037, ""en"", ""te""),"""")"),"")</f>
        <v/>
      </c>
      <c r="I9037" s="3"/>
    </row>
    <row r="9038" customHeight="1" spans="1:9">
      <c r="A9038" s="2"/>
      <c r="B9038" s="2" t="str">
        <f>IFERROR(__xludf.DUMMYFUNCTION("IF(A9038&lt;&gt;"""", GOOGLETRANSLATE(A9038, ""en"", ""te""),"""")"),"")</f>
        <v/>
      </c>
      <c r="C9038" s="2"/>
      <c r="D9038" s="2" t="str">
        <f>IFERROR(__xludf.DUMMYFUNCTION("IF(C9038&lt;&gt;"""", GOOGLETRANSLATE(C9038, ""en"", ""te""),"""")"),"")</f>
        <v/>
      </c>
      <c r="E9038" s="2"/>
      <c r="F9038" s="2" t="str">
        <f>IFERROR(__xludf.DUMMYFUNCTION("IF(E9038&lt;&gt;"""", GOOGLETRANSLATE(E9038, ""en"", ""te""),"""")"),"")</f>
        <v/>
      </c>
      <c r="G9038" s="2"/>
      <c r="H9038" s="2" t="str">
        <f>IFERROR(__xludf.DUMMYFUNCTION("IF(G9038&lt;&gt;"""", GOOGLETRANSLATE(G9038, ""en"", ""te""),"""")"),"")</f>
        <v/>
      </c>
      <c r="I9038" s="3"/>
    </row>
    <row r="9039" customHeight="1" spans="1:9">
      <c r="A9039" s="2"/>
      <c r="B9039" s="2" t="str">
        <f>IFERROR(__xludf.DUMMYFUNCTION("IF(A9039&lt;&gt;"""", GOOGLETRANSLATE(A9039, ""en"", ""te""),"""")"),"")</f>
        <v/>
      </c>
      <c r="C9039" s="2"/>
      <c r="D9039" s="2" t="str">
        <f>IFERROR(__xludf.DUMMYFUNCTION("IF(C9039&lt;&gt;"""", GOOGLETRANSLATE(C9039, ""en"", ""te""),"""")"),"")</f>
        <v/>
      </c>
      <c r="E9039" s="2"/>
      <c r="F9039" s="2" t="str">
        <f>IFERROR(__xludf.DUMMYFUNCTION("IF(E9039&lt;&gt;"""", GOOGLETRANSLATE(E9039, ""en"", ""te""),"""")"),"")</f>
        <v/>
      </c>
      <c r="G9039" s="2"/>
      <c r="H9039" s="2" t="str">
        <f>IFERROR(__xludf.DUMMYFUNCTION("IF(G9039&lt;&gt;"""", GOOGLETRANSLATE(G9039, ""en"", ""te""),"""")"),"")</f>
        <v/>
      </c>
      <c r="I9039" s="3"/>
    </row>
    <row r="9040" customHeight="1" spans="1:9">
      <c r="A9040" s="2"/>
      <c r="B9040" s="2" t="str">
        <f>IFERROR(__xludf.DUMMYFUNCTION("IF(A9040&lt;&gt;"""", GOOGLETRANSLATE(A9040, ""en"", ""te""),"""")"),"")</f>
        <v/>
      </c>
      <c r="C9040" s="2"/>
      <c r="D9040" s="2" t="str">
        <f>IFERROR(__xludf.DUMMYFUNCTION("IF(C9040&lt;&gt;"""", GOOGLETRANSLATE(C9040, ""en"", ""te""),"""")"),"")</f>
        <v/>
      </c>
      <c r="E9040" s="2"/>
      <c r="F9040" s="2" t="str">
        <f>IFERROR(__xludf.DUMMYFUNCTION("IF(E9040&lt;&gt;"""", GOOGLETRANSLATE(E9040, ""en"", ""te""),"""")"),"")</f>
        <v/>
      </c>
      <c r="G9040" s="2"/>
      <c r="H9040" s="2" t="str">
        <f>IFERROR(__xludf.DUMMYFUNCTION("IF(G9040&lt;&gt;"""", GOOGLETRANSLATE(G9040, ""en"", ""te""),"""")"),"")</f>
        <v/>
      </c>
      <c r="I9040" s="3"/>
    </row>
    <row r="9041" customHeight="1" spans="1:9">
      <c r="A9041" s="2"/>
      <c r="B9041" s="2" t="str">
        <f>IFERROR(__xludf.DUMMYFUNCTION("IF(A9041&lt;&gt;"""", GOOGLETRANSLATE(A9041, ""en"", ""te""),"""")"),"")</f>
        <v/>
      </c>
      <c r="C9041" s="2"/>
      <c r="D9041" s="2" t="str">
        <f>IFERROR(__xludf.DUMMYFUNCTION("IF(C9041&lt;&gt;"""", GOOGLETRANSLATE(C9041, ""en"", ""te""),"""")"),"")</f>
        <v/>
      </c>
      <c r="E9041" s="2"/>
      <c r="F9041" s="2" t="str">
        <f>IFERROR(__xludf.DUMMYFUNCTION("IF(E9041&lt;&gt;"""", GOOGLETRANSLATE(E9041, ""en"", ""te""),"""")"),"")</f>
        <v/>
      </c>
      <c r="G9041" s="2"/>
      <c r="H9041" s="2" t="str">
        <f>IFERROR(__xludf.DUMMYFUNCTION("IF(G9041&lt;&gt;"""", GOOGLETRANSLATE(G9041, ""en"", ""te""),"""")"),"")</f>
        <v/>
      </c>
      <c r="I9041" s="3"/>
    </row>
    <row r="9042" customHeight="1" spans="1:9">
      <c r="A9042" s="2"/>
      <c r="B9042" s="2" t="str">
        <f>IFERROR(__xludf.DUMMYFUNCTION("IF(A9042&lt;&gt;"""", GOOGLETRANSLATE(A9042, ""en"", ""te""),"""")"),"")</f>
        <v/>
      </c>
      <c r="C9042" s="2"/>
      <c r="D9042" s="2" t="str">
        <f>IFERROR(__xludf.DUMMYFUNCTION("IF(C9042&lt;&gt;"""", GOOGLETRANSLATE(C9042, ""en"", ""te""),"""")"),"")</f>
        <v/>
      </c>
      <c r="E9042" s="2"/>
      <c r="F9042" s="2" t="str">
        <f>IFERROR(__xludf.DUMMYFUNCTION("IF(E9042&lt;&gt;"""", GOOGLETRANSLATE(E9042, ""en"", ""te""),"""")"),"")</f>
        <v/>
      </c>
      <c r="G9042" s="2"/>
      <c r="H9042" s="2" t="str">
        <f>IFERROR(__xludf.DUMMYFUNCTION("IF(G9042&lt;&gt;"""", GOOGLETRANSLATE(G9042, ""en"", ""te""),"""")"),"")</f>
        <v/>
      </c>
      <c r="I9042" s="3"/>
    </row>
    <row r="9043" customHeight="1" spans="1:9">
      <c r="A9043" s="2" t="s">
        <v>5174</v>
      </c>
      <c r="B9043" s="2" t="str">
        <f>IFERROR(__xludf.DUMMYFUNCTION("IF(A9043&lt;&gt;"""", GOOGLETRANSLATE(A9043, ""en"", ""te""),"""")"),"[ '10 వ అత్యుత్తమ ఇన్నింగ్స్ (2/1) విశ్లేషణలలో బౌలింగ్']")</f>
        <v>[ '10 వ అత్యుత్తమ ఇన్నింగ్స్ (2/1) విశ్లేషణలలో బౌలింగ్']</v>
      </c>
      <c r="C9043" s="2"/>
      <c r="D9043" s="2" t="str">
        <f>IFERROR(__xludf.DUMMYFUNCTION("IF(C9043&lt;&gt;"""", GOOGLETRANSLATE(C9043, ""en"", ""te""),"""")"),"")</f>
        <v/>
      </c>
      <c r="E9043" s="2"/>
      <c r="F9043" s="2" t="str">
        <f>IFERROR(__xludf.DUMMYFUNCTION("IF(E9043&lt;&gt;"""", GOOGLETRANSLATE(E9043, ""en"", ""te""),"""")"),"")</f>
        <v/>
      </c>
      <c r="G9043" s="2" t="s">
        <v>5175</v>
      </c>
      <c r="H9043" s="2" t="str">
        <f>IFERROR(__xludf.DUMMYFUNCTION("IF(G9043&lt;&gt;"""", GOOGLETRANSLATE(G9043, ""en"", ""te""),"""")"),"[ '10 వ అత్యుత్తమ ఇన్నింగ్స్ లో బౌలింగ్ విశ్లేషణలు (2/1)', '50 వ ఉత్తమ కెరీర్ (అర్హత లేకుండా) సగటు బౌలింగ్ (7.80)', 'ఇన్నింగ్స్ లో 22 వ ఉత్తమ ఆర్థిక రేటు (0.50)']")</f>
        <v>[ '10 వ అత్యుత్తమ ఇన్నింగ్స్ లో బౌలింగ్ విశ్లేషణలు (2/1)', '50 వ ఉత్తమ కెరీర్ (అర్హత లేకుండా) సగటు బౌలింగ్ (7.80)', 'ఇన్నింగ్స్ లో 22 వ ఉత్తమ ఆర్థిక రేటు (0.50)']</v>
      </c>
      <c r="I9043" s="3"/>
    </row>
    <row r="9044" customHeight="1" spans="1:9">
      <c r="A9044" s="2"/>
      <c r="B9044" s="2" t="str">
        <f>IFERROR(__xludf.DUMMYFUNCTION("IF(A9044&lt;&gt;"""", GOOGLETRANSLATE(A9044, ""en"", ""te""),"""")"),"")</f>
        <v/>
      </c>
      <c r="C9044" s="2"/>
      <c r="D9044" s="2" t="str">
        <f>IFERROR(__xludf.DUMMYFUNCTION("IF(C9044&lt;&gt;"""", GOOGLETRANSLATE(C9044, ""en"", ""te""),"""")"),"")</f>
        <v/>
      </c>
      <c r="E9044" s="2"/>
      <c r="F9044" s="2" t="str">
        <f>IFERROR(__xludf.DUMMYFUNCTION("IF(E9044&lt;&gt;"""", GOOGLETRANSLATE(E9044, ""en"", ""te""),"""")"),"")</f>
        <v/>
      </c>
      <c r="G9044" s="2"/>
      <c r="H9044" s="2" t="str">
        <f>IFERROR(__xludf.DUMMYFUNCTION("IF(G9044&lt;&gt;"""", GOOGLETRANSLATE(G9044, ""en"", ""te""),"""")"),"")</f>
        <v/>
      </c>
      <c r="I9044" s="3"/>
    </row>
    <row r="9045" customHeight="1" spans="1:9">
      <c r="A9045" s="2"/>
      <c r="B9045" s="2" t="str">
        <f>IFERROR(__xludf.DUMMYFUNCTION("IF(A9045&lt;&gt;"""", GOOGLETRANSLATE(A9045, ""en"", ""te""),"""")"),"")</f>
        <v/>
      </c>
      <c r="C9045" s="2"/>
      <c r="D9045" s="2" t="str">
        <f>IFERROR(__xludf.DUMMYFUNCTION("IF(C9045&lt;&gt;"""", GOOGLETRANSLATE(C9045, ""en"", ""te""),"""")"),"")</f>
        <v/>
      </c>
      <c r="E9045" s="2"/>
      <c r="F9045" s="2" t="str">
        <f>IFERROR(__xludf.DUMMYFUNCTION("IF(E9045&lt;&gt;"""", GOOGLETRANSLATE(E9045, ""en"", ""te""),"""")"),"")</f>
        <v/>
      </c>
      <c r="G9045" s="2"/>
      <c r="H9045" s="2" t="str">
        <f>IFERROR(__xludf.DUMMYFUNCTION("IF(G9045&lt;&gt;"""", GOOGLETRANSLATE(G9045, ""en"", ""te""),"""")"),"")</f>
        <v/>
      </c>
      <c r="I9045" s="3"/>
    </row>
    <row r="9046" customHeight="1" spans="1:9">
      <c r="A9046" s="2" t="s">
        <v>5176</v>
      </c>
      <c r="B9046" s="2" t="str">
        <f>IFERROR(__xludf.DUMMYFUNCTION("IF(A9046&lt;&gt;"""", GOOGLETRANSLATE(A9046, ""en"", ""te""),"""")"),"[ 'ఐదవ వికెట్కు 10 వ అత్యధిక భాగస్వామ్యం (91)']")</f>
        <v>[ 'ఐదవ వికెట్కు 10 వ అత్యధిక భాగస్వామ్యం (91)']</v>
      </c>
      <c r="C9046" s="2"/>
      <c r="D9046" s="2" t="str">
        <f>IFERROR(__xludf.DUMMYFUNCTION("IF(C9046&lt;&gt;"""", GOOGLETRANSLATE(C9046, ""en"", ""te""),"""")"),"")</f>
        <v/>
      </c>
      <c r="E9046" s="2"/>
      <c r="F9046" s="2" t="str">
        <f>IFERROR(__xludf.DUMMYFUNCTION("IF(E9046&lt;&gt;"""", GOOGLETRANSLATE(E9046, ""en"", ""te""),"""")"),"")</f>
        <v/>
      </c>
      <c r="G9046" s="2" t="s">
        <v>5177</v>
      </c>
      <c r="H9046" s="2" t="str">
        <f>IFERROR(__xludf.DUMMYFUNCTION("IF(G9046&lt;&gt;"""", GOOGLETRANSLATE(G9046, ""en"", ""te""),"""")"),"[ '16 వ ఇన్నింగ్స్ లో బెస్ట్ ఫిగర్స్ (5/13)', 'ఇన్నింగ్స్ లో 11 వ అత్యుత్తమ బౌలింగ్ విశ్లేషణలు (5/13)', 'ఇన్నింగ్స్ 28 వ ఉత్తమ సమ్మె రేటు (4.4)', '10 వ అత్యధిక ఐదో భాగస్వామ్యంతో వికెట్ (91) ']")</f>
        <v>[ '16 వ ఇన్నింగ్స్ లో బెస్ట్ ఫిగర్స్ (5/13)', 'ఇన్నింగ్స్ లో 11 వ అత్యుత్తమ బౌలింగ్ విశ్లేషణలు (5/13)', 'ఇన్నింగ్స్ 28 వ ఉత్తమ సమ్మె రేటు (4.4)', '10 వ అత్యధిక ఐదో భాగస్వామ్యంతో వికెట్ (91) ']</v>
      </c>
      <c r="I9046" s="3"/>
    </row>
    <row r="9047" customHeight="1" spans="1:9">
      <c r="A9047" s="2"/>
      <c r="B9047" s="2" t="str">
        <f>IFERROR(__xludf.DUMMYFUNCTION("IF(A9047&lt;&gt;"""", GOOGLETRANSLATE(A9047, ""en"", ""te""),"""")"),"")</f>
        <v/>
      </c>
      <c r="C9047" s="2"/>
      <c r="D9047" s="2" t="str">
        <f>IFERROR(__xludf.DUMMYFUNCTION("IF(C9047&lt;&gt;"""", GOOGLETRANSLATE(C9047, ""en"", ""te""),"""")"),"")</f>
        <v/>
      </c>
      <c r="E9047" s="2"/>
      <c r="F9047" s="2" t="str">
        <f>IFERROR(__xludf.DUMMYFUNCTION("IF(E9047&lt;&gt;"""", GOOGLETRANSLATE(E9047, ""en"", ""te""),"""")"),"")</f>
        <v/>
      </c>
      <c r="G9047" s="2" t="s">
        <v>5178</v>
      </c>
      <c r="H9047" s="2" t="str">
        <f>IFERROR(__xludf.DUMMYFUNCTION("IF(G9047&lt;&gt;"""", GOOGLETRANSLATE(G9047, ""en"", ""te""),"""")"),"[ '29 ఉత్తమ కెరీర్ బౌలింగ్ సరాసరి (అర్హత లేకుండా) (7.00)']")</f>
        <v>[ '29 ఉత్తమ కెరీర్ బౌలింగ్ సరాసరి (అర్హత లేకుండా) (7.00)']</v>
      </c>
      <c r="I9047" s="3"/>
    </row>
    <row r="9048" customHeight="1" spans="1:9">
      <c r="A9048" s="2" t="s">
        <v>5179</v>
      </c>
      <c r="B9048" s="2" t="str">
        <f>IFERROR(__xludf.DUMMYFUNCTION("IF(A9048&lt;&gt;"""", GOOGLETRANSLATE(A9048, ""en"", ""te""),"""")"),"[ '7th పిన్న కాప్టెన్ (20y 28 రో)', '5 వ అత్యధిక పరుగులు ఇన్నింగ్స్ లో (బ్యాటింగ్ స్థానం) (103 *)', 'కెరీర్ (18) 7 వ లేవు బాతులు']")</f>
        <v>[ '7th పిన్న కాప్టెన్ (20y 28 రో)', '5 వ అత్యధిక పరుగులు ఇన్నింగ్స్ లో (బ్యాటింగ్ స్థానం) (103 *)', 'కెరీర్ (18) 7 వ లేవు బాతులు']</v>
      </c>
      <c r="C9048" s="2"/>
      <c r="D9048" s="2" t="str">
        <f>IFERROR(__xludf.DUMMYFUNCTION("IF(C9048&lt;&gt;"""", GOOGLETRANSLATE(C9048, ""en"", ""te""),"""")"),"")</f>
        <v/>
      </c>
      <c r="E9048" s="2"/>
      <c r="F9048" s="2" t="str">
        <f>IFERROR(__xludf.DUMMYFUNCTION("IF(E9048&lt;&gt;"""", GOOGLETRANSLATE(E9048, ""en"", ""te""),"""")"),"")</f>
        <v/>
      </c>
      <c r="G9048" s="2" t="s">
        <v>5180</v>
      </c>
      <c r="H9048" s="2" t="str">
        <f>IFERROR(__xludf.DUMMYFUNCTION("IF(G9048&lt;&gt;"""", GOOGLETRANSLATE(G9048, ""en"", ""te""),"""")"),"[ 'ఒకే మైదానంలో 37 వ అత్యధిక పరుగులు (189)', '24 వ అత్యంత ఇన్నింగ్స్ (103 *) పరుగులు' 'ఇన్నింగ్స్ లో 5 వ అత్యధిక పరుగులు (బ్యాటింగ్ స్థానంలో ప్రకారం) (103 *)', '8 వ అత్యంత పరుగులు ఒక కెప్టెన్తో ఇన్నింగ్స్ (103 *) ',' కెరీర్ లో 7 వ లేవు బాతులు (18) ',' నా"&amp;"లుగవ వికెట్కు 20 వ అత్యధిక భాగస్వామ్యం (82) ',' ఏడవ వికెట్కు 26 అత్యధిక భాగస్వామ్యం (38) ',' 7th పిన్న కాప్టెన్ (20y 28 రో) ']")</f>
        <v>[ 'ఒకే మైదానంలో 37 వ అత్యధిక పరుగులు (189)', '24 వ అత్యంత ఇన్నింగ్స్ (103 *) పరుగులు' 'ఇన్నింగ్స్ లో 5 వ అత్యధిక పరుగులు (బ్యాటింగ్ స్థానంలో ప్రకారం) (103 *)', '8 వ అత్యంత పరుగులు ఒక కెప్టెన్తో ఇన్నింగ్స్ (103 *) ',' కెరీర్ లో 7 వ లేవు బాతులు (18) ',' నాలుగవ వికెట్కు 20 వ అత్యధిక భాగస్వామ్యం (82) ',' ఏడవ వికెట్కు 26 అత్యధిక భాగస్వామ్యం (38) ',' 7th పిన్న కాప్టెన్ (20y 28 రో) ']</v>
      </c>
      <c r="I9048" s="3"/>
    </row>
    <row r="9049" customHeight="1" spans="1:9">
      <c r="A9049" s="2"/>
      <c r="B9049" s="2" t="str">
        <f>IFERROR(__xludf.DUMMYFUNCTION("IF(A9049&lt;&gt;"""", GOOGLETRANSLATE(A9049, ""en"", ""te""),"""")"),"")</f>
        <v/>
      </c>
      <c r="C9049" s="2"/>
      <c r="D9049" s="2" t="str">
        <f>IFERROR(__xludf.DUMMYFUNCTION("IF(C9049&lt;&gt;"""", GOOGLETRANSLATE(C9049, ""en"", ""te""),"""")"),"")</f>
        <v/>
      </c>
      <c r="E9049" s="2"/>
      <c r="F9049" s="2" t="str">
        <f>IFERROR(__xludf.DUMMYFUNCTION("IF(E9049&lt;&gt;"""", GOOGLETRANSLATE(E9049, ""en"", ""te""),"""")"),"")</f>
        <v/>
      </c>
      <c r="G9049" s="2"/>
      <c r="H9049" s="2" t="str">
        <f>IFERROR(__xludf.DUMMYFUNCTION("IF(G9049&lt;&gt;"""", GOOGLETRANSLATE(G9049, ""en"", ""te""),"""")"),"")</f>
        <v/>
      </c>
      <c r="I9049" s="3"/>
    </row>
    <row r="9050" customHeight="1" spans="1:9">
      <c r="A9050" s="2"/>
      <c r="B9050" s="2" t="str">
        <f>IFERROR(__xludf.DUMMYFUNCTION("IF(A9050&lt;&gt;"""", GOOGLETRANSLATE(A9050, ""en"", ""te""),"""")"),"")</f>
        <v/>
      </c>
      <c r="C9050" s="2"/>
      <c r="D9050" s="2" t="str">
        <f>IFERROR(__xludf.DUMMYFUNCTION("IF(C9050&lt;&gt;"""", GOOGLETRANSLATE(C9050, ""en"", ""te""),"""")"),"")</f>
        <v/>
      </c>
      <c r="E9050" s="2"/>
      <c r="F9050" s="2" t="str">
        <f>IFERROR(__xludf.DUMMYFUNCTION("IF(E9050&lt;&gt;"""", GOOGLETRANSLATE(E9050, ""en"", ""te""),"""")"),"")</f>
        <v/>
      </c>
      <c r="G9050" s="2"/>
      <c r="H9050" s="2" t="str">
        <f>IFERROR(__xludf.DUMMYFUNCTION("IF(G9050&lt;&gt;"""", GOOGLETRANSLATE(G9050, ""en"", ""te""),"""")"),"")</f>
        <v/>
      </c>
      <c r="I9050" s="3"/>
    </row>
    <row r="9051" customHeight="1" spans="1:9">
      <c r="A9051" s="2"/>
      <c r="B9051" s="2" t="str">
        <f>IFERROR(__xludf.DUMMYFUNCTION("IF(A9051&lt;&gt;"""", GOOGLETRANSLATE(A9051, ""en"", ""te""),"""")"),"")</f>
        <v/>
      </c>
      <c r="C9051" s="2"/>
      <c r="D9051" s="2" t="str">
        <f>IFERROR(__xludf.DUMMYFUNCTION("IF(C9051&lt;&gt;"""", GOOGLETRANSLATE(C9051, ""en"", ""te""),"""")"),"")</f>
        <v/>
      </c>
      <c r="E9051" s="2"/>
      <c r="F9051" s="2" t="str">
        <f>IFERROR(__xludf.DUMMYFUNCTION("IF(E9051&lt;&gt;"""", GOOGLETRANSLATE(E9051, ""en"", ""te""),"""")"),"")</f>
        <v/>
      </c>
      <c r="G9051" s="2" t="s">
        <v>5181</v>
      </c>
      <c r="H9051" s="2" t="str">
        <f>IFERROR(__xludf.DUMMYFUNCTION("IF(G9051&lt;&gt;"""", GOOGLETRANSLATE(G9051, ""en"", ""te""),"""")"),"[ '12 వ ఇన్నింగ్స్ లో అత్యధిక పరుగులు (బ్యాటింగ్ స్థానంలో ప్రకారం) (25)', 'ఇన్నింగ్స్ లో 27 అత్యుత్తమ బౌలింగ్ విశ్లేషణలు (1/2)']")</f>
        <v>[ '12 వ ఇన్నింగ్స్ లో అత్యధిక పరుగులు (బ్యాటింగ్ స్థానంలో ప్రకారం) (25)', 'ఇన్నింగ్స్ లో 27 అత్యుత్తమ బౌలింగ్ విశ్లేషణలు (1/2)']</v>
      </c>
      <c r="I9051" s="3"/>
    </row>
    <row r="9052" customHeight="1" spans="1:9">
      <c r="A9052" s="2"/>
      <c r="B9052" s="2" t="str">
        <f>IFERROR(__xludf.DUMMYFUNCTION("IF(A9052&lt;&gt;"""", GOOGLETRANSLATE(A9052, ""en"", ""te""),"""")"),"")</f>
        <v/>
      </c>
      <c r="C9052" s="2"/>
      <c r="D9052" s="2" t="str">
        <f>IFERROR(__xludf.DUMMYFUNCTION("IF(C9052&lt;&gt;"""", GOOGLETRANSLATE(C9052, ""en"", ""te""),"""")"),"")</f>
        <v/>
      </c>
      <c r="E9052" s="2"/>
      <c r="F9052" s="2" t="str">
        <f>IFERROR(__xludf.DUMMYFUNCTION("IF(E9052&lt;&gt;"""", GOOGLETRANSLATE(E9052, ""en"", ""te""),"""")"),"")</f>
        <v/>
      </c>
      <c r="G9052" s="2" t="s">
        <v>5182</v>
      </c>
      <c r="H9052" s="2" t="str">
        <f>IFERROR(__xludf.DUMMYFUNCTION("IF(G9052&lt;&gt;"""", GOOGLETRANSLATE(G9052, ""en"", ""te""),"""")"),"[ '32 వ పిన్న కాప్టెన్ (21y 274d)', 'వికెట్ (1) ఉంచింది చేసిన 18 వ కెప్టెన్ల']")</f>
        <v>[ '32 వ పిన్న కాప్టెన్ (21y 274d)', 'వికెట్ (1) ఉంచింది చేసిన 18 వ కెప్టెన్ల']</v>
      </c>
      <c r="I9052" s="3"/>
    </row>
    <row r="9053" customHeight="1" spans="1:9">
      <c r="A9053" s="2"/>
      <c r="B9053" s="2" t="str">
        <f>IFERROR(__xludf.DUMMYFUNCTION("IF(A9053&lt;&gt;"""", GOOGLETRANSLATE(A9053, ""en"", ""te""),"""")"),"")</f>
        <v/>
      </c>
      <c r="C9053" s="2"/>
      <c r="D9053" s="2" t="str">
        <f>IFERROR(__xludf.DUMMYFUNCTION("IF(C9053&lt;&gt;"""", GOOGLETRANSLATE(C9053, ""en"", ""te""),"""")"),"")</f>
        <v/>
      </c>
      <c r="E9053" s="2"/>
      <c r="F9053" s="2" t="str">
        <f>IFERROR(__xludf.DUMMYFUNCTION("IF(E9053&lt;&gt;"""", GOOGLETRANSLATE(E9053, ""en"", ""te""),"""")"),"")</f>
        <v/>
      </c>
      <c r="G9053" s="2" t="s">
        <v>5183</v>
      </c>
      <c r="H9053" s="2" t="str">
        <f>IFERROR(__xludf.DUMMYFUNCTION("IF(G9053&lt;&gt;"""", GOOGLETRANSLATE(G9053, ""en"", ""te""),"""")"),"[ '11 వ కెరీర్ లో బాతులు (15)', 'ఇన్నింగ్స్ లో 22 వ ఉత్తమ ఆర్థిక రేటు (0.50)', 'తొమ్మిదవ వికెట్కు 21 అత్యధిక భాగస్వామ్యం (20 *)']")</f>
        <v>[ '11 వ కెరీర్ లో బాతులు (15)', 'ఇన్నింగ్స్ లో 22 వ ఉత్తమ ఆర్థిక రేటు (0.50)', 'తొమ్మిదవ వికెట్కు 21 అత్యధిక భాగస్వామ్యం (20 *)']</v>
      </c>
      <c r="I9053" s="3"/>
    </row>
    <row r="9054" customHeight="1" spans="1:9">
      <c r="A9054" s="2"/>
      <c r="B9054" s="2" t="str">
        <f>IFERROR(__xludf.DUMMYFUNCTION("IF(A9054&lt;&gt;"""", GOOGLETRANSLATE(A9054, ""en"", ""te""),"""")"),"")</f>
        <v/>
      </c>
      <c r="C9054" s="2"/>
      <c r="D9054" s="2" t="str">
        <f>IFERROR(__xludf.DUMMYFUNCTION("IF(C9054&lt;&gt;"""", GOOGLETRANSLATE(C9054, ""en"", ""te""),"""")"),"")</f>
        <v/>
      </c>
      <c r="E9054" s="2"/>
      <c r="F9054" s="2" t="str">
        <f>IFERROR(__xludf.DUMMYFUNCTION("IF(E9054&lt;&gt;"""", GOOGLETRANSLATE(E9054, ""en"", ""te""),"""")"),"")</f>
        <v/>
      </c>
      <c r="G9054" s="2"/>
      <c r="H9054" s="2" t="str">
        <f>IFERROR(__xludf.DUMMYFUNCTION("IF(G9054&lt;&gt;"""", GOOGLETRANSLATE(G9054, ""en"", ""te""),"""")"),"")</f>
        <v/>
      </c>
      <c r="I9054" s="3"/>
    </row>
    <row r="9055" customHeight="1" spans="1:9">
      <c r="A9055" s="2" t="s">
        <v>5184</v>
      </c>
      <c r="B9055" s="2" t="str">
        <f>IFERROR(__xludf.DUMMYFUNCTION("IF(A9055&lt;&gt;"""", GOOGLETRANSLATE(A9055, ""en"", ""te""),"""")"),"[ '8 వ అత్యుత్తమ ఇన్నింగ్స్ (1/1) విశ్లేషణలలో బౌలింగ్']")</f>
        <v>[ '8 వ అత్యుత్తమ ఇన్నింగ్స్ (1/1) విశ్లేషణలలో బౌలింగ్']</v>
      </c>
      <c r="C9055" s="2"/>
      <c r="D9055" s="2" t="str">
        <f>IFERROR(__xludf.DUMMYFUNCTION("IF(C9055&lt;&gt;"""", GOOGLETRANSLATE(C9055, ""en"", ""te""),"""")"),"")</f>
        <v/>
      </c>
      <c r="E9055" s="2"/>
      <c r="F9055" s="2" t="str">
        <f>IFERROR(__xludf.DUMMYFUNCTION("IF(E9055&lt;&gt;"""", GOOGLETRANSLATE(E9055, ""en"", ""te""),"""")"),"")</f>
        <v/>
      </c>
      <c r="G9055" s="2" t="s">
        <v>5184</v>
      </c>
      <c r="H9055" s="2" t="str">
        <f>IFERROR(__xludf.DUMMYFUNCTION("IF(G9055&lt;&gt;"""", GOOGLETRANSLATE(G9055, ""en"", ""te""),"""")"),"[ '8 వ అత్యుత్తమ ఇన్నింగ్స్ (1/1) విశ్లేషణలలో బౌలింగ్']")</f>
        <v>[ '8 వ అత్యుత్తమ ఇన్నింగ్స్ (1/1) విశ్లేషణలలో బౌలింగ్']</v>
      </c>
      <c r="I9055" s="3"/>
    </row>
    <row r="9056" customHeight="1" spans="1:9">
      <c r="A9056" s="2"/>
      <c r="B9056" s="2" t="str">
        <f>IFERROR(__xludf.DUMMYFUNCTION("IF(A9056&lt;&gt;"""", GOOGLETRANSLATE(A9056, ""en"", ""te""),"""")"),"")</f>
        <v/>
      </c>
      <c r="C9056" s="2"/>
      <c r="D9056" s="2" t="str">
        <f>IFERROR(__xludf.DUMMYFUNCTION("IF(C9056&lt;&gt;"""", GOOGLETRANSLATE(C9056, ""en"", ""te""),"""")"),"")</f>
        <v/>
      </c>
      <c r="E9056" s="2"/>
      <c r="F9056" s="2" t="str">
        <f>IFERROR(__xludf.DUMMYFUNCTION("IF(E9056&lt;&gt;"""", GOOGLETRANSLATE(E9056, ""en"", ""te""),"""")"),"")</f>
        <v/>
      </c>
      <c r="G9056" s="2"/>
      <c r="H9056" s="2" t="str">
        <f>IFERROR(__xludf.DUMMYFUNCTION("IF(G9056&lt;&gt;"""", GOOGLETRANSLATE(G9056, ""en"", ""te""),"""")"),"")</f>
        <v/>
      </c>
      <c r="I9056" s="3"/>
    </row>
    <row r="9057" customHeight="1" spans="1:9">
      <c r="A9057" s="2"/>
      <c r="B9057" s="2" t="str">
        <f>IFERROR(__xludf.DUMMYFUNCTION("IF(A9057&lt;&gt;"""", GOOGLETRANSLATE(A9057, ""en"", ""te""),"""")"),"")</f>
        <v/>
      </c>
      <c r="C9057" s="2"/>
      <c r="D9057" s="2" t="str">
        <f>IFERROR(__xludf.DUMMYFUNCTION("IF(C9057&lt;&gt;"""", GOOGLETRANSLATE(C9057, ""en"", ""te""),"""")"),"")</f>
        <v/>
      </c>
      <c r="E9057" s="2"/>
      <c r="F9057" s="2" t="str">
        <f>IFERROR(__xludf.DUMMYFUNCTION("IF(E9057&lt;&gt;"""", GOOGLETRANSLATE(E9057, ""en"", ""te""),"""")"),"")</f>
        <v/>
      </c>
      <c r="G9057" s="2"/>
      <c r="H9057" s="2" t="str">
        <f>IFERROR(__xludf.DUMMYFUNCTION("IF(G9057&lt;&gt;"""", GOOGLETRANSLATE(G9057, ""en"", ""te""),"""")"),"")</f>
        <v/>
      </c>
      <c r="I9057" s="3"/>
    </row>
    <row r="9058" customHeight="1" spans="1:9">
      <c r="A9058" s="2"/>
      <c r="B9058" s="2" t="str">
        <f>IFERROR(__xludf.DUMMYFUNCTION("IF(A9058&lt;&gt;"""", GOOGLETRANSLATE(A9058, ""en"", ""te""),"""")"),"")</f>
        <v/>
      </c>
      <c r="C9058" s="2"/>
      <c r="D9058" s="2" t="str">
        <f>IFERROR(__xludf.DUMMYFUNCTION("IF(C9058&lt;&gt;"""", GOOGLETRANSLATE(C9058, ""en"", ""te""),"""")"),"")</f>
        <v/>
      </c>
      <c r="E9058" s="2"/>
      <c r="F9058" s="2" t="str">
        <f>IFERROR(__xludf.DUMMYFUNCTION("IF(E9058&lt;&gt;"""", GOOGLETRANSLATE(E9058, ""en"", ""te""),"""")"),"")</f>
        <v/>
      </c>
      <c r="G9058" s="2" t="s">
        <v>5185</v>
      </c>
      <c r="H9058" s="2" t="str">
        <f>IFERROR(__xludf.DUMMYFUNCTION("IF(G9058&lt;&gt;"""", GOOGLETRANSLATE(G9058, ""en"", ""te""),"""")"),"[ '26 పిన్న కాప్టెన్ (24y 146d)', 'వికెట్ను కాపాడుకున్నాడు చేసిన 24 కెప్టెన్ల (3)', 'వికెట్ను కాపాడుకున్నాడు మరియు బ్యాటింగ్ (3) తెరిచిన చేసిన 11 వ కెప్టెన్ల']")</f>
        <v>[ '26 పిన్న కాప్టెన్ (24y 146d)', 'వికెట్ను కాపాడుకున్నాడు చేసిన 24 కెప్టెన్ల (3)', 'వికెట్ను కాపాడుకున్నాడు మరియు బ్యాటింగ్ (3) తెరిచిన చేసిన 11 వ కెప్టెన్ల']</v>
      </c>
      <c r="I9058" s="3"/>
    </row>
    <row r="9059" customHeight="1" spans="1:9">
      <c r="A9059" s="2"/>
      <c r="B9059" s="2" t="str">
        <f>IFERROR(__xludf.DUMMYFUNCTION("IF(A9059&lt;&gt;"""", GOOGLETRANSLATE(A9059, ""en"", ""te""),"""")"),"")</f>
        <v/>
      </c>
      <c r="C9059" s="2"/>
      <c r="D9059" s="2" t="str">
        <f>IFERROR(__xludf.DUMMYFUNCTION("IF(C9059&lt;&gt;"""", GOOGLETRANSLATE(C9059, ""en"", ""te""),"""")"),"")</f>
        <v/>
      </c>
      <c r="E9059" s="2"/>
      <c r="F9059" s="2" t="str">
        <f>IFERROR(__xludf.DUMMYFUNCTION("IF(E9059&lt;&gt;"""", GOOGLETRANSLATE(E9059, ""en"", ""te""),"""")"),"")</f>
        <v/>
      </c>
      <c r="G9059" s="2"/>
      <c r="H9059" s="2" t="str">
        <f>IFERROR(__xludf.DUMMYFUNCTION("IF(G9059&lt;&gt;"""", GOOGLETRANSLATE(G9059, ""en"", ""te""),"""")"),"")</f>
        <v/>
      </c>
      <c r="I9059" s="3"/>
    </row>
    <row r="9060" customHeight="1" spans="1:9">
      <c r="A9060" s="2"/>
      <c r="B9060" s="2" t="str">
        <f>IFERROR(__xludf.DUMMYFUNCTION("IF(A9060&lt;&gt;"""", GOOGLETRANSLATE(A9060, ""en"", ""te""),"""")"),"")</f>
        <v/>
      </c>
      <c r="C9060" s="2"/>
      <c r="D9060" s="2" t="str">
        <f>IFERROR(__xludf.DUMMYFUNCTION("IF(C9060&lt;&gt;"""", GOOGLETRANSLATE(C9060, ""en"", ""te""),"""")"),"")</f>
        <v/>
      </c>
      <c r="E9060" s="2"/>
      <c r="F9060" s="2" t="str">
        <f>IFERROR(__xludf.DUMMYFUNCTION("IF(E9060&lt;&gt;"""", GOOGLETRANSLATE(E9060, ""en"", ""te""),"""")"),"")</f>
        <v/>
      </c>
      <c r="G9060" s="2"/>
      <c r="H9060" s="2" t="str">
        <f>IFERROR(__xludf.DUMMYFUNCTION("IF(G9060&lt;&gt;"""", GOOGLETRANSLATE(G9060, ""en"", ""te""),"""")"),"")</f>
        <v/>
      </c>
      <c r="I9060" s="3"/>
    </row>
    <row r="9061" customHeight="1" spans="1:9">
      <c r="A9061" s="2"/>
      <c r="B9061" s="2" t="str">
        <f>IFERROR(__xludf.DUMMYFUNCTION("IF(A9061&lt;&gt;"""", GOOGLETRANSLATE(A9061, ""en"", ""te""),"""")"),"")</f>
        <v/>
      </c>
      <c r="C9061" s="2"/>
      <c r="D9061" s="2" t="str">
        <f>IFERROR(__xludf.DUMMYFUNCTION("IF(C9061&lt;&gt;"""", GOOGLETRANSLATE(C9061, ""en"", ""te""),"""")"),"")</f>
        <v/>
      </c>
      <c r="E9061" s="2"/>
      <c r="F9061" s="2" t="str">
        <f>IFERROR(__xludf.DUMMYFUNCTION("IF(E9061&lt;&gt;"""", GOOGLETRANSLATE(E9061, ""en"", ""te""),"""")"),"")</f>
        <v/>
      </c>
      <c r="G9061" s="2"/>
      <c r="H9061" s="2" t="str">
        <f>IFERROR(__xludf.DUMMYFUNCTION("IF(G9061&lt;&gt;"""", GOOGLETRANSLATE(G9061, ""en"", ""te""),"""")"),"")</f>
        <v/>
      </c>
      <c r="I9061" s="3"/>
    </row>
    <row r="9062" customHeight="1" spans="1:9">
      <c r="A9062" s="2"/>
      <c r="B9062" s="2" t="str">
        <f>IFERROR(__xludf.DUMMYFUNCTION("IF(A9062&lt;&gt;"""", GOOGLETRANSLATE(A9062, ""en"", ""te""),"""")"),"")</f>
        <v/>
      </c>
      <c r="C9062" s="2"/>
      <c r="D9062" s="2" t="str">
        <f>IFERROR(__xludf.DUMMYFUNCTION("IF(C9062&lt;&gt;"""", GOOGLETRANSLATE(C9062, ""en"", ""te""),"""")"),"")</f>
        <v/>
      </c>
      <c r="E9062" s="2"/>
      <c r="F9062" s="2" t="str">
        <f>IFERROR(__xludf.DUMMYFUNCTION("IF(E9062&lt;&gt;"""", GOOGLETRANSLATE(E9062, ""en"", ""te""),"""")"),"")</f>
        <v/>
      </c>
      <c r="G9062" s="2"/>
      <c r="H9062" s="2" t="str">
        <f>IFERROR(__xludf.DUMMYFUNCTION("IF(G9062&lt;&gt;"""", GOOGLETRANSLATE(G9062, ""en"", ""te""),"""")"),"")</f>
        <v/>
      </c>
      <c r="I9062" s="3"/>
    </row>
    <row r="9063" customHeight="1" spans="1:9">
      <c r="A9063" s="2"/>
      <c r="B9063" s="2" t="str">
        <f>IFERROR(__xludf.DUMMYFUNCTION("IF(A9063&lt;&gt;"""", GOOGLETRANSLATE(A9063, ""en"", ""te""),"""")"),"")</f>
        <v/>
      </c>
      <c r="C9063" s="2"/>
      <c r="D9063" s="2" t="str">
        <f>IFERROR(__xludf.DUMMYFUNCTION("IF(C9063&lt;&gt;"""", GOOGLETRANSLATE(C9063, ""en"", ""te""),"""")"),"")</f>
        <v/>
      </c>
      <c r="E9063" s="2"/>
      <c r="F9063" s="2" t="str">
        <f>IFERROR(__xludf.DUMMYFUNCTION("IF(E9063&lt;&gt;"""", GOOGLETRANSLATE(E9063, ""en"", ""te""),"""")"),"")</f>
        <v/>
      </c>
      <c r="G9063" s="2"/>
      <c r="H9063" s="2" t="str">
        <f>IFERROR(__xludf.DUMMYFUNCTION("IF(G9063&lt;&gt;"""", GOOGLETRANSLATE(G9063, ""en"", ""te""),"""")"),"")</f>
        <v/>
      </c>
      <c r="I9063" s="3"/>
    </row>
    <row r="9064" customHeight="1" spans="1:9">
      <c r="A9064" s="2"/>
      <c r="B9064" s="2" t="str">
        <f>IFERROR(__xludf.DUMMYFUNCTION("IF(A9064&lt;&gt;"""", GOOGLETRANSLATE(A9064, ""en"", ""te""),"""")"),"")</f>
        <v/>
      </c>
      <c r="C9064" s="2"/>
      <c r="D9064" s="2" t="str">
        <f>IFERROR(__xludf.DUMMYFUNCTION("IF(C9064&lt;&gt;"""", GOOGLETRANSLATE(C9064, ""en"", ""te""),"""")"),"")</f>
        <v/>
      </c>
      <c r="E9064" s="2"/>
      <c r="F9064" s="2" t="str">
        <f>IFERROR(__xludf.DUMMYFUNCTION("IF(E9064&lt;&gt;"""", GOOGLETRANSLATE(E9064, ""en"", ""te""),"""")"),"")</f>
        <v/>
      </c>
      <c r="G9064" s="2"/>
      <c r="H9064" s="2" t="str">
        <f>IFERROR(__xludf.DUMMYFUNCTION("IF(G9064&lt;&gt;"""", GOOGLETRANSLATE(G9064, ""en"", ""te""),"""")"),"")</f>
        <v/>
      </c>
      <c r="I9064" s="3"/>
    </row>
    <row r="9065" customHeight="1" spans="1:9">
      <c r="A9065" s="2"/>
      <c r="B9065" s="2" t="str">
        <f>IFERROR(__xludf.DUMMYFUNCTION("IF(A9065&lt;&gt;"""", GOOGLETRANSLATE(A9065, ""en"", ""te""),"""")"),"")</f>
        <v/>
      </c>
      <c r="C9065" s="2"/>
      <c r="D9065" s="2" t="str">
        <f>IFERROR(__xludf.DUMMYFUNCTION("IF(C9065&lt;&gt;"""", GOOGLETRANSLATE(C9065, ""en"", ""te""),"""")"),"")</f>
        <v/>
      </c>
      <c r="E9065" s="2"/>
      <c r="F9065" s="2" t="str">
        <f>IFERROR(__xludf.DUMMYFUNCTION("IF(E9065&lt;&gt;"""", GOOGLETRANSLATE(E9065, ""en"", ""te""),"""")"),"")</f>
        <v/>
      </c>
      <c r="G9065" s="2"/>
      <c r="H9065" s="2" t="str">
        <f>IFERROR(__xludf.DUMMYFUNCTION("IF(G9065&lt;&gt;"""", GOOGLETRANSLATE(G9065, ""en"", ""te""),"""")"),"")</f>
        <v/>
      </c>
      <c r="I9065" s="3"/>
    </row>
    <row r="9066" customHeight="1" spans="1:9">
      <c r="A9066" s="2"/>
      <c r="B9066" s="2" t="str">
        <f>IFERROR(__xludf.DUMMYFUNCTION("IF(A9066&lt;&gt;"""", GOOGLETRANSLATE(A9066, ""en"", ""te""),"""")"),"")</f>
        <v/>
      </c>
      <c r="C9066" s="2"/>
      <c r="D9066" s="2" t="str">
        <f>IFERROR(__xludf.DUMMYFUNCTION("IF(C9066&lt;&gt;"""", GOOGLETRANSLATE(C9066, ""en"", ""te""),"""")"),"")</f>
        <v/>
      </c>
      <c r="E9066" s="2"/>
      <c r="F9066" s="2" t="str">
        <f>IFERROR(__xludf.DUMMYFUNCTION("IF(E9066&lt;&gt;"""", GOOGLETRANSLATE(E9066, ""en"", ""te""),"""")"),"")</f>
        <v/>
      </c>
      <c r="G9066" s="2"/>
      <c r="H9066" s="2" t="str">
        <f>IFERROR(__xludf.DUMMYFUNCTION("IF(G9066&lt;&gt;"""", GOOGLETRANSLATE(G9066, ""en"", ""te""),"""")"),"")</f>
        <v/>
      </c>
      <c r="I9066" s="3"/>
    </row>
    <row r="9067" customHeight="1" spans="1:9">
      <c r="A9067" s="2"/>
      <c r="B9067" s="2" t="str">
        <f>IFERROR(__xludf.DUMMYFUNCTION("IF(A9067&lt;&gt;"""", GOOGLETRANSLATE(A9067, ""en"", ""te""),"""")"),"")</f>
        <v/>
      </c>
      <c r="C9067" s="2"/>
      <c r="D9067" s="2" t="str">
        <f>IFERROR(__xludf.DUMMYFUNCTION("IF(C9067&lt;&gt;"""", GOOGLETRANSLATE(C9067, ""en"", ""te""),"""")"),"")</f>
        <v/>
      </c>
      <c r="E9067" s="2"/>
      <c r="F9067" s="2" t="str">
        <f>IFERROR(__xludf.DUMMYFUNCTION("IF(E9067&lt;&gt;"""", GOOGLETRANSLATE(E9067, ""en"", ""te""),"""")"),"")</f>
        <v/>
      </c>
      <c r="G9067" s="2"/>
      <c r="H9067" s="2" t="str">
        <f>IFERROR(__xludf.DUMMYFUNCTION("IF(G9067&lt;&gt;"""", GOOGLETRANSLATE(G9067, ""en"", ""te""),"""")"),"")</f>
        <v/>
      </c>
      <c r="I9067" s="3"/>
    </row>
    <row r="9068" customHeight="1" spans="1:9">
      <c r="A9068" s="2"/>
      <c r="B9068" s="2" t="str">
        <f>IFERROR(__xludf.DUMMYFUNCTION("IF(A9068&lt;&gt;"""", GOOGLETRANSLATE(A9068, ""en"", ""te""),"""")"),"")</f>
        <v/>
      </c>
      <c r="C9068" s="2"/>
      <c r="D9068" s="2" t="str">
        <f>IFERROR(__xludf.DUMMYFUNCTION("IF(C9068&lt;&gt;"""", GOOGLETRANSLATE(C9068, ""en"", ""te""),"""")"),"")</f>
        <v/>
      </c>
      <c r="E9068" s="2"/>
      <c r="F9068" s="2" t="str">
        <f>IFERROR(__xludf.DUMMYFUNCTION("IF(E9068&lt;&gt;"""", GOOGLETRANSLATE(E9068, ""en"", ""te""),"""")"),"")</f>
        <v/>
      </c>
      <c r="G9068" s="2"/>
      <c r="H9068" s="2" t="str">
        <f>IFERROR(__xludf.DUMMYFUNCTION("IF(G9068&lt;&gt;"""", GOOGLETRANSLATE(G9068, ""en"", ""te""),"""")"),"")</f>
        <v/>
      </c>
      <c r="I9068" s="3"/>
    </row>
    <row r="9069" customHeight="1" spans="1:9">
      <c r="A9069" s="2" t="s">
        <v>814</v>
      </c>
      <c r="B9069" s="2" t="str">
        <f>IFERROR(__xludf.DUMMYFUNCTION("IF(A9069&lt;&gt;"""", GOOGLETRANSLATE(A9069, ""en"", ""te""),"""")"),"[ 'ఒక ఇన్నింగ్స్ లో 8 వ బెస్ట్ ఫిగర్స్ ఉన్నప్పుడు పరాజయం వైపు (4)']")</f>
        <v>[ 'ఒక ఇన్నింగ్స్ లో 8 వ బెస్ట్ ఫిగర్స్ ఉన్నప్పుడు పరాజయం వైపు (4)']</v>
      </c>
      <c r="C9069" s="2"/>
      <c r="D9069" s="2" t="str">
        <f>IFERROR(__xludf.DUMMYFUNCTION("IF(C9069&lt;&gt;"""", GOOGLETRANSLATE(C9069, ""en"", ""te""),"""")"),"")</f>
        <v/>
      </c>
      <c r="E9069" s="2"/>
      <c r="F9069" s="2" t="str">
        <f>IFERROR(__xludf.DUMMYFUNCTION("IF(E9069&lt;&gt;"""", GOOGLETRANSLATE(E9069, ""en"", ""te""),"""")"),"")</f>
        <v/>
      </c>
      <c r="G9069" s="2" t="s">
        <v>814</v>
      </c>
      <c r="H9069" s="2" t="str">
        <f>IFERROR(__xludf.DUMMYFUNCTION("IF(G9069&lt;&gt;"""", GOOGLETRANSLATE(G9069, ""en"", ""te""),"""")"),"[ 'ఒక ఇన్నింగ్స్ లో 8 వ బెస్ట్ ఫిగర్స్ ఉన్నప్పుడు పరాజయం వైపు (4)']")</f>
        <v>[ 'ఒక ఇన్నింగ్స్ లో 8 వ బెస్ట్ ఫిగర్స్ ఉన్నప్పుడు పరాజయం వైపు (4)']</v>
      </c>
      <c r="I9069" s="3"/>
    </row>
    <row r="9070" customHeight="1" spans="1:9">
      <c r="A9070" s="2"/>
      <c r="B9070" s="2" t="str">
        <f>IFERROR(__xludf.DUMMYFUNCTION("IF(A9070&lt;&gt;"""", GOOGLETRANSLATE(A9070, ""en"", ""te""),"""")"),"")</f>
        <v/>
      </c>
      <c r="C9070" s="2"/>
      <c r="D9070" s="2" t="str">
        <f>IFERROR(__xludf.DUMMYFUNCTION("IF(C9070&lt;&gt;"""", GOOGLETRANSLATE(C9070, ""en"", ""te""),"""")"),"")</f>
        <v/>
      </c>
      <c r="E9070" s="2"/>
      <c r="F9070" s="2" t="str">
        <f>IFERROR(__xludf.DUMMYFUNCTION("IF(E9070&lt;&gt;"""", GOOGLETRANSLATE(E9070, ""en"", ""te""),"""")"),"")</f>
        <v/>
      </c>
      <c r="G9070" s="2"/>
      <c r="H9070" s="2" t="str">
        <f>IFERROR(__xludf.DUMMYFUNCTION("IF(G9070&lt;&gt;"""", GOOGLETRANSLATE(G9070, ""en"", ""te""),"""")"),"")</f>
        <v/>
      </c>
      <c r="I9070" s="3"/>
    </row>
    <row r="9071" customHeight="1" spans="1:9">
      <c r="A9071" s="2"/>
      <c r="B9071" s="2" t="str">
        <f>IFERROR(__xludf.DUMMYFUNCTION("IF(A9071&lt;&gt;"""", GOOGLETRANSLATE(A9071, ""en"", ""te""),"""")"),"")</f>
        <v/>
      </c>
      <c r="C9071" s="2"/>
      <c r="D9071" s="2" t="str">
        <f>IFERROR(__xludf.DUMMYFUNCTION("IF(C9071&lt;&gt;"""", GOOGLETRANSLATE(C9071, ""en"", ""te""),"""")"),"")</f>
        <v/>
      </c>
      <c r="E9071" s="2"/>
      <c r="F9071" s="2" t="str">
        <f>IFERROR(__xludf.DUMMYFUNCTION("IF(E9071&lt;&gt;"""", GOOGLETRANSLATE(E9071, ""en"", ""te""),"""")"),"")</f>
        <v/>
      </c>
      <c r="G9071" s="2"/>
      <c r="H9071" s="2" t="str">
        <f>IFERROR(__xludf.DUMMYFUNCTION("IF(G9071&lt;&gt;"""", GOOGLETRANSLATE(G9071, ""en"", ""te""),"""")"),"")</f>
        <v/>
      </c>
      <c r="I9071" s="3"/>
    </row>
    <row r="9072" customHeight="1" spans="1:9">
      <c r="A9072" s="2"/>
      <c r="B9072" s="2" t="str">
        <f>IFERROR(__xludf.DUMMYFUNCTION("IF(A9072&lt;&gt;"""", GOOGLETRANSLATE(A9072, ""en"", ""te""),"""")"),"")</f>
        <v/>
      </c>
      <c r="C9072" s="2"/>
      <c r="D9072" s="2" t="str">
        <f>IFERROR(__xludf.DUMMYFUNCTION("IF(C9072&lt;&gt;"""", GOOGLETRANSLATE(C9072, ""en"", ""te""),"""")"),"")</f>
        <v/>
      </c>
      <c r="E9072" s="2"/>
      <c r="F9072" s="2" t="str">
        <f>IFERROR(__xludf.DUMMYFUNCTION("IF(E9072&lt;&gt;"""", GOOGLETRANSLATE(E9072, ""en"", ""te""),"""")"),"")</f>
        <v/>
      </c>
      <c r="G9072" s="2"/>
      <c r="H9072" s="2" t="str">
        <f>IFERROR(__xludf.DUMMYFUNCTION("IF(G9072&lt;&gt;"""", GOOGLETRANSLATE(G9072, ""en"", ""te""),"""")"),"")</f>
        <v/>
      </c>
      <c r="I9072" s="3"/>
    </row>
    <row r="9073" customHeight="1" spans="1:9">
      <c r="A9073" s="2"/>
      <c r="B9073" s="2" t="str">
        <f>IFERROR(__xludf.DUMMYFUNCTION("IF(A9073&lt;&gt;"""", GOOGLETRANSLATE(A9073, ""en"", ""te""),"""")"),"")</f>
        <v/>
      </c>
      <c r="C9073" s="2"/>
      <c r="D9073" s="2" t="str">
        <f>IFERROR(__xludf.DUMMYFUNCTION("IF(C9073&lt;&gt;"""", GOOGLETRANSLATE(C9073, ""en"", ""te""),"""")"),"")</f>
        <v/>
      </c>
      <c r="E9073" s="2"/>
      <c r="F9073" s="2" t="str">
        <f>IFERROR(__xludf.DUMMYFUNCTION("IF(E9073&lt;&gt;"""", GOOGLETRANSLATE(E9073, ""en"", ""te""),"""")"),"")</f>
        <v/>
      </c>
      <c r="G9073" s="2"/>
      <c r="H9073" s="2" t="str">
        <f>IFERROR(__xludf.DUMMYFUNCTION("IF(G9073&lt;&gt;"""", GOOGLETRANSLATE(G9073, ""en"", ""te""),"""")"),"")</f>
        <v/>
      </c>
      <c r="I9073" s="3"/>
    </row>
    <row r="9074" customHeight="1" spans="1:9">
      <c r="A9074" s="2"/>
      <c r="B9074" s="2" t="str">
        <f>IFERROR(__xludf.DUMMYFUNCTION("IF(A9074&lt;&gt;"""", GOOGLETRANSLATE(A9074, ""en"", ""te""),"""")"),"")</f>
        <v/>
      </c>
      <c r="C9074" s="2"/>
      <c r="D9074" s="2" t="str">
        <f>IFERROR(__xludf.DUMMYFUNCTION("IF(C9074&lt;&gt;"""", GOOGLETRANSLATE(C9074, ""en"", ""te""),"""")"),"")</f>
        <v/>
      </c>
      <c r="E9074" s="2"/>
      <c r="F9074" s="2" t="str">
        <f>IFERROR(__xludf.DUMMYFUNCTION("IF(E9074&lt;&gt;"""", GOOGLETRANSLATE(E9074, ""en"", ""te""),"""")"),"")</f>
        <v/>
      </c>
      <c r="G9074" s="2" t="s">
        <v>5186</v>
      </c>
      <c r="H9074" s="2" t="str">
        <f>IFERROR(__xludf.DUMMYFUNCTION("IF(G9074&lt;&gt;"""", GOOGLETRANSLATE(G9074, ""en"", ""te""),"""")"),"[ '28 ఇన్నింగ్స్ లో అత్యధిక పరుగులు (బ్యాటింగ్ స్థానంలో ప్రకారం) (33)']")</f>
        <v>[ '28 ఇన్నింగ్స్ లో అత్యధిక పరుగులు (బ్యాటింగ్ స్థానంలో ప్రకారం) (33)']</v>
      </c>
      <c r="I9074" s="3"/>
    </row>
    <row r="9075" customHeight="1" spans="1:9">
      <c r="A9075" s="2"/>
      <c r="B9075" s="2" t="str">
        <f>IFERROR(__xludf.DUMMYFUNCTION("IF(A9075&lt;&gt;"""", GOOGLETRANSLATE(A9075, ""en"", ""te""),"""")"),"")</f>
        <v/>
      </c>
      <c r="C9075" s="2"/>
      <c r="D9075" s="2" t="str">
        <f>IFERROR(__xludf.DUMMYFUNCTION("IF(C9075&lt;&gt;"""", GOOGLETRANSLATE(C9075, ""en"", ""te""),"""")"),"")</f>
        <v/>
      </c>
      <c r="E9075" s="2"/>
      <c r="F9075" s="2" t="str">
        <f>IFERROR(__xludf.DUMMYFUNCTION("IF(E9075&lt;&gt;"""", GOOGLETRANSLATE(E9075, ""en"", ""te""),"""")"),"")</f>
        <v/>
      </c>
      <c r="G9075" s="2" t="s">
        <v>5187</v>
      </c>
      <c r="H9075" s="2" t="str">
        <f>IFERROR(__xludf.DUMMYFUNCTION("IF(G9075&lt;&gt;"""", GOOGLETRANSLATE(G9075, ""en"", ""te""),"""")"),"[18 వ అత్యుత్తమ ఇన్నింగ్స్ లో విశ్లేషణలు బౌలింగ్ (4/7) ',' 18 వ ఉత్తమ కెరీర్ బౌలింగ్ సరాసరి (అర్హత లేకుండా) (5.14) ',' ఇన్నింగ్స్ లో 12 వ అత్యంత పనికత్తెలయొద్ద (2) ']")</f>
        <v>[18 వ అత్యుత్తమ ఇన్నింగ్స్ లో విశ్లేషణలు బౌలింగ్ (4/7) ',' 18 వ ఉత్తమ కెరీర్ బౌలింగ్ సరాసరి (అర్హత లేకుండా) (5.14) ',' ఇన్నింగ్స్ లో 12 వ అత్యంత పనికత్తెలయొద్ద (2) ']</v>
      </c>
      <c r="I9075" s="3"/>
    </row>
    <row r="9076" customHeight="1" spans="1:9">
      <c r="A9076" s="2"/>
      <c r="B9076" s="2" t="str">
        <f>IFERROR(__xludf.DUMMYFUNCTION("IF(A9076&lt;&gt;"""", GOOGLETRANSLATE(A9076, ""en"", ""te""),"""")"),"")</f>
        <v/>
      </c>
      <c r="C9076" s="2"/>
      <c r="D9076" s="2" t="str">
        <f>IFERROR(__xludf.DUMMYFUNCTION("IF(C9076&lt;&gt;"""", GOOGLETRANSLATE(C9076, ""en"", ""te""),"""")"),"")</f>
        <v/>
      </c>
      <c r="E9076" s="2"/>
      <c r="F9076" s="2" t="str">
        <f>IFERROR(__xludf.DUMMYFUNCTION("IF(E9076&lt;&gt;"""", GOOGLETRANSLATE(E9076, ""en"", ""te""),"""")"),"")</f>
        <v/>
      </c>
      <c r="G9076" s="2" t="s">
        <v>5188</v>
      </c>
      <c r="H9076" s="2" t="str">
        <f>IFERROR(__xludf.DUMMYFUNCTION("IF(G9076&lt;&gt;"""", GOOGLETRANSLATE(G9076, ""en"", ""te""),"""")"),"[ '17 వ లాంగెస్ట్ వ్యక్తిగత ఇన్నింగ్స్ (బంతులతో) (65)']")</f>
        <v>[ '17 వ లాంగెస్ట్ వ్యక్తిగత ఇన్నింగ్స్ (బంతులతో) (65)']</v>
      </c>
      <c r="I9076" s="3"/>
    </row>
    <row r="9077" customHeight="1" spans="1:9">
      <c r="A9077" s="2"/>
      <c r="B9077" s="2" t="str">
        <f>IFERROR(__xludf.DUMMYFUNCTION("IF(A9077&lt;&gt;"""", GOOGLETRANSLATE(A9077, ""en"", ""te""),"""")"),"")</f>
        <v/>
      </c>
      <c r="C9077" s="2"/>
      <c r="D9077" s="2" t="str">
        <f>IFERROR(__xludf.DUMMYFUNCTION("IF(C9077&lt;&gt;"""", GOOGLETRANSLATE(C9077, ""en"", ""te""),"""")"),"")</f>
        <v/>
      </c>
      <c r="E9077" s="2"/>
      <c r="F9077" s="2" t="str">
        <f>IFERROR(__xludf.DUMMYFUNCTION("IF(E9077&lt;&gt;"""", GOOGLETRANSLATE(E9077, ""en"", ""te""),"""")"),"")</f>
        <v/>
      </c>
      <c r="G9077" s="2"/>
      <c r="H9077" s="2" t="str">
        <f>IFERROR(__xludf.DUMMYFUNCTION("IF(G9077&lt;&gt;"""", GOOGLETRANSLATE(G9077, ""en"", ""te""),"""")"),"")</f>
        <v/>
      </c>
      <c r="I9077" s="3"/>
    </row>
    <row r="9078" customHeight="1" spans="1:9">
      <c r="A9078" s="2"/>
      <c r="B9078" s="2" t="str">
        <f>IFERROR(__xludf.DUMMYFUNCTION("IF(A9078&lt;&gt;"""", GOOGLETRANSLATE(A9078, ""en"", ""te""),"""")"),"")</f>
        <v/>
      </c>
      <c r="C9078" s="2"/>
      <c r="D9078" s="2" t="str">
        <f>IFERROR(__xludf.DUMMYFUNCTION("IF(C9078&lt;&gt;"""", GOOGLETRANSLATE(C9078, ""en"", ""te""),"""")"),"")</f>
        <v/>
      </c>
      <c r="E9078" s="2"/>
      <c r="F9078" s="2" t="str">
        <f>IFERROR(__xludf.DUMMYFUNCTION("IF(E9078&lt;&gt;"""", GOOGLETRANSLATE(E9078, ""en"", ""te""),"""")"),"")</f>
        <v/>
      </c>
      <c r="G9078" s="2"/>
      <c r="H9078" s="2" t="str">
        <f>IFERROR(__xludf.DUMMYFUNCTION("IF(G9078&lt;&gt;"""", GOOGLETRANSLATE(G9078, ""en"", ""te""),"""")"),"")</f>
        <v/>
      </c>
      <c r="I9078" s="3"/>
    </row>
    <row r="9079" customHeight="1" spans="1:9">
      <c r="A9079" s="2" t="s">
        <v>5189</v>
      </c>
      <c r="B9079" s="2" t="str">
        <f>IFERROR(__xludf.DUMMYFUNCTION("IF(A9079&lt;&gt;"""", GOOGLETRANSLATE(A9079, ""en"", ""te""),"""")"),"[ '10 వ ఒకే మైదానంలో అత్యధిక పరుగులు (239)', 'వరుస ఇన్నింగ్స్లో 3 వ యాభైల్లో (3)']")</f>
        <v>[ '10 వ ఒకే మైదానంలో అత్యధిక పరుగులు (239)', 'వరుస ఇన్నింగ్స్లో 3 వ యాభైల్లో (3)']</v>
      </c>
      <c r="C9079" s="2"/>
      <c r="D9079" s="2" t="str">
        <f>IFERROR(__xludf.DUMMYFUNCTION("IF(C9079&lt;&gt;"""", GOOGLETRANSLATE(C9079, ""en"", ""te""),"""")"),"")</f>
        <v/>
      </c>
      <c r="E9079" s="2"/>
      <c r="F9079" s="2" t="str">
        <f>IFERROR(__xludf.DUMMYFUNCTION("IF(E9079&lt;&gt;"""", GOOGLETRANSLATE(E9079, ""en"", ""te""),"""")"),"")</f>
        <v/>
      </c>
      <c r="G9079" s="2" t="s">
        <v>5190</v>
      </c>
      <c r="H9079" s="2" t="str">
        <f>IFERROR(__xludf.DUMMYFUNCTION("IF(G9079&lt;&gt;"""", GOOGLETRANSLATE(G9079, ""en"", ""te""),"""")"),"[ '26 ఇన్నింగ్స్ (101 *) లో అత్యధిక పరుగులు' 'ఒక క్యాలెండర్ సంవత్సరంలో 49 వ అత్యధిక పరుగులు (348)', '17 వ ఇన్నింగ్స్ లో అత్యధిక పరుగులు (బ్యాటింగ్ స్థానంలో ప్రకారం) (101 *)', '10 వ అత్యంత పరుగులు ఒకే క్రీడా (239) ',' 26th కెరీర్ అర్ధ (4) ',' ఒక కెప్టెన్ ("&amp;"3) ',' 41 వ ఉత్తమ ఆర్థిక రేటు వరుస ఇన్నింగ్స్లో 3 వ యాభైల్లో (3) ', '21 వ ఒక ఇన్నింగ్స్ లోని బెస్ట్ ఫిగర్స్ ఒక ఇన్నింగ్స్ లో (0.66) ',' 41 వ కెరీర్ (5) అత్యంత పనికత్తెలయొద్ద ']")</f>
        <v>[ '26 ఇన్నింగ్స్ (101 *) లో అత్యధిక పరుగులు' 'ఒక క్యాలెండర్ సంవత్సరంలో 49 వ అత్యధిక పరుగులు (348)', '17 వ ఇన్నింగ్స్ లో అత్యధిక పరుగులు (బ్యాటింగ్ స్థానంలో ప్రకారం) (101 *)', '10 వ అత్యంత పరుగులు ఒకే క్రీడా (239) ',' 26th కెరీర్ అర్ధ (4) ',' ఒక కెప్టెన్ (3) ',' 41 వ ఉత్తమ ఆర్థిక రేటు వరుస ఇన్నింగ్స్లో 3 వ యాభైల్లో (3) ', '21 వ ఒక ఇన్నింగ్స్ లోని బెస్ట్ ఫిగర్స్ ఒక ఇన్నింగ్స్ లో (0.66) ',' 41 వ కెరీర్ (5) అత్యంత పనికత్తెలయొద్ద ']</v>
      </c>
      <c r="I9079" s="3"/>
    </row>
    <row r="9080" customHeight="1" spans="1:9">
      <c r="A9080" s="2"/>
      <c r="B9080" s="2" t="str">
        <f>IFERROR(__xludf.DUMMYFUNCTION("IF(A9080&lt;&gt;"""", GOOGLETRANSLATE(A9080, ""en"", ""te""),"""")"),"")</f>
        <v/>
      </c>
      <c r="C9080" s="2"/>
      <c r="D9080" s="2" t="str">
        <f>IFERROR(__xludf.DUMMYFUNCTION("IF(C9080&lt;&gt;"""", GOOGLETRANSLATE(C9080, ""en"", ""te""),"""")"),"")</f>
        <v/>
      </c>
      <c r="E9080" s="2"/>
      <c r="F9080" s="2" t="str">
        <f>IFERROR(__xludf.DUMMYFUNCTION("IF(E9080&lt;&gt;"""", GOOGLETRANSLATE(E9080, ""en"", ""te""),"""")"),"")</f>
        <v/>
      </c>
      <c r="G9080" s="2"/>
      <c r="H9080" s="2" t="str">
        <f>IFERROR(__xludf.DUMMYFUNCTION("IF(G9080&lt;&gt;"""", GOOGLETRANSLATE(G9080, ""en"", ""te""),"""")"),"")</f>
        <v/>
      </c>
      <c r="I9080" s="3"/>
    </row>
    <row r="9081" customHeight="1" spans="1:9">
      <c r="A9081" s="2" t="s">
        <v>153</v>
      </c>
      <c r="B9081" s="2" t="str">
        <f>IFERROR(__xludf.DUMMYFUNCTION("IF(A9081&lt;&gt;"""", GOOGLETRANSLATE(A9081, ""en"", ""te""),"""")"),"[ 'రెండు దేశాలకు ప్రాతినిధ్యం']")</f>
        <v>[ 'రెండు దేశాలకు ప్రాతినిధ్యం']</v>
      </c>
      <c r="C9081" s="2"/>
      <c r="D9081" s="2" t="str">
        <f>IFERROR(__xludf.DUMMYFUNCTION("IF(C9081&lt;&gt;"""", GOOGLETRANSLATE(C9081, ""en"", ""te""),"""")"),"")</f>
        <v/>
      </c>
      <c r="E9081" s="2"/>
      <c r="F9081" s="2" t="str">
        <f>IFERROR(__xludf.DUMMYFUNCTION("IF(E9081&lt;&gt;"""", GOOGLETRANSLATE(E9081, ""en"", ""te""),"""")"),"")</f>
        <v/>
      </c>
      <c r="G9081" s="2" t="s">
        <v>5191</v>
      </c>
      <c r="H9081" s="2" t="str">
        <f>IFERROR(__xludf.DUMMYFUNCTION("IF(G9081&lt;&gt;"""", GOOGLETRANSLATE(G9081, ""en"", ""te""),"""")"),"[ '43 వ అత్యంత ఇన్నింగ్స్ లో సాధించిన పరుగులు (56)', '33 వ అత్యధిక వికెట్లు ఒక వికెట్ కీపర్ చే కాట్ తీసుకోకూడదు (6)', 'ప్రదర్శనల మధ్య 15 వ లాంగెస్ట్ వ్యవధిలో (6y 232d)']")</f>
        <v>[ '43 వ అత్యంత ఇన్నింగ్స్ లో సాధించిన పరుగులు (56)', '33 వ అత్యధిక వికెట్లు ఒక వికెట్ కీపర్ చే కాట్ తీసుకోకూడదు (6)', 'ప్రదర్శనల మధ్య 15 వ లాంగెస్ట్ వ్యవధిలో (6y 232d)']</v>
      </c>
      <c r="I9081" s="3"/>
    </row>
    <row r="9082" customHeight="1" spans="1:9">
      <c r="A9082" s="2"/>
      <c r="B9082" s="2" t="str">
        <f>IFERROR(__xludf.DUMMYFUNCTION("IF(A9082&lt;&gt;"""", GOOGLETRANSLATE(A9082, ""en"", ""te""),"""")"),"")</f>
        <v/>
      </c>
      <c r="C9082" s="2"/>
      <c r="D9082" s="2" t="str">
        <f>IFERROR(__xludf.DUMMYFUNCTION("IF(C9082&lt;&gt;"""", GOOGLETRANSLATE(C9082, ""en"", ""te""),"""")"),"")</f>
        <v/>
      </c>
      <c r="E9082" s="2"/>
      <c r="F9082" s="2" t="str">
        <f>IFERROR(__xludf.DUMMYFUNCTION("IF(E9082&lt;&gt;"""", GOOGLETRANSLATE(E9082, ""en"", ""te""),"""")"),"")</f>
        <v/>
      </c>
      <c r="G9082" s="2"/>
      <c r="H9082" s="2" t="str">
        <f>IFERROR(__xludf.DUMMYFUNCTION("IF(G9082&lt;&gt;"""", GOOGLETRANSLATE(G9082, ""en"", ""te""),"""")"),"")</f>
        <v/>
      </c>
      <c r="I9082" s="3"/>
    </row>
    <row r="9083" customHeight="1" spans="1:9">
      <c r="A9083" s="2" t="s">
        <v>5192</v>
      </c>
      <c r="B9083" s="2" t="str">
        <f>IFERROR(__xludf.DUMMYFUNCTION("IF(A9083&lt;&gt;"""", GOOGLETRANSLATE(A9083, ""en"", ""te""),"""")"),"[ '5 వ చెత్త ఆర్థిక వ్యవస్థ ఇన్నింగ్స్లో రేటు (18.50)']")</f>
        <v>[ '5 వ చెత్త ఆర్థిక వ్యవస్థ ఇన్నింగ్స్లో రేటు (18.50)']</v>
      </c>
      <c r="C9083" s="2"/>
      <c r="D9083" s="2" t="str">
        <f>IFERROR(__xludf.DUMMYFUNCTION("IF(C9083&lt;&gt;"""", GOOGLETRANSLATE(C9083, ""en"", ""te""),"""")"),"")</f>
        <v/>
      </c>
      <c r="E9083" s="2"/>
      <c r="F9083" s="2" t="str">
        <f>IFERROR(__xludf.DUMMYFUNCTION("IF(E9083&lt;&gt;"""", GOOGLETRANSLATE(E9083, ""en"", ""te""),"""")"),"")</f>
        <v/>
      </c>
      <c r="G9083" s="2" t="s">
        <v>5192</v>
      </c>
      <c r="H9083" s="2" t="str">
        <f>IFERROR(__xludf.DUMMYFUNCTION("IF(G9083&lt;&gt;"""", GOOGLETRANSLATE(G9083, ""en"", ""te""),"""")"),"[ '5 వ చెత్త ఆర్థిక వ్యవస్థ ఇన్నింగ్స్లో రేటు (18.50)']")</f>
        <v>[ '5 వ చెత్త ఆర్థిక వ్యవస్థ ఇన్నింగ్స్లో రేటు (18.50)']</v>
      </c>
      <c r="I9083" s="3"/>
    </row>
    <row r="9084" customHeight="1" spans="1:9">
      <c r="A9084" s="2"/>
      <c r="B9084" s="2" t="str">
        <f>IFERROR(__xludf.DUMMYFUNCTION("IF(A9084&lt;&gt;"""", GOOGLETRANSLATE(A9084, ""en"", ""te""),"""")"),"")</f>
        <v/>
      </c>
      <c r="C9084" s="2"/>
      <c r="D9084" s="2" t="str">
        <f>IFERROR(__xludf.DUMMYFUNCTION("IF(C9084&lt;&gt;"""", GOOGLETRANSLATE(C9084, ""en"", ""te""),"""")"),"")</f>
        <v/>
      </c>
      <c r="E9084" s="2"/>
      <c r="F9084" s="2" t="str">
        <f>IFERROR(__xludf.DUMMYFUNCTION("IF(E9084&lt;&gt;"""", GOOGLETRANSLATE(E9084, ""en"", ""te""),"""")"),"")</f>
        <v/>
      </c>
      <c r="G9084" s="2"/>
      <c r="H9084" s="2" t="str">
        <f>IFERROR(__xludf.DUMMYFUNCTION("IF(G9084&lt;&gt;"""", GOOGLETRANSLATE(G9084, ""en"", ""te""),"""")"),"")</f>
        <v/>
      </c>
      <c r="I9084" s="3"/>
    </row>
    <row r="9085" customHeight="1" spans="1:9">
      <c r="A9085" s="2"/>
      <c r="B9085" s="2" t="str">
        <f>IFERROR(__xludf.DUMMYFUNCTION("IF(A9085&lt;&gt;"""", GOOGLETRANSLATE(A9085, ""en"", ""te""),"""")"),"")</f>
        <v/>
      </c>
      <c r="C9085" s="2"/>
      <c r="D9085" s="2" t="str">
        <f>IFERROR(__xludf.DUMMYFUNCTION("IF(C9085&lt;&gt;"""", GOOGLETRANSLATE(C9085, ""en"", ""te""),"""")"),"")</f>
        <v/>
      </c>
      <c r="E9085" s="2"/>
      <c r="F9085" s="2" t="str">
        <f>IFERROR(__xludf.DUMMYFUNCTION("IF(E9085&lt;&gt;"""", GOOGLETRANSLATE(E9085, ""en"", ""te""),"""")"),"")</f>
        <v/>
      </c>
      <c r="G9085" s="2"/>
      <c r="H9085" s="2" t="str">
        <f>IFERROR(__xludf.DUMMYFUNCTION("IF(G9085&lt;&gt;"""", GOOGLETRANSLATE(G9085, ""en"", ""te""),"""")"),"")</f>
        <v/>
      </c>
      <c r="I9085" s="3"/>
    </row>
    <row r="9086" customHeight="1" spans="1:9">
      <c r="A9086" s="2"/>
      <c r="B9086" s="2" t="str">
        <f>IFERROR(__xludf.DUMMYFUNCTION("IF(A9086&lt;&gt;"""", GOOGLETRANSLATE(A9086, ""en"", ""te""),"""")"),"")</f>
        <v/>
      </c>
      <c r="C9086" s="2"/>
      <c r="D9086" s="2" t="str">
        <f>IFERROR(__xludf.DUMMYFUNCTION("IF(C9086&lt;&gt;"""", GOOGLETRANSLATE(C9086, ""en"", ""te""),"""")"),"")</f>
        <v/>
      </c>
      <c r="E9086" s="2"/>
      <c r="F9086" s="2" t="str">
        <f>IFERROR(__xludf.DUMMYFUNCTION("IF(E9086&lt;&gt;"""", GOOGLETRANSLATE(E9086, ""en"", ""te""),"""")"),"")</f>
        <v/>
      </c>
      <c r="G9086" s="2"/>
      <c r="H9086" s="2" t="str">
        <f>IFERROR(__xludf.DUMMYFUNCTION("IF(G9086&lt;&gt;"""", GOOGLETRANSLATE(G9086, ""en"", ""te""),"""")"),"")</f>
        <v/>
      </c>
      <c r="I9086" s="3"/>
    </row>
    <row r="9087" customHeight="1" spans="1:9">
      <c r="A9087" s="2"/>
      <c r="B9087" s="2" t="str">
        <f>IFERROR(__xludf.DUMMYFUNCTION("IF(A9087&lt;&gt;"""", GOOGLETRANSLATE(A9087, ""en"", ""te""),"""")"),"")</f>
        <v/>
      </c>
      <c r="C9087" s="2"/>
      <c r="D9087" s="2" t="str">
        <f>IFERROR(__xludf.DUMMYFUNCTION("IF(C9087&lt;&gt;"""", GOOGLETRANSLATE(C9087, ""en"", ""te""),"""")"),"")</f>
        <v/>
      </c>
      <c r="E9087" s="2"/>
      <c r="F9087" s="2" t="str">
        <f>IFERROR(__xludf.DUMMYFUNCTION("IF(E9087&lt;&gt;"""", GOOGLETRANSLATE(E9087, ""en"", ""te""),"""")"),"")</f>
        <v/>
      </c>
      <c r="G9087" s="2" t="s">
        <v>5193</v>
      </c>
      <c r="H9087" s="2" t="str">
        <f>IFERROR(__xludf.DUMMYFUNCTION("IF(G9087&lt;&gt;"""", GOOGLETRANSLATE(G9087, ""en"", ""te""),"""")"),"[ '33 వ ఓల్డెస్ట్ కాప్టెన్ (37y 298d)', '24 వ ఓల్డెస్ట్ కెప్టెన్లు కెప్టెన్సీ తొలి (37y 272d)']")</f>
        <v>[ '33 వ ఓల్డెస్ట్ కాప్టెన్ (37y 298d)', '24 వ ఓల్డెస్ట్ కెప్టెన్లు కెప్టెన్సీ తొలి (37y 272d)']</v>
      </c>
      <c r="I9087" s="3"/>
    </row>
    <row r="9088" customHeight="1" spans="1:9">
      <c r="A9088" s="2"/>
      <c r="B9088" s="2" t="str">
        <f>IFERROR(__xludf.DUMMYFUNCTION("IF(A9088&lt;&gt;"""", GOOGLETRANSLATE(A9088, ""en"", ""te""),"""")"),"")</f>
        <v/>
      </c>
      <c r="C9088" s="2"/>
      <c r="D9088" s="2" t="str">
        <f>IFERROR(__xludf.DUMMYFUNCTION("IF(C9088&lt;&gt;"""", GOOGLETRANSLATE(C9088, ""en"", ""te""),"""")"),"")</f>
        <v/>
      </c>
      <c r="E9088" s="2"/>
      <c r="F9088" s="2" t="str">
        <f>IFERROR(__xludf.DUMMYFUNCTION("IF(E9088&lt;&gt;"""", GOOGLETRANSLATE(E9088, ""en"", ""te""),"""")"),"")</f>
        <v/>
      </c>
      <c r="G9088" s="2"/>
      <c r="H9088" s="2" t="str">
        <f>IFERROR(__xludf.DUMMYFUNCTION("IF(G9088&lt;&gt;"""", GOOGLETRANSLATE(G9088, ""en"", ""te""),"""")"),"")</f>
        <v/>
      </c>
      <c r="I9088" s="3"/>
    </row>
    <row r="9089" customHeight="1" spans="1:9">
      <c r="A9089" s="2" t="s">
        <v>5194</v>
      </c>
      <c r="B9089" s="2" t="str">
        <f>IFERROR(__xludf.DUMMYFUNCTION("IF(A9089&lt;&gt;"""", GOOGLETRANSLATE(A9089, ""en"", ""te""),"""")"),"[ 'తొలి వికెట్కు 2 వ అత్యధిక భాగస్వామ్యం (198 *)']")</f>
        <v>[ 'తొలి వికెట్కు 2 వ అత్యధిక భాగస్వామ్యం (198 *)']</v>
      </c>
      <c r="C9089" s="2"/>
      <c r="D9089" s="2" t="str">
        <f>IFERROR(__xludf.DUMMYFUNCTION("IF(C9089&lt;&gt;"""", GOOGLETRANSLATE(C9089, ""en"", ""te""),"""")"),"")</f>
        <v/>
      </c>
      <c r="E9089" s="2"/>
      <c r="F9089" s="2" t="str">
        <f>IFERROR(__xludf.DUMMYFUNCTION("IF(E9089&lt;&gt;"""", GOOGLETRANSLATE(E9089, ""en"", ""te""),"""")"),"")</f>
        <v/>
      </c>
      <c r="G9089" s="2" t="s">
        <v>5195</v>
      </c>
      <c r="H9089" s="2" t="str">
        <f>IFERROR(__xludf.DUMMYFUNCTION("IF(G9089&lt;&gt;"""", GOOGLETRANSLATE(G9089, ""en"", ""te""),"""")"),"[ '22 వ ఇన్నింగ్స్ లో అత్యధిక పరుగులు (105 *)', '15 వ ఇన్నింగ్స్ లో అత్యధిక పరుగులు (బ్యాటింగ్ స్థానంలో ప్రకారం) (105 *)', '29 వ అత్యధిక పరుగులు ఒకే నేలపై (200)', '34 వ అత్యంత యాభైలలో కెరీర్ (3) ',' 22 వ కెరీర్ లో బాతులు (11) ',' ఒక ఇన్నింగ్స్లో పరుగులు"&amp;" 44 వ అత్యధిక శాతం (54.97) ',' ఏ వికెట్కు 4 వ అత్యధిక భాగస్వామ్యాల (198 *) ',' 2 వ అత్యధిక కొరకు చేసిన భాగస్వామ్యం తొలి వికెట్కు (198 *) ',' రెండవ వికెట్ (158 *) 3 వ అత్యధిక భాగస్వామ్యం ']")</f>
        <v>[ '22 వ ఇన్నింగ్స్ లో అత్యధిక పరుగులు (105 *)', '15 వ ఇన్నింగ్స్ లో అత్యధిక పరుగులు (బ్యాటింగ్ స్థానంలో ప్రకారం) (105 *)', '29 వ అత్యధిక పరుగులు ఒకే నేలపై (200)', '34 వ అత్యంత యాభైలలో కెరీర్ (3) ',' 22 వ కెరీర్ లో బాతులు (11) ',' ఒక ఇన్నింగ్స్లో పరుగులు 44 వ అత్యధిక శాతం (54.97) ',' ఏ వికెట్కు 4 వ అత్యధిక భాగస్వామ్యాల (198 *) ',' 2 వ అత్యధిక కొరకు చేసిన భాగస్వామ్యం తొలి వికెట్కు (198 *) ',' రెండవ వికెట్ (158 *) 3 వ అత్యధిక భాగస్వామ్యం ']</v>
      </c>
      <c r="I9089" s="3"/>
    </row>
    <row r="9090" customHeight="1" spans="1:9">
      <c r="A9090" s="2"/>
      <c r="B9090" s="2" t="str">
        <f>IFERROR(__xludf.DUMMYFUNCTION("IF(A9090&lt;&gt;"""", GOOGLETRANSLATE(A9090, ""en"", ""te""),"""")"),"")</f>
        <v/>
      </c>
      <c r="C9090" s="2"/>
      <c r="D9090" s="2" t="str">
        <f>IFERROR(__xludf.DUMMYFUNCTION("IF(C9090&lt;&gt;"""", GOOGLETRANSLATE(C9090, ""en"", ""te""),"""")"),"")</f>
        <v/>
      </c>
      <c r="E9090" s="2"/>
      <c r="F9090" s="2" t="str">
        <f>IFERROR(__xludf.DUMMYFUNCTION("IF(E9090&lt;&gt;"""", GOOGLETRANSLATE(E9090, ""en"", ""te""),"""")"),"")</f>
        <v/>
      </c>
      <c r="G9090" s="2"/>
      <c r="H9090" s="2" t="str">
        <f>IFERROR(__xludf.DUMMYFUNCTION("IF(G9090&lt;&gt;"""", GOOGLETRANSLATE(G9090, ""en"", ""te""),"""")"),"")</f>
        <v/>
      </c>
      <c r="I9090" s="3"/>
    </row>
    <row r="9091" customHeight="1" spans="1:9">
      <c r="A9091" s="2"/>
      <c r="B9091" s="2" t="str">
        <f>IFERROR(__xludf.DUMMYFUNCTION("IF(A9091&lt;&gt;"""", GOOGLETRANSLATE(A9091, ""en"", ""te""),"""")"),"")</f>
        <v/>
      </c>
      <c r="C9091" s="2"/>
      <c r="D9091" s="2" t="str">
        <f>IFERROR(__xludf.DUMMYFUNCTION("IF(C9091&lt;&gt;"""", GOOGLETRANSLATE(C9091, ""en"", ""te""),"""")"),"")</f>
        <v/>
      </c>
      <c r="E9091" s="2"/>
      <c r="F9091" s="2" t="str">
        <f>IFERROR(__xludf.DUMMYFUNCTION("IF(E9091&lt;&gt;"""", GOOGLETRANSLATE(E9091, ""en"", ""te""),"""")"),"")</f>
        <v/>
      </c>
      <c r="G9091" s="2" t="s">
        <v>5196</v>
      </c>
      <c r="H9091" s="2" t="str">
        <f>IFERROR(__xludf.DUMMYFUNCTION("IF(G9091&lt;&gt;"""", GOOGLETRANSLATE(G9091, ""en"", ""te""),"""")"),"[ 'ఏడవ వికెట్కు 12 వ అత్యధిక భాగస్వామ్యం (66)']")</f>
        <v>[ 'ఏడవ వికెట్కు 12 వ అత్యధిక భాగస్వామ్యం (66)']</v>
      </c>
      <c r="I9091" s="3"/>
    </row>
    <row r="9092" customHeight="1" spans="1:9">
      <c r="A9092" s="2" t="s">
        <v>1532</v>
      </c>
      <c r="B9092" s="2" t="str">
        <f>IFERROR(__xludf.DUMMYFUNCTION("IF(A9092&lt;&gt;"""", GOOGLETRANSLATE(A9092, ""en"", ""te""),"""")"),"[ '7th అత్యుత్తమ ఇన్నింగ్స్ (2/3) విశ్లేషణలలో బౌలింగ్']")</f>
        <v>[ '7th అత్యుత్తమ ఇన్నింగ్స్ (2/3) విశ్లేషణలలో బౌలింగ్']</v>
      </c>
      <c r="C9092" s="2"/>
      <c r="D9092" s="2" t="str">
        <f>IFERROR(__xludf.DUMMYFUNCTION("IF(C9092&lt;&gt;"""", GOOGLETRANSLATE(C9092, ""en"", ""te""),"""")"),"")</f>
        <v/>
      </c>
      <c r="E9092" s="2"/>
      <c r="F9092" s="2" t="str">
        <f>IFERROR(__xludf.DUMMYFUNCTION("IF(E9092&lt;&gt;"""", GOOGLETRANSLATE(E9092, ""en"", ""te""),"""")"),"")</f>
        <v/>
      </c>
      <c r="G9092" s="2" t="s">
        <v>5197</v>
      </c>
      <c r="H9092" s="2" t="str">
        <f>IFERROR(__xludf.DUMMYFUNCTION("IF(G9092&lt;&gt;"""", GOOGLETRANSLATE(G9092, ""en"", ""te""),"""")"),"[ '7th అత్యుత్తమ ఇన్నింగ్స్ లో విశ్లేషణలు బౌలింగ్ (2/3)', 'ఏడవ వికెట్కు 25 అత్యధిక భాగస్వామ్యం (54 *)']")</f>
        <v>[ '7th అత్యుత్తమ ఇన్నింగ్స్ లో విశ్లేషణలు బౌలింగ్ (2/3)', 'ఏడవ వికెట్కు 25 అత్యధిక భాగస్వామ్యం (54 *)']</v>
      </c>
      <c r="I9092" s="3"/>
    </row>
    <row r="9093" customHeight="1" spans="1:9">
      <c r="A9093" s="2"/>
      <c r="B9093" s="2" t="str">
        <f>IFERROR(__xludf.DUMMYFUNCTION("IF(A9093&lt;&gt;"""", GOOGLETRANSLATE(A9093, ""en"", ""te""),"""")"),"")</f>
        <v/>
      </c>
      <c r="C9093" s="2"/>
      <c r="D9093" s="2" t="str">
        <f>IFERROR(__xludf.DUMMYFUNCTION("IF(C9093&lt;&gt;"""", GOOGLETRANSLATE(C9093, ""en"", ""te""),"""")"),"")</f>
        <v/>
      </c>
      <c r="E9093" s="2"/>
      <c r="F9093" s="2" t="str">
        <f>IFERROR(__xludf.DUMMYFUNCTION("IF(E9093&lt;&gt;"""", GOOGLETRANSLATE(E9093, ""en"", ""te""),"""")"),"")</f>
        <v/>
      </c>
      <c r="G9093" s="2"/>
      <c r="H9093" s="2" t="str">
        <f>IFERROR(__xludf.DUMMYFUNCTION("IF(G9093&lt;&gt;"""", GOOGLETRANSLATE(G9093, ""en"", ""te""),"""")"),"")</f>
        <v/>
      </c>
      <c r="I9093" s="3"/>
    </row>
    <row r="9094" customHeight="1" spans="1:9">
      <c r="A9094" s="2"/>
      <c r="B9094" s="2" t="str">
        <f>IFERROR(__xludf.DUMMYFUNCTION("IF(A9094&lt;&gt;"""", GOOGLETRANSLATE(A9094, ""en"", ""te""),"""")"),"")</f>
        <v/>
      </c>
      <c r="C9094" s="2"/>
      <c r="D9094" s="2" t="str">
        <f>IFERROR(__xludf.DUMMYFUNCTION("IF(C9094&lt;&gt;"""", GOOGLETRANSLATE(C9094, ""en"", ""te""),"""")"),"")</f>
        <v/>
      </c>
      <c r="E9094" s="2"/>
      <c r="F9094" s="2" t="str">
        <f>IFERROR(__xludf.DUMMYFUNCTION("IF(E9094&lt;&gt;"""", GOOGLETRANSLATE(E9094, ""en"", ""te""),"""")"),"")</f>
        <v/>
      </c>
      <c r="G9094" s="2" t="s">
        <v>5198</v>
      </c>
      <c r="H9094" s="2" t="str">
        <f>IFERROR(__xludf.DUMMYFUNCTION("IF(G9094&lt;&gt;"""", GOOGLETRANSLATE(G9094, ""en"", ""te""),"""")"),"[ '45 వ ఓల్డెస్ట్ కాప్టెన్ (36y 201d)', '33 వ ఓల్డెస్ట్ కెప్టెన్లు కెప్టెన్సీ తొలి (36y 201d)']")</f>
        <v>[ '45 వ ఓల్డెస్ట్ కాప్టెన్ (36y 201d)', '33 వ ఓల్డెస్ట్ కెప్టెన్లు కెప్టెన్సీ తొలి (36y 201d)']</v>
      </c>
      <c r="I9094" s="3"/>
    </row>
    <row r="9095" customHeight="1" spans="1:9">
      <c r="A9095" s="2" t="s">
        <v>4888</v>
      </c>
      <c r="B9095" s="2" t="str">
        <f>IFERROR(__xludf.DUMMYFUNCTION("IF(A9095&lt;&gt;"""", GOOGLETRANSLATE(A9095, ""en"", ""te""),"""")"),"[ 'ఇన్నింగ్స్ లో 5 వ అత్యధిక వికెట్లు (4)']")</f>
        <v>[ 'ఇన్నింగ్స్ లో 5 వ అత్యధిక వికెట్లు (4)']</v>
      </c>
      <c r="C9095" s="2"/>
      <c r="D9095" s="2" t="str">
        <f>IFERROR(__xludf.DUMMYFUNCTION("IF(C9095&lt;&gt;"""", GOOGLETRANSLATE(C9095, ""en"", ""te""),"""")"),"")</f>
        <v/>
      </c>
      <c r="E9095" s="2"/>
      <c r="F9095" s="2" t="str">
        <f>IFERROR(__xludf.DUMMYFUNCTION("IF(E9095&lt;&gt;"""", GOOGLETRANSLATE(E9095, ""en"", ""te""),"""")"),"")</f>
        <v/>
      </c>
      <c r="G9095" s="2" t="s">
        <v>5131</v>
      </c>
      <c r="H9095" s="2" t="str">
        <f>IFERROR(__xludf.DUMMYFUNCTION("IF(G9095&lt;&gt;"""", GOOGLETRANSLATE(G9095, ""en"", ""te""),"""")"),"[ 'ఇన్నింగ్స్ లో 5 వ అత్యధిక వికెట్లు (4)', '13 వ అత్యంత ఇన్నింగ్స్ లో క్యాచ్లు (3)']")</f>
        <v>[ 'ఇన్నింగ్స్ లో 5 వ అత్యధిక వికెట్లు (4)', '13 వ అత్యంత ఇన్నింగ్స్ లో క్యాచ్లు (3)']</v>
      </c>
      <c r="I9095" s="3"/>
    </row>
    <row r="9096" customHeight="1" spans="1:9">
      <c r="A9096" s="2"/>
      <c r="B9096" s="2" t="str">
        <f>IFERROR(__xludf.DUMMYFUNCTION("IF(A9096&lt;&gt;"""", GOOGLETRANSLATE(A9096, ""en"", ""te""),"""")"),"")</f>
        <v/>
      </c>
      <c r="C9096" s="2"/>
      <c r="D9096" s="2" t="str">
        <f>IFERROR(__xludf.DUMMYFUNCTION("IF(C9096&lt;&gt;"""", GOOGLETRANSLATE(C9096, ""en"", ""te""),"""")"),"")</f>
        <v/>
      </c>
      <c r="E9096" s="2"/>
      <c r="F9096" s="2" t="str">
        <f>IFERROR(__xludf.DUMMYFUNCTION("IF(E9096&lt;&gt;"""", GOOGLETRANSLATE(E9096, ""en"", ""te""),"""")"),"")</f>
        <v/>
      </c>
      <c r="G9096" s="2"/>
      <c r="H9096" s="2" t="str">
        <f>IFERROR(__xludf.DUMMYFUNCTION("IF(G9096&lt;&gt;"""", GOOGLETRANSLATE(G9096, ""en"", ""te""),"""")"),"")</f>
        <v/>
      </c>
      <c r="I9096" s="3"/>
    </row>
    <row r="9097" customHeight="1" spans="1:9">
      <c r="A9097" s="2"/>
      <c r="B9097" s="2" t="str">
        <f>IFERROR(__xludf.DUMMYFUNCTION("IF(A9097&lt;&gt;"""", GOOGLETRANSLATE(A9097, ""en"", ""te""),"""")"),"")</f>
        <v/>
      </c>
      <c r="C9097" s="2"/>
      <c r="D9097" s="2" t="str">
        <f>IFERROR(__xludf.DUMMYFUNCTION("IF(C9097&lt;&gt;"""", GOOGLETRANSLATE(C9097, ""en"", ""te""),"""")"),"")</f>
        <v/>
      </c>
      <c r="E9097" s="2"/>
      <c r="F9097" s="2" t="str">
        <f>IFERROR(__xludf.DUMMYFUNCTION("IF(E9097&lt;&gt;"""", GOOGLETRANSLATE(E9097, ""en"", ""te""),"""")"),"")</f>
        <v/>
      </c>
      <c r="G9097" s="2"/>
      <c r="H9097" s="2" t="str">
        <f>IFERROR(__xludf.DUMMYFUNCTION("IF(G9097&lt;&gt;"""", GOOGLETRANSLATE(G9097, ""en"", ""te""),"""")"),"")</f>
        <v/>
      </c>
      <c r="I9097" s="3"/>
    </row>
    <row r="9098" customHeight="1" spans="1:9">
      <c r="A9098" s="2"/>
      <c r="B9098" s="2" t="str">
        <f>IFERROR(__xludf.DUMMYFUNCTION("IF(A9098&lt;&gt;"""", GOOGLETRANSLATE(A9098, ""en"", ""te""),"""")"),"")</f>
        <v/>
      </c>
      <c r="C9098" s="2"/>
      <c r="D9098" s="2" t="str">
        <f>IFERROR(__xludf.DUMMYFUNCTION("IF(C9098&lt;&gt;"""", GOOGLETRANSLATE(C9098, ""en"", ""te""),"""")"),"")</f>
        <v/>
      </c>
      <c r="E9098" s="2"/>
      <c r="F9098" s="2" t="str">
        <f>IFERROR(__xludf.DUMMYFUNCTION("IF(E9098&lt;&gt;"""", GOOGLETRANSLATE(E9098, ""en"", ""te""),"""")"),"")</f>
        <v/>
      </c>
      <c r="G9098" s="2"/>
      <c r="H9098" s="2" t="str">
        <f>IFERROR(__xludf.DUMMYFUNCTION("IF(G9098&lt;&gt;"""", GOOGLETRANSLATE(G9098, ""en"", ""te""),"""")"),"")</f>
        <v/>
      </c>
      <c r="I9098" s="3"/>
    </row>
    <row r="9099" customHeight="1" spans="1:9">
      <c r="A9099" s="2" t="s">
        <v>5199</v>
      </c>
      <c r="B9099" s="2" t="str">
        <f>IFERROR(__xludf.DUMMYFUNCTION("IF(A9099&lt;&gt;"""", GOOGLETRANSLATE(A9099, ""en"", ""te""),"""")"),"[ 'ఇన్నింగ్స్ లో 4 వ అత్యధిక పరుగులు (22 *) (బ్యాటింగ్ స్థానం)', 'ఆరవ వికెట్ (57) 9 వ అత్యధిక భాగస్వామ్యం']")</f>
        <v>[ 'ఇన్నింగ్స్ లో 4 వ అత్యధిక పరుగులు (22 *) (బ్యాటింగ్ స్థానం)', 'ఆరవ వికెట్ (57) 9 వ అత్యధిక భాగస్వామ్యం']</v>
      </c>
      <c r="C9099" s="2"/>
      <c r="D9099" s="2" t="str">
        <f>IFERROR(__xludf.DUMMYFUNCTION("IF(C9099&lt;&gt;"""", GOOGLETRANSLATE(C9099, ""en"", ""te""),"""")"),"")</f>
        <v/>
      </c>
      <c r="E9099" s="2"/>
      <c r="F9099" s="2" t="str">
        <f>IFERROR(__xludf.DUMMYFUNCTION("IF(E9099&lt;&gt;"""", GOOGLETRANSLATE(E9099, ""en"", ""te""),"""")"),"")</f>
        <v/>
      </c>
      <c r="G9099" s="2" t="s">
        <v>5200</v>
      </c>
      <c r="H9099" s="2" t="str">
        <f>IFERROR(__xludf.DUMMYFUNCTION("IF(G9099&lt;&gt;"""", GOOGLETRANSLATE(G9099, ""en"", ""te""),"""")"),"[ 'ఇన్నింగ్స్ లో 4 వ అత్యధిక పరుగులు (బ్యాటింగ్ స్థానంలో ప్రకారం) (22 *)', 'ఆరవ వికెట్కు 9 వ అత్యధిక భాగస్వామ్యం (57)', 'తొమ్మిదవ వికెట్కు 35 వ అత్యధిక భాగస్వామ్యం (17)', '17 వ అత్యధిక కొరకు చేసిన భాగస్వామ్యం పదవ వికెట్ను (14 *) ',' తొలి 44 వ ఓల్డెస్ట్ క్"&amp;"రీడాకారులు (37y 183d) ']")</f>
        <v>[ 'ఇన్నింగ్స్ లో 4 వ అత్యధిక పరుగులు (బ్యాటింగ్ స్థానంలో ప్రకారం) (22 *)', 'ఆరవ వికెట్కు 9 వ అత్యధిక భాగస్వామ్యం (57)', 'తొమ్మిదవ వికెట్కు 35 వ అత్యధిక భాగస్వామ్యం (17)', '17 వ అత్యధిక కొరకు చేసిన భాగస్వామ్యం పదవ వికెట్ను (14 *) ',' తొలి 44 వ ఓల్డెస్ట్ క్రీడాకారులు (37y 183d) ']</v>
      </c>
      <c r="I9099" s="3"/>
    </row>
    <row r="9100" customHeight="1" spans="1:9">
      <c r="A9100" s="2" t="s">
        <v>888</v>
      </c>
      <c r="B9100" s="2" t="str">
        <f>IFERROR(__xludf.DUMMYFUNCTION("IF(A9100&lt;&gt;"""", GOOGLETRANSLATE(A9100, ""en"", ""te""),"""")"),"[ 'చాలా 5 వ ఇన్నింగ్స్ లో నడుస్తుంది (బ్యాటింగ్ స్థానం) (22)']")</f>
        <v>[ 'చాలా 5 వ ఇన్నింగ్స్ లో నడుస్తుంది (బ్యాటింగ్ స్థానం) (22)']</v>
      </c>
      <c r="C9100" s="2"/>
      <c r="D9100" s="2" t="str">
        <f>IFERROR(__xludf.DUMMYFUNCTION("IF(C9100&lt;&gt;"""", GOOGLETRANSLATE(C9100, ""en"", ""te""),"""")"),"")</f>
        <v/>
      </c>
      <c r="E9100" s="2"/>
      <c r="F9100" s="2" t="str">
        <f>IFERROR(__xludf.DUMMYFUNCTION("IF(E9100&lt;&gt;"""", GOOGLETRANSLATE(E9100, ""en"", ""te""),"""")"),"")</f>
        <v/>
      </c>
      <c r="G9100" s="2" t="s">
        <v>888</v>
      </c>
      <c r="H9100" s="2" t="str">
        <f>IFERROR(__xludf.DUMMYFUNCTION("IF(G9100&lt;&gt;"""", GOOGLETRANSLATE(G9100, ""en"", ""te""),"""")"),"[ 'చాలా 5 వ ఇన్నింగ్స్ లో నడుస్తుంది (బ్యాటింగ్ స్థానం) (22)']")</f>
        <v>[ 'చాలా 5 వ ఇన్నింగ్స్ లో నడుస్తుంది (బ్యాటింగ్ స్థానం) (22)']</v>
      </c>
      <c r="I9100" s="3"/>
    </row>
    <row r="9101" customHeight="1" spans="1:9">
      <c r="A9101" s="2" t="s">
        <v>5201</v>
      </c>
      <c r="B9101" s="2" t="str">
        <f>IFERROR(__xludf.DUMMYFUNCTION("IF(A9101&lt;&gt;"""", GOOGLETRANSLATE(A9101, ""en"", ""te""),"""")"),"[ 'ఎనిమిదవ వికెట్కు 3 వ అత్యధిక భాగస్వామ్యం (39)']")</f>
        <v>[ 'ఎనిమిదవ వికెట్కు 3 వ అత్యధిక భాగస్వామ్యం (39)']</v>
      </c>
      <c r="C9101" s="2"/>
      <c r="D9101" s="2" t="str">
        <f>IFERROR(__xludf.DUMMYFUNCTION("IF(C9101&lt;&gt;"""", GOOGLETRANSLATE(C9101, ""en"", ""te""),"""")"),"")</f>
        <v/>
      </c>
      <c r="E9101" s="2"/>
      <c r="F9101" s="2" t="str">
        <f>IFERROR(__xludf.DUMMYFUNCTION("IF(E9101&lt;&gt;"""", GOOGLETRANSLATE(E9101, ""en"", ""te""),"""")"),"")</f>
        <v/>
      </c>
      <c r="G9101" s="2" t="s">
        <v>5201</v>
      </c>
      <c r="H9101" s="2" t="str">
        <f>IFERROR(__xludf.DUMMYFUNCTION("IF(G9101&lt;&gt;"""", GOOGLETRANSLATE(G9101, ""en"", ""te""),"""")"),"[ 'ఎనిమిదవ వికెట్కు 3 వ అత్యధిక భాగస్వామ్యం (39)']")</f>
        <v>[ 'ఎనిమిదవ వికెట్కు 3 వ అత్యధిక భాగస్వామ్యం (39)']</v>
      </c>
      <c r="I9101" s="3"/>
    </row>
    <row r="9102" customHeight="1" spans="1:9">
      <c r="A9102" s="2"/>
      <c r="B9102" s="2" t="str">
        <f>IFERROR(__xludf.DUMMYFUNCTION("IF(A9102&lt;&gt;"""", GOOGLETRANSLATE(A9102, ""en"", ""te""),"""")"),"")</f>
        <v/>
      </c>
      <c r="C9102" s="2"/>
      <c r="D9102" s="2" t="str">
        <f>IFERROR(__xludf.DUMMYFUNCTION("IF(C9102&lt;&gt;"""", GOOGLETRANSLATE(C9102, ""en"", ""te""),"""")"),"")</f>
        <v/>
      </c>
      <c r="E9102" s="2"/>
      <c r="F9102" s="2" t="str">
        <f>IFERROR(__xludf.DUMMYFUNCTION("IF(E9102&lt;&gt;"""", GOOGLETRANSLATE(E9102, ""en"", ""te""),"""")"),"")</f>
        <v/>
      </c>
      <c r="G9102" s="2"/>
      <c r="H9102" s="2" t="str">
        <f>IFERROR(__xludf.DUMMYFUNCTION("IF(G9102&lt;&gt;"""", GOOGLETRANSLATE(G9102, ""en"", ""te""),"""")"),"")</f>
        <v/>
      </c>
      <c r="I9102" s="3"/>
    </row>
    <row r="9103" customHeight="1" spans="1:9">
      <c r="A9103" s="2"/>
      <c r="B9103" s="2" t="str">
        <f>IFERROR(__xludf.DUMMYFUNCTION("IF(A9103&lt;&gt;"""", GOOGLETRANSLATE(A9103, ""en"", ""te""),"""")"),"")</f>
        <v/>
      </c>
      <c r="C9103" s="2"/>
      <c r="D9103" s="2" t="str">
        <f>IFERROR(__xludf.DUMMYFUNCTION("IF(C9103&lt;&gt;"""", GOOGLETRANSLATE(C9103, ""en"", ""te""),"""")"),"")</f>
        <v/>
      </c>
      <c r="E9103" s="2"/>
      <c r="F9103" s="2" t="str">
        <f>IFERROR(__xludf.DUMMYFUNCTION("IF(E9103&lt;&gt;"""", GOOGLETRANSLATE(E9103, ""en"", ""te""),"""")"),"")</f>
        <v/>
      </c>
      <c r="G9103" s="2" t="s">
        <v>5202</v>
      </c>
      <c r="H9103" s="2" t="str">
        <f>IFERROR(__xludf.DUMMYFUNCTION("IF(G9103&lt;&gt;"""", GOOGLETRANSLATE(G9103, ""en"", ""te""),"""")"),"[ '15 వ ఇన్నింగ్స్ లో అత్యధిక క్యాచ్లు (3)', 'నాలుగవ వికెట్కు (101) 18 వ అత్యధిక భాగస్వామ్యం']")</f>
        <v>[ '15 వ ఇన్నింగ్స్ లో అత్యధిక క్యాచ్లు (3)', 'నాలుగవ వికెట్కు (101) 18 వ అత్యధిక భాగస్వామ్యం']</v>
      </c>
      <c r="I9103" s="3"/>
    </row>
    <row r="9104" customHeight="1" spans="1:9">
      <c r="A9104" s="2" t="s">
        <v>5203</v>
      </c>
      <c r="B9104" s="2" t="str">
        <f>IFERROR(__xludf.DUMMYFUNCTION("IF(A9104&lt;&gt;"""", GOOGLETRANSLATE(A9104, ""en"", ""te""),"""")"),"[ 'ఒక ఇన్నింగ్స్ లో 8 వ బెస్ట్ ఫిగర్స్ ఉన్నప్పుడు పరాజయం వైపు (4)', '7 వ అత్యంత నాలుగు వికెట్లు-ఇన్-ఒక-ఇన్నింగ్స్ కెరీర్లో (3)']")</f>
        <v>[ 'ఒక ఇన్నింగ్స్ లో 8 వ బెస్ట్ ఫిగర్స్ ఉన్నప్పుడు పరాజయం వైపు (4)', '7 వ అత్యంత నాలుగు వికెట్లు-ఇన్-ఒక-ఇన్నింగ్స్ కెరీర్లో (3)']</v>
      </c>
      <c r="C9104" s="2"/>
      <c r="D9104" s="2" t="str">
        <f>IFERROR(__xludf.DUMMYFUNCTION("IF(C9104&lt;&gt;"""", GOOGLETRANSLATE(C9104, ""en"", ""te""),"""")"),"")</f>
        <v/>
      </c>
      <c r="E9104" s="2" t="s">
        <v>5204</v>
      </c>
      <c r="F9104" s="2" t="str">
        <f>IFERROR(__xludf.DUMMYFUNCTION("IF(E9104&lt;&gt;"""", GOOGLETRANSLATE(E9104, ""en"", ""te""),"""")"),"[ 'తొలి 38 వ ఓల్డెస్ట్ క్రీడాకారులు (37y 268d)']")</f>
        <v>[ 'తొలి 38 వ ఓల్డెస్ట్ క్రీడాకారులు (37y 268d)']</v>
      </c>
      <c r="G9104" s="2" t="s">
        <v>5205</v>
      </c>
      <c r="H9104" s="2" t="str">
        <f>IFERROR(__xludf.DUMMYFUNCTION("IF(G9104&lt;&gt;"""", GOOGLETRANSLATE(G9104, ""en"", ""te""),"""")"),"[ '20 వ ఇన్నింగ్స్ లో బెస్ట్ ఫిగర్స్ (5/15)', '15 వ అత్యుత్తమ ఇన్నింగ్స్ లో బౌలింగ్ విశ్లేషణలు (5/15)', '30th ఒకే మైదానంలో అత్యధిక వికెట్లు (12)', '8 వ ఉత్తమ ఇన్నింగ్స్ లో సంఖ్యలు పరాజయం వైపు ఉన్నప్పుడు (4) ',' 7 వ అత్యంత నాలుగు వికెట్లు-ఇన్-ఒక-ఇన్నింగ్"&amp;"స్ కెరీర్లో (3) ']")</f>
        <v>[ '20 వ ఇన్నింగ్స్ లో బెస్ట్ ఫిగర్స్ (5/15)', '15 వ అత్యుత్తమ ఇన్నింగ్స్ లో బౌలింగ్ విశ్లేషణలు (5/15)', '30th ఒకే మైదానంలో అత్యధిక వికెట్లు (12)', '8 వ ఉత్తమ ఇన్నింగ్స్ లో సంఖ్యలు పరాజయం వైపు ఉన్నప్పుడు (4) ',' 7 వ అత్యంత నాలుగు వికెట్లు-ఇన్-ఒక-ఇన్నింగ్స్ కెరీర్లో (3) ']</v>
      </c>
      <c r="I9104" s="3"/>
    </row>
    <row r="9105" customHeight="1" spans="1:9">
      <c r="A9105" s="2" t="s">
        <v>5206</v>
      </c>
      <c r="B9105" s="2" t="str">
        <f>IFERROR(__xludf.DUMMYFUNCTION("IF(A9105&lt;&gt;"""", GOOGLETRANSLATE(A9105, ""en"", ""te""),"""")"),"[ 'వరుస 7 వ అత్యధిక పరుగులు (610)', 'నూట ఒక ఇన్నింగ్స్ లో నాలుగు వికెట్లు']")</f>
        <v>[ 'వరుస 7 వ అత్యధిక పరుగులు (610)', 'నూట ఒక ఇన్నింగ్స్ లో నాలుగు వికెట్లు']</v>
      </c>
      <c r="C9105" s="2"/>
      <c r="D9105" s="2" t="str">
        <f>IFERROR(__xludf.DUMMYFUNCTION("IF(C9105&lt;&gt;"""", GOOGLETRANSLATE(C9105, ""en"", ""te""),"""")"),"")</f>
        <v/>
      </c>
      <c r="E9105" s="2" t="s">
        <v>5207</v>
      </c>
      <c r="F9105" s="2" t="str">
        <f>IFERROR(__xludf.DUMMYFUNCTION("IF(E9105&lt;&gt;"""", GOOGLETRANSLATE(E9105, ""en"", ""te""),"""")"),"[ 'వరుస 7 వ అత్యధిక పరుగులు (610)', 'గత మ్యాచ్ (105) లో 12 వ హండ్రెడ్', '40 వ ఉత్తమ కెరీర్ సగటు (12.62) (అర్హత లేకుండా) బౌలింగ్', 'మూడో వికెట్కు 19 అత్యధిక భాగస్వామ్యం (216) ']")</f>
        <v>[ 'వరుస 7 వ అత్యధిక పరుగులు (610)', 'గత మ్యాచ్ (105) లో 12 వ హండ్రెడ్', '40 వ ఉత్తమ కెరీర్ సగటు (12.62) (అర్హత లేకుండా) బౌలింగ్', 'మూడో వికెట్కు 19 అత్యధిక భాగస్వామ్యం (216) ']</v>
      </c>
      <c r="G9105" s="2"/>
      <c r="H9105" s="2" t="str">
        <f>IFERROR(__xludf.DUMMYFUNCTION("IF(G9105&lt;&gt;"""", GOOGLETRANSLATE(G9105, ""en"", ""te""),"""")"),"")</f>
        <v/>
      </c>
      <c r="I9105" s="3"/>
    </row>
    <row r="9106" customHeight="1" spans="1:9">
      <c r="A9106" s="2"/>
      <c r="B9106" s="2" t="str">
        <f>IFERROR(__xludf.DUMMYFUNCTION("IF(A9106&lt;&gt;"""", GOOGLETRANSLATE(A9106, ""en"", ""te""),"""")"),"")</f>
        <v/>
      </c>
      <c r="C9106" s="2"/>
      <c r="D9106" s="2" t="str">
        <f>IFERROR(__xludf.DUMMYFUNCTION("IF(C9106&lt;&gt;"""", GOOGLETRANSLATE(C9106, ""en"", ""te""),"""")"),"")</f>
        <v/>
      </c>
      <c r="E9106" s="2"/>
      <c r="F9106" s="2" t="str">
        <f>IFERROR(__xludf.DUMMYFUNCTION("IF(E9106&lt;&gt;"""", GOOGLETRANSLATE(E9106, ""en"", ""te""),"""")"),"")</f>
        <v/>
      </c>
      <c r="G9106" s="2" t="s">
        <v>3869</v>
      </c>
      <c r="H9106" s="2" t="str">
        <f>IFERROR(__xludf.DUMMYFUNCTION("IF(G9106&lt;&gt;"""", GOOGLETRANSLATE(G9106, ""en"", ""te""),"""")"),"[ '45 వ చెత్త కెరీర్ బౌలింగ్ సరాసరి (అర్హత లేకుండా) (67.00)']")</f>
        <v>[ '45 వ చెత్త కెరీర్ బౌలింగ్ సరాసరి (అర్హత లేకుండా) (67.00)']</v>
      </c>
      <c r="I9106" s="3"/>
    </row>
    <row r="9107" customHeight="1" spans="1:9">
      <c r="A9107" s="2"/>
      <c r="B9107" s="2" t="str">
        <f>IFERROR(__xludf.DUMMYFUNCTION("IF(A9107&lt;&gt;"""", GOOGLETRANSLATE(A9107, ""en"", ""te""),"""")"),"")</f>
        <v/>
      </c>
      <c r="C9107" s="2"/>
      <c r="D9107" s="2" t="str">
        <f>IFERROR(__xludf.DUMMYFUNCTION("IF(C9107&lt;&gt;"""", GOOGLETRANSLATE(C9107, ""en"", ""te""),"""")"),"")</f>
        <v/>
      </c>
      <c r="E9107" s="2"/>
      <c r="F9107" s="2" t="str">
        <f>IFERROR(__xludf.DUMMYFUNCTION("IF(E9107&lt;&gt;"""", GOOGLETRANSLATE(E9107, ""en"", ""te""),"""")"),"")</f>
        <v/>
      </c>
      <c r="G9107" s="2"/>
      <c r="H9107" s="2" t="str">
        <f>IFERROR(__xludf.DUMMYFUNCTION("IF(G9107&lt;&gt;"""", GOOGLETRANSLATE(G9107, ""en"", ""te""),"""")"),"")</f>
        <v/>
      </c>
      <c r="I9107" s="3"/>
    </row>
    <row r="9108" customHeight="1" spans="1:9">
      <c r="A9108" s="2"/>
      <c r="B9108" s="2" t="str">
        <f>IFERROR(__xludf.DUMMYFUNCTION("IF(A9108&lt;&gt;"""", GOOGLETRANSLATE(A9108, ""en"", ""te""),"""")"),"")</f>
        <v/>
      </c>
      <c r="C9108" s="2"/>
      <c r="D9108" s="2" t="str">
        <f>IFERROR(__xludf.DUMMYFUNCTION("IF(C9108&lt;&gt;"""", GOOGLETRANSLATE(C9108, ""en"", ""te""),"""")"),"")</f>
        <v/>
      </c>
      <c r="E9108" s="2"/>
      <c r="F9108" s="2" t="str">
        <f>IFERROR(__xludf.DUMMYFUNCTION("IF(E9108&lt;&gt;"""", GOOGLETRANSLATE(E9108, ""en"", ""te""),"""")"),"")</f>
        <v/>
      </c>
      <c r="G9108" s="2"/>
      <c r="H9108" s="2" t="str">
        <f>IFERROR(__xludf.DUMMYFUNCTION("IF(G9108&lt;&gt;"""", GOOGLETRANSLATE(G9108, ""en"", ""te""),"""")"),"")</f>
        <v/>
      </c>
      <c r="I9108" s="3"/>
    </row>
    <row r="9109" customHeight="1" spans="1:9">
      <c r="A9109" s="2" t="s">
        <v>5208</v>
      </c>
      <c r="B9109" s="2" t="str">
        <f>IFERROR(__xludf.DUMMYFUNCTION("IF(A9109&lt;&gt;"""", GOOGLETRANSLATE(A9109, ""en"", ""te""),"""")"),"[ 'ఒకే క్రీడా 5 వ అత్యధిక వికెట్లు (19)', '1 వ వరుస నాలుగు వికెట్లు-ఇన్-ఒక-ఇన్నింగ్స్ (2)' '5 వ ఉత్తమ కెరీర్ సగటు (16.25) బౌలింగ్', '1 వ బౌలర్ / బ్యాట్స్ కలయికలు ( 4) ',' 50 వికెట్లు వేగంగా 6 వ (35) ']")</f>
        <v>[ 'ఒకే క్రీడా 5 వ అత్యధిక వికెట్లు (19)', '1 వ వరుస నాలుగు వికెట్లు-ఇన్-ఒక-ఇన్నింగ్స్ (2)' '5 వ ఉత్తమ కెరీర్ సగటు (16.25) బౌలింగ్', '1 వ బౌలర్ / బ్యాట్స్ కలయికలు ( 4) ',' 50 వికెట్లు వేగంగా 6 వ (35) ']</v>
      </c>
      <c r="C9109" s="2"/>
      <c r="D9109" s="2" t="str">
        <f>IFERROR(__xludf.DUMMYFUNCTION("IF(C9109&lt;&gt;"""", GOOGLETRANSLATE(C9109, ""en"", ""te""),"""")"),"")</f>
        <v/>
      </c>
      <c r="E9109" s="2" t="s">
        <v>1904</v>
      </c>
      <c r="F9109" s="2" t="str">
        <f>IFERROR(__xludf.DUMMYFUNCTION("IF(E9109&lt;&gt;"""", GOOGLETRANSLATE(E9109, ""en"", ""te""),"""")"),"[ '42 వ ఒక సిరీస్లో అత్యధిక వికెట్లు (18)']")</f>
        <v>[ '42 వ ఒక సిరీస్లో అత్యధిక వికెట్లు (18)']</v>
      </c>
      <c r="G9109" s="2" t="s">
        <v>5209</v>
      </c>
      <c r="H9109" s="2" t="str">
        <f>IFERROR(__xludf.DUMMYFUNCTION("IF(G9109&lt;&gt;"""", GOOGLETRANSLATE(G9109, ""en"", ""te""),"""")"),"[ '35 వ కెరీర్ లో అత్యధిక వికెట్లు (51)', '13 వ ఒక క్యాలెండర్ సంవత్సరంలో అత్యధిక వికెట్లు (24)', 'ఇన్నింగ్స్ లో 17 వ అత్యుత్తమ బౌలింగ్ విశ్లేషణలు (3/7)', '5 వ ఒకే మైదానంలో అత్యధిక వికెట్లు (19 ) ',' 8 వ ఒక ఇన్నింగ్స్ లోని బెస్ట్ ఫిగర్స్ ఉన్నప్పుడు పరాజయం"&amp;" వైపు (4) ',' 5 వ సగటు (16.25) ',' 25 వ ఉత్తమ కెరీర్ ఆర్థిక రేటు (6.78) ',' 9 వ ఉత్తమ కెరీర్ సమ్మె రేటు బౌలింగ్ ఉత్తమ వృత్తిని (14.3 ) ',' 7 వ అత్యంత నాలుగు వికెట్లు-ఇన్-ఒక-ఇన్నింగ్స్ కెరీర్లో (3) ',' 1 వ వరుస నాలుగు వికెట్లు-ఇన్-ఒక-ఇన్నింగ్స్ (2) ',' 1 "&amp;"వ బౌలర్ / బ్యాట్స్ కలయికలు (4) ',' 20 వ అత్యధిక వికెట్లు తీసుకున్న బౌల్డ్ (14) ',' 22 వ అత్యధిక వికెట్లు ఒక వికెట్ కీపర్ చే కాట్ తీసుకోకూడదు (7) ',' 9 వ అత్యధిక వికెట్లు తీసుకున్న ఎల్బిడబ్ల్యు (8) ',' 50 వికెట్లు (35) ',' 6 వ వేగవంతమైన 29 వ అత్యధిక జట్టు"&amp;" వరుస మ్యాచ్లు (35 *) ',' 19 వ కెరీర్ (3) అత్యంత పనికత్తెలయొద్ద ']")</f>
        <v>[ '35 వ కెరీర్ లో అత్యధిక వికెట్లు (51)', '13 వ ఒక క్యాలెండర్ సంవత్సరంలో అత్యధిక వికెట్లు (24)', 'ఇన్నింగ్స్ లో 17 వ అత్యుత్తమ బౌలింగ్ విశ్లేషణలు (3/7)', '5 వ ఒకే మైదానంలో అత్యధిక వికెట్లు (19 ) ',' 8 వ ఒక ఇన్నింగ్స్ లోని బెస్ట్ ఫిగర్స్ ఉన్నప్పుడు పరాజయం వైపు (4) ',' 5 వ సగటు (16.25) ',' 25 వ ఉత్తమ కెరీర్ ఆర్థిక రేటు (6.78) ',' 9 వ ఉత్తమ కెరీర్ సమ్మె రేటు బౌలింగ్ ఉత్తమ వృత్తిని (14.3 ) ',' 7 వ అత్యంత నాలుగు వికెట్లు-ఇన్-ఒక-ఇన్నింగ్స్ కెరీర్లో (3) ',' 1 వ వరుస నాలుగు వికెట్లు-ఇన్-ఒక-ఇన్నింగ్స్ (2) ',' 1 వ బౌలర్ / బ్యాట్స్ కలయికలు (4) ',' 20 వ అత్యధిక వికెట్లు తీసుకున్న బౌల్డ్ (14) ',' 22 వ అత్యధిక వికెట్లు ఒక వికెట్ కీపర్ చే కాట్ తీసుకోకూడదు (7) ',' 9 వ అత్యధిక వికెట్లు తీసుకున్న ఎల్బిడబ్ల్యు (8) ',' 50 వికెట్లు (35) ',' 6 వ వేగవంతమైన 29 వ అత్యధిక జట్టు వరుస మ్యాచ్లు (35 *) ',' 19 వ కెరీర్ (3) అత్యంత పనికత్తెలయొద్ద ']</v>
      </c>
      <c r="I9109" s="3"/>
    </row>
    <row r="9110" customHeight="1" spans="1:9">
      <c r="A9110" s="2"/>
      <c r="B9110" s="2" t="str">
        <f>IFERROR(__xludf.DUMMYFUNCTION("IF(A9110&lt;&gt;"""", GOOGLETRANSLATE(A9110, ""en"", ""te""),"""")"),"")</f>
        <v/>
      </c>
      <c r="C9110" s="2"/>
      <c r="D9110" s="2" t="str">
        <f>IFERROR(__xludf.DUMMYFUNCTION("IF(C9110&lt;&gt;"""", GOOGLETRANSLATE(C9110, ""en"", ""te""),"""")"),"")</f>
        <v/>
      </c>
      <c r="E9110" s="2"/>
      <c r="F9110" s="2" t="str">
        <f>IFERROR(__xludf.DUMMYFUNCTION("IF(E9110&lt;&gt;"""", GOOGLETRANSLATE(E9110, ""en"", ""te""),"""")"),"")</f>
        <v/>
      </c>
      <c r="G9110" s="2" t="s">
        <v>5210</v>
      </c>
      <c r="H9110" s="2" t="str">
        <f>IFERROR(__xludf.DUMMYFUNCTION("IF(G9110&lt;&gt;"""", GOOGLETRANSLATE(G9110, ""en"", ""te""),"""")"),"[ '28 ఇన్నింగ్స్ లో అత్యధిక పరుగులు (25 *) (బ్యాటింగ్ స్థానం)', 'పదవ వికెట్కు 20 వ అత్యధిక భాగస్వామ్యం (21 *)']")</f>
        <v>[ '28 ఇన్నింగ్స్ లో అత్యధిక పరుగులు (25 *) (బ్యాటింగ్ స్థానం)', 'పదవ వికెట్కు 20 వ అత్యధిక భాగస్వామ్యం (21 *)']</v>
      </c>
      <c r="I9110" s="3"/>
    </row>
    <row r="9111" customHeight="1" spans="1:9">
      <c r="A9111" s="2"/>
      <c r="B9111" s="2" t="str">
        <f>IFERROR(__xludf.DUMMYFUNCTION("IF(A9111&lt;&gt;"""", GOOGLETRANSLATE(A9111, ""en"", ""te""),"""")"),"")</f>
        <v/>
      </c>
      <c r="C9111" s="2"/>
      <c r="D9111" s="2" t="str">
        <f>IFERROR(__xludf.DUMMYFUNCTION("IF(C9111&lt;&gt;"""", GOOGLETRANSLATE(C9111, ""en"", ""te""),"""")"),"")</f>
        <v/>
      </c>
      <c r="E9111" s="2"/>
      <c r="F9111" s="2" t="str">
        <f>IFERROR(__xludf.DUMMYFUNCTION("IF(E9111&lt;&gt;"""", GOOGLETRANSLATE(E9111, ""en"", ""te""),"""")"),"")</f>
        <v/>
      </c>
      <c r="G9111" s="2"/>
      <c r="H9111" s="2" t="str">
        <f>IFERROR(__xludf.DUMMYFUNCTION("IF(G9111&lt;&gt;"""", GOOGLETRANSLATE(G9111, ""en"", ""te""),"""")"),"")</f>
        <v/>
      </c>
      <c r="I9111" s="3"/>
    </row>
    <row r="9112" customHeight="1" spans="1:9">
      <c r="A9112" s="2"/>
      <c r="B9112" s="2" t="str">
        <f>IFERROR(__xludf.DUMMYFUNCTION("IF(A9112&lt;&gt;"""", GOOGLETRANSLATE(A9112, ""en"", ""te""),"""")"),"")</f>
        <v/>
      </c>
      <c r="C9112" s="2"/>
      <c r="D9112" s="2" t="str">
        <f>IFERROR(__xludf.DUMMYFUNCTION("IF(C9112&lt;&gt;"""", GOOGLETRANSLATE(C9112, ""en"", ""te""),"""")"),"")</f>
        <v/>
      </c>
      <c r="E9112" s="2"/>
      <c r="F9112" s="2" t="str">
        <f>IFERROR(__xludf.DUMMYFUNCTION("IF(E9112&lt;&gt;"""", GOOGLETRANSLATE(E9112, ""en"", ""te""),"""")"),"")</f>
        <v/>
      </c>
      <c r="G9112" s="2"/>
      <c r="H9112" s="2" t="str">
        <f>IFERROR(__xludf.DUMMYFUNCTION("IF(G9112&lt;&gt;"""", GOOGLETRANSLATE(G9112, ""en"", ""te""),"""")"),"")</f>
        <v/>
      </c>
      <c r="I9112" s="3"/>
    </row>
    <row r="9113" customHeight="1" spans="1:9">
      <c r="A9113" s="2"/>
      <c r="B9113" s="2" t="str">
        <f>IFERROR(__xludf.DUMMYFUNCTION("IF(A9113&lt;&gt;"""", GOOGLETRANSLATE(A9113, ""en"", ""te""),"""")"),"")</f>
        <v/>
      </c>
      <c r="C9113" s="2"/>
      <c r="D9113" s="2" t="str">
        <f>IFERROR(__xludf.DUMMYFUNCTION("IF(C9113&lt;&gt;"""", GOOGLETRANSLATE(C9113, ""en"", ""te""),"""")"),"")</f>
        <v/>
      </c>
      <c r="E9113" s="2"/>
      <c r="F9113" s="2" t="str">
        <f>IFERROR(__xludf.DUMMYFUNCTION("IF(E9113&lt;&gt;"""", GOOGLETRANSLATE(E9113, ""en"", ""te""),"""")"),"")</f>
        <v/>
      </c>
      <c r="G9113" s="2" t="s">
        <v>5211</v>
      </c>
      <c r="H9113" s="2" t="str">
        <f>IFERROR(__xludf.DUMMYFUNCTION("IF(G9113&lt;&gt;"""", GOOGLETRANSLATE(G9113, ""en"", ""te""),"""")"),"[ '16 వ పిన్న క్రీడాకారులు (12y 348d)']")</f>
        <v>[ '16 వ పిన్న క్రీడాకారులు (12y 348d)']</v>
      </c>
      <c r="I9113" s="3"/>
    </row>
    <row r="9114" customHeight="1" spans="1:9">
      <c r="A9114" s="2" t="s">
        <v>5212</v>
      </c>
      <c r="B9114" s="2" t="str">
        <f>IFERROR(__xludf.DUMMYFUNCTION("IF(A9114&lt;&gt;"""", GOOGLETRANSLATE(A9114, ""en"", ""te""),"""")"),"[ 'ఎనిమిదవ వికెట్కు 5 వ అత్యధిక భాగస్వామ్యం (38)']")</f>
        <v>[ 'ఎనిమిదవ వికెట్కు 5 వ అత్యధిక భాగస్వామ్యం (38)']</v>
      </c>
      <c r="C9114" s="2"/>
      <c r="D9114" s="2" t="str">
        <f>IFERROR(__xludf.DUMMYFUNCTION("IF(C9114&lt;&gt;"""", GOOGLETRANSLATE(C9114, ""en"", ""te""),"""")"),"")</f>
        <v/>
      </c>
      <c r="E9114" s="2"/>
      <c r="F9114" s="2" t="str">
        <f>IFERROR(__xludf.DUMMYFUNCTION("IF(E9114&lt;&gt;"""", GOOGLETRANSLATE(E9114, ""en"", ""te""),"""")"),"")</f>
        <v/>
      </c>
      <c r="G9114" s="2" t="s">
        <v>5212</v>
      </c>
      <c r="H9114" s="2" t="str">
        <f>IFERROR(__xludf.DUMMYFUNCTION("IF(G9114&lt;&gt;"""", GOOGLETRANSLATE(G9114, ""en"", ""te""),"""")"),"[ 'ఎనిమిదవ వికెట్కు 5 వ అత్యధిక భాగస్వామ్యం (38)']")</f>
        <v>[ 'ఎనిమిదవ వికెట్కు 5 వ అత్యధిక భాగస్వామ్యం (38)']</v>
      </c>
      <c r="I9114" s="3"/>
    </row>
    <row r="9115" customHeight="1" spans="1:9">
      <c r="A9115" s="2"/>
      <c r="B9115" s="2" t="str">
        <f>IFERROR(__xludf.DUMMYFUNCTION("IF(A9115&lt;&gt;"""", GOOGLETRANSLATE(A9115, ""en"", ""te""),"""")"),"")</f>
        <v/>
      </c>
      <c r="C9115" s="2"/>
      <c r="D9115" s="2" t="str">
        <f>IFERROR(__xludf.DUMMYFUNCTION("IF(C9115&lt;&gt;"""", GOOGLETRANSLATE(C9115, ""en"", ""te""),"""")"),"")</f>
        <v/>
      </c>
      <c r="E9115" s="2"/>
      <c r="F9115" s="2" t="str">
        <f>IFERROR(__xludf.DUMMYFUNCTION("IF(E9115&lt;&gt;"""", GOOGLETRANSLATE(E9115, ""en"", ""te""),"""")"),"")</f>
        <v/>
      </c>
      <c r="G9115" s="2"/>
      <c r="H9115" s="2" t="str">
        <f>IFERROR(__xludf.DUMMYFUNCTION("IF(G9115&lt;&gt;"""", GOOGLETRANSLATE(G9115, ""en"", ""te""),"""")"),"")</f>
        <v/>
      </c>
      <c r="I9115" s="3"/>
    </row>
    <row r="9116" customHeight="1" spans="1:9">
      <c r="A9116" s="2"/>
      <c r="B9116" s="2" t="str">
        <f>IFERROR(__xludf.DUMMYFUNCTION("IF(A9116&lt;&gt;"""", GOOGLETRANSLATE(A9116, ""en"", ""te""),"""")"),"")</f>
        <v/>
      </c>
      <c r="C9116" s="2"/>
      <c r="D9116" s="2" t="str">
        <f>IFERROR(__xludf.DUMMYFUNCTION("IF(C9116&lt;&gt;"""", GOOGLETRANSLATE(C9116, ""en"", ""te""),"""")"),"")</f>
        <v/>
      </c>
      <c r="E9116" s="2"/>
      <c r="F9116" s="2" t="str">
        <f>IFERROR(__xludf.DUMMYFUNCTION("IF(E9116&lt;&gt;"""", GOOGLETRANSLATE(E9116, ""en"", ""te""),"""")"),"")</f>
        <v/>
      </c>
      <c r="G9116" s="2"/>
      <c r="H9116" s="2" t="str">
        <f>IFERROR(__xludf.DUMMYFUNCTION("IF(G9116&lt;&gt;"""", GOOGLETRANSLATE(G9116, ""en"", ""te""),"""")"),"")</f>
        <v/>
      </c>
      <c r="I9116" s="3"/>
    </row>
    <row r="9117" customHeight="1" spans="1:9">
      <c r="A9117" s="2"/>
      <c r="B9117" s="2" t="str">
        <f>IFERROR(__xludf.DUMMYFUNCTION("IF(A9117&lt;&gt;"""", GOOGLETRANSLATE(A9117, ""en"", ""te""),"""")"),"")</f>
        <v/>
      </c>
      <c r="C9117" s="2"/>
      <c r="D9117" s="2" t="str">
        <f>IFERROR(__xludf.DUMMYFUNCTION("IF(C9117&lt;&gt;"""", GOOGLETRANSLATE(C9117, ""en"", ""te""),"""")"),"")</f>
        <v/>
      </c>
      <c r="E9117" s="2"/>
      <c r="F9117" s="2" t="str">
        <f>IFERROR(__xludf.DUMMYFUNCTION("IF(E9117&lt;&gt;"""", GOOGLETRANSLATE(E9117, ""en"", ""te""),"""")"),"")</f>
        <v/>
      </c>
      <c r="G9117" s="2" t="s">
        <v>5213</v>
      </c>
      <c r="H9117" s="2" t="str">
        <f>IFERROR(__xludf.DUMMYFUNCTION("IF(G9117&lt;&gt;"""", GOOGLETRANSLATE(G9117, ""en"", ""te""),"""")"),"[ '42 వ ఒక క్యాలెండర్ సంవత్సరంలో అత్యధిక పరుగులు (399)', '23 వ ఇన్నింగ్స్ తొలి డక్ ముందు (22)', 'రెండవ వికెట్కు 20 వ అత్యధిక భాగస్వామ్యం (126)', నాలుగో వికెట్కు '47 వ అత్యధిక భాగస్వామ్యం (83) ',' ఎనిమిదవ వికెట్కు 14 అత్యధిక భాగస్వామ్యం (50 *) ']")</f>
        <v>[ '42 వ ఒక క్యాలెండర్ సంవత్సరంలో అత్యధిక పరుగులు (399)', '23 వ ఇన్నింగ్స్ తొలి డక్ ముందు (22)', 'రెండవ వికెట్కు 20 వ అత్యధిక భాగస్వామ్యం (126)', నాలుగో వికెట్కు '47 వ అత్యధిక భాగస్వామ్యం (83) ',' ఎనిమిదవ వికెట్కు 14 అత్యధిక భాగస్వామ్యం (50 *) ']</v>
      </c>
      <c r="I9117" s="3"/>
    </row>
    <row r="9118" customHeight="1" spans="1:9">
      <c r="A9118" s="2" t="s">
        <v>5214</v>
      </c>
      <c r="B9118" s="2" t="str">
        <f>IFERROR(__xludf.DUMMYFUNCTION("IF(A9118&lt;&gt;"""", GOOGLETRANSLATE(A9118, ""en"", ""te""),"""")"),"[ 'కెప్టెన్సీ ప్రవేశం (38y 174d) లో 5 వ ఓల్డెస్ట్ కెప్టెన్లు', '1 వ అత్యంత ఇన్నింగ్స్ లో సాధించిన బైస్ (9)']")</f>
        <v>[ 'కెప్టెన్సీ ప్రవేశం (38y 174d) లో 5 వ ఓల్డెస్ట్ కెప్టెన్లు', '1 వ అత్యంత ఇన్నింగ్స్ లో సాధించిన బైస్ (9)']</v>
      </c>
      <c r="C9118" s="2"/>
      <c r="D9118" s="2" t="str">
        <f>IFERROR(__xludf.DUMMYFUNCTION("IF(C9118&lt;&gt;"""", GOOGLETRANSLATE(C9118, ""en"", ""te""),"""")"),"")</f>
        <v/>
      </c>
      <c r="E9118" s="2"/>
      <c r="F9118" s="2" t="str">
        <f>IFERROR(__xludf.DUMMYFUNCTION("IF(E9118&lt;&gt;"""", GOOGLETRANSLATE(E9118, ""en"", ""te""),"""")"),"")</f>
        <v/>
      </c>
      <c r="G9118" s="2" t="s">
        <v>5215</v>
      </c>
      <c r="H9118" s="2" t="str">
        <f>IFERROR(__xludf.DUMMYFUNCTION("IF(G9118&lt;&gt;"""", GOOGLETRANSLATE(G9118, ""en"", ""te""),"""")"),"[ 'తొలి 38 వ ఓల్డెస్ట్ క్రీడాకారులు (38y 174d)', '47 వ ఓల్డెస్ట్ క్రీడాకారులు (38y 196d)', '6 వ ఓల్డెస్ట్ కాప్టెన్ (38y 196d)', 'వికెట్ (6) ఉంచింది చేసిన 8 వ కెప్టెన్ల', '5 వ ఓల్డెస్ట్ కెప్టెన్లు కెప్టెన్సీ ప్రవేశం (38y 174d) ',' 1 వ అత్యంత ఇన్నింగ్స్ లో "&amp;"సాధించిన బైస్ (9) ']")</f>
        <v>[ 'తొలి 38 వ ఓల్డెస్ట్ క్రీడాకారులు (38y 174d)', '47 వ ఓల్డెస్ట్ క్రీడాకారులు (38y 196d)', '6 వ ఓల్డెస్ట్ కాప్టెన్ (38y 196d)', 'వికెట్ (6) ఉంచింది చేసిన 8 వ కెప్టెన్ల', '5 వ ఓల్డెస్ట్ కెప్టెన్లు కెప్టెన్సీ ప్రవేశం (38y 174d) ',' 1 వ అత్యంత ఇన్నింగ్స్ లో సాధించిన బైస్ (9) ']</v>
      </c>
      <c r="I9118" s="3"/>
    </row>
    <row r="9119" customHeight="1" spans="1:9">
      <c r="A9119" s="2"/>
      <c r="B9119" s="2" t="str">
        <f>IFERROR(__xludf.DUMMYFUNCTION("IF(A9119&lt;&gt;"""", GOOGLETRANSLATE(A9119, ""en"", ""te""),"""")"),"")</f>
        <v/>
      </c>
      <c r="C9119" s="2"/>
      <c r="D9119" s="2" t="str">
        <f>IFERROR(__xludf.DUMMYFUNCTION("IF(C9119&lt;&gt;"""", GOOGLETRANSLATE(C9119, ""en"", ""te""),"""")"),"")</f>
        <v/>
      </c>
      <c r="E9119" s="2"/>
      <c r="F9119" s="2" t="str">
        <f>IFERROR(__xludf.DUMMYFUNCTION("IF(E9119&lt;&gt;"""", GOOGLETRANSLATE(E9119, ""en"", ""te""),"""")"),"")</f>
        <v/>
      </c>
      <c r="G9119" s="2"/>
      <c r="H9119" s="2" t="str">
        <f>IFERROR(__xludf.DUMMYFUNCTION("IF(G9119&lt;&gt;"""", GOOGLETRANSLATE(G9119, ""en"", ""te""),"""")"),"")</f>
        <v/>
      </c>
      <c r="I9119" s="3"/>
    </row>
    <row r="9120" customHeight="1" spans="1:9">
      <c r="A9120" s="2"/>
      <c r="B9120" s="2" t="str">
        <f>IFERROR(__xludf.DUMMYFUNCTION("IF(A9120&lt;&gt;"""", GOOGLETRANSLATE(A9120, ""en"", ""te""),"""")"),"")</f>
        <v/>
      </c>
      <c r="C9120" s="2"/>
      <c r="D9120" s="2" t="str">
        <f>IFERROR(__xludf.DUMMYFUNCTION("IF(C9120&lt;&gt;"""", GOOGLETRANSLATE(C9120, ""en"", ""te""),"""")"),"")</f>
        <v/>
      </c>
      <c r="E9120" s="2"/>
      <c r="F9120" s="2" t="str">
        <f>IFERROR(__xludf.DUMMYFUNCTION("IF(E9120&lt;&gt;"""", GOOGLETRANSLATE(E9120, ""en"", ""te""),"""")"),"")</f>
        <v/>
      </c>
      <c r="G9120" s="2" t="s">
        <v>5216</v>
      </c>
      <c r="H9120" s="2" t="str">
        <f>IFERROR(__xludf.DUMMYFUNCTION("IF(G9120&lt;&gt;"""", GOOGLETRANSLATE(G9120, ""en"", ""te""),"""")"),"[ 'కెరీర్లో 47 వ లేవు బాతులు (14)', 'ఏడవ వికెట్కు 20 వ అత్యధిక భాగస్వామ్యం (57)']")</f>
        <v>[ 'కెరీర్లో 47 వ లేవు బాతులు (14)', 'ఏడవ వికెట్కు 20 వ అత్యధిక భాగస్వామ్యం (57)']</v>
      </c>
      <c r="I9120" s="3"/>
    </row>
    <row r="9121" customHeight="1" spans="1:9">
      <c r="A9121" s="2" t="s">
        <v>5217</v>
      </c>
      <c r="B9121" s="2" t="str">
        <f>IFERROR(__xludf.DUMMYFUNCTION("IF(A9121&lt;&gt;"""", GOOGLETRANSLATE(A9121, ""en"", ""te""),"""")"),"[ 'కెప్టెన్ (4) ఒక ఇన్నింగ్స్ లో 4 వ బెస్ట్ ఫిగర్స్' '8 వ ఉత్తమ కెరీర్ బౌలింగ్ సరాసరి (16.85)', '3 వ అత్యంత క్యాచ్ మరియు బౌల్డ్ తీసుకోబడిన వికెట్ల (5)']")</f>
        <v>[ 'కెప్టెన్ (4) ఒక ఇన్నింగ్స్ లో 4 వ బెస్ట్ ఫిగర్స్' '8 వ ఉత్తమ కెరీర్ బౌలింగ్ సరాసరి (16.85)', '3 వ అత్యంత క్యాచ్ మరియు బౌల్డ్ తీసుకోబడిన వికెట్ల (5)']</v>
      </c>
      <c r="C9121" s="2"/>
      <c r="D9121" s="2" t="str">
        <f>IFERROR(__xludf.DUMMYFUNCTION("IF(C9121&lt;&gt;"""", GOOGLETRANSLATE(C9121, ""en"", ""te""),"""")"),"")</f>
        <v/>
      </c>
      <c r="E9121" s="2"/>
      <c r="F9121" s="2" t="str">
        <f>IFERROR(__xludf.DUMMYFUNCTION("IF(E9121&lt;&gt;"""", GOOGLETRANSLATE(E9121, ""en"", ""te""),"""")"),"")</f>
        <v/>
      </c>
      <c r="G9121" s="2" t="s">
        <v>5218</v>
      </c>
      <c r="H9121" s="2" t="str">
        <f>IFERROR(__xludf.DUMMYFUNCTION("IF(G9121&lt;&gt;"""", GOOGLETRANSLATE(G9121, ""en"", ""te""),"""")"),"[ '44 వ తొలి డక్ ముందు అత్యంత ఇన్నింగ్స్ (16)', '30th ఒక క్యాలెండర్ సంవత్సరంలో అత్యధిక వికెట్లు (21)', '25 వ ఒకే మైదానంలో అత్యధిక వికెట్లు (13)', 'ఒక కెప్టెన్తో ఒక ఇన్నింగ్స్ లో 4 వ బెస్ట్ ఫిగర్స్ ( 4) ',' 8 వ ఉత్తమ కెరీర్ బౌలింగ్ సరాసరి (16.85) ',' 15 వ"&amp;" ఉత్తమ కెరీర్ ఆర్థిక రేటు (6.48) ',' 16 వ ఉత్తమ కెరీర్ సమ్మె రేటు (15.6) ',' 16 వ అత్యంత నాలుగు వికెట్లు-ఇన్-ఒక ఇన్నింగ్స్లో ఒక కెరీర్ (2) ',' 38 వ అత్యధిక వికెట్లు బౌల్డ్ తీసుకున్న (11) ',' 3 వ అత్యంత తీసుకున్న క్యాచ్ మరియు బౌల్డ్ (5) ',' 42 వ ఏ వికెట్కు"&amp;" అత్యధిక భాగస్వామ్యాల (132 *) ',' కోసం 23 అత్యధిక భాగస్వామ్యం వికెట్లు తొలి వికెట్కు (132 *) ']")</f>
        <v>[ '44 వ తొలి డక్ ముందు అత్యంత ఇన్నింగ్స్ (16)', '30th ఒక క్యాలెండర్ సంవత్సరంలో అత్యధిక వికెట్లు (21)', '25 వ ఒకే మైదానంలో అత్యధిక వికెట్లు (13)', 'ఒక కెప్టెన్తో ఒక ఇన్నింగ్స్ లో 4 వ బెస్ట్ ఫిగర్స్ ( 4) ',' 8 వ ఉత్తమ కెరీర్ బౌలింగ్ సరాసరి (16.85) ',' 15 వ ఉత్తమ కెరీర్ ఆర్థిక రేటు (6.48) ',' 16 వ ఉత్తమ కెరీర్ సమ్మె రేటు (15.6) ',' 16 వ అత్యంత నాలుగు వికెట్లు-ఇన్-ఒక ఇన్నింగ్స్లో ఒక కెరీర్ (2) ',' 38 వ అత్యధిక వికెట్లు బౌల్డ్ తీసుకున్న (11) ',' 3 వ అత్యంత తీసుకున్న క్యాచ్ మరియు బౌల్డ్ (5) ',' 42 వ ఏ వికెట్కు అత్యధిక భాగస్వామ్యాల (132 *) ',' కోసం 23 అత్యధిక భాగస్వామ్యం వికెట్లు తొలి వికెట్కు (132 *) ']</v>
      </c>
      <c r="I9121" s="3"/>
    </row>
    <row r="9122" customHeight="1" spans="1:9">
      <c r="A9122" s="2"/>
      <c r="B9122" s="2" t="str">
        <f>IFERROR(__xludf.DUMMYFUNCTION("IF(A9122&lt;&gt;"""", GOOGLETRANSLATE(A9122, ""en"", ""te""),"""")"),"")</f>
        <v/>
      </c>
      <c r="C9122" s="2"/>
      <c r="D9122" s="2" t="str">
        <f>IFERROR(__xludf.DUMMYFUNCTION("IF(C9122&lt;&gt;"""", GOOGLETRANSLATE(C9122, ""en"", ""te""),"""")"),"")</f>
        <v/>
      </c>
      <c r="E9122" s="2"/>
      <c r="F9122" s="2" t="str">
        <f>IFERROR(__xludf.DUMMYFUNCTION("IF(E9122&lt;&gt;"""", GOOGLETRANSLATE(E9122, ""en"", ""te""),"""")"),"")</f>
        <v/>
      </c>
      <c r="G9122" s="2" t="s">
        <v>5219</v>
      </c>
      <c r="H9122" s="2" t="str">
        <f>IFERROR(__xludf.DUMMYFUNCTION("IF(G9122&lt;&gt;"""", GOOGLETRANSLATE(G9122, ""en"", ""te""),"""")"),"[ 'కెప్టెన్సీ తొలి 44 వ ఓల్డెస్ట్ కాప్టెన్ (35y 114d)', '19 వ కెరీర్ (3) అత్యంత పనికత్తెలయొద్ద']")</f>
        <v>[ 'కెప్టెన్సీ తొలి 44 వ ఓల్డెస్ట్ కాప్టెన్ (35y 114d)', '19 వ కెరీర్ (3) అత్యంత పనికత్తెలయొద్ద']</v>
      </c>
      <c r="I9122" s="3"/>
    </row>
    <row r="9123" customHeight="1" spans="1:9">
      <c r="A9123" s="2"/>
      <c r="B9123" s="2" t="str">
        <f>IFERROR(__xludf.DUMMYFUNCTION("IF(A9123&lt;&gt;"""", GOOGLETRANSLATE(A9123, ""en"", ""te""),"""")"),"")</f>
        <v/>
      </c>
      <c r="C9123" s="2"/>
      <c r="D9123" s="2" t="str">
        <f>IFERROR(__xludf.DUMMYFUNCTION("IF(C9123&lt;&gt;"""", GOOGLETRANSLATE(C9123, ""en"", ""te""),"""")"),"")</f>
        <v/>
      </c>
      <c r="E9123" s="2"/>
      <c r="F9123" s="2" t="str">
        <f>IFERROR(__xludf.DUMMYFUNCTION("IF(E9123&lt;&gt;"""", GOOGLETRANSLATE(E9123, ""en"", ""te""),"""")"),"")</f>
        <v/>
      </c>
      <c r="G9123" s="2" t="s">
        <v>5220</v>
      </c>
      <c r="H9123" s="2" t="str">
        <f>IFERROR(__xludf.DUMMYFUNCTION("IF(G9123&lt;&gt;"""", GOOGLETRANSLATE(G9123, ""en"", ""te""),"""")"),"[ '23 వ అత్యధిక పరుగులు ఇన్నింగ్స్ (49) లో సాధించిన]")</f>
        <v>[ '23 వ అత్యధిక పరుగులు ఇన్నింగ్స్ (49) లో సాధించిన]</v>
      </c>
      <c r="I9123" s="3"/>
    </row>
    <row r="9124" customHeight="1" spans="1:9">
      <c r="A9124" s="2"/>
      <c r="B9124" s="2" t="str">
        <f>IFERROR(__xludf.DUMMYFUNCTION("IF(A9124&lt;&gt;"""", GOOGLETRANSLATE(A9124, ""en"", ""te""),"""")"),"")</f>
        <v/>
      </c>
      <c r="C9124" s="2"/>
      <c r="D9124" s="2" t="str">
        <f>IFERROR(__xludf.DUMMYFUNCTION("IF(C9124&lt;&gt;"""", GOOGLETRANSLATE(C9124, ""en"", ""te""),"""")"),"")</f>
        <v/>
      </c>
      <c r="E9124" s="2"/>
      <c r="F9124" s="2" t="str">
        <f>IFERROR(__xludf.DUMMYFUNCTION("IF(E9124&lt;&gt;"""", GOOGLETRANSLATE(E9124, ""en"", ""te""),"""")"),"")</f>
        <v/>
      </c>
      <c r="G9124" s="2"/>
      <c r="H9124" s="2" t="str">
        <f>IFERROR(__xludf.DUMMYFUNCTION("IF(G9124&lt;&gt;"""", GOOGLETRANSLATE(G9124, ""en"", ""te""),"""")"),"")</f>
        <v/>
      </c>
      <c r="I9124" s="3"/>
    </row>
    <row r="9125" customHeight="1" spans="1:9">
      <c r="A9125" s="2"/>
      <c r="B9125" s="2" t="str">
        <f>IFERROR(__xludf.DUMMYFUNCTION("IF(A9125&lt;&gt;"""", GOOGLETRANSLATE(A9125, ""en"", ""te""),"""")"),"")</f>
        <v/>
      </c>
      <c r="C9125" s="2"/>
      <c r="D9125" s="2" t="str">
        <f>IFERROR(__xludf.DUMMYFUNCTION("IF(C9125&lt;&gt;"""", GOOGLETRANSLATE(C9125, ""en"", ""te""),"""")"),"")</f>
        <v/>
      </c>
      <c r="E9125" s="2"/>
      <c r="F9125" s="2" t="str">
        <f>IFERROR(__xludf.DUMMYFUNCTION("IF(E9125&lt;&gt;"""", GOOGLETRANSLATE(E9125, ""en"", ""te""),"""")"),"")</f>
        <v/>
      </c>
      <c r="G9125" s="2"/>
      <c r="H9125" s="2" t="str">
        <f>IFERROR(__xludf.DUMMYFUNCTION("IF(G9125&lt;&gt;"""", GOOGLETRANSLATE(G9125, ""en"", ""te""),"""")"),"")</f>
        <v/>
      </c>
      <c r="I9125" s="3"/>
    </row>
    <row r="9126" customHeight="1" spans="1:9">
      <c r="A9126" s="2" t="s">
        <v>814</v>
      </c>
      <c r="B9126" s="2" t="str">
        <f>IFERROR(__xludf.DUMMYFUNCTION("IF(A9126&lt;&gt;"""", GOOGLETRANSLATE(A9126, ""en"", ""te""),"""")"),"[ 'ఒక ఇన్నింగ్స్ లో 8 వ బెస్ట్ ఫిగర్స్ ఉన్నప్పుడు పరాజయం వైపు (4)']")</f>
        <v>[ 'ఒక ఇన్నింగ్స్ లో 8 వ బెస్ట్ ఫిగర్స్ ఉన్నప్పుడు పరాజయం వైపు (4)']</v>
      </c>
      <c r="C9126" s="2"/>
      <c r="D9126" s="2" t="str">
        <f>IFERROR(__xludf.DUMMYFUNCTION("IF(C9126&lt;&gt;"""", GOOGLETRANSLATE(C9126, ""en"", ""te""),"""")"),"")</f>
        <v/>
      </c>
      <c r="E9126" s="2" t="s">
        <v>5221</v>
      </c>
      <c r="F9126" s="2" t="str">
        <f>IFERROR(__xludf.DUMMYFUNCTION("IF(E9126&lt;&gt;"""", GOOGLETRANSLATE(E9126, ""en"", ""te""),"""")"),"[ 'తొలి 50 వ ఓల్డెస్ట్ క్రీడాకారులు (36y 235d)']")</f>
        <v>[ 'తొలి 50 వ ఓల్డెస్ట్ క్రీడాకారులు (36y 235d)']</v>
      </c>
      <c r="G9126" s="2" t="s">
        <v>5222</v>
      </c>
      <c r="H9126" s="2" t="str">
        <f>IFERROR(__xludf.DUMMYFUNCTION("IF(G9126&lt;&gt;"""", GOOGLETRANSLATE(G9126, ""en"", ""te""),"""")"),"[ '50 వ ఒక క్యాలెండర్ సంవత్సరంలో అత్యధిక వికెట్లు (18)', '8 వ ఒక ఇన్నింగ్స్ లోని బెస్ట్ ఫిగర్స్ పరాజయం వైపు (4) ఉన్నప్పుడు', '48 వ అత్యధిక వికెట్లు తీసుకున్న బౌల్డ్ (10)', '48 వ అత్యధిక వికెట్లు ఒక పట్టుకుంటే తీసుకున్న వికెట్కీపర్గా (5) ',' 15 వ ఇన్నింగ్"&amp;"స్ లో అత్యధిక క్యాచ్లు (3) ']")</f>
        <v>[ '50 వ ఒక క్యాలెండర్ సంవత్సరంలో అత్యధిక వికెట్లు (18)', '8 వ ఒక ఇన్నింగ్స్ లోని బెస్ట్ ఫిగర్స్ పరాజయం వైపు (4) ఉన్నప్పుడు', '48 వ అత్యధిక వికెట్లు తీసుకున్న బౌల్డ్ (10)', '48 వ అత్యధిక వికెట్లు ఒక పట్టుకుంటే తీసుకున్న వికెట్కీపర్గా (5) ',' 15 వ ఇన్నింగ్స్ లో అత్యధిక క్యాచ్లు (3) ']</v>
      </c>
      <c r="I9126" s="3"/>
    </row>
    <row r="9127" customHeight="1" spans="1:9">
      <c r="A9127" s="2"/>
      <c r="B9127" s="2" t="str">
        <f>IFERROR(__xludf.DUMMYFUNCTION("IF(A9127&lt;&gt;"""", GOOGLETRANSLATE(A9127, ""en"", ""te""),"""")"),"")</f>
        <v/>
      </c>
      <c r="C9127" s="2"/>
      <c r="D9127" s="2" t="str">
        <f>IFERROR(__xludf.DUMMYFUNCTION("IF(C9127&lt;&gt;"""", GOOGLETRANSLATE(C9127, ""en"", ""te""),"""")"),"")</f>
        <v/>
      </c>
      <c r="E9127" s="2" t="s">
        <v>5223</v>
      </c>
      <c r="F9127" s="2" t="str">
        <f>IFERROR(__xludf.DUMMYFUNCTION("IF(E9127&lt;&gt;"""", GOOGLETRANSLATE(E9127, ""en"", ""te""),"""")"),"[ 'తొలి 42 వ ఓల్డెస్ట్ క్రీడాకారులు (37y 147d)']")</f>
        <v>[ 'తొలి 42 వ ఓల్డెస్ట్ క్రీడాకారులు (37y 147d)']</v>
      </c>
      <c r="G9127" s="2" t="s">
        <v>5224</v>
      </c>
      <c r="H9127" s="2" t="str">
        <f>IFERROR(__xludf.DUMMYFUNCTION("IF(G9127&lt;&gt;"""", GOOGLETRANSLATE(G9127, ""en"", ""te""),"""")"),"[ '23 వ ఇన్నింగ్స్ లో అత్యధిక పరుగులు (బ్యాటింగ్ స్థానంలో ప్రకారం) (26 *)', 'ఇన్నింగ్స్ లో 31 అత్యధిక స్ట్రైక్ రేట్ (288.88)']")</f>
        <v>[ '23 వ ఇన్నింగ్స్ లో అత్యధిక పరుగులు (బ్యాటింగ్ స్థానంలో ప్రకారం) (26 *)', 'ఇన్నింగ్స్ లో 31 అత్యధిక స్ట్రైక్ రేట్ (288.88)']</v>
      </c>
      <c r="I9127" s="3"/>
    </row>
    <row r="9128" customHeight="1" spans="1:9">
      <c r="A9128" s="2"/>
      <c r="B9128" s="2" t="str">
        <f>IFERROR(__xludf.DUMMYFUNCTION("IF(A9128&lt;&gt;"""", GOOGLETRANSLATE(A9128, ""en"", ""te""),"""")"),"")</f>
        <v/>
      </c>
      <c r="C9128" s="2"/>
      <c r="D9128" s="2" t="str">
        <f>IFERROR(__xludf.DUMMYFUNCTION("IF(C9128&lt;&gt;"""", GOOGLETRANSLATE(C9128, ""en"", ""te""),"""")"),"")</f>
        <v/>
      </c>
      <c r="E9128" s="2"/>
      <c r="F9128" s="2" t="str">
        <f>IFERROR(__xludf.DUMMYFUNCTION("IF(E9128&lt;&gt;"""", GOOGLETRANSLATE(E9128, ""en"", ""te""),"""")"),"")</f>
        <v/>
      </c>
      <c r="G9128" s="2"/>
      <c r="H9128" s="2" t="str">
        <f>IFERROR(__xludf.DUMMYFUNCTION("IF(G9128&lt;&gt;"""", GOOGLETRANSLATE(G9128, ""en"", ""te""),"""")"),"")</f>
        <v/>
      </c>
      <c r="I9128" s="3"/>
    </row>
    <row r="9129" customHeight="1" spans="1:9">
      <c r="A9129" s="2" t="s">
        <v>5225</v>
      </c>
      <c r="B9129" s="2" t="str">
        <f>IFERROR(__xludf.DUMMYFUNCTION("IF(A9129&lt;&gt;"""", GOOGLETRANSLATE(A9129, ""en"", ""te""),"""")"),"[ 'వికెట్ (17) ఉంచింది చేసిన 6 వ కెప్టెన్ల']")</f>
        <v>[ 'వికెట్ (17) ఉంచింది చేసిన 6 వ కెప్టెన్ల']</v>
      </c>
      <c r="C9129" s="2"/>
      <c r="D9129" s="2" t="str">
        <f>IFERROR(__xludf.DUMMYFUNCTION("IF(C9129&lt;&gt;"""", GOOGLETRANSLATE(C9129, ""en"", ""te""),"""")"),"")</f>
        <v/>
      </c>
      <c r="E9129" s="2"/>
      <c r="F9129" s="2" t="str">
        <f>IFERROR(__xludf.DUMMYFUNCTION("IF(E9129&lt;&gt;"""", GOOGLETRANSLATE(E9129, ""en"", ""te""),"""")"),"")</f>
        <v/>
      </c>
      <c r="G9129" s="2" t="s">
        <v>5226</v>
      </c>
      <c r="H9129" s="2" t="str">
        <f>IFERROR(__xludf.DUMMYFUNCTION("IF(G9129&lt;&gt;"""", GOOGLETRANSLATE(G9129, ""en"", ""te""),"""")"),"[ '44 వ కెప్టెన్గా అత్యధిక మ్యాచ్లు (17)', '21 వ ఓల్డెస్ట్ కాప్టెన్ (39y 216d) ',' వికెట్ను కాపాడుకున్నాడు చేసిన 6 వ కెప్టెన్ల (17) ',' కెప్టెన్సీ తొలి 21 వ ఓల్డెస్ట్ కాప్టెన్ (38y 37d) ',' 9 వ విన్నింగ్ ఒక ఇన్నింగ్స్ లో ఒక సిరీస్ లో అన్ని టాస్ (3) ',' 29"&amp;"th కెరీర్లో అత్యధిక క్యాచ్లు (14) ',' 13 వ అత్యధిక క్యాచ్లు (3) ']")</f>
        <v>[ '44 వ కెప్టెన్గా అత్యధిక మ్యాచ్లు (17)', '21 వ ఓల్డెస్ట్ కాప్టెన్ (39y 216d) ',' వికెట్ను కాపాడుకున్నాడు చేసిన 6 వ కెప్టెన్ల (17) ',' కెప్టెన్సీ తొలి 21 వ ఓల్డెస్ట్ కాప్టెన్ (38y 37d) ',' 9 వ విన్నింగ్ ఒక ఇన్నింగ్స్ లో ఒక సిరీస్ లో అన్ని టాస్ (3) ',' 29th కెరీర్లో అత్యధిక క్యాచ్లు (14) ',' 13 వ అత్యధిక క్యాచ్లు (3) ']</v>
      </c>
      <c r="I9129" s="3"/>
    </row>
    <row r="9130" customHeight="1" spans="1:9">
      <c r="A9130" s="2"/>
      <c r="B9130" s="2" t="str">
        <f>IFERROR(__xludf.DUMMYFUNCTION("IF(A9130&lt;&gt;"""", GOOGLETRANSLATE(A9130, ""en"", ""te""),"""")"),"")</f>
        <v/>
      </c>
      <c r="C9130" s="2"/>
      <c r="D9130" s="2" t="str">
        <f>IFERROR(__xludf.DUMMYFUNCTION("IF(C9130&lt;&gt;"""", GOOGLETRANSLATE(C9130, ""en"", ""te""),"""")"),"")</f>
        <v/>
      </c>
      <c r="E9130" s="2"/>
      <c r="F9130" s="2" t="str">
        <f>IFERROR(__xludf.DUMMYFUNCTION("IF(E9130&lt;&gt;"""", GOOGLETRANSLATE(E9130, ""en"", ""te""),"""")"),"")</f>
        <v/>
      </c>
      <c r="G9130" s="2"/>
      <c r="H9130" s="2" t="str">
        <f>IFERROR(__xludf.DUMMYFUNCTION("IF(G9130&lt;&gt;"""", GOOGLETRANSLATE(G9130, ""en"", ""te""),"""")"),"")</f>
        <v/>
      </c>
      <c r="I9130" s="3"/>
    </row>
    <row r="9131" customHeight="1" spans="1:9">
      <c r="A9131" s="2"/>
      <c r="B9131" s="2" t="str">
        <f>IFERROR(__xludf.DUMMYFUNCTION("IF(A9131&lt;&gt;"""", GOOGLETRANSLATE(A9131, ""en"", ""te""),"""")"),"")</f>
        <v/>
      </c>
      <c r="C9131" s="2"/>
      <c r="D9131" s="2" t="str">
        <f>IFERROR(__xludf.DUMMYFUNCTION("IF(C9131&lt;&gt;"""", GOOGLETRANSLATE(C9131, ""en"", ""te""),"""")"),"")</f>
        <v/>
      </c>
      <c r="E9131" s="2"/>
      <c r="F9131" s="2" t="str">
        <f>IFERROR(__xludf.DUMMYFUNCTION("IF(E9131&lt;&gt;"""", GOOGLETRANSLATE(E9131, ""en"", ""te""),"""")"),"")</f>
        <v/>
      </c>
      <c r="G9131" s="2"/>
      <c r="H9131" s="2" t="str">
        <f>IFERROR(__xludf.DUMMYFUNCTION("IF(G9131&lt;&gt;"""", GOOGLETRANSLATE(G9131, ""en"", ""te""),"""")"),"")</f>
        <v/>
      </c>
      <c r="I9131" s="3"/>
    </row>
    <row r="9132" customHeight="1" spans="1:9">
      <c r="A9132" s="2"/>
      <c r="B9132" s="2" t="str">
        <f>IFERROR(__xludf.DUMMYFUNCTION("IF(A9132&lt;&gt;"""", GOOGLETRANSLATE(A9132, ""en"", ""te""),"""")"),"")</f>
        <v/>
      </c>
      <c r="C9132" s="2"/>
      <c r="D9132" s="2" t="str">
        <f>IFERROR(__xludf.DUMMYFUNCTION("IF(C9132&lt;&gt;"""", GOOGLETRANSLATE(C9132, ""en"", ""te""),"""")"),"")</f>
        <v/>
      </c>
      <c r="E9132" s="2"/>
      <c r="F9132" s="2" t="str">
        <f>IFERROR(__xludf.DUMMYFUNCTION("IF(E9132&lt;&gt;"""", GOOGLETRANSLATE(E9132, ""en"", ""te""),"""")"),"")</f>
        <v/>
      </c>
      <c r="G9132" s="2" t="s">
        <v>5227</v>
      </c>
      <c r="H9132" s="2" t="str">
        <f>IFERROR(__xludf.DUMMYFUNCTION("IF(G9132&lt;&gt;"""", GOOGLETRANSLATE(G9132, ""en"", ""te""),"""")"),"[ '29 పిన్న క్రీడాకారులు (13y 355d)']")</f>
        <v>[ '29 పిన్న క్రీడాకారులు (13y 355d)']</v>
      </c>
      <c r="I9132" s="3"/>
    </row>
    <row r="9133" customHeight="1" spans="1:9">
      <c r="A9133" s="2" t="s">
        <v>5228</v>
      </c>
      <c r="B9133" s="2" t="str">
        <f>IFERROR(__xludf.DUMMYFUNCTION("IF(A9133&lt;&gt;"""", GOOGLETRANSLATE(A9133, ""en"", ""te""),"""")"),"[ 'ఐదవ వికెట్కు 10 వ అత్యధిక భాగస్వామ్యం (73)']")</f>
        <v>[ 'ఐదవ వికెట్కు 10 వ అత్యధిక భాగస్వామ్యం (73)']</v>
      </c>
      <c r="C9133" s="2"/>
      <c r="D9133" s="2" t="str">
        <f>IFERROR(__xludf.DUMMYFUNCTION("IF(C9133&lt;&gt;"""", GOOGLETRANSLATE(C9133, ""en"", ""te""),"""")"),"")</f>
        <v/>
      </c>
      <c r="E9133" s="2"/>
      <c r="F9133" s="2" t="str">
        <f>IFERROR(__xludf.DUMMYFUNCTION("IF(E9133&lt;&gt;"""", GOOGLETRANSLATE(E9133, ""en"", ""te""),"""")"),"")</f>
        <v/>
      </c>
      <c r="G9133" s="2" t="s">
        <v>5229</v>
      </c>
      <c r="H9133" s="2" t="str">
        <f>IFERROR(__xludf.DUMMYFUNCTION("IF(G9133&lt;&gt;"""", GOOGLETRANSLATE(G9133, ""en"", ""te""),"""")"),"[ 'ఐదవ వికెట్కు 10 వ అత్యధిక భాగస్వామ్యం (73)', '23 వ ఇన్నింగ్స్ లో సాధించిన అత్యంత బైలు (5)']")</f>
        <v>[ 'ఐదవ వికెట్కు 10 వ అత్యధిక భాగస్వామ్యం (73)', '23 వ ఇన్నింగ్స్ లో సాధించిన అత్యంత బైలు (5)']</v>
      </c>
      <c r="I9133" s="3"/>
    </row>
    <row r="9134" customHeight="1" spans="1:9">
      <c r="A9134" s="2"/>
      <c r="B9134" s="2" t="str">
        <f>IFERROR(__xludf.DUMMYFUNCTION("IF(A9134&lt;&gt;"""", GOOGLETRANSLATE(A9134, ""en"", ""te""),"""")"),"")</f>
        <v/>
      </c>
      <c r="C9134" s="2"/>
      <c r="D9134" s="2" t="str">
        <f>IFERROR(__xludf.DUMMYFUNCTION("IF(C9134&lt;&gt;"""", GOOGLETRANSLATE(C9134, ""en"", ""te""),"""")"),"")</f>
        <v/>
      </c>
      <c r="E9134" s="2"/>
      <c r="F9134" s="2" t="str">
        <f>IFERROR(__xludf.DUMMYFUNCTION("IF(E9134&lt;&gt;"""", GOOGLETRANSLATE(E9134, ""en"", ""te""),"""")"),"")</f>
        <v/>
      </c>
      <c r="G9134" s="2"/>
      <c r="H9134" s="2" t="str">
        <f>IFERROR(__xludf.DUMMYFUNCTION("IF(G9134&lt;&gt;"""", GOOGLETRANSLATE(G9134, ""en"", ""te""),"""")"),"")</f>
        <v/>
      </c>
      <c r="I9134" s="3"/>
    </row>
    <row r="9135" customHeight="1" spans="1:9">
      <c r="A9135" s="2"/>
      <c r="B9135" s="2" t="str">
        <f>IFERROR(__xludf.DUMMYFUNCTION("IF(A9135&lt;&gt;"""", GOOGLETRANSLATE(A9135, ""en"", ""te""),"""")"),"")</f>
        <v/>
      </c>
      <c r="C9135" s="2"/>
      <c r="D9135" s="2" t="str">
        <f>IFERROR(__xludf.DUMMYFUNCTION("IF(C9135&lt;&gt;"""", GOOGLETRANSLATE(C9135, ""en"", ""te""),"""")"),"")</f>
        <v/>
      </c>
      <c r="E9135" s="2"/>
      <c r="F9135" s="2" t="str">
        <f>IFERROR(__xludf.DUMMYFUNCTION("IF(E9135&lt;&gt;"""", GOOGLETRANSLATE(E9135, ""en"", ""te""),"""")"),"")</f>
        <v/>
      </c>
      <c r="G9135" s="2" t="s">
        <v>5230</v>
      </c>
      <c r="H9135" s="2" t="str">
        <f>IFERROR(__xludf.DUMMYFUNCTION("IF(G9135&lt;&gt;"""", GOOGLETRANSLATE(G9135, ""en"", ""te""),"""")"),"[ '32 వ ఇన్నింగ్స్ లో అత్యధిక పరుగులు (బ్యాటింగ్ స్థానంలో ప్రకారం) (31 *)']")</f>
        <v>[ '32 వ ఇన్నింగ్స్ లో అత్యధిక పరుగులు (బ్యాటింగ్ స్థానంలో ప్రకారం) (31 *)']</v>
      </c>
      <c r="I9135" s="3"/>
    </row>
    <row r="9136" customHeight="1" spans="1:9">
      <c r="A9136" s="2"/>
      <c r="B9136" s="2" t="str">
        <f>IFERROR(__xludf.DUMMYFUNCTION("IF(A9136&lt;&gt;"""", GOOGLETRANSLATE(A9136, ""en"", ""te""),"""")"),"")</f>
        <v/>
      </c>
      <c r="C9136" s="2"/>
      <c r="D9136" s="2" t="str">
        <f>IFERROR(__xludf.DUMMYFUNCTION("IF(C9136&lt;&gt;"""", GOOGLETRANSLATE(C9136, ""en"", ""te""),"""")"),"")</f>
        <v/>
      </c>
      <c r="E9136" s="2"/>
      <c r="F9136" s="2" t="str">
        <f>IFERROR(__xludf.DUMMYFUNCTION("IF(E9136&lt;&gt;"""", GOOGLETRANSLATE(E9136, ""en"", ""te""),"""")"),"")</f>
        <v/>
      </c>
      <c r="G9136" s="2" t="s">
        <v>5231</v>
      </c>
      <c r="H9136" s="2" t="str">
        <f>IFERROR(__xludf.DUMMYFUNCTION("IF(G9136&lt;&gt;"""", GOOGLETRANSLATE(G9136, ""en"", ""te""),"""")"),"[ '48 వ పిన్న క్రీడాకారులు (14y 238d)']")</f>
        <v>[ '48 వ పిన్న క్రీడాకారులు (14y 238d)']</v>
      </c>
      <c r="I9136" s="3"/>
    </row>
    <row r="9137" customHeight="1" spans="1:9">
      <c r="A9137" s="2"/>
      <c r="B9137" s="2" t="str">
        <f>IFERROR(__xludf.DUMMYFUNCTION("IF(A9137&lt;&gt;"""", GOOGLETRANSLATE(A9137, ""en"", ""te""),"""")"),"")</f>
        <v/>
      </c>
      <c r="C9137" s="2"/>
      <c r="D9137" s="2" t="str">
        <f>IFERROR(__xludf.DUMMYFUNCTION("IF(C9137&lt;&gt;"""", GOOGLETRANSLATE(C9137, ""en"", ""te""),"""")"),"")</f>
        <v/>
      </c>
      <c r="E9137" s="2"/>
      <c r="F9137" s="2" t="str">
        <f>IFERROR(__xludf.DUMMYFUNCTION("IF(E9137&lt;&gt;"""", GOOGLETRANSLATE(E9137, ""en"", ""te""),"""")"),"")</f>
        <v/>
      </c>
      <c r="G9137" s="2"/>
      <c r="H9137" s="2" t="str">
        <f>IFERROR(__xludf.DUMMYFUNCTION("IF(G9137&lt;&gt;"""", GOOGLETRANSLATE(G9137, ""en"", ""te""),"""")"),"")</f>
        <v/>
      </c>
      <c r="I9137" s="3"/>
    </row>
    <row r="9138" customHeight="1" spans="1:9">
      <c r="A9138" s="2"/>
      <c r="B9138" s="2" t="str">
        <f>IFERROR(__xludf.DUMMYFUNCTION("IF(A9138&lt;&gt;"""", GOOGLETRANSLATE(A9138, ""en"", ""te""),"""")"),"")</f>
        <v/>
      </c>
      <c r="C9138" s="2"/>
      <c r="D9138" s="2" t="str">
        <f>IFERROR(__xludf.DUMMYFUNCTION("IF(C9138&lt;&gt;"""", GOOGLETRANSLATE(C9138, ""en"", ""te""),"""")"),"")</f>
        <v/>
      </c>
      <c r="E9138" s="2"/>
      <c r="F9138" s="2" t="str">
        <f>IFERROR(__xludf.DUMMYFUNCTION("IF(E9138&lt;&gt;"""", GOOGLETRANSLATE(E9138, ""en"", ""te""),"""")"),"")</f>
        <v/>
      </c>
      <c r="G9138" s="2"/>
      <c r="H9138" s="2" t="str">
        <f>IFERROR(__xludf.DUMMYFUNCTION("IF(G9138&lt;&gt;"""", GOOGLETRANSLATE(G9138, ""en"", ""te""),"""")"),"")</f>
        <v/>
      </c>
      <c r="I9138" s="3"/>
    </row>
    <row r="9139" customHeight="1" spans="1:9">
      <c r="A9139" s="2" t="s">
        <v>4557</v>
      </c>
      <c r="B9139" s="2" t="str">
        <f>IFERROR(__xludf.DUMMYFUNCTION("IF(A9139&lt;&gt;"""", GOOGLETRANSLATE(A9139, ""en"", ""te""),"""")"),"[ 'ఒక కెప్టెన్తో ఒక ఇన్నింగ్స్ లో 4 వ ఉత్తమ బొమ్మలు (4)']")</f>
        <v>[ 'ఒక కెప్టెన్తో ఒక ఇన్నింగ్స్ లో 4 వ ఉత్తమ బొమ్మలు (4)']</v>
      </c>
      <c r="C9139" s="2"/>
      <c r="D9139" s="2" t="str">
        <f>IFERROR(__xludf.DUMMYFUNCTION("IF(C9139&lt;&gt;"""", GOOGLETRANSLATE(C9139, ""en"", ""te""),"""")"),"")</f>
        <v/>
      </c>
      <c r="E9139" s="2" t="s">
        <v>5232</v>
      </c>
      <c r="F9139" s="2" t="str">
        <f>IFERROR(__xludf.DUMMYFUNCTION("IF(E9139&lt;&gt;"""", GOOGLETRANSLATE(E9139, ""en"", ""te""),"""")"),"[ '13 వ హండ్రెడ్ గత మ్యాచ్ (109) లో', '33 వ అత్యధిక వికెట్లు వరుస (19)', 'ఒక కెప్టెన్తో ఒక ఇన్నింగ్స్ లో 26 వ బెస్ట్ ఫిగర్స్ (' 36 వ అత్యంత వృద్ధ ఆటగాడు తొలి వంద (32y 110d) స్కోర్ ' 4) ']")</f>
        <v>[ '13 వ హండ్రెడ్ గత మ్యాచ్ (109) లో', '33 వ అత్యధిక వికెట్లు వరుస (19)', 'ఒక కెప్టెన్తో ఒక ఇన్నింగ్స్ లో 26 వ బెస్ట్ ఫిగర్స్ (' 36 వ అత్యంత వృద్ధ ఆటగాడు తొలి వంద (32y 110d) స్కోర్ ' 4) ']</v>
      </c>
      <c r="G9139" s="2" t="s">
        <v>5233</v>
      </c>
      <c r="H9139" s="2" t="str">
        <f>IFERROR(__xludf.DUMMYFUNCTION("IF(G9139&lt;&gt;"""", GOOGLETRANSLATE(G9139, ""en"", ""te""),"""")"),"[ 'ఒకే మైదానంలో 30 వ అత్యధిక వికెట్లు (12)', 'ఒక కెప్టెన్తో ఒక ఇన్నింగ్స్ లో 4 వ ఉత్తమ బొమ్మలు (4)', '31 ఉత్తమ సమ్మెలో రేటు' 5 వ అత్యుత్తమ బౌలింగ్ (4/7) ఇన్నింగ్స్ విశ్లేషణలలో ' ఇన్నింగ్స్ (4.5) ఎనిమిదో వికెట్కు ',' 31 అత్యధిక భాగస్వామ్యం (38) ']")</f>
        <v>[ 'ఒకే మైదానంలో 30 వ అత్యధిక వికెట్లు (12)', 'ఒక కెప్టెన్తో ఒక ఇన్నింగ్స్ లో 4 వ ఉత్తమ బొమ్మలు (4)', '31 ఉత్తమ సమ్మెలో రేటు' 5 వ అత్యుత్తమ బౌలింగ్ (4/7) ఇన్నింగ్స్ విశ్లేషణలలో ' ఇన్నింగ్స్ (4.5) ఎనిమిదో వికెట్కు ',' 31 అత్యధిక భాగస్వామ్యం (38) ']</v>
      </c>
      <c r="I9139" s="3"/>
    </row>
    <row r="9140" customHeight="1" spans="1:9">
      <c r="A9140" s="2"/>
      <c r="B9140" s="2" t="str">
        <f>IFERROR(__xludf.DUMMYFUNCTION("IF(A9140&lt;&gt;"""", GOOGLETRANSLATE(A9140, ""en"", ""te""),"""")"),"")</f>
        <v/>
      </c>
      <c r="C9140" s="2"/>
      <c r="D9140" s="2" t="str">
        <f>IFERROR(__xludf.DUMMYFUNCTION("IF(C9140&lt;&gt;"""", GOOGLETRANSLATE(C9140, ""en"", ""te""),"""")"),"")</f>
        <v/>
      </c>
      <c r="E9140" s="2"/>
      <c r="F9140" s="2" t="str">
        <f>IFERROR(__xludf.DUMMYFUNCTION("IF(E9140&lt;&gt;"""", GOOGLETRANSLATE(E9140, ""en"", ""te""),"""")"),"")</f>
        <v/>
      </c>
      <c r="G9140" s="2"/>
      <c r="H9140" s="2" t="str">
        <f>IFERROR(__xludf.DUMMYFUNCTION("IF(G9140&lt;&gt;"""", GOOGLETRANSLATE(G9140, ""en"", ""te""),"""")"),"")</f>
        <v/>
      </c>
      <c r="I9140" s="3"/>
    </row>
    <row r="9141" customHeight="1" spans="1:9">
      <c r="A9141" s="2"/>
      <c r="B9141" s="2" t="str">
        <f>IFERROR(__xludf.DUMMYFUNCTION("IF(A9141&lt;&gt;"""", GOOGLETRANSLATE(A9141, ""en"", ""te""),"""")"),"")</f>
        <v/>
      </c>
      <c r="C9141" s="2"/>
      <c r="D9141" s="2" t="str">
        <f>IFERROR(__xludf.DUMMYFUNCTION("IF(C9141&lt;&gt;"""", GOOGLETRANSLATE(C9141, ""en"", ""te""),"""")"),"")</f>
        <v/>
      </c>
      <c r="E9141" s="2"/>
      <c r="F9141" s="2" t="str">
        <f>IFERROR(__xludf.DUMMYFUNCTION("IF(E9141&lt;&gt;"""", GOOGLETRANSLATE(E9141, ""en"", ""te""),"""")"),"")</f>
        <v/>
      </c>
      <c r="G9141" s="2"/>
      <c r="H9141" s="2" t="str">
        <f>IFERROR(__xludf.DUMMYFUNCTION("IF(G9141&lt;&gt;"""", GOOGLETRANSLATE(G9141, ""en"", ""te""),"""")"),"")</f>
        <v/>
      </c>
      <c r="I9141" s="3"/>
    </row>
    <row r="9142" customHeight="1" spans="1:9">
      <c r="A9142" s="2" t="s">
        <v>5234</v>
      </c>
      <c r="B9142" s="2" t="str">
        <f>IFERROR(__xludf.DUMMYFUNCTION("IF(A9142&lt;&gt;"""", GOOGLETRANSLATE(A9142, ""en"", ""te""),"""")"),"[ '8 వ అత్యంత తొలి మ్యాచ్ (79) లో నడుస్తుంది']")</f>
        <v>[ '8 వ అత్యంత తొలి మ్యాచ్ (79) లో నడుస్తుంది']</v>
      </c>
      <c r="C9142" s="2"/>
      <c r="D9142" s="2" t="str">
        <f>IFERROR(__xludf.DUMMYFUNCTION("IF(C9142&lt;&gt;"""", GOOGLETRANSLATE(C9142, ""en"", ""te""),"""")"),"")</f>
        <v/>
      </c>
      <c r="E9142" s="2"/>
      <c r="F9142" s="2" t="str">
        <f>IFERROR(__xludf.DUMMYFUNCTION("IF(E9142&lt;&gt;"""", GOOGLETRANSLATE(E9142, ""en"", ""te""),"""")"),"")</f>
        <v/>
      </c>
      <c r="G9142" s="2" t="s">
        <v>5235</v>
      </c>
      <c r="H9142" s="2" t="str">
        <f>IFERROR(__xludf.DUMMYFUNCTION("IF(G9142&lt;&gt;"""", GOOGLETRANSLATE(G9142, ""en"", ""te""),"""")"),"[40 వ ఇన్నింగ్స్ లో అత్యధిక పరుగులు (బ్యాటింగ్ స్థానంలో ప్రకారం) (80) ',' 37 వ పరాజయం వైపు ఒక మ్యాచ్లో అత్యధిక పరుగులు (80) ',' తొలి మ్యాచ్లో 8 వ అత్యధిక పరుగులు (79) ',' 31 మోస్ట్ ఫోర్లు ఒక ఇన్నింగ్స్ లో (11) ',' 45 వ చెత్త కెరీర్ బౌలింగ్ సరాసరి (అర్హత "&amp;"లేకుండా) (67.00) ']")</f>
        <v>[40 వ ఇన్నింగ్స్ లో అత్యధిక పరుగులు (బ్యాటింగ్ స్థానంలో ప్రకారం) (80) ',' 37 వ పరాజయం వైపు ఒక మ్యాచ్లో అత్యధిక పరుగులు (80) ',' తొలి మ్యాచ్లో 8 వ అత్యధిక పరుగులు (79) ',' 31 మోస్ట్ ఫోర్లు ఒక ఇన్నింగ్స్ లో (11) ',' 45 వ చెత్త కెరీర్ బౌలింగ్ సరాసరి (అర్హత లేకుండా) (67.00) ']</v>
      </c>
      <c r="I9142" s="3"/>
    </row>
    <row r="9143" customHeight="1" spans="1:9">
      <c r="A9143" s="2" t="s">
        <v>435</v>
      </c>
      <c r="B9143" s="2" t="str">
        <f>IFERROR(__xludf.DUMMYFUNCTION("IF(A9143&lt;&gt;"""", GOOGLETRANSLATE(A9143, ""en"", ""te""),"""")"),"[ '1st వరుస బాతులు (3)']")</f>
        <v>[ '1st వరుస బాతులు (3)']</v>
      </c>
      <c r="C9143" s="2"/>
      <c r="D9143" s="2" t="str">
        <f>IFERROR(__xludf.DUMMYFUNCTION("IF(C9143&lt;&gt;"""", GOOGLETRANSLATE(C9143, ""en"", ""te""),"""")"),"")</f>
        <v/>
      </c>
      <c r="E9143" s="2"/>
      <c r="F9143" s="2" t="str">
        <f>IFERROR(__xludf.DUMMYFUNCTION("IF(E9143&lt;&gt;"""", GOOGLETRANSLATE(E9143, ""en"", ""te""),"""")"),"")</f>
        <v/>
      </c>
      <c r="G9143" s="2" t="s">
        <v>5236</v>
      </c>
      <c r="H9143" s="2" t="str">
        <f>IFERROR(__xludf.DUMMYFUNCTION("IF(G9143&lt;&gt;"""", GOOGLETRANSLATE(G9143, ""en"", ""te""),"""")"),"[ '1st వరుస బాతులు (3)', 'కెప్టెన్సీ తొలి 38 వ ఓల్డెస్ట్ కాప్టెన్ (30y 273d)']")</f>
        <v>[ '1st వరుస బాతులు (3)', 'కెప్టెన్సీ తొలి 38 వ ఓల్డెస్ట్ కాప్టెన్ (30y 273d)']</v>
      </c>
      <c r="I9143" s="3"/>
    </row>
    <row r="9144" customHeight="1" spans="1:9">
      <c r="A9144" s="2" t="s">
        <v>5237</v>
      </c>
      <c r="B9144" s="2" t="str">
        <f>IFERROR(__xludf.DUMMYFUNCTION("IF(A9144&lt;&gt;"""", GOOGLETRANSLATE(A9144, ""en"", ""te""),"""")"),"[ 'ఇన్నింగ్స్ లో 1 వ అత్యంత పనికత్తెలయొద్ద (2)', '1 వ వరుస నాలుగు వికెట్లు-ఇన్-ఒక-ఇన్నింగ్స్ (2)', '2 వ అత్యుత్తమ బౌలింగ్ ఇన్నింగ్స్ (4/5) విశ్లేషణలలో']")</f>
        <v>[ 'ఇన్నింగ్స్ లో 1 వ అత్యంత పనికత్తెలయొద్ద (2)', '1 వ వరుస నాలుగు వికెట్లు-ఇన్-ఒక-ఇన్నింగ్స్ (2)', '2 వ అత్యుత్తమ బౌలింగ్ ఇన్నింగ్స్ (4/5) విశ్లేషణలలో']</v>
      </c>
      <c r="C9144" s="2"/>
      <c r="D9144" s="2" t="str">
        <f>IFERROR(__xludf.DUMMYFUNCTION("IF(C9144&lt;&gt;"""", GOOGLETRANSLATE(C9144, ""en"", ""te""),"""")"),"")</f>
        <v/>
      </c>
      <c r="E9144" s="2"/>
      <c r="F9144" s="2" t="str">
        <f>IFERROR(__xludf.DUMMYFUNCTION("IF(E9144&lt;&gt;"""", GOOGLETRANSLATE(E9144, ""en"", ""te""),"""")"),"")</f>
        <v/>
      </c>
      <c r="G9144" s="2" t="s">
        <v>5238</v>
      </c>
      <c r="H9144" s="2" t="str">
        <f>IFERROR(__xludf.DUMMYFUNCTION("IF(G9144&lt;&gt;"""", GOOGLETRANSLATE(G9144, ""en"", ""te""),"""")"),"[ '2 వ అత్యుత్తమ బౌలింగ్ ఇన్నింగ్స్ విశ్లేషణలలో (4/5)', 'ఒక కెప్టెన్తో ఒక ఇన్నింగ్స్ లో 4 వ ఉత్తమ బొమ్మలు (4)', '16 వ అత్యంత నాలుగు వికెట్లు-ఇన్-ఒక-ఇన్నింగ్స్ కెరీర్లో (2)' '1 వ వరుస నాలుగు వికెట్లు-ఇన్-ఒక-ఇన్నింగ్స్ (2)', '37 వ ఇన్నింగ్స్ లో సాధించిన అత్"&amp;"యధిక పరుగులు (57)', '19 వ కెరీర్ పనికత్తెలయొద్ద (3)', '1 వ అత్యంత ఇన్నింగ్స్ లో పనికత్తెలయొద్ద (2) ']")</f>
        <v>[ '2 వ అత్యుత్తమ బౌలింగ్ ఇన్నింగ్స్ విశ్లేషణలలో (4/5)', 'ఒక కెప్టెన్తో ఒక ఇన్నింగ్స్ లో 4 వ ఉత్తమ బొమ్మలు (4)', '16 వ అత్యంత నాలుగు వికెట్లు-ఇన్-ఒక-ఇన్నింగ్స్ కెరీర్లో (2)' '1 వ వరుస నాలుగు వికెట్లు-ఇన్-ఒక-ఇన్నింగ్స్ (2)', '37 వ ఇన్నింగ్స్ లో సాధించిన అత్యధిక పరుగులు (57)', '19 వ కెరీర్ పనికత్తెలయొద్ద (3)', '1 వ అత్యంత ఇన్నింగ్స్ లో పనికత్తెలయొద్ద (2) ']</v>
      </c>
      <c r="I9144" s="3"/>
    </row>
    <row r="9145" customHeight="1" spans="1:9">
      <c r="A9145" s="2"/>
      <c r="B9145" s="2" t="str">
        <f>IFERROR(__xludf.DUMMYFUNCTION("IF(A9145&lt;&gt;"""", GOOGLETRANSLATE(A9145, ""en"", ""te""),"""")"),"")</f>
        <v/>
      </c>
      <c r="C9145" s="2"/>
      <c r="D9145" s="2" t="str">
        <f>IFERROR(__xludf.DUMMYFUNCTION("IF(C9145&lt;&gt;"""", GOOGLETRANSLATE(C9145, ""en"", ""te""),"""")"),"")</f>
        <v/>
      </c>
      <c r="E9145" s="2"/>
      <c r="F9145" s="2" t="str">
        <f>IFERROR(__xludf.DUMMYFUNCTION("IF(E9145&lt;&gt;"""", GOOGLETRANSLATE(E9145, ""en"", ""te""),"""")"),"")</f>
        <v/>
      </c>
      <c r="G9145" s="2"/>
      <c r="H9145" s="2" t="str">
        <f>IFERROR(__xludf.DUMMYFUNCTION("IF(G9145&lt;&gt;"""", GOOGLETRANSLATE(G9145, ""en"", ""te""),"""")"),"")</f>
        <v/>
      </c>
      <c r="I9145" s="3"/>
    </row>
    <row r="9146" customHeight="1" spans="1:9">
      <c r="A9146" s="2"/>
      <c r="B9146" s="2" t="str">
        <f>IFERROR(__xludf.DUMMYFUNCTION("IF(A9146&lt;&gt;"""", GOOGLETRANSLATE(A9146, ""en"", ""te""),"""")"),"")</f>
        <v/>
      </c>
      <c r="C9146" s="2"/>
      <c r="D9146" s="2" t="str">
        <f>IFERROR(__xludf.DUMMYFUNCTION("IF(C9146&lt;&gt;"""", GOOGLETRANSLATE(C9146, ""en"", ""te""),"""")"),"")</f>
        <v/>
      </c>
      <c r="E9146" s="2"/>
      <c r="F9146" s="2" t="str">
        <f>IFERROR(__xludf.DUMMYFUNCTION("IF(E9146&lt;&gt;"""", GOOGLETRANSLATE(E9146, ""en"", ""te""),"""")"),"")</f>
        <v/>
      </c>
      <c r="G9146" s="2"/>
      <c r="H9146" s="2" t="str">
        <f>IFERROR(__xludf.DUMMYFUNCTION("IF(G9146&lt;&gt;"""", GOOGLETRANSLATE(G9146, ""en"", ""te""),"""")"),"")</f>
        <v/>
      </c>
      <c r="I9146" s="3"/>
    </row>
    <row r="9147" customHeight="1" spans="1:9">
      <c r="A9147" s="2"/>
      <c r="B9147" s="2" t="str">
        <f>IFERROR(__xludf.DUMMYFUNCTION("IF(A9147&lt;&gt;"""", GOOGLETRANSLATE(A9147, ""en"", ""te""),"""")"),"")</f>
        <v/>
      </c>
      <c r="C9147" s="2"/>
      <c r="D9147" s="2" t="str">
        <f>IFERROR(__xludf.DUMMYFUNCTION("IF(C9147&lt;&gt;"""", GOOGLETRANSLATE(C9147, ""en"", ""te""),"""")"),"")</f>
        <v/>
      </c>
      <c r="E9147" s="2"/>
      <c r="F9147" s="2" t="str">
        <f>IFERROR(__xludf.DUMMYFUNCTION("IF(E9147&lt;&gt;"""", GOOGLETRANSLATE(E9147, ""en"", ""te""),"""")"),"")</f>
        <v/>
      </c>
      <c r="G9147" s="2" t="s">
        <v>5239</v>
      </c>
      <c r="H9147" s="2" t="str">
        <f>IFERROR(__xludf.DUMMYFUNCTION("IF(G9147&lt;&gt;"""", GOOGLETRANSLATE(G9147, ""en"", ""te""),"""")"),"[ '35 వ చెత్త కెరీర్ బౌలింగ్ సరాసరి (అర్హత లేకుండా) (66.00)']")</f>
        <v>[ '35 వ చెత్త కెరీర్ బౌలింగ్ సరాసరి (అర్హత లేకుండా) (66.00)']</v>
      </c>
      <c r="I9147" s="3"/>
    </row>
    <row r="9148" customHeight="1" spans="1:9">
      <c r="A9148" s="2"/>
      <c r="B9148" s="2" t="str">
        <f>IFERROR(__xludf.DUMMYFUNCTION("IF(A9148&lt;&gt;"""", GOOGLETRANSLATE(A9148, ""en"", ""te""),"""")"),"")</f>
        <v/>
      </c>
      <c r="C9148" s="2"/>
      <c r="D9148" s="2" t="str">
        <f>IFERROR(__xludf.DUMMYFUNCTION("IF(C9148&lt;&gt;"""", GOOGLETRANSLATE(C9148, ""en"", ""te""),"""")"),"")</f>
        <v/>
      </c>
      <c r="E9148" s="2"/>
      <c r="F9148" s="2" t="str">
        <f>IFERROR(__xludf.DUMMYFUNCTION("IF(E9148&lt;&gt;"""", GOOGLETRANSLATE(E9148, ""en"", ""te""),"""")"),"")</f>
        <v/>
      </c>
      <c r="G9148" s="2" t="s">
        <v>3076</v>
      </c>
      <c r="H9148" s="2" t="str">
        <f>IFERROR(__xludf.DUMMYFUNCTION("IF(G9148&lt;&gt;"""", GOOGLETRANSLATE(G9148, ""en"", ""te""),"""")"),"[ '29 వ అత్యధిక పరుగులు ఇన్నింగ్స్ (58) లో సాధించిన]")</f>
        <v>[ '29 వ అత్యధిక పరుగులు ఇన్నింగ్స్ (58) లో సాధించిన]</v>
      </c>
      <c r="I9148" s="3"/>
    </row>
    <row r="9149" customHeight="1" spans="1:9">
      <c r="A9149" s="2"/>
      <c r="B9149" s="2" t="str">
        <f>IFERROR(__xludf.DUMMYFUNCTION("IF(A9149&lt;&gt;"""", GOOGLETRANSLATE(A9149, ""en"", ""te""),"""")"),"")</f>
        <v/>
      </c>
      <c r="C9149" s="2"/>
      <c r="D9149" s="2" t="str">
        <f>IFERROR(__xludf.DUMMYFUNCTION("IF(C9149&lt;&gt;"""", GOOGLETRANSLATE(C9149, ""en"", ""te""),"""")"),"")</f>
        <v/>
      </c>
      <c r="E9149" s="2"/>
      <c r="F9149" s="2" t="str">
        <f>IFERROR(__xludf.DUMMYFUNCTION("IF(E9149&lt;&gt;"""", GOOGLETRANSLATE(E9149, ""en"", ""te""),"""")"),"")</f>
        <v/>
      </c>
      <c r="G9149" s="2"/>
      <c r="H9149" s="2" t="str">
        <f>IFERROR(__xludf.DUMMYFUNCTION("IF(G9149&lt;&gt;"""", GOOGLETRANSLATE(G9149, ""en"", ""te""),"""")"),"")</f>
        <v/>
      </c>
      <c r="I9149" s="3"/>
    </row>
    <row r="9150" customHeight="1" spans="1:9">
      <c r="A9150" s="2"/>
      <c r="B9150" s="2" t="str">
        <f>IFERROR(__xludf.DUMMYFUNCTION("IF(A9150&lt;&gt;"""", GOOGLETRANSLATE(A9150, ""en"", ""te""),"""")"),"")</f>
        <v/>
      </c>
      <c r="C9150" s="2"/>
      <c r="D9150" s="2" t="str">
        <f>IFERROR(__xludf.DUMMYFUNCTION("IF(C9150&lt;&gt;"""", GOOGLETRANSLATE(C9150, ""en"", ""te""),"""")"),"")</f>
        <v/>
      </c>
      <c r="E9150" s="2"/>
      <c r="F9150" s="2" t="str">
        <f>IFERROR(__xludf.DUMMYFUNCTION("IF(E9150&lt;&gt;"""", GOOGLETRANSLATE(E9150, ""en"", ""te""),"""")"),"")</f>
        <v/>
      </c>
      <c r="G9150" s="2" t="s">
        <v>5240</v>
      </c>
      <c r="H9150" s="2" t="str">
        <f>IFERROR(__xludf.DUMMYFUNCTION("IF(G9150&lt;&gt;"""", GOOGLETRANSLATE(G9150, ""en"", ""te""),"""")"),"[ '17 వ బౌలర్ / బ్యాట్స్ కలయికలు (3)', '37 వ పిన్న క్రీడాకారులు (17y 30D)']")</f>
        <v>[ '17 వ బౌలర్ / బ్యాట్స్ కలయికలు (3)', '37 వ పిన్న క్రీడాకారులు (17y 30D)']</v>
      </c>
      <c r="I9150" s="3"/>
    </row>
    <row r="9151" customHeight="1" spans="1:9">
      <c r="A9151" s="2" t="s">
        <v>5241</v>
      </c>
      <c r="B9151" s="2" t="str">
        <f>IFERROR(__xludf.DUMMYFUNCTION("IF(A9151&lt;&gt;"""", GOOGLETRANSLATE(A9151, ""en"", ""te""),"""")"),"[ 'పదవ వికెట్కు 4 వ అత్యధిక భాగస్వామ్యం (29 *)']")</f>
        <v>[ 'పదవ వికెట్కు 4 వ అత్యధిక భాగస్వామ్యం (29 *)']</v>
      </c>
      <c r="C9151" s="2"/>
      <c r="D9151" s="2" t="str">
        <f>IFERROR(__xludf.DUMMYFUNCTION("IF(C9151&lt;&gt;"""", GOOGLETRANSLATE(C9151, ""en"", ""te""),"""")"),"")</f>
        <v/>
      </c>
      <c r="E9151" s="2"/>
      <c r="F9151" s="2" t="str">
        <f>IFERROR(__xludf.DUMMYFUNCTION("IF(E9151&lt;&gt;"""", GOOGLETRANSLATE(E9151, ""en"", ""te""),"""")"),"")</f>
        <v/>
      </c>
      <c r="G9151" s="2" t="s">
        <v>5242</v>
      </c>
      <c r="H9151" s="2" t="str">
        <f>IFERROR(__xludf.DUMMYFUNCTION("IF(G9151&lt;&gt;"""", GOOGLETRANSLATE(G9151, ""en"", ""te""),"""")"),"[ '16 వ ఇన్నింగ్స్ లో అత్యధిక పరుగులు (బ్యాటింగ్ స్థానంలో ప్రకారం) (49 *)', '20 వ ఒక ఇన్నింగ్స్ లోని బెస్ట్ ఫిగర్స్ ఒక కెప్టెన్తో (3)', 'ఐదవ వికెట్కు 13 వ అత్యధిక భాగస్వామ్యం (84)', '4 వ అత్యధిక పదవ వికెట్కు భాగస్వామ్యం (29 *) ']")</f>
        <v>[ '16 వ ఇన్నింగ్స్ లో అత్యధిక పరుగులు (బ్యాటింగ్ స్థానంలో ప్రకారం) (49 *)', '20 వ ఒక ఇన్నింగ్స్ లోని బెస్ట్ ఫిగర్స్ ఒక కెప్టెన్తో (3)', 'ఐదవ వికెట్కు 13 వ అత్యధిక భాగస్వామ్యం (84)', '4 వ అత్యధిక పదవ వికెట్కు భాగస్వామ్యం (29 *) ']</v>
      </c>
      <c r="I9151" s="3"/>
    </row>
    <row r="9152" customHeight="1" spans="1:9">
      <c r="A9152" s="2"/>
      <c r="B9152" s="2" t="str">
        <f>IFERROR(__xludf.DUMMYFUNCTION("IF(A9152&lt;&gt;"""", GOOGLETRANSLATE(A9152, ""en"", ""te""),"""")"),"")</f>
        <v/>
      </c>
      <c r="C9152" s="2"/>
      <c r="D9152" s="2" t="str">
        <f>IFERROR(__xludf.DUMMYFUNCTION("IF(C9152&lt;&gt;"""", GOOGLETRANSLATE(C9152, ""en"", ""te""),"""")"),"")</f>
        <v/>
      </c>
      <c r="E9152" s="2"/>
      <c r="F9152" s="2" t="str">
        <f>IFERROR(__xludf.DUMMYFUNCTION("IF(E9152&lt;&gt;"""", GOOGLETRANSLATE(E9152, ""en"", ""te""),"""")"),"")</f>
        <v/>
      </c>
      <c r="G9152" s="2"/>
      <c r="H9152" s="2" t="str">
        <f>IFERROR(__xludf.DUMMYFUNCTION("IF(G9152&lt;&gt;"""", GOOGLETRANSLATE(G9152, ""en"", ""te""),"""")"),"")</f>
        <v/>
      </c>
      <c r="I9152" s="3"/>
    </row>
    <row r="9153" customHeight="1" spans="1:9">
      <c r="A9153" s="2"/>
      <c r="B9153" s="2" t="str">
        <f>IFERROR(__xludf.DUMMYFUNCTION("IF(A9153&lt;&gt;"""", GOOGLETRANSLATE(A9153, ""en"", ""te""),"""")"),"")</f>
        <v/>
      </c>
      <c r="C9153" s="2"/>
      <c r="D9153" s="2" t="str">
        <f>IFERROR(__xludf.DUMMYFUNCTION("IF(C9153&lt;&gt;"""", GOOGLETRANSLATE(C9153, ""en"", ""te""),"""")"),"")</f>
        <v/>
      </c>
      <c r="E9153" s="2"/>
      <c r="F9153" s="2" t="str">
        <f>IFERROR(__xludf.DUMMYFUNCTION("IF(E9153&lt;&gt;"""", GOOGLETRANSLATE(E9153, ""en"", ""te""),"""")"),"")</f>
        <v/>
      </c>
      <c r="G9153" s="2"/>
      <c r="H9153" s="2" t="str">
        <f>IFERROR(__xludf.DUMMYFUNCTION("IF(G9153&lt;&gt;"""", GOOGLETRANSLATE(G9153, ""en"", ""te""),"""")"),"")</f>
        <v/>
      </c>
      <c r="I9153" s="3"/>
    </row>
    <row r="9154" customHeight="1" spans="1:9">
      <c r="A9154" s="2"/>
      <c r="B9154" s="2" t="str">
        <f>IFERROR(__xludf.DUMMYFUNCTION("IF(A9154&lt;&gt;"""", GOOGLETRANSLATE(A9154, ""en"", ""te""),"""")"),"")</f>
        <v/>
      </c>
      <c r="C9154" s="2"/>
      <c r="D9154" s="2" t="str">
        <f>IFERROR(__xludf.DUMMYFUNCTION("IF(C9154&lt;&gt;"""", GOOGLETRANSLATE(C9154, ""en"", ""te""),"""")"),"")</f>
        <v/>
      </c>
      <c r="E9154" s="2"/>
      <c r="F9154" s="2" t="str">
        <f>IFERROR(__xludf.DUMMYFUNCTION("IF(E9154&lt;&gt;"""", GOOGLETRANSLATE(E9154, ""en"", ""te""),"""")"),"")</f>
        <v/>
      </c>
      <c r="G9154" s="2"/>
      <c r="H9154" s="2" t="str">
        <f>IFERROR(__xludf.DUMMYFUNCTION("IF(G9154&lt;&gt;"""", GOOGLETRANSLATE(G9154, ""en"", ""te""),"""")"),"")</f>
        <v/>
      </c>
      <c r="I9154" s="3"/>
    </row>
    <row r="9155" customHeight="1" spans="1:9">
      <c r="A9155" s="2"/>
      <c r="B9155" s="2" t="str">
        <f>IFERROR(__xludf.DUMMYFUNCTION("IF(A9155&lt;&gt;"""", GOOGLETRANSLATE(A9155, ""en"", ""te""),"""")"),"")</f>
        <v/>
      </c>
      <c r="C9155" s="2"/>
      <c r="D9155" s="2" t="str">
        <f>IFERROR(__xludf.DUMMYFUNCTION("IF(C9155&lt;&gt;"""", GOOGLETRANSLATE(C9155, ""en"", ""te""),"""")"),"")</f>
        <v/>
      </c>
      <c r="E9155" s="2"/>
      <c r="F9155" s="2" t="str">
        <f>IFERROR(__xludf.DUMMYFUNCTION("IF(E9155&lt;&gt;"""", GOOGLETRANSLATE(E9155, ""en"", ""te""),"""")"),"")</f>
        <v/>
      </c>
      <c r="G9155" s="2"/>
      <c r="H9155" s="2" t="str">
        <f>IFERROR(__xludf.DUMMYFUNCTION("IF(G9155&lt;&gt;"""", GOOGLETRANSLATE(G9155, ""en"", ""te""),"""")"),"")</f>
        <v/>
      </c>
      <c r="I9155" s="3"/>
    </row>
    <row r="9156" customHeight="1" spans="1:9">
      <c r="A9156" s="2" t="s">
        <v>5243</v>
      </c>
      <c r="B9156" s="2" t="str">
        <f>IFERROR(__xludf.DUMMYFUNCTION("IF(A9156&lt;&gt;"""", GOOGLETRANSLATE(A9156, ""en"", ""te""),"""")"),"[ '2nd పిన్న క్రీడాకారులు (14y 211d)']")</f>
        <v>[ '2nd పిన్న క్రీడాకారులు (14y 211d)']</v>
      </c>
      <c r="C9156" s="2"/>
      <c r="D9156" s="2" t="str">
        <f>IFERROR(__xludf.DUMMYFUNCTION("IF(C9156&lt;&gt;"""", GOOGLETRANSLATE(C9156, ""en"", ""te""),"""")"),"")</f>
        <v/>
      </c>
      <c r="E9156" s="2"/>
      <c r="F9156" s="2" t="str">
        <f>IFERROR(__xludf.DUMMYFUNCTION("IF(E9156&lt;&gt;"""", GOOGLETRANSLATE(E9156, ""en"", ""te""),"""")"),"")</f>
        <v/>
      </c>
      <c r="G9156" s="2" t="s">
        <v>5244</v>
      </c>
      <c r="H9156" s="2" t="str">
        <f>IFERROR(__xludf.DUMMYFUNCTION("IF(G9156&lt;&gt;"""", GOOGLETRANSLATE(G9156, ""en"", ""te""),"""")"),"[ '2nd పిన్న క్రీడాకారులు (14y 211d)', 'ఇన్నింగ్స్ లో 13 వ అత్యధిక క్యాచ్లు (3)', '32 వ అత్యంత ఇన్నింగ్స్ లో సాధించిన బైస్ (5)']")</f>
        <v>[ '2nd పిన్న క్రీడాకారులు (14y 211d)', 'ఇన్నింగ్స్ లో 13 వ అత్యధిక క్యాచ్లు (3)', '32 వ అత్యంత ఇన్నింగ్స్ లో సాధించిన బైస్ (5)']</v>
      </c>
      <c r="I9156" s="3"/>
    </row>
    <row r="9157" customHeight="1" spans="1:9">
      <c r="A9157" s="2"/>
      <c r="B9157" s="2" t="str">
        <f>IFERROR(__xludf.DUMMYFUNCTION("IF(A9157&lt;&gt;"""", GOOGLETRANSLATE(A9157, ""en"", ""te""),"""")"),"")</f>
        <v/>
      </c>
      <c r="C9157" s="2"/>
      <c r="D9157" s="2" t="str">
        <f>IFERROR(__xludf.DUMMYFUNCTION("IF(C9157&lt;&gt;"""", GOOGLETRANSLATE(C9157, ""en"", ""te""),"""")"),"")</f>
        <v/>
      </c>
      <c r="E9157" s="2"/>
      <c r="F9157" s="2" t="str">
        <f>IFERROR(__xludf.DUMMYFUNCTION("IF(E9157&lt;&gt;"""", GOOGLETRANSLATE(E9157, ""en"", ""te""),"""")"),"")</f>
        <v/>
      </c>
      <c r="G9157" s="2" t="s">
        <v>5245</v>
      </c>
      <c r="H9157" s="2" t="str">
        <f>IFERROR(__xludf.DUMMYFUNCTION("IF(G9157&lt;&gt;"""", GOOGLETRANSLATE(G9157, ""en"", ""te""),"""")"),"[ 'ఎనిమిదవ వికెట్కు 30 వ అత్యధిక భాగస్వామ్యం (38 *)']")</f>
        <v>[ 'ఎనిమిదవ వికెట్కు 30 వ అత్యధిక భాగస్వామ్యం (38 *)']</v>
      </c>
      <c r="I9157" s="3"/>
    </row>
    <row r="9158" customHeight="1" spans="1:9">
      <c r="A9158" s="2"/>
      <c r="B9158" s="2" t="str">
        <f>IFERROR(__xludf.DUMMYFUNCTION("IF(A9158&lt;&gt;"""", GOOGLETRANSLATE(A9158, ""en"", ""te""),"""")"),"")</f>
        <v/>
      </c>
      <c r="C9158" s="2"/>
      <c r="D9158" s="2" t="str">
        <f>IFERROR(__xludf.DUMMYFUNCTION("IF(C9158&lt;&gt;"""", GOOGLETRANSLATE(C9158, ""en"", ""te""),"""")"),"")</f>
        <v/>
      </c>
      <c r="E9158" s="2"/>
      <c r="F9158" s="2" t="str">
        <f>IFERROR(__xludf.DUMMYFUNCTION("IF(E9158&lt;&gt;"""", GOOGLETRANSLATE(E9158, ""en"", ""te""),"""")"),"")</f>
        <v/>
      </c>
      <c r="G9158" s="2"/>
      <c r="H9158" s="2" t="str">
        <f>IFERROR(__xludf.DUMMYFUNCTION("IF(G9158&lt;&gt;"""", GOOGLETRANSLATE(G9158, ""en"", ""te""),"""")"),"")</f>
        <v/>
      </c>
      <c r="I9158" s="3"/>
    </row>
    <row r="9159" customHeight="1" spans="1:9">
      <c r="A9159" s="2"/>
      <c r="B9159" s="2" t="str">
        <f>IFERROR(__xludf.DUMMYFUNCTION("IF(A9159&lt;&gt;"""", GOOGLETRANSLATE(A9159, ""en"", ""te""),"""")"),"")</f>
        <v/>
      </c>
      <c r="C9159" s="2"/>
      <c r="D9159" s="2" t="str">
        <f>IFERROR(__xludf.DUMMYFUNCTION("IF(C9159&lt;&gt;"""", GOOGLETRANSLATE(C9159, ""en"", ""te""),"""")"),"")</f>
        <v/>
      </c>
      <c r="E9159" s="2"/>
      <c r="F9159" s="2" t="str">
        <f>IFERROR(__xludf.DUMMYFUNCTION("IF(E9159&lt;&gt;"""", GOOGLETRANSLATE(E9159, ""en"", ""te""),"""")"),"")</f>
        <v/>
      </c>
      <c r="G9159" s="2"/>
      <c r="H9159" s="2" t="str">
        <f>IFERROR(__xludf.DUMMYFUNCTION("IF(G9159&lt;&gt;"""", GOOGLETRANSLATE(G9159, ""en"", ""te""),"""")"),"")</f>
        <v/>
      </c>
      <c r="I9159" s="3"/>
    </row>
    <row r="9160" customHeight="1" spans="1:9">
      <c r="A9160" s="2"/>
      <c r="B9160" s="2" t="str">
        <f>IFERROR(__xludf.DUMMYFUNCTION("IF(A9160&lt;&gt;"""", GOOGLETRANSLATE(A9160, ""en"", ""te""),"""")"),"")</f>
        <v/>
      </c>
      <c r="C9160" s="2"/>
      <c r="D9160" s="2" t="str">
        <f>IFERROR(__xludf.DUMMYFUNCTION("IF(C9160&lt;&gt;"""", GOOGLETRANSLATE(C9160, ""en"", ""te""),"""")"),"")</f>
        <v/>
      </c>
      <c r="E9160" s="2"/>
      <c r="F9160" s="2" t="str">
        <f>IFERROR(__xludf.DUMMYFUNCTION("IF(E9160&lt;&gt;"""", GOOGLETRANSLATE(E9160, ""en"", ""te""),"""")"),"")</f>
        <v/>
      </c>
      <c r="G9160" s="2"/>
      <c r="H9160" s="2" t="str">
        <f>IFERROR(__xludf.DUMMYFUNCTION("IF(G9160&lt;&gt;"""", GOOGLETRANSLATE(G9160, ""en"", ""te""),"""")"),"")</f>
        <v/>
      </c>
      <c r="I9160" s="3"/>
    </row>
    <row r="9161" customHeight="1" spans="1:9">
      <c r="A9161" s="2"/>
      <c r="B9161" s="2" t="str">
        <f>IFERROR(__xludf.DUMMYFUNCTION("IF(A9161&lt;&gt;"""", GOOGLETRANSLATE(A9161, ""en"", ""te""),"""")"),"")</f>
        <v/>
      </c>
      <c r="C9161" s="2"/>
      <c r="D9161" s="2" t="str">
        <f>IFERROR(__xludf.DUMMYFUNCTION("IF(C9161&lt;&gt;"""", GOOGLETRANSLATE(C9161, ""en"", ""te""),"""")"),"")</f>
        <v/>
      </c>
      <c r="E9161" s="2"/>
      <c r="F9161" s="2" t="str">
        <f>IFERROR(__xludf.DUMMYFUNCTION("IF(E9161&lt;&gt;"""", GOOGLETRANSLATE(E9161, ""en"", ""te""),"""")"),"")</f>
        <v/>
      </c>
      <c r="G9161" s="2" t="s">
        <v>5246</v>
      </c>
      <c r="H9161" s="2" t="str">
        <f>IFERROR(__xludf.DUMMYFUNCTION("IF(G9161&lt;&gt;"""", GOOGLETRANSLATE(G9161, ""en"", ""te""),"""")"),"[ '20 వ ఇన్నింగ్స్ లో అత్యధిక పరుగులు (బ్యాటింగ్ స్థానంలో ప్రకారం) (57)', 'బౌలింగ్ 23 చెత్త కెరీర్ సగటు (అర్హత లేకుండా) (79.00)']")</f>
        <v>[ '20 వ ఇన్నింగ్స్ లో అత్యధిక పరుగులు (బ్యాటింగ్ స్థానంలో ప్రకారం) (57)', 'బౌలింగ్ 23 చెత్త కెరీర్ సగటు (అర్హత లేకుండా) (79.00)']</v>
      </c>
      <c r="I9161" s="3"/>
    </row>
    <row r="9162" customHeight="1" spans="1:9">
      <c r="A9162" s="2"/>
      <c r="B9162" s="2" t="str">
        <f>IFERROR(__xludf.DUMMYFUNCTION("IF(A9162&lt;&gt;"""", GOOGLETRANSLATE(A9162, ""en"", ""te""),"""")"),"")</f>
        <v/>
      </c>
      <c r="C9162" s="2"/>
      <c r="D9162" s="2" t="str">
        <f>IFERROR(__xludf.DUMMYFUNCTION("IF(C9162&lt;&gt;"""", GOOGLETRANSLATE(C9162, ""en"", ""te""),"""")"),"")</f>
        <v/>
      </c>
      <c r="E9162" s="2"/>
      <c r="F9162" s="2" t="str">
        <f>IFERROR(__xludf.DUMMYFUNCTION("IF(E9162&lt;&gt;"""", GOOGLETRANSLATE(E9162, ""en"", ""te""),"""")"),"")</f>
        <v/>
      </c>
      <c r="G9162" s="2" t="s">
        <v>5247</v>
      </c>
      <c r="H9162" s="2" t="str">
        <f>IFERROR(__xludf.DUMMYFUNCTION("IF(G9162&lt;&gt;"""", GOOGLETRANSLATE(G9162, ""en"", ""te""),"""")"),"[ '22 వ కెరీర్ లో బాతులు (11)', 'ఇన్నింగ్స్ లో 27 అత్యుత్తమ బౌలింగ్ విశ్లేషణలు (1/2)']")</f>
        <v>[ '22 వ కెరీర్ లో బాతులు (11)', 'ఇన్నింగ్స్ లో 27 అత్యుత్తమ బౌలింగ్ విశ్లేషణలు (1/2)']</v>
      </c>
      <c r="I9162" s="3"/>
    </row>
    <row r="9163" customHeight="1" spans="1:9">
      <c r="A9163" s="2"/>
      <c r="B9163" s="2" t="str">
        <f>IFERROR(__xludf.DUMMYFUNCTION("IF(A9163&lt;&gt;"""", GOOGLETRANSLATE(A9163, ""en"", ""te""),"""")"),"")</f>
        <v/>
      </c>
      <c r="C9163" s="2"/>
      <c r="D9163" s="2" t="str">
        <f>IFERROR(__xludf.DUMMYFUNCTION("IF(C9163&lt;&gt;"""", GOOGLETRANSLATE(C9163, ""en"", ""te""),"""")"),"")</f>
        <v/>
      </c>
      <c r="E9163" s="2"/>
      <c r="F9163" s="2" t="str">
        <f>IFERROR(__xludf.DUMMYFUNCTION("IF(E9163&lt;&gt;"""", GOOGLETRANSLATE(E9163, ""en"", ""te""),"""")"),"")</f>
        <v/>
      </c>
      <c r="G9163" s="2"/>
      <c r="H9163" s="2" t="str">
        <f>IFERROR(__xludf.DUMMYFUNCTION("IF(G9163&lt;&gt;"""", GOOGLETRANSLATE(G9163, ""en"", ""te""),"""")"),"")</f>
        <v/>
      </c>
      <c r="I9163" s="3"/>
    </row>
    <row r="9164" customHeight="1" spans="1:9">
      <c r="A9164" s="2"/>
      <c r="B9164" s="2" t="str">
        <f>IFERROR(__xludf.DUMMYFUNCTION("IF(A9164&lt;&gt;"""", GOOGLETRANSLATE(A9164, ""en"", ""te""),"""")"),"")</f>
        <v/>
      </c>
      <c r="C9164" s="2"/>
      <c r="D9164" s="2" t="str">
        <f>IFERROR(__xludf.DUMMYFUNCTION("IF(C9164&lt;&gt;"""", GOOGLETRANSLATE(C9164, ""en"", ""te""),"""")"),"")</f>
        <v/>
      </c>
      <c r="E9164" s="2"/>
      <c r="F9164" s="2" t="str">
        <f>IFERROR(__xludf.DUMMYFUNCTION("IF(E9164&lt;&gt;"""", GOOGLETRANSLATE(E9164, ""en"", ""te""),"""")"),"")</f>
        <v/>
      </c>
      <c r="G9164" s="2"/>
      <c r="H9164" s="2" t="str">
        <f>IFERROR(__xludf.DUMMYFUNCTION("IF(G9164&lt;&gt;"""", GOOGLETRANSLATE(G9164, ""en"", ""te""),"""")"),"")</f>
        <v/>
      </c>
      <c r="I9164" s="3"/>
    </row>
    <row r="9165" customHeight="1" spans="1:9">
      <c r="A9165" s="2"/>
      <c r="B9165" s="2" t="str">
        <f>IFERROR(__xludf.DUMMYFUNCTION("IF(A9165&lt;&gt;"""", GOOGLETRANSLATE(A9165, ""en"", ""te""),"""")"),"")</f>
        <v/>
      </c>
      <c r="C9165" s="2"/>
      <c r="D9165" s="2" t="str">
        <f>IFERROR(__xludf.DUMMYFUNCTION("IF(C9165&lt;&gt;"""", GOOGLETRANSLATE(C9165, ""en"", ""te""),"""")"),"")</f>
        <v/>
      </c>
      <c r="E9165" s="2"/>
      <c r="F9165" s="2" t="str">
        <f>IFERROR(__xludf.DUMMYFUNCTION("IF(E9165&lt;&gt;"""", GOOGLETRANSLATE(E9165, ""en"", ""te""),"""")"),"")</f>
        <v/>
      </c>
      <c r="G9165" s="2"/>
      <c r="H9165" s="2" t="str">
        <f>IFERROR(__xludf.DUMMYFUNCTION("IF(G9165&lt;&gt;"""", GOOGLETRANSLATE(G9165, ""en"", ""te""),"""")"),"")</f>
        <v/>
      </c>
      <c r="I9165" s="3"/>
    </row>
    <row r="9166" customHeight="1" spans="1:9">
      <c r="A9166" s="2"/>
      <c r="B9166" s="2" t="str">
        <f>IFERROR(__xludf.DUMMYFUNCTION("IF(A9166&lt;&gt;"""", GOOGLETRANSLATE(A9166, ""en"", ""te""),"""")"),"")</f>
        <v/>
      </c>
      <c r="C9166" s="2"/>
      <c r="D9166" s="2" t="str">
        <f>IFERROR(__xludf.DUMMYFUNCTION("IF(C9166&lt;&gt;"""", GOOGLETRANSLATE(C9166, ""en"", ""te""),"""")"),"")</f>
        <v/>
      </c>
      <c r="E9166" s="2"/>
      <c r="F9166" s="2" t="str">
        <f>IFERROR(__xludf.DUMMYFUNCTION("IF(E9166&lt;&gt;"""", GOOGLETRANSLATE(E9166, ""en"", ""te""),"""")"),"")</f>
        <v/>
      </c>
      <c r="G9166" s="2" t="s">
        <v>933</v>
      </c>
      <c r="H9166" s="2" t="str">
        <f>IFERROR(__xludf.DUMMYFUNCTION("IF(G9166&lt;&gt;"""", GOOGLETRANSLATE(G9166, ""en"", ""te""),"""")"),"[ '15 వ ఇన్నింగ్స్ లో అత్యధిక క్యాచ్లు (3)']")</f>
        <v>[ '15 వ ఇన్నింగ్స్ లో అత్యధిక క్యాచ్లు (3)']</v>
      </c>
      <c r="I9166" s="3"/>
    </row>
    <row r="9167" customHeight="1" spans="1:9">
      <c r="A9167" s="2" t="s">
        <v>2166</v>
      </c>
      <c r="B9167" s="2" t="str">
        <f>IFERROR(__xludf.DUMMYFUNCTION("IF(A9167&lt;&gt;"""", GOOGLETRANSLATE(A9167, ""en"", ""te""),"""")"),"[ 'ఇన్నింగ్స్ లో 5 వ అత్యధిక వికెట్లు (4)', 'ఇన్నింగ్స్ లో 3 వ అత్యధిక క్యాచ్లు (4)']")</f>
        <v>[ 'ఇన్నింగ్స్ లో 5 వ అత్యధిక వికెట్లు (4)', 'ఇన్నింగ్స్ లో 3 వ అత్యధిక క్యాచ్లు (4)']</v>
      </c>
      <c r="C9167" s="2"/>
      <c r="D9167" s="2" t="str">
        <f>IFERROR(__xludf.DUMMYFUNCTION("IF(C9167&lt;&gt;"""", GOOGLETRANSLATE(C9167, ""en"", ""te""),"""")"),"")</f>
        <v/>
      </c>
      <c r="E9167" s="2"/>
      <c r="F9167" s="2" t="str">
        <f>IFERROR(__xludf.DUMMYFUNCTION("IF(E9167&lt;&gt;"""", GOOGLETRANSLATE(E9167, ""en"", ""te""),"""")"),"")</f>
        <v/>
      </c>
      <c r="G9167" s="2" t="s">
        <v>2166</v>
      </c>
      <c r="H9167" s="2" t="str">
        <f>IFERROR(__xludf.DUMMYFUNCTION("IF(G9167&lt;&gt;"""", GOOGLETRANSLATE(G9167, ""en"", ""te""),"""")"),"[ 'ఇన్నింగ్స్ లో 5 వ అత్యధిక వికెట్లు (4)', 'ఇన్నింగ్స్ లో 3 వ అత్యధిక క్యాచ్లు (4)']")</f>
        <v>[ 'ఇన్నింగ్స్ లో 5 వ అత్యధిక వికెట్లు (4)', 'ఇన్నింగ్స్ లో 3 వ అత్యధిక క్యాచ్లు (4)']</v>
      </c>
      <c r="I9167" s="3"/>
    </row>
    <row r="9168" customHeight="1" spans="1:9">
      <c r="A9168" s="2"/>
      <c r="B9168" s="2" t="str">
        <f>IFERROR(__xludf.DUMMYFUNCTION("IF(A9168&lt;&gt;"""", GOOGLETRANSLATE(A9168, ""en"", ""te""),"""")"),"")</f>
        <v/>
      </c>
      <c r="C9168" s="2"/>
      <c r="D9168" s="2" t="str">
        <f>IFERROR(__xludf.DUMMYFUNCTION("IF(C9168&lt;&gt;"""", GOOGLETRANSLATE(C9168, ""en"", ""te""),"""")"),"")</f>
        <v/>
      </c>
      <c r="E9168" s="2"/>
      <c r="F9168" s="2" t="str">
        <f>IFERROR(__xludf.DUMMYFUNCTION("IF(E9168&lt;&gt;"""", GOOGLETRANSLATE(E9168, ""en"", ""te""),"""")"),"")</f>
        <v/>
      </c>
      <c r="G9168" s="2" t="s">
        <v>3706</v>
      </c>
      <c r="H9168" s="2" t="str">
        <f>IFERROR(__xludf.DUMMYFUNCTION("IF(G9168&lt;&gt;"""", GOOGLETRANSLATE(G9168, ""en"", ""te""),"""")"),"[ '32 వ అత్యంత ఇన్నింగ్స్ లో సాధించిన బైస్ (5)']")</f>
        <v>[ '32 వ అత్యంత ఇన్నింగ్స్ లో సాధించిన బైస్ (5)']</v>
      </c>
      <c r="I9168" s="3"/>
    </row>
    <row r="9169" customHeight="1" spans="1:9">
      <c r="A9169" s="2" t="s">
        <v>5248</v>
      </c>
      <c r="B9169" s="2" t="str">
        <f>IFERROR(__xludf.DUMMYFUNCTION("IF(A9169&lt;&gt;"""", GOOGLETRANSLATE(A9169, ""en"", ""te""),"""")"),"[ '8 వ పిన్న క్రీడాకారులు (12y 56d)']")</f>
        <v>[ '8 వ పిన్న క్రీడాకారులు (12y 56d)']</v>
      </c>
      <c r="C9169" s="2"/>
      <c r="D9169" s="2" t="str">
        <f>IFERROR(__xludf.DUMMYFUNCTION("IF(C9169&lt;&gt;"""", GOOGLETRANSLATE(C9169, ""en"", ""te""),"""")"),"")</f>
        <v/>
      </c>
      <c r="E9169" s="2"/>
      <c r="F9169" s="2" t="str">
        <f>IFERROR(__xludf.DUMMYFUNCTION("IF(E9169&lt;&gt;"""", GOOGLETRANSLATE(E9169, ""en"", ""te""),"""")"),"")</f>
        <v/>
      </c>
      <c r="G9169" s="2" t="s">
        <v>5248</v>
      </c>
      <c r="H9169" s="2" t="str">
        <f>IFERROR(__xludf.DUMMYFUNCTION("IF(G9169&lt;&gt;"""", GOOGLETRANSLATE(G9169, ""en"", ""te""),"""")"),"[ '8 వ పిన్న క్రీడాకారులు (12y 56d)']")</f>
        <v>[ '8 వ పిన్న క్రీడాకారులు (12y 56d)']</v>
      </c>
      <c r="I9169" s="3"/>
    </row>
    <row r="9170" customHeight="1" spans="1:9">
      <c r="A9170" s="2"/>
      <c r="B9170" s="2" t="str">
        <f>IFERROR(__xludf.DUMMYFUNCTION("IF(A9170&lt;&gt;"""", GOOGLETRANSLATE(A9170, ""en"", ""te""),"""")"),"")</f>
        <v/>
      </c>
      <c r="C9170" s="2"/>
      <c r="D9170" s="2" t="str">
        <f>IFERROR(__xludf.DUMMYFUNCTION("IF(C9170&lt;&gt;"""", GOOGLETRANSLATE(C9170, ""en"", ""te""),"""")"),"")</f>
        <v/>
      </c>
      <c r="E9170" s="2"/>
      <c r="F9170" s="2" t="str">
        <f>IFERROR(__xludf.DUMMYFUNCTION("IF(E9170&lt;&gt;"""", GOOGLETRANSLATE(E9170, ""en"", ""te""),"""")"),"")</f>
        <v/>
      </c>
      <c r="G9170" s="2"/>
      <c r="H9170" s="2" t="str">
        <f>IFERROR(__xludf.DUMMYFUNCTION("IF(G9170&lt;&gt;"""", GOOGLETRANSLATE(G9170, ""en"", ""te""),"""")"),"")</f>
        <v/>
      </c>
      <c r="I9170" s="3"/>
    </row>
    <row r="9171" customHeight="1" spans="1:9">
      <c r="A9171" s="2" t="s">
        <v>5249</v>
      </c>
      <c r="B9171" s="2" t="str">
        <f>IFERROR(__xludf.DUMMYFUNCTION("IF(A9171&lt;&gt;"""", GOOGLETRANSLATE(A9171, ""en"", ""te""),"""")"),"[ '6 వ చెత్త కెరీర్ బౌలింగ్ సరాసరి (అర్హత లేకుండా) (104.00)']")</f>
        <v>[ '6 వ చెత్త కెరీర్ బౌలింగ్ సరాసరి (అర్హత లేకుండా) (104.00)']</v>
      </c>
      <c r="C9171" s="2"/>
      <c r="D9171" s="2" t="str">
        <f>IFERROR(__xludf.DUMMYFUNCTION("IF(C9171&lt;&gt;"""", GOOGLETRANSLATE(C9171, ""en"", ""te""),"""")"),"")</f>
        <v/>
      </c>
      <c r="E9171" s="2"/>
      <c r="F9171" s="2" t="str">
        <f>IFERROR(__xludf.DUMMYFUNCTION("IF(E9171&lt;&gt;"""", GOOGLETRANSLATE(E9171, ""en"", ""te""),"""")"),"")</f>
        <v/>
      </c>
      <c r="G9171" s="2" t="s">
        <v>5249</v>
      </c>
      <c r="H9171" s="2" t="str">
        <f>IFERROR(__xludf.DUMMYFUNCTION("IF(G9171&lt;&gt;"""", GOOGLETRANSLATE(G9171, ""en"", ""te""),"""")"),"[ '6 వ చెత్త కెరీర్ బౌలింగ్ సరాసరి (అర్హత లేకుండా) (104.00)']")</f>
        <v>[ '6 వ చెత్త కెరీర్ బౌలింగ్ సరాసరి (అర్హత లేకుండా) (104.00)']</v>
      </c>
      <c r="I9171" s="3"/>
    </row>
    <row r="9172" customHeight="1" spans="1:9">
      <c r="A9172" s="2"/>
      <c r="B9172" s="2" t="str">
        <f>IFERROR(__xludf.DUMMYFUNCTION("IF(A9172&lt;&gt;"""", GOOGLETRANSLATE(A9172, ""en"", ""te""),"""")"),"")</f>
        <v/>
      </c>
      <c r="C9172" s="2"/>
      <c r="D9172" s="2" t="str">
        <f>IFERROR(__xludf.DUMMYFUNCTION("IF(C9172&lt;&gt;"""", GOOGLETRANSLATE(C9172, ""en"", ""te""),"""")"),"")</f>
        <v/>
      </c>
      <c r="E9172" s="2"/>
      <c r="F9172" s="2" t="str">
        <f>IFERROR(__xludf.DUMMYFUNCTION("IF(E9172&lt;&gt;"""", GOOGLETRANSLATE(E9172, ""en"", ""te""),"""")"),"")</f>
        <v/>
      </c>
      <c r="G9172" s="2"/>
      <c r="H9172" s="2" t="str">
        <f>IFERROR(__xludf.DUMMYFUNCTION("IF(G9172&lt;&gt;"""", GOOGLETRANSLATE(G9172, ""en"", ""te""),"""")"),"")</f>
        <v/>
      </c>
      <c r="I9172" s="3"/>
    </row>
    <row r="9173" customHeight="1" spans="1:9">
      <c r="A9173" s="2"/>
      <c r="B9173" s="2" t="str">
        <f>IFERROR(__xludf.DUMMYFUNCTION("IF(A9173&lt;&gt;"""", GOOGLETRANSLATE(A9173, ""en"", ""te""),"""")"),"")</f>
        <v/>
      </c>
      <c r="C9173" s="2"/>
      <c r="D9173" s="2" t="str">
        <f>IFERROR(__xludf.DUMMYFUNCTION("IF(C9173&lt;&gt;"""", GOOGLETRANSLATE(C9173, ""en"", ""te""),"""")"),"")</f>
        <v/>
      </c>
      <c r="E9173" s="2"/>
      <c r="F9173" s="2" t="str">
        <f>IFERROR(__xludf.DUMMYFUNCTION("IF(E9173&lt;&gt;"""", GOOGLETRANSLATE(E9173, ""en"", ""te""),"""")"),"")</f>
        <v/>
      </c>
      <c r="G9173" s="2"/>
      <c r="H9173" s="2" t="str">
        <f>IFERROR(__xludf.DUMMYFUNCTION("IF(G9173&lt;&gt;"""", GOOGLETRANSLATE(G9173, ""en"", ""te""),"""")"),"")</f>
        <v/>
      </c>
      <c r="I9173" s="3"/>
    </row>
    <row r="9174" customHeight="1" spans="1:9">
      <c r="A9174" s="2"/>
      <c r="B9174" s="2" t="str">
        <f>IFERROR(__xludf.DUMMYFUNCTION("IF(A9174&lt;&gt;"""", GOOGLETRANSLATE(A9174, ""en"", ""te""),"""")"),"")</f>
        <v/>
      </c>
      <c r="C9174" s="2"/>
      <c r="D9174" s="2" t="str">
        <f>IFERROR(__xludf.DUMMYFUNCTION("IF(C9174&lt;&gt;"""", GOOGLETRANSLATE(C9174, ""en"", ""te""),"""")"),"")</f>
        <v/>
      </c>
      <c r="E9174" s="2"/>
      <c r="F9174" s="2" t="str">
        <f>IFERROR(__xludf.DUMMYFUNCTION("IF(E9174&lt;&gt;"""", GOOGLETRANSLATE(E9174, ""en"", ""te""),"""")"),"")</f>
        <v/>
      </c>
      <c r="G9174" s="2" t="s">
        <v>5250</v>
      </c>
      <c r="H9174" s="2" t="str">
        <f>IFERROR(__xludf.DUMMYFUNCTION("IF(G9174&lt;&gt;"""", GOOGLETRANSLATE(G9174, ""en"", ""te""),"""")"),"[ 'తొలి 26 ఓల్డెస్ట్ క్రీడాకారులు (42y 340d)', '29th ఓల్డెస్ట్ క్రీడాకారులు (42y 347d)']")</f>
        <v>[ 'తొలి 26 ఓల్డెస్ట్ క్రీడాకారులు (42y 340d)', '29th ఓల్డెస్ట్ క్రీడాకారులు (42y 347d)']</v>
      </c>
      <c r="I9174" s="3"/>
    </row>
    <row r="9175" customHeight="1" spans="1:9">
      <c r="A9175" s="2"/>
      <c r="B9175" s="2" t="str">
        <f>IFERROR(__xludf.DUMMYFUNCTION("IF(A9175&lt;&gt;"""", GOOGLETRANSLATE(A9175, ""en"", ""te""),"""")"),"")</f>
        <v/>
      </c>
      <c r="C9175" s="2"/>
      <c r="D9175" s="2" t="str">
        <f>IFERROR(__xludf.DUMMYFUNCTION("IF(C9175&lt;&gt;"""", GOOGLETRANSLATE(C9175, ""en"", ""te""),"""")"),"")</f>
        <v/>
      </c>
      <c r="E9175" s="2"/>
      <c r="F9175" s="2" t="str">
        <f>IFERROR(__xludf.DUMMYFUNCTION("IF(E9175&lt;&gt;"""", GOOGLETRANSLATE(E9175, ""en"", ""te""),"""")"),"")</f>
        <v/>
      </c>
      <c r="G9175" s="2"/>
      <c r="H9175" s="2" t="str">
        <f>IFERROR(__xludf.DUMMYFUNCTION("IF(G9175&lt;&gt;"""", GOOGLETRANSLATE(G9175, ""en"", ""te""),"""")"),"")</f>
        <v/>
      </c>
      <c r="I9175" s="3"/>
    </row>
    <row r="9176" customHeight="1" spans="1:9">
      <c r="A9176" s="2" t="s">
        <v>1532</v>
      </c>
      <c r="B9176" s="2" t="str">
        <f>IFERROR(__xludf.DUMMYFUNCTION("IF(A9176&lt;&gt;"""", GOOGLETRANSLATE(A9176, ""en"", ""te""),"""")"),"[ '7th అత్యుత్తమ ఇన్నింగ్స్ (2/3) విశ్లేషణలలో బౌలింగ్']")</f>
        <v>[ '7th అత్యుత్తమ ఇన్నింగ్స్ (2/3) విశ్లేషణలలో బౌలింగ్']</v>
      </c>
      <c r="C9176" s="2"/>
      <c r="D9176" s="2" t="str">
        <f>IFERROR(__xludf.DUMMYFUNCTION("IF(C9176&lt;&gt;"""", GOOGLETRANSLATE(C9176, ""en"", ""te""),"""")"),"")</f>
        <v/>
      </c>
      <c r="E9176" s="2"/>
      <c r="F9176" s="2" t="str">
        <f>IFERROR(__xludf.DUMMYFUNCTION("IF(E9176&lt;&gt;"""", GOOGLETRANSLATE(E9176, ""en"", ""te""),"""")"),"")</f>
        <v/>
      </c>
      <c r="G9176" s="2" t="s">
        <v>1532</v>
      </c>
      <c r="H9176" s="2" t="str">
        <f>IFERROR(__xludf.DUMMYFUNCTION("IF(G9176&lt;&gt;"""", GOOGLETRANSLATE(G9176, ""en"", ""te""),"""")"),"[ '7th అత్యుత్తమ ఇన్నింగ్స్ (2/3) విశ్లేషణలలో బౌలింగ్']")</f>
        <v>[ '7th అత్యుత్తమ ఇన్నింగ్స్ (2/3) విశ్లేషణలలో బౌలింగ్']</v>
      </c>
      <c r="I9176" s="3"/>
    </row>
    <row r="9177" customHeight="1" spans="1:9">
      <c r="A9177" s="2"/>
      <c r="B9177" s="2" t="str">
        <f>IFERROR(__xludf.DUMMYFUNCTION("IF(A9177&lt;&gt;"""", GOOGLETRANSLATE(A9177, ""en"", ""te""),"""")"),"")</f>
        <v/>
      </c>
      <c r="C9177" s="2"/>
      <c r="D9177" s="2" t="str">
        <f>IFERROR(__xludf.DUMMYFUNCTION("IF(C9177&lt;&gt;"""", GOOGLETRANSLATE(C9177, ""en"", ""te""),"""")"),"")</f>
        <v/>
      </c>
      <c r="E9177" s="2"/>
      <c r="F9177" s="2" t="str">
        <f>IFERROR(__xludf.DUMMYFUNCTION("IF(E9177&lt;&gt;"""", GOOGLETRANSLATE(E9177, ""en"", ""te""),"""")"),"")</f>
        <v/>
      </c>
      <c r="G9177" s="2" t="s">
        <v>5251</v>
      </c>
      <c r="H9177" s="2" t="str">
        <f>IFERROR(__xludf.DUMMYFUNCTION("IF(G9177&lt;&gt;"""", GOOGLETRANSLATE(G9177, ""en"", ""te""),"""")"),"[ '41 వ ఓల్డెస్ట్ కాప్టెన్ (37y 3)', 'కెప్టెన్సీ తొలి 30 వ ఓల్డెస్ట్ కాప్టెన్ (36y 361d)']")</f>
        <v>[ '41 వ ఓల్డెస్ట్ కాప్టెన్ (37y 3)', 'కెప్టెన్సీ తొలి 30 వ ఓల్డెస్ట్ కాప్టెన్ (36y 361d)']</v>
      </c>
      <c r="I9177" s="3"/>
    </row>
    <row r="9178" customHeight="1" spans="1:9">
      <c r="A9178" s="2" t="s">
        <v>153</v>
      </c>
      <c r="B9178" s="2" t="str">
        <f>IFERROR(__xludf.DUMMYFUNCTION("IF(A9178&lt;&gt;"""", GOOGLETRANSLATE(A9178, ""en"", ""te""),"""")"),"[ 'రెండు దేశాలకు ప్రాతినిధ్యం']")</f>
        <v>[ 'రెండు దేశాలకు ప్రాతినిధ్యం']</v>
      </c>
      <c r="C9178" s="2"/>
      <c r="D9178" s="2" t="str">
        <f>IFERROR(__xludf.DUMMYFUNCTION("IF(C9178&lt;&gt;"""", GOOGLETRANSLATE(C9178, ""en"", ""te""),"""")"),"")</f>
        <v/>
      </c>
      <c r="E9178" s="2"/>
      <c r="F9178" s="2" t="str">
        <f>IFERROR(__xludf.DUMMYFUNCTION("IF(E9178&lt;&gt;"""", GOOGLETRANSLATE(E9178, ""en"", ""te""),"""")"),"")</f>
        <v/>
      </c>
      <c r="G9178" s="2"/>
      <c r="H9178" s="2" t="str">
        <f>IFERROR(__xludf.DUMMYFUNCTION("IF(G9178&lt;&gt;"""", GOOGLETRANSLATE(G9178, ""en"", ""te""),"""")"),"")</f>
        <v/>
      </c>
      <c r="I9178" s="3"/>
    </row>
    <row r="9179" customHeight="1" spans="1:9">
      <c r="A9179" s="2"/>
      <c r="B9179" s="2" t="str">
        <f>IFERROR(__xludf.DUMMYFUNCTION("IF(A9179&lt;&gt;"""", GOOGLETRANSLATE(A9179, ""en"", ""te""),"""")"),"")</f>
        <v/>
      </c>
      <c r="C9179" s="2"/>
      <c r="D9179" s="2" t="str">
        <f>IFERROR(__xludf.DUMMYFUNCTION("IF(C9179&lt;&gt;"""", GOOGLETRANSLATE(C9179, ""en"", ""te""),"""")"),"")</f>
        <v/>
      </c>
      <c r="E9179" s="2"/>
      <c r="F9179" s="2" t="str">
        <f>IFERROR(__xludf.DUMMYFUNCTION("IF(E9179&lt;&gt;"""", GOOGLETRANSLATE(E9179, ""en"", ""te""),"""")"),"")</f>
        <v/>
      </c>
      <c r="G9179" s="2"/>
      <c r="H9179" s="2" t="str">
        <f>IFERROR(__xludf.DUMMYFUNCTION("IF(G9179&lt;&gt;"""", GOOGLETRANSLATE(G9179, ""en"", ""te""),"""")"),"")</f>
        <v/>
      </c>
      <c r="I9179" s="3"/>
    </row>
    <row r="9180" customHeight="1" spans="1:9">
      <c r="A9180" s="2"/>
      <c r="B9180" s="2" t="str">
        <f>IFERROR(__xludf.DUMMYFUNCTION("IF(A9180&lt;&gt;"""", GOOGLETRANSLATE(A9180, ""en"", ""te""),"""")"),"")</f>
        <v/>
      </c>
      <c r="C9180" s="2"/>
      <c r="D9180" s="2" t="str">
        <f>IFERROR(__xludf.DUMMYFUNCTION("IF(C9180&lt;&gt;"""", GOOGLETRANSLATE(C9180, ""en"", ""te""),"""")"),"")</f>
        <v/>
      </c>
      <c r="E9180" s="2"/>
      <c r="F9180" s="2" t="str">
        <f>IFERROR(__xludf.DUMMYFUNCTION("IF(E9180&lt;&gt;"""", GOOGLETRANSLATE(E9180, ""en"", ""te""),"""")"),"")</f>
        <v/>
      </c>
      <c r="G9180" s="2"/>
      <c r="H9180" s="2" t="str">
        <f>IFERROR(__xludf.DUMMYFUNCTION("IF(G9180&lt;&gt;"""", GOOGLETRANSLATE(G9180, ""en"", ""te""),"""")"),"")</f>
        <v/>
      </c>
      <c r="I9180" s="3"/>
    </row>
    <row r="9181" customHeight="1" spans="1:9">
      <c r="A9181" s="2"/>
      <c r="B9181" s="2" t="str">
        <f>IFERROR(__xludf.DUMMYFUNCTION("IF(A9181&lt;&gt;"""", GOOGLETRANSLATE(A9181, ""en"", ""te""),"""")"),"")</f>
        <v/>
      </c>
      <c r="C9181" s="2"/>
      <c r="D9181" s="2" t="str">
        <f>IFERROR(__xludf.DUMMYFUNCTION("IF(C9181&lt;&gt;"""", GOOGLETRANSLATE(C9181, ""en"", ""te""),"""")"),"")</f>
        <v/>
      </c>
      <c r="E9181" s="2"/>
      <c r="F9181" s="2" t="str">
        <f>IFERROR(__xludf.DUMMYFUNCTION("IF(E9181&lt;&gt;"""", GOOGLETRANSLATE(E9181, ""en"", ""te""),"""")"),"")</f>
        <v/>
      </c>
      <c r="G9181" s="2"/>
      <c r="H9181" s="2" t="str">
        <f>IFERROR(__xludf.DUMMYFUNCTION("IF(G9181&lt;&gt;"""", GOOGLETRANSLATE(G9181, ""en"", ""te""),"""")"),"")</f>
        <v/>
      </c>
      <c r="I9181" s="3"/>
    </row>
    <row r="9182" customHeight="1" spans="1:9">
      <c r="A9182" s="2"/>
      <c r="B9182" s="2" t="str">
        <f>IFERROR(__xludf.DUMMYFUNCTION("IF(A9182&lt;&gt;"""", GOOGLETRANSLATE(A9182, ""en"", ""te""),"""")"),"")</f>
        <v/>
      </c>
      <c r="C9182" s="2"/>
      <c r="D9182" s="2" t="str">
        <f>IFERROR(__xludf.DUMMYFUNCTION("IF(C9182&lt;&gt;"""", GOOGLETRANSLATE(C9182, ""en"", ""te""),"""")"),"")</f>
        <v/>
      </c>
      <c r="E9182" s="2"/>
      <c r="F9182" s="2" t="str">
        <f>IFERROR(__xludf.DUMMYFUNCTION("IF(E9182&lt;&gt;"""", GOOGLETRANSLATE(E9182, ""en"", ""te""),"""")"),"")</f>
        <v/>
      </c>
      <c r="G9182" s="2"/>
      <c r="H9182" s="2" t="str">
        <f>IFERROR(__xludf.DUMMYFUNCTION("IF(G9182&lt;&gt;"""", GOOGLETRANSLATE(G9182, ""en"", ""te""),"""")"),"")</f>
        <v/>
      </c>
      <c r="I9182" s="3"/>
    </row>
    <row r="9183" customHeight="1" spans="1:9">
      <c r="A9183" s="2" t="s">
        <v>5252</v>
      </c>
      <c r="B9183" s="2" t="str">
        <f>IFERROR(__xludf.DUMMYFUNCTION("IF(A9183&lt;&gt;"""", GOOGLETRANSLATE(A9183, ""en"", ""te""),"""")"),"[ 'ఆరవ వికెట్కు 8 వ అత్యధిక భాగస్వామ్యం (164)', 'బృందం కోసం 1 వ వరుస మ్యాచ్లు (61 *)', '1 వ వరుస మ్యాచ్లు ఒక జట్టు కెప్టెన్గా (46)', '7 వ ఉత్తమ కెరీర్ సగటు బౌలింగ్ ( అర్హత 4.00) ',' 6 వ అత్యధిక వరుస ఒక జట్టు కెప్టెన్గా అగ్గిపెట్ట లేకుండా) ((78) ']")</f>
        <v>[ 'ఆరవ వికెట్కు 8 వ అత్యధిక భాగస్వామ్యం (164)', 'బృందం కోసం 1 వ వరుస మ్యాచ్లు (61 *)', '1 వ వరుస మ్యాచ్లు ఒక జట్టు కెప్టెన్గా (46)', '7 వ ఉత్తమ కెరీర్ సగటు బౌలింగ్ ( అర్హత 4.00) ',' 6 వ అత్యధిక వరుస ఒక జట్టు కెప్టెన్గా అగ్గిపెట్ట లేకుండా) ((78) ']</v>
      </c>
      <c r="C9183" s="2" t="s">
        <v>5253</v>
      </c>
      <c r="D9183" s="2" t="str">
        <f>IFERROR(__xludf.DUMMYFUNCTION("IF(C9183&lt;&gt;"""", GOOGLETRANSLATE(C9183, ""en"", ""te""),"""")"),"[ '46 వ హండ్రెడ్ గత మ్యాచ్లో (164)']")</f>
        <v>[ '46 వ హండ్రెడ్ గత మ్యాచ్లో (164)']</v>
      </c>
      <c r="E9183" s="2" t="s">
        <v>5254</v>
      </c>
      <c r="F9183" s="2" t="str">
        <f>IFERROR(__xludf.DUMMYFUNCTION("IF(E9183&lt;&gt;"""", GOOGLETRANSLATE(E9183, ""en"", ""te""),"""")"),"[ 'ఆరవ వికెట్కు 8 వ అత్యధిక భాగస్వామ్యం (164)', '24 వ వరుస మ్యాచ్లు బృందం (40) కెప్టెన్ గా']")</f>
        <v>[ 'ఆరవ వికెట్కు 8 వ అత్యధిక భాగస్వామ్యం (164)', '24 వ వరుస మ్యాచ్లు బృందం (40) కెప్టెన్ గా']</v>
      </c>
      <c r="G9183" s="2" t="s">
        <v>5255</v>
      </c>
      <c r="H9183" s="2" t="str">
        <f>IFERROR(__xludf.DUMMYFUNCTION("IF(G9183&lt;&gt;"""", GOOGLETRANSLATE(G9183, ""en"", ""te""),"""")"),"[ 'కెరీర్లో 43 వ అత్యధిక పరుగులు (1341)', '17 వ ఇన్నింగ్స్ లో అత్యధిక పరుగులు (బ్యాటింగ్ స్థానంలో ప్రకారం) (49)', '44 వ అత్యంత ఇన్నింగ్స్ తొలి డక్ ముందు (16)', '32 వ కెరీర్ బాతులు (5) ',' కెరీర్ లో 26 వ ఎక్కువ సిక్స్ (67) ',' 7 వ బౌలింగ్ ఉత్తమ కెరీర్ సగటు"&amp;" (అర్హత లేకుండా) (4.00) ',' ఐదవ వికెట్కు 22 అత్యధిక భాగస్వామ్యం (79) ',' 34 వ కెరీర్ లో అత్యధిక మ్యాచ్లు (72) ',' ఒక జట్టు కెప్టెన్గా (40) ',' 1 వ వరుస కెప్టెన్గా మ్యాచ్లు బృందం కోసం 1 వ వరుస మ్యాచ్లు (61 *) ',' కెప్టెన్ 4 వ అత్యధిక మ్యాచ్లు (52) ',' 24 వ"&amp;" వరుస మ్యాచ్లు ఒక జట్టు (46) ']")</f>
        <v>[ 'కెరీర్లో 43 వ అత్యధిక పరుగులు (1341)', '17 వ ఇన్నింగ్స్ లో అత్యధిక పరుగులు (బ్యాటింగ్ స్థానంలో ప్రకారం) (49)', '44 వ అత్యంత ఇన్నింగ్స్ తొలి డక్ ముందు (16)', '32 వ కెరీర్ బాతులు (5) ',' కెరీర్ లో 26 వ ఎక్కువ సిక్స్ (67) ',' 7 వ బౌలింగ్ ఉత్తమ కెరీర్ సగటు (అర్హత లేకుండా) (4.00) ',' ఐదవ వికెట్కు 22 అత్యధిక భాగస్వామ్యం (79) ',' 34 వ కెరీర్ లో అత్యధిక మ్యాచ్లు (72) ',' ఒక జట్టు కెప్టెన్గా (40) ',' 1 వ వరుస కెప్టెన్గా మ్యాచ్లు బృందం కోసం 1 వ వరుస మ్యాచ్లు (61 *) ',' కెప్టెన్ 4 వ అత్యధిక మ్యాచ్లు (52) ',' 24 వ వరుస మ్యాచ్లు ఒక జట్టు (46) ']</v>
      </c>
      <c r="I9183" s="3"/>
    </row>
    <row r="9184" customHeight="1" spans="1:9">
      <c r="A9184" s="2"/>
      <c r="B9184" s="2" t="str">
        <f>IFERROR(__xludf.DUMMYFUNCTION("IF(A9184&lt;&gt;"""", GOOGLETRANSLATE(A9184, ""en"", ""te""),"""")"),"")</f>
        <v/>
      </c>
      <c r="C9184" s="2"/>
      <c r="D9184" s="2" t="str">
        <f>IFERROR(__xludf.DUMMYFUNCTION("IF(C9184&lt;&gt;"""", GOOGLETRANSLATE(C9184, ""en"", ""te""),"""")"),"")</f>
        <v/>
      </c>
      <c r="E9184" s="2"/>
      <c r="F9184" s="2" t="str">
        <f>IFERROR(__xludf.DUMMYFUNCTION("IF(E9184&lt;&gt;"""", GOOGLETRANSLATE(E9184, ""en"", ""te""),"""")"),"")</f>
        <v/>
      </c>
      <c r="G9184" s="2"/>
      <c r="H9184" s="2" t="str">
        <f>IFERROR(__xludf.DUMMYFUNCTION("IF(G9184&lt;&gt;"""", GOOGLETRANSLATE(G9184, ""en"", ""te""),"""")"),"")</f>
        <v/>
      </c>
      <c r="I9184" s="3"/>
    </row>
    <row r="9185" customHeight="1" spans="1:9">
      <c r="A9185" s="2"/>
      <c r="B9185" s="2" t="str">
        <f>IFERROR(__xludf.DUMMYFUNCTION("IF(A9185&lt;&gt;"""", GOOGLETRANSLATE(A9185, ""en"", ""te""),"""")"),"")</f>
        <v/>
      </c>
      <c r="C9185" s="2"/>
      <c r="D9185" s="2" t="str">
        <f>IFERROR(__xludf.DUMMYFUNCTION("IF(C9185&lt;&gt;"""", GOOGLETRANSLATE(C9185, ""en"", ""te""),"""")"),"")</f>
        <v/>
      </c>
      <c r="E9185" s="2"/>
      <c r="F9185" s="2" t="str">
        <f>IFERROR(__xludf.DUMMYFUNCTION("IF(E9185&lt;&gt;"""", GOOGLETRANSLATE(E9185, ""en"", ""te""),"""")"),"")</f>
        <v/>
      </c>
      <c r="G9185" s="2"/>
      <c r="H9185" s="2" t="str">
        <f>IFERROR(__xludf.DUMMYFUNCTION("IF(G9185&lt;&gt;"""", GOOGLETRANSLATE(G9185, ""en"", ""te""),"""")"),"")</f>
        <v/>
      </c>
      <c r="I9185" s="3"/>
    </row>
    <row r="9186" customHeight="1" spans="1:9">
      <c r="A9186" s="2"/>
      <c r="B9186" s="2" t="str">
        <f>IFERROR(__xludf.DUMMYFUNCTION("IF(A9186&lt;&gt;"""", GOOGLETRANSLATE(A9186, ""en"", ""te""),"""")"),"")</f>
        <v/>
      </c>
      <c r="C9186" s="2"/>
      <c r="D9186" s="2" t="str">
        <f>IFERROR(__xludf.DUMMYFUNCTION("IF(C9186&lt;&gt;"""", GOOGLETRANSLATE(C9186, ""en"", ""te""),"""")"),"")</f>
        <v/>
      </c>
      <c r="E9186" s="2" t="s">
        <v>5256</v>
      </c>
      <c r="F9186" s="2" t="str">
        <f>IFERROR(__xludf.DUMMYFUNCTION("IF(E9186&lt;&gt;"""", GOOGLETRANSLATE(E9186, ""en"", ""te""),"""")"),"[ '43 వ ఉత్తమ కెరీర్ ఎకానమీ రేట్ (3.92)']")</f>
        <v>[ '43 వ ఉత్తమ కెరీర్ ఎకానమీ రేట్ (3.92)']</v>
      </c>
      <c r="G9186" s="2" t="s">
        <v>5257</v>
      </c>
      <c r="H9186" s="2" t="str">
        <f>IFERROR(__xludf.DUMMYFUNCTION("IF(G9186&lt;&gt;"""", GOOGLETRANSLATE(G9186, ""en"", ""te""),"""")"),"[ '13 వ ఇన్నింగ్స్ లో అత్యధిక పరుగులు (బ్యాటింగ్ స్థానంలో ప్రకారం) (21)', '23 వ ఉత్తమ కెరీర్ ఆర్థిక రేటు (6.77)', '17 వ బౌలర్ / బ్యాట్స్ కలయికలు (3)' పదవ వికెట్కు, '44th అత్యధిక భాగస్వామ్యం (16 ) ']")</f>
        <v>[ '13 వ ఇన్నింగ్స్ లో అత్యధిక పరుగులు (బ్యాటింగ్ స్థానంలో ప్రకారం) (21)', '23 వ ఉత్తమ కెరీర్ ఆర్థిక రేటు (6.77)', '17 వ బౌలర్ / బ్యాట్స్ కలయికలు (3)' పదవ వికెట్కు, '44th అత్యధిక భాగస్వామ్యం (16 ) ']</v>
      </c>
      <c r="I9186" s="3"/>
    </row>
    <row r="9187" customHeight="1" spans="1:9">
      <c r="A9187" s="2"/>
      <c r="B9187" s="2" t="str">
        <f>IFERROR(__xludf.DUMMYFUNCTION("IF(A9187&lt;&gt;"""", GOOGLETRANSLATE(A9187, ""en"", ""te""),"""")"),"")</f>
        <v/>
      </c>
      <c r="C9187" s="2"/>
      <c r="D9187" s="2" t="str">
        <f>IFERROR(__xludf.DUMMYFUNCTION("IF(C9187&lt;&gt;"""", GOOGLETRANSLATE(C9187, ""en"", ""te""),"""")"),"")</f>
        <v/>
      </c>
      <c r="E9187" s="2"/>
      <c r="F9187" s="2" t="str">
        <f>IFERROR(__xludf.DUMMYFUNCTION("IF(E9187&lt;&gt;"""", GOOGLETRANSLATE(E9187, ""en"", ""te""),"""")"),"")</f>
        <v/>
      </c>
      <c r="G9187" s="2"/>
      <c r="H9187" s="2" t="str">
        <f>IFERROR(__xludf.DUMMYFUNCTION("IF(G9187&lt;&gt;"""", GOOGLETRANSLATE(G9187, ""en"", ""te""),"""")"),"")</f>
        <v/>
      </c>
      <c r="I9187" s="3"/>
    </row>
    <row r="9188" customHeight="1" spans="1:9">
      <c r="A9188" s="2"/>
      <c r="B9188" s="2" t="str">
        <f>IFERROR(__xludf.DUMMYFUNCTION("IF(A9188&lt;&gt;"""", GOOGLETRANSLATE(A9188, ""en"", ""te""),"""")"),"")</f>
        <v/>
      </c>
      <c r="C9188" s="2"/>
      <c r="D9188" s="2" t="str">
        <f>IFERROR(__xludf.DUMMYFUNCTION("IF(C9188&lt;&gt;"""", GOOGLETRANSLATE(C9188, ""en"", ""te""),"""")"),"")</f>
        <v/>
      </c>
      <c r="E9188" s="2"/>
      <c r="F9188" s="2" t="str">
        <f>IFERROR(__xludf.DUMMYFUNCTION("IF(E9188&lt;&gt;"""", GOOGLETRANSLATE(E9188, ""en"", ""te""),"""")"),"")</f>
        <v/>
      </c>
      <c r="G9188" s="2"/>
      <c r="H9188" s="2" t="str">
        <f>IFERROR(__xludf.DUMMYFUNCTION("IF(G9188&lt;&gt;"""", GOOGLETRANSLATE(G9188, ""en"", ""te""),"""")"),"")</f>
        <v/>
      </c>
      <c r="I9188" s="3"/>
    </row>
    <row r="9189" customHeight="1" spans="1:9">
      <c r="A9189" s="2"/>
      <c r="B9189" s="2" t="str">
        <f>IFERROR(__xludf.DUMMYFUNCTION("IF(A9189&lt;&gt;"""", GOOGLETRANSLATE(A9189, ""en"", ""te""),"""")"),"")</f>
        <v/>
      </c>
      <c r="C9189" s="2"/>
      <c r="D9189" s="2" t="str">
        <f>IFERROR(__xludf.DUMMYFUNCTION("IF(C9189&lt;&gt;"""", GOOGLETRANSLATE(C9189, ""en"", ""te""),"""")"),"")</f>
        <v/>
      </c>
      <c r="E9189" s="2"/>
      <c r="F9189" s="2" t="str">
        <f>IFERROR(__xludf.DUMMYFUNCTION("IF(E9189&lt;&gt;"""", GOOGLETRANSLATE(E9189, ""en"", ""te""),"""")"),"")</f>
        <v/>
      </c>
      <c r="G9189" s="2"/>
      <c r="H9189" s="2" t="str">
        <f>IFERROR(__xludf.DUMMYFUNCTION("IF(G9189&lt;&gt;"""", GOOGLETRANSLATE(G9189, ""en"", ""te""),"""")"),"")</f>
        <v/>
      </c>
      <c r="I9189" s="3"/>
    </row>
    <row r="9190" customHeight="1" spans="1:9">
      <c r="A9190" s="2"/>
      <c r="B9190" s="2" t="str">
        <f>IFERROR(__xludf.DUMMYFUNCTION("IF(A9190&lt;&gt;"""", GOOGLETRANSLATE(A9190, ""en"", ""te""),"""")"),"")</f>
        <v/>
      </c>
      <c r="C9190" s="2"/>
      <c r="D9190" s="2" t="str">
        <f>IFERROR(__xludf.DUMMYFUNCTION("IF(C9190&lt;&gt;"""", GOOGLETRANSLATE(C9190, ""en"", ""te""),"""")"),"")</f>
        <v/>
      </c>
      <c r="E9190" s="2"/>
      <c r="F9190" s="2" t="str">
        <f>IFERROR(__xludf.DUMMYFUNCTION("IF(E9190&lt;&gt;"""", GOOGLETRANSLATE(E9190, ""en"", ""te""),"""")"),"")</f>
        <v/>
      </c>
      <c r="G9190" s="2"/>
      <c r="H9190" s="2" t="str">
        <f>IFERROR(__xludf.DUMMYFUNCTION("IF(G9190&lt;&gt;"""", GOOGLETRANSLATE(G9190, ""en"", ""te""),"""")"),"")</f>
        <v/>
      </c>
      <c r="I9190" s="3"/>
    </row>
    <row r="9191" customHeight="1" spans="1:9">
      <c r="A9191" s="2"/>
      <c r="B9191" s="2" t="str">
        <f>IFERROR(__xludf.DUMMYFUNCTION("IF(A9191&lt;&gt;"""", GOOGLETRANSLATE(A9191, ""en"", ""te""),"""")"),"")</f>
        <v/>
      </c>
      <c r="C9191" s="2"/>
      <c r="D9191" s="2" t="str">
        <f>IFERROR(__xludf.DUMMYFUNCTION("IF(C9191&lt;&gt;"""", GOOGLETRANSLATE(C9191, ""en"", ""te""),"""")"),"")</f>
        <v/>
      </c>
      <c r="E9191" s="2"/>
      <c r="F9191" s="2" t="str">
        <f>IFERROR(__xludf.DUMMYFUNCTION("IF(E9191&lt;&gt;"""", GOOGLETRANSLATE(E9191, ""en"", ""te""),"""")"),"")</f>
        <v/>
      </c>
      <c r="G9191" s="2"/>
      <c r="H9191" s="2" t="str">
        <f>IFERROR(__xludf.DUMMYFUNCTION("IF(G9191&lt;&gt;"""", GOOGLETRANSLATE(G9191, ""en"", ""te""),"""")"),"")</f>
        <v/>
      </c>
      <c r="I9191" s="3"/>
    </row>
    <row r="9192" customHeight="1" spans="1:9">
      <c r="A9192" s="2" t="s">
        <v>399</v>
      </c>
      <c r="B9192" s="2" t="str">
        <f>IFERROR(__xludf.DUMMYFUNCTION("IF(A9192&lt;&gt;"""", GOOGLETRANSLATE(A9192, ""en"", ""te""),"""")"),"[ 'తొలి పెయిర్']")</f>
        <v>[ 'తొలి పెయిర్']</v>
      </c>
      <c r="C9192" s="2"/>
      <c r="D9192" s="2" t="str">
        <f>IFERROR(__xludf.DUMMYFUNCTION("IF(C9192&lt;&gt;"""", GOOGLETRANSLATE(C9192, ""en"", ""te""),"""")"),"")</f>
        <v/>
      </c>
      <c r="E9192" s="2"/>
      <c r="F9192" s="2" t="str">
        <f>IFERROR(__xludf.DUMMYFUNCTION("IF(E9192&lt;&gt;"""", GOOGLETRANSLATE(E9192, ""en"", ""te""),"""")"),"")</f>
        <v/>
      </c>
      <c r="G9192" s="2"/>
      <c r="H9192" s="2" t="str">
        <f>IFERROR(__xludf.DUMMYFUNCTION("IF(G9192&lt;&gt;"""", GOOGLETRANSLATE(G9192, ""en"", ""te""),"""")"),"")</f>
        <v/>
      </c>
      <c r="I9192" s="3"/>
    </row>
    <row r="9193" customHeight="1" spans="1:9">
      <c r="A9193" s="2"/>
      <c r="B9193" s="2" t="str">
        <f>IFERROR(__xludf.DUMMYFUNCTION("IF(A9193&lt;&gt;"""", GOOGLETRANSLATE(A9193, ""en"", ""te""),"""")"),"")</f>
        <v/>
      </c>
      <c r="C9193" s="2"/>
      <c r="D9193" s="2" t="str">
        <f>IFERROR(__xludf.DUMMYFUNCTION("IF(C9193&lt;&gt;"""", GOOGLETRANSLATE(C9193, ""en"", ""te""),"""")"),"")</f>
        <v/>
      </c>
      <c r="E9193" s="2" t="s">
        <v>5258</v>
      </c>
      <c r="F9193" s="2" t="str">
        <f>IFERROR(__xludf.DUMMYFUNCTION("IF(E9193&lt;&gt;"""", GOOGLETRANSLATE(E9193, ""en"", ""te""),"""")"),"[ '29 ఉత్తమ కెరీర్ సమ్మె రేటు (30.6)', '27th పిన్న క్రీడాకారులు (17y 78d)']")</f>
        <v>[ '29 ఉత్తమ కెరీర్ సమ్మె రేటు (30.6)', '27th పిన్న క్రీడాకారులు (17y 78d)']</v>
      </c>
      <c r="G9193" s="2"/>
      <c r="H9193" s="2" t="str">
        <f>IFERROR(__xludf.DUMMYFUNCTION("IF(G9193&lt;&gt;"""", GOOGLETRANSLATE(G9193, ""en"", ""te""),"""")"),"")</f>
        <v/>
      </c>
      <c r="I9193" s="3"/>
    </row>
    <row r="9194" customHeight="1" spans="1:9">
      <c r="A9194" s="2"/>
      <c r="B9194" s="2" t="str">
        <f>IFERROR(__xludf.DUMMYFUNCTION("IF(A9194&lt;&gt;"""", GOOGLETRANSLATE(A9194, ""en"", ""te""),"""")"),"")</f>
        <v/>
      </c>
      <c r="C9194" s="2"/>
      <c r="D9194" s="2" t="str">
        <f>IFERROR(__xludf.DUMMYFUNCTION("IF(C9194&lt;&gt;"""", GOOGLETRANSLATE(C9194, ""en"", ""te""),"""")"),"")</f>
        <v/>
      </c>
      <c r="E9194" s="2"/>
      <c r="F9194" s="2" t="str">
        <f>IFERROR(__xludf.DUMMYFUNCTION("IF(E9194&lt;&gt;"""", GOOGLETRANSLATE(E9194, ""en"", ""te""),"""")"),"")</f>
        <v/>
      </c>
      <c r="G9194" s="2"/>
      <c r="H9194" s="2" t="str">
        <f>IFERROR(__xludf.DUMMYFUNCTION("IF(G9194&lt;&gt;"""", GOOGLETRANSLATE(G9194, ""en"", ""te""),"""")"),"")</f>
        <v/>
      </c>
      <c r="I9194" s="3"/>
    </row>
    <row r="9195" customHeight="1" spans="1:9">
      <c r="A9195" s="2"/>
      <c r="B9195" s="2" t="str">
        <f>IFERROR(__xludf.DUMMYFUNCTION("IF(A9195&lt;&gt;"""", GOOGLETRANSLATE(A9195, ""en"", ""te""),"""")"),"")</f>
        <v/>
      </c>
      <c r="C9195" s="2"/>
      <c r="D9195" s="2" t="str">
        <f>IFERROR(__xludf.DUMMYFUNCTION("IF(C9195&lt;&gt;"""", GOOGLETRANSLATE(C9195, ""en"", ""te""),"""")"),"")</f>
        <v/>
      </c>
      <c r="E9195" s="2"/>
      <c r="F9195" s="2" t="str">
        <f>IFERROR(__xludf.DUMMYFUNCTION("IF(E9195&lt;&gt;"""", GOOGLETRANSLATE(E9195, ""en"", ""te""),"""")"),"")</f>
        <v/>
      </c>
      <c r="G9195" s="2"/>
      <c r="H9195" s="2" t="str">
        <f>IFERROR(__xludf.DUMMYFUNCTION("IF(G9195&lt;&gt;"""", GOOGLETRANSLATE(G9195, ""en"", ""te""),"""")"),"")</f>
        <v/>
      </c>
      <c r="I9195" s="3"/>
    </row>
    <row r="9196" customHeight="1" spans="1:9">
      <c r="A9196" s="2"/>
      <c r="B9196" s="2" t="str">
        <f>IFERROR(__xludf.DUMMYFUNCTION("IF(A9196&lt;&gt;"""", GOOGLETRANSLATE(A9196, ""en"", ""te""),"""")"),"")</f>
        <v/>
      </c>
      <c r="C9196" s="2"/>
      <c r="D9196" s="2" t="str">
        <f>IFERROR(__xludf.DUMMYFUNCTION("IF(C9196&lt;&gt;"""", GOOGLETRANSLATE(C9196, ""en"", ""te""),"""")"),"")</f>
        <v/>
      </c>
      <c r="E9196" s="2"/>
      <c r="F9196" s="2" t="str">
        <f>IFERROR(__xludf.DUMMYFUNCTION("IF(E9196&lt;&gt;"""", GOOGLETRANSLATE(E9196, ""en"", ""te""),"""")"),"")</f>
        <v/>
      </c>
      <c r="G9196" s="2"/>
      <c r="H9196" s="2" t="str">
        <f>IFERROR(__xludf.DUMMYFUNCTION("IF(G9196&lt;&gt;"""", GOOGLETRANSLATE(G9196, ""en"", ""te""),"""")"),"")</f>
        <v/>
      </c>
      <c r="I9196" s="3"/>
    </row>
    <row r="9197" customHeight="1" spans="1:9">
      <c r="A9197" s="2"/>
      <c r="B9197" s="2" t="str">
        <f>IFERROR(__xludf.DUMMYFUNCTION("IF(A9197&lt;&gt;"""", GOOGLETRANSLATE(A9197, ""en"", ""te""),"""")"),"")</f>
        <v/>
      </c>
      <c r="C9197" s="2"/>
      <c r="D9197" s="2" t="str">
        <f>IFERROR(__xludf.DUMMYFUNCTION("IF(C9197&lt;&gt;"""", GOOGLETRANSLATE(C9197, ""en"", ""te""),"""")"),"")</f>
        <v/>
      </c>
      <c r="E9197" s="2"/>
      <c r="F9197" s="2" t="str">
        <f>IFERROR(__xludf.DUMMYFUNCTION("IF(E9197&lt;&gt;"""", GOOGLETRANSLATE(E9197, ""en"", ""te""),"""")"),"")</f>
        <v/>
      </c>
      <c r="G9197" s="2"/>
      <c r="H9197" s="2" t="str">
        <f>IFERROR(__xludf.DUMMYFUNCTION("IF(G9197&lt;&gt;"""", GOOGLETRANSLATE(G9197, ""en"", ""te""),"""")"),"")</f>
        <v/>
      </c>
      <c r="I9197" s="3"/>
    </row>
    <row r="9198" customHeight="1" spans="1:9">
      <c r="A9198" s="2"/>
      <c r="B9198" s="2" t="str">
        <f>IFERROR(__xludf.DUMMYFUNCTION("IF(A9198&lt;&gt;"""", GOOGLETRANSLATE(A9198, ""en"", ""te""),"""")"),"")</f>
        <v/>
      </c>
      <c r="C9198" s="2"/>
      <c r="D9198" s="2" t="str">
        <f>IFERROR(__xludf.DUMMYFUNCTION("IF(C9198&lt;&gt;"""", GOOGLETRANSLATE(C9198, ""en"", ""te""),"""")"),"")</f>
        <v/>
      </c>
      <c r="E9198" s="2"/>
      <c r="F9198" s="2" t="str">
        <f>IFERROR(__xludf.DUMMYFUNCTION("IF(E9198&lt;&gt;"""", GOOGLETRANSLATE(E9198, ""en"", ""te""),"""")"),"")</f>
        <v/>
      </c>
      <c r="G9198" s="2"/>
      <c r="H9198" s="2" t="str">
        <f>IFERROR(__xludf.DUMMYFUNCTION("IF(G9198&lt;&gt;"""", GOOGLETRANSLATE(G9198, ""en"", ""te""),"""")"),"")</f>
        <v/>
      </c>
      <c r="I9198" s="3"/>
    </row>
    <row r="9199" customHeight="1" spans="1:9">
      <c r="A9199" s="2"/>
      <c r="B9199" s="2" t="str">
        <f>IFERROR(__xludf.DUMMYFUNCTION("IF(A9199&lt;&gt;"""", GOOGLETRANSLATE(A9199, ""en"", ""te""),"""")"),"")</f>
        <v/>
      </c>
      <c r="C9199" s="2"/>
      <c r="D9199" s="2" t="str">
        <f>IFERROR(__xludf.DUMMYFUNCTION("IF(C9199&lt;&gt;"""", GOOGLETRANSLATE(C9199, ""en"", ""te""),"""")"),"")</f>
        <v/>
      </c>
      <c r="E9199" s="2"/>
      <c r="F9199" s="2" t="str">
        <f>IFERROR(__xludf.DUMMYFUNCTION("IF(E9199&lt;&gt;"""", GOOGLETRANSLATE(E9199, ""en"", ""te""),"""")"),"")</f>
        <v/>
      </c>
      <c r="G9199" s="2"/>
      <c r="H9199" s="2" t="str">
        <f>IFERROR(__xludf.DUMMYFUNCTION("IF(G9199&lt;&gt;"""", GOOGLETRANSLATE(G9199, ""en"", ""te""),"""")"),"")</f>
        <v/>
      </c>
      <c r="I9199" s="3"/>
    </row>
    <row r="9200" customHeight="1" spans="1:9">
      <c r="A9200" s="2"/>
      <c r="B9200" s="2" t="str">
        <f>IFERROR(__xludf.DUMMYFUNCTION("IF(A9200&lt;&gt;"""", GOOGLETRANSLATE(A9200, ""en"", ""te""),"""")"),"")</f>
        <v/>
      </c>
      <c r="C9200" s="2"/>
      <c r="D9200" s="2" t="str">
        <f>IFERROR(__xludf.DUMMYFUNCTION("IF(C9200&lt;&gt;"""", GOOGLETRANSLATE(C9200, ""en"", ""te""),"""")"),"")</f>
        <v/>
      </c>
      <c r="E9200" s="2"/>
      <c r="F9200" s="2" t="str">
        <f>IFERROR(__xludf.DUMMYFUNCTION("IF(E9200&lt;&gt;"""", GOOGLETRANSLATE(E9200, ""en"", ""te""),"""")"),"")</f>
        <v/>
      </c>
      <c r="G9200" s="2"/>
      <c r="H9200" s="2" t="str">
        <f>IFERROR(__xludf.DUMMYFUNCTION("IF(G9200&lt;&gt;"""", GOOGLETRANSLATE(G9200, ""en"", ""te""),"""")"),"")</f>
        <v/>
      </c>
      <c r="I9200" s="3"/>
    </row>
    <row r="9201" customHeight="1" spans="1:9">
      <c r="A9201" s="2" t="s">
        <v>5259</v>
      </c>
      <c r="B9201" s="2" t="str">
        <f>IFERROR(__xludf.DUMMYFUNCTION("IF(A9201&lt;&gt;"""", GOOGLETRANSLATE(A9201, ""en"", ""te""),"""")"),"[ 'ఇన్నింగ్స్ లో 9 వ అత్యధిక పరుగులు (బ్యాటింగ్ స్థానంలో ప్రకారం) (47 *)', '1 వ బౌలర్ / బ్యాట్స్ కలయికలు (4)']")</f>
        <v>[ 'ఇన్నింగ్స్ లో 9 వ అత్యధిక పరుగులు (బ్యాటింగ్ స్థానంలో ప్రకారం) (47 *)', '1 వ బౌలర్ / బ్యాట్స్ కలయికలు (4)']</v>
      </c>
      <c r="C9201" s="2"/>
      <c r="D9201" s="2" t="str">
        <f>IFERROR(__xludf.DUMMYFUNCTION("IF(C9201&lt;&gt;"""", GOOGLETRANSLATE(C9201, ""en"", ""te""),"""")"),"")</f>
        <v/>
      </c>
      <c r="E9201" s="2" t="s">
        <v>5260</v>
      </c>
      <c r="F9201" s="2" t="str">
        <f>IFERROR(__xludf.DUMMYFUNCTION("IF(E9201&lt;&gt;"""", GOOGLETRANSLATE(E9201, ""en"", ""te""),"""")"),"[ 'ఇన్నింగ్స్ లో 9 వ అత్యధిక పరుగులు (బ్యాటింగ్ స్థానంలో ప్రకారం) (47 *)', '11 వ ఇన్నింగ్స్ లో సాధించిన అత్యధిక పరుగులు (101)', 'పదవ వికెట్ను (64) 13 వ అత్యధిక భాగస్వామ్యం']")</f>
        <v>[ 'ఇన్నింగ్స్ లో 9 వ అత్యధిక పరుగులు (బ్యాటింగ్ స్థానంలో ప్రకారం) (47 *)', '11 వ ఇన్నింగ్స్ లో సాధించిన అత్యధిక పరుగులు (101)', 'పదవ వికెట్ను (64) 13 వ అత్యధిక భాగస్వామ్యం']</v>
      </c>
      <c r="G9201" s="2" t="s">
        <v>5261</v>
      </c>
      <c r="H9201" s="2" t="str">
        <f>IFERROR(__xludf.DUMMYFUNCTION("IF(G9201&lt;&gt;"""", GOOGLETRANSLATE(G9201, ""en"", ""te""),"""")"),"[ '38 వ చెత్త కెరీర్లో ఆర్థిక రేటు (7.93)', '1 వ బౌలర్ / బ్యాట్స్ కలయికలు (4)', '30 వ అత్యధిక వికెట్లు తీసుకున్న బౌల్డ్ (12)']")</f>
        <v>[ '38 వ చెత్త కెరీర్లో ఆర్థిక రేటు (7.93)', '1 వ బౌలర్ / బ్యాట్స్ కలయికలు (4)', '30 వ అత్యధిక వికెట్లు తీసుకున్న బౌల్డ్ (12)']</v>
      </c>
      <c r="I9201" s="3"/>
    </row>
    <row r="9202" customHeight="1" spans="1:9">
      <c r="A9202" s="2"/>
      <c r="B9202" s="2" t="str">
        <f>IFERROR(__xludf.DUMMYFUNCTION("IF(A9202&lt;&gt;"""", GOOGLETRANSLATE(A9202, ""en"", ""te""),"""")"),"")</f>
        <v/>
      </c>
      <c r="C9202" s="2"/>
      <c r="D9202" s="2" t="str">
        <f>IFERROR(__xludf.DUMMYFUNCTION("IF(C9202&lt;&gt;"""", GOOGLETRANSLATE(C9202, ""en"", ""te""),"""")"),"")</f>
        <v/>
      </c>
      <c r="E9202" s="2" t="s">
        <v>1043</v>
      </c>
      <c r="F9202" s="2" t="str">
        <f>IFERROR(__xludf.DUMMYFUNCTION("IF(E9202&lt;&gt;"""", GOOGLETRANSLATE(E9202, ""en"", ""te""),"""")"),"[ '31 చెత్త కెరీర్ బౌలింగ్ సరాసరి (అర్హత లేకుండా) (121.00)']")</f>
        <v>[ '31 చెత్త కెరీర్ బౌలింగ్ సరాసరి (అర్హత లేకుండా) (121.00)']</v>
      </c>
      <c r="G9202" s="2"/>
      <c r="H9202" s="2" t="str">
        <f>IFERROR(__xludf.DUMMYFUNCTION("IF(G9202&lt;&gt;"""", GOOGLETRANSLATE(G9202, ""en"", ""te""),"""")"),"")</f>
        <v/>
      </c>
      <c r="I9202" s="3"/>
    </row>
    <row r="9203" customHeight="1" spans="1:9">
      <c r="A9203" s="2"/>
      <c r="B9203" s="2" t="str">
        <f>IFERROR(__xludf.DUMMYFUNCTION("IF(A9203&lt;&gt;"""", GOOGLETRANSLATE(A9203, ""en"", ""te""),"""")"),"")</f>
        <v/>
      </c>
      <c r="C9203" s="2"/>
      <c r="D9203" s="2" t="str">
        <f>IFERROR(__xludf.DUMMYFUNCTION("IF(C9203&lt;&gt;"""", GOOGLETRANSLATE(C9203, ""en"", ""te""),"""")"),"")</f>
        <v/>
      </c>
      <c r="E9203" s="2"/>
      <c r="F9203" s="2" t="str">
        <f>IFERROR(__xludf.DUMMYFUNCTION("IF(E9203&lt;&gt;"""", GOOGLETRANSLATE(E9203, ""en"", ""te""),"""")"),"")</f>
        <v/>
      </c>
      <c r="G9203" s="2"/>
      <c r="H9203" s="2" t="str">
        <f>IFERROR(__xludf.DUMMYFUNCTION("IF(G9203&lt;&gt;"""", GOOGLETRANSLATE(G9203, ""en"", ""te""),"""")"),"")</f>
        <v/>
      </c>
      <c r="I9203" s="3"/>
    </row>
    <row r="9204" customHeight="1" spans="1:9">
      <c r="A9204" s="2"/>
      <c r="B9204" s="2" t="str">
        <f>IFERROR(__xludf.DUMMYFUNCTION("IF(A9204&lt;&gt;"""", GOOGLETRANSLATE(A9204, ""en"", ""te""),"""")"),"")</f>
        <v/>
      </c>
      <c r="C9204" s="2"/>
      <c r="D9204" s="2" t="str">
        <f>IFERROR(__xludf.DUMMYFUNCTION("IF(C9204&lt;&gt;"""", GOOGLETRANSLATE(C9204, ""en"", ""te""),"""")"),"")</f>
        <v/>
      </c>
      <c r="E9204" s="2"/>
      <c r="F9204" s="2" t="str">
        <f>IFERROR(__xludf.DUMMYFUNCTION("IF(E9204&lt;&gt;"""", GOOGLETRANSLATE(E9204, ""en"", ""te""),"""")"),"")</f>
        <v/>
      </c>
      <c r="G9204" s="2" t="s">
        <v>5262</v>
      </c>
      <c r="H9204" s="2" t="str">
        <f>IFERROR(__xludf.DUMMYFUNCTION("IF(G9204&lt;&gt;"""", GOOGLETRANSLATE(G9204, ""en"", ""te""),"""")"),"[ 'పదవ వికెట్కు 14 అత్యధిక భాగస్వామ్యం (23 *)']")</f>
        <v>[ 'పదవ వికెట్కు 14 అత్యధిక భాగస్వామ్యం (23 *)']</v>
      </c>
      <c r="I9204" s="3"/>
    </row>
    <row r="9205" customHeight="1" spans="1:9">
      <c r="A9205" s="2"/>
      <c r="B9205" s="2" t="str">
        <f>IFERROR(__xludf.DUMMYFUNCTION("IF(A9205&lt;&gt;"""", GOOGLETRANSLATE(A9205, ""en"", ""te""),"""")"),"")</f>
        <v/>
      </c>
      <c r="C9205" s="2"/>
      <c r="D9205" s="2" t="str">
        <f>IFERROR(__xludf.DUMMYFUNCTION("IF(C9205&lt;&gt;"""", GOOGLETRANSLATE(C9205, ""en"", ""te""),"""")"),"")</f>
        <v/>
      </c>
      <c r="E9205" s="2"/>
      <c r="F9205" s="2" t="str">
        <f>IFERROR(__xludf.DUMMYFUNCTION("IF(E9205&lt;&gt;"""", GOOGLETRANSLATE(E9205, ""en"", ""te""),"""")"),"")</f>
        <v/>
      </c>
      <c r="G9205" s="2"/>
      <c r="H9205" s="2" t="str">
        <f>IFERROR(__xludf.DUMMYFUNCTION("IF(G9205&lt;&gt;"""", GOOGLETRANSLATE(G9205, ""en"", ""te""),"""")"),"")</f>
        <v/>
      </c>
      <c r="I9205" s="3"/>
    </row>
    <row r="9206" customHeight="1" spans="1:9">
      <c r="A9206" s="2"/>
      <c r="B9206" s="2" t="str">
        <f>IFERROR(__xludf.DUMMYFUNCTION("IF(A9206&lt;&gt;"""", GOOGLETRANSLATE(A9206, ""en"", ""te""),"""")"),"")</f>
        <v/>
      </c>
      <c r="C9206" s="2"/>
      <c r="D9206" s="2" t="str">
        <f>IFERROR(__xludf.DUMMYFUNCTION("IF(C9206&lt;&gt;"""", GOOGLETRANSLATE(C9206, ""en"", ""te""),"""")"),"")</f>
        <v/>
      </c>
      <c r="E9206" s="2"/>
      <c r="F9206" s="2" t="str">
        <f>IFERROR(__xludf.DUMMYFUNCTION("IF(E9206&lt;&gt;"""", GOOGLETRANSLATE(E9206, ""en"", ""te""),"""")"),"")</f>
        <v/>
      </c>
      <c r="G9206" s="2"/>
      <c r="H9206" s="2" t="str">
        <f>IFERROR(__xludf.DUMMYFUNCTION("IF(G9206&lt;&gt;"""", GOOGLETRANSLATE(G9206, ""en"", ""te""),"""")"),"")</f>
        <v/>
      </c>
      <c r="I9206" s="3"/>
    </row>
    <row r="9207" customHeight="1" spans="1:9">
      <c r="A9207" s="2"/>
      <c r="B9207" s="2" t="str">
        <f>IFERROR(__xludf.DUMMYFUNCTION("IF(A9207&lt;&gt;"""", GOOGLETRANSLATE(A9207, ""en"", ""te""),"""")"),"")</f>
        <v/>
      </c>
      <c r="C9207" s="2"/>
      <c r="D9207" s="2" t="str">
        <f>IFERROR(__xludf.DUMMYFUNCTION("IF(C9207&lt;&gt;"""", GOOGLETRANSLATE(C9207, ""en"", ""te""),"""")"),"")</f>
        <v/>
      </c>
      <c r="E9207" s="2"/>
      <c r="F9207" s="2" t="str">
        <f>IFERROR(__xludf.DUMMYFUNCTION("IF(E9207&lt;&gt;"""", GOOGLETRANSLATE(E9207, ""en"", ""te""),"""")"),"")</f>
        <v/>
      </c>
      <c r="G9207" s="2"/>
      <c r="H9207" s="2" t="str">
        <f>IFERROR(__xludf.DUMMYFUNCTION("IF(G9207&lt;&gt;"""", GOOGLETRANSLATE(G9207, ""en"", ""te""),"""")"),"")</f>
        <v/>
      </c>
      <c r="I9207" s="3"/>
    </row>
    <row r="9208" customHeight="1" spans="1:9">
      <c r="A9208" s="2"/>
      <c r="B9208" s="2" t="str">
        <f>IFERROR(__xludf.DUMMYFUNCTION("IF(A9208&lt;&gt;"""", GOOGLETRANSLATE(A9208, ""en"", ""te""),"""")"),"")</f>
        <v/>
      </c>
      <c r="C9208" s="2"/>
      <c r="D9208" s="2" t="str">
        <f>IFERROR(__xludf.DUMMYFUNCTION("IF(C9208&lt;&gt;"""", GOOGLETRANSLATE(C9208, ""en"", ""te""),"""")"),"")</f>
        <v/>
      </c>
      <c r="E9208" s="2"/>
      <c r="F9208" s="2" t="str">
        <f>IFERROR(__xludf.DUMMYFUNCTION("IF(E9208&lt;&gt;"""", GOOGLETRANSLATE(E9208, ""en"", ""te""),"""")"),"")</f>
        <v/>
      </c>
      <c r="G9208" s="2"/>
      <c r="H9208" s="2" t="str">
        <f>IFERROR(__xludf.DUMMYFUNCTION("IF(G9208&lt;&gt;"""", GOOGLETRANSLATE(G9208, ""en"", ""te""),"""")"),"")</f>
        <v/>
      </c>
      <c r="I9208" s="3"/>
    </row>
    <row r="9209" customHeight="1" spans="1:9">
      <c r="A9209" s="2"/>
      <c r="B9209" s="2" t="str">
        <f>IFERROR(__xludf.DUMMYFUNCTION("IF(A9209&lt;&gt;"""", GOOGLETRANSLATE(A9209, ""en"", ""te""),"""")"),"")</f>
        <v/>
      </c>
      <c r="C9209" s="2"/>
      <c r="D9209" s="2" t="str">
        <f>IFERROR(__xludf.DUMMYFUNCTION("IF(C9209&lt;&gt;"""", GOOGLETRANSLATE(C9209, ""en"", ""te""),"""")"),"")</f>
        <v/>
      </c>
      <c r="E9209" s="2"/>
      <c r="F9209" s="2" t="str">
        <f>IFERROR(__xludf.DUMMYFUNCTION("IF(E9209&lt;&gt;"""", GOOGLETRANSLATE(E9209, ""en"", ""te""),"""")"),"")</f>
        <v/>
      </c>
      <c r="G9209" s="2"/>
      <c r="H9209" s="2" t="str">
        <f>IFERROR(__xludf.DUMMYFUNCTION("IF(G9209&lt;&gt;"""", GOOGLETRANSLATE(G9209, ""en"", ""te""),"""")"),"")</f>
        <v/>
      </c>
      <c r="I9209" s="3"/>
    </row>
    <row r="9210" customHeight="1" spans="1:9">
      <c r="A9210" s="2"/>
      <c r="B9210" s="2" t="str">
        <f>IFERROR(__xludf.DUMMYFUNCTION("IF(A9210&lt;&gt;"""", GOOGLETRANSLATE(A9210, ""en"", ""te""),"""")"),"")</f>
        <v/>
      </c>
      <c r="C9210" s="2"/>
      <c r="D9210" s="2" t="str">
        <f>IFERROR(__xludf.DUMMYFUNCTION("IF(C9210&lt;&gt;"""", GOOGLETRANSLATE(C9210, ""en"", ""te""),"""")"),"")</f>
        <v/>
      </c>
      <c r="E9210" s="2"/>
      <c r="F9210" s="2" t="str">
        <f>IFERROR(__xludf.DUMMYFUNCTION("IF(E9210&lt;&gt;"""", GOOGLETRANSLATE(E9210, ""en"", ""te""),"""")"),"")</f>
        <v/>
      </c>
      <c r="G9210" s="2"/>
      <c r="H9210" s="2" t="str">
        <f>IFERROR(__xludf.DUMMYFUNCTION("IF(G9210&lt;&gt;"""", GOOGLETRANSLATE(G9210, ""en"", ""te""),"""")"),"")</f>
        <v/>
      </c>
      <c r="I9210" s="3"/>
    </row>
    <row r="9211" customHeight="1" spans="1:9">
      <c r="A9211" s="2" t="s">
        <v>5263</v>
      </c>
      <c r="B9211" s="2" t="str">
        <f>IFERROR(__xludf.DUMMYFUNCTION("IF(A9211&lt;&gt;"""", GOOGLETRANSLATE(A9211, ""en"", ""te""),"""")"),"[ 'ఒక కెప్టెన్తో ఒక ఇన్నింగ్స్ లో 2 వ బెస్ట్ ఫిగర్స్ (6)', '7 వ ఇన్నింగ్స్ లో అత్యధిక పరుగులు (బ్యాటింగ్ స్థానంలో ప్రకారం) (44)', 'తొమ్మిదవ వికెట్కు 9 వ అత్యధిక భాగస్వామ్యం (44)']")</f>
        <v>[ 'ఒక కెప్టెన్తో ఒక ఇన్నింగ్స్ లో 2 వ బెస్ట్ ఫిగర్స్ (6)', '7 వ ఇన్నింగ్స్ లో అత్యధిక పరుగులు (బ్యాటింగ్ స్థానంలో ప్రకారం) (44)', 'తొమ్మిదవ వికెట్కు 9 వ అత్యధిక భాగస్వామ్యం (44)']</v>
      </c>
      <c r="C9211" s="2"/>
      <c r="D9211" s="2" t="str">
        <f>IFERROR(__xludf.DUMMYFUNCTION("IF(C9211&lt;&gt;"""", GOOGLETRANSLATE(C9211, ""en"", ""te""),"""")"),"")</f>
        <v/>
      </c>
      <c r="E9211" s="2" t="s">
        <v>5264</v>
      </c>
      <c r="F9211" s="2" t="str">
        <f>IFERROR(__xludf.DUMMYFUNCTION("IF(E9211&lt;&gt;"""", GOOGLETRANSLATE(E9211, ""en"", ""te""),"""")"),"[ 'ఆరవ వికెట్కు 47 వ అత్యధిక భాగస్వామ్యం (124 *)', 'ఎనిమిదవ వికెట్కు 13 వ అత్యధిక భాగస్వామ్యం (95 *)' 'కెప్టెన్ (6) ఒక ఇన్నింగ్స్ లో 2 వ బెస్ట్ ఫిగర్స్']")</f>
        <v>[ 'ఆరవ వికెట్కు 47 వ అత్యధిక భాగస్వామ్యం (124 *)', 'ఎనిమిదవ వికెట్కు 13 వ అత్యధిక భాగస్వామ్యం (95 *)' 'కెప్టెన్ (6) ఒక ఇన్నింగ్స్ లో 2 వ బెస్ట్ ఫిగర్స్']</v>
      </c>
      <c r="G9211" s="2" t="s">
        <v>5265</v>
      </c>
      <c r="H9211" s="2" t="str">
        <f>IFERROR(__xludf.DUMMYFUNCTION("IF(G9211&lt;&gt;"""", GOOGLETRANSLATE(G9211, ""en"", ""te""),"""")"),"[ 'ఇన్నింగ్స్ లో 7 వ అత్యధిక పరుగులు (బ్యాటింగ్ స్థానంలో ప్రకారం) (44)', '34 వ అత్యంత ఇన్నింగ్స్ తొలి డక్ ముందు (19)', 'ఒక ఇన్నింగ్స్లో పరుగుల 50 వ అత్యధిక శాతం (55.00)', '9 వ అత్యధిక కొరకు చేసిన భాగస్వామ్యం తొమ్మిదవ వికెట్ (44) ']")</f>
        <v>[ 'ఇన్నింగ్స్ లో 7 వ అత్యధిక పరుగులు (బ్యాటింగ్ స్థానంలో ప్రకారం) (44)', '34 వ అత్యంత ఇన్నింగ్స్ తొలి డక్ ముందు (19)', 'ఒక ఇన్నింగ్స్లో పరుగుల 50 వ అత్యధిక శాతం (55.00)', '9 వ అత్యధిక కొరకు చేసిన భాగస్వామ్యం తొమ్మిదవ వికెట్ (44) ']</v>
      </c>
      <c r="I9211" s="3"/>
    </row>
    <row r="9212" customHeight="1" spans="1:9">
      <c r="A9212" s="2"/>
      <c r="B9212" s="2" t="str">
        <f>IFERROR(__xludf.DUMMYFUNCTION("IF(A9212&lt;&gt;"""", GOOGLETRANSLATE(A9212, ""en"", ""te""),"""")"),"")</f>
        <v/>
      </c>
      <c r="C9212" s="2"/>
      <c r="D9212" s="2" t="str">
        <f>IFERROR(__xludf.DUMMYFUNCTION("IF(C9212&lt;&gt;"""", GOOGLETRANSLATE(C9212, ""en"", ""te""),"""")"),"")</f>
        <v/>
      </c>
      <c r="E9212" s="2"/>
      <c r="F9212" s="2" t="str">
        <f>IFERROR(__xludf.DUMMYFUNCTION("IF(E9212&lt;&gt;"""", GOOGLETRANSLATE(E9212, ""en"", ""te""),"""")"),"")</f>
        <v/>
      </c>
      <c r="G9212" s="2"/>
      <c r="H9212" s="2" t="str">
        <f>IFERROR(__xludf.DUMMYFUNCTION("IF(G9212&lt;&gt;"""", GOOGLETRANSLATE(G9212, ""en"", ""te""),"""")"),"")</f>
        <v/>
      </c>
      <c r="I9212" s="3"/>
    </row>
    <row r="9213" customHeight="1" spans="1:9">
      <c r="A9213" s="2"/>
      <c r="B9213" s="2" t="str">
        <f>IFERROR(__xludf.DUMMYFUNCTION("IF(A9213&lt;&gt;"""", GOOGLETRANSLATE(A9213, ""en"", ""te""),"""")"),"")</f>
        <v/>
      </c>
      <c r="C9213" s="2"/>
      <c r="D9213" s="2" t="str">
        <f>IFERROR(__xludf.DUMMYFUNCTION("IF(C9213&lt;&gt;"""", GOOGLETRANSLATE(C9213, ""en"", ""te""),"""")"),"")</f>
        <v/>
      </c>
      <c r="E9213" s="2"/>
      <c r="F9213" s="2" t="str">
        <f>IFERROR(__xludf.DUMMYFUNCTION("IF(E9213&lt;&gt;"""", GOOGLETRANSLATE(E9213, ""en"", ""te""),"""")"),"")</f>
        <v/>
      </c>
      <c r="G9213" s="2"/>
      <c r="H9213" s="2" t="str">
        <f>IFERROR(__xludf.DUMMYFUNCTION("IF(G9213&lt;&gt;"""", GOOGLETRANSLATE(G9213, ""en"", ""te""),"""")"),"")</f>
        <v/>
      </c>
      <c r="I9213" s="3"/>
    </row>
    <row r="9214" customHeight="1" spans="1:9">
      <c r="A9214" s="2" t="s">
        <v>5266</v>
      </c>
      <c r="B9214" s="2" t="str">
        <f>IFERROR(__xludf.DUMMYFUNCTION("IF(A9214&lt;&gt;"""", GOOGLETRANSLATE(A9214, ""en"", ""te""),"""")"),"[ '2 వ భాగం (బ్యాటింగ్ స్థానంలో ద్వారా) ఒక ఇన్నింగ్స్ లో నడుస్తుంది (162 *)', '6 వ అత్యధిక కెరీర్ సమ్మె రేటు (155.31)', 'ఇన్నింగ్స్ లో ఫోర్లు, సిక్సర్లు నుండి 1 వ అత్యధిక పరుగులు (140)', '1 వ అత్యధిక భాగస్వామ్యం తొలి వికెట్కు (236) ']")</f>
        <v>[ '2 వ భాగం (బ్యాటింగ్ స్థానంలో ద్వారా) ఒక ఇన్నింగ్స్ లో నడుస్తుంది (162 *)', '6 వ అత్యధిక కెరీర్ సమ్మె రేటు (155.31)', 'ఇన్నింగ్స్ లో ఫోర్లు, సిక్సర్లు నుండి 1 వ అత్యధిక పరుగులు (140)', '1 వ అత్యధిక భాగస్వామ్యం తొలి వికెట్కు (236) ']</v>
      </c>
      <c r="C9214" s="2"/>
      <c r="D9214" s="2" t="str">
        <f>IFERROR(__xludf.DUMMYFUNCTION("IF(C9214&lt;&gt;"""", GOOGLETRANSLATE(C9214, ""en"", ""te""),"""")"),"")</f>
        <v/>
      </c>
      <c r="E9214" s="2"/>
      <c r="F9214" s="2" t="str">
        <f>IFERROR(__xludf.DUMMYFUNCTION("IF(E9214&lt;&gt;"""", GOOGLETRANSLATE(E9214, ""en"", ""te""),"""")"),"")</f>
        <v/>
      </c>
      <c r="G9214" s="2" t="s">
        <v>5267</v>
      </c>
      <c r="H9214" s="2" t="str">
        <f>IFERROR(__xludf.DUMMYFUNCTION("IF(G9214&lt;&gt;"""", GOOGLETRANSLATE(G9214, ""en"", ""te""),"""")"),"[ 'ఇన్నింగ్స్ లో 2 వ అత్యధిక పరుగులు (162 *)', '2 వ అత్యధిక పరుగులు ఇన్నింగ్స్ లో (బ్యాటింగ్ స్థానం) (162 *)', '6 వ అత్యధిక కెరీర్ సమ్మె రేటు (155.31)', '1 వ ఇన్నింగ్స్ లో వచ్చిన ఎక్కువ సిక్స్ (16) ',' 31 ఇన్నింగ్స్ లో వచ్చిన ఎక్కువ ఫోర్లు (11) ',' ఇన్నిం"&amp;"గ్స్ లో ఫోర్లు, సిక్సర్లు నుండి 1 వ అత్యధిక పరుగులు (140) ',' 36 వ లాంగెస్ట్ వ్యక్తిగత ఇన్నింగ్స్ (బంతులతో) (62) ',' 28th అత్యధిక ఏ వికెట్కు (236) ',' వికెట్ తేడాతో 1st అత్యధిక భాగస్వామ్యాల (1 వ) ',' మొదటి వికెట్కు 1st అత్యధిక భాగస్వామ్యం (236) ',' 18 ఒక "&amp;"ఇన్నింగ్స్లో పరుగులు (58.27) ',' 1 వ అత్యధిక భాగస్వామ్యాలు శాతం మూడో వికెట్కు అత్యధిక భాగస్వామ్యం (116) ']")</f>
        <v>[ 'ఇన్నింగ్స్ లో 2 వ అత్యధిక పరుగులు (162 *)', '2 వ అత్యధిక పరుగులు ఇన్నింగ్స్ లో (బ్యాటింగ్ స్థానం) (162 *)', '6 వ అత్యధిక కెరీర్ సమ్మె రేటు (155.31)', '1 వ ఇన్నింగ్స్ లో వచ్చిన ఎక్కువ సిక్స్ (16) ',' 31 ఇన్నింగ్స్ లో వచ్చిన ఎక్కువ ఫోర్లు (11) ',' ఇన్నింగ్స్ లో ఫోర్లు, సిక్సర్లు నుండి 1 వ అత్యధిక పరుగులు (140) ',' 36 వ లాంగెస్ట్ వ్యక్తిగత ఇన్నింగ్స్ (బంతులతో) (62) ',' 28th అత్యధిక ఏ వికెట్కు (236) ',' వికెట్ తేడాతో 1st అత్యధిక భాగస్వామ్యాల (1 వ) ',' మొదటి వికెట్కు 1st అత్యధిక భాగస్వామ్యం (236) ',' 18 ఒక ఇన్నింగ్స్లో పరుగులు (58.27) ',' 1 వ అత్యధిక భాగస్వామ్యాలు శాతం మూడో వికెట్కు అత్యధిక భాగస్వామ్యం (116) ']</v>
      </c>
      <c r="I9214" s="3"/>
    </row>
    <row r="9215" customHeight="1" spans="1:9">
      <c r="A9215" s="2" t="s">
        <v>5268</v>
      </c>
      <c r="B9215" s="2" t="str">
        <f>IFERROR(__xludf.DUMMYFUNCTION("IF(A9215&lt;&gt;"""", GOOGLETRANSLATE(A9215, ""en"", ""te""),"""")"),"[ '6 వ అత్యధిక వరుస బాతులు (3)', '2 వ అత్యుత్తమ బౌలింగ్ ఇన్నింగ్స్ లో విశ్లేషించడం (3/4)', '6 వ అత్యధిక వికెట్లు బౌల్డ్ తీసుకోకూడదు (22)']")</f>
        <v>[ '6 వ అత్యధిక వరుస బాతులు (3)', '2 వ అత్యుత్తమ బౌలింగ్ ఇన్నింగ్స్ లో విశ్లేషించడం (3/4)', '6 వ అత్యధిక వికెట్లు బౌల్డ్ తీసుకోకూడదు (22)']</v>
      </c>
      <c r="C9215" s="2"/>
      <c r="D9215" s="2" t="str">
        <f>IFERROR(__xludf.DUMMYFUNCTION("IF(C9215&lt;&gt;"""", GOOGLETRANSLATE(C9215, ""en"", ""te""),"""")"),"")</f>
        <v/>
      </c>
      <c r="E9215" s="2" t="s">
        <v>5269</v>
      </c>
      <c r="F9215" s="2" t="str">
        <f>IFERROR(__xludf.DUMMYFUNCTION("IF(E9215&lt;&gt;"""", GOOGLETRANSLATE(E9215, ""en"", ""te""),"""")"),"[ '6 వ అత్యధిక వరుస బాతులు (3)', '14 వ పరాజయం వైపు ఉన్నప్పుడు ఒక ఇన్నింగ్స్ లోని బెస్ట్ ఫిగర్స్ (5)', '22 వ ఉత్తమ కెరీర్ బౌలింగ్ సరాసరి (22.54)', '18 వ ఉత్తమ కెరీర్ సమ్మె రేటు (29.3)', '11 వ వేగంగా 50 వికెట్లు (26)']")</f>
        <v>[ '6 వ అత్యధిక వరుస బాతులు (3)', '14 వ పరాజయం వైపు ఉన్నప్పుడు ఒక ఇన్నింగ్స్ లోని బెస్ట్ ఫిగర్స్ (5)', '22 వ ఉత్తమ కెరీర్ బౌలింగ్ సరాసరి (22.54)', '18 వ ఉత్తమ కెరీర్ సమ్మె రేటు (29.3)', '11 వ వేగంగా 50 వికెట్లు (26)']</v>
      </c>
      <c r="G9215" s="2" t="s">
        <v>5270</v>
      </c>
      <c r="H9215" s="2" t="str">
        <f>IFERROR(__xludf.DUMMYFUNCTION("IF(G9215&lt;&gt;"""", GOOGLETRANSLATE(G9215, ""en"", ""te""),"""")"),"[ '11 వ ఇన్నింగ్స్ లో అత్యధిక పరుగులు (బ్యాటింగ్ స్థానంలో ప్రకారం) (22)', '2 వ అత్యుత్తమ బౌలింగ్ ఇన్నింగ్స్ లో విశ్లేషించడం (3/4)', '6 వ అత్యధిక వికెట్లు తీసుకున్న బౌల్డ్ (22)']")</f>
        <v>[ '11 వ ఇన్నింగ్స్ లో అత్యధిక పరుగులు (బ్యాటింగ్ స్థానంలో ప్రకారం) (22)', '2 వ అత్యుత్తమ బౌలింగ్ ఇన్నింగ్స్ లో విశ్లేషించడం (3/4)', '6 వ అత్యధిక వికెట్లు తీసుకున్న బౌల్డ్ (22)']</v>
      </c>
      <c r="I9215" s="3"/>
    </row>
    <row r="9216" customHeight="1" spans="1:9">
      <c r="A9216" s="2"/>
      <c r="B9216" s="2" t="str">
        <f>IFERROR(__xludf.DUMMYFUNCTION("IF(A9216&lt;&gt;"""", GOOGLETRANSLATE(A9216, ""en"", ""te""),"""")"),"")</f>
        <v/>
      </c>
      <c r="C9216" s="2"/>
      <c r="D9216" s="2" t="str">
        <f>IFERROR(__xludf.DUMMYFUNCTION("IF(C9216&lt;&gt;"""", GOOGLETRANSLATE(C9216, ""en"", ""te""),"""")"),"")</f>
        <v/>
      </c>
      <c r="E9216" s="2"/>
      <c r="F9216" s="2" t="str">
        <f>IFERROR(__xludf.DUMMYFUNCTION("IF(E9216&lt;&gt;"""", GOOGLETRANSLATE(E9216, ""en"", ""te""),"""")"),"")</f>
        <v/>
      </c>
      <c r="G9216" s="2"/>
      <c r="H9216" s="2" t="str">
        <f>IFERROR(__xludf.DUMMYFUNCTION("IF(G9216&lt;&gt;"""", GOOGLETRANSLATE(G9216, ""en"", ""te""),"""")"),"")</f>
        <v/>
      </c>
      <c r="I9216" s="3"/>
    </row>
    <row r="9217" customHeight="1" spans="1:9">
      <c r="A9217" s="2" t="s">
        <v>5271</v>
      </c>
      <c r="B9217" s="2" t="str">
        <f>IFERROR(__xludf.DUMMYFUNCTION("IF(A9217&lt;&gt;"""", GOOGLETRANSLATE(A9217, ""en"", ""te""),"""")"),"[ '8 వ వరుస మ్యాచ్లు ప్రదర్శనల మధ్య (65) జట్టు తప్పిన']")</f>
        <v>[ '8 వ వరుస మ్యాచ్లు ప్రదర్శనల మధ్య (65) జట్టు తప్పిన']</v>
      </c>
      <c r="C9217" s="2" t="s">
        <v>5272</v>
      </c>
      <c r="D9217" s="2" t="str">
        <f>IFERROR(__xludf.DUMMYFUNCTION("IF(C9217&lt;&gt;"""", GOOGLETRANSLATE(C9217, ""en"", ""te""),"""")"),"[ '45 వ హండ్రెడ్ గత మ్యాచ్ (200 *) లో', '38 వ అత్యధిక తొలి వంద (200 *)', 'నాలుగవ వికెట్కు 19 అత్యధిక భాగస్వామ్యం (307)']")</f>
        <v>[ '45 వ హండ్రెడ్ గత మ్యాచ్ (200 *) లో', '38 వ అత్యధిక తొలి వంద (200 *)', 'నాలుగవ వికెట్కు 19 అత్యధిక భాగస్వామ్యం (307)']</v>
      </c>
      <c r="E9217" s="2"/>
      <c r="F9217" s="2" t="str">
        <f>IFERROR(__xludf.DUMMYFUNCTION("IF(E9217&lt;&gt;"""", GOOGLETRANSLATE(E9217, ""en"", ""te""),"""")"),"")</f>
        <v/>
      </c>
      <c r="G9217" s="2" t="s">
        <v>5273</v>
      </c>
      <c r="H9217" s="2" t="str">
        <f>IFERROR(__xludf.DUMMYFUNCTION("IF(G9217&lt;&gt;"""", GOOGLETRANSLATE(G9217, ""en"", ""te""),"""")"),"[ '8 వ వరుస మ్యాచ్లు ఆడి మధ్య జట్టుకు దూరమయ్యాడు (65)', 'ప్రదర్శనలు (7y 168d) మధ్య 11 వ లాంగెస్ట్ వ్యవధిలో']")</f>
        <v>[ '8 వ వరుస మ్యాచ్లు ఆడి మధ్య జట్టుకు దూరమయ్యాడు (65)', 'ప్రదర్శనలు (7y 168d) మధ్య 11 వ లాంగెస్ట్ వ్యవధిలో']</v>
      </c>
      <c r="I9217" s="3"/>
    </row>
    <row r="9218" customHeight="1" spans="1:9">
      <c r="A9218" s="2"/>
      <c r="B9218" s="2" t="str">
        <f>IFERROR(__xludf.DUMMYFUNCTION("IF(A9218&lt;&gt;"""", GOOGLETRANSLATE(A9218, ""en"", ""te""),"""")"),"")</f>
        <v/>
      </c>
      <c r="C9218" s="2"/>
      <c r="D9218" s="2" t="str">
        <f>IFERROR(__xludf.DUMMYFUNCTION("IF(C9218&lt;&gt;"""", GOOGLETRANSLATE(C9218, ""en"", ""te""),"""")"),"")</f>
        <v/>
      </c>
      <c r="E9218" s="2"/>
      <c r="F9218" s="2" t="str">
        <f>IFERROR(__xludf.DUMMYFUNCTION("IF(E9218&lt;&gt;"""", GOOGLETRANSLATE(E9218, ""en"", ""te""),"""")"),"")</f>
        <v/>
      </c>
      <c r="G9218" s="2"/>
      <c r="H9218" s="2" t="str">
        <f>IFERROR(__xludf.DUMMYFUNCTION("IF(G9218&lt;&gt;"""", GOOGLETRANSLATE(G9218, ""en"", ""te""),"""")"),"")</f>
        <v/>
      </c>
      <c r="I9218" s="3"/>
    </row>
    <row r="9219" customHeight="1" spans="1:9">
      <c r="A9219" s="2"/>
      <c r="B9219" s="2" t="str">
        <f>IFERROR(__xludf.DUMMYFUNCTION("IF(A9219&lt;&gt;"""", GOOGLETRANSLATE(A9219, ""en"", ""te""),"""")"),"")</f>
        <v/>
      </c>
      <c r="C9219" s="2"/>
      <c r="D9219" s="2" t="str">
        <f>IFERROR(__xludf.DUMMYFUNCTION("IF(C9219&lt;&gt;"""", GOOGLETRANSLATE(C9219, ""en"", ""te""),"""")"),"")</f>
        <v/>
      </c>
      <c r="E9219" s="2"/>
      <c r="F9219" s="2" t="str">
        <f>IFERROR(__xludf.DUMMYFUNCTION("IF(E9219&lt;&gt;"""", GOOGLETRANSLATE(E9219, ""en"", ""te""),"""")"),"")</f>
        <v/>
      </c>
      <c r="G9219" s="2"/>
      <c r="H9219" s="2" t="str">
        <f>IFERROR(__xludf.DUMMYFUNCTION("IF(G9219&lt;&gt;"""", GOOGLETRANSLATE(G9219, ""en"", ""te""),"""")"),"")</f>
        <v/>
      </c>
      <c r="I9219" s="3"/>
    </row>
    <row r="9220" customHeight="1" spans="1:9">
      <c r="A9220" s="2"/>
      <c r="B9220" s="2" t="str">
        <f>IFERROR(__xludf.DUMMYFUNCTION("IF(A9220&lt;&gt;"""", GOOGLETRANSLATE(A9220, ""en"", ""te""),"""")"),"")</f>
        <v/>
      </c>
      <c r="C9220" s="2"/>
      <c r="D9220" s="2" t="str">
        <f>IFERROR(__xludf.DUMMYFUNCTION("IF(C9220&lt;&gt;"""", GOOGLETRANSLATE(C9220, ""en"", ""te""),"""")"),"")</f>
        <v/>
      </c>
      <c r="E9220" s="2"/>
      <c r="F9220" s="2" t="str">
        <f>IFERROR(__xludf.DUMMYFUNCTION("IF(E9220&lt;&gt;"""", GOOGLETRANSLATE(E9220, ""en"", ""te""),"""")"),"")</f>
        <v/>
      </c>
      <c r="G9220" s="2"/>
      <c r="H9220" s="2" t="str">
        <f>IFERROR(__xludf.DUMMYFUNCTION("IF(G9220&lt;&gt;"""", GOOGLETRANSLATE(G9220, ""en"", ""te""),"""")"),"")</f>
        <v/>
      </c>
      <c r="I9220" s="3"/>
    </row>
    <row r="9221" customHeight="1" spans="1:9">
      <c r="A9221" s="2"/>
      <c r="B9221" s="2" t="str">
        <f>IFERROR(__xludf.DUMMYFUNCTION("IF(A9221&lt;&gt;"""", GOOGLETRANSLATE(A9221, ""en"", ""te""),"""")"),"")</f>
        <v/>
      </c>
      <c r="C9221" s="2"/>
      <c r="D9221" s="2" t="str">
        <f>IFERROR(__xludf.DUMMYFUNCTION("IF(C9221&lt;&gt;"""", GOOGLETRANSLATE(C9221, ""en"", ""te""),"""")"),"")</f>
        <v/>
      </c>
      <c r="E9221" s="2"/>
      <c r="F9221" s="2" t="str">
        <f>IFERROR(__xludf.DUMMYFUNCTION("IF(E9221&lt;&gt;"""", GOOGLETRANSLATE(E9221, ""en"", ""te""),"""")"),"")</f>
        <v/>
      </c>
      <c r="G9221" s="2"/>
      <c r="H9221" s="2" t="str">
        <f>IFERROR(__xludf.DUMMYFUNCTION("IF(G9221&lt;&gt;"""", GOOGLETRANSLATE(G9221, ""en"", ""te""),"""")"),"")</f>
        <v/>
      </c>
      <c r="I9221" s="3"/>
    </row>
    <row r="9222" customHeight="1" spans="1:9">
      <c r="A9222" s="2"/>
      <c r="B9222" s="2" t="str">
        <f>IFERROR(__xludf.DUMMYFUNCTION("IF(A9222&lt;&gt;"""", GOOGLETRANSLATE(A9222, ""en"", ""te""),"""")"),"")</f>
        <v/>
      </c>
      <c r="C9222" s="2"/>
      <c r="D9222" s="2" t="str">
        <f>IFERROR(__xludf.DUMMYFUNCTION("IF(C9222&lt;&gt;"""", GOOGLETRANSLATE(C9222, ""en"", ""te""),"""")"),"")</f>
        <v/>
      </c>
      <c r="E9222" s="2"/>
      <c r="F9222" s="2" t="str">
        <f>IFERROR(__xludf.DUMMYFUNCTION("IF(E9222&lt;&gt;"""", GOOGLETRANSLATE(E9222, ""en"", ""te""),"""")"),"")</f>
        <v/>
      </c>
      <c r="G9222" s="2"/>
      <c r="H9222" s="2" t="str">
        <f>IFERROR(__xludf.DUMMYFUNCTION("IF(G9222&lt;&gt;"""", GOOGLETRANSLATE(G9222, ""en"", ""te""),"""")"),"")</f>
        <v/>
      </c>
      <c r="I9222" s="3"/>
    </row>
    <row r="9223" customHeight="1" spans="1:9">
      <c r="A9223" s="2" t="s">
        <v>493</v>
      </c>
      <c r="B9223" s="2" t="str">
        <f>IFERROR(__xludf.DUMMYFUNCTION("IF(A9223&lt;&gt;"""", GOOGLETRANSLATE(A9223, ""en"", ""te""),"""")"),"[ 'ఒక ఇన్నింగ్స్ లో ఒక ప్రత్యామ్నాయంగా (2) 3 వ అత్యధిక క్యాచ్లు']")</f>
        <v>[ 'ఒక ఇన్నింగ్స్ లో ఒక ప్రత్యామ్నాయంగా (2) 3 వ అత్యధిక క్యాచ్లు']</v>
      </c>
      <c r="C9223" s="2" t="s">
        <v>5274</v>
      </c>
      <c r="D9223" s="2" t="str">
        <f>IFERROR(__xludf.DUMMYFUNCTION("IF(C9223&lt;&gt;"""", GOOGLETRANSLATE(C9223, ""en"", ""te""),"""")"),"[ '46 వ ఉత్తమ కెరీర్ (13.00) (అర్హత లేకుండా) సగటు బౌలింగ్', '31 పిన్న క్రీడాకారులు (17y 267d)']")</f>
        <v>[ '46 వ ఉత్తమ కెరీర్ (13.00) (అర్హత లేకుండా) సగటు బౌలింగ్', '31 పిన్న క్రీడాకారులు (17y 267d)']</v>
      </c>
      <c r="E9223" s="2"/>
      <c r="F9223" s="2" t="str">
        <f>IFERROR(__xludf.DUMMYFUNCTION("IF(E9223&lt;&gt;"""", GOOGLETRANSLATE(E9223, ""en"", ""te""),"""")"),"")</f>
        <v/>
      </c>
      <c r="G9223" s="2" t="s">
        <v>493</v>
      </c>
      <c r="H9223" s="2" t="str">
        <f>IFERROR(__xludf.DUMMYFUNCTION("IF(G9223&lt;&gt;"""", GOOGLETRANSLATE(G9223, ""en"", ""te""),"""")"),"[ 'ఒక ఇన్నింగ్స్ లో ఒక ప్రత్యామ్నాయంగా (2) 3 వ అత్యధిక క్యాచ్లు']")</f>
        <v>[ 'ఒక ఇన్నింగ్స్ లో ఒక ప్రత్యామ్నాయంగా (2) 3 వ అత్యధిక క్యాచ్లు']</v>
      </c>
      <c r="I9223" s="3"/>
    </row>
    <row r="9224" customHeight="1" spans="1:9">
      <c r="A9224" s="2"/>
      <c r="B9224" s="2" t="str">
        <f>IFERROR(__xludf.DUMMYFUNCTION("IF(A9224&lt;&gt;"""", GOOGLETRANSLATE(A9224, ""en"", ""te""),"""")"),"")</f>
        <v/>
      </c>
      <c r="C9224" s="2"/>
      <c r="D9224" s="2" t="str">
        <f>IFERROR(__xludf.DUMMYFUNCTION("IF(C9224&lt;&gt;"""", GOOGLETRANSLATE(C9224, ""en"", ""te""),"""")"),"")</f>
        <v/>
      </c>
      <c r="E9224" s="2"/>
      <c r="F9224" s="2" t="str">
        <f>IFERROR(__xludf.DUMMYFUNCTION("IF(E9224&lt;&gt;"""", GOOGLETRANSLATE(E9224, ""en"", ""te""),"""")"),"")</f>
        <v/>
      </c>
      <c r="G9224" s="2"/>
      <c r="H9224" s="2" t="str">
        <f>IFERROR(__xludf.DUMMYFUNCTION("IF(G9224&lt;&gt;"""", GOOGLETRANSLATE(G9224, ""en"", ""te""),"""")"),"")</f>
        <v/>
      </c>
      <c r="I9224" s="3"/>
    </row>
    <row r="9225" customHeight="1" spans="1:9">
      <c r="A9225" s="2"/>
      <c r="B9225" s="2" t="str">
        <f>IFERROR(__xludf.DUMMYFUNCTION("IF(A9225&lt;&gt;"""", GOOGLETRANSLATE(A9225, ""en"", ""te""),"""")"),"")</f>
        <v/>
      </c>
      <c r="C9225" s="2"/>
      <c r="D9225" s="2" t="str">
        <f>IFERROR(__xludf.DUMMYFUNCTION("IF(C9225&lt;&gt;"""", GOOGLETRANSLATE(C9225, ""en"", ""te""),"""")"),"")</f>
        <v/>
      </c>
      <c r="E9225" s="2"/>
      <c r="F9225" s="2" t="str">
        <f>IFERROR(__xludf.DUMMYFUNCTION("IF(E9225&lt;&gt;"""", GOOGLETRANSLATE(E9225, ""en"", ""te""),"""")"),"")</f>
        <v/>
      </c>
      <c r="G9225" s="2"/>
      <c r="H9225" s="2" t="str">
        <f>IFERROR(__xludf.DUMMYFUNCTION("IF(G9225&lt;&gt;"""", GOOGLETRANSLATE(G9225, ""en"", ""te""),"""")"),"")</f>
        <v/>
      </c>
      <c r="I9225" s="3"/>
    </row>
    <row r="9226" customHeight="1" spans="1:9">
      <c r="A9226" s="2" t="s">
        <v>352</v>
      </c>
      <c r="B9226" s="2" t="str">
        <f>IFERROR(__xludf.DUMMYFUNCTION("IF(A9226&lt;&gt;"""", GOOGLETRANSLATE(A9226, ""en"", ""te""),"""")"),"[ 'బ్యాటింగ్ ప్రారంభించుటకు మరియు అదే మ్యాచ్ లో బౌలింగ్']")</f>
        <v>[ 'బ్యాటింగ్ ప్రారంభించుటకు మరియు అదే మ్యాచ్ లో బౌలింగ్']</v>
      </c>
      <c r="C9226" s="2"/>
      <c r="D9226" s="2" t="str">
        <f>IFERROR(__xludf.DUMMYFUNCTION("IF(C9226&lt;&gt;"""", GOOGLETRANSLATE(C9226, ""en"", ""te""),"""")"),"")</f>
        <v/>
      </c>
      <c r="E9226" s="2"/>
      <c r="F9226" s="2" t="str">
        <f>IFERROR(__xludf.DUMMYFUNCTION("IF(E9226&lt;&gt;"""", GOOGLETRANSLATE(E9226, ""en"", ""te""),"""")"),"")</f>
        <v/>
      </c>
      <c r="G9226" s="2" t="s">
        <v>5275</v>
      </c>
      <c r="H9226" s="2" t="str">
        <f>IFERROR(__xludf.DUMMYFUNCTION("IF(G9226&lt;&gt;"""", GOOGLETRANSLATE(G9226, ""en"", ""te""),"""")"),"[ '20 వ వరుస మ్యాచ్లు ఆడి మధ్య జట్టుకు దూరమయ్యాడు (49)', 'ప్రదర్శనలు (5 సం 73d) మధ్య 43 వ లాంగెస్ట్ వ్యవధిలో']")</f>
        <v>[ '20 వ వరుస మ్యాచ్లు ఆడి మధ్య జట్టుకు దూరమయ్యాడు (49)', 'ప్రదర్శనలు (5 సం 73d) మధ్య 43 వ లాంగెస్ట్ వ్యవధిలో']</v>
      </c>
      <c r="I9226" s="3"/>
    </row>
    <row r="9227" customHeight="1" spans="1:9">
      <c r="A9227" s="2"/>
      <c r="B9227" s="2" t="str">
        <f>IFERROR(__xludf.DUMMYFUNCTION("IF(A9227&lt;&gt;"""", GOOGLETRANSLATE(A9227, ""en"", ""te""),"""")"),"")</f>
        <v/>
      </c>
      <c r="C9227" s="2"/>
      <c r="D9227" s="2" t="str">
        <f>IFERROR(__xludf.DUMMYFUNCTION("IF(C9227&lt;&gt;"""", GOOGLETRANSLATE(C9227, ""en"", ""te""),"""")"),"")</f>
        <v/>
      </c>
      <c r="E9227" s="2"/>
      <c r="F9227" s="2" t="str">
        <f>IFERROR(__xludf.DUMMYFUNCTION("IF(E9227&lt;&gt;"""", GOOGLETRANSLATE(E9227, ""en"", ""te""),"""")"),"")</f>
        <v/>
      </c>
      <c r="G9227" s="2"/>
      <c r="H9227" s="2" t="str">
        <f>IFERROR(__xludf.DUMMYFUNCTION("IF(G9227&lt;&gt;"""", GOOGLETRANSLATE(G9227, ""en"", ""te""),"""")"),"")</f>
        <v/>
      </c>
      <c r="I9227" s="3"/>
    </row>
    <row r="9228" customHeight="1" spans="1:9">
      <c r="A9228" s="2" t="s">
        <v>5276</v>
      </c>
      <c r="B9228" s="2" t="str">
        <f>IFERROR(__xludf.DUMMYFUNCTION("IF(A9228&lt;&gt;"""", GOOGLETRANSLATE(A9228, ""en"", ""te""),"""")"),"[ '10 వ అత్యుత్తమ ఇన్నింగ్స్ లో బౌలింగ్ విశ్లేషణలు (5/11)', '1 వ బౌలర్ / బ్యాట్స్ కలయికలు (4)']")</f>
        <v>[ '10 వ అత్యుత్తమ ఇన్నింగ్స్ లో బౌలింగ్ విశ్లేషణలు (5/11)', '1 వ బౌలర్ / బ్యాట్స్ కలయికలు (4)']</v>
      </c>
      <c r="C9228" s="2"/>
      <c r="D9228" s="2" t="str">
        <f>IFERROR(__xludf.DUMMYFUNCTION("IF(C9228&lt;&gt;"""", GOOGLETRANSLATE(C9228, ""en"", ""te""),"""")"),"")</f>
        <v/>
      </c>
      <c r="E9228" s="2"/>
      <c r="F9228" s="2" t="str">
        <f>IFERROR(__xludf.DUMMYFUNCTION("IF(E9228&lt;&gt;"""", GOOGLETRANSLATE(E9228, ""en"", ""te""),"""")"),"")</f>
        <v/>
      </c>
      <c r="G9228" s="2" t="s">
        <v>5277</v>
      </c>
      <c r="H9228" s="2" t="str">
        <f>IFERROR(__xludf.DUMMYFUNCTION("IF(G9228&lt;&gt;"""", GOOGLETRANSLATE(G9228, ""en"", ""te""),"""")"),"[ '15 వ ఇన్నింగ్స్ లో బెస్ట్ ఫిగర్స్ (5/11)', 'ఇన్నింగ్స్ లో 10 వ అత్యుత్తమ బౌలింగ్ విశ్లేషణలు (5/11)', '25 వ చెత్త కెరీర్లో ఆర్థిక రేటు (8.22)', '1 వ బౌలర్ / బ్యాట్స్ కలయికలు (4) ',' 24 వ అత్యధిక వికెట్లు తీసుకున్న ఎల్బిడబ్ల్యు (6) ',' తొమ్మిదవ వికెట్కు "&amp;"30 వ అత్యధిక భాగస్వామ్యం (30) ']")</f>
        <v>[ '15 వ ఇన్నింగ్స్ లో బెస్ట్ ఫిగర్స్ (5/11)', 'ఇన్నింగ్స్ లో 10 వ అత్యుత్తమ బౌలింగ్ విశ్లేషణలు (5/11)', '25 వ చెత్త కెరీర్లో ఆర్థిక రేటు (8.22)', '1 వ బౌలర్ / బ్యాట్స్ కలయికలు (4) ',' 24 వ అత్యధిక వికెట్లు తీసుకున్న ఎల్బిడబ్ల్యు (6) ',' తొమ్మిదవ వికెట్కు 30 వ అత్యధిక భాగస్వామ్యం (30) ']</v>
      </c>
      <c r="I9228" s="3"/>
    </row>
    <row r="9229" customHeight="1" spans="1:9">
      <c r="A9229" s="2"/>
      <c r="B9229" s="2" t="str">
        <f>IFERROR(__xludf.DUMMYFUNCTION("IF(A9229&lt;&gt;"""", GOOGLETRANSLATE(A9229, ""en"", ""te""),"""")"),"")</f>
        <v/>
      </c>
      <c r="C9229" s="2"/>
      <c r="D9229" s="2" t="str">
        <f>IFERROR(__xludf.DUMMYFUNCTION("IF(C9229&lt;&gt;"""", GOOGLETRANSLATE(C9229, ""en"", ""te""),"""")"),"")</f>
        <v/>
      </c>
      <c r="E9229" s="2"/>
      <c r="F9229" s="2" t="str">
        <f>IFERROR(__xludf.DUMMYFUNCTION("IF(E9229&lt;&gt;"""", GOOGLETRANSLATE(E9229, ""en"", ""te""),"""")"),"")</f>
        <v/>
      </c>
      <c r="G9229" s="2"/>
      <c r="H9229" s="2" t="str">
        <f>IFERROR(__xludf.DUMMYFUNCTION("IF(G9229&lt;&gt;"""", GOOGLETRANSLATE(G9229, ""en"", ""te""),"""")"),"")</f>
        <v/>
      </c>
      <c r="I9229" s="3"/>
    </row>
    <row r="9230" customHeight="1" spans="1:9">
      <c r="A9230" s="2"/>
      <c r="B9230" s="2" t="str">
        <f>IFERROR(__xludf.DUMMYFUNCTION("IF(A9230&lt;&gt;"""", GOOGLETRANSLATE(A9230, ""en"", ""te""),"""")"),"")</f>
        <v/>
      </c>
      <c r="C9230" s="2"/>
      <c r="D9230" s="2" t="str">
        <f>IFERROR(__xludf.DUMMYFUNCTION("IF(C9230&lt;&gt;"""", GOOGLETRANSLATE(C9230, ""en"", ""te""),"""")"),"")</f>
        <v/>
      </c>
      <c r="E9230" s="2"/>
      <c r="F9230" s="2" t="str">
        <f>IFERROR(__xludf.DUMMYFUNCTION("IF(E9230&lt;&gt;"""", GOOGLETRANSLATE(E9230, ""en"", ""te""),"""")"),"")</f>
        <v/>
      </c>
      <c r="G9230" s="2"/>
      <c r="H9230" s="2" t="str">
        <f>IFERROR(__xludf.DUMMYFUNCTION("IF(G9230&lt;&gt;"""", GOOGLETRANSLATE(G9230, ""en"", ""te""),"""")"),"")</f>
        <v/>
      </c>
      <c r="I9230" s="3"/>
    </row>
    <row r="9231" customHeight="1" spans="1:9">
      <c r="A9231" s="2" t="s">
        <v>5278</v>
      </c>
      <c r="B9231" s="2" t="str">
        <f>IFERROR(__xludf.DUMMYFUNCTION("IF(A9231&lt;&gt;"""", GOOGLETRANSLATE(A9231, ""en"", ""te""),"""")"),"[ 'బ్యాటింగ్ ప్రారంభించుటకు మరియు అదే మ్యాచ్ లో బౌలింగ్' '10 వ అత్యంత ఇన్నింగ్స్ లో సాధించిన బైస్ (12)',]")</f>
        <v>[ 'బ్యాటింగ్ ప్రారంభించుటకు మరియు అదే మ్యాచ్ లో బౌలింగ్' '10 వ అత్యంత ఇన్నింగ్స్ లో సాధించిన బైస్ (12)',]</v>
      </c>
      <c r="C9231" s="2"/>
      <c r="D9231" s="2" t="str">
        <f>IFERROR(__xludf.DUMMYFUNCTION("IF(C9231&lt;&gt;"""", GOOGLETRANSLATE(C9231, ""en"", ""te""),"""")"),"")</f>
        <v/>
      </c>
      <c r="E9231" s="2" t="s">
        <v>5279</v>
      </c>
      <c r="F9231" s="2" t="str">
        <f>IFERROR(__xludf.DUMMYFUNCTION("IF(E9231&lt;&gt;"""", GOOGLETRANSLATE(E9231, ""en"", ""te""),"""")"),"[ 'రెండవ వికెట్ (218 *) కోసం 23 అత్యధిక భాగస్వామ్యం', '10 వ ఇన్నింగ్స్ లో సాధించిన అత్యంత బైలు (12)']")</f>
        <v>[ 'రెండవ వికెట్ (218 *) కోసం 23 అత్యధిక భాగస్వామ్యం', '10 వ ఇన్నింగ్స్ లో సాధించిన అత్యంత బైలు (12)']</v>
      </c>
      <c r="G9231" s="2"/>
      <c r="H9231" s="2" t="str">
        <f>IFERROR(__xludf.DUMMYFUNCTION("IF(G9231&lt;&gt;"""", GOOGLETRANSLATE(G9231, ""en"", ""te""),"""")"),"")</f>
        <v/>
      </c>
      <c r="I9231" s="3"/>
    </row>
    <row r="9232" customHeight="1" spans="1:9">
      <c r="A9232" s="2" t="s">
        <v>5280</v>
      </c>
      <c r="B9232" s="2" t="str">
        <f>IFERROR(__xludf.DUMMYFUNCTION("IF(A9232&lt;&gt;"""", GOOGLETRANSLATE(A9232, ""en"", ""te""),"""")"),"[ '1000 పరుగులు మరియు 100 వికెట్లు', '1000 పరుగులు, 50 వికెట్లు, 50 క్యాచ్లు', '1 వ అత్యంత ప్లేయర్ ఆఫ్ ది మ్యాచ్ అవార్డులు (13)', '1 వ ఇన్నింగ్స్ లో అత్యధిక పరుగులు (బ్యాటింగ్ స్థానంలో ప్రకారం) (89 ) ',' 10 వ కెరీర్ లో అత్యధిక వికెట్లు (72) ',' 7 వ అత్యంత"&amp;" నాలుగు వికెట్లు-ఇన్-ఒక-ఇన్నింగ్స్ కెరీర్లో (3) ',' కెరీర్ లో (1618) ',' 1 వ అత్యంత పనికత్తెలయొద్ద బౌల్డ్ చాలా 5 వ బంతుల్లో ఒక ఇన్నింగ్స్ లో (2) ',' 4 వ కెరీర్ (1944) లో సాధించిన అత్యధిక పరుగులు ',' 1 వ అత్యధిక వికెట్లు ఆకర్షించింది తీసుకున్న మరియు బౌల్డ్"&amp;" కెరీర్లో (7) ',' 5 వ అత్యధిక క్యాచ్లు (45) ',' 5 వ అత్యధిక భాగస్వామ్యం ఆరవ వికెట్ (86 *) ']")</f>
        <v>[ '1000 పరుగులు మరియు 100 వికెట్లు', '1000 పరుగులు, 50 వికెట్లు, 50 క్యాచ్లు', '1 వ అత్యంత ప్లేయర్ ఆఫ్ ది మ్యాచ్ అవార్డులు (13)', '1 వ ఇన్నింగ్స్ లో అత్యధిక పరుగులు (బ్యాటింగ్ స్థానంలో ప్రకారం) (89 ) ',' 10 వ కెరీర్ లో అత్యధిక వికెట్లు (72) ',' 7 వ అత్యంత నాలుగు వికెట్లు-ఇన్-ఒక-ఇన్నింగ్స్ కెరీర్లో (3) ',' కెరీర్ లో (1618) ',' 1 వ అత్యంత పనికత్తెలయొద్ద బౌల్డ్ చాలా 5 వ బంతుల్లో ఒక ఇన్నింగ్స్ లో (2) ',' 4 వ కెరీర్ (1944) లో సాధించిన అత్యధిక పరుగులు ',' 1 వ అత్యధిక వికెట్లు ఆకర్షించింది తీసుకున్న మరియు బౌల్డ్ కెరీర్లో (7) ',' 5 వ అత్యధిక క్యాచ్లు (45) ',' 5 వ అత్యధిక భాగస్వామ్యం ఆరవ వికెట్ (86 *) ']</v>
      </c>
      <c r="C9232" s="2"/>
      <c r="D9232" s="2" t="str">
        <f>IFERROR(__xludf.DUMMYFUNCTION("IF(C9232&lt;&gt;"""", GOOGLETRANSLATE(C9232, ""en"", ""te""),"""")"),"")</f>
        <v/>
      </c>
      <c r="E9232" s="2" t="s">
        <v>5281</v>
      </c>
      <c r="F9232" s="2" t="str">
        <f>IFERROR(__xludf.DUMMYFUNCTION("IF(E9232&lt;&gt;"""", GOOGLETRANSLATE(E9232, ""en"", ""te""),"""")"),"[ '46 వ కెరీర్ లో వచ్చిన ఎక్కువ సిక్స్ (89)', '28th అత్యధిక వికెట్లు తీసుకున్న స్టంప్ (12)', 'ఐదవ వికెట్కు 41 వ అత్యధిక భాగస్వామ్యం (149)', 'ఎనిమిదవ వికెట్కు 23 అత్యధిక భాగస్వామ్యం (86)', ' 42 వ పదవ వికెట్కు అత్యధిక భాగస్వామ్యం (49) ',' బృందం (111) 13 వ వ"&amp;"రుస మ్యాచ్లు ']")</f>
        <v>[ '46 వ కెరీర్ లో వచ్చిన ఎక్కువ సిక్స్ (89)', '28th అత్యధిక వికెట్లు తీసుకున్న స్టంప్ (12)', 'ఐదవ వికెట్కు 41 వ అత్యధిక భాగస్వామ్యం (149)', 'ఎనిమిదవ వికెట్కు 23 అత్యధిక భాగస్వామ్యం (86)', ' 42 వ పదవ వికెట్కు అత్యధిక భాగస్వామ్యం (49) ',' బృందం (111) 13 వ వరుస మ్యాచ్లు ']</v>
      </c>
      <c r="G9232" s="2" t="s">
        <v>5282</v>
      </c>
      <c r="H9232" s="2" t="str">
        <f>IFERROR(__xludf.DUMMYFUNCTION("IF(G9232&lt;&gt;"""", GOOGLETRANSLATE(G9232, ""en"", ""te""),"""")"),"[40 వ కెరీర్ లో అత్యధిక పరుగులు (1396) ',' 1 వ ఇన్నింగ్స్ లో అత్యధిక పరుగులు (బ్యాటింగ్ స్థానంలో ప్రకారం) (89) ',' 19 వ అత్యధిక కెరీర్ సమ్మె రేటు (145.72) ', ఒక ఇన్నింగ్స్ లో' 25 వ అత్యధిక స్ట్రైక్ రేట్ (296.66 ) ',' ఒక డక్ లేకుండా 13 వరుస ఇన్నింగ్స్ (48"&amp;") ',' 31 అతి తక్కువ బాతులు కెరీర్ లో (18.75) ',' 12 వ ఎక్కువ సిక్స్ కెరీర్లో (83) ',' 17 వ ఎక్కువ సిక్స్ ఇన్నింగ్స్ లో (9) ', 'ఇన్నింగ్స్ లో ఫోర్లు, సిక్సర్లు నుండి 29 వ అత్యధిక పరుగులు (78)', '10 వ కెరీర్ లో అత్యధిక వికెట్లు (72)', '15 వ అత్యుత్తమ బౌలింగ"&amp;"్ ఇన్నింగ్స్ విశ్లేషణలలో' 30 వ ఒక క్యాలెండర్ ఏడాది (21) అత్యధిక వికెట్లు '(4 / 10) ',' ఇన్నింగ్స్ లో 14 వ ఉత్తమ సమ్మె రేటు (3.5) ',' 7 వ అత్యంత నాలుగు వికెట్లు-ఇన్-ఒక-ఇన్నింగ్స్ కెరీర్లో (3) ',' 5 వ కెరీర్ లో బౌల్డ్ చాలా బంతుల్లో (1618) ', 'కెరీర్ లో సాధి"&amp;"ంచిన 4 వ అత్యధిక పరుగులు (1944)', '17 వ బౌలర్ / బ్యాట్స్ కలయికలు (3)', '12 వ బౌలర్ / ఫీల్డర్ కలయికలు (8)', '30 వ అత్యధిక వికెట్లు తీసుకున్న బౌల్డ్ (12)', '8 వ అత్యధిక వికెట్లు తీసుకున్న క్యాచ్ (48) ',' 1 వ అత్యధిక వికెట్లు ఆకర్షించింది తీసుకున్న మరియు బౌల"&amp;"్డ్ (7) ',' 6 వ అత్యధిక వికెట్లు ఒక ఫీల్డర్ (44) ',' 14 వ అత్యంత పట్టుకుంటే తీసుకున్న వికెట్లు తీసుకున్న ఎల్బిడబ్ల్యు (7) ',' 17 వ అత్యధిక వికెట్లు వేగంగా 50 వికెట్లు (48) ',' 5 వ అత్యధిక క్యాచ్లు కెరీర్ లో తీసిన స్టంప్ (5) ',' 28th (45) ',' 15 వ ఇన్నింగ్"&amp;"స్ లో అత్యధిక క్యాచ్లు (3 ) ',' ఐదవ వికెట్ (69 *) కోసం 42 వ అత్యధిక భాగస్వామ్యం ',' ఆరవ వికెట్ (86 *) 5 వ అత్యధిక భాగస్వామ్యం ',' 17 వ కెరీర్ లో అత్యధిక మ్యాచ్లు (81) ',' 8 వ వరుస జట్టు మ్యాచ్లు (48 *) ',' 1 వ అత్యంత ప్లేయర్ ఆఫ్ ది మ్యాచ్ అవార్డులు (13) '"&amp;",' 3 వ అత్యధిక కెరీర్ లో పనికత్తెలయొద్ద (5) ',' 1 వ ఇన్నింగ్స్ లో వచ్చిన ఎక్కువ పనికత్తెలయొద్ద (2) ']")</f>
        <v>[40 వ కెరీర్ లో అత్యధిక పరుగులు (1396) ',' 1 వ ఇన్నింగ్స్ లో అత్యధిక పరుగులు (బ్యాటింగ్ స్థానంలో ప్రకారం) (89) ',' 19 వ అత్యధిక కెరీర్ సమ్మె రేటు (145.72) ', ఒక ఇన్నింగ్స్ లో' 25 వ అత్యధిక స్ట్రైక్ రేట్ (296.66 ) ',' ఒక డక్ లేకుండా 13 వరుస ఇన్నింగ్స్ (48) ',' 31 అతి తక్కువ బాతులు కెరీర్ లో (18.75) ',' 12 వ ఎక్కువ సిక్స్ కెరీర్లో (83) ',' 17 వ ఎక్కువ సిక్స్ ఇన్నింగ్స్ లో (9) ', 'ఇన్నింగ్స్ లో ఫోర్లు, సిక్సర్లు నుండి 29 వ అత్యధిక పరుగులు (78)', '10 వ కెరీర్ లో అత్యధిక వికెట్లు (72)', '15 వ అత్యుత్తమ బౌలింగ్ ఇన్నింగ్స్ విశ్లేషణలలో' 30 వ ఒక క్యాలెండర్ ఏడాది (21) అత్యధిక వికెట్లు '(4 / 10) ',' ఇన్నింగ్స్ లో 14 వ ఉత్తమ సమ్మె రేటు (3.5) ',' 7 వ అత్యంత నాలుగు వికెట్లు-ఇన్-ఒక-ఇన్నింగ్స్ కెరీర్లో (3) ',' 5 వ కెరీర్ లో బౌల్డ్ చాలా బంతుల్లో (1618) ', 'కెరీర్ లో సాధించిన 4 వ అత్యధిక పరుగులు (1944)', '17 వ బౌలర్ / బ్యాట్స్ కలయికలు (3)', '12 వ బౌలర్ / ఫీల్డర్ కలయికలు (8)', '30 వ అత్యధిక వికెట్లు తీసుకున్న బౌల్డ్ (12)', '8 వ అత్యధిక వికెట్లు తీసుకున్న క్యాచ్ (48) ',' 1 వ అత్యధిక వికెట్లు ఆకర్షించింది తీసుకున్న మరియు బౌల్డ్ (7) ',' 6 వ అత్యధిక వికెట్లు ఒక ఫీల్డర్ (44) ',' 14 వ అత్యంత పట్టుకుంటే తీసుకున్న వికెట్లు తీసుకున్న ఎల్బిడబ్ల్యు (7) ',' 17 వ అత్యధిక వికెట్లు వేగంగా 50 వికెట్లు (48) ',' 5 వ అత్యధిక క్యాచ్లు కెరీర్ లో తీసిన స్టంప్ (5) ',' 28th (45) ',' 15 వ ఇన్నింగ్స్ లో అత్యధిక క్యాచ్లు (3 ) ',' ఐదవ వికెట్ (69 *) కోసం 42 వ అత్యధిక భాగస్వామ్యం ',' ఆరవ వికెట్ (86 *) 5 వ అత్యధిక భాగస్వామ్యం ',' 17 వ కెరీర్ లో అత్యధిక మ్యాచ్లు (81) ',' 8 వ వరుస జట్టు మ్యాచ్లు (48 *) ',' 1 వ అత్యంత ప్లేయర్ ఆఫ్ ది మ్యాచ్ అవార్డులు (13) ',' 3 వ అత్యధిక కెరీర్ లో పనికత్తెలయొద్ద (5) ',' 1 వ ఇన్నింగ్స్ లో వచ్చిన ఎక్కువ పనికత్తెలయొద్ద (2) ']</v>
      </c>
      <c r="I9232" s="3"/>
    </row>
    <row r="9233" customHeight="1" spans="1:9">
      <c r="A9233" s="2" t="s">
        <v>5283</v>
      </c>
      <c r="B9233" s="2" t="str">
        <f>IFERROR(__xludf.DUMMYFUNCTION("IF(A9233&lt;&gt;"""", GOOGLETRANSLATE(A9233, ""en"", ""te""),"""")"),"[ '1st పిన్న ఆటగాడు ఐదు వికెట్ల లో-ఒక-ఇన్నింగ్స్ తీసుకోవాలని (16y 325d)']")</f>
        <v>[ '1st పిన్న ఆటగాడు ఐదు వికెట్ల లో-ఒక-ఇన్నింగ్స్ తీసుకోవాలని (16y 325d)']</v>
      </c>
      <c r="C9233" s="2" t="s">
        <v>5284</v>
      </c>
      <c r="D9233" s="2" t="str">
        <f>IFERROR(__xludf.DUMMYFUNCTION("IF(C9233&lt;&gt;"""", GOOGLETRANSLATE(C9233, ""en"", ""te""),"""")"),"[ '17 వ పిన్న క్రీడాకారులు (17y 78d)']")</f>
        <v>[ '17 వ పిన్న క్రీడాకారులు (17y 78d)']</v>
      </c>
      <c r="E9233" s="2" t="s">
        <v>5285</v>
      </c>
      <c r="F9233" s="2" t="str">
        <f>IFERROR(__xludf.DUMMYFUNCTION("IF(E9233&lt;&gt;"""", GOOGLETRANSLATE(E9233, ""en"", ""te""),"""")"),"[18 వ ఉత్తమ కెరీర్ బౌలింగ్ సరాసరి (22.04) ',' తొలి ఇన్నింగ్స్ 15 వ బెస్ట్ ఫిగర్స్ (4) ',' ఐదు వికెట్ల లో-ఒక-ఇన్నింగ్స్ (16y 325d) తీసుకోవాలని 1st పిన్న ఆటగాడు ',' 17 వ వేగంగా 50 వికెట్లు (27) ',' 12 వ పిన్న క్రీడాకారులు (16y 252d) ']")</f>
        <v>[18 వ ఉత్తమ కెరీర్ బౌలింగ్ సరాసరి (22.04) ',' తొలి ఇన్నింగ్స్ 15 వ బెస్ట్ ఫిగర్స్ (4) ',' ఐదు వికెట్ల లో-ఒక-ఇన్నింగ్స్ (16y 325d) తీసుకోవాలని 1st పిన్న ఆటగాడు ',' 17 వ వేగంగా 50 వికెట్లు (27) ',' 12 వ పిన్న క్రీడాకారులు (16y 252d) ']</v>
      </c>
      <c r="G9233" s="2" t="s">
        <v>5286</v>
      </c>
      <c r="H9233" s="2" t="str">
        <f>IFERROR(__xludf.DUMMYFUNCTION("IF(G9233&lt;&gt;"""", GOOGLETRANSLATE(G9233, ""en"", ""te""),"""")"),"[ '17 వ బౌలర్ / బ్యాట్స్ కలయికలు (3)', '29th పిన్న క్రీడాకారులు (16y 314d)']")</f>
        <v>[ '17 వ బౌలర్ / బ్యాట్స్ కలయికలు (3)', '29th పిన్న క్రీడాకారులు (16y 314d)']</v>
      </c>
      <c r="I9233" s="3"/>
    </row>
    <row r="9234" customHeight="1" spans="1:9">
      <c r="A9234" s="2"/>
      <c r="B9234" s="2" t="str">
        <f>IFERROR(__xludf.DUMMYFUNCTION("IF(A9234&lt;&gt;"""", GOOGLETRANSLATE(A9234, ""en"", ""te""),"""")"),"")</f>
        <v/>
      </c>
      <c r="C9234" s="2"/>
      <c r="D9234" s="2" t="str">
        <f>IFERROR(__xludf.DUMMYFUNCTION("IF(C9234&lt;&gt;"""", GOOGLETRANSLATE(C9234, ""en"", ""te""),"""")"),"")</f>
        <v/>
      </c>
      <c r="E9234" s="2"/>
      <c r="F9234" s="2" t="str">
        <f>IFERROR(__xludf.DUMMYFUNCTION("IF(E9234&lt;&gt;"""", GOOGLETRANSLATE(E9234, ""en"", ""te""),"""")"),"")</f>
        <v/>
      </c>
      <c r="G9234" s="2"/>
      <c r="H9234" s="2" t="str">
        <f>IFERROR(__xludf.DUMMYFUNCTION("IF(G9234&lt;&gt;"""", GOOGLETRANSLATE(G9234, ""en"", ""te""),"""")"),"")</f>
        <v/>
      </c>
      <c r="I9234" s="3"/>
    </row>
    <row r="9235" customHeight="1" spans="1:9">
      <c r="A9235" s="2"/>
      <c r="B9235" s="2" t="str">
        <f>IFERROR(__xludf.DUMMYFUNCTION("IF(A9235&lt;&gt;"""", GOOGLETRANSLATE(A9235, ""en"", ""te""),"""")"),"")</f>
        <v/>
      </c>
      <c r="C9235" s="2"/>
      <c r="D9235" s="2" t="str">
        <f>IFERROR(__xludf.DUMMYFUNCTION("IF(C9235&lt;&gt;"""", GOOGLETRANSLATE(C9235, ""en"", ""te""),"""")"),"")</f>
        <v/>
      </c>
      <c r="E9235" s="2"/>
      <c r="F9235" s="2" t="str">
        <f>IFERROR(__xludf.DUMMYFUNCTION("IF(E9235&lt;&gt;"""", GOOGLETRANSLATE(E9235, ""en"", ""te""),"""")"),"")</f>
        <v/>
      </c>
      <c r="G9235" s="2"/>
      <c r="H9235" s="2" t="str">
        <f>IFERROR(__xludf.DUMMYFUNCTION("IF(G9235&lt;&gt;"""", GOOGLETRANSLATE(G9235, ""en"", ""te""),"""")"),"")</f>
        <v/>
      </c>
      <c r="I9235" s="3"/>
    </row>
    <row r="9236" customHeight="1" spans="1:9">
      <c r="A9236" s="2"/>
      <c r="B9236" s="2" t="str">
        <f>IFERROR(__xludf.DUMMYFUNCTION("IF(A9236&lt;&gt;"""", GOOGLETRANSLATE(A9236, ""en"", ""te""),"""")"),"")</f>
        <v/>
      </c>
      <c r="C9236" s="2"/>
      <c r="D9236" s="2" t="str">
        <f>IFERROR(__xludf.DUMMYFUNCTION("IF(C9236&lt;&gt;"""", GOOGLETRANSLATE(C9236, ""en"", ""te""),"""")"),"")</f>
        <v/>
      </c>
      <c r="E9236" s="2"/>
      <c r="F9236" s="2" t="str">
        <f>IFERROR(__xludf.DUMMYFUNCTION("IF(E9236&lt;&gt;"""", GOOGLETRANSLATE(E9236, ""en"", ""te""),"""")"),"")</f>
        <v/>
      </c>
      <c r="G9236" s="2"/>
      <c r="H9236" s="2" t="str">
        <f>IFERROR(__xludf.DUMMYFUNCTION("IF(G9236&lt;&gt;"""", GOOGLETRANSLATE(G9236, ""en"", ""te""),"""")"),"")</f>
        <v/>
      </c>
      <c r="I9236" s="3"/>
    </row>
    <row r="9237" customHeight="1" spans="1:9">
      <c r="A9237" s="2"/>
      <c r="B9237" s="2" t="str">
        <f>IFERROR(__xludf.DUMMYFUNCTION("IF(A9237&lt;&gt;"""", GOOGLETRANSLATE(A9237, ""en"", ""te""),"""")"),"")</f>
        <v/>
      </c>
      <c r="C9237" s="2"/>
      <c r="D9237" s="2" t="str">
        <f>IFERROR(__xludf.DUMMYFUNCTION("IF(C9237&lt;&gt;"""", GOOGLETRANSLATE(C9237, ""en"", ""te""),"""")"),"")</f>
        <v/>
      </c>
      <c r="E9237" s="2"/>
      <c r="F9237" s="2" t="str">
        <f>IFERROR(__xludf.DUMMYFUNCTION("IF(E9237&lt;&gt;"""", GOOGLETRANSLATE(E9237, ""en"", ""te""),"""")"),"")</f>
        <v/>
      </c>
      <c r="G9237" s="2"/>
      <c r="H9237" s="2" t="str">
        <f>IFERROR(__xludf.DUMMYFUNCTION("IF(G9237&lt;&gt;"""", GOOGLETRANSLATE(G9237, ""en"", ""te""),"""")"),"")</f>
        <v/>
      </c>
      <c r="I9237" s="3"/>
    </row>
    <row r="9238" customHeight="1" spans="1:9">
      <c r="A9238" s="2"/>
      <c r="B9238" s="2" t="str">
        <f>IFERROR(__xludf.DUMMYFUNCTION("IF(A9238&lt;&gt;"""", GOOGLETRANSLATE(A9238, ""en"", ""te""),"""")"),"")</f>
        <v/>
      </c>
      <c r="C9238" s="2"/>
      <c r="D9238" s="2" t="str">
        <f>IFERROR(__xludf.DUMMYFUNCTION("IF(C9238&lt;&gt;"""", GOOGLETRANSLATE(C9238, ""en"", ""te""),"""")"),"")</f>
        <v/>
      </c>
      <c r="E9238" s="2"/>
      <c r="F9238" s="2" t="str">
        <f>IFERROR(__xludf.DUMMYFUNCTION("IF(E9238&lt;&gt;"""", GOOGLETRANSLATE(E9238, ""en"", ""te""),"""")"),"")</f>
        <v/>
      </c>
      <c r="G9238" s="2"/>
      <c r="H9238" s="2" t="str">
        <f>IFERROR(__xludf.DUMMYFUNCTION("IF(G9238&lt;&gt;"""", GOOGLETRANSLATE(G9238, ""en"", ""te""),"""")"),"")</f>
        <v/>
      </c>
      <c r="I9238" s="3"/>
    </row>
    <row r="9239" customHeight="1" spans="1:9">
      <c r="A9239" s="2"/>
      <c r="B9239" s="2" t="str">
        <f>IFERROR(__xludf.DUMMYFUNCTION("IF(A9239&lt;&gt;"""", GOOGLETRANSLATE(A9239, ""en"", ""te""),"""")"),"")</f>
        <v/>
      </c>
      <c r="C9239" s="2"/>
      <c r="D9239" s="2" t="str">
        <f>IFERROR(__xludf.DUMMYFUNCTION("IF(C9239&lt;&gt;"""", GOOGLETRANSLATE(C9239, ""en"", ""te""),"""")"),"")</f>
        <v/>
      </c>
      <c r="E9239" s="2"/>
      <c r="F9239" s="2" t="str">
        <f>IFERROR(__xludf.DUMMYFUNCTION("IF(E9239&lt;&gt;"""", GOOGLETRANSLATE(E9239, ""en"", ""te""),"""")"),"")</f>
        <v/>
      </c>
      <c r="G9239" s="2"/>
      <c r="H9239" s="2" t="str">
        <f>IFERROR(__xludf.DUMMYFUNCTION("IF(G9239&lt;&gt;"""", GOOGLETRANSLATE(G9239, ""en"", ""te""),"""")"),"")</f>
        <v/>
      </c>
      <c r="I9239" s="3"/>
    </row>
    <row r="9240" customHeight="1" spans="1:9">
      <c r="A9240" s="2"/>
      <c r="B9240" s="2" t="str">
        <f>IFERROR(__xludf.DUMMYFUNCTION("IF(A9240&lt;&gt;"""", GOOGLETRANSLATE(A9240, ""en"", ""te""),"""")"),"")</f>
        <v/>
      </c>
      <c r="C9240" s="2"/>
      <c r="D9240" s="2" t="str">
        <f>IFERROR(__xludf.DUMMYFUNCTION("IF(C9240&lt;&gt;"""", GOOGLETRANSLATE(C9240, ""en"", ""te""),"""")"),"")</f>
        <v/>
      </c>
      <c r="E9240" s="2"/>
      <c r="F9240" s="2" t="str">
        <f>IFERROR(__xludf.DUMMYFUNCTION("IF(E9240&lt;&gt;"""", GOOGLETRANSLATE(E9240, ""en"", ""te""),"""")"),"")</f>
        <v/>
      </c>
      <c r="G9240" s="2"/>
      <c r="H9240" s="2" t="str">
        <f>IFERROR(__xludf.DUMMYFUNCTION("IF(G9240&lt;&gt;"""", GOOGLETRANSLATE(G9240, ""en"", ""te""),"""")"),"")</f>
        <v/>
      </c>
      <c r="I9240" s="3"/>
    </row>
    <row r="9241" customHeight="1" spans="1:9">
      <c r="A9241" s="2"/>
      <c r="B9241" s="2" t="str">
        <f>IFERROR(__xludf.DUMMYFUNCTION("IF(A9241&lt;&gt;"""", GOOGLETRANSLATE(A9241, ""en"", ""te""),"""")"),"")</f>
        <v/>
      </c>
      <c r="C9241" s="2"/>
      <c r="D9241" s="2" t="str">
        <f>IFERROR(__xludf.DUMMYFUNCTION("IF(C9241&lt;&gt;"""", GOOGLETRANSLATE(C9241, ""en"", ""te""),"""")"),"")</f>
        <v/>
      </c>
      <c r="E9241" s="2"/>
      <c r="F9241" s="2" t="str">
        <f>IFERROR(__xludf.DUMMYFUNCTION("IF(E9241&lt;&gt;"""", GOOGLETRANSLATE(E9241, ""en"", ""te""),"""")"),"")</f>
        <v/>
      </c>
      <c r="G9241" s="2" t="s">
        <v>5287</v>
      </c>
      <c r="H9241" s="2" t="str">
        <f>IFERROR(__xludf.DUMMYFUNCTION("IF(G9241&lt;&gt;"""", GOOGLETRANSLATE(G9241, ""en"", ""te""),"""")"),"[ 'తొమ్మిదవ వికెట్కు 23 అత్యధిక భాగస్వామ్యం (33)']")</f>
        <v>[ 'తొమ్మిదవ వికెట్కు 23 అత్యధిక భాగస్వామ్యం (33)']</v>
      </c>
      <c r="I9241" s="3"/>
    </row>
    <row r="9242" customHeight="1" spans="1:9">
      <c r="A9242" s="2" t="s">
        <v>5288</v>
      </c>
      <c r="B9242" s="2" t="str">
        <f>IFERROR(__xludf.DUMMYFUNCTION("IF(A9242&lt;&gt;"""", GOOGLETRANSLATE(A9242, ""en"", ""te""),"""")"),"[ 'నూట ఇన్నింగ్స్ లో నాలుగు తొలగింపులకు', 'ఇన్నింగ్స్ (5) లో 1 వ ఎక్కువ సార్లు అవుట్', '2 వ వరుస మ్యాచ్లు జట్టు (58)', 'కెరీర్ లో 5 వ అత్యధిక వికెట్లు (54)', '6 వ అత్యంత ప్లేయర్ ఆఫ్ ది మ్యాచ్ అవార్డులు (9) ',' కెరీర్లో 9 వ అత్యధిక క్యాచ్లు (26) ',' 4 వ కె"&amp;"రీర్ స్టంపింగ్లు (28) ',' ఇన్నింగ్స్ లో 2 వ అత్యధిక పరుగులు అత్యధిక వికెట్లు (118 *) ',' కెరీర్లో 8 వ అత్యంత ఫోర్లు (218) ',' 10 వ లాంగెస్ట్ వ్యక్తిగత ఇన్నింగ్స్ (బంతులతో) (67) ',' 10 వ అత్యంత స్టంపింగ్లు కెరీర్లో (53) ']")</f>
        <v>[ 'నూట ఇన్నింగ్స్ లో నాలుగు తొలగింపులకు', 'ఇన్నింగ్స్ (5) లో 1 వ ఎక్కువ సార్లు అవుట్', '2 వ వరుస మ్యాచ్లు జట్టు (58)', 'కెరీర్ లో 5 వ అత్యధిక వికెట్లు (54)', '6 వ అత్యంత ప్లేయర్ ఆఫ్ ది మ్యాచ్ అవార్డులు (9) ',' కెరీర్లో 9 వ అత్యధిక క్యాచ్లు (26) ',' 4 వ కెరీర్ స్టంపింగ్లు (28) ',' ఇన్నింగ్స్ లో 2 వ అత్యధిక పరుగులు అత్యధిక వికెట్లు (118 *) ',' కెరీర్లో 8 వ అత్యంత ఫోర్లు (218) ',' 10 వ లాంగెస్ట్ వ్యక్తిగత ఇన్నింగ్స్ (బంతులతో) (67) ',' 10 వ అత్యంత స్టంపింగ్లు కెరీర్లో (53) ']</v>
      </c>
      <c r="C9242" s="2"/>
      <c r="D9242" s="2" t="str">
        <f>IFERROR(__xludf.DUMMYFUNCTION("IF(C9242&lt;&gt;"""", GOOGLETRANSLATE(C9242, ""en"", ""te""),"""")"),"")</f>
        <v/>
      </c>
      <c r="E9242" s="2" t="s">
        <v>5289</v>
      </c>
      <c r="F9242" s="2" t="str">
        <f>IFERROR(__xludf.DUMMYFUNCTION("IF(E9242&lt;&gt;"""", GOOGLETRANSLATE(E9242, ""en"", ""te""),"""")"),"[ '37 వ అత్యధిక వికెట్లు ఇన్నింగ్స్ (131 *) లో అత్యధిక పరుగులు' 'ఇన్నింగ్స్ లో 44 వ ఎక్కువ సిక్స్ (8)', '35 వ కెరీర్ లో అత్యధిక వికెట్లు (88)', '16 వ ఇన్నింగ్స్ లో అత్యధిక వికెట్లు (5) ',' కెరీర్లో 39 వ అత్యధిక క్యాచ్లు (63) ',' 18 వ కెరీర్ (25) అత్యంత స్"&amp;"టంపింగ్లు ']")</f>
        <v>[ '37 వ అత్యధిక వికెట్లు ఇన్నింగ్స్ (131 *) లో అత్యధిక పరుగులు' 'ఇన్నింగ్స్ లో 44 వ ఎక్కువ సిక్స్ (8)', '35 వ కెరీర్ లో అత్యధిక వికెట్లు (88)', '16 వ ఇన్నింగ్స్ లో అత్యధిక వికెట్లు (5) ',' కెరీర్లో 39 వ అత్యధిక క్యాచ్లు (63) ',' 18 వ కెరీర్ (25) అత్యంత స్టంపింగ్లు ']</v>
      </c>
      <c r="G9242" s="2" t="s">
        <v>5290</v>
      </c>
      <c r="H9242" s="2" t="str">
        <f>IFERROR(__xludf.DUMMYFUNCTION("IF(G9242&lt;&gt;"""", GOOGLETRANSLATE(G9242, ""en"", ""te""),"""")"),"[ '12 వ కెరీర్ లో అత్యధిక పరుగులు (1936)', '15 వ ఇన్నింగ్స్ లో అత్యధిక పరుగులు (118 *)', '16 వ ఒక క్యాలెండర్ సంవత్సరంలో అత్యధిక పరుగులు (520)', '11 వ ఇన్నింగ్స్ లో అత్యధిక పరుగులు (బ్యాటింగ్ స్థానంలో ద్వారా) (118 *) ',' 48 వ అత్యధిక పరుగులు పరాజయం వైపు ఒ"&amp;"క మ్యాచ్లో (77) ',' వికెట్కీపర్గా (118 *) ద్వారా ఇన్నింగ్స్ లో (408) ',' 2 వ అత్యధిక పరుగులు ఒకే క్రీడా న 7 వ అత్యధిక పరుగులు ' '38 వ అత్యధిక కెరీర్ బ్యాటింగ్ సగటు (31.22)', '15 వ కెరీర్ అర్ధ (13)', '23 వ ఇన్నింగ్స్ తొలి డక్ ముందు (22)', 'ఒక డక్ లేకుండా 3"&amp;"6 వ వరుస ఇన్నింగ్స్ (34 *)', ' కెరీర్లో 27 వ అతి తక్కువ బాతులు (21.66) ',' 19 వ కెరీర్ లో వచ్చిన ఎక్కువ సిక్స్ (72) ',' 8 వ అత్యంత ఫోర్లు కెరీర్లో (218) ',' 30 వ ఎక్కువ సిక్స్ ఇన్నింగ్స్ లో (8) ',' 14 వ అత్యంత ఫోర్లు పరుగులను ఇన్నింగ్స్ లో సిక్సర్లు (88) "&amp;"',' 10 వ లాంగెస్ట్ వ్యక్తిగత ఇన్నింగ్స్ (బంతులతో) (67) ',' 1000 పరుగులు (38) ',' రెండవ వికెట్కు 37 వ అత్యధిక భాగస్వామ్యం (110) ',' 43 వ వేగంగా 19 కెరీర్లో అత్యధిక మ్యాచ్లు (65) ',' ఒక జట్టు 2 వ వరుస మ్యాచ్లు (58) ',' 6 వ అత్యంత ప్లేయర్ ఆఫ్ ది మ్యాచ్ అవార్"&amp;"డులు (9) ',' 5 వ అత్యంత తొలగింపు కెరీర్లో నాకు (54) ',' 1 వ అత్యంత ఇన్నింగ్స్ లో కెరీర్ లో (5) ',' 9 వ అత్యధిక క్యాచ్లు (26) ',' 13 వ అత్యధిక క్యాచ్లు ఒక ఇన్నింగ్స్ లో వికెట్లు (3) ',' కెరీర్లో 4 వ అత్యంత స్టంపింగ్లు ( 28) ',' 32 వ ఇన్నింగ్స్ లో సాధించిన "&amp;"అత్యంత బైలు (5) ']")</f>
        <v>[ '12 వ కెరీర్ లో అత్యధిక పరుగులు (1936)', '15 వ ఇన్నింగ్స్ లో అత్యధిక పరుగులు (118 *)', '16 వ ఒక క్యాలెండర్ సంవత్సరంలో అత్యధిక పరుగులు (520)', '11 వ ఇన్నింగ్స్ లో అత్యధిక పరుగులు (బ్యాటింగ్ స్థానంలో ద్వారా) (118 *) ',' 48 వ అత్యధిక పరుగులు పరాజయం వైపు ఒక మ్యాచ్లో (77) ',' వికెట్కీపర్గా (118 *) ద్వారా ఇన్నింగ్స్ లో (408) ',' 2 వ అత్యధిక పరుగులు ఒకే క్రీడా న 7 వ అత్యధిక పరుగులు ' '38 వ అత్యధిక కెరీర్ బ్యాటింగ్ సగటు (31.22)', '15 వ కెరీర్ అర్ధ (13)', '23 వ ఇన్నింగ్స్ తొలి డక్ ముందు (22)', 'ఒక డక్ లేకుండా 36 వ వరుస ఇన్నింగ్స్ (34 *)', ' కెరీర్లో 27 వ అతి తక్కువ బాతులు (21.66) ',' 19 వ కెరీర్ లో వచ్చిన ఎక్కువ సిక్స్ (72) ',' 8 వ అత్యంత ఫోర్లు కెరీర్లో (218) ',' 30 వ ఎక్కువ సిక్స్ ఇన్నింగ్స్ లో (8) ',' 14 వ అత్యంత ఫోర్లు పరుగులను ఇన్నింగ్స్ లో సిక్సర్లు (88) ',' 10 వ లాంగెస్ట్ వ్యక్తిగత ఇన్నింగ్స్ (బంతులతో) (67) ',' 1000 పరుగులు (38) ',' రెండవ వికెట్కు 37 వ అత్యధిక భాగస్వామ్యం (110) ',' 43 వ వేగంగా 19 కెరీర్లో అత్యధిక మ్యాచ్లు (65) ',' ఒక జట్టు 2 వ వరుస మ్యాచ్లు (58) ',' 6 వ అత్యంత ప్లేయర్ ఆఫ్ ది మ్యాచ్ అవార్డులు (9) ',' 5 వ అత్యంత తొలగింపు కెరీర్లో నాకు (54) ',' 1 వ అత్యంత ఇన్నింగ్స్ లో కెరీర్ లో (5) ',' 9 వ అత్యధిక క్యాచ్లు (26) ',' 13 వ అత్యధిక క్యాచ్లు ఒక ఇన్నింగ్స్ లో వికెట్లు (3) ',' కెరీర్లో 4 వ అత్యంత స్టంపింగ్లు ( 28) ',' 32 వ ఇన్నింగ్స్ లో సాధించిన అత్యంత బైలు (5) ']</v>
      </c>
      <c r="I9242" s="3"/>
    </row>
    <row r="9243" customHeight="1" spans="1:9">
      <c r="A9243" s="2"/>
      <c r="B9243" s="2" t="str">
        <f>IFERROR(__xludf.DUMMYFUNCTION("IF(A9243&lt;&gt;"""", GOOGLETRANSLATE(A9243, ""en"", ""te""),"""")"),"")</f>
        <v/>
      </c>
      <c r="C9243" s="2"/>
      <c r="D9243" s="2" t="str">
        <f>IFERROR(__xludf.DUMMYFUNCTION("IF(C9243&lt;&gt;"""", GOOGLETRANSLATE(C9243, ""en"", ""te""),"""")"),"")</f>
        <v/>
      </c>
      <c r="E9243" s="2"/>
      <c r="F9243" s="2" t="str">
        <f>IFERROR(__xludf.DUMMYFUNCTION("IF(E9243&lt;&gt;"""", GOOGLETRANSLATE(E9243, ""en"", ""te""),"""")"),"")</f>
        <v/>
      </c>
      <c r="G9243" s="2"/>
      <c r="H9243" s="2" t="str">
        <f>IFERROR(__xludf.DUMMYFUNCTION("IF(G9243&lt;&gt;"""", GOOGLETRANSLATE(G9243, ""en"", ""te""),"""")"),"")</f>
        <v/>
      </c>
      <c r="I9243" s="3"/>
    </row>
    <row r="9244" customHeight="1" spans="1:9">
      <c r="A9244" s="2"/>
      <c r="B9244" s="2" t="str">
        <f>IFERROR(__xludf.DUMMYFUNCTION("IF(A9244&lt;&gt;"""", GOOGLETRANSLATE(A9244, ""en"", ""te""),"""")"),"")</f>
        <v/>
      </c>
      <c r="C9244" s="2"/>
      <c r="D9244" s="2" t="str">
        <f>IFERROR(__xludf.DUMMYFUNCTION("IF(C9244&lt;&gt;"""", GOOGLETRANSLATE(C9244, ""en"", ""te""),"""")"),"")</f>
        <v/>
      </c>
      <c r="E9244" s="2"/>
      <c r="F9244" s="2" t="str">
        <f>IFERROR(__xludf.DUMMYFUNCTION("IF(E9244&lt;&gt;"""", GOOGLETRANSLATE(E9244, ""en"", ""te""),"""")"),"")</f>
        <v/>
      </c>
      <c r="G9244" s="2"/>
      <c r="H9244" s="2" t="str">
        <f>IFERROR(__xludf.DUMMYFUNCTION("IF(G9244&lt;&gt;"""", GOOGLETRANSLATE(G9244, ""en"", ""te""),"""")"),"")</f>
        <v/>
      </c>
      <c r="I9244" s="3"/>
    </row>
    <row r="9245" customHeight="1" spans="1:9">
      <c r="A9245" s="2"/>
      <c r="B9245" s="2" t="str">
        <f>IFERROR(__xludf.DUMMYFUNCTION("IF(A9245&lt;&gt;"""", GOOGLETRANSLATE(A9245, ""en"", ""te""),"""")"),"")</f>
        <v/>
      </c>
      <c r="C9245" s="2"/>
      <c r="D9245" s="2" t="str">
        <f>IFERROR(__xludf.DUMMYFUNCTION("IF(C9245&lt;&gt;"""", GOOGLETRANSLATE(C9245, ""en"", ""te""),"""")"),"")</f>
        <v/>
      </c>
      <c r="E9245" s="2"/>
      <c r="F9245" s="2" t="str">
        <f>IFERROR(__xludf.DUMMYFUNCTION("IF(E9245&lt;&gt;"""", GOOGLETRANSLATE(E9245, ""en"", ""te""),"""")"),"")</f>
        <v/>
      </c>
      <c r="G9245" s="2"/>
      <c r="H9245" s="2" t="str">
        <f>IFERROR(__xludf.DUMMYFUNCTION("IF(G9245&lt;&gt;"""", GOOGLETRANSLATE(G9245, ""en"", ""te""),"""")"),"")</f>
        <v/>
      </c>
      <c r="I9245" s="3"/>
    </row>
    <row r="9246" customHeight="1" spans="1:9">
      <c r="A9246" s="2"/>
      <c r="B9246" s="2" t="str">
        <f>IFERROR(__xludf.DUMMYFUNCTION("IF(A9246&lt;&gt;"""", GOOGLETRANSLATE(A9246, ""en"", ""te""),"""")"),"")</f>
        <v/>
      </c>
      <c r="C9246" s="2"/>
      <c r="D9246" s="2" t="str">
        <f>IFERROR(__xludf.DUMMYFUNCTION("IF(C9246&lt;&gt;"""", GOOGLETRANSLATE(C9246, ""en"", ""te""),"""")"),"")</f>
        <v/>
      </c>
      <c r="E9246" s="2"/>
      <c r="F9246" s="2" t="str">
        <f>IFERROR(__xludf.DUMMYFUNCTION("IF(E9246&lt;&gt;"""", GOOGLETRANSLATE(E9246, ""en"", ""te""),"""")"),"")</f>
        <v/>
      </c>
      <c r="G9246" s="2"/>
      <c r="H9246" s="2" t="str">
        <f>IFERROR(__xludf.DUMMYFUNCTION("IF(G9246&lt;&gt;"""", GOOGLETRANSLATE(G9246, ""en"", ""te""),"""")"),"")</f>
        <v/>
      </c>
      <c r="I9246" s="3"/>
    </row>
    <row r="9247" customHeight="1" spans="1:9">
      <c r="A9247" s="2"/>
      <c r="B9247" s="2" t="str">
        <f>IFERROR(__xludf.DUMMYFUNCTION("IF(A9247&lt;&gt;"""", GOOGLETRANSLATE(A9247, ""en"", ""te""),"""")"),"")</f>
        <v/>
      </c>
      <c r="C9247" s="2"/>
      <c r="D9247" s="2" t="str">
        <f>IFERROR(__xludf.DUMMYFUNCTION("IF(C9247&lt;&gt;"""", GOOGLETRANSLATE(C9247, ""en"", ""te""),"""")"),"")</f>
        <v/>
      </c>
      <c r="E9247" s="2"/>
      <c r="F9247" s="2" t="str">
        <f>IFERROR(__xludf.DUMMYFUNCTION("IF(E9247&lt;&gt;"""", GOOGLETRANSLATE(E9247, ""en"", ""te""),"""")"),"")</f>
        <v/>
      </c>
      <c r="G9247" s="2"/>
      <c r="H9247" s="2" t="str">
        <f>IFERROR(__xludf.DUMMYFUNCTION("IF(G9247&lt;&gt;"""", GOOGLETRANSLATE(G9247, ""en"", ""te""),"""")"),"")</f>
        <v/>
      </c>
      <c r="I9247" s="3"/>
    </row>
    <row r="9248" customHeight="1" spans="1:9">
      <c r="A9248" s="2"/>
      <c r="B9248" s="2" t="str">
        <f>IFERROR(__xludf.DUMMYFUNCTION("IF(A9248&lt;&gt;"""", GOOGLETRANSLATE(A9248, ""en"", ""te""),"""")"),"")</f>
        <v/>
      </c>
      <c r="C9248" s="2"/>
      <c r="D9248" s="2" t="str">
        <f>IFERROR(__xludf.DUMMYFUNCTION("IF(C9248&lt;&gt;"""", GOOGLETRANSLATE(C9248, ""en"", ""te""),"""")"),"")</f>
        <v/>
      </c>
      <c r="E9248" s="2"/>
      <c r="F9248" s="2" t="str">
        <f>IFERROR(__xludf.DUMMYFUNCTION("IF(E9248&lt;&gt;"""", GOOGLETRANSLATE(E9248, ""en"", ""te""),"""")"),"")</f>
        <v/>
      </c>
      <c r="G9248" s="2"/>
      <c r="H9248" s="2" t="str">
        <f>IFERROR(__xludf.DUMMYFUNCTION("IF(G9248&lt;&gt;"""", GOOGLETRANSLATE(G9248, ""en"", ""te""),"""")"),"")</f>
        <v/>
      </c>
      <c r="I9248" s="3"/>
    </row>
    <row r="9249" customHeight="1" spans="1:9">
      <c r="A9249" s="2"/>
      <c r="B9249" s="2" t="str">
        <f>IFERROR(__xludf.DUMMYFUNCTION("IF(A9249&lt;&gt;"""", GOOGLETRANSLATE(A9249, ""en"", ""te""),"""")"),"")</f>
        <v/>
      </c>
      <c r="C9249" s="2"/>
      <c r="D9249" s="2" t="str">
        <f>IFERROR(__xludf.DUMMYFUNCTION("IF(C9249&lt;&gt;"""", GOOGLETRANSLATE(C9249, ""en"", ""te""),"""")"),"")</f>
        <v/>
      </c>
      <c r="E9249" s="2"/>
      <c r="F9249" s="2" t="str">
        <f>IFERROR(__xludf.DUMMYFUNCTION("IF(E9249&lt;&gt;"""", GOOGLETRANSLATE(E9249, ""en"", ""te""),"""")"),"")</f>
        <v/>
      </c>
      <c r="G9249" s="2"/>
      <c r="H9249" s="2" t="str">
        <f>IFERROR(__xludf.DUMMYFUNCTION("IF(G9249&lt;&gt;"""", GOOGLETRANSLATE(G9249, ""en"", ""te""),"""")"),"")</f>
        <v/>
      </c>
      <c r="I9249" s="3"/>
    </row>
    <row r="9250" customHeight="1" spans="1:9">
      <c r="A9250" s="2"/>
      <c r="B9250" s="2" t="str">
        <f>IFERROR(__xludf.DUMMYFUNCTION("IF(A9250&lt;&gt;"""", GOOGLETRANSLATE(A9250, ""en"", ""te""),"""")"),"")</f>
        <v/>
      </c>
      <c r="C9250" s="2"/>
      <c r="D9250" s="2" t="str">
        <f>IFERROR(__xludf.DUMMYFUNCTION("IF(C9250&lt;&gt;"""", GOOGLETRANSLATE(C9250, ""en"", ""te""),"""")"),"")</f>
        <v/>
      </c>
      <c r="E9250" s="2"/>
      <c r="F9250" s="2" t="str">
        <f>IFERROR(__xludf.DUMMYFUNCTION("IF(E9250&lt;&gt;"""", GOOGLETRANSLATE(E9250, ""en"", ""te""),"""")"),"")</f>
        <v/>
      </c>
      <c r="G9250" s="2"/>
      <c r="H9250" s="2" t="str">
        <f>IFERROR(__xludf.DUMMYFUNCTION("IF(G9250&lt;&gt;"""", GOOGLETRANSLATE(G9250, ""en"", ""te""),"""")"),"")</f>
        <v/>
      </c>
      <c r="I9250" s="3"/>
    </row>
    <row r="9251" customHeight="1" spans="1:9">
      <c r="A9251" s="2"/>
      <c r="B9251" s="2" t="str">
        <f>IFERROR(__xludf.DUMMYFUNCTION("IF(A9251&lt;&gt;"""", GOOGLETRANSLATE(A9251, ""en"", ""te""),"""")"),"")</f>
        <v/>
      </c>
      <c r="C9251" s="2"/>
      <c r="D9251" s="2" t="str">
        <f>IFERROR(__xludf.DUMMYFUNCTION("IF(C9251&lt;&gt;"""", GOOGLETRANSLATE(C9251, ""en"", ""te""),"""")"),"")</f>
        <v/>
      </c>
      <c r="E9251" s="2" t="s">
        <v>5291</v>
      </c>
      <c r="F9251" s="2" t="str">
        <f>IFERROR(__xludf.DUMMYFUNCTION("IF(E9251&lt;&gt;"""", GOOGLETRANSLATE(E9251, ""en"", ""te""),"""")"),"[ '23 పిన్న క్రీడాకారులు (17y 2d)']")</f>
        <v>[ '23 పిన్న క్రీడాకారులు (17y 2d)']</v>
      </c>
      <c r="G9251" s="2"/>
      <c r="H9251" s="2" t="str">
        <f>IFERROR(__xludf.DUMMYFUNCTION("IF(G9251&lt;&gt;"""", GOOGLETRANSLATE(G9251, ""en"", ""te""),"""")"),"")</f>
        <v/>
      </c>
      <c r="I9251" s="3"/>
    </row>
    <row r="9252" customHeight="1" spans="1:9">
      <c r="A9252" s="2"/>
      <c r="B9252" s="2" t="str">
        <f>IFERROR(__xludf.DUMMYFUNCTION("IF(A9252&lt;&gt;"""", GOOGLETRANSLATE(A9252, ""en"", ""te""),"""")"),"")</f>
        <v/>
      </c>
      <c r="C9252" s="2"/>
      <c r="D9252" s="2" t="str">
        <f>IFERROR(__xludf.DUMMYFUNCTION("IF(C9252&lt;&gt;"""", GOOGLETRANSLATE(C9252, ""en"", ""te""),"""")"),"")</f>
        <v/>
      </c>
      <c r="E9252" s="2"/>
      <c r="F9252" s="2" t="str">
        <f>IFERROR(__xludf.DUMMYFUNCTION("IF(E9252&lt;&gt;"""", GOOGLETRANSLATE(E9252, ""en"", ""te""),"""")"),"")</f>
        <v/>
      </c>
      <c r="G9252" s="2"/>
      <c r="H9252" s="2" t="str">
        <f>IFERROR(__xludf.DUMMYFUNCTION("IF(G9252&lt;&gt;"""", GOOGLETRANSLATE(G9252, ""en"", ""te""),"""")"),"")</f>
        <v/>
      </c>
      <c r="I9252" s="3"/>
    </row>
    <row r="9253" customHeight="1" spans="1:9">
      <c r="A9253" s="2" t="s">
        <v>5292</v>
      </c>
      <c r="B9253" s="2" t="str">
        <f>IFERROR(__xludf.DUMMYFUNCTION("IF(A9253&lt;&gt;"""", GOOGLETRANSLATE(A9253, ""en"", ""te""),"""")"),"[ '10 వ ఇన్నింగ్స్ లో అత్యధిక పరుగులు (బ్యాటింగ్ స్థానంలో ప్రకారం) (55 *)', 'ఐదవ వికెట్కు 2 వ అత్యధిక భాగస్వామ్యం (107)']")</f>
        <v>[ '10 వ ఇన్నింగ్స్ లో అత్యధిక పరుగులు (బ్యాటింగ్ స్థానంలో ప్రకారం) (55 *)', 'ఐదవ వికెట్కు 2 వ అత్యధిక భాగస్వామ్యం (107)']</v>
      </c>
      <c r="C9253" s="2"/>
      <c r="D9253" s="2" t="str">
        <f>IFERROR(__xludf.DUMMYFUNCTION("IF(C9253&lt;&gt;"""", GOOGLETRANSLATE(C9253, ""en"", ""te""),"""")"),"")</f>
        <v/>
      </c>
      <c r="E9253" s="2" t="s">
        <v>5293</v>
      </c>
      <c r="F9253" s="2" t="str">
        <f>IFERROR(__xludf.DUMMYFUNCTION("IF(E9253&lt;&gt;"""", GOOGLETRANSLATE(E9253, ""en"", ""te""),"""")"),"[ '14 వ ఇన్నింగ్స్ లో అత్యధిక పరుగులు (బ్యాటింగ్ స్థానంలో ప్రకారం) (104 *)' 'వరుస (8) 24 వ అత్యధిక క్యాచ్లు',]")</f>
        <v>[ '14 వ ఇన్నింగ్స్ లో అత్యధిక పరుగులు (బ్యాటింగ్ స్థానంలో ప్రకారం) (104 *)' 'వరుస (8) 24 వ అత్యధిక క్యాచ్లు',]</v>
      </c>
      <c r="G9253" s="2" t="s">
        <v>5294</v>
      </c>
      <c r="H9253" s="2" t="str">
        <f>IFERROR(__xludf.DUMMYFUNCTION("IF(G9253&lt;&gt;"""", GOOGLETRANSLATE(G9253, ""en"", ""te""),"""")"),"[ '10 వ ఇన్నింగ్స్ లో అత్యధిక పరుగులు (బ్యాటింగ్ స్థానంలో ప్రకారం) (55 *)', '23 వ అత్యధిక కెరీర్ బ్యాటింగ్ సగటు (33.12)', '27 వ అత్యధిక కెరీర్ సమ్మె రేటు (142.28)', ఒక ఇన్నింగ్స్ లో 18 వ అత్యధిక స్ట్రైక్ రేట్ ( మొదటి డక్ ముందు 310.00) ',' 12 వ అత్యంత ఇన్"&amp;"నింగ్స్ (32) ',' ఒక డక్ లేకుండా 42 వ వరుస ఇన్నింగ్స్ (32) ', '21 వ అతి తక్కువ బాతులు కెరీర్ లో (27)', '33 వ ఎక్కువ సిక్స్ కెరీర్లో (57)' '26 కెరీర్లో అత్యధిక క్యాచ్లు (31)', 'ఐదవ వికెట్కు 2 వ అత్యధిక భాగస్వామ్యం (107)', 'బృందం (46 *) కోసం 12 వ వరుస మ్యాచ్"&amp;"లు' 'కెరీర్లో 48 వ అత్యధిక మ్యాచ్లు (63)', '28 మోస్ట్ ప్లేయర్ ఆఫ్ ది మ్యాచ్ అవార్డులు (5)']")</f>
        <v>[ '10 వ ఇన్నింగ్స్ లో అత్యధిక పరుగులు (బ్యాటింగ్ స్థానంలో ప్రకారం) (55 *)', '23 వ అత్యధిక కెరీర్ బ్యాటింగ్ సగటు (33.12)', '27 వ అత్యధిక కెరీర్ సమ్మె రేటు (142.28)', ఒక ఇన్నింగ్స్ లో 18 వ అత్యధిక స్ట్రైక్ రేట్ ( మొదటి డక్ ముందు 310.00) ',' 12 వ అత్యంత ఇన్నింగ్స్ (32) ',' ఒక డక్ లేకుండా 42 వ వరుస ఇన్నింగ్స్ (32) ', '21 వ అతి తక్కువ బాతులు కెరీర్ లో (27)', '33 వ ఎక్కువ సిక్స్ కెరీర్లో (57)' '26 కెరీర్లో అత్యధిక క్యాచ్లు (31)', 'ఐదవ వికెట్కు 2 వ అత్యధిక భాగస్వామ్యం (107)', 'బృందం (46 *) కోసం 12 వ వరుస మ్యాచ్లు' 'కెరీర్లో 48 వ అత్యధిక మ్యాచ్లు (63)', '28 మోస్ట్ ప్లేయర్ ఆఫ్ ది మ్యాచ్ అవార్డులు (5)']</v>
      </c>
      <c r="I9253" s="3"/>
    </row>
    <row r="9254" customHeight="1" spans="1:9">
      <c r="A9254" s="2"/>
      <c r="B9254" s="2" t="str">
        <f>IFERROR(__xludf.DUMMYFUNCTION("IF(A9254&lt;&gt;"""", GOOGLETRANSLATE(A9254, ""en"", ""te""),"""")"),"")</f>
        <v/>
      </c>
      <c r="C9254" s="2"/>
      <c r="D9254" s="2" t="str">
        <f>IFERROR(__xludf.DUMMYFUNCTION("IF(C9254&lt;&gt;"""", GOOGLETRANSLATE(C9254, ""en"", ""te""),"""")"),"")</f>
        <v/>
      </c>
      <c r="E9254" s="2"/>
      <c r="F9254" s="2" t="str">
        <f>IFERROR(__xludf.DUMMYFUNCTION("IF(E9254&lt;&gt;"""", GOOGLETRANSLATE(E9254, ""en"", ""te""),"""")"),"")</f>
        <v/>
      </c>
      <c r="G9254" s="2"/>
      <c r="H9254" s="2" t="str">
        <f>IFERROR(__xludf.DUMMYFUNCTION("IF(G9254&lt;&gt;"""", GOOGLETRANSLATE(G9254, ""en"", ""te""),"""")"),"")</f>
        <v/>
      </c>
      <c r="I9254" s="3"/>
    </row>
    <row r="9255" customHeight="1" spans="1:9">
      <c r="A9255" s="2"/>
      <c r="B9255" s="2" t="str">
        <f>IFERROR(__xludf.DUMMYFUNCTION("IF(A9255&lt;&gt;"""", GOOGLETRANSLATE(A9255, ""en"", ""te""),"""")"),"")</f>
        <v/>
      </c>
      <c r="C9255" s="2"/>
      <c r="D9255" s="2" t="str">
        <f>IFERROR(__xludf.DUMMYFUNCTION("IF(C9255&lt;&gt;"""", GOOGLETRANSLATE(C9255, ""en"", ""te""),"""")"),"")</f>
        <v/>
      </c>
      <c r="E9255" s="2"/>
      <c r="F9255" s="2" t="str">
        <f>IFERROR(__xludf.DUMMYFUNCTION("IF(E9255&lt;&gt;"""", GOOGLETRANSLATE(E9255, ""en"", ""te""),"""")"),"")</f>
        <v/>
      </c>
      <c r="G9255" s="2"/>
      <c r="H9255" s="2" t="str">
        <f>IFERROR(__xludf.DUMMYFUNCTION("IF(G9255&lt;&gt;"""", GOOGLETRANSLATE(G9255, ""en"", ""te""),"""")"),"")</f>
        <v/>
      </c>
      <c r="I9255" s="3"/>
    </row>
    <row r="9256" customHeight="1" spans="1:9">
      <c r="A9256" s="2" t="s">
        <v>5295</v>
      </c>
      <c r="B9256" s="2" t="str">
        <f>IFERROR(__xludf.DUMMYFUNCTION("IF(A9256&lt;&gt;"""", GOOGLETRANSLATE(A9256, ""en"", ""te""),"""")"),"[ '7th షార్టేస్ట్ క్రీడాకారులు (29y 247d) నివసించారు']")</f>
        <v>[ '7th షార్టేస్ట్ క్రీడాకారులు (29y 247d) నివసించారు']</v>
      </c>
      <c r="C9256" s="2"/>
      <c r="D9256" s="2" t="str">
        <f>IFERROR(__xludf.DUMMYFUNCTION("IF(C9256&lt;&gt;"""", GOOGLETRANSLATE(C9256, ""en"", ""te""),"""")"),"")</f>
        <v/>
      </c>
      <c r="E9256" s="2" t="s">
        <v>5295</v>
      </c>
      <c r="F9256" s="2" t="str">
        <f>IFERROR(__xludf.DUMMYFUNCTION("IF(E9256&lt;&gt;"""", GOOGLETRANSLATE(E9256, ""en"", ""te""),"""")"),"[ '7th షార్టేస్ట్ క్రీడాకారులు (29y 247d) నివసించారు']")</f>
        <v>[ '7th షార్టేస్ట్ క్రీడాకారులు (29y 247d) నివసించారు']</v>
      </c>
      <c r="G9256" s="2" t="s">
        <v>5296</v>
      </c>
      <c r="H9256" s="2" t="str">
        <f>IFERROR(__xludf.DUMMYFUNCTION("IF(G9256&lt;&gt;"""", GOOGLETRANSLATE(G9256, ""en"", ""te""),"""")"),"[ '2nd షార్టేస్ట్ క్రీడాకారులు (29y 247d) నివసించారు']")</f>
        <v>[ '2nd షార్టేస్ట్ క్రీడాకారులు (29y 247d) నివసించారు']</v>
      </c>
      <c r="I9256" s="3"/>
    </row>
    <row r="9257" customHeight="1" spans="1:9">
      <c r="A9257" s="2"/>
      <c r="B9257" s="2" t="str">
        <f>IFERROR(__xludf.DUMMYFUNCTION("IF(A9257&lt;&gt;"""", GOOGLETRANSLATE(A9257, ""en"", ""te""),"""")"),"")</f>
        <v/>
      </c>
      <c r="C9257" s="2"/>
      <c r="D9257" s="2" t="str">
        <f>IFERROR(__xludf.DUMMYFUNCTION("IF(C9257&lt;&gt;"""", GOOGLETRANSLATE(C9257, ""en"", ""te""),"""")"),"")</f>
        <v/>
      </c>
      <c r="E9257" s="2" t="s">
        <v>5297</v>
      </c>
      <c r="F9257" s="2" t="str">
        <f>IFERROR(__xludf.DUMMYFUNCTION("IF(E9257&lt;&gt;"""", GOOGLETRANSLATE(E9257, ""en"", ""te""),"""")"),"[ '39 వ పిన్న కాప్టెన్ (24y 278d)']")</f>
        <v>[ '39 వ పిన్న కాప్టెన్ (24y 278d)']</v>
      </c>
      <c r="G9257" s="2" t="s">
        <v>5298</v>
      </c>
      <c r="H9257" s="2" t="str">
        <f>IFERROR(__xludf.DUMMYFUNCTION("IF(G9257&lt;&gt;"""", GOOGLETRANSLATE(G9257, ""en"", ""te""),"""")"),"[ 'ఒక కెప్టెన్తో ఒక ఇన్నింగ్స్ లో 20 వ బెస్ట్ ఫిగర్స్ (3)', '15 వ ఇన్నింగ్స్ లో అత్యధిక క్యాచ్లు (3)', '37 వ పిన్న కాప్టెన్ (25y 201d)']")</f>
        <v>[ 'ఒక కెప్టెన్తో ఒక ఇన్నింగ్స్ లో 20 వ బెస్ట్ ఫిగర్స్ (3)', '15 వ ఇన్నింగ్స్ లో అత్యధిక క్యాచ్లు (3)', '37 వ పిన్న కాప్టెన్ (25y 201d)']</v>
      </c>
      <c r="I9257" s="3"/>
    </row>
    <row r="9258" customHeight="1" spans="1:9">
      <c r="A9258" s="2"/>
      <c r="B9258" s="2" t="str">
        <f>IFERROR(__xludf.DUMMYFUNCTION("IF(A9258&lt;&gt;"""", GOOGLETRANSLATE(A9258, ""en"", ""te""),"""")"),"")</f>
        <v/>
      </c>
      <c r="C9258" s="2"/>
      <c r="D9258" s="2" t="str">
        <f>IFERROR(__xludf.DUMMYFUNCTION("IF(C9258&lt;&gt;"""", GOOGLETRANSLATE(C9258, ""en"", ""te""),"""")"),"")</f>
        <v/>
      </c>
      <c r="E9258" s="2"/>
      <c r="F9258" s="2" t="str">
        <f>IFERROR(__xludf.DUMMYFUNCTION("IF(E9258&lt;&gt;"""", GOOGLETRANSLATE(E9258, ""en"", ""te""),"""")"),"")</f>
        <v/>
      </c>
      <c r="G9258" s="2"/>
      <c r="H9258" s="2" t="str">
        <f>IFERROR(__xludf.DUMMYFUNCTION("IF(G9258&lt;&gt;"""", GOOGLETRANSLATE(G9258, ""en"", ""te""),"""")"),"")</f>
        <v/>
      </c>
      <c r="I9258" s="3"/>
    </row>
    <row r="9259" customHeight="1" spans="1:9">
      <c r="A9259" s="2"/>
      <c r="B9259" s="2" t="str">
        <f>IFERROR(__xludf.DUMMYFUNCTION("IF(A9259&lt;&gt;"""", GOOGLETRANSLATE(A9259, ""en"", ""te""),"""")"),"")</f>
        <v/>
      </c>
      <c r="C9259" s="2"/>
      <c r="D9259" s="2" t="str">
        <f>IFERROR(__xludf.DUMMYFUNCTION("IF(C9259&lt;&gt;"""", GOOGLETRANSLATE(C9259, ""en"", ""te""),"""")"),"")</f>
        <v/>
      </c>
      <c r="E9259" s="2" t="s">
        <v>5299</v>
      </c>
      <c r="F9259" s="2" t="str">
        <f>IFERROR(__xludf.DUMMYFUNCTION("IF(E9259&lt;&gt;"""", GOOGLETRANSLATE(E9259, ""en"", ""te""),"""")"),"[ '46 వ పిన్న ఆటగాడు వంద స్కోర్ (21y 221d)', 'రెండవ వికెట్ (205) కోసం 33 వ అత్యధిక భాగస్వామ్యం']")</f>
        <v>[ '46 వ పిన్న ఆటగాడు వంద స్కోర్ (21y 221d)', 'రెండవ వికెట్ (205) కోసం 33 వ అత్యధిక భాగస్వామ్యం']</v>
      </c>
      <c r="G9259" s="2"/>
      <c r="H9259" s="2" t="str">
        <f>IFERROR(__xludf.DUMMYFUNCTION("IF(G9259&lt;&gt;"""", GOOGLETRANSLATE(G9259, ""en"", ""te""),"""")"),"")</f>
        <v/>
      </c>
      <c r="I9259" s="3"/>
    </row>
    <row r="9260" customHeight="1" spans="1:9">
      <c r="A9260" s="2"/>
      <c r="B9260" s="2" t="str">
        <f>IFERROR(__xludf.DUMMYFUNCTION("IF(A9260&lt;&gt;"""", GOOGLETRANSLATE(A9260, ""en"", ""te""),"""")"),"")</f>
        <v/>
      </c>
      <c r="C9260" s="2"/>
      <c r="D9260" s="2" t="str">
        <f>IFERROR(__xludf.DUMMYFUNCTION("IF(C9260&lt;&gt;"""", GOOGLETRANSLATE(C9260, ""en"", ""te""),"""")"),"")</f>
        <v/>
      </c>
      <c r="E9260" s="2"/>
      <c r="F9260" s="2" t="str">
        <f>IFERROR(__xludf.DUMMYFUNCTION("IF(E9260&lt;&gt;"""", GOOGLETRANSLATE(E9260, ""en"", ""te""),"""")"),"")</f>
        <v/>
      </c>
      <c r="G9260" s="2"/>
      <c r="H9260" s="2" t="str">
        <f>IFERROR(__xludf.DUMMYFUNCTION("IF(G9260&lt;&gt;"""", GOOGLETRANSLATE(G9260, ""en"", ""te""),"""")"),"")</f>
        <v/>
      </c>
      <c r="I9260" s="3"/>
    </row>
    <row r="9261" customHeight="1" spans="1:9">
      <c r="A9261" s="2"/>
      <c r="B9261" s="2" t="str">
        <f>IFERROR(__xludf.DUMMYFUNCTION("IF(A9261&lt;&gt;"""", GOOGLETRANSLATE(A9261, ""en"", ""te""),"""")"),"")</f>
        <v/>
      </c>
      <c r="C9261" s="2"/>
      <c r="D9261" s="2" t="str">
        <f>IFERROR(__xludf.DUMMYFUNCTION("IF(C9261&lt;&gt;"""", GOOGLETRANSLATE(C9261, ""en"", ""te""),"""")"),"")</f>
        <v/>
      </c>
      <c r="E9261" s="2"/>
      <c r="F9261" s="2" t="str">
        <f>IFERROR(__xludf.DUMMYFUNCTION("IF(E9261&lt;&gt;"""", GOOGLETRANSLATE(E9261, ""en"", ""te""),"""")"),"")</f>
        <v/>
      </c>
      <c r="G9261" s="2" t="s">
        <v>685</v>
      </c>
      <c r="H9261" s="2" t="str">
        <f>IFERROR(__xludf.DUMMYFUNCTION("IF(G9261&lt;&gt;"""", GOOGLETRANSLATE(G9261, ""en"", ""te""),"""")"),"[40 వ ఉత్తమ కెరీర్ బౌలింగ్ సరాసరి (అర్హత లేకుండా) (8.33) ']")</f>
        <v>[40 వ ఉత్తమ కెరీర్ బౌలింగ్ సరాసరి (అర్హత లేకుండా) (8.33) ']</v>
      </c>
      <c r="I9261" s="3"/>
    </row>
    <row r="9262" customHeight="1" spans="1:9">
      <c r="A9262" s="2"/>
      <c r="B9262" s="2" t="str">
        <f>IFERROR(__xludf.DUMMYFUNCTION("IF(A9262&lt;&gt;"""", GOOGLETRANSLATE(A9262, ""en"", ""te""),"""")"),"")</f>
        <v/>
      </c>
      <c r="C9262" s="2"/>
      <c r="D9262" s="2" t="str">
        <f>IFERROR(__xludf.DUMMYFUNCTION("IF(C9262&lt;&gt;"""", GOOGLETRANSLATE(C9262, ""en"", ""te""),"""")"),"")</f>
        <v/>
      </c>
      <c r="E9262" s="2"/>
      <c r="F9262" s="2" t="str">
        <f>IFERROR(__xludf.DUMMYFUNCTION("IF(E9262&lt;&gt;"""", GOOGLETRANSLATE(E9262, ""en"", ""te""),"""")"),"")</f>
        <v/>
      </c>
      <c r="G9262" s="2"/>
      <c r="H9262" s="2" t="str">
        <f>IFERROR(__xludf.DUMMYFUNCTION("IF(G9262&lt;&gt;"""", GOOGLETRANSLATE(G9262, ""en"", ""te""),"""")"),"")</f>
        <v/>
      </c>
      <c r="I9262" s="3"/>
    </row>
    <row r="9263" customHeight="1" spans="1:9">
      <c r="A9263" s="2" t="s">
        <v>5300</v>
      </c>
      <c r="B9263" s="2" t="str">
        <f>IFERROR(__xludf.DUMMYFUNCTION("IF(A9263&lt;&gt;"""", GOOGLETRANSLATE(A9263, ""en"", ""te""),"""")"),"[ 'తొలి హండ్రెడ్ (127)', '6 వ పిన్న ఆటగాడు వంద స్కోర్ (19y 54d)', 'అత్యధిక వికెట్లు ఇన్నింగ్స్ లో 10 వ అత్యధిక పరుగులు (87)']")</f>
        <v>[ 'తొలి హండ్రెడ్ (127)', '6 వ పిన్న ఆటగాడు వంద స్కోర్ (19y 54d)', 'అత్యధిక వికెట్లు ఇన్నింగ్స్ లో 10 వ అత్యధిక పరుగులు (87)']</v>
      </c>
      <c r="C9263" s="2"/>
      <c r="D9263" s="2" t="str">
        <f>IFERROR(__xludf.DUMMYFUNCTION("IF(C9263&lt;&gt;"""", GOOGLETRANSLATE(C9263, ""en"", ""te""),"""")"),"")</f>
        <v/>
      </c>
      <c r="E9263" s="2" t="s">
        <v>5301</v>
      </c>
      <c r="F9263" s="2" t="str">
        <f>IFERROR(__xludf.DUMMYFUNCTION("IF(E9263&lt;&gt;"""", GOOGLETRANSLATE(E9263, ""en"", ""te""),"""")"),"[ '48 వ అత్యంత అత్యధిక వికెట్లు ఇన్నింగ్స్ లో పరుగులు (127)', 'తొలి మ్యాచ్లో 2nd అత్యధిక పరుగులు (127)', ఒక ఇన్నింగ్స్ లో, '31 ఎక్కువ సిక్స్' 6 వ పిన్న ఆటగాడు వంద (19y 54d) స్కోర్ '( 9) ']")</f>
        <v>[ '48 వ అత్యంత అత్యధిక వికెట్లు ఇన్నింగ్స్ లో పరుగులు (127)', 'తొలి మ్యాచ్లో 2nd అత్యధిక పరుగులు (127)', ఒక ఇన్నింగ్స్ లో, '31 ఎక్కువ సిక్స్' 6 వ పిన్న ఆటగాడు వంద (19y 54d) స్కోర్ '( 9) ']</v>
      </c>
      <c r="G9263" s="2" t="s">
        <v>5302</v>
      </c>
      <c r="H9263" s="2" t="str">
        <f>IFERROR(__xludf.DUMMYFUNCTION("IF(G9263&lt;&gt;"""", GOOGLETRANSLATE(G9263, ""en"", ""te""),"""")"),"[ '10 వ అత్యంత అత్యధిక వికెట్లు ఇన్నింగ్స్ లో పరుగులు (87)', '24 వ అత్యధిక కెరీర్ సమ్మె రేటు (143.87)', '42 వ ఇన్నింగ్స్ లో వచ్చిన ఎక్కువ సిక్స్ (7)']")</f>
        <v>[ '10 వ అత్యంత అత్యధిక వికెట్లు ఇన్నింగ్స్ లో పరుగులు (87)', '24 వ అత్యధిక కెరీర్ సమ్మె రేటు (143.87)', '42 వ ఇన్నింగ్స్ లో వచ్చిన ఎక్కువ సిక్స్ (7)']</v>
      </c>
      <c r="I9263" s="3"/>
    </row>
    <row r="9264" customHeight="1" spans="1:9">
      <c r="A9264" s="2"/>
      <c r="B9264" s="2" t="str">
        <f>IFERROR(__xludf.DUMMYFUNCTION("IF(A9264&lt;&gt;"""", GOOGLETRANSLATE(A9264, ""en"", ""te""),"""")"),"")</f>
        <v/>
      </c>
      <c r="C9264" s="2"/>
      <c r="D9264" s="2" t="str">
        <f>IFERROR(__xludf.DUMMYFUNCTION("IF(C9264&lt;&gt;"""", GOOGLETRANSLATE(C9264, ""en"", ""te""),"""")"),"")</f>
        <v/>
      </c>
      <c r="E9264" s="2"/>
      <c r="F9264" s="2" t="str">
        <f>IFERROR(__xludf.DUMMYFUNCTION("IF(E9264&lt;&gt;"""", GOOGLETRANSLATE(E9264, ""en"", ""te""),"""")"),"")</f>
        <v/>
      </c>
      <c r="G9264" s="2"/>
      <c r="H9264" s="2" t="str">
        <f>IFERROR(__xludf.DUMMYFUNCTION("IF(G9264&lt;&gt;"""", GOOGLETRANSLATE(G9264, ""en"", ""te""),"""")"),"")</f>
        <v/>
      </c>
      <c r="I9264" s="3"/>
    </row>
    <row r="9265" customHeight="1" spans="1:9">
      <c r="A9265" s="2" t="s">
        <v>5303</v>
      </c>
      <c r="B9265" s="2" t="str">
        <f>IFERROR(__xludf.DUMMYFUNCTION("IF(A9265&lt;&gt;"""", GOOGLETRANSLATE(A9265, ""en"", ""te""),"""")"),"[ '1st పిన్న కాప్టెన్ (20y 350D)', '5 వ ఉత్తమ బొమ్మలు ఆడిన ఆటలో కెప్టెన్ (11)', '1st పిన్న కాప్టెన్ (19y 165d)', '3 వ అత్యుత్తమ బౌలింగ్ ఇన్నింగ్స్ లో విశ్లేషించడం (7/18)' , '1st బౌలింగ్ సరాసరి (18.57) ఉత్తమ జీవితం' '2 వ అత్యంత ఇన్నింగ్స్ లో సాధించిన పరుగు"&amp;"లు (110)' 1st వేగంగా చేయడానికి '3 వ పిన్న ఆటగాడు తీసుకుని ఐదు-వికెట్ల లో-ఒక-ఇన్నింగ్స్ (18y 178d)', ' 100 వికెట్లు (44) ',' 1000 పరుగులు మరియు 100 వికెట్లు ',' ఒక జట్టు 8 వ వరుస మ్యాచ్లు (48 *) ',' 5 వ పిన్న కాప్టెన్ (20y 359d) ',' 1 వ అత్యుత్తమ బౌలింగ్ ఇ"&amp;"న్నింగ్స్ లో విశ్లేషించడం (5 / 3) ',' 1 వ ఉత్తమ కెరీర్ సమ్మె రేటు (12.1) ',' 1 వ వరుస నాలుగు వికెట్లు-ఇన్-ఒక-ఇన్నింగ్స్ (2) ',' 1 వ అత్యధిక వికెట్లు తీసుకున్న ఎల్బిడబ్ల్యు (19) ',' 50 వికెట్లు 2nd వేగంగా (31) ']")</f>
        <v>[ '1st పిన్న కాప్టెన్ (20y 350D)', '5 వ ఉత్తమ బొమ్మలు ఆడిన ఆటలో కెప్టెన్ (11)', '1st పిన్న కాప్టెన్ (19y 165d)', '3 వ అత్యుత్తమ బౌలింగ్ ఇన్నింగ్స్ లో విశ్లేషించడం (7/18)' , '1st బౌలింగ్ సరాసరి (18.57) ఉత్తమ జీవితం' '2 వ అత్యంత ఇన్నింగ్స్ లో సాధించిన పరుగులు (110)' 1st వేగంగా చేయడానికి '3 వ పిన్న ఆటగాడు తీసుకుని ఐదు-వికెట్ల లో-ఒక-ఇన్నింగ్స్ (18y 178d)', ' 100 వికెట్లు (44) ',' 1000 పరుగులు మరియు 100 వికెట్లు ',' ఒక జట్టు 8 వ వరుస మ్యాచ్లు (48 *) ',' 5 వ పిన్న కాప్టెన్ (20y 359d) ',' 1 వ అత్యుత్తమ బౌలింగ్ ఇన్నింగ్స్ లో విశ్లేషించడం (5 / 3) ',' 1 వ ఉత్తమ కెరీర్ సమ్మె రేటు (12.1) ',' 1 వ వరుస నాలుగు వికెట్లు-ఇన్-ఒక-ఇన్నింగ్స్ (2) ',' 1 వ అత్యధిక వికెట్లు తీసుకున్న ఎల్బిడబ్ల్యు (19) ',' 50 వికెట్లు 2nd వేగంగా (31) ']</v>
      </c>
      <c r="C9265" s="2" t="s">
        <v>5304</v>
      </c>
      <c r="D9265" s="2" t="str">
        <f>IFERROR(__xludf.DUMMYFUNCTION("IF(C9265&lt;&gt;"""", GOOGLETRANSLATE(C9265, ""en"", ""te""),"""")"),"[ '16 వ ఉత్తమ ఇన్నింగ్స్ లో ఒక నాయకుడు (6) ప్రముఖులలో' ఒక కెప్టెన్తో ఒక మ్యాచ్లో 5 వ ఉత్తమ బొమ్మలు (11) ',' 18 వ వరుస ఐదు వికెట్ల లో-ఒక-ఇన్నింగ్స్ (3) ',' 47 వ పిన్న వయస్కుడిగా నిలిచాడు (20y 176d) ',' పది వికెట్లు లో ఒక మ్యాచ్ తీసుకోవాలని 16 వ పిన్న ఆటగాడ"&amp;"ు 19 వ ఒక మ్యాచ్లో సాధించిన అత్యధిక పరుగులు (ఐదు వికెట్ల లో-ఒక-ఇన్నింగ్స్ తీసుకోవాలని (20y 350D) ',' 275) ',' 1st పిన్న కాప్టెన్ (20y 350D) ']")</f>
        <v>[ '16 వ ఉత్తమ ఇన్నింగ్స్ లో ఒక నాయకుడు (6) ప్రముఖులలో' ఒక కెప్టెన్తో ఒక మ్యాచ్లో 5 వ ఉత్తమ బొమ్మలు (11) ',' 18 వ వరుస ఐదు వికెట్ల లో-ఒక-ఇన్నింగ్స్ (3) ',' 47 వ పిన్న వయస్కుడిగా నిలిచాడు (20y 176d) ',' పది వికెట్లు లో ఒక మ్యాచ్ తీసుకోవాలని 16 వ పిన్న ఆటగాడు 19 వ ఒక మ్యాచ్లో సాధించిన అత్యధిక పరుగులు (ఐదు వికెట్ల లో-ఒక-ఇన్నింగ్స్ తీసుకోవాలని (20y 350D) ',' 275) ',' 1st పిన్న కాప్టెన్ (20y 350D) ']</v>
      </c>
      <c r="E9265" s="2" t="s">
        <v>5305</v>
      </c>
      <c r="F9265" s="2" t="str">
        <f>IFERROR(__xludf.DUMMYFUNCTION("IF(E9265&lt;&gt;"""", GOOGLETRANSLATE(E9265, ""en"", ""te""),"""")"),"[ '25 వ అత్యధిక కెరీర్ సమ్మె రేటు (103.27)', '4 వ బెస్ట్ ఫిగర్స్ ఇన్నింగ్స్ లో (7/18)', '21 వ ఒక క్యాలెండర్ సంవత్సరంలో అత్యధిక వికెట్లు (48) ',' 3 వ అత్యుత్తమ బౌలింగ్ ఇన్నింగ్స్ లో విశ్లేషించడం (7 / 18) ',' 1st సగటు (18.57) ',' 7 వ ఉత్తమ కెరీర్ సమ్మె రేటు"&amp;" బౌలింగ్ ఉత్తమ కెరీర్ (26.6) ',' ఇన్నింగ్స్ లో an- ఐదు వికెట్ల (12.22) ',' 15 వ అత్యంత 9 చెత్త ఆర్థిక రేటు ఒక కెరీర్ (4) ',' 36 వ అత్యంత నాలుగు వికెట్లు-ఇన్-ఒక-ఇన్నింగ్స్ కెరీర్లో (9) ',' 13 వ వరుస నాలుగు వికెట్లు-ఇన్-ఒక-ఇన్నింగ్స్ (2) ',' 3 వ పిన్న ఇన్ని"&amp;"ంగ్స్ను ఐదు వికెట్లు-ఇన్-ఒక-ఇన్నింగ్స్ తీసుకోవాలని ఆటగాడు (18y 178d) ',' 2 వ అత్యంత ఇన్నింగ్స్ లో సాధించిన పరుగులు (110) ',' 11 వ అత్యధిక వికెట్లు తీసుకున్న ఎల్బిడబ్ల్యు (48) ',' 32 వ అత్యధిక వికెట్లు స్టంప్ (11 తీసుకున్న ) ',' 50 వికెట్లు వేగంగా 11 (26) "&amp;"',' 100 వికెట్లు వేగంగా 1st (44) ',' 25 వ పిన్న క్రీడాకారులు (17y 28 రో) ',' 1st పిన్న కాప్టెన్ (19y 165d) ']")</f>
        <v>[ '25 వ అత్యధిక కెరీర్ సమ్మె రేటు (103.27)', '4 వ బెస్ట్ ఫిగర్స్ ఇన్నింగ్స్ లో (7/18)', '21 వ ఒక క్యాలెండర్ సంవత్సరంలో అత్యధిక వికెట్లు (48) ',' 3 వ అత్యుత్తమ బౌలింగ్ ఇన్నింగ్స్ లో విశ్లేషించడం (7 / 18) ',' 1st సగటు (18.57) ',' 7 వ ఉత్తమ కెరీర్ సమ్మె రేటు బౌలింగ్ ఉత్తమ కెరీర్ (26.6) ',' ఇన్నింగ్స్ లో an- ఐదు వికెట్ల (12.22) ',' 15 వ అత్యంత 9 చెత్త ఆర్థిక రేటు ఒక కెరీర్ (4) ',' 36 వ అత్యంత నాలుగు వికెట్లు-ఇన్-ఒక-ఇన్నింగ్స్ కెరీర్లో (9) ',' 13 వ వరుస నాలుగు వికెట్లు-ఇన్-ఒక-ఇన్నింగ్స్ (2) ',' 3 వ పిన్న ఇన్నింగ్స్ను ఐదు వికెట్లు-ఇన్-ఒక-ఇన్నింగ్స్ తీసుకోవాలని ఆటగాడు (18y 178d) ',' 2 వ అత్యంత ఇన్నింగ్స్ లో సాధించిన పరుగులు (110) ',' 11 వ అత్యధిక వికెట్లు తీసుకున్న ఎల్బిడబ్ల్యు (48) ',' 32 వ అత్యధిక వికెట్లు స్టంప్ (11 తీసుకున్న ) ',' 50 వికెట్లు వేగంగా 11 (26) ',' 100 వికెట్లు వేగంగా 1st (44) ',' 25 వ పిన్న క్రీడాకారులు (17y 28 రో) ',' 1st పిన్న కాప్టెన్ (19y 165d) ']</v>
      </c>
      <c r="G9265" s="2" t="s">
        <v>5306</v>
      </c>
      <c r="H9265" s="2" t="str">
        <f>IFERROR(__xludf.DUMMYFUNCTION("IF(G9265&lt;&gt;"""", GOOGLETRANSLATE(G9265, ""en"", ""te""),"""")"),"[ 'ఇన్నింగ్స్ లో 6 వ ఉత్తమ బొమ్మలు (5/3)' 'కెరీర్లో 4 వ అత్యధిక వికెట్లు (95)' '32 వ అత్యధిక కెరీర్ లో బాతులు (5)', '17 వ ఒక క్యాలెండర్ సంవత్సరంలో అత్యధిక వికెట్లు (23)', '1 వ అత్యుత్తమ బౌలింగ్ ఇన్నింగ్స్ లో విశ్లేషించడం (5/3)', '1st బెస్ట్ కెరీర్ సగటు (1"&amp;"2.63) బౌలింగ్', '5 వ ఉత్తమ కెరీర్ ఆర్థిక రేటు (6.21)' 'ఒకే క్రీడా (19) లో 5 వ అత్యధిక వికెట్లు', '1 వ ఉత్తమ కెరీర్ సమ్మె రేటు (12.1)', 'ఇన్నింగ్స్ లో 2 వ ఉత్తమ సమ్మె రేటు (2.4)', '2 వ అత్యంత నాలుగు వికెట్లు-ఇన్-ఒక-ఇన్నింగ్స్ కెరీర్లో (5)', '1 వ వరుస నాలుగ"&amp;"ు వికెట్ల లో-ఒక-ఇన్నింగ్స్ (2) ',' 17 వ కెరీర్ లో బౌల్డ్ చాలా బంతుల్లో (1158) ',' 28th కెరీర్లో సాధించిన (1200) ',' 1 వ బౌలర్ అత్యధిక పరుగులు / బ్యాట్స్ కలయికలు (4) ',' 6 వ బౌలర్ / ఫీల్డర్ కలయికలు (9) ',' 3 వ అత్యంత బౌల్డ్ (32) ',' 37 వ అత్యధిక వికెట్లు త"&amp;"ీసుకున్న ఆకర్షించింది (33) ',' 10 వ అత్యధిక వికెట్లు ఆకర్షించింది తీసుకున్న మరియు బౌల్డ్ (4) ',' 24 వ అత్యధిక వికెట్లు పట్టుకుంటే తీసుకోబడిన వికెట్ల తీసుకున్న ఒక ఫీల్డర్ (31) ',' 1 వ అత్యధిక వికెట్లు తీసుకున్న ఎల్బిడబ్ల్యు (19) ',' 4 వ అత్యధిక వికెట్లు స్"&amp;"టంప్ తీసుకున్న (11) ',' 50 వికెట్లు (31) ',' 19 వ అత్యధిక భాగస్వామి 2 వ వేగవంతమైన ఒక జట్టు తొమ్మిదవ వికెట్కు రవాణా (36) ',' 8 వ వరుస మ్యాచ్లు (48 *) ',' 28 వ అతి ప్లేయర్ ఆఫ్ ది మ్యాచ్ అవార్డులు (5) ',' 38 వ పిన్న క్రీడాకారులు (17y 36d) ', '5 వ పిన్న కాప్"&amp;"టెన్ (20y 359d)', '24 వ వరుస అన్ని టాస్ గెలిచిన (3)']")</f>
        <v>[ 'ఇన్నింగ్స్ లో 6 వ ఉత్తమ బొమ్మలు (5/3)' 'కెరీర్లో 4 వ అత్యధిక వికెట్లు (95)' '32 వ అత్యధిక కెరీర్ లో బాతులు (5)', '17 వ ఒక క్యాలెండర్ సంవత్సరంలో అత్యధిక వికెట్లు (23)', '1 వ అత్యుత్తమ బౌలింగ్ ఇన్నింగ్స్ లో విశ్లేషించడం (5/3)', '1st బెస్ట్ కెరీర్ సగటు (12.63) బౌలింగ్', '5 వ ఉత్తమ కెరీర్ ఆర్థిక రేటు (6.21)' 'ఒకే క్రీడా (19) లో 5 వ అత్యధిక వికెట్లు', '1 వ ఉత్తమ కెరీర్ సమ్మె రేటు (12.1)', 'ఇన్నింగ్స్ లో 2 వ ఉత్తమ సమ్మె రేటు (2.4)', '2 వ అత్యంత నాలుగు వికెట్లు-ఇన్-ఒక-ఇన్నింగ్స్ కెరీర్లో (5)', '1 వ వరుస నాలుగు వికెట్ల లో-ఒక-ఇన్నింగ్స్ (2) ',' 17 వ కెరీర్ లో బౌల్డ్ చాలా బంతుల్లో (1158) ',' 28th కెరీర్లో సాధించిన (1200) ',' 1 వ బౌలర్ అత్యధిక పరుగులు / బ్యాట్స్ కలయికలు (4) ',' 6 వ బౌలర్ / ఫీల్డర్ కలయికలు (9) ',' 3 వ అత్యంత బౌల్డ్ (32) ',' 37 వ అత్యధిక వికెట్లు తీసుకున్న ఆకర్షించింది (33) ',' 10 వ అత్యధిక వికెట్లు ఆకర్షించింది తీసుకున్న మరియు బౌల్డ్ (4) ',' 24 వ అత్యధిక వికెట్లు పట్టుకుంటే తీసుకోబడిన వికెట్ల తీసుకున్న ఒక ఫీల్డర్ (31) ',' 1 వ అత్యధిక వికెట్లు తీసుకున్న ఎల్బిడబ్ల్యు (19) ',' 4 వ అత్యధిక వికెట్లు స్టంప్ తీసుకున్న (11) ',' 50 వికెట్లు (31) ',' 19 వ అత్యధిక భాగస్వామి 2 వ వేగవంతమైన ఒక జట్టు తొమ్మిదవ వికెట్కు రవాణా (36) ',' 8 వ వరుస మ్యాచ్లు (48 *) ',' 28 వ అతి ప్లేయర్ ఆఫ్ ది మ్యాచ్ అవార్డులు (5) ',' 38 వ పిన్న క్రీడాకారులు (17y 36d) ', '5 వ పిన్న కాప్టెన్ (20y 359d)', '24 వ వరుస అన్ని టాస్ గెలిచిన (3)']</v>
      </c>
      <c r="I9265" s="3"/>
    </row>
    <row r="9266" customHeight="1" spans="1:9">
      <c r="A9266" s="2"/>
      <c r="B9266" s="2" t="str">
        <f>IFERROR(__xludf.DUMMYFUNCTION("IF(A9266&lt;&gt;"""", GOOGLETRANSLATE(A9266, ""en"", ""te""),"""")"),"")</f>
        <v/>
      </c>
      <c r="C9266" s="2"/>
      <c r="D9266" s="2" t="str">
        <f>IFERROR(__xludf.DUMMYFUNCTION("IF(C9266&lt;&gt;"""", GOOGLETRANSLATE(C9266, ""en"", ""te""),"""")"),"")</f>
        <v/>
      </c>
      <c r="E9266" s="2"/>
      <c r="F9266" s="2" t="str">
        <f>IFERROR(__xludf.DUMMYFUNCTION("IF(E9266&lt;&gt;"""", GOOGLETRANSLATE(E9266, ""en"", ""te""),"""")"),"")</f>
        <v/>
      </c>
      <c r="G9266" s="2"/>
      <c r="H9266" s="2" t="str">
        <f>IFERROR(__xludf.DUMMYFUNCTION("IF(G9266&lt;&gt;"""", GOOGLETRANSLATE(G9266, ""en"", ""te""),"""")"),"")</f>
        <v/>
      </c>
      <c r="I9266" s="3"/>
    </row>
    <row r="9267" customHeight="1" spans="1:9">
      <c r="A9267" s="2" t="s">
        <v>9</v>
      </c>
      <c r="B9267" s="2" t="str">
        <f>IFERROR(__xludf.DUMMYFUNCTION("IF(A9267&lt;&gt;"""", GOOGLETRANSLATE(A9267, ""en"", ""te""),"""")"),"[ 'హండ్రెడ్ మరియు ఒక మ్యాచ్లో ఒక డక్']")</f>
        <v>[ 'హండ్రెడ్ మరియు ఒక మ్యాచ్లో ఒక డక్']</v>
      </c>
      <c r="C9267" s="2"/>
      <c r="D9267" s="2" t="str">
        <f>IFERROR(__xludf.DUMMYFUNCTION("IF(C9267&lt;&gt;"""", GOOGLETRANSLATE(C9267, ""en"", ""te""),"""")"),"")</f>
        <v/>
      </c>
      <c r="E9267" s="2" t="s">
        <v>5307</v>
      </c>
      <c r="F9267" s="2" t="str">
        <f>IFERROR(__xludf.DUMMYFUNCTION("IF(E9267&lt;&gt;"""", GOOGLETRANSLATE(E9267, ""en"", ""te""),"""")"),"[ '41 వ 2000 పరుగులు (57) వేగంగా', 'ఇన్నింగ్స్ లో 34 వ ఉత్తమ సమ్మె రేటు (6.6)', '27 వ అత్యధిక భాగస్వామ్యం' 19 పిన్న ఆటగాడు ఐదు వికెట్ల లో-ఒక-ఇన్నింగ్స్ (20y 300D) తీసుకోవాలని ' ఐదవ వికెట్కు (158) ']")</f>
        <v>[ '41 వ 2000 పరుగులు (57) వేగంగా', 'ఇన్నింగ్స్ లో 34 వ ఉత్తమ సమ్మె రేటు (6.6)', '27 వ అత్యధిక భాగస్వామ్యం' 19 పిన్న ఆటగాడు ఐదు వికెట్ల లో-ఒక-ఇన్నింగ్స్ (20y 300D) తీసుకోవాలని ' ఐదవ వికెట్కు (158) ']</v>
      </c>
      <c r="G9267" s="2"/>
      <c r="H9267" s="2" t="str">
        <f>IFERROR(__xludf.DUMMYFUNCTION("IF(G9267&lt;&gt;"""", GOOGLETRANSLATE(G9267, ""en"", ""te""),"""")"),"")</f>
        <v/>
      </c>
      <c r="I9267" s="3"/>
    </row>
    <row r="9268" customHeight="1" spans="1:9">
      <c r="A9268" s="2"/>
      <c r="B9268" s="2" t="str">
        <f>IFERROR(__xludf.DUMMYFUNCTION("IF(A9268&lt;&gt;"""", GOOGLETRANSLATE(A9268, ""en"", ""te""),"""")"),"")</f>
        <v/>
      </c>
      <c r="C9268" s="2"/>
      <c r="D9268" s="2" t="str">
        <f>IFERROR(__xludf.DUMMYFUNCTION("IF(C9268&lt;&gt;"""", GOOGLETRANSLATE(C9268, ""en"", ""te""),"""")"),"")</f>
        <v/>
      </c>
      <c r="E9268" s="2"/>
      <c r="F9268" s="2" t="str">
        <f>IFERROR(__xludf.DUMMYFUNCTION("IF(E9268&lt;&gt;"""", GOOGLETRANSLATE(E9268, ""en"", ""te""),"""")"),"")</f>
        <v/>
      </c>
      <c r="G9268" s="2"/>
      <c r="H9268" s="2" t="str">
        <f>IFERROR(__xludf.DUMMYFUNCTION("IF(G9268&lt;&gt;"""", GOOGLETRANSLATE(G9268, ""en"", ""te""),"""")"),"")</f>
        <v/>
      </c>
      <c r="I9268" s="3"/>
    </row>
    <row r="9269" customHeight="1" spans="1:9">
      <c r="A9269" s="2" t="s">
        <v>5308</v>
      </c>
      <c r="B9269" s="2" t="str">
        <f>IFERROR(__xludf.DUMMYFUNCTION("IF(A9269&lt;&gt;"""", GOOGLETRANSLATE(A9269, ""en"", ""te""),"""")"),"[ 'ఇన్నింగ్స్ లో (35 *) 5 వ అత్యధిక పరుగులు (బ్యాటింగ్ స్థానంలో ద్వారా)' '7th చాలా ఇన్నింగ్స్ లో సాధించిన బైస్ (13)',]")</f>
        <v>[ 'ఇన్నింగ్స్ లో (35 *) 5 వ అత్యధిక పరుగులు (బ్యాటింగ్ స్థానంలో ద్వారా)' '7th చాలా ఇన్నింగ్స్ లో సాధించిన బైస్ (13)',]</v>
      </c>
      <c r="C9269" s="2"/>
      <c r="D9269" s="2" t="str">
        <f>IFERROR(__xludf.DUMMYFUNCTION("IF(C9269&lt;&gt;"""", GOOGLETRANSLATE(C9269, ""en"", ""te""),"""")"),"")</f>
        <v/>
      </c>
      <c r="E9269" s="2" t="s">
        <v>5309</v>
      </c>
      <c r="F9269" s="2" t="str">
        <f>IFERROR(__xludf.DUMMYFUNCTION("IF(E9269&lt;&gt;"""", GOOGLETRANSLATE(E9269, ""en"", ""te""),"""")"),"[ 'తొమ్మిదవ వికెట్ (71 *) కోసం 33 వ అత్యధిక భాగస్వామ్యం', '7 వ అత్యంత ఇన్నింగ్స్ లో సాధించిన బైస్ (13)']")</f>
        <v>[ 'తొమ్మిదవ వికెట్ (71 *) కోసం 33 వ అత్యధిక భాగస్వామ్యం', '7 వ అత్యంత ఇన్నింగ్స్ లో సాధించిన బైస్ (13)']</v>
      </c>
      <c r="G9269" s="2" t="s">
        <v>5310</v>
      </c>
      <c r="H9269" s="2" t="str">
        <f>IFERROR(__xludf.DUMMYFUNCTION("IF(G9269&lt;&gt;"""", GOOGLETRANSLATE(G9269, ""en"", ""te""),"""")"),"[ 'ఇన్నింగ్స్ లో 5 వ అత్యధిక పరుగులు (బ్యాటింగ్ స్థానంలో ప్రకారం) (35 *)', '22 వ అత్యధిక కెరీర్ సమ్మె రేటు (145.29)', '32 వ కెరీర్ బాతులు (5)', '15 వ ఇన్నింగ్స్ లో అత్యధిక క్యాచ్లు (3 ) ',' పదవ వికెట్కు 28 అత్యధిక భాగస్వామ్యం (19 *) ']")</f>
        <v>[ 'ఇన్నింగ్స్ లో 5 వ అత్యధిక పరుగులు (బ్యాటింగ్ స్థానంలో ప్రకారం) (35 *)', '22 వ అత్యధిక కెరీర్ సమ్మె రేటు (145.29)', '32 వ కెరీర్ బాతులు (5)', '15 వ ఇన్నింగ్స్ లో అత్యధిక క్యాచ్లు (3 ) ',' పదవ వికెట్కు 28 అత్యధిక భాగస్వామ్యం (19 *) ']</v>
      </c>
      <c r="I9269" s="3"/>
    </row>
    <row r="9270" customHeight="1" spans="1:9">
      <c r="A9270" s="2"/>
      <c r="B9270" s="2" t="str">
        <f>IFERROR(__xludf.DUMMYFUNCTION("IF(A9270&lt;&gt;"""", GOOGLETRANSLATE(A9270, ""en"", ""te""),"""")"),"")</f>
        <v/>
      </c>
      <c r="C9270" s="2"/>
      <c r="D9270" s="2" t="str">
        <f>IFERROR(__xludf.DUMMYFUNCTION("IF(C9270&lt;&gt;"""", GOOGLETRANSLATE(C9270, ""en"", ""te""),"""")"),"")</f>
        <v/>
      </c>
      <c r="E9270" s="2"/>
      <c r="F9270" s="2" t="str">
        <f>IFERROR(__xludf.DUMMYFUNCTION("IF(E9270&lt;&gt;"""", GOOGLETRANSLATE(E9270, ""en"", ""te""),"""")"),"")</f>
        <v/>
      </c>
      <c r="G9270" s="2"/>
      <c r="H9270" s="2" t="str">
        <f>IFERROR(__xludf.DUMMYFUNCTION("IF(G9270&lt;&gt;"""", GOOGLETRANSLATE(G9270, ""en"", ""te""),"""")"),"")</f>
        <v/>
      </c>
      <c r="I9270" s="3"/>
    </row>
    <row r="9271" customHeight="1" spans="1:9">
      <c r="A9271" s="2"/>
      <c r="B9271" s="2" t="str">
        <f>IFERROR(__xludf.DUMMYFUNCTION("IF(A9271&lt;&gt;"""", GOOGLETRANSLATE(A9271, ""en"", ""te""),"""")"),"")</f>
        <v/>
      </c>
      <c r="C9271" s="2"/>
      <c r="D9271" s="2" t="str">
        <f>IFERROR(__xludf.DUMMYFUNCTION("IF(C9271&lt;&gt;"""", GOOGLETRANSLATE(C9271, ""en"", ""te""),"""")"),"")</f>
        <v/>
      </c>
      <c r="E9271" s="2"/>
      <c r="F9271" s="2" t="str">
        <f>IFERROR(__xludf.DUMMYFUNCTION("IF(E9271&lt;&gt;"""", GOOGLETRANSLATE(E9271, ""en"", ""te""),"""")"),"")</f>
        <v/>
      </c>
      <c r="G9271" s="2"/>
      <c r="H9271" s="2" t="str">
        <f>IFERROR(__xludf.DUMMYFUNCTION("IF(G9271&lt;&gt;"""", GOOGLETRANSLATE(G9271, ""en"", ""te""),"""")"),"")</f>
        <v/>
      </c>
      <c r="I9271" s="3"/>
    </row>
    <row r="9272" customHeight="1" spans="1:9">
      <c r="A9272" s="2"/>
      <c r="B9272" s="2" t="str">
        <f>IFERROR(__xludf.DUMMYFUNCTION("IF(A9272&lt;&gt;"""", GOOGLETRANSLATE(A9272, ""en"", ""te""),"""")"),"")</f>
        <v/>
      </c>
      <c r="C9272" s="2"/>
      <c r="D9272" s="2" t="str">
        <f>IFERROR(__xludf.DUMMYFUNCTION("IF(C9272&lt;&gt;"""", GOOGLETRANSLATE(C9272, ""en"", ""te""),"""")"),"")</f>
        <v/>
      </c>
      <c r="E9272" s="2"/>
      <c r="F9272" s="2" t="str">
        <f>IFERROR(__xludf.DUMMYFUNCTION("IF(E9272&lt;&gt;"""", GOOGLETRANSLATE(E9272, ""en"", ""te""),"""")"),"")</f>
        <v/>
      </c>
      <c r="G9272" s="2"/>
      <c r="H9272" s="2" t="str">
        <f>IFERROR(__xludf.DUMMYFUNCTION("IF(G9272&lt;&gt;"""", GOOGLETRANSLATE(G9272, ""en"", ""te""),"""")"),"")</f>
        <v/>
      </c>
      <c r="I9272" s="3"/>
    </row>
    <row r="9273" customHeight="1" spans="1:9">
      <c r="A9273" s="2"/>
      <c r="B9273" s="2" t="str">
        <f>IFERROR(__xludf.DUMMYFUNCTION("IF(A9273&lt;&gt;"""", GOOGLETRANSLATE(A9273, ""en"", ""te""),"""")"),"")</f>
        <v/>
      </c>
      <c r="C9273" s="2"/>
      <c r="D9273" s="2" t="str">
        <f>IFERROR(__xludf.DUMMYFUNCTION("IF(C9273&lt;&gt;"""", GOOGLETRANSLATE(C9273, ""en"", ""te""),"""")"),"")</f>
        <v/>
      </c>
      <c r="E9273" s="2"/>
      <c r="F9273" s="2" t="str">
        <f>IFERROR(__xludf.DUMMYFUNCTION("IF(E9273&lt;&gt;"""", GOOGLETRANSLATE(E9273, ""en"", ""te""),"""")"),"")</f>
        <v/>
      </c>
      <c r="G9273" s="2"/>
      <c r="H9273" s="2" t="str">
        <f>IFERROR(__xludf.DUMMYFUNCTION("IF(G9273&lt;&gt;"""", GOOGLETRANSLATE(G9273, ""en"", ""te""),"""")"),"")</f>
        <v/>
      </c>
      <c r="I9273" s="3"/>
    </row>
    <row r="9274" customHeight="1" spans="1:9">
      <c r="A9274" s="2"/>
      <c r="B9274" s="2" t="str">
        <f>IFERROR(__xludf.DUMMYFUNCTION("IF(A9274&lt;&gt;"""", GOOGLETRANSLATE(A9274, ""en"", ""te""),"""")"),"")</f>
        <v/>
      </c>
      <c r="C9274" s="2"/>
      <c r="D9274" s="2" t="str">
        <f>IFERROR(__xludf.DUMMYFUNCTION("IF(C9274&lt;&gt;"""", GOOGLETRANSLATE(C9274, ""en"", ""te""),"""")"),"")</f>
        <v/>
      </c>
      <c r="E9274" s="2"/>
      <c r="F9274" s="2" t="str">
        <f>IFERROR(__xludf.DUMMYFUNCTION("IF(E9274&lt;&gt;"""", GOOGLETRANSLATE(E9274, ""en"", ""te""),"""")"),"")</f>
        <v/>
      </c>
      <c r="G9274" s="2"/>
      <c r="H9274" s="2" t="str">
        <f>IFERROR(__xludf.DUMMYFUNCTION("IF(G9274&lt;&gt;"""", GOOGLETRANSLATE(G9274, ""en"", ""te""),"""")"),"")</f>
        <v/>
      </c>
      <c r="I9274" s="3"/>
    </row>
    <row r="9275" customHeight="1" spans="1:9">
      <c r="A9275" s="2" t="s">
        <v>667</v>
      </c>
      <c r="B9275" s="2" t="str">
        <f>IFERROR(__xludf.DUMMYFUNCTION("IF(A9275&lt;&gt;"""", GOOGLETRANSLATE(A9275, ""en"", ""te""),"""")"),"[ 'ఇన్నింగ్స్ లో 1 వ అత్యంత పనికత్తెలయొద్ద (2)']")</f>
        <v>[ 'ఇన్నింగ్స్ లో 1 వ అత్యంత పనికత్తెలయొద్ద (2)']</v>
      </c>
      <c r="C9275" s="2"/>
      <c r="D9275" s="2" t="str">
        <f>IFERROR(__xludf.DUMMYFUNCTION("IF(C9275&lt;&gt;"""", GOOGLETRANSLATE(C9275, ""en"", ""te""),"""")"),"")</f>
        <v/>
      </c>
      <c r="E9275" s="2" t="s">
        <v>549</v>
      </c>
      <c r="F9275" s="2" t="str">
        <f>IFERROR(__xludf.DUMMYFUNCTION("IF(E9275&lt;&gt;"""", GOOGLETRANSLATE(E9275, ""en"", ""te""),"""")"),"[ 'తొలి ఇన్నింగ్స్ 15 వ బెస్ట్ ఫిగర్స్ (4)']")</f>
        <v>[ 'తొలి ఇన్నింగ్స్ 15 వ బెస్ట్ ఫిగర్స్ (4)']</v>
      </c>
      <c r="G9275" s="2" t="s">
        <v>5311</v>
      </c>
      <c r="H9275" s="2" t="str">
        <f>IFERROR(__xludf.DUMMYFUNCTION("IF(G9275&lt;&gt;"""", GOOGLETRANSLATE(G9275, ""en"", ""te""),"""")"),"[ '43 వ చెత్త కెరీర్లో ఆర్థిక రేటు (7.83)', '45 వ బౌలర్ / ఫీల్డర్ కలయికలు (6)', '33 వ అత్యధిక వికెట్లు చిక్కుకున్న వికెట్కీపర్గా (6) తీసుకున్న' '22 వ అత్యంత ఇన్నింగ్స్ లో (60) పోగొట్టబడిన పరుగులను', '19 కెరీర్ పనికత్తెలయొద్ద (3)', '1 వ ఇన్నింగ్స్ లో వచ్చి"&amp;"న ఎక్కువ పనికత్తెలయొద్ద (2)']")</f>
        <v>[ '43 వ చెత్త కెరీర్లో ఆర్థిక రేటు (7.83)', '45 వ బౌలర్ / ఫీల్డర్ కలయికలు (6)', '33 వ అత్యధిక వికెట్లు చిక్కుకున్న వికెట్కీపర్గా (6) తీసుకున్న' '22 వ అత్యంత ఇన్నింగ్స్ లో (60) పోగొట్టబడిన పరుగులను', '19 కెరీర్ పనికత్తెలయొద్ద (3)', '1 వ ఇన్నింగ్స్ లో వచ్చిన ఎక్కువ పనికత్తెలయొద్ద (2)']</v>
      </c>
      <c r="I9275" s="3"/>
    </row>
    <row r="9276" customHeight="1" spans="1:9">
      <c r="A9276" s="2" t="s">
        <v>5312</v>
      </c>
      <c r="B9276" s="2" t="str">
        <f>IFERROR(__xludf.DUMMYFUNCTION("IF(A9276&lt;&gt;"""", GOOGLETRANSLATE(A9276, ""en"", ""te""),"""")"),"[ '2nd అత్యంత ఇన్నింగ్స్ తొలి డక్ ముందు (70)', 'ఐదవ వికెట్కు 6 వ అత్యధిక భాగస్వామ్యం (98)', '4 వ అత్యంత జీవితంలో పరుగులు ఏమీ స్కోర్ చేయబడకుండా వంద (2824)', '2 వ అత్యంత ఇన్నింగ్స్ తొలి డక్ ముందు (90 ) ']")</f>
        <v>[ '2nd అత్యంత ఇన్నింగ్స్ తొలి డక్ ముందు (70)', 'ఐదవ వికెట్కు 6 వ అత్యధిక భాగస్వామ్యం (98)', '4 వ అత్యంత జీవితంలో పరుగులు ఏమీ స్కోర్ చేయబడకుండా వంద (2824)', '2 వ అత్యంత ఇన్నింగ్స్ తొలి డక్ ముందు (90 ) ']</v>
      </c>
      <c r="C9276" s="2"/>
      <c r="D9276" s="2" t="str">
        <f>IFERROR(__xludf.DUMMYFUNCTION("IF(C9276&lt;&gt;"""", GOOGLETRANSLATE(C9276, ""en"", ""te""),"""")"),"")</f>
        <v/>
      </c>
      <c r="E9276" s="2" t="s">
        <v>5313</v>
      </c>
      <c r="F9276" s="2" t="str">
        <f>IFERROR(__xludf.DUMMYFUNCTION("IF(E9276&lt;&gt;"""", GOOGLETRANSLATE(E9276, ""en"", ""te""),"""")"),"[ '28 మోస్ట్ వంద (1811) లేకుండా ఒక వృత్తిలో పరుగులు' 'మొదటి డక్ ముందు 2 వ అత్యంత ఇన్నింగ్స్ (70)', 'ఒక డక్ లేకుండా 30 వ వరుస ఇన్నింగ్స్ (70)', 'కెరీర్ లో 5 వ అతి తక్కువ బాతులు (74) ']")</f>
        <v>[ '28 మోస్ట్ వంద (1811) లేకుండా ఒక వృత్తిలో పరుగులు' 'మొదటి డక్ ముందు 2 వ అత్యంత ఇన్నింగ్స్ (70)', 'ఒక డక్ లేకుండా 30 వ వరుస ఇన్నింగ్స్ (70)', 'కెరీర్ లో 5 వ అతి తక్కువ బాతులు (74) ']</v>
      </c>
      <c r="G9276" s="2" t="s">
        <v>5314</v>
      </c>
      <c r="H9276" s="2" t="str">
        <f>IFERROR(__xludf.DUMMYFUNCTION("IF(G9276&lt;&gt;"""", GOOGLETRANSLATE(G9276, ""en"", ""te""),"""")"),"[ '41 వ ఇన్నింగ్స్ లో అత్యధిక పరుగులు (బ్యాటింగ్ స్థానంలో ప్రకారం) (61)', 'ఇన్నింగ్స్ లో 46 వ అత్యధిక స్ట్రైక్ రేట్ (278.57)', 'మొదటి డక్ ముందు, 7 వ అత్యంత ఇన్నింగ్స్ (38)', '27 వ వరుస ఒక లేకుండా ఇన్నింగ్స్ కెరీర్లో డక్ (38) ',' 19 వ అతి తక్కువ బాతులు (2"&amp;"8) ',' 16 వ ఇన్నింగ్స్ లో బెస్ట్ ఫిగర్స్ (5/13) ',' ఇన్నింగ్స్ లో 11 వ అత్యుత్తమ బౌలింగ్ విశ్లేషణలు (5/13) ',' 30 వ అత్యధిక వికెట్లు ఒకే నేలపై (12) ',' 16 వ ఉత్తమ కెరీర్ ఆర్థిక రేటు (6.51) ',' 16 వ అత్యంత నాలుగు వికెట్లు-ఇన్-ఒక-ఇన్నింగ్స్ కెరీర్లో (2) ',"&amp;"' 45 వ బౌలర్ / ఫీల్డర్ కలయికలు (6) ' '14 వ అత్యధిక వికెట్లు తీసుకున్న ఎల్బిడబ్ల్యు (7)', '17 వ అత్యధిక వికెట్లు స్టంప్ తీసుకోకూడదు (5)', 'ఐదవ వికెట్కు 6 వ అత్యధిక భాగస్వామ్యం (98)', 'ఆరవ వికెట్కు 17 అత్యధిక భాగస్వామ్యం (74)', ' కెరీర్లో 46 వ అత్యధిక మ్యాచ"&amp;"్లు (64) ',' బృందం (31) కోసం 39 వ వరుస మ్యాచ్లు ']")</f>
        <v>[ '41 వ ఇన్నింగ్స్ లో అత్యధిక పరుగులు (బ్యాటింగ్ స్థానంలో ప్రకారం) (61)', 'ఇన్నింగ్స్ లో 46 వ అత్యధిక స్ట్రైక్ రేట్ (278.57)', 'మొదటి డక్ ముందు, 7 వ అత్యంత ఇన్నింగ్స్ (38)', '27 వ వరుస ఒక లేకుండా ఇన్నింగ్స్ కెరీర్లో డక్ (38) ',' 19 వ అతి తక్కువ బాతులు (28) ',' 16 వ ఇన్నింగ్స్ లో బెస్ట్ ఫిగర్స్ (5/13) ',' ఇన్నింగ్స్ లో 11 వ అత్యుత్తమ బౌలింగ్ విశ్లేషణలు (5/13) ',' 30 వ అత్యధిక వికెట్లు ఒకే నేలపై (12) ',' 16 వ ఉత్తమ కెరీర్ ఆర్థిక రేటు (6.51) ',' 16 వ అత్యంత నాలుగు వికెట్లు-ఇన్-ఒక-ఇన్నింగ్స్ కెరీర్లో (2) ',' 45 వ బౌలర్ / ఫీల్డర్ కలయికలు (6) ' '14 వ అత్యధిక వికెట్లు తీసుకున్న ఎల్బిడబ్ల్యు (7)', '17 వ అత్యధిక వికెట్లు స్టంప్ తీసుకోకూడదు (5)', 'ఐదవ వికెట్కు 6 వ అత్యధిక భాగస్వామ్యం (98)', 'ఆరవ వికెట్కు 17 అత్యధిక భాగస్వామ్యం (74)', ' కెరీర్లో 46 వ అత్యధిక మ్యాచ్లు (64) ',' బృందం (31) కోసం 39 వ వరుస మ్యాచ్లు ']</v>
      </c>
      <c r="I9276" s="3"/>
    </row>
    <row r="9277" customHeight="1" spans="1:9">
      <c r="A9277" s="2"/>
      <c r="B9277" s="2" t="str">
        <f>IFERROR(__xludf.DUMMYFUNCTION("IF(A9277&lt;&gt;"""", GOOGLETRANSLATE(A9277, ""en"", ""te""),"""")"),"")</f>
        <v/>
      </c>
      <c r="C9277" s="2"/>
      <c r="D9277" s="2" t="str">
        <f>IFERROR(__xludf.DUMMYFUNCTION("IF(C9277&lt;&gt;"""", GOOGLETRANSLATE(C9277, ""en"", ""te""),"""")"),"")</f>
        <v/>
      </c>
      <c r="E9277" s="2"/>
      <c r="F9277" s="2" t="str">
        <f>IFERROR(__xludf.DUMMYFUNCTION("IF(E9277&lt;&gt;"""", GOOGLETRANSLATE(E9277, ""en"", ""te""),"""")"),"")</f>
        <v/>
      </c>
      <c r="G9277" s="2"/>
      <c r="H9277" s="2" t="str">
        <f>IFERROR(__xludf.DUMMYFUNCTION("IF(G9277&lt;&gt;"""", GOOGLETRANSLATE(G9277, ""en"", ""te""),"""")"),"")</f>
        <v/>
      </c>
      <c r="I9277" s="3"/>
    </row>
    <row r="9278" customHeight="1" spans="1:9">
      <c r="A9278" s="2"/>
      <c r="B9278" s="2" t="str">
        <f>IFERROR(__xludf.DUMMYFUNCTION("IF(A9278&lt;&gt;"""", GOOGLETRANSLATE(A9278, ""en"", ""te""),"""")"),"")</f>
        <v/>
      </c>
      <c r="C9278" s="2"/>
      <c r="D9278" s="2" t="str">
        <f>IFERROR(__xludf.DUMMYFUNCTION("IF(C9278&lt;&gt;"""", GOOGLETRANSLATE(C9278, ""en"", ""te""),"""")"),"")</f>
        <v/>
      </c>
      <c r="E9278" s="2"/>
      <c r="F9278" s="2" t="str">
        <f>IFERROR(__xludf.DUMMYFUNCTION("IF(E9278&lt;&gt;"""", GOOGLETRANSLATE(E9278, ""en"", ""te""),"""")"),"")</f>
        <v/>
      </c>
      <c r="G9278" s="2"/>
      <c r="H9278" s="2" t="str">
        <f>IFERROR(__xludf.DUMMYFUNCTION("IF(G9278&lt;&gt;"""", GOOGLETRANSLATE(G9278, ""en"", ""te""),"""")"),"")</f>
        <v/>
      </c>
      <c r="I9278" s="3"/>
    </row>
    <row r="9279" customHeight="1" spans="1:9">
      <c r="A9279" s="2"/>
      <c r="B9279" s="2" t="str">
        <f>IFERROR(__xludf.DUMMYFUNCTION("IF(A9279&lt;&gt;"""", GOOGLETRANSLATE(A9279, ""en"", ""te""),"""")"),"")</f>
        <v/>
      </c>
      <c r="C9279" s="2"/>
      <c r="D9279" s="2" t="str">
        <f>IFERROR(__xludf.DUMMYFUNCTION("IF(C9279&lt;&gt;"""", GOOGLETRANSLATE(C9279, ""en"", ""te""),"""")"),"")</f>
        <v/>
      </c>
      <c r="E9279" s="2"/>
      <c r="F9279" s="2" t="str">
        <f>IFERROR(__xludf.DUMMYFUNCTION("IF(E9279&lt;&gt;"""", GOOGLETRANSLATE(E9279, ""en"", ""te""),"""")"),"")</f>
        <v/>
      </c>
      <c r="G9279" s="2"/>
      <c r="H9279" s="2" t="str">
        <f>IFERROR(__xludf.DUMMYFUNCTION("IF(G9279&lt;&gt;"""", GOOGLETRANSLATE(G9279, ""en"", ""te""),"""")"),"")</f>
        <v/>
      </c>
      <c r="I9279" s="3"/>
    </row>
    <row r="9280" customHeight="1" spans="1:9">
      <c r="A9280" s="2"/>
      <c r="B9280" s="2" t="str">
        <f>IFERROR(__xludf.DUMMYFUNCTION("IF(A9280&lt;&gt;"""", GOOGLETRANSLATE(A9280, ""en"", ""te""),"""")"),"")</f>
        <v/>
      </c>
      <c r="C9280" s="2"/>
      <c r="D9280" s="2" t="str">
        <f>IFERROR(__xludf.DUMMYFUNCTION("IF(C9280&lt;&gt;"""", GOOGLETRANSLATE(C9280, ""en"", ""te""),"""")"),"")</f>
        <v/>
      </c>
      <c r="E9280" s="2"/>
      <c r="F9280" s="2" t="str">
        <f>IFERROR(__xludf.DUMMYFUNCTION("IF(E9280&lt;&gt;"""", GOOGLETRANSLATE(E9280, ""en"", ""te""),"""")"),"")</f>
        <v/>
      </c>
      <c r="G9280" s="2"/>
      <c r="H9280" s="2" t="str">
        <f>IFERROR(__xludf.DUMMYFUNCTION("IF(G9280&lt;&gt;"""", GOOGLETRANSLATE(G9280, ""en"", ""te""),"""")"),"")</f>
        <v/>
      </c>
      <c r="I9280" s="3"/>
    </row>
    <row r="9281" customHeight="1" spans="1:9">
      <c r="A9281" s="2" t="s">
        <v>5315</v>
      </c>
      <c r="B9281" s="2" t="str">
        <f>IFERROR(__xludf.DUMMYFUNCTION("IF(A9281&lt;&gt;"""", GOOGLETRANSLATE(A9281, ""en"", ""te""),"""")"),"[ '2nd పిన్న ఆటగాడు వంద (17y 242d) స్కోర్']")</f>
        <v>[ '2nd పిన్న ఆటగాడు వంద (17y 242d) స్కోర్']</v>
      </c>
      <c r="C9281" s="2"/>
      <c r="D9281" s="2" t="str">
        <f>IFERROR(__xludf.DUMMYFUNCTION("IF(C9281&lt;&gt;"""", GOOGLETRANSLATE(C9281, ""en"", ""te""),"""")"),"")</f>
        <v/>
      </c>
      <c r="E9281" s="2" t="s">
        <v>5316</v>
      </c>
      <c r="F9281" s="2" t="str">
        <f>IFERROR(__xludf.DUMMYFUNCTION("IF(E9281&lt;&gt;"""", GOOGLETRANSLATE(E9281, ""en"", ""te""),"""")"),"[ '48 వ తొలి మ్యాచ్లో అత్యధిక పరుగులు (70)', '2 వ పిన్న ఆటగాడు వంద (17y 242d) స్కోర్', '35 వ పిన్న క్రీడాకారులు (17y 162d)']")</f>
        <v>[ '48 వ తొలి మ్యాచ్లో అత్యధిక పరుగులు (70)', '2 వ పిన్న ఆటగాడు వంద (17y 242d) స్కోర్', '35 వ పిన్న క్రీడాకారులు (17y 162d)']</v>
      </c>
      <c r="G9281" s="2" t="s">
        <v>5317</v>
      </c>
      <c r="H9281" s="2" t="str">
        <f>IFERROR(__xludf.DUMMYFUNCTION("IF(G9281&lt;&gt;"""", GOOGLETRANSLATE(G9281, ""en"", ""te""),"""")"),"[ 'కెరీర్లో 17 వ లేవు బాతులు (23)', 'రెండవ వికెట్ (102) 50 వ అత్యధిక భాగస్వామ్యం']")</f>
        <v>[ 'కెరీర్లో 17 వ లేవు బాతులు (23)', 'రెండవ వికెట్ (102) 50 వ అత్యధిక భాగస్వామ్యం']</v>
      </c>
      <c r="I9281" s="3"/>
    </row>
    <row r="9282" customHeight="1" spans="1:9">
      <c r="A9282" s="2"/>
      <c r="B9282" s="2" t="str">
        <f>IFERROR(__xludf.DUMMYFUNCTION("IF(A9282&lt;&gt;"""", GOOGLETRANSLATE(A9282, ""en"", ""te""),"""")"),"")</f>
        <v/>
      </c>
      <c r="C9282" s="2" t="s">
        <v>5318</v>
      </c>
      <c r="D9282" s="2" t="str">
        <f>IFERROR(__xludf.DUMMYFUNCTION("IF(C9282&lt;&gt;"""", GOOGLETRANSLATE(C9282, ""en"", ""te""),"""")"),"[ '24 వ పిన్న క్రీడాకారులు (17y 164)']")</f>
        <v>[ '24 వ పిన్న క్రీడాకారులు (17y 164)']</v>
      </c>
      <c r="E9282" s="2"/>
      <c r="F9282" s="2" t="str">
        <f>IFERROR(__xludf.DUMMYFUNCTION("IF(E9282&lt;&gt;"""", GOOGLETRANSLATE(E9282, ""en"", ""te""),"""")"),"")</f>
        <v/>
      </c>
      <c r="G9282" s="2"/>
      <c r="H9282" s="2" t="str">
        <f>IFERROR(__xludf.DUMMYFUNCTION("IF(G9282&lt;&gt;"""", GOOGLETRANSLATE(G9282, ""en"", ""te""),"""")"),"")</f>
        <v/>
      </c>
      <c r="I9282" s="3"/>
    </row>
    <row r="9283" customHeight="1" spans="1:9">
      <c r="A9283" s="2"/>
      <c r="B9283" s="2" t="str">
        <f>IFERROR(__xludf.DUMMYFUNCTION("IF(A9283&lt;&gt;"""", GOOGLETRANSLATE(A9283, ""en"", ""te""),"""")"),"")</f>
        <v/>
      </c>
      <c r="C9283" s="2"/>
      <c r="D9283" s="2" t="str">
        <f>IFERROR(__xludf.DUMMYFUNCTION("IF(C9283&lt;&gt;"""", GOOGLETRANSLATE(C9283, ""en"", ""te""),"""")"),"")</f>
        <v/>
      </c>
      <c r="E9283" s="2"/>
      <c r="F9283" s="2" t="str">
        <f>IFERROR(__xludf.DUMMYFUNCTION("IF(E9283&lt;&gt;"""", GOOGLETRANSLATE(E9283, ""en"", ""te""),"""")"),"")</f>
        <v/>
      </c>
      <c r="G9283" s="2"/>
      <c r="H9283" s="2" t="str">
        <f>IFERROR(__xludf.DUMMYFUNCTION("IF(G9283&lt;&gt;"""", GOOGLETRANSLATE(G9283, ""en"", ""te""),"""")"),"")</f>
        <v/>
      </c>
      <c r="I9283" s="3"/>
    </row>
    <row r="9284" customHeight="1" spans="1:9">
      <c r="A9284" s="2"/>
      <c r="B9284" s="2" t="str">
        <f>IFERROR(__xludf.DUMMYFUNCTION("IF(A9284&lt;&gt;"""", GOOGLETRANSLATE(A9284, ""en"", ""te""),"""")"),"")</f>
        <v/>
      </c>
      <c r="C9284" s="2"/>
      <c r="D9284" s="2" t="str">
        <f>IFERROR(__xludf.DUMMYFUNCTION("IF(C9284&lt;&gt;"""", GOOGLETRANSLATE(C9284, ""en"", ""te""),"""")"),"")</f>
        <v/>
      </c>
      <c r="E9284" s="2"/>
      <c r="F9284" s="2" t="str">
        <f>IFERROR(__xludf.DUMMYFUNCTION("IF(E9284&lt;&gt;"""", GOOGLETRANSLATE(E9284, ""en"", ""te""),"""")"),"")</f>
        <v/>
      </c>
      <c r="G9284" s="2"/>
      <c r="H9284" s="2" t="str">
        <f>IFERROR(__xludf.DUMMYFUNCTION("IF(G9284&lt;&gt;"""", GOOGLETRANSLATE(G9284, ""en"", ""te""),"""")"),"")</f>
        <v/>
      </c>
      <c r="I9284" s="3"/>
    </row>
    <row r="9285" customHeight="1" spans="1:9">
      <c r="A9285" s="2"/>
      <c r="B9285" s="2" t="str">
        <f>IFERROR(__xludf.DUMMYFUNCTION("IF(A9285&lt;&gt;"""", GOOGLETRANSLATE(A9285, ""en"", ""te""),"""")"),"")</f>
        <v/>
      </c>
      <c r="C9285" s="2"/>
      <c r="D9285" s="2" t="str">
        <f>IFERROR(__xludf.DUMMYFUNCTION("IF(C9285&lt;&gt;"""", GOOGLETRANSLATE(C9285, ""en"", ""te""),"""")"),"")</f>
        <v/>
      </c>
      <c r="E9285" s="2"/>
      <c r="F9285" s="2" t="str">
        <f>IFERROR(__xludf.DUMMYFUNCTION("IF(E9285&lt;&gt;"""", GOOGLETRANSLATE(E9285, ""en"", ""te""),"""")"),"")</f>
        <v/>
      </c>
      <c r="G9285" s="2"/>
      <c r="H9285" s="2" t="str">
        <f>IFERROR(__xludf.DUMMYFUNCTION("IF(G9285&lt;&gt;"""", GOOGLETRANSLATE(G9285, ""en"", ""te""),"""")"),"")</f>
        <v/>
      </c>
      <c r="I9285" s="3"/>
    </row>
    <row r="9286" customHeight="1" spans="1:9">
      <c r="A9286" s="2"/>
      <c r="B9286" s="2" t="str">
        <f>IFERROR(__xludf.DUMMYFUNCTION("IF(A9286&lt;&gt;"""", GOOGLETRANSLATE(A9286, ""en"", ""te""),"""")"),"")</f>
        <v/>
      </c>
      <c r="C9286" s="2"/>
      <c r="D9286" s="2" t="str">
        <f>IFERROR(__xludf.DUMMYFUNCTION("IF(C9286&lt;&gt;"""", GOOGLETRANSLATE(C9286, ""en"", ""te""),"""")"),"")</f>
        <v/>
      </c>
      <c r="E9286" s="2"/>
      <c r="F9286" s="2" t="str">
        <f>IFERROR(__xludf.DUMMYFUNCTION("IF(E9286&lt;&gt;"""", GOOGLETRANSLATE(E9286, ""en"", ""te""),"""")"),"")</f>
        <v/>
      </c>
      <c r="G9286" s="2"/>
      <c r="H9286" s="2" t="str">
        <f>IFERROR(__xludf.DUMMYFUNCTION("IF(G9286&lt;&gt;"""", GOOGLETRANSLATE(G9286, ""en"", ""te""),"""")"),"")</f>
        <v/>
      </c>
      <c r="I9286" s="3"/>
    </row>
    <row r="9287" customHeight="1" spans="1:9">
      <c r="A9287" s="2"/>
      <c r="B9287" s="2" t="str">
        <f>IFERROR(__xludf.DUMMYFUNCTION("IF(A9287&lt;&gt;"""", GOOGLETRANSLATE(A9287, ""en"", ""te""),"""")"),"")</f>
        <v/>
      </c>
      <c r="C9287" s="2"/>
      <c r="D9287" s="2" t="str">
        <f>IFERROR(__xludf.DUMMYFUNCTION("IF(C9287&lt;&gt;"""", GOOGLETRANSLATE(C9287, ""en"", ""te""),"""")"),"")</f>
        <v/>
      </c>
      <c r="E9287" s="2"/>
      <c r="F9287" s="2" t="str">
        <f>IFERROR(__xludf.DUMMYFUNCTION("IF(E9287&lt;&gt;"""", GOOGLETRANSLATE(E9287, ""en"", ""te""),"""")"),"")</f>
        <v/>
      </c>
      <c r="G9287" s="2"/>
      <c r="H9287" s="2" t="str">
        <f>IFERROR(__xludf.DUMMYFUNCTION("IF(G9287&lt;&gt;"""", GOOGLETRANSLATE(G9287, ""en"", ""te""),"""")"),"")</f>
        <v/>
      </c>
      <c r="I9287" s="3"/>
    </row>
    <row r="9288" customHeight="1" spans="1:9">
      <c r="A9288" s="2"/>
      <c r="B9288" s="2" t="str">
        <f>IFERROR(__xludf.DUMMYFUNCTION("IF(A9288&lt;&gt;"""", GOOGLETRANSLATE(A9288, ""en"", ""te""),"""")"),"")</f>
        <v/>
      </c>
      <c r="C9288" s="2"/>
      <c r="D9288" s="2" t="str">
        <f>IFERROR(__xludf.DUMMYFUNCTION("IF(C9288&lt;&gt;"""", GOOGLETRANSLATE(C9288, ""en"", ""te""),"""")"),"")</f>
        <v/>
      </c>
      <c r="E9288" s="2"/>
      <c r="F9288" s="2" t="str">
        <f>IFERROR(__xludf.DUMMYFUNCTION("IF(E9288&lt;&gt;"""", GOOGLETRANSLATE(E9288, ""en"", ""te""),"""")"),"")</f>
        <v/>
      </c>
      <c r="G9288" s="2"/>
      <c r="H9288" s="2" t="str">
        <f>IFERROR(__xludf.DUMMYFUNCTION("IF(G9288&lt;&gt;"""", GOOGLETRANSLATE(G9288, ""en"", ""te""),"""")"),"")</f>
        <v/>
      </c>
      <c r="I9288" s="3"/>
    </row>
    <row r="9289" customHeight="1" spans="1:9">
      <c r="A9289" s="2"/>
      <c r="B9289" s="2" t="str">
        <f>IFERROR(__xludf.DUMMYFUNCTION("IF(A9289&lt;&gt;"""", GOOGLETRANSLATE(A9289, ""en"", ""te""),"""")"),"")</f>
        <v/>
      </c>
      <c r="C9289" s="2"/>
      <c r="D9289" s="2" t="str">
        <f>IFERROR(__xludf.DUMMYFUNCTION("IF(C9289&lt;&gt;"""", GOOGLETRANSLATE(C9289, ""en"", ""te""),"""")"),"")</f>
        <v/>
      </c>
      <c r="E9289" s="2"/>
      <c r="F9289" s="2" t="str">
        <f>IFERROR(__xludf.DUMMYFUNCTION("IF(E9289&lt;&gt;"""", GOOGLETRANSLATE(E9289, ""en"", ""te""),"""")"),"")</f>
        <v/>
      </c>
      <c r="G9289" s="2"/>
      <c r="H9289" s="2" t="str">
        <f>IFERROR(__xludf.DUMMYFUNCTION("IF(G9289&lt;&gt;"""", GOOGLETRANSLATE(G9289, ""en"", ""te""),"""")"),"")</f>
        <v/>
      </c>
      <c r="I9289" s="3"/>
    </row>
    <row r="9290" customHeight="1" spans="1:9">
      <c r="A9290" s="2"/>
      <c r="B9290" s="2" t="str">
        <f>IFERROR(__xludf.DUMMYFUNCTION("IF(A9290&lt;&gt;"""", GOOGLETRANSLATE(A9290, ""en"", ""te""),"""")"),"")</f>
        <v/>
      </c>
      <c r="C9290" s="2"/>
      <c r="D9290" s="2" t="str">
        <f>IFERROR(__xludf.DUMMYFUNCTION("IF(C9290&lt;&gt;"""", GOOGLETRANSLATE(C9290, ""en"", ""te""),"""")"),"")</f>
        <v/>
      </c>
      <c r="E9290" s="2"/>
      <c r="F9290" s="2" t="str">
        <f>IFERROR(__xludf.DUMMYFUNCTION("IF(E9290&lt;&gt;"""", GOOGLETRANSLATE(E9290, ""en"", ""te""),"""")"),"")</f>
        <v/>
      </c>
      <c r="G9290" s="2"/>
      <c r="H9290" s="2" t="str">
        <f>IFERROR(__xludf.DUMMYFUNCTION("IF(G9290&lt;&gt;"""", GOOGLETRANSLATE(G9290, ""en"", ""te""),"""")"),"")</f>
        <v/>
      </c>
      <c r="I9290" s="3"/>
    </row>
    <row r="9291" customHeight="1" spans="1:9">
      <c r="A9291" s="2"/>
      <c r="B9291" s="2" t="str">
        <f>IFERROR(__xludf.DUMMYFUNCTION("IF(A9291&lt;&gt;"""", GOOGLETRANSLATE(A9291, ""en"", ""te""),"""")"),"")</f>
        <v/>
      </c>
      <c r="C9291" s="2"/>
      <c r="D9291" s="2" t="str">
        <f>IFERROR(__xludf.DUMMYFUNCTION("IF(C9291&lt;&gt;"""", GOOGLETRANSLATE(C9291, ""en"", ""te""),"""")"),"")</f>
        <v/>
      </c>
      <c r="E9291" s="2"/>
      <c r="F9291" s="2" t="str">
        <f>IFERROR(__xludf.DUMMYFUNCTION("IF(E9291&lt;&gt;"""", GOOGLETRANSLATE(E9291, ""en"", ""te""),"""")"),"")</f>
        <v/>
      </c>
      <c r="G9291" s="2"/>
      <c r="H9291" s="2" t="str">
        <f>IFERROR(__xludf.DUMMYFUNCTION("IF(G9291&lt;&gt;"""", GOOGLETRANSLATE(G9291, ""en"", ""te""),"""")"),"")</f>
        <v/>
      </c>
      <c r="I9291" s="3"/>
    </row>
    <row r="9292" customHeight="1" spans="1:9">
      <c r="A9292" s="2"/>
      <c r="B9292" s="2" t="str">
        <f>IFERROR(__xludf.DUMMYFUNCTION("IF(A9292&lt;&gt;"""", GOOGLETRANSLATE(A9292, ""en"", ""te""),"""")"),"")</f>
        <v/>
      </c>
      <c r="C9292" s="2"/>
      <c r="D9292" s="2" t="str">
        <f>IFERROR(__xludf.DUMMYFUNCTION("IF(C9292&lt;&gt;"""", GOOGLETRANSLATE(C9292, ""en"", ""te""),"""")"),"")</f>
        <v/>
      </c>
      <c r="E9292" s="2"/>
      <c r="F9292" s="2" t="str">
        <f>IFERROR(__xludf.DUMMYFUNCTION("IF(E9292&lt;&gt;"""", GOOGLETRANSLATE(E9292, ""en"", ""te""),"""")"),"")</f>
        <v/>
      </c>
      <c r="G9292" s="2"/>
      <c r="H9292" s="2" t="str">
        <f>IFERROR(__xludf.DUMMYFUNCTION("IF(G9292&lt;&gt;"""", GOOGLETRANSLATE(G9292, ""en"", ""te""),"""")"),"")</f>
        <v/>
      </c>
      <c r="I9292" s="3"/>
    </row>
    <row r="9293" customHeight="1" spans="1:9">
      <c r="A9293" s="2"/>
      <c r="B9293" s="2" t="str">
        <f>IFERROR(__xludf.DUMMYFUNCTION("IF(A9293&lt;&gt;"""", GOOGLETRANSLATE(A9293, ""en"", ""te""),"""")"),"")</f>
        <v/>
      </c>
      <c r="C9293" s="2"/>
      <c r="D9293" s="2" t="str">
        <f>IFERROR(__xludf.DUMMYFUNCTION("IF(C9293&lt;&gt;"""", GOOGLETRANSLATE(C9293, ""en"", ""te""),"""")"),"")</f>
        <v/>
      </c>
      <c r="E9293" s="2"/>
      <c r="F9293" s="2" t="str">
        <f>IFERROR(__xludf.DUMMYFUNCTION("IF(E9293&lt;&gt;"""", GOOGLETRANSLATE(E9293, ""en"", ""te""),"""")"),"")</f>
        <v/>
      </c>
      <c r="G9293" s="2"/>
      <c r="H9293" s="2" t="str">
        <f>IFERROR(__xludf.DUMMYFUNCTION("IF(G9293&lt;&gt;"""", GOOGLETRANSLATE(G9293, ""en"", ""te""),"""")"),"")</f>
        <v/>
      </c>
      <c r="I9293" s="3"/>
    </row>
    <row r="9294" customHeight="1" spans="1:9">
      <c r="A9294" s="2"/>
      <c r="B9294" s="2" t="str">
        <f>IFERROR(__xludf.DUMMYFUNCTION("IF(A9294&lt;&gt;"""", GOOGLETRANSLATE(A9294, ""en"", ""te""),"""")"),"")</f>
        <v/>
      </c>
      <c r="C9294" s="2"/>
      <c r="D9294" s="2" t="str">
        <f>IFERROR(__xludf.DUMMYFUNCTION("IF(C9294&lt;&gt;"""", GOOGLETRANSLATE(C9294, ""en"", ""te""),"""")"),"")</f>
        <v/>
      </c>
      <c r="E9294" s="2"/>
      <c r="F9294" s="2" t="str">
        <f>IFERROR(__xludf.DUMMYFUNCTION("IF(E9294&lt;&gt;"""", GOOGLETRANSLATE(E9294, ""en"", ""te""),"""")"),"")</f>
        <v/>
      </c>
      <c r="G9294" s="2"/>
      <c r="H9294" s="2" t="str">
        <f>IFERROR(__xludf.DUMMYFUNCTION("IF(G9294&lt;&gt;"""", GOOGLETRANSLATE(G9294, ""en"", ""te""),"""")"),"")</f>
        <v/>
      </c>
      <c r="I9294" s="3"/>
    </row>
    <row r="9295" customHeight="1" spans="1:9">
      <c r="A9295" s="2"/>
      <c r="B9295" s="2" t="str">
        <f>IFERROR(__xludf.DUMMYFUNCTION("IF(A9295&lt;&gt;"""", GOOGLETRANSLATE(A9295, ""en"", ""te""),"""")"),"")</f>
        <v/>
      </c>
      <c r="C9295" s="2"/>
      <c r="D9295" s="2" t="str">
        <f>IFERROR(__xludf.DUMMYFUNCTION("IF(C9295&lt;&gt;"""", GOOGLETRANSLATE(C9295, ""en"", ""te""),"""")"),"")</f>
        <v/>
      </c>
      <c r="E9295" s="2"/>
      <c r="F9295" s="2" t="str">
        <f>IFERROR(__xludf.DUMMYFUNCTION("IF(E9295&lt;&gt;"""", GOOGLETRANSLATE(E9295, ""en"", ""te""),"""")"),"")</f>
        <v/>
      </c>
      <c r="G9295" s="2"/>
      <c r="H9295" s="2" t="str">
        <f>IFERROR(__xludf.DUMMYFUNCTION("IF(G9295&lt;&gt;"""", GOOGLETRANSLATE(G9295, ""en"", ""te""),"""")"),"")</f>
        <v/>
      </c>
      <c r="I9295" s="3"/>
    </row>
    <row r="9296" customHeight="1" spans="1:9">
      <c r="A9296" s="2"/>
      <c r="B9296" s="2" t="str">
        <f>IFERROR(__xludf.DUMMYFUNCTION("IF(A9296&lt;&gt;"""", GOOGLETRANSLATE(A9296, ""en"", ""te""),"""")"),"")</f>
        <v/>
      </c>
      <c r="C9296" s="2"/>
      <c r="D9296" s="2" t="str">
        <f>IFERROR(__xludf.DUMMYFUNCTION("IF(C9296&lt;&gt;"""", GOOGLETRANSLATE(C9296, ""en"", ""te""),"""")"),"")</f>
        <v/>
      </c>
      <c r="E9296" s="2"/>
      <c r="F9296" s="2" t="str">
        <f>IFERROR(__xludf.DUMMYFUNCTION("IF(E9296&lt;&gt;"""", GOOGLETRANSLATE(E9296, ""en"", ""te""),"""")"),"")</f>
        <v/>
      </c>
      <c r="G9296" s="2"/>
      <c r="H9296" s="2" t="str">
        <f>IFERROR(__xludf.DUMMYFUNCTION("IF(G9296&lt;&gt;"""", GOOGLETRANSLATE(G9296, ""en"", ""te""),"""")"),"")</f>
        <v/>
      </c>
      <c r="I9296" s="3"/>
    </row>
    <row r="9297" customHeight="1" spans="1:9">
      <c r="A9297" s="2"/>
      <c r="B9297" s="2" t="str">
        <f>IFERROR(__xludf.DUMMYFUNCTION("IF(A9297&lt;&gt;"""", GOOGLETRANSLATE(A9297, ""en"", ""te""),"""")"),"")</f>
        <v/>
      </c>
      <c r="C9297" s="2"/>
      <c r="D9297" s="2" t="str">
        <f>IFERROR(__xludf.DUMMYFUNCTION("IF(C9297&lt;&gt;"""", GOOGLETRANSLATE(C9297, ""en"", ""te""),"""")"),"")</f>
        <v/>
      </c>
      <c r="E9297" s="2"/>
      <c r="F9297" s="2" t="str">
        <f>IFERROR(__xludf.DUMMYFUNCTION("IF(E9297&lt;&gt;"""", GOOGLETRANSLATE(E9297, ""en"", ""te""),"""")"),"")</f>
        <v/>
      </c>
      <c r="G9297" s="2"/>
      <c r="H9297" s="2" t="str">
        <f>IFERROR(__xludf.DUMMYFUNCTION("IF(G9297&lt;&gt;"""", GOOGLETRANSLATE(G9297, ""en"", ""te""),"""")"),"")</f>
        <v/>
      </c>
      <c r="I9297" s="3"/>
    </row>
    <row r="9298" customHeight="1" spans="1:9">
      <c r="A9298" s="2" t="s">
        <v>435</v>
      </c>
      <c r="B9298" s="2" t="str">
        <f>IFERROR(__xludf.DUMMYFUNCTION("IF(A9298&lt;&gt;"""", GOOGLETRANSLATE(A9298, ""en"", ""te""),"""")"),"[ '1st వరుస బాతులు (3)']")</f>
        <v>[ '1st వరుస బాతులు (3)']</v>
      </c>
      <c r="C9298" s="2"/>
      <c r="D9298" s="2" t="str">
        <f>IFERROR(__xludf.DUMMYFUNCTION("IF(C9298&lt;&gt;"""", GOOGLETRANSLATE(C9298, ""en"", ""te""),"""")"),"")</f>
        <v/>
      </c>
      <c r="E9298" s="2"/>
      <c r="F9298" s="2" t="str">
        <f>IFERROR(__xludf.DUMMYFUNCTION("IF(E9298&lt;&gt;"""", GOOGLETRANSLATE(E9298, ""en"", ""te""),"""")"),"")</f>
        <v/>
      </c>
      <c r="G9298" s="2" t="s">
        <v>5319</v>
      </c>
      <c r="H9298" s="2" t="str">
        <f>IFERROR(__xludf.DUMMYFUNCTION("IF(G9298&lt;&gt;"""", GOOGLETRANSLATE(G9298, ""en"", ""te""),"""")"),"[ '1st వరుస బాతులు (3)', '18 వ చెత్త కెరీర్ సగటు (అర్హత లేకుండా) (84.66) బౌలింగ్' 'ఇన్నింగ్స్ లో సాధించిన 39 వ అత్యధిక పరుగులు (45)']")</f>
        <v>[ '1st వరుస బాతులు (3)', '18 వ చెత్త కెరీర్ సగటు (అర్హత లేకుండా) (84.66) బౌలింగ్' 'ఇన్నింగ్స్ లో సాధించిన 39 వ అత్యధిక పరుగులు (45)']</v>
      </c>
      <c r="I9298" s="3"/>
    </row>
    <row r="9299" customHeight="1" spans="1:9">
      <c r="A9299" s="2"/>
      <c r="B9299" s="2" t="str">
        <f>IFERROR(__xludf.DUMMYFUNCTION("IF(A9299&lt;&gt;"""", GOOGLETRANSLATE(A9299, ""en"", ""te""),"""")"),"")</f>
        <v/>
      </c>
      <c r="C9299" s="2"/>
      <c r="D9299" s="2" t="str">
        <f>IFERROR(__xludf.DUMMYFUNCTION("IF(C9299&lt;&gt;"""", GOOGLETRANSLATE(C9299, ""en"", ""te""),"""")"),"")</f>
        <v/>
      </c>
      <c r="E9299" s="2"/>
      <c r="F9299" s="2" t="str">
        <f>IFERROR(__xludf.DUMMYFUNCTION("IF(E9299&lt;&gt;"""", GOOGLETRANSLATE(E9299, ""en"", ""te""),"""")"),"")</f>
        <v/>
      </c>
      <c r="G9299" s="2" t="s">
        <v>2866</v>
      </c>
      <c r="H9299" s="2" t="str">
        <f>IFERROR(__xludf.DUMMYFUNCTION("IF(G9299&lt;&gt;"""", GOOGLETRANSLATE(G9299, ""en"", ""te""),"""")"),"[ '20 వ అత్యంత ఇన్నింగ్స్ లో సాధించిన బైస్ (6)']")</f>
        <v>[ '20 వ అత్యంత ఇన్నింగ్స్ లో సాధించిన బైస్ (6)']</v>
      </c>
      <c r="I9299" s="3"/>
    </row>
    <row r="9300" customHeight="1" spans="1:9">
      <c r="A9300" s="2"/>
      <c r="B9300" s="2" t="str">
        <f>IFERROR(__xludf.DUMMYFUNCTION("IF(A9300&lt;&gt;"""", GOOGLETRANSLATE(A9300, ""en"", ""te""),"""")"),"")</f>
        <v/>
      </c>
      <c r="C9300" s="2"/>
      <c r="D9300" s="2" t="str">
        <f>IFERROR(__xludf.DUMMYFUNCTION("IF(C9300&lt;&gt;"""", GOOGLETRANSLATE(C9300, ""en"", ""te""),"""")"),"")</f>
        <v/>
      </c>
      <c r="E9300" s="2"/>
      <c r="F9300" s="2" t="str">
        <f>IFERROR(__xludf.DUMMYFUNCTION("IF(E9300&lt;&gt;"""", GOOGLETRANSLATE(E9300, ""en"", ""te""),"""")"),"")</f>
        <v/>
      </c>
      <c r="G9300" s="2" t="s">
        <v>5320</v>
      </c>
      <c r="H9300" s="2" t="str">
        <f>IFERROR(__xludf.DUMMYFUNCTION("IF(G9300&lt;&gt;"""", GOOGLETRANSLATE(G9300, ""en"", ""te""),"""")"),"[ '14 వ ఇన్నింగ్స్ లో అత్యధిక పరుగులు (బ్యాటింగ్ స్థానంలో ద్వారా) (29)']")</f>
        <v>[ '14 వ ఇన్నింగ్స్ లో అత్యధిక పరుగులు (బ్యాటింగ్ స్థానంలో ద్వారా) (29)']</v>
      </c>
      <c r="I9300" s="3"/>
    </row>
    <row r="9301" customHeight="1" spans="1:9">
      <c r="A9301" s="2" t="s">
        <v>5134</v>
      </c>
      <c r="B9301" s="2" t="str">
        <f>IFERROR(__xludf.DUMMYFUNCTION("IF(A9301&lt;&gt;"""", GOOGLETRANSLATE(A9301, ""en"", ""te""),"""")"),"[ '1st అత్యుత్తమ ఇన్నింగ్స్ (2/0) విశ్లేషణలలో బౌలింగ్']")</f>
        <v>[ '1st అత్యుత్తమ ఇన్నింగ్స్ (2/0) విశ్లేషణలలో బౌలింగ్']</v>
      </c>
      <c r="C9301" s="2"/>
      <c r="D9301" s="2" t="str">
        <f>IFERROR(__xludf.DUMMYFUNCTION("IF(C9301&lt;&gt;"""", GOOGLETRANSLATE(C9301, ""en"", ""te""),"""")"),"")</f>
        <v/>
      </c>
      <c r="E9301" s="2"/>
      <c r="F9301" s="2" t="str">
        <f>IFERROR(__xludf.DUMMYFUNCTION("IF(E9301&lt;&gt;"""", GOOGLETRANSLATE(E9301, ""en"", ""te""),"""")"),"")</f>
        <v/>
      </c>
      <c r="G9301" s="2" t="s">
        <v>5321</v>
      </c>
      <c r="H9301" s="2" t="str">
        <f>IFERROR(__xludf.DUMMYFUNCTION("IF(G9301&lt;&gt;"""", GOOGLETRANSLATE(G9301, ""en"", ""te""),"""")"),"[ '1st అత్యుత్తమ ఇన్నింగ్స్ లో బౌలింగ్ విశ్లేషణలు (2/0)', ​​'13 వ ఉత్తమ సమ్మె ఇన్నింగ్స్ లో రేటు (3.0)', 'మూడో వికెట్కు 33 వ అత్యధిక భాగస్వామ్యం (84)']")</f>
        <v>[ '1st అత్యుత్తమ ఇన్నింగ్స్ లో బౌలింగ్ విశ్లేషణలు (2/0)', ​​'13 వ ఉత్తమ సమ్మె ఇన్నింగ్స్ లో రేటు (3.0)', 'మూడో వికెట్కు 33 వ అత్యధిక భాగస్వామ్యం (84)']</v>
      </c>
      <c r="I9301" s="3"/>
    </row>
    <row r="9302" customHeight="1" spans="1:9">
      <c r="A9302" s="2"/>
      <c r="B9302" s="2" t="str">
        <f>IFERROR(__xludf.DUMMYFUNCTION("IF(A9302&lt;&gt;"""", GOOGLETRANSLATE(A9302, ""en"", ""te""),"""")"),"")</f>
        <v/>
      </c>
      <c r="C9302" s="2"/>
      <c r="D9302" s="2" t="str">
        <f>IFERROR(__xludf.DUMMYFUNCTION("IF(C9302&lt;&gt;"""", GOOGLETRANSLATE(C9302, ""en"", ""te""),"""")"),"")</f>
        <v/>
      </c>
      <c r="E9302" s="2"/>
      <c r="F9302" s="2" t="str">
        <f>IFERROR(__xludf.DUMMYFUNCTION("IF(E9302&lt;&gt;"""", GOOGLETRANSLATE(E9302, ""en"", ""te""),"""")"),"")</f>
        <v/>
      </c>
      <c r="G9302" s="2"/>
      <c r="H9302" s="2" t="str">
        <f>IFERROR(__xludf.DUMMYFUNCTION("IF(G9302&lt;&gt;"""", GOOGLETRANSLATE(G9302, ""en"", ""te""),"""")"),"")</f>
        <v/>
      </c>
      <c r="I9302" s="3"/>
    </row>
    <row r="9303" customHeight="1" spans="1:9">
      <c r="A9303" s="2" t="s">
        <v>4506</v>
      </c>
      <c r="B9303" s="2" t="str">
        <f>IFERROR(__xludf.DUMMYFUNCTION("IF(A9303&lt;&gt;"""", GOOGLETRANSLATE(A9303, ""en"", ""te""),"""")"),"[ 'ఒక ఇన్నింగ్స్ లో 8 వ బెస్ట్ ఫిగర్స్ ఉన్నప్పుడు పరాజయం వైపు (4)', '4 వ ఉత్తమ తొలి ఇన్నింగ్స్లో గణాంకాలు (4)']")</f>
        <v>[ 'ఒక ఇన్నింగ్స్ లో 8 వ బెస్ట్ ఫిగర్స్ ఉన్నప్పుడు పరాజయం వైపు (4)', '4 వ ఉత్తమ తొలి ఇన్నింగ్స్లో గణాంకాలు (4)']</v>
      </c>
      <c r="C9303" s="2"/>
      <c r="D9303" s="2" t="str">
        <f>IFERROR(__xludf.DUMMYFUNCTION("IF(C9303&lt;&gt;"""", GOOGLETRANSLATE(C9303, ""en"", ""te""),"""")"),"")</f>
        <v/>
      </c>
      <c r="E9303" s="2"/>
      <c r="F9303" s="2" t="str">
        <f>IFERROR(__xludf.DUMMYFUNCTION("IF(E9303&lt;&gt;"""", GOOGLETRANSLATE(E9303, ""en"", ""te""),"""")"),"")</f>
        <v/>
      </c>
      <c r="G9303" s="2" t="s">
        <v>5322</v>
      </c>
      <c r="H9303" s="2" t="str">
        <f>IFERROR(__xludf.DUMMYFUNCTION("IF(G9303&lt;&gt;"""", GOOGLETRANSLATE(G9303, ""en"", ""te""),"""")"),"[ '24 వ ఇన్నింగ్స్ లో అత్యధిక పరుగులు (111 *)', '18 వ ఇన్నింగ్స్ లో అత్యధిక పరుగులు (బ్యాటింగ్ స్థానంలో ప్రకారం) (111 *)', '42 వ ఎక్కువ సిక్స్ ఇన్నింగ్స్ లో (7)', '29 వ అత్యధిక ఫోర్లు పరుగులను ఇన్నింగ్స్ లో సిక్సర్లు (78) ',' ఒక ఇన్నింగ్స్లో పరుగుల 34 వ అ"&amp;"త్యధిక శాతం (57.51) ',' ఒక ఇన్నింగ్స్ లో 8 వ బెస్ట్ ఫిగర్స్ కూడా ఓడిపోయింది వైపు (4) ',' 4 న ఒక ఇన్నింగ్స్ లోని బెస్ట్ ఫిగర్స్ ప్రవేశించనుంది (4) ',' నాలుగవ వికెట్కు 47 వ అత్యధిక భాగస్వామ్యం (83) ']")</f>
        <v>[ '24 వ ఇన్నింగ్స్ లో అత్యధిక పరుగులు (111 *)', '18 వ ఇన్నింగ్స్ లో అత్యధిక పరుగులు (బ్యాటింగ్ స్థానంలో ప్రకారం) (111 *)', '42 వ ఎక్కువ సిక్స్ ఇన్నింగ్స్ లో (7)', '29 వ అత్యధిక ఫోర్లు పరుగులను ఇన్నింగ్స్ లో సిక్సర్లు (78) ',' ఒక ఇన్నింగ్స్లో పరుగుల 34 వ అత్యధిక శాతం (57.51) ',' ఒక ఇన్నింగ్స్ లో 8 వ బెస్ట్ ఫిగర్స్ కూడా ఓడిపోయింది వైపు (4) ',' 4 న ఒక ఇన్నింగ్స్ లోని బెస్ట్ ఫిగర్స్ ప్రవేశించనుంది (4) ',' నాలుగవ వికెట్కు 47 వ అత్యధిక భాగస్వామ్యం (83) ']</v>
      </c>
      <c r="I9303" s="3"/>
    </row>
    <row r="9304" customHeight="1" spans="1:9">
      <c r="A9304" s="2"/>
      <c r="B9304" s="2" t="str">
        <f>IFERROR(__xludf.DUMMYFUNCTION("IF(A9304&lt;&gt;"""", GOOGLETRANSLATE(A9304, ""en"", ""te""),"""")"),"")</f>
        <v/>
      </c>
      <c r="C9304" s="2"/>
      <c r="D9304" s="2" t="str">
        <f>IFERROR(__xludf.DUMMYFUNCTION("IF(C9304&lt;&gt;"""", GOOGLETRANSLATE(C9304, ""en"", ""te""),"""")"),"")</f>
        <v/>
      </c>
      <c r="E9304" s="2"/>
      <c r="F9304" s="2" t="str">
        <f>IFERROR(__xludf.DUMMYFUNCTION("IF(E9304&lt;&gt;"""", GOOGLETRANSLATE(E9304, ""en"", ""te""),"""")"),"")</f>
        <v/>
      </c>
      <c r="G9304" s="2"/>
      <c r="H9304" s="2" t="str">
        <f>IFERROR(__xludf.DUMMYFUNCTION("IF(G9304&lt;&gt;"""", GOOGLETRANSLATE(G9304, ""en"", ""te""),"""")"),"")</f>
        <v/>
      </c>
      <c r="I9304" s="3"/>
    </row>
    <row r="9305" customHeight="1" spans="1:9">
      <c r="A9305" s="2"/>
      <c r="B9305" s="2" t="str">
        <f>IFERROR(__xludf.DUMMYFUNCTION("IF(A9305&lt;&gt;"""", GOOGLETRANSLATE(A9305, ""en"", ""te""),"""")"),"")</f>
        <v/>
      </c>
      <c r="C9305" s="2"/>
      <c r="D9305" s="2" t="str">
        <f>IFERROR(__xludf.DUMMYFUNCTION("IF(C9305&lt;&gt;"""", GOOGLETRANSLATE(C9305, ""en"", ""te""),"""")"),"")</f>
        <v/>
      </c>
      <c r="E9305" s="2"/>
      <c r="F9305" s="2" t="str">
        <f>IFERROR(__xludf.DUMMYFUNCTION("IF(E9305&lt;&gt;"""", GOOGLETRANSLATE(E9305, ""en"", ""te""),"""")"),"")</f>
        <v/>
      </c>
      <c r="G9305" s="2"/>
      <c r="H9305" s="2" t="str">
        <f>IFERROR(__xludf.DUMMYFUNCTION("IF(G9305&lt;&gt;"""", GOOGLETRANSLATE(G9305, ""en"", ""te""),"""")"),"")</f>
        <v/>
      </c>
      <c r="I9305" s="3"/>
    </row>
    <row r="9306" customHeight="1" spans="1:9">
      <c r="A9306" s="2"/>
      <c r="B9306" s="2" t="str">
        <f>IFERROR(__xludf.DUMMYFUNCTION("IF(A9306&lt;&gt;"""", GOOGLETRANSLATE(A9306, ""en"", ""te""),"""")"),"")</f>
        <v/>
      </c>
      <c r="C9306" s="2"/>
      <c r="D9306" s="2" t="str">
        <f>IFERROR(__xludf.DUMMYFUNCTION("IF(C9306&lt;&gt;"""", GOOGLETRANSLATE(C9306, ""en"", ""te""),"""")"),"")</f>
        <v/>
      </c>
      <c r="E9306" s="2"/>
      <c r="F9306" s="2" t="str">
        <f>IFERROR(__xludf.DUMMYFUNCTION("IF(E9306&lt;&gt;"""", GOOGLETRANSLATE(E9306, ""en"", ""te""),"""")"),"")</f>
        <v/>
      </c>
      <c r="G9306" s="2"/>
      <c r="H9306" s="2" t="str">
        <f>IFERROR(__xludf.DUMMYFUNCTION("IF(G9306&lt;&gt;"""", GOOGLETRANSLATE(G9306, ""en"", ""te""),"""")"),"")</f>
        <v/>
      </c>
      <c r="I9306" s="3"/>
    </row>
    <row r="9307" customHeight="1" spans="1:9">
      <c r="A9307" s="2" t="s">
        <v>5323</v>
      </c>
      <c r="B9307" s="2" t="str">
        <f>IFERROR(__xludf.DUMMYFUNCTION("IF(A9307&lt;&gt;"""", GOOGLETRANSLATE(A9307, ""en"", ""te""),"""")"),"[ '1st వరుస బాతులు (3)', '1 వ అత్యధిక వికెట్లు తీసిన హిట్ వికెట్ (1)']")</f>
        <v>[ '1st వరుస బాతులు (3)', '1 వ అత్యధిక వికెట్లు తీసిన హిట్ వికెట్ (1)']</v>
      </c>
      <c r="C9307" s="2"/>
      <c r="D9307" s="2" t="str">
        <f>IFERROR(__xludf.DUMMYFUNCTION("IF(C9307&lt;&gt;"""", GOOGLETRANSLATE(C9307, ""en"", ""te""),"""")"),"")</f>
        <v/>
      </c>
      <c r="E9307" s="2"/>
      <c r="F9307" s="2" t="str">
        <f>IFERROR(__xludf.DUMMYFUNCTION("IF(E9307&lt;&gt;"""", GOOGLETRANSLATE(E9307, ""en"", ""te""),"""")"),"")</f>
        <v/>
      </c>
      <c r="G9307" s="2" t="s">
        <v>5323</v>
      </c>
      <c r="H9307" s="2" t="str">
        <f>IFERROR(__xludf.DUMMYFUNCTION("IF(G9307&lt;&gt;"""", GOOGLETRANSLATE(G9307, ""en"", ""te""),"""")"),"[ '1st వరుస బాతులు (3)', '1 వ అత్యధిక వికెట్లు తీసిన హిట్ వికెట్ (1)']")</f>
        <v>[ '1st వరుస బాతులు (3)', '1 వ అత్యధిక వికెట్లు తీసిన హిట్ వికెట్ (1)']</v>
      </c>
      <c r="I9307" s="3"/>
    </row>
    <row r="9308" customHeight="1" spans="1:9">
      <c r="A9308" s="2"/>
      <c r="B9308" s="2" t="str">
        <f>IFERROR(__xludf.DUMMYFUNCTION("IF(A9308&lt;&gt;"""", GOOGLETRANSLATE(A9308, ""en"", ""te""),"""")"),"")</f>
        <v/>
      </c>
      <c r="C9308" s="2"/>
      <c r="D9308" s="2" t="str">
        <f>IFERROR(__xludf.DUMMYFUNCTION("IF(C9308&lt;&gt;"""", GOOGLETRANSLATE(C9308, ""en"", ""te""),"""")"),"")</f>
        <v/>
      </c>
      <c r="E9308" s="2"/>
      <c r="F9308" s="2" t="str">
        <f>IFERROR(__xludf.DUMMYFUNCTION("IF(E9308&lt;&gt;"""", GOOGLETRANSLATE(E9308, ""en"", ""te""),"""")"),"")</f>
        <v/>
      </c>
      <c r="G9308" s="2"/>
      <c r="H9308" s="2" t="str">
        <f>IFERROR(__xludf.DUMMYFUNCTION("IF(G9308&lt;&gt;"""", GOOGLETRANSLATE(G9308, ""en"", ""te""),"""")"),"")</f>
        <v/>
      </c>
      <c r="I9308" s="3"/>
    </row>
    <row r="9309" customHeight="1" spans="1:9">
      <c r="A9309" s="2"/>
      <c r="B9309" s="2" t="str">
        <f>IFERROR(__xludf.DUMMYFUNCTION("IF(A9309&lt;&gt;"""", GOOGLETRANSLATE(A9309, ""en"", ""te""),"""")"),"")</f>
        <v/>
      </c>
      <c r="C9309" s="2"/>
      <c r="D9309" s="2" t="str">
        <f>IFERROR(__xludf.DUMMYFUNCTION("IF(C9309&lt;&gt;"""", GOOGLETRANSLATE(C9309, ""en"", ""te""),"""")"),"")</f>
        <v/>
      </c>
      <c r="E9309" s="2"/>
      <c r="F9309" s="2" t="str">
        <f>IFERROR(__xludf.DUMMYFUNCTION("IF(E9309&lt;&gt;"""", GOOGLETRANSLATE(E9309, ""en"", ""te""),"""")"),"")</f>
        <v/>
      </c>
      <c r="G9309" s="2" t="s">
        <v>5239</v>
      </c>
      <c r="H9309" s="2" t="str">
        <f>IFERROR(__xludf.DUMMYFUNCTION("IF(G9309&lt;&gt;"""", GOOGLETRANSLATE(G9309, ""en"", ""te""),"""")"),"[ '35 వ చెత్త కెరీర్ బౌలింగ్ సరాసరి (అర్హత లేకుండా) (66.00)']")</f>
        <v>[ '35 వ చెత్త కెరీర్ బౌలింగ్ సరాసరి (అర్హత లేకుండా) (66.00)']</v>
      </c>
      <c r="I9309" s="3"/>
    </row>
    <row r="9310" customHeight="1" spans="1:9">
      <c r="A9310" s="2"/>
      <c r="B9310" s="2" t="str">
        <f>IFERROR(__xludf.DUMMYFUNCTION("IF(A9310&lt;&gt;"""", GOOGLETRANSLATE(A9310, ""en"", ""te""),"""")"),"")</f>
        <v/>
      </c>
      <c r="C9310" s="2"/>
      <c r="D9310" s="2" t="str">
        <f>IFERROR(__xludf.DUMMYFUNCTION("IF(C9310&lt;&gt;"""", GOOGLETRANSLATE(C9310, ""en"", ""te""),"""")"),"")</f>
        <v/>
      </c>
      <c r="E9310" s="2"/>
      <c r="F9310" s="2" t="str">
        <f>IFERROR(__xludf.DUMMYFUNCTION("IF(E9310&lt;&gt;"""", GOOGLETRANSLATE(E9310, ""en"", ""te""),"""")"),"")</f>
        <v/>
      </c>
      <c r="G9310" s="2"/>
      <c r="H9310" s="2" t="str">
        <f>IFERROR(__xludf.DUMMYFUNCTION("IF(G9310&lt;&gt;"""", GOOGLETRANSLATE(G9310, ""en"", ""te""),"""")"),"")</f>
        <v/>
      </c>
      <c r="I9310" s="3"/>
    </row>
    <row r="9311" customHeight="1" spans="1:9">
      <c r="A9311" s="2" t="s">
        <v>5324</v>
      </c>
      <c r="B9311" s="2" t="str">
        <f>IFERROR(__xludf.DUMMYFUNCTION("IF(A9311&lt;&gt;"""", GOOGLETRANSLATE(A9311, ""en"", ""te""),"""")"),"[ '3 వ అత్యధిక సమ్మె ఇన్నింగ్స్ లో రేటు (364.28)']")</f>
        <v>[ '3 వ అత్యధిక సమ్మె ఇన్నింగ్స్ లో రేటు (364.28)']</v>
      </c>
      <c r="C9311" s="2"/>
      <c r="D9311" s="2" t="str">
        <f>IFERROR(__xludf.DUMMYFUNCTION("IF(C9311&lt;&gt;"""", GOOGLETRANSLATE(C9311, ""en"", ""te""),"""")"),"")</f>
        <v/>
      </c>
      <c r="E9311" s="2"/>
      <c r="F9311" s="2" t="str">
        <f>IFERROR(__xludf.DUMMYFUNCTION("IF(E9311&lt;&gt;"""", GOOGLETRANSLATE(E9311, ""en"", ""te""),"""")"),"")</f>
        <v/>
      </c>
      <c r="G9311" s="2" t="s">
        <v>5325</v>
      </c>
      <c r="H9311" s="2" t="str">
        <f>IFERROR(__xludf.DUMMYFUNCTION("IF(G9311&lt;&gt;"""", GOOGLETRANSLATE(G9311, ""en"", ""te""),"""")"),"[ 'ఇన్నింగ్స్ లో 42 వ ఎక్కువ సిక్స్ (7)' '3 వ అత్యధిక సమ్మె ఇన్నింగ్స్ లో రేటు (364.28)',]")</f>
        <v>[ 'ఇన్నింగ్స్ లో 42 వ ఎక్కువ సిక్స్ (7)' '3 వ అత్యధిక సమ్మె ఇన్నింగ్స్ లో రేటు (364.28)',]</v>
      </c>
      <c r="I9311" s="3"/>
    </row>
    <row r="9312" customHeight="1" spans="1:9">
      <c r="A9312" s="2"/>
      <c r="B9312" s="2" t="str">
        <f>IFERROR(__xludf.DUMMYFUNCTION("IF(A9312&lt;&gt;"""", GOOGLETRANSLATE(A9312, ""en"", ""te""),"""")"),"")</f>
        <v/>
      </c>
      <c r="C9312" s="2"/>
      <c r="D9312" s="2" t="str">
        <f>IFERROR(__xludf.DUMMYFUNCTION("IF(C9312&lt;&gt;"""", GOOGLETRANSLATE(C9312, ""en"", ""te""),"""")"),"")</f>
        <v/>
      </c>
      <c r="E9312" s="2"/>
      <c r="F9312" s="2" t="str">
        <f>IFERROR(__xludf.DUMMYFUNCTION("IF(E9312&lt;&gt;"""", GOOGLETRANSLATE(E9312, ""en"", ""te""),"""")"),"")</f>
        <v/>
      </c>
      <c r="G9312" s="2"/>
      <c r="H9312" s="2" t="str">
        <f>IFERROR(__xludf.DUMMYFUNCTION("IF(G9312&lt;&gt;"""", GOOGLETRANSLATE(G9312, ""en"", ""te""),"""")"),"")</f>
        <v/>
      </c>
      <c r="I9312" s="3"/>
    </row>
    <row r="9313" customHeight="1" spans="1:9">
      <c r="A9313" s="2" t="s">
        <v>5326</v>
      </c>
      <c r="B9313" s="2" t="str">
        <f>IFERROR(__xludf.DUMMYFUNCTION("IF(A9313&lt;&gt;"""", GOOGLETRANSLATE(A9313, ""en"", ""te""),"""")"),"[ '3 వ పిన్న కాప్టెన్ (20y 318d)']")</f>
        <v>[ '3 వ పిన్న కాప్టెన్ (20y 318d)']</v>
      </c>
      <c r="C9313" s="2"/>
      <c r="D9313" s="2" t="str">
        <f>IFERROR(__xludf.DUMMYFUNCTION("IF(C9313&lt;&gt;"""", GOOGLETRANSLATE(C9313, ""en"", ""te""),"""")"),"")</f>
        <v/>
      </c>
      <c r="E9313" s="2"/>
      <c r="F9313" s="2" t="str">
        <f>IFERROR(__xludf.DUMMYFUNCTION("IF(E9313&lt;&gt;"""", GOOGLETRANSLATE(E9313, ""en"", ""te""),"""")"),"")</f>
        <v/>
      </c>
      <c r="G9313" s="2" t="s">
        <v>5327</v>
      </c>
      <c r="H9313" s="2" t="str">
        <f>IFERROR(__xludf.DUMMYFUNCTION("IF(G9313&lt;&gt;"""", GOOGLETRANSLATE(G9313, ""en"", ""te""),"""")"),"[ '42 వ ఇన్నింగ్స్ లో వచ్చిన ఎక్కువ సిక్స్ (7)', '3 వ పిన్న కాప్టెన్ (20y 318d)']")</f>
        <v>[ '42 వ ఇన్నింగ్స్ లో వచ్చిన ఎక్కువ సిక్స్ (7)', '3 వ పిన్న కాప్టెన్ (20y 318d)']</v>
      </c>
      <c r="I9313" s="3"/>
    </row>
    <row r="9314" customHeight="1" spans="1:9">
      <c r="A9314" s="2"/>
      <c r="B9314" s="2" t="str">
        <f>IFERROR(__xludf.DUMMYFUNCTION("IF(A9314&lt;&gt;"""", GOOGLETRANSLATE(A9314, ""en"", ""te""),"""")"),"")</f>
        <v/>
      </c>
      <c r="C9314" s="2"/>
      <c r="D9314" s="2" t="str">
        <f>IFERROR(__xludf.DUMMYFUNCTION("IF(C9314&lt;&gt;"""", GOOGLETRANSLATE(C9314, ""en"", ""te""),"""")"),"")</f>
        <v/>
      </c>
      <c r="E9314" s="2"/>
      <c r="F9314" s="2" t="str">
        <f>IFERROR(__xludf.DUMMYFUNCTION("IF(E9314&lt;&gt;"""", GOOGLETRANSLATE(E9314, ""en"", ""te""),"""")"),"")</f>
        <v/>
      </c>
      <c r="G9314" s="2"/>
      <c r="H9314" s="2" t="str">
        <f>IFERROR(__xludf.DUMMYFUNCTION("IF(G9314&lt;&gt;"""", GOOGLETRANSLATE(G9314, ""en"", ""te""),"""")"),"")</f>
        <v/>
      </c>
      <c r="I9314" s="3"/>
    </row>
    <row r="9315" customHeight="1" spans="1:9">
      <c r="A9315" s="2"/>
      <c r="B9315" s="2" t="str">
        <f>IFERROR(__xludf.DUMMYFUNCTION("IF(A9315&lt;&gt;"""", GOOGLETRANSLATE(A9315, ""en"", ""te""),"""")"),"")</f>
        <v/>
      </c>
      <c r="C9315" s="2"/>
      <c r="D9315" s="2" t="str">
        <f>IFERROR(__xludf.DUMMYFUNCTION("IF(C9315&lt;&gt;"""", GOOGLETRANSLATE(C9315, ""en"", ""te""),"""")"),"")</f>
        <v/>
      </c>
      <c r="E9315" s="2"/>
      <c r="F9315" s="2" t="str">
        <f>IFERROR(__xludf.DUMMYFUNCTION("IF(E9315&lt;&gt;"""", GOOGLETRANSLATE(E9315, ""en"", ""te""),"""")"),"")</f>
        <v/>
      </c>
      <c r="G9315" s="2" t="s">
        <v>5328</v>
      </c>
      <c r="H9315" s="2" t="str">
        <f>IFERROR(__xludf.DUMMYFUNCTION("IF(G9315&lt;&gt;"""", GOOGLETRANSLATE(G9315, ""en"", ""te""),"""")"),"[ 'మూడో వికెట్కు (123) 13 వ అత్యధిక భాగస్వామ్యం']")</f>
        <v>[ 'మూడో వికెట్కు (123) 13 వ అత్యధిక భాగస్వామ్యం']</v>
      </c>
      <c r="I9315" s="3"/>
    </row>
    <row r="9316" customHeight="1" spans="1:9">
      <c r="A9316" s="2"/>
      <c r="B9316" s="2" t="str">
        <f>IFERROR(__xludf.DUMMYFUNCTION("IF(A9316&lt;&gt;"""", GOOGLETRANSLATE(A9316, ""en"", ""te""),"""")"),"")</f>
        <v/>
      </c>
      <c r="C9316" s="2"/>
      <c r="D9316" s="2" t="str">
        <f>IFERROR(__xludf.DUMMYFUNCTION("IF(C9316&lt;&gt;"""", GOOGLETRANSLATE(C9316, ""en"", ""te""),"""")"),"")</f>
        <v/>
      </c>
      <c r="E9316" s="2"/>
      <c r="F9316" s="2" t="str">
        <f>IFERROR(__xludf.DUMMYFUNCTION("IF(E9316&lt;&gt;"""", GOOGLETRANSLATE(E9316, ""en"", ""te""),"""")"),"")</f>
        <v/>
      </c>
      <c r="G9316" s="2"/>
      <c r="H9316" s="2" t="str">
        <f>IFERROR(__xludf.DUMMYFUNCTION("IF(G9316&lt;&gt;"""", GOOGLETRANSLATE(G9316, ""en"", ""te""),"""")"),"")</f>
        <v/>
      </c>
      <c r="I9316" s="3"/>
    </row>
    <row r="9317" customHeight="1" spans="1:9">
      <c r="A9317" s="2" t="s">
        <v>5329</v>
      </c>
      <c r="B9317" s="2" t="str">
        <f>IFERROR(__xludf.DUMMYFUNCTION("IF(A9317&lt;&gt;"""", GOOGLETRANSLATE(A9317, ""en"", ""te""),"""")"),"[ 'తొమ్మిదవ వికెట్కు 8 వ అత్యధిక భాగస్వామ్యం (29)']")</f>
        <v>[ 'తొమ్మిదవ వికెట్కు 8 వ అత్యధిక భాగస్వామ్యం (29)']</v>
      </c>
      <c r="C9317" s="2"/>
      <c r="D9317" s="2" t="str">
        <f>IFERROR(__xludf.DUMMYFUNCTION("IF(C9317&lt;&gt;"""", GOOGLETRANSLATE(C9317, ""en"", ""te""),"""")"),"")</f>
        <v/>
      </c>
      <c r="E9317" s="2"/>
      <c r="F9317" s="2" t="str">
        <f>IFERROR(__xludf.DUMMYFUNCTION("IF(E9317&lt;&gt;"""", GOOGLETRANSLATE(E9317, ""en"", ""te""),"""")"),"")</f>
        <v/>
      </c>
      <c r="G9317" s="2" t="s">
        <v>5330</v>
      </c>
      <c r="H9317" s="2" t="str">
        <f>IFERROR(__xludf.DUMMYFUNCTION("IF(G9317&lt;&gt;"""", GOOGLETRANSLATE(G9317, ""en"", ""te""),"""")"),"[ '22 వ కెరీర్ లో బాతులు (11)', 'ఒక కెప్టెన్తో ఒక ఇన్నింగ్స్ లో 21 వ బెస్ట్ ఫిగర్స్ (3)', 'తొమ్మిదవ వికెట్కు 8 వ అత్యధిక భాగస్వామ్యం (29)', పదవ వికెట్కు '32 వ అత్యధిక భాగస్వామ్యం (11 ) ',' 43 వ అత్యంత కెప్టెన్ (10 మ్యాచ్లు) ']")</f>
        <v>[ '22 వ కెరీర్ లో బాతులు (11)', 'ఒక కెప్టెన్తో ఒక ఇన్నింగ్స్ లో 21 వ బెస్ట్ ఫిగర్స్ (3)', 'తొమ్మిదవ వికెట్కు 8 వ అత్యధిక భాగస్వామ్యం (29)', పదవ వికెట్కు '32 వ అత్యధిక భాగస్వామ్యం (11 ) ',' 43 వ అత్యంత కెప్టెన్ (10 మ్యాచ్లు) ']</v>
      </c>
      <c r="I9317" s="3"/>
    </row>
    <row r="9318" customHeight="1" spans="1:9">
      <c r="A9318" s="2"/>
      <c r="B9318" s="2" t="str">
        <f>IFERROR(__xludf.DUMMYFUNCTION("IF(A9318&lt;&gt;"""", GOOGLETRANSLATE(A9318, ""en"", ""te""),"""")"),"")</f>
        <v/>
      </c>
      <c r="C9318" s="2"/>
      <c r="D9318" s="2" t="str">
        <f>IFERROR(__xludf.DUMMYFUNCTION("IF(C9318&lt;&gt;"""", GOOGLETRANSLATE(C9318, ""en"", ""te""),"""")"),"")</f>
        <v/>
      </c>
      <c r="E9318" s="2"/>
      <c r="F9318" s="2" t="str">
        <f>IFERROR(__xludf.DUMMYFUNCTION("IF(E9318&lt;&gt;"""", GOOGLETRANSLATE(E9318, ""en"", ""te""),"""")"),"")</f>
        <v/>
      </c>
      <c r="G9318" s="2"/>
      <c r="H9318" s="2" t="str">
        <f>IFERROR(__xludf.DUMMYFUNCTION("IF(G9318&lt;&gt;"""", GOOGLETRANSLATE(G9318, ""en"", ""te""),"""")"),"")</f>
        <v/>
      </c>
      <c r="I9318" s="3"/>
    </row>
    <row r="9319" customHeight="1" spans="1:9">
      <c r="A9319" s="2"/>
      <c r="B9319" s="2" t="str">
        <f>IFERROR(__xludf.DUMMYFUNCTION("IF(A9319&lt;&gt;"""", GOOGLETRANSLATE(A9319, ""en"", ""te""),"""")"),"")</f>
        <v/>
      </c>
      <c r="C9319" s="2"/>
      <c r="D9319" s="2" t="str">
        <f>IFERROR(__xludf.DUMMYFUNCTION("IF(C9319&lt;&gt;"""", GOOGLETRANSLATE(C9319, ""en"", ""te""),"""")"),"")</f>
        <v/>
      </c>
      <c r="E9319" s="2"/>
      <c r="F9319" s="2" t="str">
        <f>IFERROR(__xludf.DUMMYFUNCTION("IF(E9319&lt;&gt;"""", GOOGLETRANSLATE(E9319, ""en"", ""te""),"""")"),"")</f>
        <v/>
      </c>
      <c r="G9319" s="2"/>
      <c r="H9319" s="2" t="str">
        <f>IFERROR(__xludf.DUMMYFUNCTION("IF(G9319&lt;&gt;"""", GOOGLETRANSLATE(G9319, ""en"", ""te""),"""")"),"")</f>
        <v/>
      </c>
      <c r="I9319" s="3"/>
    </row>
    <row r="9320" customHeight="1" spans="1:9">
      <c r="A9320" s="2"/>
      <c r="B9320" s="2" t="str">
        <f>IFERROR(__xludf.DUMMYFUNCTION("IF(A9320&lt;&gt;"""", GOOGLETRANSLATE(A9320, ""en"", ""te""),"""")"),"")</f>
        <v/>
      </c>
      <c r="C9320" s="2"/>
      <c r="D9320" s="2" t="str">
        <f>IFERROR(__xludf.DUMMYFUNCTION("IF(C9320&lt;&gt;"""", GOOGLETRANSLATE(C9320, ""en"", ""te""),"""")"),"")</f>
        <v/>
      </c>
      <c r="E9320" s="2"/>
      <c r="F9320" s="2" t="str">
        <f>IFERROR(__xludf.DUMMYFUNCTION("IF(E9320&lt;&gt;"""", GOOGLETRANSLATE(E9320, ""en"", ""te""),"""")"),"")</f>
        <v/>
      </c>
      <c r="G9320" s="2" t="s">
        <v>5331</v>
      </c>
      <c r="H9320" s="2" t="str">
        <f>IFERROR(__xludf.DUMMYFUNCTION("IF(G9320&lt;&gt;"""", GOOGLETRANSLATE(G9320, ""en"", ""te""),"""")"),"[ '38 వ పిన్న కాప్టెన్ (25y 203d)']")</f>
        <v>[ '38 వ పిన్న కాప్టెన్ (25y 203d)']</v>
      </c>
      <c r="I9320" s="3"/>
    </row>
    <row r="9321" customHeight="1" spans="1:9">
      <c r="A9321" s="2"/>
      <c r="B9321" s="2" t="str">
        <f>IFERROR(__xludf.DUMMYFUNCTION("IF(A9321&lt;&gt;"""", GOOGLETRANSLATE(A9321, ""en"", ""te""),"""")"),"")</f>
        <v/>
      </c>
      <c r="C9321" s="2"/>
      <c r="D9321" s="2" t="str">
        <f>IFERROR(__xludf.DUMMYFUNCTION("IF(C9321&lt;&gt;"""", GOOGLETRANSLATE(C9321, ""en"", ""te""),"""")"),"")</f>
        <v/>
      </c>
      <c r="E9321" s="2"/>
      <c r="F9321" s="2" t="str">
        <f>IFERROR(__xludf.DUMMYFUNCTION("IF(E9321&lt;&gt;"""", GOOGLETRANSLATE(E9321, ""en"", ""te""),"""")"),"")</f>
        <v/>
      </c>
      <c r="G9321" s="2"/>
      <c r="H9321" s="2" t="str">
        <f>IFERROR(__xludf.DUMMYFUNCTION("IF(G9321&lt;&gt;"""", GOOGLETRANSLATE(G9321, ""en"", ""te""),"""")"),"")</f>
        <v/>
      </c>
      <c r="I9321" s="3"/>
    </row>
    <row r="9322" customHeight="1" spans="1:9">
      <c r="A9322" s="2"/>
      <c r="B9322" s="2" t="str">
        <f>IFERROR(__xludf.DUMMYFUNCTION("IF(A9322&lt;&gt;"""", GOOGLETRANSLATE(A9322, ""en"", ""te""),"""")"),"")</f>
        <v/>
      </c>
      <c r="C9322" s="2"/>
      <c r="D9322" s="2" t="str">
        <f>IFERROR(__xludf.DUMMYFUNCTION("IF(C9322&lt;&gt;"""", GOOGLETRANSLATE(C9322, ""en"", ""te""),"""")"),"")</f>
        <v/>
      </c>
      <c r="E9322" s="2"/>
      <c r="F9322" s="2" t="str">
        <f>IFERROR(__xludf.DUMMYFUNCTION("IF(E9322&lt;&gt;"""", GOOGLETRANSLATE(E9322, ""en"", ""te""),"""")"),"")</f>
        <v/>
      </c>
      <c r="G9322" s="2"/>
      <c r="H9322" s="2" t="str">
        <f>IFERROR(__xludf.DUMMYFUNCTION("IF(G9322&lt;&gt;"""", GOOGLETRANSLATE(G9322, ""en"", ""te""),"""")"),"")</f>
        <v/>
      </c>
      <c r="I9322" s="3"/>
    </row>
    <row r="9323" customHeight="1" spans="1:9">
      <c r="A9323" s="2"/>
      <c r="B9323" s="2" t="str">
        <f>IFERROR(__xludf.DUMMYFUNCTION("IF(A9323&lt;&gt;"""", GOOGLETRANSLATE(A9323, ""en"", ""te""),"""")"),"")</f>
        <v/>
      </c>
      <c r="C9323" s="2"/>
      <c r="D9323" s="2" t="str">
        <f>IFERROR(__xludf.DUMMYFUNCTION("IF(C9323&lt;&gt;"""", GOOGLETRANSLATE(C9323, ""en"", ""te""),"""")"),"")</f>
        <v/>
      </c>
      <c r="E9323" s="2"/>
      <c r="F9323" s="2" t="str">
        <f>IFERROR(__xludf.DUMMYFUNCTION("IF(E9323&lt;&gt;"""", GOOGLETRANSLATE(E9323, ""en"", ""te""),"""")"),"")</f>
        <v/>
      </c>
      <c r="G9323" s="2"/>
      <c r="H9323" s="2" t="str">
        <f>IFERROR(__xludf.DUMMYFUNCTION("IF(G9323&lt;&gt;"""", GOOGLETRANSLATE(G9323, ""en"", ""te""),"""")"),"")</f>
        <v/>
      </c>
      <c r="I9323" s="3"/>
    </row>
    <row r="9324" customHeight="1" spans="1:9">
      <c r="A9324" s="2"/>
      <c r="B9324" s="2" t="str">
        <f>IFERROR(__xludf.DUMMYFUNCTION("IF(A9324&lt;&gt;"""", GOOGLETRANSLATE(A9324, ""en"", ""te""),"""")"),"")</f>
        <v/>
      </c>
      <c r="C9324" s="2"/>
      <c r="D9324" s="2" t="str">
        <f>IFERROR(__xludf.DUMMYFUNCTION("IF(C9324&lt;&gt;"""", GOOGLETRANSLATE(C9324, ""en"", ""te""),"""")"),"")</f>
        <v/>
      </c>
      <c r="E9324" s="2"/>
      <c r="F9324" s="2" t="str">
        <f>IFERROR(__xludf.DUMMYFUNCTION("IF(E9324&lt;&gt;"""", GOOGLETRANSLATE(E9324, ""en"", ""te""),"""")"),"")</f>
        <v/>
      </c>
      <c r="G9324" s="2"/>
      <c r="H9324" s="2" t="str">
        <f>IFERROR(__xludf.DUMMYFUNCTION("IF(G9324&lt;&gt;"""", GOOGLETRANSLATE(G9324, ""en"", ""te""),"""")"),"")</f>
        <v/>
      </c>
      <c r="I9324" s="3"/>
    </row>
    <row r="9325" customHeight="1" spans="1:9">
      <c r="A9325" s="2"/>
      <c r="B9325" s="2" t="str">
        <f>IFERROR(__xludf.DUMMYFUNCTION("IF(A9325&lt;&gt;"""", GOOGLETRANSLATE(A9325, ""en"", ""te""),"""")"),"")</f>
        <v/>
      </c>
      <c r="C9325" s="2"/>
      <c r="D9325" s="2" t="str">
        <f>IFERROR(__xludf.DUMMYFUNCTION("IF(C9325&lt;&gt;"""", GOOGLETRANSLATE(C9325, ""en"", ""te""),"""")"),"")</f>
        <v/>
      </c>
      <c r="E9325" s="2"/>
      <c r="F9325" s="2" t="str">
        <f>IFERROR(__xludf.DUMMYFUNCTION("IF(E9325&lt;&gt;"""", GOOGLETRANSLATE(E9325, ""en"", ""te""),"""")"),"")</f>
        <v/>
      </c>
      <c r="G9325" s="2" t="s">
        <v>5332</v>
      </c>
      <c r="H9325" s="2" t="str">
        <f>IFERROR(__xludf.DUMMYFUNCTION("IF(G9325&lt;&gt;"""", GOOGLETRANSLATE(G9325, ""en"", ""te""),"""")"),"[ 'ఐదవ వికెట్కు 33 వ అత్యధిక భాగస్వామ్యం (74)']")</f>
        <v>[ 'ఐదవ వికెట్కు 33 వ అత్యధిక భాగస్వామ్యం (74)']</v>
      </c>
      <c r="I9325" s="3"/>
    </row>
    <row r="9326" customHeight="1" spans="1:9">
      <c r="A9326" s="2"/>
      <c r="B9326" s="2" t="str">
        <f>IFERROR(__xludf.DUMMYFUNCTION("IF(A9326&lt;&gt;"""", GOOGLETRANSLATE(A9326, ""en"", ""te""),"""")"),"")</f>
        <v/>
      </c>
      <c r="C9326" s="2"/>
      <c r="D9326" s="2" t="str">
        <f>IFERROR(__xludf.DUMMYFUNCTION("IF(C9326&lt;&gt;"""", GOOGLETRANSLATE(C9326, ""en"", ""te""),"""")"),"")</f>
        <v/>
      </c>
      <c r="E9326" s="2"/>
      <c r="F9326" s="2" t="str">
        <f>IFERROR(__xludf.DUMMYFUNCTION("IF(E9326&lt;&gt;"""", GOOGLETRANSLATE(E9326, ""en"", ""te""),"""")"),"")</f>
        <v/>
      </c>
      <c r="G9326" s="2" t="s">
        <v>5333</v>
      </c>
      <c r="H9326" s="2" t="str">
        <f>IFERROR(__xludf.DUMMYFUNCTION("IF(G9326&lt;&gt;"""", GOOGLETRANSLATE(G9326, ""en"", ""te""),"""")"),"[ '47 వ అత్యధిక ఇన్నింగ్స్ లో సమ్మె రేటు (275.00)']")</f>
        <v>[ '47 వ అత్యధిక ఇన్నింగ్స్ లో సమ్మె రేటు (275.00)']</v>
      </c>
      <c r="I9326" s="3"/>
    </row>
    <row r="9327" customHeight="1" spans="1:9">
      <c r="A9327" s="2"/>
      <c r="B9327" s="2" t="str">
        <f>IFERROR(__xludf.DUMMYFUNCTION("IF(A9327&lt;&gt;"""", GOOGLETRANSLATE(A9327, ""en"", ""te""),"""")"),"")</f>
        <v/>
      </c>
      <c r="C9327" s="2"/>
      <c r="D9327" s="2" t="str">
        <f>IFERROR(__xludf.DUMMYFUNCTION("IF(C9327&lt;&gt;"""", GOOGLETRANSLATE(C9327, ""en"", ""te""),"""")"),"")</f>
        <v/>
      </c>
      <c r="E9327" s="2"/>
      <c r="F9327" s="2" t="str">
        <f>IFERROR(__xludf.DUMMYFUNCTION("IF(E9327&lt;&gt;"""", GOOGLETRANSLATE(E9327, ""en"", ""te""),"""")"),"")</f>
        <v/>
      </c>
      <c r="G9327" s="2" t="s">
        <v>5334</v>
      </c>
      <c r="H9327" s="2" t="str">
        <f>IFERROR(__xludf.DUMMYFUNCTION("IF(G9327&lt;&gt;"""", GOOGLETRANSLATE(G9327, ""en"", ""te""),"""")"),"[ '12 వ ఇన్నింగ్స్ లో వచ్చిన ఎక్కువ ఫోర్లు (12)', 'ఆరవ వికెట్కు 14 అత్యధిక భాగస్వామ్యం (77)']")</f>
        <v>[ '12 వ ఇన్నింగ్స్ లో వచ్చిన ఎక్కువ ఫోర్లు (12)', 'ఆరవ వికెట్కు 14 అత్యధిక భాగస్వామ్యం (77)']</v>
      </c>
      <c r="I9327" s="3"/>
    </row>
    <row r="9328" customHeight="1" spans="1:9">
      <c r="A9328" s="2"/>
      <c r="B9328" s="2" t="str">
        <f>IFERROR(__xludf.DUMMYFUNCTION("IF(A9328&lt;&gt;"""", GOOGLETRANSLATE(A9328, ""en"", ""te""),"""")"),"")</f>
        <v/>
      </c>
      <c r="C9328" s="2"/>
      <c r="D9328" s="2" t="str">
        <f>IFERROR(__xludf.DUMMYFUNCTION("IF(C9328&lt;&gt;"""", GOOGLETRANSLATE(C9328, ""en"", ""te""),"""")"),"")</f>
        <v/>
      </c>
      <c r="E9328" s="2"/>
      <c r="F9328" s="2" t="str">
        <f>IFERROR(__xludf.DUMMYFUNCTION("IF(E9328&lt;&gt;"""", GOOGLETRANSLATE(E9328, ""en"", ""te""),"""")"),"")</f>
        <v/>
      </c>
      <c r="G9328" s="2"/>
      <c r="H9328" s="2" t="str">
        <f>IFERROR(__xludf.DUMMYFUNCTION("IF(G9328&lt;&gt;"""", GOOGLETRANSLATE(G9328, ""en"", ""te""),"""")"),"")</f>
        <v/>
      </c>
      <c r="I9328" s="3"/>
    </row>
    <row r="9329" customHeight="1" spans="1:9">
      <c r="A9329" s="2" t="s">
        <v>435</v>
      </c>
      <c r="B9329" s="2" t="str">
        <f>IFERROR(__xludf.DUMMYFUNCTION("IF(A9329&lt;&gt;"""", GOOGLETRANSLATE(A9329, ""en"", ""te""),"""")"),"[ '1st వరుస బాతులు (3)']")</f>
        <v>[ '1st వరుస బాతులు (3)']</v>
      </c>
      <c r="C9329" s="2"/>
      <c r="D9329" s="2" t="str">
        <f>IFERROR(__xludf.DUMMYFUNCTION("IF(C9329&lt;&gt;"""", GOOGLETRANSLATE(C9329, ""en"", ""te""),"""")"),"")</f>
        <v/>
      </c>
      <c r="E9329" s="2"/>
      <c r="F9329" s="2" t="str">
        <f>IFERROR(__xludf.DUMMYFUNCTION("IF(E9329&lt;&gt;"""", GOOGLETRANSLATE(E9329, ""en"", ""te""),"""")"),"")</f>
        <v/>
      </c>
      <c r="G9329" s="2" t="s">
        <v>5335</v>
      </c>
      <c r="H9329" s="2" t="str">
        <f>IFERROR(__xludf.DUMMYFUNCTION("IF(G9329&lt;&gt;"""", GOOGLETRANSLATE(G9329, ""en"", ""te""),"""")"),"[ '1st వరుస బాతులు (3)', '12 వ అత్యుత్తమ బౌలింగ్ ఇన్నింగ్స్ లో విశ్లేషించడం (1/1)', 'ఇన్నింగ్స్ లో 22 వ ఉత్తమ ఆర్థిక రేటు (0.50)']")</f>
        <v>[ '1st వరుస బాతులు (3)', '12 వ అత్యుత్తమ బౌలింగ్ ఇన్నింగ్స్ లో విశ్లేషించడం (1/1)', 'ఇన్నింగ్స్ లో 22 వ ఉత్తమ ఆర్థిక రేటు (0.50)']</v>
      </c>
      <c r="I9329" s="3"/>
    </row>
    <row r="9330" customHeight="1" spans="1:9">
      <c r="A9330" s="2"/>
      <c r="B9330" s="2" t="str">
        <f>IFERROR(__xludf.DUMMYFUNCTION("IF(A9330&lt;&gt;"""", GOOGLETRANSLATE(A9330, ""en"", ""te""),"""")"),"")</f>
        <v/>
      </c>
      <c r="C9330" s="2"/>
      <c r="D9330" s="2" t="str">
        <f>IFERROR(__xludf.DUMMYFUNCTION("IF(C9330&lt;&gt;"""", GOOGLETRANSLATE(C9330, ""en"", ""te""),"""")"),"")</f>
        <v/>
      </c>
      <c r="E9330" s="2"/>
      <c r="F9330" s="2" t="str">
        <f>IFERROR(__xludf.DUMMYFUNCTION("IF(E9330&lt;&gt;"""", GOOGLETRANSLATE(E9330, ""en"", ""te""),"""")"),"")</f>
        <v/>
      </c>
      <c r="G9330" s="2" t="s">
        <v>5336</v>
      </c>
      <c r="H9330" s="2" t="str">
        <f>IFERROR(__xludf.DUMMYFUNCTION("IF(G9330&lt;&gt;"""", GOOGLETRANSLATE(G9330, ""en"", ""te""),"""")"),"[ '20 వ ఓల్డెస్ట్ కాప్టెన్ (34y 13d)', 'కెప్టెన్సీ తొలి 22 ఓల్డెస్ట్ కాప్టెన్ (32y 334d)']")</f>
        <v>[ '20 వ ఓల్డెస్ట్ కాప్టెన్ (34y 13d)', 'కెప్టెన్సీ తొలి 22 ఓల్డెస్ట్ కాప్టెన్ (32y 334d)']</v>
      </c>
      <c r="I9330" s="3"/>
    </row>
    <row r="9331" customHeight="1" spans="1:9">
      <c r="A9331" s="2"/>
      <c r="B9331" s="2" t="str">
        <f>IFERROR(__xludf.DUMMYFUNCTION("IF(A9331&lt;&gt;"""", GOOGLETRANSLATE(A9331, ""en"", ""te""),"""")"),"")</f>
        <v/>
      </c>
      <c r="C9331" s="2"/>
      <c r="D9331" s="2" t="str">
        <f>IFERROR(__xludf.DUMMYFUNCTION("IF(C9331&lt;&gt;"""", GOOGLETRANSLATE(C9331, ""en"", ""te""),"""")"),"")</f>
        <v/>
      </c>
      <c r="E9331" s="2"/>
      <c r="F9331" s="2" t="str">
        <f>IFERROR(__xludf.DUMMYFUNCTION("IF(E9331&lt;&gt;"""", GOOGLETRANSLATE(E9331, ""en"", ""te""),"""")"),"")</f>
        <v/>
      </c>
      <c r="G9331" s="2" t="s">
        <v>5337</v>
      </c>
      <c r="H9331" s="2" t="str">
        <f>IFERROR(__xludf.DUMMYFUNCTION("IF(G9331&lt;&gt;"""", GOOGLETRANSLATE(G9331, ""en"", ""te""),"""")"),"[ '31 ఓల్డెస్ట్ కాప్టెన్ (37y 318d)', 'వికెట్ను కాపాడుకున్నాడు చేసిన 18 వ కెప్టెన్ల (4)', 'కెప్టెన్సీ ప్రవేశం (37y 316d) 23 వ ఓల్డెస్ట్ కెప్టెన్లు']")</f>
        <v>[ '31 ఓల్డెస్ట్ కాప్టెన్ (37y 318d)', 'వికెట్ను కాపాడుకున్నాడు చేసిన 18 వ కెప్టెన్ల (4)', 'కెప్టెన్సీ ప్రవేశం (37y 316d) 23 వ ఓల్డెస్ట్ కెప్టెన్లు']</v>
      </c>
      <c r="I9331" s="3"/>
    </row>
    <row r="9332" customHeight="1" spans="1:9">
      <c r="A9332" s="2"/>
      <c r="B9332" s="2" t="str">
        <f>IFERROR(__xludf.DUMMYFUNCTION("IF(A9332&lt;&gt;"""", GOOGLETRANSLATE(A9332, ""en"", ""te""),"""")"),"")</f>
        <v/>
      </c>
      <c r="C9332" s="2"/>
      <c r="D9332" s="2" t="str">
        <f>IFERROR(__xludf.DUMMYFUNCTION("IF(C9332&lt;&gt;"""", GOOGLETRANSLATE(C9332, ""en"", ""te""),"""")"),"")</f>
        <v/>
      </c>
      <c r="E9332" s="2"/>
      <c r="F9332" s="2" t="str">
        <f>IFERROR(__xludf.DUMMYFUNCTION("IF(E9332&lt;&gt;"""", GOOGLETRANSLATE(E9332, ""en"", ""te""),"""")"),"")</f>
        <v/>
      </c>
      <c r="G9332" s="2"/>
      <c r="H9332" s="2" t="str">
        <f>IFERROR(__xludf.DUMMYFUNCTION("IF(G9332&lt;&gt;"""", GOOGLETRANSLATE(G9332, ""en"", ""te""),"""")"),"")</f>
        <v/>
      </c>
      <c r="I9332" s="3"/>
    </row>
    <row r="9333" customHeight="1" spans="1:9">
      <c r="A9333" s="2"/>
      <c r="B9333" s="2" t="str">
        <f>IFERROR(__xludf.DUMMYFUNCTION("IF(A9333&lt;&gt;"""", GOOGLETRANSLATE(A9333, ""en"", ""te""),"""")"),"")</f>
        <v/>
      </c>
      <c r="C9333" s="2"/>
      <c r="D9333" s="2" t="str">
        <f>IFERROR(__xludf.DUMMYFUNCTION("IF(C9333&lt;&gt;"""", GOOGLETRANSLATE(C9333, ""en"", ""te""),"""")"),"")</f>
        <v/>
      </c>
      <c r="E9333" s="2"/>
      <c r="F9333" s="2" t="str">
        <f>IFERROR(__xludf.DUMMYFUNCTION("IF(E9333&lt;&gt;"""", GOOGLETRANSLATE(E9333, ""en"", ""te""),"""")"),"")</f>
        <v/>
      </c>
      <c r="G9333" s="2" t="s">
        <v>3688</v>
      </c>
      <c r="H9333" s="2" t="str">
        <f>IFERROR(__xludf.DUMMYFUNCTION("IF(G9333&lt;&gt;"""", GOOGLETRANSLATE(G9333, ""en"", ""te""),"""")"),"[ '29 చెత్త కెరీర్ బౌలింగ్ సరాసరి (అర్హత లేకుండా) (73.00)']")</f>
        <v>[ '29 చెత్త కెరీర్ బౌలింగ్ సరాసరి (అర్హత లేకుండా) (73.00)']</v>
      </c>
      <c r="I9333" s="3"/>
    </row>
    <row r="9334" customHeight="1" spans="1:9">
      <c r="A9334" s="2"/>
      <c r="B9334" s="2" t="str">
        <f>IFERROR(__xludf.DUMMYFUNCTION("IF(A9334&lt;&gt;"""", GOOGLETRANSLATE(A9334, ""en"", ""te""),"""")"),"")</f>
        <v/>
      </c>
      <c r="C9334" s="2"/>
      <c r="D9334" s="2" t="str">
        <f>IFERROR(__xludf.DUMMYFUNCTION("IF(C9334&lt;&gt;"""", GOOGLETRANSLATE(C9334, ""en"", ""te""),"""")"),"")</f>
        <v/>
      </c>
      <c r="E9334" s="2"/>
      <c r="F9334" s="2" t="str">
        <f>IFERROR(__xludf.DUMMYFUNCTION("IF(E9334&lt;&gt;"""", GOOGLETRANSLATE(E9334, ""en"", ""te""),"""")"),"")</f>
        <v/>
      </c>
      <c r="G9334" s="2" t="s">
        <v>2078</v>
      </c>
      <c r="H9334" s="2" t="str">
        <f>IFERROR(__xludf.DUMMYFUNCTION("IF(G9334&lt;&gt;"""", GOOGLETRANSLATE(G9334, ""en"", ""te""),"""")"),"[ '33 వ ఉత్తమ ఇన్నింగ్స్ లో సమ్మె రేటు (4.0)']")</f>
        <v>[ '33 వ ఉత్తమ ఇన్నింగ్స్ లో సమ్మె రేటు (4.0)']</v>
      </c>
      <c r="I9334" s="3"/>
    </row>
    <row r="9335" customHeight="1" spans="1:9">
      <c r="A9335" s="2"/>
      <c r="B9335" s="2" t="str">
        <f>IFERROR(__xludf.DUMMYFUNCTION("IF(A9335&lt;&gt;"""", GOOGLETRANSLATE(A9335, ""en"", ""te""),"""")"),"")</f>
        <v/>
      </c>
      <c r="C9335" s="2"/>
      <c r="D9335" s="2" t="str">
        <f>IFERROR(__xludf.DUMMYFUNCTION("IF(C9335&lt;&gt;"""", GOOGLETRANSLATE(C9335, ""en"", ""te""),"""")"),"")</f>
        <v/>
      </c>
      <c r="E9335" s="2"/>
      <c r="F9335" s="2" t="str">
        <f>IFERROR(__xludf.DUMMYFUNCTION("IF(E9335&lt;&gt;"""", GOOGLETRANSLATE(E9335, ""en"", ""te""),"""")"),"")</f>
        <v/>
      </c>
      <c r="G9335" s="2"/>
      <c r="H9335" s="2" t="str">
        <f>IFERROR(__xludf.DUMMYFUNCTION("IF(G9335&lt;&gt;"""", GOOGLETRANSLATE(G9335, ""en"", ""te""),"""")"),"")</f>
        <v/>
      </c>
      <c r="I9335" s="3"/>
    </row>
    <row r="9336" customHeight="1" spans="1:9">
      <c r="A9336" s="2"/>
      <c r="B9336" s="2" t="str">
        <f>IFERROR(__xludf.DUMMYFUNCTION("IF(A9336&lt;&gt;"""", GOOGLETRANSLATE(A9336, ""en"", ""te""),"""")"),"")</f>
        <v/>
      </c>
      <c r="C9336" s="2"/>
      <c r="D9336" s="2" t="str">
        <f>IFERROR(__xludf.DUMMYFUNCTION("IF(C9336&lt;&gt;"""", GOOGLETRANSLATE(C9336, ""en"", ""te""),"""")"),"")</f>
        <v/>
      </c>
      <c r="E9336" s="2"/>
      <c r="F9336" s="2" t="str">
        <f>IFERROR(__xludf.DUMMYFUNCTION("IF(E9336&lt;&gt;"""", GOOGLETRANSLATE(E9336, ""en"", ""te""),"""")"),"")</f>
        <v/>
      </c>
      <c r="G9336" s="2"/>
      <c r="H9336" s="2" t="str">
        <f>IFERROR(__xludf.DUMMYFUNCTION("IF(G9336&lt;&gt;"""", GOOGLETRANSLATE(G9336, ""en"", ""te""),"""")"),"")</f>
        <v/>
      </c>
      <c r="I9336" s="3"/>
    </row>
    <row r="9337" customHeight="1" spans="1:9">
      <c r="A9337" s="2"/>
      <c r="B9337" s="2" t="str">
        <f>IFERROR(__xludf.DUMMYFUNCTION("IF(A9337&lt;&gt;"""", GOOGLETRANSLATE(A9337, ""en"", ""te""),"""")"),"")</f>
        <v/>
      </c>
      <c r="C9337" s="2"/>
      <c r="D9337" s="2" t="str">
        <f>IFERROR(__xludf.DUMMYFUNCTION("IF(C9337&lt;&gt;"""", GOOGLETRANSLATE(C9337, ""en"", ""te""),"""")"),"")</f>
        <v/>
      </c>
      <c r="E9337" s="2"/>
      <c r="F9337" s="2" t="str">
        <f>IFERROR(__xludf.DUMMYFUNCTION("IF(E9337&lt;&gt;"""", GOOGLETRANSLATE(E9337, ""en"", ""te""),"""")"),"")</f>
        <v/>
      </c>
      <c r="G9337" s="2"/>
      <c r="H9337" s="2" t="str">
        <f>IFERROR(__xludf.DUMMYFUNCTION("IF(G9337&lt;&gt;"""", GOOGLETRANSLATE(G9337, ""en"", ""te""),"""")"),"")</f>
        <v/>
      </c>
      <c r="I9337" s="3"/>
    </row>
    <row r="9338" customHeight="1" spans="1:9">
      <c r="A9338" s="2"/>
      <c r="B9338" s="2" t="str">
        <f>IFERROR(__xludf.DUMMYFUNCTION("IF(A9338&lt;&gt;"""", GOOGLETRANSLATE(A9338, ""en"", ""te""),"""")"),"")</f>
        <v/>
      </c>
      <c r="C9338" s="2"/>
      <c r="D9338" s="2" t="str">
        <f>IFERROR(__xludf.DUMMYFUNCTION("IF(C9338&lt;&gt;"""", GOOGLETRANSLATE(C9338, ""en"", ""te""),"""")"),"")</f>
        <v/>
      </c>
      <c r="E9338" s="2"/>
      <c r="F9338" s="2" t="str">
        <f>IFERROR(__xludf.DUMMYFUNCTION("IF(E9338&lt;&gt;"""", GOOGLETRANSLATE(E9338, ""en"", ""te""),"""")"),"")</f>
        <v/>
      </c>
      <c r="G9338" s="2"/>
      <c r="H9338" s="2" t="str">
        <f>IFERROR(__xludf.DUMMYFUNCTION("IF(G9338&lt;&gt;"""", GOOGLETRANSLATE(G9338, ""en"", ""te""),"""")"),"")</f>
        <v/>
      </c>
      <c r="I9338" s="3"/>
    </row>
    <row r="9339" customHeight="1" spans="1:9">
      <c r="A9339" s="2"/>
      <c r="B9339" s="2" t="str">
        <f>IFERROR(__xludf.DUMMYFUNCTION("IF(A9339&lt;&gt;"""", GOOGLETRANSLATE(A9339, ""en"", ""te""),"""")"),"")</f>
        <v/>
      </c>
      <c r="C9339" s="2"/>
      <c r="D9339" s="2" t="str">
        <f>IFERROR(__xludf.DUMMYFUNCTION("IF(C9339&lt;&gt;"""", GOOGLETRANSLATE(C9339, ""en"", ""te""),"""")"),"")</f>
        <v/>
      </c>
      <c r="E9339" s="2"/>
      <c r="F9339" s="2" t="str">
        <f>IFERROR(__xludf.DUMMYFUNCTION("IF(E9339&lt;&gt;"""", GOOGLETRANSLATE(E9339, ""en"", ""te""),"""")"),"")</f>
        <v/>
      </c>
      <c r="G9339" s="2" t="s">
        <v>5338</v>
      </c>
      <c r="H9339" s="2" t="str">
        <f>IFERROR(__xludf.DUMMYFUNCTION("IF(G9339&lt;&gt;"""", GOOGLETRANSLATE(G9339, ""en"", ""te""),"""")"),"[ '43 వ ఓల్డెస్ట్ కాప్టెన్ (36y 266d)', '27 చెత్త కెరీర్ (75,00) (అర్హత లేకుండా) సగటు బౌలింగ్', 'కెప్టెన్సీ తొలి 31 ఓల్డెస్ట్ కాప్టెన్ (36y 264d)']")</f>
        <v>[ '43 వ ఓల్డెస్ట్ కాప్టెన్ (36y 266d)', '27 చెత్త కెరీర్ (75,00) (అర్హత లేకుండా) సగటు బౌలింగ్', 'కెప్టెన్సీ తొలి 31 ఓల్డెస్ట్ కాప్టెన్ (36y 264d)']</v>
      </c>
      <c r="I9339" s="3"/>
    </row>
    <row r="9340" customHeight="1" spans="1:9">
      <c r="A9340" s="2"/>
      <c r="B9340" s="2" t="str">
        <f>IFERROR(__xludf.DUMMYFUNCTION("IF(A9340&lt;&gt;"""", GOOGLETRANSLATE(A9340, ""en"", ""te""),"""")"),"")</f>
        <v/>
      </c>
      <c r="C9340" s="2"/>
      <c r="D9340" s="2" t="str">
        <f>IFERROR(__xludf.DUMMYFUNCTION("IF(C9340&lt;&gt;"""", GOOGLETRANSLATE(C9340, ""en"", ""te""),"""")"),"")</f>
        <v/>
      </c>
      <c r="E9340" s="2"/>
      <c r="F9340" s="2" t="str">
        <f>IFERROR(__xludf.DUMMYFUNCTION("IF(E9340&lt;&gt;"""", GOOGLETRANSLATE(E9340, ""en"", ""te""),"""")"),"")</f>
        <v/>
      </c>
      <c r="G9340" s="2"/>
      <c r="H9340" s="2" t="str">
        <f>IFERROR(__xludf.DUMMYFUNCTION("IF(G9340&lt;&gt;"""", GOOGLETRANSLATE(G9340, ""en"", ""te""),"""")"),"")</f>
        <v/>
      </c>
      <c r="I9340" s="3"/>
    </row>
    <row r="9341" customHeight="1" spans="1:9">
      <c r="A9341" s="2"/>
      <c r="B9341" s="2" t="str">
        <f>IFERROR(__xludf.DUMMYFUNCTION("IF(A9341&lt;&gt;"""", GOOGLETRANSLATE(A9341, ""en"", ""te""),"""")"),"")</f>
        <v/>
      </c>
      <c r="C9341" s="2"/>
      <c r="D9341" s="2" t="str">
        <f>IFERROR(__xludf.DUMMYFUNCTION("IF(C9341&lt;&gt;"""", GOOGLETRANSLATE(C9341, ""en"", ""te""),"""")"),"")</f>
        <v/>
      </c>
      <c r="E9341" s="2"/>
      <c r="F9341" s="2" t="str">
        <f>IFERROR(__xludf.DUMMYFUNCTION("IF(E9341&lt;&gt;"""", GOOGLETRANSLATE(E9341, ""en"", ""te""),"""")"),"")</f>
        <v/>
      </c>
      <c r="G9341" s="2" t="s">
        <v>5339</v>
      </c>
      <c r="H9341" s="2" t="str">
        <f>IFERROR(__xludf.DUMMYFUNCTION("IF(G9341&lt;&gt;"""", GOOGLETRANSLATE(G9341, ""en"", ""te""),"""")"),"[ '50 వ ఓల్డెస్ట్ కాప్టెన్ (36y 89d)', 'వికెట్ను కాపాడుకున్నాడు చేసిన 24 కెప్టెన్ల (3)', 'కెప్టెన్సీ ప్రవేశం (36y 88D) లో 36 వ ఓల్డెస్ట్ కెప్టెన్లు', '20 వ అత్యంత ఇన్నింగ్స్ లో సాధించిన బైస్ (6)']")</f>
        <v>[ '50 వ ఓల్డెస్ట్ కాప్టెన్ (36y 89d)', 'వికెట్ను కాపాడుకున్నాడు చేసిన 24 కెప్టెన్ల (3)', 'కెప్టెన్సీ ప్రవేశం (36y 88D) లో 36 వ ఓల్డెస్ట్ కెప్టెన్లు', '20 వ అత్యంత ఇన్నింగ్స్ లో సాధించిన బైస్ (6)']</v>
      </c>
      <c r="I9341" s="3"/>
    </row>
    <row r="9342" customHeight="1" spans="1:9">
      <c r="A9342" s="2"/>
      <c r="B9342" s="2" t="str">
        <f>IFERROR(__xludf.DUMMYFUNCTION("IF(A9342&lt;&gt;"""", GOOGLETRANSLATE(A9342, ""en"", ""te""),"""")"),"")</f>
        <v/>
      </c>
      <c r="C9342" s="2"/>
      <c r="D9342" s="2" t="str">
        <f>IFERROR(__xludf.DUMMYFUNCTION("IF(C9342&lt;&gt;"""", GOOGLETRANSLATE(C9342, ""en"", ""te""),"""")"),"")</f>
        <v/>
      </c>
      <c r="E9342" s="2"/>
      <c r="F9342" s="2" t="str">
        <f>IFERROR(__xludf.DUMMYFUNCTION("IF(E9342&lt;&gt;"""", GOOGLETRANSLATE(E9342, ""en"", ""te""),"""")"),"")</f>
        <v/>
      </c>
      <c r="G9342" s="2"/>
      <c r="H9342" s="2" t="str">
        <f>IFERROR(__xludf.DUMMYFUNCTION("IF(G9342&lt;&gt;"""", GOOGLETRANSLATE(G9342, ""en"", ""te""),"""")"),"")</f>
        <v/>
      </c>
      <c r="I9342" s="3"/>
    </row>
    <row r="9343" customHeight="1" spans="1:9">
      <c r="A9343" s="2"/>
      <c r="B9343" s="2" t="str">
        <f>IFERROR(__xludf.DUMMYFUNCTION("IF(A9343&lt;&gt;"""", GOOGLETRANSLATE(A9343, ""en"", ""te""),"""")"),"")</f>
        <v/>
      </c>
      <c r="C9343" s="2"/>
      <c r="D9343" s="2" t="str">
        <f>IFERROR(__xludf.DUMMYFUNCTION("IF(C9343&lt;&gt;"""", GOOGLETRANSLATE(C9343, ""en"", ""te""),"""")"),"")</f>
        <v/>
      </c>
      <c r="E9343" s="2"/>
      <c r="F9343" s="2" t="str">
        <f>IFERROR(__xludf.DUMMYFUNCTION("IF(E9343&lt;&gt;"""", GOOGLETRANSLATE(E9343, ""en"", ""te""),"""")"),"")</f>
        <v/>
      </c>
      <c r="G9343" s="2" t="s">
        <v>5340</v>
      </c>
      <c r="H9343" s="2" t="str">
        <f>IFERROR(__xludf.DUMMYFUNCTION("IF(G9343&lt;&gt;"""", GOOGLETRANSLATE(G9343, ""en"", ""te""),"""")"),"[ 'తొలి 33 వ ఓల్డెస్ట్ క్రీడాకారులు (41y 347d)', '41 వ ఓల్డెస్ట్ క్రీడాకారులు (41y 348d)']")</f>
        <v>[ 'తొలి 33 వ ఓల్డెస్ట్ క్రీడాకారులు (41y 347d)', '41 వ ఓల్డెస్ట్ క్రీడాకారులు (41y 348d)']</v>
      </c>
      <c r="I9343" s="3"/>
    </row>
    <row r="9344" customHeight="1" spans="1:9">
      <c r="A9344" s="2"/>
      <c r="B9344" s="2" t="str">
        <f>IFERROR(__xludf.DUMMYFUNCTION("IF(A9344&lt;&gt;"""", GOOGLETRANSLATE(A9344, ""en"", ""te""),"""")"),"")</f>
        <v/>
      </c>
      <c r="C9344" s="2"/>
      <c r="D9344" s="2" t="str">
        <f>IFERROR(__xludf.DUMMYFUNCTION("IF(C9344&lt;&gt;"""", GOOGLETRANSLATE(C9344, ""en"", ""te""),"""")"),"")</f>
        <v/>
      </c>
      <c r="E9344" s="2"/>
      <c r="F9344" s="2" t="str">
        <f>IFERROR(__xludf.DUMMYFUNCTION("IF(E9344&lt;&gt;"""", GOOGLETRANSLATE(E9344, ""en"", ""te""),"""")"),"")</f>
        <v/>
      </c>
      <c r="G9344" s="2"/>
      <c r="H9344" s="2" t="str">
        <f>IFERROR(__xludf.DUMMYFUNCTION("IF(G9344&lt;&gt;"""", GOOGLETRANSLATE(G9344, ""en"", ""te""),"""")"),"")</f>
        <v/>
      </c>
      <c r="I9344" s="3"/>
    </row>
    <row r="9345" customHeight="1" spans="1:9">
      <c r="A9345" s="2"/>
      <c r="B9345" s="2" t="str">
        <f>IFERROR(__xludf.DUMMYFUNCTION("IF(A9345&lt;&gt;"""", GOOGLETRANSLATE(A9345, ""en"", ""te""),"""")"),"")</f>
        <v/>
      </c>
      <c r="C9345" s="2"/>
      <c r="D9345" s="2" t="str">
        <f>IFERROR(__xludf.DUMMYFUNCTION("IF(C9345&lt;&gt;"""", GOOGLETRANSLATE(C9345, ""en"", ""te""),"""")"),"")</f>
        <v/>
      </c>
      <c r="E9345" s="2"/>
      <c r="F9345" s="2" t="str">
        <f>IFERROR(__xludf.DUMMYFUNCTION("IF(E9345&lt;&gt;"""", GOOGLETRANSLATE(E9345, ""en"", ""te""),"""")"),"")</f>
        <v/>
      </c>
      <c r="G9345" s="2" t="s">
        <v>5341</v>
      </c>
      <c r="H9345" s="2" t="str">
        <f>IFERROR(__xludf.DUMMYFUNCTION("IF(G9345&lt;&gt;"""", GOOGLETRANSLATE(G9345, ""en"", ""te""),"""")"),"[ 'తొలి 42 వ ఓల్డెస్ట్ క్రీడాకారులు (41y 37d)']")</f>
        <v>[ 'తొలి 42 వ ఓల్డెస్ట్ క్రీడాకారులు (41y 37d)']</v>
      </c>
      <c r="I9345" s="3"/>
    </row>
    <row r="9346" customHeight="1" spans="1:9">
      <c r="A9346" s="2"/>
      <c r="B9346" s="2" t="str">
        <f>IFERROR(__xludf.DUMMYFUNCTION("IF(A9346&lt;&gt;"""", GOOGLETRANSLATE(A9346, ""en"", ""te""),"""")"),"")</f>
        <v/>
      </c>
      <c r="C9346" s="2"/>
      <c r="D9346" s="2" t="str">
        <f>IFERROR(__xludf.DUMMYFUNCTION("IF(C9346&lt;&gt;"""", GOOGLETRANSLATE(C9346, ""en"", ""te""),"""")"),"")</f>
        <v/>
      </c>
      <c r="E9346" s="2"/>
      <c r="F9346" s="2" t="str">
        <f>IFERROR(__xludf.DUMMYFUNCTION("IF(E9346&lt;&gt;"""", GOOGLETRANSLATE(E9346, ""en"", ""te""),"""")"),"")</f>
        <v/>
      </c>
      <c r="G9346" s="2"/>
      <c r="H9346" s="2" t="str">
        <f>IFERROR(__xludf.DUMMYFUNCTION("IF(G9346&lt;&gt;"""", GOOGLETRANSLATE(G9346, ""en"", ""te""),"""")"),"")</f>
        <v/>
      </c>
      <c r="I9346" s="3"/>
    </row>
    <row r="9347" customHeight="1" spans="1:9">
      <c r="A9347" s="2" t="s">
        <v>1574</v>
      </c>
      <c r="B9347" s="2" t="str">
        <f>IFERROR(__xludf.DUMMYFUNCTION("IF(A9347&lt;&gt;"""", GOOGLETRANSLATE(A9347, ""en"", ""te""),"""")"),"[ 'తొలి ఇన్నింగ్స్లో 4 వ ఉత్తమ బొమ్మలు (4)']")</f>
        <v>[ 'తొలి ఇన్నింగ్స్లో 4 వ ఉత్తమ బొమ్మలు (4)']</v>
      </c>
      <c r="C9347" s="2"/>
      <c r="D9347" s="2" t="str">
        <f>IFERROR(__xludf.DUMMYFUNCTION("IF(C9347&lt;&gt;"""", GOOGLETRANSLATE(C9347, ""en"", ""te""),"""")"),"")</f>
        <v/>
      </c>
      <c r="E9347" s="2"/>
      <c r="F9347" s="2" t="str">
        <f>IFERROR(__xludf.DUMMYFUNCTION("IF(E9347&lt;&gt;"""", GOOGLETRANSLATE(E9347, ""en"", ""te""),"""")"),"")</f>
        <v/>
      </c>
      <c r="G9347" s="2" t="s">
        <v>1574</v>
      </c>
      <c r="H9347" s="2" t="str">
        <f>IFERROR(__xludf.DUMMYFUNCTION("IF(G9347&lt;&gt;"""", GOOGLETRANSLATE(G9347, ""en"", ""te""),"""")"),"[ 'తొలి ఇన్నింగ్స్లో 4 వ ఉత్తమ బొమ్మలు (4)']")</f>
        <v>[ 'తొలి ఇన్నింగ్స్లో 4 వ ఉత్తమ బొమ్మలు (4)']</v>
      </c>
      <c r="I9347" s="3"/>
    </row>
    <row r="9348" customHeight="1" spans="1:9">
      <c r="A9348" s="2"/>
      <c r="B9348" s="2" t="str">
        <f>IFERROR(__xludf.DUMMYFUNCTION("IF(A9348&lt;&gt;"""", GOOGLETRANSLATE(A9348, ""en"", ""te""),"""")"),"")</f>
        <v/>
      </c>
      <c r="C9348" s="2"/>
      <c r="D9348" s="2" t="str">
        <f>IFERROR(__xludf.DUMMYFUNCTION("IF(C9348&lt;&gt;"""", GOOGLETRANSLATE(C9348, ""en"", ""te""),"""")"),"")</f>
        <v/>
      </c>
      <c r="E9348" s="2"/>
      <c r="F9348" s="2" t="str">
        <f>IFERROR(__xludf.DUMMYFUNCTION("IF(E9348&lt;&gt;"""", GOOGLETRANSLATE(E9348, ""en"", ""te""),"""")"),"")</f>
        <v/>
      </c>
      <c r="G9348" s="2" t="s">
        <v>5342</v>
      </c>
      <c r="H9348" s="2" t="str">
        <f>IFERROR(__xludf.DUMMYFUNCTION("IF(G9348&lt;&gt;"""", GOOGLETRANSLATE(G9348, ""en"", ""te""),"""")"),"[ '36 వ ఓల్డెస్ట్ కాప్టెన్ (37y 55d)', '28th ఓల్డెస్ట్ కెప్టెన్లు కెప్టెన్సీ తొలి (37y 54d)']")</f>
        <v>[ '36 వ ఓల్డెస్ట్ కాప్టెన్ (37y 55d)', '28th ఓల్డెస్ట్ కెప్టెన్లు కెప్టెన్సీ తొలి (37y 54d)']</v>
      </c>
      <c r="I9348" s="3"/>
    </row>
    <row r="9349" customHeight="1" spans="1:9">
      <c r="A9349" s="2"/>
      <c r="B9349" s="2" t="str">
        <f>IFERROR(__xludf.DUMMYFUNCTION("IF(A9349&lt;&gt;"""", GOOGLETRANSLATE(A9349, ""en"", ""te""),"""")"),"")</f>
        <v/>
      </c>
      <c r="C9349" s="2"/>
      <c r="D9349" s="2" t="str">
        <f>IFERROR(__xludf.DUMMYFUNCTION("IF(C9349&lt;&gt;"""", GOOGLETRANSLATE(C9349, ""en"", ""te""),"""")"),"")</f>
        <v/>
      </c>
      <c r="E9349" s="2"/>
      <c r="F9349" s="2" t="str">
        <f>IFERROR(__xludf.DUMMYFUNCTION("IF(E9349&lt;&gt;"""", GOOGLETRANSLATE(E9349, ""en"", ""te""),"""")"),"")</f>
        <v/>
      </c>
      <c r="G9349" s="2"/>
      <c r="H9349" s="2" t="str">
        <f>IFERROR(__xludf.DUMMYFUNCTION("IF(G9349&lt;&gt;"""", GOOGLETRANSLATE(G9349, ""en"", ""te""),"""")"),"")</f>
        <v/>
      </c>
      <c r="I9349" s="3"/>
    </row>
    <row r="9350" customHeight="1" spans="1:9">
      <c r="A9350" s="2"/>
      <c r="B9350" s="2" t="str">
        <f>IFERROR(__xludf.DUMMYFUNCTION("IF(A9350&lt;&gt;"""", GOOGLETRANSLATE(A9350, ""en"", ""te""),"""")"),"")</f>
        <v/>
      </c>
      <c r="C9350" s="2"/>
      <c r="D9350" s="2" t="str">
        <f>IFERROR(__xludf.DUMMYFUNCTION("IF(C9350&lt;&gt;"""", GOOGLETRANSLATE(C9350, ""en"", ""te""),"""")"),"")</f>
        <v/>
      </c>
      <c r="E9350" s="2"/>
      <c r="F9350" s="2" t="str">
        <f>IFERROR(__xludf.DUMMYFUNCTION("IF(E9350&lt;&gt;"""", GOOGLETRANSLATE(E9350, ""en"", ""te""),"""")"),"")</f>
        <v/>
      </c>
      <c r="G9350" s="2" t="s">
        <v>5343</v>
      </c>
      <c r="H9350" s="2" t="str">
        <f>IFERROR(__xludf.DUMMYFUNCTION("IF(G9350&lt;&gt;"""", GOOGLETRANSLATE(G9350, ""en"", ""te""),"""")"),"[ '33 వ చెత్త కెరీర్ బౌలింగ్ సరాసరి (అర్హత లేకుండా) (72.00)']")</f>
        <v>[ '33 వ చెత్త కెరీర్ బౌలింగ్ సరాసరి (అర్హత లేకుండా) (72.00)']</v>
      </c>
      <c r="I9350" s="3"/>
    </row>
    <row r="9351" customHeight="1" spans="1:9">
      <c r="A9351" s="2"/>
      <c r="B9351" s="2" t="str">
        <f>IFERROR(__xludf.DUMMYFUNCTION("IF(A9351&lt;&gt;"""", GOOGLETRANSLATE(A9351, ""en"", ""te""),"""")"),"")</f>
        <v/>
      </c>
      <c r="C9351" s="2"/>
      <c r="D9351" s="2" t="str">
        <f>IFERROR(__xludf.DUMMYFUNCTION("IF(C9351&lt;&gt;"""", GOOGLETRANSLATE(C9351, ""en"", ""te""),"""")"),"")</f>
        <v/>
      </c>
      <c r="E9351" s="2"/>
      <c r="F9351" s="2" t="str">
        <f>IFERROR(__xludf.DUMMYFUNCTION("IF(E9351&lt;&gt;"""", GOOGLETRANSLATE(E9351, ""en"", ""te""),"""")"),"")</f>
        <v/>
      </c>
      <c r="G9351" s="2"/>
      <c r="H9351" s="2" t="str">
        <f>IFERROR(__xludf.DUMMYFUNCTION("IF(G9351&lt;&gt;"""", GOOGLETRANSLATE(G9351, ""en"", ""te""),"""")"),"")</f>
        <v/>
      </c>
      <c r="I9351" s="3"/>
    </row>
    <row r="9352" customHeight="1" spans="1:9">
      <c r="A9352" s="2"/>
      <c r="B9352" s="2" t="str">
        <f>IFERROR(__xludf.DUMMYFUNCTION("IF(A9352&lt;&gt;"""", GOOGLETRANSLATE(A9352, ""en"", ""te""),"""")"),"")</f>
        <v/>
      </c>
      <c r="C9352" s="2"/>
      <c r="D9352" s="2" t="str">
        <f>IFERROR(__xludf.DUMMYFUNCTION("IF(C9352&lt;&gt;"""", GOOGLETRANSLATE(C9352, ""en"", ""te""),"""")"),"")</f>
        <v/>
      </c>
      <c r="E9352" s="2"/>
      <c r="F9352" s="2" t="str">
        <f>IFERROR(__xludf.DUMMYFUNCTION("IF(E9352&lt;&gt;"""", GOOGLETRANSLATE(E9352, ""en"", ""te""),"""")"),"")</f>
        <v/>
      </c>
      <c r="G9352" s="2" t="s">
        <v>5344</v>
      </c>
      <c r="H9352" s="2" t="str">
        <f>IFERROR(__xludf.DUMMYFUNCTION("IF(G9352&lt;&gt;"""", GOOGLETRANSLATE(G9352, ""en"", ""te""),"""")"),"[ '25 చెత్త కెరీర్ బౌలింగ్ సరాసరి (అర్హత లేకుండా) (77.00)']")</f>
        <v>[ '25 చెత్త కెరీర్ బౌలింగ్ సరాసరి (అర్హత లేకుండా) (77.00)']</v>
      </c>
      <c r="I9352" s="3"/>
    </row>
    <row r="9353" customHeight="1" spans="1:9">
      <c r="A9353" s="2"/>
      <c r="B9353" s="2" t="str">
        <f>IFERROR(__xludf.DUMMYFUNCTION("IF(A9353&lt;&gt;"""", GOOGLETRANSLATE(A9353, ""en"", ""te""),"""")"),"")</f>
        <v/>
      </c>
      <c r="C9353" s="2"/>
      <c r="D9353" s="2" t="str">
        <f>IFERROR(__xludf.DUMMYFUNCTION("IF(C9353&lt;&gt;"""", GOOGLETRANSLATE(C9353, ""en"", ""te""),"""")"),"")</f>
        <v/>
      </c>
      <c r="E9353" s="2"/>
      <c r="F9353" s="2" t="str">
        <f>IFERROR(__xludf.DUMMYFUNCTION("IF(E9353&lt;&gt;"""", GOOGLETRANSLATE(E9353, ""en"", ""te""),"""")"),"")</f>
        <v/>
      </c>
      <c r="G9353" s="2" t="s">
        <v>5345</v>
      </c>
      <c r="H9353" s="2" t="str">
        <f>IFERROR(__xludf.DUMMYFUNCTION("IF(G9353&lt;&gt;"""", GOOGLETRANSLATE(G9353, ""en"", ""te""),"""")"),"[ '50 వ చెత్త కెరీర్ సగటు (66.00) (అర్హత లేకుండా) బౌలింగ్', '46 వ అత్యధిక భాగస్వామ్యం తొమ్మిదవ వికెట్కు (26 *)']")</f>
        <v>[ '50 వ చెత్త కెరీర్ సగటు (66.00) (అర్హత లేకుండా) బౌలింగ్', '46 వ అత్యధిక భాగస్వామ్యం తొమ్మిదవ వికెట్కు (26 *)']</v>
      </c>
      <c r="I9353" s="3"/>
    </row>
    <row r="9354" customHeight="1" spans="1:9">
      <c r="A9354" s="2" t="s">
        <v>1087</v>
      </c>
      <c r="B9354" s="2" t="str">
        <f>IFERROR(__xludf.DUMMYFUNCTION("IF(A9354&lt;&gt;"""", GOOGLETRANSLATE(A9354, ""en"", ""te""),"""")"),"[ 'ఒక ఇన్నింగ్స్ లో 5 వ ఉత్తమ సంఖ్యలు ఉన్నప్పుడు పరాజయం వైపు (4)']")</f>
        <v>[ 'ఒక ఇన్నింగ్స్ లో 5 వ ఉత్తమ సంఖ్యలు ఉన్నప్పుడు పరాజయం వైపు (4)']</v>
      </c>
      <c r="C9354" s="2"/>
      <c r="D9354" s="2" t="str">
        <f>IFERROR(__xludf.DUMMYFUNCTION("IF(C9354&lt;&gt;"""", GOOGLETRANSLATE(C9354, ""en"", ""te""),"""")"),"")</f>
        <v/>
      </c>
      <c r="E9354" s="2"/>
      <c r="F9354" s="2" t="str">
        <f>IFERROR(__xludf.DUMMYFUNCTION("IF(E9354&lt;&gt;"""", GOOGLETRANSLATE(E9354, ""en"", ""te""),"""")"),"")</f>
        <v/>
      </c>
      <c r="G9354" s="2" t="s">
        <v>5346</v>
      </c>
      <c r="H9354" s="2" t="str">
        <f>IFERROR(__xludf.DUMMYFUNCTION("IF(G9354&lt;&gt;"""", GOOGLETRANSLATE(G9354, ""en"", ""te""),"""")"),"[ 'ఒక కెప్టెన్తో ఒక ఇన్నింగ్స్ లో 6 వ ఉత్తమ బొమ్మలు (4)', 'ఒక ఇన్నింగ్స్ లో 5 వ ఉత్తమ సంఖ్యలు ఉన్నప్పుడు పరాజయం వైపు (4)', 'కెప్టెన్సీ ప్రవేశం (31y 212d) పై 31 ఓల్డెస్ట్ కెప్టెన్లు']")</f>
        <v>[ 'ఒక కెప్టెన్తో ఒక ఇన్నింగ్స్ లో 6 వ ఉత్తమ బొమ్మలు (4)', 'ఒక ఇన్నింగ్స్ లో 5 వ ఉత్తమ సంఖ్యలు ఉన్నప్పుడు పరాజయం వైపు (4)', 'కెప్టెన్సీ ప్రవేశం (31y 212d) పై 31 ఓల్డెస్ట్ కెప్టెన్లు']</v>
      </c>
      <c r="I9354" s="3"/>
    </row>
    <row r="9355" customHeight="1" spans="1:9">
      <c r="A9355" s="2"/>
      <c r="B9355" s="2" t="str">
        <f>IFERROR(__xludf.DUMMYFUNCTION("IF(A9355&lt;&gt;"""", GOOGLETRANSLATE(A9355, ""en"", ""te""),"""")"),"")</f>
        <v/>
      </c>
      <c r="C9355" s="2"/>
      <c r="D9355" s="2" t="str">
        <f>IFERROR(__xludf.DUMMYFUNCTION("IF(C9355&lt;&gt;"""", GOOGLETRANSLATE(C9355, ""en"", ""te""),"""")"),"")</f>
        <v/>
      </c>
      <c r="E9355" s="2"/>
      <c r="F9355" s="2" t="str">
        <f>IFERROR(__xludf.DUMMYFUNCTION("IF(E9355&lt;&gt;"""", GOOGLETRANSLATE(E9355, ""en"", ""te""),"""")"),"")</f>
        <v/>
      </c>
      <c r="G9355" s="2" t="s">
        <v>5347</v>
      </c>
      <c r="H9355" s="2" t="str">
        <f>IFERROR(__xludf.DUMMYFUNCTION("IF(G9355&lt;&gt;"""", GOOGLETRANSLATE(G9355, ""en"", ""te""),"""")"),"[ 'ఆరవ వికెట్కు 19 అత్యధిక భాగస్వామ్యం (52)', '23 వ ఇన్నింగ్స్ లో సాధించిన అత్యంత బైలు (5)']")</f>
        <v>[ 'ఆరవ వికెట్కు 19 అత్యధిక భాగస్వామ్యం (52)', '23 వ ఇన్నింగ్స్ లో సాధించిన అత్యంత బైలు (5)']</v>
      </c>
      <c r="I9355" s="3"/>
    </row>
    <row r="9356" customHeight="1" spans="1:9">
      <c r="A9356" s="2"/>
      <c r="B9356" s="2" t="str">
        <f>IFERROR(__xludf.DUMMYFUNCTION("IF(A9356&lt;&gt;"""", GOOGLETRANSLATE(A9356, ""en"", ""te""),"""")"),"")</f>
        <v/>
      </c>
      <c r="C9356" s="2"/>
      <c r="D9356" s="2" t="str">
        <f>IFERROR(__xludf.DUMMYFUNCTION("IF(C9356&lt;&gt;"""", GOOGLETRANSLATE(C9356, ""en"", ""te""),"""")"),"")</f>
        <v/>
      </c>
      <c r="E9356" s="2"/>
      <c r="F9356" s="2" t="str">
        <f>IFERROR(__xludf.DUMMYFUNCTION("IF(E9356&lt;&gt;"""", GOOGLETRANSLATE(E9356, ""en"", ""te""),"""")"),"")</f>
        <v/>
      </c>
      <c r="G9356" s="2"/>
      <c r="H9356" s="2" t="str">
        <f>IFERROR(__xludf.DUMMYFUNCTION("IF(G9356&lt;&gt;"""", GOOGLETRANSLATE(G9356, ""en"", ""te""),"""")"),"")</f>
        <v/>
      </c>
      <c r="I9356" s="3"/>
    </row>
    <row r="9357" customHeight="1" spans="1:9">
      <c r="A9357" s="2"/>
      <c r="B9357" s="2" t="str">
        <f>IFERROR(__xludf.DUMMYFUNCTION("IF(A9357&lt;&gt;"""", GOOGLETRANSLATE(A9357, ""en"", ""te""),"""")"),"")</f>
        <v/>
      </c>
      <c r="C9357" s="2"/>
      <c r="D9357" s="2" t="str">
        <f>IFERROR(__xludf.DUMMYFUNCTION("IF(C9357&lt;&gt;"""", GOOGLETRANSLATE(C9357, ""en"", ""te""),"""")"),"")</f>
        <v/>
      </c>
      <c r="E9357" s="2"/>
      <c r="F9357" s="2" t="str">
        <f>IFERROR(__xludf.DUMMYFUNCTION("IF(E9357&lt;&gt;"""", GOOGLETRANSLATE(E9357, ""en"", ""te""),"""")"),"")</f>
        <v/>
      </c>
      <c r="G9357" s="2" t="s">
        <v>5348</v>
      </c>
      <c r="H9357" s="2" t="str">
        <f>IFERROR(__xludf.DUMMYFUNCTION("IF(G9357&lt;&gt;"""", GOOGLETRANSLATE(G9357, ""en"", ""te""),"""")"),"[ '24 చెత్త కెరీర్ (75,00) (అర్హత లేకుండా) సగటు బౌలింగ్', 'కెప్టెన్సీ తొలి 24 ఓల్డెస్ట్ కాప్టెన్ (32y 180d)']")</f>
        <v>[ '24 చెత్త కెరీర్ (75,00) (అర్హత లేకుండా) సగటు బౌలింగ్', 'కెప్టెన్సీ తొలి 24 ఓల్డెస్ట్ కాప్టెన్ (32y 180d)']</v>
      </c>
      <c r="I9357" s="3"/>
    </row>
    <row r="9358" customHeight="1" spans="1:9">
      <c r="A9358" s="2"/>
      <c r="B9358" s="2" t="str">
        <f>IFERROR(__xludf.DUMMYFUNCTION("IF(A9358&lt;&gt;"""", GOOGLETRANSLATE(A9358, ""en"", ""te""),"""")"),"")</f>
        <v/>
      </c>
      <c r="C9358" s="2"/>
      <c r="D9358" s="2" t="str">
        <f>IFERROR(__xludf.DUMMYFUNCTION("IF(C9358&lt;&gt;"""", GOOGLETRANSLATE(C9358, ""en"", ""te""),"""")"),"")</f>
        <v/>
      </c>
      <c r="E9358" s="2"/>
      <c r="F9358" s="2" t="str">
        <f>IFERROR(__xludf.DUMMYFUNCTION("IF(E9358&lt;&gt;"""", GOOGLETRANSLATE(E9358, ""en"", ""te""),"""")"),"")</f>
        <v/>
      </c>
      <c r="G9358" s="2"/>
      <c r="H9358" s="2" t="str">
        <f>IFERROR(__xludf.DUMMYFUNCTION("IF(G9358&lt;&gt;"""", GOOGLETRANSLATE(G9358, ""en"", ""te""),"""")"),"")</f>
        <v/>
      </c>
      <c r="I9358" s="3"/>
    </row>
    <row r="9359" customHeight="1" spans="1:9">
      <c r="A9359" s="2"/>
      <c r="B9359" s="2" t="str">
        <f>IFERROR(__xludf.DUMMYFUNCTION("IF(A9359&lt;&gt;"""", GOOGLETRANSLATE(A9359, ""en"", ""te""),"""")"),"")</f>
        <v/>
      </c>
      <c r="C9359" s="2"/>
      <c r="D9359" s="2" t="str">
        <f>IFERROR(__xludf.DUMMYFUNCTION("IF(C9359&lt;&gt;"""", GOOGLETRANSLATE(C9359, ""en"", ""te""),"""")"),"")</f>
        <v/>
      </c>
      <c r="E9359" s="2"/>
      <c r="F9359" s="2" t="str">
        <f>IFERROR(__xludf.DUMMYFUNCTION("IF(E9359&lt;&gt;"""", GOOGLETRANSLATE(E9359, ""en"", ""te""),"""")"),"")</f>
        <v/>
      </c>
      <c r="G9359" s="2"/>
      <c r="H9359" s="2" t="str">
        <f>IFERROR(__xludf.DUMMYFUNCTION("IF(G9359&lt;&gt;"""", GOOGLETRANSLATE(G9359, ""en"", ""te""),"""")"),"")</f>
        <v/>
      </c>
      <c r="I9359" s="3"/>
    </row>
    <row r="9360" customHeight="1" spans="1:9">
      <c r="A9360" s="2"/>
      <c r="B9360" s="2" t="str">
        <f>IFERROR(__xludf.DUMMYFUNCTION("IF(A9360&lt;&gt;"""", GOOGLETRANSLATE(A9360, ""en"", ""te""),"""")"),"")</f>
        <v/>
      </c>
      <c r="C9360" s="2"/>
      <c r="D9360" s="2" t="str">
        <f>IFERROR(__xludf.DUMMYFUNCTION("IF(C9360&lt;&gt;"""", GOOGLETRANSLATE(C9360, ""en"", ""te""),"""")"),"")</f>
        <v/>
      </c>
      <c r="E9360" s="2"/>
      <c r="F9360" s="2" t="str">
        <f>IFERROR(__xludf.DUMMYFUNCTION("IF(E9360&lt;&gt;"""", GOOGLETRANSLATE(E9360, ""en"", ""te""),"""")"),"")</f>
        <v/>
      </c>
      <c r="G9360" s="2"/>
      <c r="H9360" s="2" t="str">
        <f>IFERROR(__xludf.DUMMYFUNCTION("IF(G9360&lt;&gt;"""", GOOGLETRANSLATE(G9360, ""en"", ""te""),"""")"),"")</f>
        <v/>
      </c>
      <c r="I9360" s="3"/>
    </row>
    <row r="9361" customHeight="1" spans="1:9">
      <c r="A9361" s="2"/>
      <c r="B9361" s="2" t="str">
        <f>IFERROR(__xludf.DUMMYFUNCTION("IF(A9361&lt;&gt;"""", GOOGLETRANSLATE(A9361, ""en"", ""te""),"""")"),"")</f>
        <v/>
      </c>
      <c r="C9361" s="2"/>
      <c r="D9361" s="2" t="str">
        <f>IFERROR(__xludf.DUMMYFUNCTION("IF(C9361&lt;&gt;"""", GOOGLETRANSLATE(C9361, ""en"", ""te""),"""")"),"")</f>
        <v/>
      </c>
      <c r="E9361" s="2"/>
      <c r="F9361" s="2" t="str">
        <f>IFERROR(__xludf.DUMMYFUNCTION("IF(E9361&lt;&gt;"""", GOOGLETRANSLATE(E9361, ""en"", ""te""),"""")"),"")</f>
        <v/>
      </c>
      <c r="G9361" s="2"/>
      <c r="H9361" s="2" t="str">
        <f>IFERROR(__xludf.DUMMYFUNCTION("IF(G9361&lt;&gt;"""", GOOGLETRANSLATE(G9361, ""en"", ""te""),"""")"),"")</f>
        <v/>
      </c>
      <c r="I9361" s="3"/>
    </row>
    <row r="9362" customHeight="1" spans="1:9">
      <c r="A9362" s="2"/>
      <c r="B9362" s="2" t="str">
        <f>IFERROR(__xludf.DUMMYFUNCTION("IF(A9362&lt;&gt;"""", GOOGLETRANSLATE(A9362, ""en"", ""te""),"""")"),"")</f>
        <v/>
      </c>
      <c r="C9362" s="2"/>
      <c r="D9362" s="2" t="str">
        <f>IFERROR(__xludf.DUMMYFUNCTION("IF(C9362&lt;&gt;"""", GOOGLETRANSLATE(C9362, ""en"", ""te""),"""")"),"")</f>
        <v/>
      </c>
      <c r="E9362" s="2"/>
      <c r="F9362" s="2" t="str">
        <f>IFERROR(__xludf.DUMMYFUNCTION("IF(E9362&lt;&gt;"""", GOOGLETRANSLATE(E9362, ""en"", ""te""),"""")"),"")</f>
        <v/>
      </c>
      <c r="G9362" s="2" t="s">
        <v>5349</v>
      </c>
      <c r="H9362" s="2" t="str">
        <f>IFERROR(__xludf.DUMMYFUNCTION("IF(G9362&lt;&gt;"""", GOOGLETRANSLATE(G9362, ""en"", ""te""),"""")"),"[ 'తొలి 28 ఓల్డెస్ట్ క్రీడాకారులు (39y 203d)', '33 వ ఓల్డెస్ట్ క్రీడాకారులు (39y 271d)']")</f>
        <v>[ 'తొలి 28 ఓల్డెస్ట్ క్రీడాకారులు (39y 203d)', '33 వ ఓల్డెస్ట్ క్రీడాకారులు (39y 271d)']</v>
      </c>
      <c r="I9362" s="3"/>
    </row>
    <row r="9363" customHeight="1" spans="1:9">
      <c r="A9363" s="2"/>
      <c r="B9363" s="2" t="str">
        <f>IFERROR(__xludf.DUMMYFUNCTION("IF(A9363&lt;&gt;"""", GOOGLETRANSLATE(A9363, ""en"", ""te""),"""")"),"")</f>
        <v/>
      </c>
      <c r="C9363" s="2"/>
      <c r="D9363" s="2" t="str">
        <f>IFERROR(__xludf.DUMMYFUNCTION("IF(C9363&lt;&gt;"""", GOOGLETRANSLATE(C9363, ""en"", ""te""),"""")"),"")</f>
        <v/>
      </c>
      <c r="E9363" s="2"/>
      <c r="F9363" s="2" t="str">
        <f>IFERROR(__xludf.DUMMYFUNCTION("IF(E9363&lt;&gt;"""", GOOGLETRANSLATE(E9363, ""en"", ""te""),"""")"),"")</f>
        <v/>
      </c>
      <c r="G9363" s="2"/>
      <c r="H9363" s="2" t="str">
        <f>IFERROR(__xludf.DUMMYFUNCTION("IF(G9363&lt;&gt;"""", GOOGLETRANSLATE(G9363, ""en"", ""te""),"""")"),"")</f>
        <v/>
      </c>
      <c r="I9363" s="3"/>
    </row>
    <row r="9364" customHeight="1" spans="1:9">
      <c r="A9364" s="2" t="s">
        <v>5350</v>
      </c>
      <c r="B9364" s="2" t="str">
        <f>IFERROR(__xludf.DUMMYFUNCTION("IF(A9364&lt;&gt;"""", GOOGLETRANSLATE(A9364, ""en"", ""te""),"""")"),"[ 'ప్రదర్శనల మధ్య 1st లాంగెస్ట్ వ్యవధిలో (11y 80D)']")</f>
        <v>[ 'ప్రదర్శనల మధ్య 1st లాంగెస్ట్ వ్యవధిలో (11y 80D)']</v>
      </c>
      <c r="C9364" s="2"/>
      <c r="D9364" s="2" t="str">
        <f>IFERROR(__xludf.DUMMYFUNCTION("IF(C9364&lt;&gt;"""", GOOGLETRANSLATE(C9364, ""en"", ""te""),"""")"),"")</f>
        <v/>
      </c>
      <c r="E9364" s="2"/>
      <c r="F9364" s="2" t="str">
        <f>IFERROR(__xludf.DUMMYFUNCTION("IF(E9364&lt;&gt;"""", GOOGLETRANSLATE(E9364, ""en"", ""te""),"""")"),"")</f>
        <v/>
      </c>
      <c r="G9364" s="2" t="s">
        <v>5350</v>
      </c>
      <c r="H9364" s="2" t="str">
        <f>IFERROR(__xludf.DUMMYFUNCTION("IF(G9364&lt;&gt;"""", GOOGLETRANSLATE(G9364, ""en"", ""te""),"""")"),"[ 'ప్రదర్శనల మధ్య 1st లాంగెస్ట్ వ్యవధిలో (11y 80D)']")</f>
        <v>[ 'ప్రదర్శనల మధ్య 1st లాంగెస్ట్ వ్యవధిలో (11y 80D)']</v>
      </c>
      <c r="I9364" s="3"/>
    </row>
    <row r="9365" customHeight="1" spans="1:9">
      <c r="A9365" s="2"/>
      <c r="B9365" s="2" t="str">
        <f>IFERROR(__xludf.DUMMYFUNCTION("IF(A9365&lt;&gt;"""", GOOGLETRANSLATE(A9365, ""en"", ""te""),"""")"),"")</f>
        <v/>
      </c>
      <c r="C9365" s="2"/>
      <c r="D9365" s="2" t="str">
        <f>IFERROR(__xludf.DUMMYFUNCTION("IF(C9365&lt;&gt;"""", GOOGLETRANSLATE(C9365, ""en"", ""te""),"""")"),"")</f>
        <v/>
      </c>
      <c r="E9365" s="2"/>
      <c r="F9365" s="2" t="str">
        <f>IFERROR(__xludf.DUMMYFUNCTION("IF(E9365&lt;&gt;"""", GOOGLETRANSLATE(E9365, ""en"", ""te""),"""")"),"")</f>
        <v/>
      </c>
      <c r="G9365" s="2" t="s">
        <v>5351</v>
      </c>
      <c r="H9365" s="2" t="str">
        <f>IFERROR(__xludf.DUMMYFUNCTION("IF(G9365&lt;&gt;"""", GOOGLETRANSLATE(G9365, ""en"", ""te""),"""")"),"[ '14 వ ఇన్నింగ్స్ లో అత్యధిక పరుగులు (బ్యాటింగ్ స్థానంలో ప్రకారం) (37)', 'తొమ్మిదవ వికెట్ (29) కోసం 33 వ అత్యధిక భాగస్వామ్యం']")</f>
        <v>[ '14 వ ఇన్నింగ్స్ లో అత్యధిక పరుగులు (బ్యాటింగ్ స్థానంలో ప్రకారం) (37)', 'తొమ్మిదవ వికెట్ (29) కోసం 33 వ అత్యధిక భాగస్వామ్యం']</v>
      </c>
      <c r="I9365" s="3"/>
    </row>
    <row r="9366" customHeight="1" spans="1:9">
      <c r="A9366" s="2" t="s">
        <v>5352</v>
      </c>
      <c r="B9366" s="2" t="str">
        <f>IFERROR(__xludf.DUMMYFUNCTION("IF(A9366&lt;&gt;"""", GOOGLETRANSLATE(A9366, ""en"", ""te""),"""")"),"[ 'ఇన్నింగ్స్ లో 7 వ అత్యధిక పరుగులు (23 *) (బ్యాటింగ్ స్థానం)', 'పదవ వికెట్కు 9 వ అత్యధిక భాగస్వామ్యం (27 *)']")</f>
        <v>[ 'ఇన్నింగ్స్ లో 7 వ అత్యధిక పరుగులు (23 *) (బ్యాటింగ్ స్థానం)', 'పదవ వికెట్కు 9 వ అత్యధిక భాగస్వామ్యం (27 *)']</v>
      </c>
      <c r="C9366" s="2"/>
      <c r="D9366" s="2" t="str">
        <f>IFERROR(__xludf.DUMMYFUNCTION("IF(C9366&lt;&gt;"""", GOOGLETRANSLATE(C9366, ""en"", ""te""),"""")"),"")</f>
        <v/>
      </c>
      <c r="E9366" s="2"/>
      <c r="F9366" s="2" t="str">
        <f>IFERROR(__xludf.DUMMYFUNCTION("IF(E9366&lt;&gt;"""", GOOGLETRANSLATE(E9366, ""en"", ""te""),"""")"),"")</f>
        <v/>
      </c>
      <c r="G9366" s="2" t="s">
        <v>5353</v>
      </c>
      <c r="H9366" s="2" t="str">
        <f>IFERROR(__xludf.DUMMYFUNCTION("IF(G9366&lt;&gt;"""", GOOGLETRANSLATE(G9366, ""en"", ""te""),"""")"),"[ 'ఇన్నింగ్స్ లో 7 వ అత్యధిక పరుగులు (23 *) (బ్యాటింగ్ స్థానం)', '9 వ అత్యధిక భాగస్వామ్యం పదవ వికెట్కు (27 *)' '18 వ చెత్త కెరీర్ సగటు (84.00) (అర్హత లేకుండా) బౌలింగ్',]")</f>
        <v>[ 'ఇన్నింగ్స్ లో 7 వ అత్యధిక పరుగులు (23 *) (బ్యాటింగ్ స్థానం)', '9 వ అత్యధిక భాగస్వామ్యం పదవ వికెట్కు (27 *)' '18 వ చెత్త కెరీర్ సగటు (84.00) (అర్హత లేకుండా) బౌలింగ్',]</v>
      </c>
      <c r="I9366" s="3"/>
    </row>
    <row r="9367" customHeight="1" spans="1:9">
      <c r="A9367" s="2"/>
      <c r="B9367" s="2" t="str">
        <f>IFERROR(__xludf.DUMMYFUNCTION("IF(A9367&lt;&gt;"""", GOOGLETRANSLATE(A9367, ""en"", ""te""),"""")"),"")</f>
        <v/>
      </c>
      <c r="C9367" s="2"/>
      <c r="D9367" s="2" t="str">
        <f>IFERROR(__xludf.DUMMYFUNCTION("IF(C9367&lt;&gt;"""", GOOGLETRANSLATE(C9367, ""en"", ""te""),"""")"),"")</f>
        <v/>
      </c>
      <c r="E9367" s="2"/>
      <c r="F9367" s="2" t="str">
        <f>IFERROR(__xludf.DUMMYFUNCTION("IF(E9367&lt;&gt;"""", GOOGLETRANSLATE(E9367, ""en"", ""te""),"""")"),"")</f>
        <v/>
      </c>
      <c r="G9367" s="2"/>
      <c r="H9367" s="2" t="str">
        <f>IFERROR(__xludf.DUMMYFUNCTION("IF(G9367&lt;&gt;"""", GOOGLETRANSLATE(G9367, ""en"", ""te""),"""")"),"")</f>
        <v/>
      </c>
      <c r="I9367" s="3"/>
    </row>
    <row r="9368" customHeight="1" spans="1:9">
      <c r="A9368" s="2"/>
      <c r="B9368" s="2" t="str">
        <f>IFERROR(__xludf.DUMMYFUNCTION("IF(A9368&lt;&gt;"""", GOOGLETRANSLATE(A9368, ""en"", ""te""),"""")"),"")</f>
        <v/>
      </c>
      <c r="C9368" s="2"/>
      <c r="D9368" s="2" t="str">
        <f>IFERROR(__xludf.DUMMYFUNCTION("IF(C9368&lt;&gt;"""", GOOGLETRANSLATE(C9368, ""en"", ""te""),"""")"),"")</f>
        <v/>
      </c>
      <c r="E9368" s="2"/>
      <c r="F9368" s="2" t="str">
        <f>IFERROR(__xludf.DUMMYFUNCTION("IF(E9368&lt;&gt;"""", GOOGLETRANSLATE(E9368, ""en"", ""te""),"""")"),"")</f>
        <v/>
      </c>
      <c r="G9368" s="2" t="s">
        <v>5354</v>
      </c>
      <c r="H9368" s="2" t="str">
        <f>IFERROR(__xludf.DUMMYFUNCTION("IF(G9368&lt;&gt;"""", GOOGLETRANSLATE(G9368, ""en"", ""te""),"""")"),"[ '15 వ అత్యుత్తమ బౌలింగ్ ఇన్నింగ్స్ లో విశ్లేషించడం (4/10)', 'ఇన్నింగ్స్ లో 31 ఉత్తమ సమ్మె రేటు (4.5)']")</f>
        <v>[ '15 వ అత్యుత్తమ బౌలింగ్ ఇన్నింగ్స్ లో విశ్లేషించడం (4/10)', 'ఇన్నింగ్స్ లో 31 ఉత్తమ సమ్మె రేటు (4.5)']</v>
      </c>
      <c r="I9368" s="3"/>
    </row>
    <row r="9369" customHeight="1" spans="1:9">
      <c r="A9369" s="2" t="s">
        <v>5355</v>
      </c>
      <c r="B9369" s="2" t="str">
        <f>IFERROR(__xludf.DUMMYFUNCTION("IF(A9369&lt;&gt;"""", GOOGLETRANSLATE(A9369, ""en"", ""te""),"""")"),"[ '5 వ అత్యధిక కెరీర్ సమ్మె రేటు (117.06)']")</f>
        <v>[ '5 వ అత్యధిక కెరీర్ సమ్మె రేటు (117.06)']</v>
      </c>
      <c r="C9369" s="2"/>
      <c r="D9369" s="2" t="str">
        <f>IFERROR(__xludf.DUMMYFUNCTION("IF(C9369&lt;&gt;"""", GOOGLETRANSLATE(C9369, ""en"", ""te""),"""")"),"")</f>
        <v/>
      </c>
      <c r="E9369" s="2" t="s">
        <v>5356</v>
      </c>
      <c r="F9369" s="2" t="str">
        <f>IFERROR(__xludf.DUMMYFUNCTION("IF(E9369&lt;&gt;"""", GOOGLETRANSLATE(E9369, ""en"", ""te""),"""")"),"[ '5 వ అత్యధిక కెరీర్ సమ్మె రేటు (117.06)', '25 వ చెత్త కెరీర్ బౌలింగ్ సరాసరి (అర్హత లేకుండా) (129,00)']")</f>
        <v>[ '5 వ అత్యధిక కెరీర్ సమ్మె రేటు (117.06)', '25 వ చెత్త కెరీర్ బౌలింగ్ సరాసరి (అర్హత లేకుండా) (129,00)']</v>
      </c>
      <c r="G9369" s="2"/>
      <c r="H9369" s="2" t="str">
        <f>IFERROR(__xludf.DUMMYFUNCTION("IF(G9369&lt;&gt;"""", GOOGLETRANSLATE(G9369, ""en"", ""te""),"""")"),"")</f>
        <v/>
      </c>
      <c r="I9369" s="3"/>
    </row>
    <row r="9370" customHeight="1" spans="1:9">
      <c r="A9370" s="2"/>
      <c r="B9370" s="2" t="str">
        <f>IFERROR(__xludf.DUMMYFUNCTION("IF(A9370&lt;&gt;"""", GOOGLETRANSLATE(A9370, ""en"", ""te""),"""")"),"")</f>
        <v/>
      </c>
      <c r="C9370" s="2"/>
      <c r="D9370" s="2" t="str">
        <f>IFERROR(__xludf.DUMMYFUNCTION("IF(C9370&lt;&gt;"""", GOOGLETRANSLATE(C9370, ""en"", ""te""),"""")"),"")</f>
        <v/>
      </c>
      <c r="E9370" s="2"/>
      <c r="F9370" s="2" t="str">
        <f>IFERROR(__xludf.DUMMYFUNCTION("IF(E9370&lt;&gt;"""", GOOGLETRANSLATE(E9370, ""en"", ""te""),"""")"),"")</f>
        <v/>
      </c>
      <c r="G9370" s="2"/>
      <c r="H9370" s="2" t="str">
        <f>IFERROR(__xludf.DUMMYFUNCTION("IF(G9370&lt;&gt;"""", GOOGLETRANSLATE(G9370, ""en"", ""te""),"""")"),"")</f>
        <v/>
      </c>
      <c r="I9370" s="3"/>
    </row>
    <row r="9371" customHeight="1" spans="1:9">
      <c r="A9371" s="2" t="s">
        <v>5357</v>
      </c>
      <c r="B9371" s="2" t="str">
        <f>IFERROR(__xludf.DUMMYFUNCTION("IF(A9371&lt;&gt;"""", GOOGLETRANSLATE(A9371, ""en"", ""te""),"""")"),"[ '9 వ షార్టేస్ట్ క్రీడాకారులు (30y 348d) నివసించారు']")</f>
        <v>[ '9 వ షార్టేస్ట్ క్రీడాకారులు (30y 348d) నివసించారు']</v>
      </c>
      <c r="C9371" s="2"/>
      <c r="D9371" s="2" t="str">
        <f>IFERROR(__xludf.DUMMYFUNCTION("IF(C9371&lt;&gt;"""", GOOGLETRANSLATE(C9371, ""en"", ""te""),"""")"),"")</f>
        <v/>
      </c>
      <c r="E9371" s="2" t="s">
        <v>5357</v>
      </c>
      <c r="F9371" s="2" t="str">
        <f>IFERROR(__xludf.DUMMYFUNCTION("IF(E9371&lt;&gt;"""", GOOGLETRANSLATE(E9371, ""en"", ""te""),"""")"),"[ '9 వ షార్టేస్ట్ క్రీడాకారులు (30y 348d) నివసించారు']")</f>
        <v>[ '9 వ షార్టేస్ట్ క్రీడాకారులు (30y 348d) నివసించారు']</v>
      </c>
      <c r="G9371" s="2"/>
      <c r="H9371" s="2" t="str">
        <f>IFERROR(__xludf.DUMMYFUNCTION("IF(G9371&lt;&gt;"""", GOOGLETRANSLATE(G9371, ""en"", ""te""),"""")"),"")</f>
        <v/>
      </c>
      <c r="I9371" s="3"/>
    </row>
    <row r="9372" customHeight="1" spans="1:9">
      <c r="A9372" s="2"/>
      <c r="B9372" s="2" t="str">
        <f>IFERROR(__xludf.DUMMYFUNCTION("IF(A9372&lt;&gt;"""", GOOGLETRANSLATE(A9372, ""en"", ""te""),"""")"),"")</f>
        <v/>
      </c>
      <c r="C9372" s="2"/>
      <c r="D9372" s="2" t="str">
        <f>IFERROR(__xludf.DUMMYFUNCTION("IF(C9372&lt;&gt;"""", GOOGLETRANSLATE(C9372, ""en"", ""te""),"""")"),"")</f>
        <v/>
      </c>
      <c r="E9372" s="2"/>
      <c r="F9372" s="2" t="str">
        <f>IFERROR(__xludf.DUMMYFUNCTION("IF(E9372&lt;&gt;"""", GOOGLETRANSLATE(E9372, ""en"", ""te""),"""")"),"")</f>
        <v/>
      </c>
      <c r="G9372" s="2"/>
      <c r="H9372" s="2" t="str">
        <f>IFERROR(__xludf.DUMMYFUNCTION("IF(G9372&lt;&gt;"""", GOOGLETRANSLATE(G9372, ""en"", ""te""),"""")"),"")</f>
        <v/>
      </c>
      <c r="I9372" s="3"/>
    </row>
    <row r="9373" customHeight="1" spans="1:9">
      <c r="A9373" s="2" t="s">
        <v>5358</v>
      </c>
      <c r="B9373" s="2" t="str">
        <f>IFERROR(__xludf.DUMMYFUNCTION("IF(A9373&lt;&gt;"""", GOOGLETRANSLATE(A9373, ""en"", ""te""),"""")"),"[ '4 వ ఉత్తమ సమ్మె ఇన్నింగ్స్ లో రేటు (2.8)']")</f>
        <v>[ '4 వ ఉత్తమ సమ్మె ఇన్నింగ్స్ లో రేటు (2.8)']</v>
      </c>
      <c r="C9373" s="2"/>
      <c r="D9373" s="2" t="str">
        <f>IFERROR(__xludf.DUMMYFUNCTION("IF(C9373&lt;&gt;"""", GOOGLETRANSLATE(C9373, ""en"", ""te""),"""")"),"")</f>
        <v/>
      </c>
      <c r="E9373" s="2"/>
      <c r="F9373" s="2" t="str">
        <f>IFERROR(__xludf.DUMMYFUNCTION("IF(E9373&lt;&gt;"""", GOOGLETRANSLATE(E9373, ""en"", ""te""),"""")"),"")</f>
        <v/>
      </c>
      <c r="G9373" s="2" t="s">
        <v>5359</v>
      </c>
      <c r="H9373" s="2" t="str">
        <f>IFERROR(__xludf.DUMMYFUNCTION("IF(G9373&lt;&gt;"""", GOOGLETRANSLATE(G9373, ""en"", ""te""),"""")"),"[ '27 ఒక ఇన్నింగ్స్ లోని బెస్ట్ ఫిగర్స్ (5/18)', '16 వ ఉత్తమ కెరీర్ బౌలింగ్ సరాసరి (అర్హత లేకుండా) (6.00)', 'ఇన్నింగ్స్ లో 4 వ ఉత్తమ సమ్మె రేటు (2.8)', '15 వ అత్యంత ఇన్నింగ్స్ లో క్యాచ్లు (3) ']")</f>
        <v>[ '27 ఒక ఇన్నింగ్స్ లోని బెస్ట్ ఫిగర్స్ (5/18)', '16 వ ఉత్తమ కెరీర్ బౌలింగ్ సరాసరి (అర్హత లేకుండా) (6.00)', 'ఇన్నింగ్స్ లో 4 వ ఉత్తమ సమ్మె రేటు (2.8)', '15 వ అత్యంత ఇన్నింగ్స్ లో క్యాచ్లు (3) ']</v>
      </c>
      <c r="I9373" s="3"/>
    </row>
    <row r="9374" customHeight="1" spans="1:9">
      <c r="A9374" s="2"/>
      <c r="B9374" s="2" t="str">
        <f>IFERROR(__xludf.DUMMYFUNCTION("IF(A9374&lt;&gt;"""", GOOGLETRANSLATE(A9374, ""en"", ""te""),"""")"),"")</f>
        <v/>
      </c>
      <c r="C9374" s="2"/>
      <c r="D9374" s="2" t="str">
        <f>IFERROR(__xludf.DUMMYFUNCTION("IF(C9374&lt;&gt;"""", GOOGLETRANSLATE(C9374, ""en"", ""te""),"""")"),"")</f>
        <v/>
      </c>
      <c r="E9374" s="2"/>
      <c r="F9374" s="2" t="str">
        <f>IFERROR(__xludf.DUMMYFUNCTION("IF(E9374&lt;&gt;"""", GOOGLETRANSLATE(E9374, ""en"", ""te""),"""")"),"")</f>
        <v/>
      </c>
      <c r="G9374" s="2"/>
      <c r="H9374" s="2" t="str">
        <f>IFERROR(__xludf.DUMMYFUNCTION("IF(G9374&lt;&gt;"""", GOOGLETRANSLATE(G9374, ""en"", ""te""),"""")"),"")</f>
        <v/>
      </c>
      <c r="I9374" s="3"/>
    </row>
    <row r="9375" customHeight="1" spans="1:9">
      <c r="A9375" s="2"/>
      <c r="B9375" s="2" t="str">
        <f>IFERROR(__xludf.DUMMYFUNCTION("IF(A9375&lt;&gt;"""", GOOGLETRANSLATE(A9375, ""en"", ""te""),"""")"),"")</f>
        <v/>
      </c>
      <c r="C9375" s="2"/>
      <c r="D9375" s="2" t="str">
        <f>IFERROR(__xludf.DUMMYFUNCTION("IF(C9375&lt;&gt;"""", GOOGLETRANSLATE(C9375, ""en"", ""te""),"""")"),"")</f>
        <v/>
      </c>
      <c r="E9375" s="2"/>
      <c r="F9375" s="2" t="str">
        <f>IFERROR(__xludf.DUMMYFUNCTION("IF(E9375&lt;&gt;"""", GOOGLETRANSLATE(E9375, ""en"", ""te""),"""")"),"")</f>
        <v/>
      </c>
      <c r="G9375" s="2"/>
      <c r="H9375" s="2" t="str">
        <f>IFERROR(__xludf.DUMMYFUNCTION("IF(G9375&lt;&gt;"""", GOOGLETRANSLATE(G9375, ""en"", ""te""),"""")"),"")</f>
        <v/>
      </c>
      <c r="I9375" s="3"/>
    </row>
    <row r="9376" customHeight="1" spans="1:9">
      <c r="A9376" s="2"/>
      <c r="B9376" s="2" t="str">
        <f>IFERROR(__xludf.DUMMYFUNCTION("IF(A9376&lt;&gt;"""", GOOGLETRANSLATE(A9376, ""en"", ""te""),"""")"),"")</f>
        <v/>
      </c>
      <c r="C9376" s="2"/>
      <c r="D9376" s="2" t="str">
        <f>IFERROR(__xludf.DUMMYFUNCTION("IF(C9376&lt;&gt;"""", GOOGLETRANSLATE(C9376, ""en"", ""te""),"""")"),"")</f>
        <v/>
      </c>
      <c r="E9376" s="2"/>
      <c r="F9376" s="2" t="str">
        <f>IFERROR(__xludf.DUMMYFUNCTION("IF(E9376&lt;&gt;"""", GOOGLETRANSLATE(E9376, ""en"", ""te""),"""")"),"")</f>
        <v/>
      </c>
      <c r="G9376" s="2"/>
      <c r="H9376" s="2" t="str">
        <f>IFERROR(__xludf.DUMMYFUNCTION("IF(G9376&lt;&gt;"""", GOOGLETRANSLATE(G9376, ""en"", ""te""),"""")"),"")</f>
        <v/>
      </c>
      <c r="I9376" s="3"/>
    </row>
    <row r="9377" customHeight="1" spans="1:9">
      <c r="A9377" s="2"/>
      <c r="B9377" s="2" t="str">
        <f>IFERROR(__xludf.DUMMYFUNCTION("IF(A9377&lt;&gt;"""", GOOGLETRANSLATE(A9377, ""en"", ""te""),"""")"),"")</f>
        <v/>
      </c>
      <c r="C9377" s="2"/>
      <c r="D9377" s="2" t="str">
        <f>IFERROR(__xludf.DUMMYFUNCTION("IF(C9377&lt;&gt;"""", GOOGLETRANSLATE(C9377, ""en"", ""te""),"""")"),"")</f>
        <v/>
      </c>
      <c r="E9377" s="2"/>
      <c r="F9377" s="2" t="str">
        <f>IFERROR(__xludf.DUMMYFUNCTION("IF(E9377&lt;&gt;"""", GOOGLETRANSLATE(E9377, ""en"", ""te""),"""")"),"")</f>
        <v/>
      </c>
      <c r="G9377" s="2"/>
      <c r="H9377" s="2" t="str">
        <f>IFERROR(__xludf.DUMMYFUNCTION("IF(G9377&lt;&gt;"""", GOOGLETRANSLATE(G9377, ""en"", ""te""),"""")"),"")</f>
        <v/>
      </c>
      <c r="I9377" s="3"/>
    </row>
    <row r="9378" customHeight="1" spans="1:9">
      <c r="A9378" s="2"/>
      <c r="B9378" s="2" t="str">
        <f>IFERROR(__xludf.DUMMYFUNCTION("IF(A9378&lt;&gt;"""", GOOGLETRANSLATE(A9378, ""en"", ""te""),"""")"),"")</f>
        <v/>
      </c>
      <c r="C9378" s="2"/>
      <c r="D9378" s="2" t="str">
        <f>IFERROR(__xludf.DUMMYFUNCTION("IF(C9378&lt;&gt;"""", GOOGLETRANSLATE(C9378, ""en"", ""te""),"""")"),"")</f>
        <v/>
      </c>
      <c r="E9378" s="2"/>
      <c r="F9378" s="2" t="str">
        <f>IFERROR(__xludf.DUMMYFUNCTION("IF(E9378&lt;&gt;"""", GOOGLETRANSLATE(E9378, ""en"", ""te""),"""")"),"")</f>
        <v/>
      </c>
      <c r="G9378" s="2"/>
      <c r="H9378" s="2" t="str">
        <f>IFERROR(__xludf.DUMMYFUNCTION("IF(G9378&lt;&gt;"""", GOOGLETRANSLATE(G9378, ""en"", ""te""),"""")"),"")</f>
        <v/>
      </c>
      <c r="I9378" s="3"/>
    </row>
    <row r="9379" customHeight="1" spans="1:9">
      <c r="A9379" s="2"/>
      <c r="B9379" s="2" t="str">
        <f>IFERROR(__xludf.DUMMYFUNCTION("IF(A9379&lt;&gt;"""", GOOGLETRANSLATE(A9379, ""en"", ""te""),"""")"),"")</f>
        <v/>
      </c>
      <c r="C9379" s="2"/>
      <c r="D9379" s="2" t="str">
        <f>IFERROR(__xludf.DUMMYFUNCTION("IF(C9379&lt;&gt;"""", GOOGLETRANSLATE(C9379, ""en"", ""te""),"""")"),"")</f>
        <v/>
      </c>
      <c r="E9379" s="2"/>
      <c r="F9379" s="2" t="str">
        <f>IFERROR(__xludf.DUMMYFUNCTION("IF(E9379&lt;&gt;"""", GOOGLETRANSLATE(E9379, ""en"", ""te""),"""")"),"")</f>
        <v/>
      </c>
      <c r="G9379" s="2"/>
      <c r="H9379" s="2" t="str">
        <f>IFERROR(__xludf.DUMMYFUNCTION("IF(G9379&lt;&gt;"""", GOOGLETRANSLATE(G9379, ""en"", ""te""),"""")"),"")</f>
        <v/>
      </c>
      <c r="I9379" s="3"/>
    </row>
    <row r="9380" customHeight="1" spans="1:9">
      <c r="A9380" s="2" t="s">
        <v>5360</v>
      </c>
      <c r="B9380" s="2" t="str">
        <f>IFERROR(__xludf.DUMMYFUNCTION("IF(A9380&lt;&gt;"""", GOOGLETRANSLATE(A9380, ""en"", ""te""),"""")"),"[ '3 వ అత్యంత వృద్ధ ఆటగాడు తొలి వంద (38y 149d) స్కోర్']")</f>
        <v>[ '3 వ అత్యంత వృద్ధ ఆటగాడు తొలి వంద (38y 149d) స్కోర్']</v>
      </c>
      <c r="C9380" s="2"/>
      <c r="D9380" s="2" t="str">
        <f>IFERROR(__xludf.DUMMYFUNCTION("IF(C9380&lt;&gt;"""", GOOGLETRANSLATE(C9380, ""en"", ""te""),"""")"),"")</f>
        <v/>
      </c>
      <c r="E9380" s="2" t="s">
        <v>5361</v>
      </c>
      <c r="F9380" s="2" t="str">
        <f>IFERROR(__xludf.DUMMYFUNCTION("IF(E9380&lt;&gt;"""", GOOGLETRANSLATE(E9380, ""en"", ""te""),"""")"),"[ 'తొలి సెంచరీ 3 వ అత్యంత వృద్ధ ఆటగాడు (38y 149d)' '7th అత్యంత వృద్ధ ఆటగాడు వంద (38y 149d) స్కోర్', '(అర్హత లేకుండా) సగటు బౌలింగ్ 34 వ చెత్త కెరీర్ (119.00)']")</f>
        <v>[ 'తొలి సెంచరీ 3 వ అత్యంత వృద్ధ ఆటగాడు (38y 149d)' '7th అత్యంత వృద్ధ ఆటగాడు వంద (38y 149d) స్కోర్', '(అర్హత లేకుండా) సగటు బౌలింగ్ 34 వ చెత్త కెరీర్ (119.00)']</v>
      </c>
      <c r="G9380" s="2" t="s">
        <v>5362</v>
      </c>
      <c r="H9380" s="2" t="str">
        <f>IFERROR(__xludf.DUMMYFUNCTION("IF(G9380&lt;&gt;"""", GOOGLETRANSLATE(G9380, ""en"", ""te""),"""")"),"[ '20 వ పురాతన దేశం ఆటగాళ్ళు (50y 127d)']")</f>
        <v>[ '20 వ పురాతన దేశం ఆటగాళ్ళు (50y 127d)']</v>
      </c>
      <c r="I9380" s="3"/>
    </row>
    <row r="9381" customHeight="1" spans="1:9">
      <c r="A9381" s="2"/>
      <c r="B9381" s="2" t="str">
        <f>IFERROR(__xludf.DUMMYFUNCTION("IF(A9381&lt;&gt;"""", GOOGLETRANSLATE(A9381, ""en"", ""te""),"""")"),"")</f>
        <v/>
      </c>
      <c r="C9381" s="2"/>
      <c r="D9381" s="2" t="str">
        <f>IFERROR(__xludf.DUMMYFUNCTION("IF(C9381&lt;&gt;"""", GOOGLETRANSLATE(C9381, ""en"", ""te""),"""")"),"")</f>
        <v/>
      </c>
      <c r="E9381" s="2" t="s">
        <v>5363</v>
      </c>
      <c r="F9381" s="2" t="str">
        <f>IFERROR(__xludf.DUMMYFUNCTION("IF(E9381&lt;&gt;"""", GOOGLETRANSLATE(E9381, ""en"", ""te""),"""")"),"[ '39 వ చెత్త ఇన్నింగ్స్ లో ఆర్థిక రేటు (11.00)']")</f>
        <v>[ '39 వ చెత్త ఇన్నింగ్స్ లో ఆర్థిక రేటు (11.00)']</v>
      </c>
      <c r="G9381" s="2"/>
      <c r="H9381" s="2" t="str">
        <f>IFERROR(__xludf.DUMMYFUNCTION("IF(G9381&lt;&gt;"""", GOOGLETRANSLATE(G9381, ""en"", ""te""),"""")"),"")</f>
        <v/>
      </c>
      <c r="I9381" s="3"/>
    </row>
    <row r="9382" customHeight="1" spans="1:9">
      <c r="A9382" s="2"/>
      <c r="B9382" s="2" t="str">
        <f>IFERROR(__xludf.DUMMYFUNCTION("IF(A9382&lt;&gt;"""", GOOGLETRANSLATE(A9382, ""en"", ""te""),"""")"),"")</f>
        <v/>
      </c>
      <c r="C9382" s="2"/>
      <c r="D9382" s="2" t="str">
        <f>IFERROR(__xludf.DUMMYFUNCTION("IF(C9382&lt;&gt;"""", GOOGLETRANSLATE(C9382, ""en"", ""te""),"""")"),"")</f>
        <v/>
      </c>
      <c r="E9382" s="2" t="s">
        <v>5364</v>
      </c>
      <c r="F9382" s="2" t="str">
        <f>IFERROR(__xludf.DUMMYFUNCTION("IF(E9382&lt;&gt;"""", GOOGLETRANSLATE(E9382, ""en"", ""te""),"""")"),"[ '32 వ పిన్న క్రీడాకారులు (17y 138d)']")</f>
        <v>[ '32 వ పిన్న క్రీడాకారులు (17y 138d)']</v>
      </c>
      <c r="G9382" s="2"/>
      <c r="H9382" s="2" t="str">
        <f>IFERROR(__xludf.DUMMYFUNCTION("IF(G9382&lt;&gt;"""", GOOGLETRANSLATE(G9382, ""en"", ""te""),"""")"),"")</f>
        <v/>
      </c>
      <c r="I9382" s="3"/>
    </row>
    <row r="9383" customHeight="1" spans="1:9">
      <c r="A9383" s="2"/>
      <c r="B9383" s="2" t="str">
        <f>IFERROR(__xludf.DUMMYFUNCTION("IF(A9383&lt;&gt;"""", GOOGLETRANSLATE(A9383, ""en"", ""te""),"""")"),"")</f>
        <v/>
      </c>
      <c r="C9383" s="2"/>
      <c r="D9383" s="2" t="str">
        <f>IFERROR(__xludf.DUMMYFUNCTION("IF(C9383&lt;&gt;"""", GOOGLETRANSLATE(C9383, ""en"", ""te""),"""")"),"")</f>
        <v/>
      </c>
      <c r="E9383" s="2"/>
      <c r="F9383" s="2" t="str">
        <f>IFERROR(__xludf.DUMMYFUNCTION("IF(E9383&lt;&gt;"""", GOOGLETRANSLATE(E9383, ""en"", ""te""),"""")"),"")</f>
        <v/>
      </c>
      <c r="G9383" s="2"/>
      <c r="H9383" s="2" t="str">
        <f>IFERROR(__xludf.DUMMYFUNCTION("IF(G9383&lt;&gt;"""", GOOGLETRANSLATE(G9383, ""en"", ""te""),"""")"),"")</f>
        <v/>
      </c>
      <c r="I9383" s="3"/>
    </row>
    <row r="9384" customHeight="1" spans="1:9">
      <c r="A9384" s="2" t="s">
        <v>5365</v>
      </c>
      <c r="B9384" s="2" t="str">
        <f>IFERROR(__xludf.DUMMYFUNCTION("IF(A9384&lt;&gt;"""", GOOGLETRANSLATE(A9384, ""en"", ""te""),"""")"),"[ '7th అత్యంత వృద్ధ ఆటగాడు తొలి తీసుకుని ఐదు-వికెట్ల లో-ఒక-ఇన్నింగ్స్ (35y 123d)']")</f>
        <v>[ '7th అత్యంత వృద్ధ ఆటగాడు తొలి తీసుకుని ఐదు-వికెట్ల లో-ఒక-ఇన్నింగ్స్ (35y 123d)']</v>
      </c>
      <c r="C9384" s="2"/>
      <c r="D9384" s="2" t="str">
        <f>IFERROR(__xludf.DUMMYFUNCTION("IF(C9384&lt;&gt;"""", GOOGLETRANSLATE(C9384, ""en"", ""te""),"""")"),"")</f>
        <v/>
      </c>
      <c r="E9384" s="2" t="s">
        <v>5366</v>
      </c>
      <c r="F9384" s="2" t="str">
        <f>IFERROR(__xludf.DUMMYFUNCTION("IF(E9384&lt;&gt;"""", GOOGLETRANSLATE(E9384, ""en"", ""te""),"""")"),"[ '14 వ ఒక ఇన్నింగ్స్ లోని బెస్ట్ ఫిగర్స్ ఉన్నప్పుడు పరాజయం వైపు (5)', ఒక ఐదు మైడెన్-వికెట్లు తీసుకోవాలని 'అయిదు వికెట్లు-ఇన్-ఒక-ఇన్నింగ్స్ (35y 123d) పడుతుంది 12 వ ఓల్డెస్ట్ ఆటగాడు', '7 వ అత్యంత వృద్ధ ఆటగాడు -ఇన్-ఒక-ఇన్నింగ్స్ (35y 123d) ',' 19 వ ఇన్ని"&amp;"ంగ్స్ లో సాధించిన అత్యధిక పరుగులు (96) ']")</f>
        <v>[ '14 వ ఒక ఇన్నింగ్స్ లోని బెస్ట్ ఫిగర్స్ ఉన్నప్పుడు పరాజయం వైపు (5)', ఒక ఐదు మైడెన్-వికెట్లు తీసుకోవాలని 'అయిదు వికెట్లు-ఇన్-ఒక-ఇన్నింగ్స్ (35y 123d) పడుతుంది 12 వ ఓల్డెస్ట్ ఆటగాడు', '7 వ అత్యంత వృద్ధ ఆటగాడు -ఇన్-ఒక-ఇన్నింగ్స్ (35y 123d) ',' 19 వ ఇన్నింగ్స్ లో సాధించిన అత్యధిక పరుగులు (96) ']</v>
      </c>
      <c r="G9384" s="2" t="s">
        <v>5367</v>
      </c>
      <c r="H9384" s="2" t="str">
        <f>IFERROR(__xludf.DUMMYFUNCTION("IF(G9384&lt;&gt;"""", GOOGLETRANSLATE(G9384, ""en"", ""te""),"""")"),"[ '25 పురాతన దేశం ఆటగాళ్ళు (49y 244d)']")</f>
        <v>[ '25 పురాతన దేశం ఆటగాళ్ళు (49y 244d)']</v>
      </c>
      <c r="I9384" s="3"/>
    </row>
    <row r="9385" customHeight="1" spans="1:9">
      <c r="A9385" s="2" t="s">
        <v>5368</v>
      </c>
      <c r="B9385" s="2" t="str">
        <f>IFERROR(__xludf.DUMMYFUNCTION("IF(A9385&lt;&gt;"""", GOOGLETRANSLATE(A9385, ""en"", ""te""),"""")"),"[ 'తొమ్మిదవ వికెట్కు 5 వ అత్యధిక భాగస్వామ్యం (45 *)']")</f>
        <v>[ 'తొమ్మిదవ వికెట్కు 5 వ అత్యధిక భాగస్వామ్యం (45 *)']</v>
      </c>
      <c r="C9385" s="2"/>
      <c r="D9385" s="2" t="str">
        <f>IFERROR(__xludf.DUMMYFUNCTION("IF(C9385&lt;&gt;"""", GOOGLETRANSLATE(C9385, ""en"", ""te""),"""")"),"")</f>
        <v/>
      </c>
      <c r="E9385" s="2"/>
      <c r="F9385" s="2" t="str">
        <f>IFERROR(__xludf.DUMMYFUNCTION("IF(E9385&lt;&gt;"""", GOOGLETRANSLATE(E9385, ""en"", ""te""),"""")"),"")</f>
        <v/>
      </c>
      <c r="G9385" s="2" t="s">
        <v>5369</v>
      </c>
      <c r="H9385" s="2" t="str">
        <f>IFERROR(__xludf.DUMMYFUNCTION("IF(G9385&lt;&gt;"""", GOOGLETRANSLATE(G9385, ""en"", ""te""),"""")"),"[ '35 వ ఇన్నింగ్స్ లో అత్యధిక పరుగులు (బ్యాటింగ్ స్థానంలో ప్రకారం) (43 *)', 'తొమ్మిదవ వికెట్ (45 *) 5 వ అత్యధిక భాగస్వామ్యం']")</f>
        <v>[ '35 వ ఇన్నింగ్స్ లో అత్యధిక పరుగులు (బ్యాటింగ్ స్థానంలో ప్రకారం) (43 *)', 'తొమ్మిదవ వికెట్ (45 *) 5 వ అత్యధిక భాగస్వామ్యం']</v>
      </c>
      <c r="I9385" s="3"/>
    </row>
    <row r="9386" customHeight="1" spans="1:9">
      <c r="A9386" s="2"/>
      <c r="B9386" s="2" t="str">
        <f>IFERROR(__xludf.DUMMYFUNCTION("IF(A9386&lt;&gt;"""", GOOGLETRANSLATE(A9386, ""en"", ""te""),"""")"),"")</f>
        <v/>
      </c>
      <c r="C9386" s="2"/>
      <c r="D9386" s="2" t="str">
        <f>IFERROR(__xludf.DUMMYFUNCTION("IF(C9386&lt;&gt;"""", GOOGLETRANSLATE(C9386, ""en"", ""te""),"""")"),"")</f>
        <v/>
      </c>
      <c r="E9386" s="2"/>
      <c r="F9386" s="2" t="str">
        <f>IFERROR(__xludf.DUMMYFUNCTION("IF(E9386&lt;&gt;"""", GOOGLETRANSLATE(E9386, ""en"", ""te""),"""")"),"")</f>
        <v/>
      </c>
      <c r="G9386" s="2"/>
      <c r="H9386" s="2" t="str">
        <f>IFERROR(__xludf.DUMMYFUNCTION("IF(G9386&lt;&gt;"""", GOOGLETRANSLATE(G9386, ""en"", ""te""),"""")"),"")</f>
        <v/>
      </c>
      <c r="I9386" s="3"/>
    </row>
    <row r="9387" customHeight="1" spans="1:9">
      <c r="A9387" s="2"/>
      <c r="B9387" s="2" t="str">
        <f>IFERROR(__xludf.DUMMYFUNCTION("IF(A9387&lt;&gt;"""", GOOGLETRANSLATE(A9387, ""en"", ""te""),"""")"),"")</f>
        <v/>
      </c>
      <c r="C9387" s="2"/>
      <c r="D9387" s="2" t="str">
        <f>IFERROR(__xludf.DUMMYFUNCTION("IF(C9387&lt;&gt;"""", GOOGLETRANSLATE(C9387, ""en"", ""te""),"""")"),"")</f>
        <v/>
      </c>
      <c r="E9387" s="2"/>
      <c r="F9387" s="2" t="str">
        <f>IFERROR(__xludf.DUMMYFUNCTION("IF(E9387&lt;&gt;"""", GOOGLETRANSLATE(E9387, ""en"", ""te""),"""")"),"")</f>
        <v/>
      </c>
      <c r="G9387" s="2"/>
      <c r="H9387" s="2" t="str">
        <f>IFERROR(__xludf.DUMMYFUNCTION("IF(G9387&lt;&gt;"""", GOOGLETRANSLATE(G9387, ""en"", ""te""),"""")"),"")</f>
        <v/>
      </c>
      <c r="I9387" s="3"/>
    </row>
    <row r="9388" customHeight="1" spans="1:9">
      <c r="A9388" s="2" t="s">
        <v>5370</v>
      </c>
      <c r="B9388" s="2" t="str">
        <f>IFERROR(__xludf.DUMMYFUNCTION("IF(A9388&lt;&gt;"""", GOOGLETRANSLATE(A9388, ""en"", ""te""),"""")"),"[ '(11y 13d) ప్రదర్శనల మధ్య 2 వ లాంగెస్ట్ వ్యవధిలో' 'బ్యాటింగ్ తెరవడం మరియు అదే మ్యాచ్ లో బౌలింగ్',]")</f>
        <v>[ '(11y 13d) ప్రదర్శనల మధ్య 2 వ లాంగెస్ట్ వ్యవధిలో' 'బ్యాటింగ్ తెరవడం మరియు అదే మ్యాచ్ లో బౌలింగ్',]</v>
      </c>
      <c r="C9388" s="2"/>
      <c r="D9388" s="2" t="str">
        <f>IFERROR(__xludf.DUMMYFUNCTION("IF(C9388&lt;&gt;"""", GOOGLETRANSLATE(C9388, ""en"", ""te""),"""")"),"")</f>
        <v/>
      </c>
      <c r="E9388" s="2"/>
      <c r="F9388" s="2" t="str">
        <f>IFERROR(__xludf.DUMMYFUNCTION("IF(E9388&lt;&gt;"""", GOOGLETRANSLATE(E9388, ""en"", ""te""),"""")"),"")</f>
        <v/>
      </c>
      <c r="G9388" s="2" t="s">
        <v>5371</v>
      </c>
      <c r="H9388" s="2" t="str">
        <f>IFERROR(__xludf.DUMMYFUNCTION("IF(G9388&lt;&gt;"""", GOOGLETRANSLATE(G9388, ""en"", ""te""),"""")"),"[ 'ప్రదర్శనల మధ్య 2 వ లాంగెస్ట్ వ్యవధిలో (11y 13d)']")</f>
        <v>[ 'ప్రదర్శనల మధ్య 2 వ లాంగెస్ట్ వ్యవధిలో (11y 13d)']</v>
      </c>
      <c r="I9388" s="3"/>
    </row>
    <row r="9389" customHeight="1" spans="1:9">
      <c r="A9389" s="2"/>
      <c r="B9389" s="2" t="str">
        <f>IFERROR(__xludf.DUMMYFUNCTION("IF(A9389&lt;&gt;"""", GOOGLETRANSLATE(A9389, ""en"", ""te""),"""")"),"")</f>
        <v/>
      </c>
      <c r="C9389" s="2"/>
      <c r="D9389" s="2" t="str">
        <f>IFERROR(__xludf.DUMMYFUNCTION("IF(C9389&lt;&gt;"""", GOOGLETRANSLATE(C9389, ""en"", ""te""),"""")"),"")</f>
        <v/>
      </c>
      <c r="E9389" s="2"/>
      <c r="F9389" s="2" t="str">
        <f>IFERROR(__xludf.DUMMYFUNCTION("IF(E9389&lt;&gt;"""", GOOGLETRANSLATE(E9389, ""en"", ""te""),"""")"),"")</f>
        <v/>
      </c>
      <c r="G9389" s="2"/>
      <c r="H9389" s="2" t="str">
        <f>IFERROR(__xludf.DUMMYFUNCTION("IF(G9389&lt;&gt;"""", GOOGLETRANSLATE(G9389, ""en"", ""te""),"""")"),"")</f>
        <v/>
      </c>
      <c r="I9389" s="3"/>
    </row>
    <row r="9390" customHeight="1" spans="1:9">
      <c r="A9390" s="2"/>
      <c r="B9390" s="2" t="str">
        <f>IFERROR(__xludf.DUMMYFUNCTION("IF(A9390&lt;&gt;"""", GOOGLETRANSLATE(A9390, ""en"", ""te""),"""")"),"")</f>
        <v/>
      </c>
      <c r="C9390" s="2"/>
      <c r="D9390" s="2" t="str">
        <f>IFERROR(__xludf.DUMMYFUNCTION("IF(C9390&lt;&gt;"""", GOOGLETRANSLATE(C9390, ""en"", ""te""),"""")"),"")</f>
        <v/>
      </c>
      <c r="E9390" s="2"/>
      <c r="F9390" s="2" t="str">
        <f>IFERROR(__xludf.DUMMYFUNCTION("IF(E9390&lt;&gt;"""", GOOGLETRANSLATE(E9390, ""en"", ""te""),"""")"),"")</f>
        <v/>
      </c>
      <c r="G9390" s="2"/>
      <c r="H9390" s="2" t="str">
        <f>IFERROR(__xludf.DUMMYFUNCTION("IF(G9390&lt;&gt;"""", GOOGLETRANSLATE(G9390, ""en"", ""te""),"""")"),"")</f>
        <v/>
      </c>
      <c r="I9390" s="3"/>
    </row>
    <row r="9391" customHeight="1" spans="1:9">
      <c r="A9391" s="2"/>
      <c r="B9391" s="2" t="str">
        <f>IFERROR(__xludf.DUMMYFUNCTION("IF(A9391&lt;&gt;"""", GOOGLETRANSLATE(A9391, ""en"", ""te""),"""")"),"")</f>
        <v/>
      </c>
      <c r="C9391" s="2"/>
      <c r="D9391" s="2" t="str">
        <f>IFERROR(__xludf.DUMMYFUNCTION("IF(C9391&lt;&gt;"""", GOOGLETRANSLATE(C9391, ""en"", ""te""),"""")"),"")</f>
        <v/>
      </c>
      <c r="E9391" s="2"/>
      <c r="F9391" s="2" t="str">
        <f>IFERROR(__xludf.DUMMYFUNCTION("IF(E9391&lt;&gt;"""", GOOGLETRANSLATE(E9391, ""en"", ""te""),"""")"),"")</f>
        <v/>
      </c>
      <c r="G9391" s="2"/>
      <c r="H9391" s="2" t="str">
        <f>IFERROR(__xludf.DUMMYFUNCTION("IF(G9391&lt;&gt;"""", GOOGLETRANSLATE(G9391, ""en"", ""te""),"""")"),"")</f>
        <v/>
      </c>
      <c r="I9391" s="3"/>
    </row>
    <row r="9392" customHeight="1" spans="1:9">
      <c r="A9392" s="2"/>
      <c r="B9392" s="2" t="str">
        <f>IFERROR(__xludf.DUMMYFUNCTION("IF(A9392&lt;&gt;"""", GOOGLETRANSLATE(A9392, ""en"", ""te""),"""")"),"")</f>
        <v/>
      </c>
      <c r="C9392" s="2"/>
      <c r="D9392" s="2" t="str">
        <f>IFERROR(__xludf.DUMMYFUNCTION("IF(C9392&lt;&gt;"""", GOOGLETRANSLATE(C9392, ""en"", ""te""),"""")"),"")</f>
        <v/>
      </c>
      <c r="E9392" s="2"/>
      <c r="F9392" s="2" t="str">
        <f>IFERROR(__xludf.DUMMYFUNCTION("IF(E9392&lt;&gt;"""", GOOGLETRANSLATE(E9392, ""en"", ""te""),"""")"),"")</f>
        <v/>
      </c>
      <c r="G9392" s="2"/>
      <c r="H9392" s="2" t="str">
        <f>IFERROR(__xludf.DUMMYFUNCTION("IF(G9392&lt;&gt;"""", GOOGLETRANSLATE(G9392, ""en"", ""te""),"""")"),"")</f>
        <v/>
      </c>
      <c r="I9392" s="3"/>
    </row>
    <row r="9393" customHeight="1" spans="1:9">
      <c r="A9393" s="2" t="s">
        <v>2059</v>
      </c>
      <c r="B9393" s="2" t="str">
        <f>IFERROR(__xludf.DUMMYFUNCTION("IF(A9393&lt;&gt;"""", GOOGLETRANSLATE(A9393, ""en"", ""te""),"""")"),"[ '6 వ అత్యుత్తమ ఇన్నింగ్స్ (2/2) విశ్లేషణలలో బౌలింగ్']")</f>
        <v>[ '6 వ అత్యుత్తమ ఇన్నింగ్స్ (2/2) విశ్లేషణలలో బౌలింగ్']</v>
      </c>
      <c r="C9393" s="2"/>
      <c r="D9393" s="2" t="str">
        <f>IFERROR(__xludf.DUMMYFUNCTION("IF(C9393&lt;&gt;"""", GOOGLETRANSLATE(C9393, ""en"", ""te""),"""")"),"")</f>
        <v/>
      </c>
      <c r="E9393" s="2" t="s">
        <v>5372</v>
      </c>
      <c r="F9393" s="2" t="str">
        <f>IFERROR(__xludf.DUMMYFUNCTION("IF(E9393&lt;&gt;"""", GOOGLETRANSLATE(E9393, ""en"", ""te""),"""")"),"[ '20 వ అత్యంత వృద్ధ ఆటగాడు తొలి శతకాలను సాధించిన (34y 13d)', 'ఆరవ వికెట్ (134 *) 25 వ అత్యధిక భాగస్వామ్యం', '45 వ ఓల్డెస్ట్ కాప్టెన్ (36y 243d)', 'కెప్టెన్సీ తొలి 44 వ ఓల్డెస్ట్ కాప్టెన్ (34y 11d ) ']")</f>
        <v>[ '20 వ అత్యంత వృద్ధ ఆటగాడు తొలి శతకాలను సాధించిన (34y 13d)', 'ఆరవ వికెట్ (134 *) 25 వ అత్యధిక భాగస్వామ్యం', '45 వ ఓల్డెస్ట్ కాప్టెన్ (36y 243d)', 'కెప్టెన్సీ తొలి 44 వ ఓల్డెస్ట్ కాప్టెన్ (34y 11d ) ']</v>
      </c>
      <c r="G9393" s="2" t="s">
        <v>5373</v>
      </c>
      <c r="H9393" s="2" t="str">
        <f>IFERROR(__xludf.DUMMYFUNCTION("IF(G9393&lt;&gt;"""", GOOGLETRANSLATE(G9393, ""en"", ""te""),"""")"),"[ '6 వ అత్యుత్తమ బౌలింగ్ ఇన్నింగ్స్ లో విశ్లేషించడం (2/2)', '40 వ పురాతన దేశం ఆటగాళ్ళు (48y 219d)', 'కెప్టెన్సీ తొలి 40 వ ఓల్డెస్ట్ కాప్టెన్ (35y 361d)']")</f>
        <v>[ '6 వ అత్యుత్తమ బౌలింగ్ ఇన్నింగ్స్ లో విశ్లేషించడం (2/2)', '40 వ పురాతన దేశం ఆటగాళ్ళు (48y 219d)', 'కెప్టెన్సీ తొలి 40 వ ఓల్డెస్ట్ కాప్టెన్ (35y 361d)']</v>
      </c>
      <c r="I9393" s="3"/>
    </row>
    <row r="9394" customHeight="1" spans="1:9">
      <c r="A9394" s="2"/>
      <c r="B9394" s="2" t="str">
        <f>IFERROR(__xludf.DUMMYFUNCTION("IF(A9394&lt;&gt;"""", GOOGLETRANSLATE(A9394, ""en"", ""te""),"""")"),"")</f>
        <v/>
      </c>
      <c r="C9394" s="2"/>
      <c r="D9394" s="2" t="str">
        <f>IFERROR(__xludf.DUMMYFUNCTION("IF(C9394&lt;&gt;"""", GOOGLETRANSLATE(C9394, ""en"", ""te""),"""")"),"")</f>
        <v/>
      </c>
      <c r="E9394" s="2"/>
      <c r="F9394" s="2" t="str">
        <f>IFERROR(__xludf.DUMMYFUNCTION("IF(E9394&lt;&gt;"""", GOOGLETRANSLATE(E9394, ""en"", ""te""),"""")"),"")</f>
        <v/>
      </c>
      <c r="G9394" s="2" t="s">
        <v>5374</v>
      </c>
      <c r="H9394" s="2" t="str">
        <f>IFERROR(__xludf.DUMMYFUNCTION("IF(G9394&lt;&gt;"""", GOOGLETRANSLATE(G9394, ""en"", ""te""),"""")"),"[ '21 వ తొలి మ్యాచ్లో అత్యధిక పరుగులు (63)', '15 వ ఇన్నింగ్స్ లో అత్యధిక క్యాచ్లు (3)']")</f>
        <v>[ '21 వ తొలి మ్యాచ్లో అత్యధిక పరుగులు (63)', '15 వ ఇన్నింగ్స్ లో అత్యధిక క్యాచ్లు (3)']</v>
      </c>
      <c r="I9394" s="3"/>
    </row>
    <row r="9395" customHeight="1" spans="1:9">
      <c r="A9395" s="2" t="s">
        <v>5375</v>
      </c>
      <c r="B9395" s="2" t="str">
        <f>IFERROR(__xludf.DUMMYFUNCTION("IF(A9395&lt;&gt;"""", GOOGLETRANSLATE(A9395, ""en"", ""te""),"""")"),"[ '10 వ చెత్త కెరీర్ బౌలింగ్ సరాసరి (అర్హత లేకుండా) (170.00)']")</f>
        <v>[ '10 వ చెత్త కెరీర్ బౌలింగ్ సరాసరి (అర్హత లేకుండా) (170.00)']</v>
      </c>
      <c r="C9395" s="2"/>
      <c r="D9395" s="2" t="str">
        <f>IFERROR(__xludf.DUMMYFUNCTION("IF(C9395&lt;&gt;"""", GOOGLETRANSLATE(C9395, ""en"", ""te""),"""")"),"")</f>
        <v/>
      </c>
      <c r="E9395" s="2" t="s">
        <v>5375</v>
      </c>
      <c r="F9395" s="2" t="str">
        <f>IFERROR(__xludf.DUMMYFUNCTION("IF(E9395&lt;&gt;"""", GOOGLETRANSLATE(E9395, ""en"", ""te""),"""")"),"[ '10 వ చెత్త కెరీర్ బౌలింగ్ సరాసరి (అర్హత లేకుండా) (170.00)']")</f>
        <v>[ '10 వ చెత్త కెరీర్ బౌలింగ్ సరాసరి (అర్హత లేకుండా) (170.00)']</v>
      </c>
      <c r="G9395" s="2"/>
      <c r="H9395" s="2" t="str">
        <f>IFERROR(__xludf.DUMMYFUNCTION("IF(G9395&lt;&gt;"""", GOOGLETRANSLATE(G9395, ""en"", ""te""),"""")"),"")</f>
        <v/>
      </c>
      <c r="I9395" s="3"/>
    </row>
    <row r="9396" customHeight="1" spans="1:9">
      <c r="A9396" s="2"/>
      <c r="B9396" s="2" t="str">
        <f>IFERROR(__xludf.DUMMYFUNCTION("IF(A9396&lt;&gt;"""", GOOGLETRANSLATE(A9396, ""en"", ""te""),"""")"),"")</f>
        <v/>
      </c>
      <c r="C9396" s="2"/>
      <c r="D9396" s="2" t="str">
        <f>IFERROR(__xludf.DUMMYFUNCTION("IF(C9396&lt;&gt;"""", GOOGLETRANSLATE(C9396, ""en"", ""te""),"""")"),"")</f>
        <v/>
      </c>
      <c r="E9396" s="2"/>
      <c r="F9396" s="2" t="str">
        <f>IFERROR(__xludf.DUMMYFUNCTION("IF(E9396&lt;&gt;"""", GOOGLETRANSLATE(E9396, ""en"", ""te""),"""")"),"")</f>
        <v/>
      </c>
      <c r="G9396" s="2" t="s">
        <v>5376</v>
      </c>
      <c r="H9396" s="2" t="str">
        <f>IFERROR(__xludf.DUMMYFUNCTION("IF(G9396&lt;&gt;"""", GOOGLETRANSLATE(G9396, ""en"", ""te""),"""")"),"[ 'కెప్టెన్సీ తొలి 45 వ ఓల్డెస్ట్ కాప్టెన్ (35y 68d)']")</f>
        <v>[ 'కెప్టెన్సీ తొలి 45 వ ఓల్డెస్ట్ కాప్టెన్ (35y 68d)']</v>
      </c>
      <c r="I9396" s="3"/>
    </row>
    <row r="9397" customHeight="1" spans="1:9">
      <c r="A9397" s="2"/>
      <c r="B9397" s="2" t="str">
        <f>IFERROR(__xludf.DUMMYFUNCTION("IF(A9397&lt;&gt;"""", GOOGLETRANSLATE(A9397, ""en"", ""te""),"""")"),"")</f>
        <v/>
      </c>
      <c r="C9397" s="2"/>
      <c r="D9397" s="2" t="str">
        <f>IFERROR(__xludf.DUMMYFUNCTION("IF(C9397&lt;&gt;"""", GOOGLETRANSLATE(C9397, ""en"", ""te""),"""")"),"")</f>
        <v/>
      </c>
      <c r="E9397" s="2"/>
      <c r="F9397" s="2" t="str">
        <f>IFERROR(__xludf.DUMMYFUNCTION("IF(E9397&lt;&gt;"""", GOOGLETRANSLATE(E9397, ""en"", ""te""),"""")"),"")</f>
        <v/>
      </c>
      <c r="G9397" s="2"/>
      <c r="H9397" s="2" t="str">
        <f>IFERROR(__xludf.DUMMYFUNCTION("IF(G9397&lt;&gt;"""", GOOGLETRANSLATE(G9397, ""en"", ""te""),"""")"),"")</f>
        <v/>
      </c>
      <c r="I9397" s="3"/>
    </row>
    <row r="9398" customHeight="1" spans="1:9">
      <c r="A9398" s="2"/>
      <c r="B9398" s="2" t="str">
        <f>IFERROR(__xludf.DUMMYFUNCTION("IF(A9398&lt;&gt;"""", GOOGLETRANSLATE(A9398, ""en"", ""te""),"""")"),"")</f>
        <v/>
      </c>
      <c r="C9398" s="2"/>
      <c r="D9398" s="2" t="str">
        <f>IFERROR(__xludf.DUMMYFUNCTION("IF(C9398&lt;&gt;"""", GOOGLETRANSLATE(C9398, ""en"", ""te""),"""")"),"")</f>
        <v/>
      </c>
      <c r="E9398" s="2"/>
      <c r="F9398" s="2" t="str">
        <f>IFERROR(__xludf.DUMMYFUNCTION("IF(E9398&lt;&gt;"""", GOOGLETRANSLATE(E9398, ""en"", ""te""),"""")"),"")</f>
        <v/>
      </c>
      <c r="G9398" s="2"/>
      <c r="H9398" s="2" t="str">
        <f>IFERROR(__xludf.DUMMYFUNCTION("IF(G9398&lt;&gt;"""", GOOGLETRANSLATE(G9398, ""en"", ""te""),"""")"),"")</f>
        <v/>
      </c>
      <c r="I9398" s="3"/>
    </row>
    <row r="9399" customHeight="1" spans="1:9">
      <c r="A9399" s="2"/>
      <c r="B9399" s="2" t="str">
        <f>IFERROR(__xludf.DUMMYFUNCTION("IF(A9399&lt;&gt;"""", GOOGLETRANSLATE(A9399, ""en"", ""te""),"""")"),"")</f>
        <v/>
      </c>
      <c r="C9399" s="2"/>
      <c r="D9399" s="2" t="str">
        <f>IFERROR(__xludf.DUMMYFUNCTION("IF(C9399&lt;&gt;"""", GOOGLETRANSLATE(C9399, ""en"", ""te""),"""")"),"")</f>
        <v/>
      </c>
      <c r="E9399" s="2"/>
      <c r="F9399" s="2" t="str">
        <f>IFERROR(__xludf.DUMMYFUNCTION("IF(E9399&lt;&gt;"""", GOOGLETRANSLATE(E9399, ""en"", ""te""),"""")"),"")</f>
        <v/>
      </c>
      <c r="G9399" s="2"/>
      <c r="H9399" s="2" t="str">
        <f>IFERROR(__xludf.DUMMYFUNCTION("IF(G9399&lt;&gt;"""", GOOGLETRANSLATE(G9399, ""en"", ""te""),"""")"),"")</f>
        <v/>
      </c>
      <c r="I9399" s="3"/>
    </row>
    <row r="9400" customHeight="1" spans="1:9">
      <c r="A9400" s="2"/>
      <c r="B9400" s="2" t="str">
        <f>IFERROR(__xludf.DUMMYFUNCTION("IF(A9400&lt;&gt;"""", GOOGLETRANSLATE(A9400, ""en"", ""te""),"""")"),"")</f>
        <v/>
      </c>
      <c r="C9400" s="2"/>
      <c r="D9400" s="2" t="str">
        <f>IFERROR(__xludf.DUMMYFUNCTION("IF(C9400&lt;&gt;"""", GOOGLETRANSLATE(C9400, ""en"", ""te""),"""")"),"")</f>
        <v/>
      </c>
      <c r="E9400" s="2"/>
      <c r="F9400" s="2" t="str">
        <f>IFERROR(__xludf.DUMMYFUNCTION("IF(E9400&lt;&gt;"""", GOOGLETRANSLATE(E9400, ""en"", ""te""),"""")"),"")</f>
        <v/>
      </c>
      <c r="G9400" s="2" t="s">
        <v>5377</v>
      </c>
      <c r="H9400" s="2" t="str">
        <f>IFERROR(__xludf.DUMMYFUNCTION("IF(G9400&lt;&gt;"""", GOOGLETRANSLATE(G9400, ""en"", ""te""),"""")"),"[ 'తొలి 16 వ ఓల్డెస్ట్ క్రీడాకారులు (44y 218d)', '18 వ ఓల్డెస్ట్ క్రీడాకారులు (44y 225d)']")</f>
        <v>[ 'తొలి 16 వ ఓల్డెస్ట్ క్రీడాకారులు (44y 218d)', '18 వ ఓల్డెస్ట్ క్రీడాకారులు (44y 225d)']</v>
      </c>
      <c r="I9400" s="3"/>
    </row>
    <row r="9401" customHeight="1" spans="1:9">
      <c r="A9401" s="2" t="s">
        <v>5378</v>
      </c>
      <c r="B9401" s="2" t="str">
        <f>IFERROR(__xludf.DUMMYFUNCTION("IF(A9401&lt;&gt;"""", GOOGLETRANSLATE(A9401, ""en"", ""te""),"""")"),"[ 'ప్రదర్శనలు (11y 13d) మధ్య 2 వ లాంగెస్ట్ వ్యవధిలో', '4 వ పిన్న కాప్టెన్ (20y 332d)']")</f>
        <v>[ 'ప్రదర్శనలు (11y 13d) మధ్య 2 వ లాంగెస్ట్ వ్యవధిలో', '4 వ పిన్న కాప్టెన్ (20y 332d)']</v>
      </c>
      <c r="C9401" s="2"/>
      <c r="D9401" s="2" t="str">
        <f>IFERROR(__xludf.DUMMYFUNCTION("IF(C9401&lt;&gt;"""", GOOGLETRANSLATE(C9401, ""en"", ""te""),"""")"),"")</f>
        <v/>
      </c>
      <c r="E9401" s="2"/>
      <c r="F9401" s="2" t="str">
        <f>IFERROR(__xludf.DUMMYFUNCTION("IF(E9401&lt;&gt;"""", GOOGLETRANSLATE(E9401, ""en"", ""te""),"""")"),"")</f>
        <v/>
      </c>
      <c r="G9401" s="2" t="s">
        <v>5378</v>
      </c>
      <c r="H9401" s="2" t="str">
        <f>IFERROR(__xludf.DUMMYFUNCTION("IF(G9401&lt;&gt;"""", GOOGLETRANSLATE(G9401, ""en"", ""te""),"""")"),"[ 'ప్రదర్శనలు (11y 13d) మధ్య 2 వ లాంగెస్ట్ వ్యవధిలో', '4 వ పిన్న కాప్టెన్ (20y 332d)']")</f>
        <v>[ 'ప్రదర్శనలు (11y 13d) మధ్య 2 వ లాంగెస్ట్ వ్యవధిలో', '4 వ పిన్న కాప్టెన్ (20y 332d)']</v>
      </c>
      <c r="I9401" s="3"/>
    </row>
    <row r="9402" customHeight="1" spans="1:9">
      <c r="A9402" s="2"/>
      <c r="B9402" s="2" t="str">
        <f>IFERROR(__xludf.DUMMYFUNCTION("IF(A9402&lt;&gt;"""", GOOGLETRANSLATE(A9402, ""en"", ""te""),"""")"),"")</f>
        <v/>
      </c>
      <c r="C9402" s="2"/>
      <c r="D9402" s="2" t="str">
        <f>IFERROR(__xludf.DUMMYFUNCTION("IF(C9402&lt;&gt;"""", GOOGLETRANSLATE(C9402, ""en"", ""te""),"""")"),"")</f>
        <v/>
      </c>
      <c r="E9402" s="2"/>
      <c r="F9402" s="2" t="str">
        <f>IFERROR(__xludf.DUMMYFUNCTION("IF(E9402&lt;&gt;"""", GOOGLETRANSLATE(E9402, ""en"", ""te""),"""")"),"")</f>
        <v/>
      </c>
      <c r="G9402" s="2"/>
      <c r="H9402" s="2" t="str">
        <f>IFERROR(__xludf.DUMMYFUNCTION("IF(G9402&lt;&gt;"""", GOOGLETRANSLATE(G9402, ""en"", ""te""),"""")"),"")</f>
        <v/>
      </c>
      <c r="I9402" s="3"/>
    </row>
    <row r="9403" customHeight="1" spans="1:9">
      <c r="A9403" s="2"/>
      <c r="B9403" s="2" t="str">
        <f>IFERROR(__xludf.DUMMYFUNCTION("IF(A9403&lt;&gt;"""", GOOGLETRANSLATE(A9403, ""en"", ""te""),"""")"),"")</f>
        <v/>
      </c>
      <c r="C9403" s="2"/>
      <c r="D9403" s="2" t="str">
        <f>IFERROR(__xludf.DUMMYFUNCTION("IF(C9403&lt;&gt;"""", GOOGLETRANSLATE(C9403, ""en"", ""te""),"""")"),"")</f>
        <v/>
      </c>
      <c r="E9403" s="2"/>
      <c r="F9403" s="2" t="str">
        <f>IFERROR(__xludf.DUMMYFUNCTION("IF(E9403&lt;&gt;"""", GOOGLETRANSLATE(E9403, ""en"", ""te""),"""")"),"")</f>
        <v/>
      </c>
      <c r="G9403" s="2"/>
      <c r="H9403" s="2" t="str">
        <f>IFERROR(__xludf.DUMMYFUNCTION("IF(G9403&lt;&gt;"""", GOOGLETRANSLATE(G9403, ""en"", ""te""),"""")"),"")</f>
        <v/>
      </c>
      <c r="I9403" s="3"/>
    </row>
    <row r="9404" customHeight="1" spans="1:9">
      <c r="A9404" s="2"/>
      <c r="B9404" s="2" t="str">
        <f>IFERROR(__xludf.DUMMYFUNCTION("IF(A9404&lt;&gt;"""", GOOGLETRANSLATE(A9404, ""en"", ""te""),"""")"),"")</f>
        <v/>
      </c>
      <c r="C9404" s="2"/>
      <c r="D9404" s="2" t="str">
        <f>IFERROR(__xludf.DUMMYFUNCTION("IF(C9404&lt;&gt;"""", GOOGLETRANSLATE(C9404, ""en"", ""te""),"""")"),"")</f>
        <v/>
      </c>
      <c r="E9404" s="2" t="s">
        <v>502</v>
      </c>
      <c r="F9404" s="2" t="str">
        <f>IFERROR(__xludf.DUMMYFUNCTION("IF(E9404&lt;&gt;"""", GOOGLETRANSLATE(E9404, ""en"", ""te""),"""")"),"[ '14 వ ఒక ఇన్నింగ్స్ లోని బెస్ట్ ఫిగర్స్ ఉన్నప్పుడు పరాజయం వైపు (5)']")</f>
        <v>[ '14 వ ఒక ఇన్నింగ్స్ లోని బెస్ట్ ఫిగర్స్ ఉన్నప్పుడు పరాజయం వైపు (5)']</v>
      </c>
      <c r="G9404" s="2"/>
      <c r="H9404" s="2" t="str">
        <f>IFERROR(__xludf.DUMMYFUNCTION("IF(G9404&lt;&gt;"""", GOOGLETRANSLATE(G9404, ""en"", ""te""),"""")"),"")</f>
        <v/>
      </c>
      <c r="I9404" s="3"/>
    </row>
    <row r="9405" customHeight="1" spans="1:9">
      <c r="A9405" s="2"/>
      <c r="B9405" s="2" t="str">
        <f>IFERROR(__xludf.DUMMYFUNCTION("IF(A9405&lt;&gt;"""", GOOGLETRANSLATE(A9405, ""en"", ""te""),"""")"),"")</f>
        <v/>
      </c>
      <c r="C9405" s="2"/>
      <c r="D9405" s="2" t="str">
        <f>IFERROR(__xludf.DUMMYFUNCTION("IF(C9405&lt;&gt;"""", GOOGLETRANSLATE(C9405, ""en"", ""te""),"""")"),"")</f>
        <v/>
      </c>
      <c r="E9405" s="2"/>
      <c r="F9405" s="2" t="str">
        <f>IFERROR(__xludf.DUMMYFUNCTION("IF(E9405&lt;&gt;"""", GOOGLETRANSLATE(E9405, ""en"", ""te""),"""")"),"")</f>
        <v/>
      </c>
      <c r="G9405" s="2"/>
      <c r="H9405" s="2" t="str">
        <f>IFERROR(__xludf.DUMMYFUNCTION("IF(G9405&lt;&gt;"""", GOOGLETRANSLATE(G9405, ""en"", ""te""),"""")"),"")</f>
        <v/>
      </c>
      <c r="I9405" s="3"/>
    </row>
    <row r="9406" customHeight="1" spans="1:9">
      <c r="A9406" s="2"/>
      <c r="B9406" s="2" t="str">
        <f>IFERROR(__xludf.DUMMYFUNCTION("IF(A9406&lt;&gt;"""", GOOGLETRANSLATE(A9406, ""en"", ""te""),"""")"),"")</f>
        <v/>
      </c>
      <c r="C9406" s="2"/>
      <c r="D9406" s="2" t="str">
        <f>IFERROR(__xludf.DUMMYFUNCTION("IF(C9406&lt;&gt;"""", GOOGLETRANSLATE(C9406, ""en"", ""te""),"""")"),"")</f>
        <v/>
      </c>
      <c r="E9406" s="2"/>
      <c r="F9406" s="2" t="str">
        <f>IFERROR(__xludf.DUMMYFUNCTION("IF(E9406&lt;&gt;"""", GOOGLETRANSLATE(E9406, ""en"", ""te""),"""")"),"")</f>
        <v/>
      </c>
      <c r="G9406" s="2"/>
      <c r="H9406" s="2" t="str">
        <f>IFERROR(__xludf.DUMMYFUNCTION("IF(G9406&lt;&gt;"""", GOOGLETRANSLATE(G9406, ""en"", ""te""),"""")"),"")</f>
        <v/>
      </c>
      <c r="I9406" s="3"/>
    </row>
    <row r="9407" customHeight="1" spans="1:9">
      <c r="A9407" s="2"/>
      <c r="B9407" s="2" t="str">
        <f>IFERROR(__xludf.DUMMYFUNCTION("IF(A9407&lt;&gt;"""", GOOGLETRANSLATE(A9407, ""en"", ""te""),"""")"),"")</f>
        <v/>
      </c>
      <c r="C9407" s="2"/>
      <c r="D9407" s="2" t="str">
        <f>IFERROR(__xludf.DUMMYFUNCTION("IF(C9407&lt;&gt;"""", GOOGLETRANSLATE(C9407, ""en"", ""te""),"""")"),"")</f>
        <v/>
      </c>
      <c r="E9407" s="2"/>
      <c r="F9407" s="2" t="str">
        <f>IFERROR(__xludf.DUMMYFUNCTION("IF(E9407&lt;&gt;"""", GOOGLETRANSLATE(E9407, ""en"", ""te""),"""")"),"")</f>
        <v/>
      </c>
      <c r="G9407" s="2"/>
      <c r="H9407" s="2" t="str">
        <f>IFERROR(__xludf.DUMMYFUNCTION("IF(G9407&lt;&gt;"""", GOOGLETRANSLATE(G9407, ""en"", ""te""),"""")"),"")</f>
        <v/>
      </c>
      <c r="I9407" s="3"/>
    </row>
    <row r="9408" customHeight="1" spans="1:9">
      <c r="A9408" s="2"/>
      <c r="B9408" s="2" t="str">
        <f>IFERROR(__xludf.DUMMYFUNCTION("IF(A9408&lt;&gt;"""", GOOGLETRANSLATE(A9408, ""en"", ""te""),"""")"),"")</f>
        <v/>
      </c>
      <c r="C9408" s="2"/>
      <c r="D9408" s="2" t="str">
        <f>IFERROR(__xludf.DUMMYFUNCTION("IF(C9408&lt;&gt;"""", GOOGLETRANSLATE(C9408, ""en"", ""te""),"""")"),"")</f>
        <v/>
      </c>
      <c r="E9408" s="2"/>
      <c r="F9408" s="2" t="str">
        <f>IFERROR(__xludf.DUMMYFUNCTION("IF(E9408&lt;&gt;"""", GOOGLETRANSLATE(E9408, ""en"", ""te""),"""")"),"")</f>
        <v/>
      </c>
      <c r="G9408" s="2"/>
      <c r="H9408" s="2" t="str">
        <f>IFERROR(__xludf.DUMMYFUNCTION("IF(G9408&lt;&gt;"""", GOOGLETRANSLATE(G9408, ""en"", ""te""),"""")"),"")</f>
        <v/>
      </c>
      <c r="I9408" s="3"/>
    </row>
    <row r="9409" customHeight="1" spans="1:9">
      <c r="A9409" s="2"/>
      <c r="B9409" s="2" t="str">
        <f>IFERROR(__xludf.DUMMYFUNCTION("IF(A9409&lt;&gt;"""", GOOGLETRANSLATE(A9409, ""en"", ""te""),"""")"),"")</f>
        <v/>
      </c>
      <c r="C9409" s="2" t="s">
        <v>5379</v>
      </c>
      <c r="D9409" s="2" t="str">
        <f>IFERROR(__xludf.DUMMYFUNCTION("IF(C9409&lt;&gt;"""", GOOGLETRANSLATE(C9409, ""en"", ""te""),"""")"),"[ 'లేకుండా కెరీర్లో 48 వ అత్యధిక పరుగులు వంద (1023)']")</f>
        <v>[ 'లేకుండా కెరీర్లో 48 వ అత్యధిక పరుగులు వంద (1023)']</v>
      </c>
      <c r="E9409" s="2"/>
      <c r="F9409" s="2" t="str">
        <f>IFERROR(__xludf.DUMMYFUNCTION("IF(E9409&lt;&gt;"""", GOOGLETRANSLATE(E9409, ""en"", ""te""),"""")"),"")</f>
        <v/>
      </c>
      <c r="G9409" s="2"/>
      <c r="H9409" s="2" t="str">
        <f>IFERROR(__xludf.DUMMYFUNCTION("IF(G9409&lt;&gt;"""", GOOGLETRANSLATE(G9409, ""en"", ""te""),"""")"),"")</f>
        <v/>
      </c>
      <c r="I9409" s="3"/>
    </row>
    <row r="9410" customHeight="1" spans="1:9">
      <c r="A9410" s="2"/>
      <c r="B9410" s="2" t="str">
        <f>IFERROR(__xludf.DUMMYFUNCTION("IF(A9410&lt;&gt;"""", GOOGLETRANSLATE(A9410, ""en"", ""te""),"""")"),"")</f>
        <v/>
      </c>
      <c r="C9410" s="2"/>
      <c r="D9410" s="2" t="str">
        <f>IFERROR(__xludf.DUMMYFUNCTION("IF(C9410&lt;&gt;"""", GOOGLETRANSLATE(C9410, ""en"", ""te""),"""")"),"")</f>
        <v/>
      </c>
      <c r="E9410" s="2" t="s">
        <v>5380</v>
      </c>
      <c r="F9410" s="2" t="str">
        <f>IFERROR(__xludf.DUMMYFUNCTION("IF(E9410&lt;&gt;"""", GOOGLETRANSLATE(E9410, ""en"", ""te""),"""")"),"[ '23 చెత్త కెరీర్ బౌలింగ్ సరాసరి (అర్హత లేకుండా) (130,00)']")</f>
        <v>[ '23 చెత్త కెరీర్ బౌలింగ్ సరాసరి (అర్హత లేకుండా) (130,00)']</v>
      </c>
      <c r="G9410" s="2"/>
      <c r="H9410" s="2" t="str">
        <f>IFERROR(__xludf.DUMMYFUNCTION("IF(G9410&lt;&gt;"""", GOOGLETRANSLATE(G9410, ""en"", ""te""),"""")"),"")</f>
        <v/>
      </c>
      <c r="I9410" s="3"/>
    </row>
    <row r="9411" customHeight="1" spans="1:9">
      <c r="A9411" s="2"/>
      <c r="B9411" s="2" t="str">
        <f>IFERROR(__xludf.DUMMYFUNCTION("IF(A9411&lt;&gt;"""", GOOGLETRANSLATE(A9411, ""en"", ""te""),"""")"),"")</f>
        <v/>
      </c>
      <c r="C9411" s="2"/>
      <c r="D9411" s="2" t="str">
        <f>IFERROR(__xludf.DUMMYFUNCTION("IF(C9411&lt;&gt;"""", GOOGLETRANSLATE(C9411, ""en"", ""te""),"""")"),"")</f>
        <v/>
      </c>
      <c r="E9411" s="2"/>
      <c r="F9411" s="2" t="str">
        <f>IFERROR(__xludf.DUMMYFUNCTION("IF(E9411&lt;&gt;"""", GOOGLETRANSLATE(E9411, ""en"", ""te""),"""")"),"")</f>
        <v/>
      </c>
      <c r="G9411" s="2"/>
      <c r="H9411" s="2" t="str">
        <f>IFERROR(__xludf.DUMMYFUNCTION("IF(G9411&lt;&gt;"""", GOOGLETRANSLATE(G9411, ""en"", ""te""),"""")"),"")</f>
        <v/>
      </c>
      <c r="I9411" s="3"/>
    </row>
    <row r="9412" customHeight="1" spans="1:9">
      <c r="A9412" s="2" t="s">
        <v>1781</v>
      </c>
      <c r="B9412" s="2" t="str">
        <f>IFERROR(__xludf.DUMMYFUNCTION("IF(A9412&lt;&gt;"""", GOOGLETRANSLATE(A9412, ""en"", ""te""),"""")"),"[ 'ఇన్నింగ్స్ లో 3 వ అత్యధిక క్యాచ్లు (3)']")</f>
        <v>[ 'ఇన్నింగ్స్ లో 3 వ అత్యధిక క్యాచ్లు (3)']</v>
      </c>
      <c r="C9412" s="2"/>
      <c r="D9412" s="2" t="str">
        <f>IFERROR(__xludf.DUMMYFUNCTION("IF(C9412&lt;&gt;"""", GOOGLETRANSLATE(C9412, ""en"", ""te""),"""")"),"")</f>
        <v/>
      </c>
      <c r="E9412" s="2"/>
      <c r="F9412" s="2" t="str">
        <f>IFERROR(__xludf.DUMMYFUNCTION("IF(E9412&lt;&gt;"""", GOOGLETRANSLATE(E9412, ""en"", ""te""),"""")"),"")</f>
        <v/>
      </c>
      <c r="G9412" s="2" t="s">
        <v>5381</v>
      </c>
      <c r="H9412" s="2" t="str">
        <f>IFERROR(__xludf.DUMMYFUNCTION("IF(G9412&lt;&gt;"""", GOOGLETRANSLATE(G9412, ""en"", ""te""),"""")"),"[ 'ఇన్నింగ్స్ లో 3 వ అత్యధిక క్యాచ్లు (3)', '12 వ ఇన్నింగ్స్ లో వచ్చిన ఎక్కువ పనికత్తెలయొద్ద (2)']")</f>
        <v>[ 'ఇన్నింగ్స్ లో 3 వ అత్యధిక క్యాచ్లు (3)', '12 వ ఇన్నింగ్స్ లో వచ్చిన ఎక్కువ పనికత్తెలయొద్ద (2)']</v>
      </c>
      <c r="I9412" s="3"/>
    </row>
    <row r="9413" customHeight="1" spans="1:9">
      <c r="A9413" s="2" t="s">
        <v>5382</v>
      </c>
      <c r="B9413" s="2" t="str">
        <f>IFERROR(__xludf.DUMMYFUNCTION("IF(A9413&lt;&gt;"""", GOOGLETRANSLATE(A9413, ""en"", ""te""),"""")"),"[ 'కెరీర్లో 2 వ అతి తక్కువ బాతులు (99)']")</f>
        <v>[ 'కెరీర్లో 2 వ అతి తక్కువ బాతులు (99)']</v>
      </c>
      <c r="C9413" s="2"/>
      <c r="D9413" s="2" t="str">
        <f>IFERROR(__xludf.DUMMYFUNCTION("IF(C9413&lt;&gt;"""", GOOGLETRANSLATE(C9413, ""en"", ""te""),"""")"),"")</f>
        <v/>
      </c>
      <c r="E9413" s="2" t="s">
        <v>5383</v>
      </c>
      <c r="F9413" s="2" t="str">
        <f>IFERROR(__xludf.DUMMYFUNCTION("IF(E9413&lt;&gt;"""", GOOGLETRANSLATE(E9413, ""en"", ""te""),"""")"),"[ '17 వ ఇన్నింగ్స్ లో అత్యధిక పరుగులు (బ్యాటింగ్ స్థానంలో ప్రకారం) (100 *)', '33 వ అత్యధిక తొలి వంద (141)', '11 వ వరుస ఇన్నింగ్స్లో డకౌట్ లేకుండా (86 *)', 'కెరీర్ లో 2 వ అతి తక్కువ బాతులు ( 99) ',' తొమ్మిదవ వికెట్ (91 *) కోసం 12 వ అత్యధిక భాగస్వామ్యం ',' "&amp;"45 వ అత్యంత ప్లేయర్ ఆఫ్ ది సిరీస్ అవార్డులు (3) ']")</f>
        <v>[ '17 వ ఇన్నింగ్స్ లో అత్యధిక పరుగులు (బ్యాటింగ్ స్థానంలో ప్రకారం) (100 *)', '33 వ అత్యధిక తొలి వంద (141)', '11 వ వరుస ఇన్నింగ్స్లో డకౌట్ లేకుండా (86 *)', 'కెరీర్ లో 2 వ అతి తక్కువ బాతులు ( 99) ',' తొమ్మిదవ వికెట్ (91 *) కోసం 12 వ అత్యధిక భాగస్వామ్యం ',' 45 వ అత్యంత ప్లేయర్ ఆఫ్ ది సిరీస్ అవార్డులు (3) ']</v>
      </c>
      <c r="G9413" s="2" t="s">
        <v>5384</v>
      </c>
      <c r="H9413" s="2" t="str">
        <f>IFERROR(__xludf.DUMMYFUNCTION("IF(G9413&lt;&gt;"""", GOOGLETRANSLATE(G9413, ""en"", ""te""),"""")"),"[ '8 వ కెరీర్ లో బాతులు (37)', 'ఒక డక్ లేకుండా 29 వరుస ఇన్నింగ్స్ (37 *)', 'ఆరవ వికెట్కు 12 వ అత్యధిక భాగస్వామ్యం (80 *)']")</f>
        <v>[ '8 వ కెరీర్ లో బాతులు (37)', 'ఒక డక్ లేకుండా 29 వరుస ఇన్నింగ్స్ (37 *)', 'ఆరవ వికెట్కు 12 వ అత్యధిక భాగస్వామ్యం (80 *)']</v>
      </c>
      <c r="I9413" s="3"/>
    </row>
    <row r="9414" customHeight="1" spans="1:9">
      <c r="A9414" s="2"/>
      <c r="B9414" s="2" t="str">
        <f>IFERROR(__xludf.DUMMYFUNCTION("IF(A9414&lt;&gt;"""", GOOGLETRANSLATE(A9414, ""en"", ""te""),"""")"),"")</f>
        <v/>
      </c>
      <c r="C9414" s="2"/>
      <c r="D9414" s="2" t="str">
        <f>IFERROR(__xludf.DUMMYFUNCTION("IF(C9414&lt;&gt;"""", GOOGLETRANSLATE(C9414, ""en"", ""te""),"""")"),"")</f>
        <v/>
      </c>
      <c r="E9414" s="2"/>
      <c r="F9414" s="2" t="str">
        <f>IFERROR(__xludf.DUMMYFUNCTION("IF(E9414&lt;&gt;"""", GOOGLETRANSLATE(E9414, ""en"", ""te""),"""")"),"")</f>
        <v/>
      </c>
      <c r="G9414" s="2"/>
      <c r="H9414" s="2" t="str">
        <f>IFERROR(__xludf.DUMMYFUNCTION("IF(G9414&lt;&gt;"""", GOOGLETRANSLATE(G9414, ""en"", ""te""),"""")"),"")</f>
        <v/>
      </c>
      <c r="I9414" s="3"/>
    </row>
    <row r="9415" customHeight="1" spans="1:9">
      <c r="A9415" s="2" t="s">
        <v>5385</v>
      </c>
      <c r="B9415" s="2" t="str">
        <f>IFERROR(__xludf.DUMMYFUNCTION("IF(A9415&lt;&gt;"""", GOOGLETRANSLATE(A9415, ""en"", ""te""),"""")"),"[ 'ఒకే మైదానంలో 8 వ అత్యధిక వికెట్లు (83)', '8 వ అత్యుత్తమ బౌలింగ్ ఇన్నింగ్స్ లో విశ్లేషించడం (4/8)' వంద (2943) లేకుండా ఒక వృత్తిలో 4 వ అత్యధిక పరుగులు '' 1000 పరుగులు మరియు 100 వికెట్లు ', '' 1000 పరుగులు మరియు 100 వికెట్లు ',' 3 వ అత్యంత ఒకే క్రీడా (12"&amp;"6) పై వికెట్లు ']")</f>
        <v>[ 'ఒకే మైదానంలో 8 వ అత్యధిక వికెట్లు (83)', '8 వ అత్యుత్తమ బౌలింగ్ ఇన్నింగ్స్ లో విశ్లేషించడం (4/8)' వంద (2943) లేకుండా ఒక వృత్తిలో 4 వ అత్యధిక పరుగులు '' 1000 పరుగులు మరియు 100 వికెట్లు ', '' 1000 పరుగులు మరియు 100 వికెట్లు ',' 3 వ అత్యంత ఒకే క్రీడా (126) పై వికెట్లు ']</v>
      </c>
      <c r="C9415" s="2" t="s">
        <v>5386</v>
      </c>
      <c r="D9415" s="2" t="str">
        <f>IFERROR(__xludf.DUMMYFUNCTION("IF(C9415&lt;&gt;"""", GOOGLETRANSLATE(C9415, ""en"", ""te""),"""")"),"[ '14 వ ఇన్నింగ్స్ లో అత్యధిక పరుగులు (బ్యాటింగ్ స్థానంలో ప్రకారం) (127 *)', 'ఒకే మైదానంలో 8 వ అత్యధిక వికెట్లు (83)', 'ఇన్నింగ్స్ లో 11 వ చెత్త ఆర్థిక రేటు (6.92)', '27th పిన్న ఆటగాడు ఐదు వికెట్లు-ఇన్-ఒక-ఇన్నింగ్స్ తీసుకోవాలని అత్యధిక వికెట్లు (19y 268d"&amp;") ',' 47 వ బౌలర్ / ఫీల్డర్ కలయికలు (39) ',' 48 వ అత్యధిక వికెట్లు ఆకర్షించింది తీసుకున్న (51) ',' 41 వ 50 వికెట్లు వేగంగా (11) ',' ఎనిమిదవ వికెట్కు 14 అత్యధిక భాగస్వామ్యం (168) ',' 24 వ అత్యంత ప్లేయర్ ఆఫ్ ది సిరీస్ అవార్డులు (4) ']")</f>
        <v>[ '14 వ ఇన్నింగ్స్ లో అత్యధిక పరుగులు (బ్యాటింగ్ స్థానంలో ప్రకారం) (127 *)', 'ఒకే మైదానంలో 8 వ అత్యధిక వికెట్లు (83)', 'ఇన్నింగ్స్ లో 11 వ చెత్త ఆర్థిక రేటు (6.92)', '27th పిన్న ఆటగాడు ఐదు వికెట్లు-ఇన్-ఒక-ఇన్నింగ్స్ తీసుకోవాలని అత్యధిక వికెట్లు (19y 268d) ',' 47 వ బౌలర్ / ఫీల్డర్ కలయికలు (39) ',' 48 వ అత్యధిక వికెట్లు ఆకర్షించింది తీసుకున్న (51) ',' 41 వ 50 వికెట్లు వేగంగా (11) ',' ఎనిమిదవ వికెట్కు 14 అత్యధిక భాగస్వామ్యం (168) ',' 24 వ అత్యంత ప్లేయర్ ఆఫ్ ది సిరీస్ అవార్డులు (4) ']</v>
      </c>
      <c r="E9415" s="2" t="s">
        <v>5387</v>
      </c>
      <c r="F9415" s="2" t="str">
        <f>IFERROR(__xludf.DUMMYFUNCTION("IF(E9415&lt;&gt;"""", GOOGLETRANSLATE(E9415, ""en"", ""te""),"""")"),"[ '10 వ ఇన్నింగ్స్ లో అత్యధిక పరుగులు (బ్యాటింగ్ స్థానంలో ప్రకారం) (79 *)', 'ఒక వృత్తిలో 4 వ అత్యధిక పరుగులు వంద (2943) లేకుండా', '29th కెరీర్లో అత్యధిక వికెట్లు (239)', '8 వ అత్యుత్తమ బౌలింగ్ విశ్లేషణలు ఒక ఇన్నింగ్స్ లో (4/8) ', '21 వ ఒకే మైదానంలో అత్యధ"&amp;"ిక వికెట్లు (43)', 'ఒక కెప్టెన్తో ఒక ఇన్నింగ్స్ లో 26 వ బెస్ట్ ఫిగర్స్ (4)', '48 వ బెస్ట్ ఆర్థిక వ్యవస్థ ఇన్నింగ్స్లో రేటు (1.00)' '43 వ అత్యంత నాలుగు వికెట్లు-ఇన్-ఒక-ఇన్నింగ్స్ కెరీర్లో (8)', '27 వ కెరీర్ లో బౌల్డ్ చాలా బంతుల్లో (9468)', '24 వ కెరీర్ లో "&amp;"సాధించిన అత్యధిక పరుగులు (7129)', '13 వ బౌలర్ / ఫీల్డర్ కలయికలు (39) ',' 24 వ అత్యధిక వికెట్లు తీసుకున్న బౌల్డ్ (57) ',' 35 వ అత్యధిక వికెట్లు తీసుకున్న ఆకర్షించింది (139) ',' 14 వ అత్యధిక వికెట్లు ఒక వికెట్ కీపర్ చే కాట్ తీసుకున్న (55) ',' 17 వ అత్యధిక వ"&amp;"ికెట్లు తీసుకున్న ఎల్బిడబ్ల్యు (42 ) ',' 150 వికెట్లు (వేగంగా 46 వ 122) ',' ఫాస్టెస్ట్ కెప్టెన్గా 200 వికెట్లు (162) ',' ఎనిమిదవ వికెట్కు 38 వ అత్యధిక భాగస్వామ్యం (78 *) ',' 39 వ అత్యధిక మ్యాచ్లు (68) 'కు 26, 'బృందం (34) కెప్టెన్ గా 41 వ వరుస మ్యాచ్లు']")</f>
        <v>[ '10 వ ఇన్నింగ్స్ లో అత్యధిక పరుగులు (బ్యాటింగ్ స్థానంలో ప్రకారం) (79 *)', 'ఒక వృత్తిలో 4 వ అత్యధిక పరుగులు వంద (2943) లేకుండా', '29th కెరీర్లో అత్యధిక వికెట్లు (239)', '8 వ అత్యుత్తమ బౌలింగ్ విశ్లేషణలు ఒక ఇన్నింగ్స్ లో (4/8) ', '21 వ ఒకే మైదానంలో అత్యధిక వికెట్లు (43)', 'ఒక కెప్టెన్తో ఒక ఇన్నింగ్స్ లో 26 వ బెస్ట్ ఫిగర్స్ (4)', '48 వ బెస్ట్ ఆర్థిక వ్యవస్థ ఇన్నింగ్స్లో రేటు (1.00)' '43 వ అత్యంత నాలుగు వికెట్లు-ఇన్-ఒక-ఇన్నింగ్స్ కెరీర్లో (8)', '27 వ కెరీర్ లో బౌల్డ్ చాలా బంతుల్లో (9468)', '24 వ కెరీర్ లో సాధించిన అత్యధిక పరుగులు (7129)', '13 వ బౌలర్ / ఫీల్డర్ కలయికలు (39) ',' 24 వ అత్యధిక వికెట్లు తీసుకున్న బౌల్డ్ (57) ',' 35 వ అత్యధిక వికెట్లు తీసుకున్న ఆకర్షించింది (139) ',' 14 వ అత్యధిక వికెట్లు ఒక వికెట్ కీపర్ చే కాట్ తీసుకున్న (55) ',' 17 వ అత్యధిక వికెట్లు తీసుకున్న ఎల్బిడబ్ల్యు (42 ) ',' 150 వికెట్లు (వేగంగా 46 వ 122) ',' ఫాస్టెస్ట్ కెప్టెన్గా 200 వికెట్లు (162) ',' ఎనిమిదవ వికెట్కు 38 వ అత్యధిక భాగస్వామ్యం (78 *) ',' 39 వ అత్యధిక మ్యాచ్లు (68) 'కు 26, 'బృందం (34) కెప్టెన్ గా 41 వ వరుస మ్యాచ్లు']</v>
      </c>
      <c r="G9415" s="2" t="s">
        <v>2752</v>
      </c>
      <c r="H9415" s="2" t="str">
        <f>IFERROR(__xludf.DUMMYFUNCTION("IF(G9415&lt;&gt;"""", GOOGLETRANSLATE(G9415, ""en"", ""te""),"""")"),"[40 వ అత్యంత బృందం (34) కెప్టెన్ గా వరుస మ్యాచ్లు ']")</f>
        <v>[40 వ అత్యంత బృందం (34) కెప్టెన్ గా వరుస మ్యాచ్లు ']</v>
      </c>
      <c r="I9415" s="3"/>
    </row>
    <row r="9416" customHeight="1" spans="1:9">
      <c r="A9416" s="2"/>
      <c r="B9416" s="2" t="str">
        <f>IFERROR(__xludf.DUMMYFUNCTION("IF(A9416&lt;&gt;"""", GOOGLETRANSLATE(A9416, ""en"", ""te""),"""")"),"")</f>
        <v/>
      </c>
      <c r="C9416" s="2"/>
      <c r="D9416" s="2" t="str">
        <f>IFERROR(__xludf.DUMMYFUNCTION("IF(C9416&lt;&gt;"""", GOOGLETRANSLATE(C9416, ""en"", ""te""),"""")"),"")</f>
        <v/>
      </c>
      <c r="E9416" s="2"/>
      <c r="F9416" s="2" t="str">
        <f>IFERROR(__xludf.DUMMYFUNCTION("IF(E9416&lt;&gt;"""", GOOGLETRANSLATE(E9416, ""en"", ""te""),"""")"),"")</f>
        <v/>
      </c>
      <c r="G9416" s="2"/>
      <c r="H9416" s="2" t="str">
        <f>IFERROR(__xludf.DUMMYFUNCTION("IF(G9416&lt;&gt;"""", GOOGLETRANSLATE(G9416, ""en"", ""te""),"""")"),"")</f>
        <v/>
      </c>
      <c r="I9416" s="3"/>
    </row>
    <row r="9417" customHeight="1" spans="1:9">
      <c r="A9417" s="2" t="s">
        <v>749</v>
      </c>
      <c r="B9417" s="2" t="str">
        <f>IFERROR(__xludf.DUMMYFUNCTION("IF(A9417&lt;&gt;"""", GOOGLETRANSLATE(A9417, ""en"", ""te""),"""")"),"[ '6 వ అత్యధిక వరుస బాతులు (3)']")</f>
        <v>[ '6 వ అత్యధిక వరుస బాతులు (3)']</v>
      </c>
      <c r="C9417" s="2"/>
      <c r="D9417" s="2" t="str">
        <f>IFERROR(__xludf.DUMMYFUNCTION("IF(C9417&lt;&gt;"""", GOOGLETRANSLATE(C9417, ""en"", ""te""),"""")"),"")</f>
        <v/>
      </c>
      <c r="E9417" s="2" t="s">
        <v>5388</v>
      </c>
      <c r="F9417" s="2" t="str">
        <f>IFERROR(__xludf.DUMMYFUNCTION("IF(E9417&lt;&gt;"""", GOOGLETRANSLATE(E9417, ""en"", ""te""),"""")"),"[ '38 వ ఒకే మైదానంలో అత్యధిక పరుగులు (1153)', '34 వ కెరీర్ తొంభైల (4)', '6 వ అత్యధిక వరుస బాతులు (3)', '28th లాంగెస్ట్ వ్యక్తిగత ఇన్నింగ్స్ (బంతులతో) (162)']")</f>
        <v>[ '38 వ ఒకే మైదానంలో అత్యధిక పరుగులు (1153)', '34 వ కెరీర్ తొంభైల (4)', '6 వ అత్యధిక వరుస బాతులు (3)', '28th లాంగెస్ట్ వ్యక్తిగత ఇన్నింగ్స్ (బంతులతో) (162)']</v>
      </c>
      <c r="G9417" s="2" t="s">
        <v>933</v>
      </c>
      <c r="H9417" s="2" t="str">
        <f>IFERROR(__xludf.DUMMYFUNCTION("IF(G9417&lt;&gt;"""", GOOGLETRANSLATE(G9417, ""en"", ""te""),"""")"),"[ '15 వ ఇన్నింగ్స్ లో అత్యధిక క్యాచ్లు (3)']")</f>
        <v>[ '15 వ ఇన్నింగ్స్ లో అత్యధిక క్యాచ్లు (3)']</v>
      </c>
      <c r="I9417" s="3"/>
    </row>
    <row r="9418" customHeight="1" spans="1:9">
      <c r="A9418" s="2"/>
      <c r="B9418" s="2" t="str">
        <f>IFERROR(__xludf.DUMMYFUNCTION("IF(A9418&lt;&gt;"""", GOOGLETRANSLATE(A9418, ""en"", ""te""),"""")"),"")</f>
        <v/>
      </c>
      <c r="C9418" s="2"/>
      <c r="D9418" s="2" t="str">
        <f>IFERROR(__xludf.DUMMYFUNCTION("IF(C9418&lt;&gt;"""", GOOGLETRANSLATE(C9418, ""en"", ""te""),"""")"),"")</f>
        <v/>
      </c>
      <c r="E9418" s="2" t="s">
        <v>5389</v>
      </c>
      <c r="F9418" s="2" t="str">
        <f>IFERROR(__xludf.DUMMYFUNCTION("IF(E9418&lt;&gt;"""", GOOGLETRANSLATE(E9418, ""en"", ""te""),"""")"),"[ '26 ఒక ఇన్నింగ్స్ లోని బెస్ట్ ఫిగర్స్ (6/20)', 'ఇన్నింగ్స్ లో 14 వ అత్యుత్తమ బౌలింగ్ విశ్లేషణలు (6/20)', '15 వ ప్రవేశం (4) ఒక ఇన్నింగ్స్ లోని బెస్ట్ ఫిగర్స్']")</f>
        <v>[ '26 ఒక ఇన్నింగ్స్ లోని బెస్ట్ ఫిగర్స్ (6/20)', 'ఇన్నింగ్స్ లో 14 వ అత్యుత్తమ బౌలింగ్ విశ్లేషణలు (6/20)', '15 వ ప్రవేశం (4) ఒక ఇన్నింగ్స్ లోని బెస్ట్ ఫిగర్స్']</v>
      </c>
      <c r="G9418" s="2"/>
      <c r="H9418" s="2" t="str">
        <f>IFERROR(__xludf.DUMMYFUNCTION("IF(G9418&lt;&gt;"""", GOOGLETRANSLATE(G9418, ""en"", ""te""),"""")"),"")</f>
        <v/>
      </c>
      <c r="I9418" s="3"/>
    </row>
    <row r="9419" customHeight="1" spans="1:9">
      <c r="A9419" s="2"/>
      <c r="B9419" s="2" t="str">
        <f>IFERROR(__xludf.DUMMYFUNCTION("IF(A9419&lt;&gt;"""", GOOGLETRANSLATE(A9419, ""en"", ""te""),"""")"),"")</f>
        <v/>
      </c>
      <c r="C9419" s="2"/>
      <c r="D9419" s="2" t="str">
        <f>IFERROR(__xludf.DUMMYFUNCTION("IF(C9419&lt;&gt;"""", GOOGLETRANSLATE(C9419, ""en"", ""te""),"""")"),"")</f>
        <v/>
      </c>
      <c r="E9419" s="2"/>
      <c r="F9419" s="2" t="str">
        <f>IFERROR(__xludf.DUMMYFUNCTION("IF(E9419&lt;&gt;"""", GOOGLETRANSLATE(E9419, ""en"", ""te""),"""")"),"")</f>
        <v/>
      </c>
      <c r="G9419" s="2"/>
      <c r="H9419" s="2" t="str">
        <f>IFERROR(__xludf.DUMMYFUNCTION("IF(G9419&lt;&gt;"""", GOOGLETRANSLATE(G9419, ""en"", ""te""),"""")"),"")</f>
        <v/>
      </c>
      <c r="I9419" s="3"/>
    </row>
    <row r="9420" customHeight="1" spans="1:9">
      <c r="A9420" s="2" t="s">
        <v>5390</v>
      </c>
      <c r="B9420" s="2" t="str">
        <f>IFERROR(__xludf.DUMMYFUNCTION("IF(A9420&lt;&gt;"""", GOOGLETRANSLATE(A9420, ""en"", ""te""),"""")"),"[ 'ఒక ఇన్నింగ్స్ లో 5 వ ఉత్తమ సంఖ్యలు ఉన్నప్పుడు పరాజయం వైపు (8)', 'నూట ఒక ఇన్నింగ్స్ లో ఐదు వికెట్లు']")</f>
        <v>[ 'ఒక ఇన్నింగ్స్ లో 5 వ ఉత్తమ సంఖ్యలు ఉన్నప్పుడు పరాజయం వైపు (8)', 'నూట ఒక ఇన్నింగ్స్ లో ఐదు వికెట్లు']</v>
      </c>
      <c r="C9420" s="2" t="s">
        <v>5391</v>
      </c>
      <c r="D9420" s="2" t="str">
        <f>IFERROR(__xludf.DUMMYFUNCTION("IF(C9420&lt;&gt;"""", GOOGLETRANSLATE(C9420, ""en"", ""te""),"""")"),"[ 'ఒక ఇన్నింగ్స్ లో 5 వ ఉత్తమ సంఖ్యలు ఉన్నప్పుడు పరాజయం వైపు (8)', '40 వ ఉత్తమ పరాజయం వైపు ఒక మ్యాచ్ను లో సంఖ్యలు (10)', '23 వ ఇన్నింగ్స్ లో సాధించిన అత్యధిక పరుగులు (212)']")</f>
        <v>[ 'ఒక ఇన్నింగ్స్ లో 5 వ ఉత్తమ సంఖ్యలు ఉన్నప్పుడు పరాజయం వైపు (8)', '40 వ ఉత్తమ పరాజయం వైపు ఒక మ్యాచ్ను లో సంఖ్యలు (10)', '23 వ ఇన్నింగ్స్ లో సాధించిన అత్యధిక పరుగులు (212)']</v>
      </c>
      <c r="E9420" s="2" t="s">
        <v>5392</v>
      </c>
      <c r="F9420" s="2" t="str">
        <f>IFERROR(__xludf.DUMMYFUNCTION("IF(E9420&lt;&gt;"""", GOOGLETRANSLATE(E9420, ""en"", ""te""),"""")"),"[ '43 వ అత్యంత ఐదు-వికెట్ల లో-ఒక-ఇన్నింగ్స్ కెరీర్ (2) లో']")</f>
        <v>[ '43 వ అత్యంత ఐదు-వికెట్ల లో-ఒక-ఇన్నింగ్స్ కెరీర్ (2) లో']</v>
      </c>
      <c r="G9420" s="2"/>
      <c r="H9420" s="2" t="str">
        <f>IFERROR(__xludf.DUMMYFUNCTION("IF(G9420&lt;&gt;"""", GOOGLETRANSLATE(G9420, ""en"", ""te""),"""")"),"")</f>
        <v/>
      </c>
      <c r="I9420" s="3"/>
    </row>
    <row r="9421" customHeight="1" spans="1:9">
      <c r="A9421" s="2"/>
      <c r="B9421" s="2" t="str">
        <f>IFERROR(__xludf.DUMMYFUNCTION("IF(A9421&lt;&gt;"""", GOOGLETRANSLATE(A9421, ""en"", ""te""),"""")"),"")</f>
        <v/>
      </c>
      <c r="C9421" s="2"/>
      <c r="D9421" s="2" t="str">
        <f>IFERROR(__xludf.DUMMYFUNCTION("IF(C9421&lt;&gt;"""", GOOGLETRANSLATE(C9421, ""en"", ""te""),"""")"),"")</f>
        <v/>
      </c>
      <c r="E9421" s="2"/>
      <c r="F9421" s="2" t="str">
        <f>IFERROR(__xludf.DUMMYFUNCTION("IF(E9421&lt;&gt;"""", GOOGLETRANSLATE(E9421, ""en"", ""te""),"""")"),"")</f>
        <v/>
      </c>
      <c r="G9421" s="2"/>
      <c r="H9421" s="2" t="str">
        <f>IFERROR(__xludf.DUMMYFUNCTION("IF(G9421&lt;&gt;"""", GOOGLETRANSLATE(G9421, ""en"", ""te""),"""")"),"")</f>
        <v/>
      </c>
      <c r="I9421" s="3"/>
    </row>
    <row r="9422" customHeight="1" spans="1:9">
      <c r="A9422" s="2"/>
      <c r="B9422" s="2" t="str">
        <f>IFERROR(__xludf.DUMMYFUNCTION("IF(A9422&lt;&gt;"""", GOOGLETRANSLATE(A9422, ""en"", ""te""),"""")"),"")</f>
        <v/>
      </c>
      <c r="C9422" s="2"/>
      <c r="D9422" s="2" t="str">
        <f>IFERROR(__xludf.DUMMYFUNCTION("IF(C9422&lt;&gt;"""", GOOGLETRANSLATE(C9422, ""en"", ""te""),"""")"),"")</f>
        <v/>
      </c>
      <c r="E9422" s="2"/>
      <c r="F9422" s="2" t="str">
        <f>IFERROR(__xludf.DUMMYFUNCTION("IF(E9422&lt;&gt;"""", GOOGLETRANSLATE(E9422, ""en"", ""te""),"""")"),"")</f>
        <v/>
      </c>
      <c r="G9422" s="2"/>
      <c r="H9422" s="2" t="str">
        <f>IFERROR(__xludf.DUMMYFUNCTION("IF(G9422&lt;&gt;"""", GOOGLETRANSLATE(G9422, ""en"", ""te""),"""")"),"")</f>
        <v/>
      </c>
      <c r="I9422" s="3"/>
    </row>
    <row r="9423" customHeight="1" spans="1:9">
      <c r="A9423" s="2"/>
      <c r="B9423" s="2" t="str">
        <f>IFERROR(__xludf.DUMMYFUNCTION("IF(A9423&lt;&gt;"""", GOOGLETRANSLATE(A9423, ""en"", ""te""),"""")"),"")</f>
        <v/>
      </c>
      <c r="C9423" s="2"/>
      <c r="D9423" s="2" t="str">
        <f>IFERROR(__xludf.DUMMYFUNCTION("IF(C9423&lt;&gt;"""", GOOGLETRANSLATE(C9423, ""en"", ""te""),"""")"),"")</f>
        <v/>
      </c>
      <c r="E9423" s="2"/>
      <c r="F9423" s="2" t="str">
        <f>IFERROR(__xludf.DUMMYFUNCTION("IF(E9423&lt;&gt;"""", GOOGLETRANSLATE(E9423, ""en"", ""te""),"""")"),"")</f>
        <v/>
      </c>
      <c r="G9423" s="2"/>
      <c r="H9423" s="2" t="str">
        <f>IFERROR(__xludf.DUMMYFUNCTION("IF(G9423&lt;&gt;"""", GOOGLETRANSLATE(G9423, ""en"", ""te""),"""")"),"")</f>
        <v/>
      </c>
      <c r="I9423" s="3"/>
    </row>
    <row r="9424" customHeight="1" spans="1:9">
      <c r="A9424" s="2"/>
      <c r="B9424" s="2" t="str">
        <f>IFERROR(__xludf.DUMMYFUNCTION("IF(A9424&lt;&gt;"""", GOOGLETRANSLATE(A9424, ""en"", ""te""),"""")"),"")</f>
        <v/>
      </c>
      <c r="C9424" s="2"/>
      <c r="D9424" s="2" t="str">
        <f>IFERROR(__xludf.DUMMYFUNCTION("IF(C9424&lt;&gt;"""", GOOGLETRANSLATE(C9424, ""en"", ""te""),"""")"),"")</f>
        <v/>
      </c>
      <c r="E9424" s="2"/>
      <c r="F9424" s="2" t="str">
        <f>IFERROR(__xludf.DUMMYFUNCTION("IF(E9424&lt;&gt;"""", GOOGLETRANSLATE(E9424, ""en"", ""te""),"""")"),"")</f>
        <v/>
      </c>
      <c r="G9424" s="2"/>
      <c r="H9424" s="2" t="str">
        <f>IFERROR(__xludf.DUMMYFUNCTION("IF(G9424&lt;&gt;"""", GOOGLETRANSLATE(G9424, ""en"", ""te""),"""")"),"")</f>
        <v/>
      </c>
      <c r="I9424" s="3"/>
    </row>
    <row r="9425" customHeight="1" spans="1:9">
      <c r="A9425" s="2" t="s">
        <v>5393</v>
      </c>
      <c r="B9425" s="2" t="str">
        <f>IFERROR(__xludf.DUMMYFUNCTION("IF(A9425&lt;&gt;"""", GOOGLETRANSLATE(A9425, ""en"", ""te""),"""")"),"[ 'పదవ వికెట్కు 6 వ అత్యధిక భాగస్వామ్యం (29)']")</f>
        <v>[ 'పదవ వికెట్కు 6 వ అత్యధిక భాగస్వామ్యం (29)']</v>
      </c>
      <c r="C9425" s="2"/>
      <c r="D9425" s="2" t="str">
        <f>IFERROR(__xludf.DUMMYFUNCTION("IF(C9425&lt;&gt;"""", GOOGLETRANSLATE(C9425, ""en"", ""te""),"""")"),"")</f>
        <v/>
      </c>
      <c r="E9425" s="2" t="s">
        <v>5394</v>
      </c>
      <c r="F9425" s="2" t="str">
        <f>IFERROR(__xludf.DUMMYFUNCTION("IF(E9425&lt;&gt;"""", GOOGLETRANSLATE(E9425, ""en"", ""te""),"""")"),"[ '14 వ ఒక ఇన్నింగ్స్ లోని బెస్ట్ ఫిగర్స్ ఉన్నప్పుడు పరాజయం వైపు (5)', '35 వ చెత్త కెరీర్లో ఆర్థిక రేటు (5.73)']")</f>
        <v>[ '14 వ ఒక ఇన్నింగ్స్ లోని బెస్ట్ ఫిగర్స్ ఉన్నప్పుడు పరాజయం వైపు (5)', '35 వ చెత్త కెరీర్లో ఆర్థిక రేటు (5.73)']</v>
      </c>
      <c r="G9425" s="2" t="s">
        <v>5393</v>
      </c>
      <c r="H9425" s="2" t="str">
        <f>IFERROR(__xludf.DUMMYFUNCTION("IF(G9425&lt;&gt;"""", GOOGLETRANSLATE(G9425, ""en"", ""te""),"""")"),"[ 'పదవ వికెట్కు 6 వ అత్యధిక భాగస్వామ్యం (29)']")</f>
        <v>[ 'పదవ వికెట్కు 6 వ అత్యధిక భాగస్వామ్యం (29)']</v>
      </c>
      <c r="I9425" s="3"/>
    </row>
    <row r="9426" customHeight="1" spans="1:9">
      <c r="A9426" s="2"/>
      <c r="B9426" s="2" t="str">
        <f>IFERROR(__xludf.DUMMYFUNCTION("IF(A9426&lt;&gt;"""", GOOGLETRANSLATE(A9426, ""en"", ""te""),"""")"),"")</f>
        <v/>
      </c>
      <c r="C9426" s="2"/>
      <c r="D9426" s="2" t="str">
        <f>IFERROR(__xludf.DUMMYFUNCTION("IF(C9426&lt;&gt;"""", GOOGLETRANSLATE(C9426, ""en"", ""te""),"""")"),"")</f>
        <v/>
      </c>
      <c r="E9426" s="2"/>
      <c r="F9426" s="2" t="str">
        <f>IFERROR(__xludf.DUMMYFUNCTION("IF(E9426&lt;&gt;"""", GOOGLETRANSLATE(E9426, ""en"", ""te""),"""")"),"")</f>
        <v/>
      </c>
      <c r="G9426" s="2"/>
      <c r="H9426" s="2" t="str">
        <f>IFERROR(__xludf.DUMMYFUNCTION("IF(G9426&lt;&gt;"""", GOOGLETRANSLATE(G9426, ""en"", ""te""),"""")"),"")</f>
        <v/>
      </c>
      <c r="I9426" s="3"/>
    </row>
    <row r="9427" customHeight="1" spans="1:9">
      <c r="A9427" s="2"/>
      <c r="B9427" s="2" t="str">
        <f>IFERROR(__xludf.DUMMYFUNCTION("IF(A9427&lt;&gt;"""", GOOGLETRANSLATE(A9427, ""en"", ""te""),"""")"),"")</f>
        <v/>
      </c>
      <c r="C9427" s="2"/>
      <c r="D9427" s="2" t="str">
        <f>IFERROR(__xludf.DUMMYFUNCTION("IF(C9427&lt;&gt;"""", GOOGLETRANSLATE(C9427, ""en"", ""te""),"""")"),"")</f>
        <v/>
      </c>
      <c r="E9427" s="2"/>
      <c r="F9427" s="2" t="str">
        <f>IFERROR(__xludf.DUMMYFUNCTION("IF(E9427&lt;&gt;"""", GOOGLETRANSLATE(E9427, ""en"", ""te""),"""")"),"")</f>
        <v/>
      </c>
      <c r="G9427" s="2"/>
      <c r="H9427" s="2" t="str">
        <f>IFERROR(__xludf.DUMMYFUNCTION("IF(G9427&lt;&gt;"""", GOOGLETRANSLATE(G9427, ""en"", ""te""),"""")"),"")</f>
        <v/>
      </c>
      <c r="I9427" s="3"/>
    </row>
    <row r="9428" customHeight="1" spans="1:9">
      <c r="A9428" s="2"/>
      <c r="B9428" s="2" t="str">
        <f>IFERROR(__xludf.DUMMYFUNCTION("IF(A9428&lt;&gt;"""", GOOGLETRANSLATE(A9428, ""en"", ""te""),"""")"),"")</f>
        <v/>
      </c>
      <c r="C9428" s="2"/>
      <c r="D9428" s="2" t="str">
        <f>IFERROR(__xludf.DUMMYFUNCTION("IF(C9428&lt;&gt;"""", GOOGLETRANSLATE(C9428, ""en"", ""te""),"""")"),"")</f>
        <v/>
      </c>
      <c r="E9428" s="2"/>
      <c r="F9428" s="2" t="str">
        <f>IFERROR(__xludf.DUMMYFUNCTION("IF(E9428&lt;&gt;"""", GOOGLETRANSLATE(E9428, ""en"", ""te""),"""")"),"")</f>
        <v/>
      </c>
      <c r="G9428" s="2"/>
      <c r="H9428" s="2" t="str">
        <f>IFERROR(__xludf.DUMMYFUNCTION("IF(G9428&lt;&gt;"""", GOOGLETRANSLATE(G9428, ""en"", ""te""),"""")"),"")</f>
        <v/>
      </c>
      <c r="I9428" s="3"/>
    </row>
    <row r="9429" customHeight="1" spans="1:9">
      <c r="A9429" s="2" t="s">
        <v>5395</v>
      </c>
      <c r="B9429" s="2" t="str">
        <f>IFERROR(__xludf.DUMMYFUNCTION("IF(A9429&lt;&gt;"""", GOOGLETRANSLATE(A9429, ""en"", ""te""),"""")"),"[ '2 వ ఓల్డెస్ట్ క్రీడాకారులు (45y 312d)', 'కెప్టెన్సీ తొలి 9 వ ఓల్డెస్ట్ కాప్టెన్ (40y 146d' అయిదు వికెట్లు-ఇన్-ఒక-ఇన్నింగ్స్ (45y 154d) కన్య తీసుకోవాలని 3 వ అత్యంత వృద్ధ ఆటగాడు ',' రెండు దేశాలకు ప్రాతినిధ్యం ' ) ',' 5 వ చెత్త కెరీర్లో సమ్మె రేటు (80.2) "&amp;"',' రెండు దేశాలకు ప్రాతినిధ్యం ']")</f>
        <v>[ '2 వ ఓల్డెస్ట్ క్రీడాకారులు (45y 312d)', 'కెప్టెన్సీ తొలి 9 వ ఓల్డెస్ట్ కాప్టెన్ (40y 146d' అయిదు వికెట్లు-ఇన్-ఒక-ఇన్నింగ్స్ (45y 154d) కన్య తీసుకోవాలని 3 వ అత్యంత వృద్ధ ఆటగాడు ',' రెండు దేశాలకు ప్రాతినిధ్యం ' ) ',' 5 వ చెత్త కెరీర్లో సమ్మె రేటు (80.2) ',' రెండు దేశాలకు ప్రాతినిధ్యం ']</v>
      </c>
      <c r="C9429" s="2" t="s">
        <v>5396</v>
      </c>
      <c r="D9429" s="2" t="str">
        <f>IFERROR(__xludf.DUMMYFUNCTION("IF(C9429&lt;&gt;"""", GOOGLETRANSLATE(C9429, ""en"", ""te""),"""")"),"[ '3 వ అత్యంత వృద్ధ ఆటగాడు (45y 154d) ఐదు వికెట్లు-ఇన్-ఒక-ఇన్నింగ్స్ తీసుకోవాలని', 'తొలి తీసుకోవాలని 3 వ అత్యంత వృద్ధ ఆటగాడు ఐదు వికెట్ల లో-ఒక-ఇన్నింగ్స్ (45y 154d)', '12 వ ఓల్డెస్ట్ క్రీడాకారులు ( 45y 304d) ',' 6 వ లాంగెస్ట్ కెరీర్లు (23y 40D) ప్రదర్శనల "&amp;"మధ్య ',' 1st లాంగెస్ట్ వ్యవధిలో (22y 222d) ']")</f>
        <v>[ '3 వ అత్యంత వృద్ధ ఆటగాడు (45y 154d) ఐదు వికెట్లు-ఇన్-ఒక-ఇన్నింగ్స్ తీసుకోవాలని', 'తొలి తీసుకోవాలని 3 వ అత్యంత వృద్ధ ఆటగాడు ఐదు వికెట్ల లో-ఒక-ఇన్నింగ్స్ (45y 154d)', '12 వ ఓల్డెస్ట్ క్రీడాకారులు ( 45y 304d) ',' 6 వ లాంగెస్ట్ కెరీర్లు (23y 40D) ప్రదర్శనల మధ్య ',' 1st లాంగెస్ట్ వ్యవధిలో (22y 222d) ']</v>
      </c>
      <c r="E9429" s="2" t="s">
        <v>5397</v>
      </c>
      <c r="F9429" s="2" t="str">
        <f>IFERROR(__xludf.DUMMYFUNCTION("IF(E9429&lt;&gt;"""", GOOGLETRANSLATE(E9429, ""en"", ""te""),"""")"),"[ '38 వ ఉత్తమ కెరీర్ ఆర్థిక రేటు (3.88)', '21 వ చెత్త కెరీర్ సగటు (51.94) బౌలింగ్ ',' 5 వ చెత్త కెరీర్లో సమ్మె రేటు (80.2) ',' 2 వ ఓల్డెస్ట్ క్రీడాకారులు (45y 312d) ',' 13 వ ఓల్డెస్ట్ కాప్టెన్ (40y 166d) ',' కెప్టెన్సీ తొలి 9 వ ఓల్డెస్ట్ కాప్టెన్ (40y 146"&amp;"d) ']")</f>
        <v>[ '38 వ ఉత్తమ కెరీర్ ఆర్థిక రేటు (3.88)', '21 వ చెత్త కెరీర్ సగటు (51.94) బౌలింగ్ ',' 5 వ చెత్త కెరీర్లో సమ్మె రేటు (80.2) ',' 2 వ ఓల్డెస్ట్ క్రీడాకారులు (45y 312d) ',' 13 వ ఓల్డెస్ట్ కాప్టెన్ (40y 166d) ',' కెప్టెన్సీ తొలి 9 వ ఓల్డెస్ట్ కాప్టెన్ (40y 146d) ']</v>
      </c>
      <c r="G9429" s="2"/>
      <c r="H9429" s="2" t="str">
        <f>IFERROR(__xludf.DUMMYFUNCTION("IF(G9429&lt;&gt;"""", GOOGLETRANSLATE(G9429, ""en"", ""te""),"""")"),"")</f>
        <v/>
      </c>
      <c r="I9429" s="3"/>
    </row>
    <row r="9430" customHeight="1" spans="1:9">
      <c r="A9430" s="2" t="s">
        <v>5398</v>
      </c>
      <c r="B9430" s="2" t="str">
        <f>IFERROR(__xludf.DUMMYFUNCTION("IF(A9430&lt;&gt;"""", GOOGLETRANSLATE(A9430, ""en"", ""te""),"""")"),"[ 'హండ్రెడ్ ఒక మ్యాచ్లో ప్రతి ఇన్నింగ్స్లో', 'అత్యధిక వికెట్లు 9 ఒక సిరీస్లో అత్యధిక పరుగులు (433)', '6 వ అత్యంత వరుస బాతులు (3)', '200 పరుగులు మరియు ఒక సిరీస్లో 10 వికెట్కీపింగ్ తొలగింపులకు', '4 వ లాంగెస్ట్ కెరీర్లు (14y 148d)', '8 వ కెప్టెన్ల వికెట్ (11"&amp;") ఉంచింది చేసిన', '6 వ అత్యధిక పరుగులు ఒకే క్రీడా (3232) లో']")</f>
        <v>[ 'హండ్రెడ్ ఒక మ్యాచ్లో ప్రతి ఇన్నింగ్స్లో', 'అత్యధిక వికెట్లు 9 ఒక సిరీస్లో అత్యధిక పరుగులు (433)', '6 వ అత్యంత వరుస బాతులు (3)', '200 పరుగులు మరియు ఒక సిరీస్లో 10 వికెట్కీపింగ్ తొలగింపులకు', '4 వ లాంగెస్ట్ కెరీర్లు (14y 148d)', '8 వ కెప్టెన్ల వికెట్ (11) ఉంచింది చేసిన', '6 వ అత్యధిక పరుగులు ఒకే క్రీడా (3232) లో']</v>
      </c>
      <c r="C9430" s="2" t="s">
        <v>5399</v>
      </c>
      <c r="D9430" s="2" t="str">
        <f>IFERROR(__xludf.DUMMYFUNCTION("IF(C9430&lt;&gt;"""", GOOGLETRANSLATE(C9430, ""en"", ""te""),"""")"),"[40 వ పరాజయం వైపు ఒక మ్యాచ్లో అత్యధిక పరుగులు (216) ',' 49 వ పిన్న క్రీడాకారులు (18y 90D) ',' 36 వ పిన్న కాప్టెన్ (25y 179d) ',' వికెట్ (1) ఉంచింది చేసిన 27 కెప్టెన్ల ']")</f>
        <v>[40 వ పరాజయం వైపు ఒక మ్యాచ్లో అత్యధిక పరుగులు (216) ',' 49 వ పిన్న క్రీడాకారులు (18y 90D) ',' 36 వ పిన్న కాప్టెన్ (25y 179d) ',' వికెట్ (1) ఉంచింది చేసిన 27 కెప్టెన్ల ']</v>
      </c>
      <c r="E9430" s="2" t="s">
        <v>5400</v>
      </c>
      <c r="F9430" s="2" t="str">
        <f>IFERROR(__xludf.DUMMYFUNCTION("IF(E9430&lt;&gt;"""", GOOGLETRANSLATE(E9430, ""en"", ""te""),"""")"),"[ 'ఒకే మైదానంలో 9 వ అత్యధిక పరుగులు (2067)' 'ఒక కెప్టెన్తో 37 వ ఇన్నింగ్స్ లో అత్యధిక పరుగులు (138)' '24 వ అత్యంత పరాజయం వైపు ఒక మ్యాచ్ (145 *) పరుగులు', '9 వ అత్యధిక పరుగులు ఒక వికెట్ శ్రేణిలో (433) ',' అత్యధిక వికెట్లు ఇన్నింగ్స్ 27 వ అత్యధిక పరుగులు "&amp;"(138) ',' 41 వ ఒక వృత్తిలో అత్యధిక వందలు (11) ',' వరుస ఇన్నింగ్స్లో 44 వ యాభైల్లో (4) ',' వరుస కెరీర్లో 45 వ అత్యంత బాతులు (15) ',' 6 వ అత్యంత బాతులు (3) ',' 37 వ ఎక్కువ సిక్స్ కెరీర్లో (104) ',' 49 వ అత్యంత ఫోర్లు కెరీర్లో (580) ',' 44th చాల వరకు ఒక లో "&amp;"సిక్సర్లు ఇన్నింగ్స్ (8) ',' 25 వ ఇన్నింగ్స్ లో వచ్చిన ఎక్కువ ఫోర్లు (20) ',' ఒక ఇన్నింగ్స్లో పరుగుల 39 వ అత్యధిక శాతం (55.41) ',' 6000 పరుగులు (184) ',' కోసం 33 వ అత్యధిక భాగస్వామ్యాన్ని 33 వ వేగంగా ఐదో వికెట్కు (156) ఎనిమిదో వికెట్కు ',' 33 వ అత్యధిక భా"&amp;"గస్వామ్యం (81) ',' ఒక జట్టు 43 వ వరుస మ్యాచ్లు (77) ',' 30 వ లాంగెస్ట్ కెరీర్లు (16y 197d) ',' 14 వ కెప్టెన్ల వికెట్ను కాపాడుకున్నాడు చేసిన (17) ',' 25 వ కెరీర్ లో అత్యధిక వికెట్లు (131) ',' 16 వ ఇన్నింగ్స్ లో అత్యధిక వికెట్లు (5) ',' 28th సంరక్షణలో అత్యధ"&amp;"ిక క్యాచ్లు er (102) ',' 11 వ ఇన్నింగ్స్ లో అత్యధిక క్యాచ్లు (5) ',' 15 వ కెరీర్ స్టంపింగ్లు (29) ']")</f>
        <v>[ 'ఒకే మైదానంలో 9 వ అత్యధిక పరుగులు (2067)' 'ఒక కెప్టెన్తో 37 వ ఇన్నింగ్స్ లో అత్యధిక పరుగులు (138)' '24 వ అత్యంత పరాజయం వైపు ఒక మ్యాచ్ (145 *) పరుగులు', '9 వ అత్యధిక పరుగులు ఒక వికెట్ శ్రేణిలో (433) ',' అత్యధిక వికెట్లు ఇన్నింగ్స్ 27 వ అత్యధిక పరుగులు (138) ',' 41 వ ఒక వృత్తిలో అత్యధిక వందలు (11) ',' వరుస ఇన్నింగ్స్లో 44 వ యాభైల్లో (4) ',' వరుస కెరీర్లో 45 వ అత్యంత బాతులు (15) ',' 6 వ అత్యంత బాతులు (3) ',' 37 వ ఎక్కువ సిక్స్ కెరీర్లో (104) ',' 49 వ అత్యంత ఫోర్లు కెరీర్లో (580) ',' 44th చాల వరకు ఒక లో సిక్సర్లు ఇన్నింగ్స్ (8) ',' 25 వ ఇన్నింగ్స్ లో వచ్చిన ఎక్కువ ఫోర్లు (20) ',' ఒక ఇన్నింగ్స్లో పరుగుల 39 వ అత్యధిక శాతం (55.41) ',' 6000 పరుగులు (184) ',' కోసం 33 వ అత్యధిక భాగస్వామ్యాన్ని 33 వ వేగంగా ఐదో వికెట్కు (156) ఎనిమిదో వికెట్కు ',' 33 వ అత్యధిక భాగస్వామ్యం (81) ',' ఒక జట్టు 43 వ వరుస మ్యాచ్లు (77) ',' 30 వ లాంగెస్ట్ కెరీర్లు (16y 197d) ',' 14 వ కెప్టెన్ల వికెట్ను కాపాడుకున్నాడు చేసిన (17) ',' 25 వ కెరీర్ లో అత్యధిక వికెట్లు (131) ',' 16 వ ఇన్నింగ్స్ లో అత్యధిక వికెట్లు (5) ',' 28th సంరక్షణలో అత్యధిక క్యాచ్లు er (102) ',' 11 వ ఇన్నింగ్స్ లో అత్యధిక క్యాచ్లు (5) ',' 15 వ కెరీర్ స్టంపింగ్లు (29) ']</v>
      </c>
      <c r="G9430" s="2" t="s">
        <v>5401</v>
      </c>
      <c r="H9430" s="2" t="str">
        <f>IFERROR(__xludf.DUMMYFUNCTION("IF(G9430&lt;&gt;"""", GOOGLETRANSLATE(G9430, ""en"", ""te""),"""")"),"[ '49 వ అత్యంత ఒక కెప్టెన్తో ఇన్నింగ్స్ లో పరుగులు (75 *)', '48 వ కెరీర్ అర్ధ (6)', '32 వ కెరీర్ బాతులు (5)', రెండవ వికెట్కు '43 వ అత్యధిక భాగస్వామ్యం (107) ',' 4 వ లాంగెస్ట్ కెరీర్లు (14y 148d) ',' 38 వ కెప్టెన్గా అత్యధిక మ్యాచ్లు (18) ',' 40 వ పిన్న కాప"&amp;"్టెన్ (25y 222d) ',' వికెట్ (11) ఉంచింది చేసిన 8 వ కెప్టెన్ల ',' 20 వ అత్యధిక క్యాచ్లు కెరీర్ (17) ',' 13 వ ఇన్నింగ్స్ లో అత్యధిక క్యాచ్లు (3) ']")</f>
        <v>[ '49 వ అత్యంత ఒక కెప్టెన్తో ఇన్నింగ్స్ లో పరుగులు (75 *)', '48 వ కెరీర్ అర్ధ (6)', '32 వ కెరీర్ బాతులు (5)', రెండవ వికెట్కు '43 వ అత్యధిక భాగస్వామ్యం (107) ',' 4 వ లాంగెస్ట్ కెరీర్లు (14y 148d) ',' 38 వ కెప్టెన్గా అత్యధిక మ్యాచ్లు (18) ',' 40 వ పిన్న కాప్టెన్ (25y 222d) ',' వికెట్ (11) ఉంచింది చేసిన 8 వ కెప్టెన్ల ',' 20 వ అత్యధిక క్యాచ్లు కెరీర్ (17) ',' 13 వ ఇన్నింగ్స్ లో అత్యధిక క్యాచ్లు (3) ']</v>
      </c>
      <c r="I9430" s="3"/>
    </row>
    <row r="9431" customHeight="1" spans="1:9">
      <c r="A9431" s="2"/>
      <c r="B9431" s="2" t="str">
        <f>IFERROR(__xludf.DUMMYFUNCTION("IF(A9431&lt;&gt;"""", GOOGLETRANSLATE(A9431, ""en"", ""te""),"""")"),"")</f>
        <v/>
      </c>
      <c r="C9431" s="2"/>
      <c r="D9431" s="2" t="str">
        <f>IFERROR(__xludf.DUMMYFUNCTION("IF(C9431&lt;&gt;"""", GOOGLETRANSLATE(C9431, ""en"", ""te""),"""")"),"")</f>
        <v/>
      </c>
      <c r="E9431" s="2"/>
      <c r="F9431" s="2" t="str">
        <f>IFERROR(__xludf.DUMMYFUNCTION("IF(E9431&lt;&gt;"""", GOOGLETRANSLATE(E9431, ""en"", ""te""),"""")"),"")</f>
        <v/>
      </c>
      <c r="G9431" s="2"/>
      <c r="H9431" s="2" t="str">
        <f>IFERROR(__xludf.DUMMYFUNCTION("IF(G9431&lt;&gt;"""", GOOGLETRANSLATE(G9431, ""en"", ""te""),"""")"),"")</f>
        <v/>
      </c>
      <c r="I9431" s="3"/>
    </row>
    <row r="9432" customHeight="1" spans="1:9">
      <c r="A9432" s="2" t="s">
        <v>5402</v>
      </c>
      <c r="B9432" s="2" t="str">
        <f>IFERROR(__xludf.DUMMYFUNCTION("IF(A9432&lt;&gt;"""", GOOGLETRANSLATE(A9432, ""en"", ""te""),"""")"),"[ '2nd పిన్న కాప్టెన్ (20y 358d)', 'బై గూడా ఇవ్వకుండా 3 వ అత్యధిక ఇన్నింగ్స్ మొత్తం (713/3)', '4 వ పిన్న కాప్టెన్ (20y 342d)', 'వరుస 7 వ అత్యంత స్టంపింగ్లు (5)', ' 6 వ అత్యధిక వరుస బాతులు (3) ',' 2000 పరుగులు మరియు 100 వికెట్ కీపింగ్ తొలగింపులకు ',' ఆరవ "&amp;"వికెట్కు 4 వ అత్యధిక భాగస్వామ్యం ఇన్నింగ్స్ లో (188) ',' 3 వ అత్యంత స్టంపింగ్లు (3) ']")</f>
        <v>[ '2nd పిన్న కాప్టెన్ (20y 358d)', 'బై గూడా ఇవ్వకుండా 3 వ అత్యధిక ఇన్నింగ్స్ మొత్తం (713/3)', '4 వ పిన్న కాప్టెన్ (20y 342d)', 'వరుస 7 వ అత్యంత స్టంపింగ్లు (5)', ' 6 వ అత్యధిక వరుస బాతులు (3) ',' 2000 పరుగులు మరియు 100 వికెట్ కీపింగ్ తొలగింపులకు ',' ఆరవ వికెట్కు 4 వ అత్యధిక భాగస్వామ్యం ఇన్నింగ్స్ లో (188) ',' 3 వ అత్యంత స్టంపింగ్లు (3) ']</v>
      </c>
      <c r="C9432" s="2" t="s">
        <v>5403</v>
      </c>
      <c r="D9432" s="2" t="str">
        <f>IFERROR(__xludf.DUMMYFUNCTION("IF(C9432&lt;&gt;"""", GOOGLETRANSLATE(C9432, ""en"", ""te""),"""")"),"[ '41 వ అత్యంత వికెట్కీపర్ శ్రేణిలో పరుగులు (330)', 'అత్యధిక వికెట్లు ఇన్నింగ్స్ లో 36 వ అత్యధిక పరుగులు (153)', '46 వ పిన్న క్రీడాకారులు (18y 66d)', '2 వ పిన్న కాప్టెన్ (20y 358d)' 'వికెట్ను కాపాడుకున్నాడు చేసిన 13 వ కెప్టెన్ల (10)', '3 వ అత్యధిక ఇన్నింగ"&amp;"్స్ బై (713/3) గూడా ఇవ్వకుండా మొత్తం']")</f>
        <v>[ '41 వ అత్యంత వికెట్కీపర్ శ్రేణిలో పరుగులు (330)', 'అత్యధిక వికెట్లు ఇన్నింగ్స్ లో 36 వ అత్యధిక పరుగులు (153)', '46 వ పిన్న క్రీడాకారులు (18y 66d)', '2 వ పిన్న కాప్టెన్ (20y 358d)' 'వికెట్ను కాపాడుకున్నాడు చేసిన 13 వ కెప్టెన్ల (10)', '3 వ అత్యధిక ఇన్నింగ్స్ బై (713/3) గూడా ఇవ్వకుండా మొత్తం']</v>
      </c>
      <c r="E9432" s="2" t="s">
        <v>5404</v>
      </c>
      <c r="F9432" s="2" t="str">
        <f>IFERROR(__xludf.DUMMYFUNCTION("IF(E9432&lt;&gt;"""", GOOGLETRANSLATE(E9432, ""en"", ""te""),"""")"),"[ '32 వ అత్యంత ఒకే మైదానంలో పరుగులు (1206)', '37 వ కెరీర్ బాతులు (16)', 'ఒక సిరీస్లో 6 వ అత్యంత బాతులు (3)', '6 వ అత్యధిక వరుస బాతులు (3)', '4 వ అత్యధిక ఆరవ వికెట్కు భాగస్వామ్యం (188) ',' ఒక జట్టుకు 50 వ వరుస మ్యాచ్లు (71) ',' 4 వ పిన్న కాప్టెన్ (20y 342"&amp;"d) ',' 11 వ కెప్టెన్ల వికెట్ను కాపాడుకున్నాడు చేసిన (29) ',' 22 వ అత్యధిక వికెట్లు లో కెరీర్ (145) ',' 23 వ కెరీర్ లో అత్యధిక క్యాచ్లు (112) ',' 11 వ కెరీర్ స్టంపింగ్లు (33) ',' 7 వ అత్యంత స్టంపింగ్లు వరుస (5) ']")</f>
        <v>[ '32 వ అత్యంత ఒకే మైదానంలో పరుగులు (1206)', '37 వ కెరీర్ బాతులు (16)', 'ఒక సిరీస్లో 6 వ అత్యంత బాతులు (3)', '6 వ అత్యధిక వరుస బాతులు (3)', '4 వ అత్యధిక ఆరవ వికెట్కు భాగస్వామ్యం (188) ',' ఒక జట్టుకు 50 వ వరుస మ్యాచ్లు (71) ',' 4 వ పిన్న కాప్టెన్ (20y 342d) ',' 11 వ కెప్టెన్ల వికెట్ను కాపాడుకున్నాడు చేసిన (29) ',' 22 వ అత్యధిక వికెట్లు లో కెరీర్ (145) ',' 23 వ కెరీర్ లో అత్యధిక క్యాచ్లు (112) ',' 11 వ కెరీర్ స్టంపింగ్లు (33) ',' 7 వ అత్యంత స్టంపింగ్లు వరుస (5) ']</v>
      </c>
      <c r="G9432" s="2" t="s">
        <v>5405</v>
      </c>
      <c r="H9432" s="2" t="str">
        <f>IFERROR(__xludf.DUMMYFUNCTION("IF(G9432&lt;&gt;"""", GOOGLETRANSLATE(G9432, ""en"", ""te""),"""")"),"[ 'కెరీర్లో 24 వ అత్యంత స్టంపింగ్లు (5)', 'ఇన్నింగ్స్ లో 3 వ అత్యంత స్టంపింగ్లు (3)']")</f>
        <v>[ 'కెరీర్లో 24 వ అత్యంత స్టంపింగ్లు (5)', 'ఇన్నింగ్స్ లో 3 వ అత్యంత స్టంపింగ్లు (3)']</v>
      </c>
      <c r="I9432" s="3"/>
    </row>
    <row r="9433" customHeight="1" spans="1:9">
      <c r="A9433" s="2" t="s">
        <v>5406</v>
      </c>
      <c r="B9433" s="2" t="str">
        <f>IFERROR(__xludf.DUMMYFUNCTION("IF(A9433&lt;&gt;"""", GOOGLETRANSLATE(A9433, ""en"", ""te""),"""")"),"[ '5 వ పిన్న కాప్టెన్ (21y 125d)', '6 వ అత్యధిక వరుస బాతులు (3)', '1000 పరుగులు మరియు 100 వికెట్లు', '1000 పరుగులు, 50 వికెట్లు, 50 క్యాచ్లు', '7 వ పిన్న కాప్టెన్ (21y 247d)', '2 వ చెత్త కెరీర్లో సమ్మె రేటు (28.8)']")</f>
        <v>[ '5 వ పిన్న కాప్టెన్ (21y 125d)', '6 వ అత్యధిక వరుస బాతులు (3)', '1000 పరుగులు మరియు 100 వికెట్లు', '1000 పరుగులు, 50 వికెట్లు, 50 క్యాచ్లు', '7 వ పిన్న కాప్టెన్ (21y 247d)', '2 వ చెత్త కెరీర్లో సమ్మె రేటు (28.8)']</v>
      </c>
      <c r="C9433" s="2" t="s">
        <v>5407</v>
      </c>
      <c r="D9433" s="2" t="str">
        <f>IFERROR(__xludf.DUMMYFUNCTION("IF(C9433&lt;&gt;"""", GOOGLETRANSLATE(C9433, ""en"", ""te""),"""")"),"[ 'ప్రదర్శనలు (8y 316d) మధ్య 41 వ లాంగెస్ట్ వ్యవధిలో']")</f>
        <v>[ 'ప్రదర్శనలు (8y 316d) మధ్య 41 వ లాంగెస్ట్ వ్యవధిలో']</v>
      </c>
      <c r="E9433" s="2" t="s">
        <v>5408</v>
      </c>
      <c r="F9433" s="2" t="str">
        <f>IFERROR(__xludf.DUMMYFUNCTION("IF(E9433&lt;&gt;"""", GOOGLETRANSLATE(E9433, ""en"", ""te""),"""")"),"[ '44 వ అత్యంత వంద లేకుండా కెరీర్లో పరుగులు (1406)', '37 వ కెరీర్ బాతులు (16)', '6 వ అత్యధిక వరుస బాతులు (3)', '14 వ ఒకే మైదానంలో అత్యధిక వికెట్లు (52)', 'ఒక కెప్టెన్తో ఒక ఇన్నింగ్స్ లో 26 వ బెస్ట్ ఫిగర్స్ (4)', '14 వ ఒక ఇన్నింగ్స్ లోని బెస్ట్ ఫిగర్స్ ఉన"&amp;"్నప్పుడు పరాజయం వైపు (5) న', '46 వ సగటు (46.90) బౌలింగ్ చెత్త జీవితం', '25 వ చెత్త కెరీర్లో సమ్మె రేటు ( 64.4) ',' 32 వ కెరీర్ లో బౌల్డ్ చాలా బంతుల్లో (8571) ',' 38 వ కెరీర్ (6239) లో సాధించిన అత్యధిక పరుగులు ',' 35 వ అత్యధిక వికెట్లు ఆకర్షించింది తీసుకు"&amp;"న్న మరియు బౌల్డ్ (10) ', '21 వ అత్యధిక వికెట్లు స్టంప్ తీసుకున్న (16) ',' ఏడవ వికెట్కు 29 అత్యధిక భాగస్వామ్యం (107) ',' 39 వ అత్యధిక మ్యాచ్లు కెప్టెన్గా (68) ',' 48 వ వరుస మ్యాచ్లు ఒక జట్టు కెప్టెన్గా (32) ',' 5 వ పిన్న కాప్టెన్ (21y 125d) ' ]")</f>
        <v>[ '44 వ అత్యంత వంద లేకుండా కెరీర్లో పరుగులు (1406)', '37 వ కెరీర్ బాతులు (16)', '6 వ అత్యధిక వరుస బాతులు (3)', '14 వ ఒకే మైదానంలో అత్యధిక వికెట్లు (52)', 'ఒక కెప్టెన్తో ఒక ఇన్నింగ్స్ లో 26 వ బెస్ట్ ఫిగర్స్ (4)', '14 వ ఒక ఇన్నింగ్స్ లోని బెస్ట్ ఫిగర్స్ ఉన్నప్పుడు పరాజయం వైపు (5) న', '46 వ సగటు (46.90) బౌలింగ్ చెత్త జీవితం', '25 వ చెత్త కెరీర్లో సమ్మె రేటు ( 64.4) ',' 32 వ కెరీర్ లో బౌల్డ్ చాలా బంతుల్లో (8571) ',' 38 వ కెరీర్ (6239) లో సాధించిన అత్యధిక పరుగులు ',' 35 వ అత్యధిక వికెట్లు ఆకర్షించింది తీసుకున్న మరియు బౌల్డ్ (10) ', '21 వ అత్యధిక వికెట్లు స్టంప్ తీసుకున్న (16) ',' ఏడవ వికెట్కు 29 అత్యధిక భాగస్వామ్యం (107) ',' 39 వ అత్యధిక మ్యాచ్లు కెప్టెన్గా (68) ',' 48 వ వరుస మ్యాచ్లు ఒక జట్టు కెప్టెన్గా (32) ',' 5 వ పిన్న కాప్టెన్ (21y 125d) ' ]</v>
      </c>
      <c r="G9433" s="2" t="s">
        <v>5409</v>
      </c>
      <c r="H9433" s="2" t="str">
        <f>IFERROR(__xludf.DUMMYFUNCTION("IF(G9433&lt;&gt;"""", GOOGLETRANSLATE(G9433, ""en"", ""te""),"""")"),"[ '20 వ ఉత్తమ కెప్టెన్ ఒక ఇన్నింగ్స్ లో సంఖ్యలు (3)', '30 వ ఉత్తమ కెరీర్ ఆర్థిక రేటు (6.87)', '9 వ చెత్త కెరీర్ బౌలింగ్ సరాసరి (33.00)', '2 వ చెత్త కెరీర్లో సమ్మె రేటు (28.8)', ' 7 వ పిన్న కాప్టెన్ (21y 247d) ',' 48 వ వరుస మ్యాచ్లు 'బృందం (32) కెప్టెన్ గా"&amp;"]")</f>
        <v>[ '20 వ ఉత్తమ కెప్టెన్ ఒక ఇన్నింగ్స్ లో సంఖ్యలు (3)', '30 వ ఉత్తమ కెరీర్ ఆర్థిక రేటు (6.87)', '9 వ చెత్త కెరీర్ బౌలింగ్ సరాసరి (33.00)', '2 వ చెత్త కెరీర్లో సమ్మె రేటు (28.8)', ' 7 వ పిన్న కాప్టెన్ (21y 247d) ',' 48 వ వరుస మ్యాచ్లు 'బృందం (32) కెప్టెన్ గా]</v>
      </c>
      <c r="I9433" s="3"/>
    </row>
    <row r="9434" customHeight="1" spans="1:9">
      <c r="A9434" s="2" t="s">
        <v>5410</v>
      </c>
      <c r="B9434" s="2" t="str">
        <f>IFERROR(__xludf.DUMMYFUNCTION("IF(A9434&lt;&gt;"""", GOOGLETRANSLATE(A9434, ""en"", ""te""),"""")"),"[ '3 వ ఉత్తమ తొలి ఇన్నింగ్స్లో గణాంకాలు (5)', '2 వ వరుస ఐదు వికెట్ల లో-ఒక-ఇన్నింగ్స్ (2)', '6 వ అత్యంత ఇన్నింగ్స్ లో సాధించిన పరుగులు (105)']")</f>
        <v>[ '3 వ ఉత్తమ తొలి ఇన్నింగ్స్లో గణాంకాలు (5)', '2 వ వరుస ఐదు వికెట్ల లో-ఒక-ఇన్నింగ్స్ (2)', '6 వ అత్యంత ఇన్నింగ్స్ లో సాధించిన పరుగులు (105)']</v>
      </c>
      <c r="C9434" s="2"/>
      <c r="D9434" s="2" t="str">
        <f>IFERROR(__xludf.DUMMYFUNCTION("IF(C9434&lt;&gt;"""", GOOGLETRANSLATE(C9434, ""en"", ""te""),"""")"),"")</f>
        <v/>
      </c>
      <c r="E9434" s="2" t="s">
        <v>5411</v>
      </c>
      <c r="F9434" s="2" t="str">
        <f>IFERROR(__xludf.DUMMYFUNCTION("IF(E9434&lt;&gt;"""", GOOGLETRANSLATE(E9434, ""en"", ""te""),"""")"),"[ '31 చెత్త కెరీర్లో ఆర్థిక రేటు (5.77)', 'ఇన్నింగ్స్ లో 17 చెత్త ఆర్థిక రేటు (11.66)', 'తొలి ఇన్నింగ్స్లో 3 వ ఉత్తమ బొమ్మలు (5)', '43 వ అత్యంత ఐదు-వికెట్ల ఇన్ an- ఒక కెరీర్ (2) ',' 2 వ వరుస ఐదు వికెట్ల లో-ఒక-ఇన్నింగ్స్ (2) ',' 13 వ వరుస నాలుగు వికెట్లు-ఇ"&amp;"న్-ఒక-ఇన్నింగ్స్ (2) ',' 27th పిన్న ఆటగాడు ఇన్నింగ్స్ను ఐదు వికెట్లు-ఇన్-ఒక-ఇన్నింగ్స్ పడుతుంది (21y 171d) ',' ఇన్నింగ్స్ లో సాధించిన 6 వ అత్యధిక పరుగులు (105) ']")</f>
        <v>[ '31 చెత్త కెరీర్లో ఆర్థిక రేటు (5.77)', 'ఇన్నింగ్స్ లో 17 చెత్త ఆర్థిక రేటు (11.66)', 'తొలి ఇన్నింగ్స్లో 3 వ ఉత్తమ బొమ్మలు (5)', '43 వ అత్యంత ఐదు-వికెట్ల ఇన్ an- ఒక కెరీర్ (2) ',' 2 వ వరుస ఐదు వికెట్ల లో-ఒక-ఇన్నింగ్స్ (2) ',' 13 వ వరుస నాలుగు వికెట్లు-ఇన్-ఒక-ఇన్నింగ్స్ (2) ',' 27th పిన్న ఆటగాడు ఇన్నింగ్స్ను ఐదు వికెట్లు-ఇన్-ఒక-ఇన్నింగ్స్ పడుతుంది (21y 171d) ',' ఇన్నింగ్స్ లో సాధించిన 6 వ అత్యధిక పరుగులు (105) ']</v>
      </c>
      <c r="G9434" s="2" t="s">
        <v>5412</v>
      </c>
      <c r="H9434" s="2" t="str">
        <f>IFERROR(__xludf.DUMMYFUNCTION("IF(G9434&lt;&gt;"""", GOOGLETRANSLATE(G9434, ""en"", ""te""),"""")"),"['21 వ చెత్త కెరీర్ బౌలింగ్ సరాసరి (అర్హత లేకుండా) (80.75) ']")</f>
        <v>['21 వ చెత్త కెరీర్ బౌలింగ్ సరాసరి (అర్హత లేకుండా) (80.75) ']</v>
      </c>
      <c r="I9434" s="3"/>
    </row>
    <row r="9435" customHeight="1" spans="1:9">
      <c r="A9435" s="2" t="s">
        <v>399</v>
      </c>
      <c r="B9435" s="2" t="str">
        <f>IFERROR(__xludf.DUMMYFUNCTION("IF(A9435&lt;&gt;"""", GOOGLETRANSLATE(A9435, ""en"", ""te""),"""")"),"[ 'తొలి పెయిర్']")</f>
        <v>[ 'తొలి పెయిర్']</v>
      </c>
      <c r="C9435" s="2"/>
      <c r="D9435" s="2" t="str">
        <f>IFERROR(__xludf.DUMMYFUNCTION("IF(C9435&lt;&gt;"""", GOOGLETRANSLATE(C9435, ""en"", ""te""),"""")"),"")</f>
        <v/>
      </c>
      <c r="E9435" s="2"/>
      <c r="F9435" s="2" t="str">
        <f>IFERROR(__xludf.DUMMYFUNCTION("IF(E9435&lt;&gt;"""", GOOGLETRANSLATE(E9435, ""en"", ""te""),"""")"),"")</f>
        <v/>
      </c>
      <c r="G9435" s="2"/>
      <c r="H9435" s="2" t="str">
        <f>IFERROR(__xludf.DUMMYFUNCTION("IF(G9435&lt;&gt;"""", GOOGLETRANSLATE(G9435, ""en"", ""te""),"""")"),"")</f>
        <v/>
      </c>
      <c r="I9435" s="3"/>
    </row>
    <row r="9436" customHeight="1" spans="1:9">
      <c r="A9436" s="2" t="s">
        <v>2791</v>
      </c>
      <c r="B9436" s="2" t="str">
        <f>IFERROR(__xludf.DUMMYFUNCTION("IF(A9436&lt;&gt;"""", GOOGLETRANSLATE(A9436, ""en"", ""te""),"""")"),"[ '5 వ ఉత్తమ కెరీర్ బౌలింగ్ సరాసరి (అర్హత లేకుండా) (5.00)']")</f>
        <v>[ '5 వ ఉత్తమ కెరీర్ బౌలింగ్ సరాసరి (అర్హత లేకుండా) (5.00)']</v>
      </c>
      <c r="C9436" s="2" t="s">
        <v>5413</v>
      </c>
      <c r="D9436" s="2" t="str">
        <f>IFERROR(__xludf.DUMMYFUNCTION("IF(C9436&lt;&gt;"""", GOOGLETRANSLATE(C9436, ""en"", ""te""),"""")"),"[ 'ప్రదర్శనలు (10y 84d) మధ్య 23 లాంగెస్ట్ వ్యవధిలో']")</f>
        <v>[ 'ప్రదర్శనలు (10y 84d) మధ్య 23 లాంగెస్ట్ వ్యవధిలో']</v>
      </c>
      <c r="E9436" s="2" t="s">
        <v>2791</v>
      </c>
      <c r="F9436" s="2" t="str">
        <f>IFERROR(__xludf.DUMMYFUNCTION("IF(E9436&lt;&gt;"""", GOOGLETRANSLATE(E9436, ""en"", ""te""),"""")"),"[ '5 వ ఉత్తమ కెరీర్ బౌలింగ్ సరాసరి (అర్హత లేకుండా) (5.00)']")</f>
        <v>[ '5 వ ఉత్తమ కెరీర్ బౌలింగ్ సరాసరి (అర్హత లేకుండా) (5.00)']</v>
      </c>
      <c r="G9436" s="2"/>
      <c r="H9436" s="2" t="str">
        <f>IFERROR(__xludf.DUMMYFUNCTION("IF(G9436&lt;&gt;"""", GOOGLETRANSLATE(G9436, ""en"", ""te""),"""")"),"")</f>
        <v/>
      </c>
      <c r="I9436" s="3"/>
    </row>
    <row r="9437" customHeight="1" spans="1:9">
      <c r="A9437" s="2"/>
      <c r="B9437" s="2" t="str">
        <f>IFERROR(__xludf.DUMMYFUNCTION("IF(A9437&lt;&gt;"""", GOOGLETRANSLATE(A9437, ""en"", ""te""),"""")"),"")</f>
        <v/>
      </c>
      <c r="C9437" s="2"/>
      <c r="D9437" s="2" t="str">
        <f>IFERROR(__xludf.DUMMYFUNCTION("IF(C9437&lt;&gt;"""", GOOGLETRANSLATE(C9437, ""en"", ""te""),"""")"),"")</f>
        <v/>
      </c>
      <c r="E9437" s="2"/>
      <c r="F9437" s="2" t="str">
        <f>IFERROR(__xludf.DUMMYFUNCTION("IF(E9437&lt;&gt;"""", GOOGLETRANSLATE(E9437, ""en"", ""te""),"""")"),"")</f>
        <v/>
      </c>
      <c r="G9437" s="2"/>
      <c r="H9437" s="2" t="str">
        <f>IFERROR(__xludf.DUMMYFUNCTION("IF(G9437&lt;&gt;"""", GOOGLETRANSLATE(G9437, ""en"", ""te""),"""")"),"")</f>
        <v/>
      </c>
      <c r="I9437" s="3"/>
    </row>
    <row r="9438" customHeight="1" spans="1:9">
      <c r="A9438" s="2"/>
      <c r="B9438" s="2" t="str">
        <f>IFERROR(__xludf.DUMMYFUNCTION("IF(A9438&lt;&gt;"""", GOOGLETRANSLATE(A9438, ""en"", ""te""),"""")"),"")</f>
        <v/>
      </c>
      <c r="C9438" s="2"/>
      <c r="D9438" s="2" t="str">
        <f>IFERROR(__xludf.DUMMYFUNCTION("IF(C9438&lt;&gt;"""", GOOGLETRANSLATE(C9438, ""en"", ""te""),"""")"),"")</f>
        <v/>
      </c>
      <c r="E9438" s="2"/>
      <c r="F9438" s="2" t="str">
        <f>IFERROR(__xludf.DUMMYFUNCTION("IF(E9438&lt;&gt;"""", GOOGLETRANSLATE(E9438, ""en"", ""te""),"""")"),"")</f>
        <v/>
      </c>
      <c r="G9438" s="2"/>
      <c r="H9438" s="2" t="str">
        <f>IFERROR(__xludf.DUMMYFUNCTION("IF(G9438&lt;&gt;"""", GOOGLETRANSLATE(G9438, ""en"", ""te""),"""")"),"")</f>
        <v/>
      </c>
      <c r="I9438" s="3"/>
    </row>
    <row r="9439" customHeight="1" spans="1:9">
      <c r="A9439" s="2" t="s">
        <v>5414</v>
      </c>
      <c r="B9439" s="2" t="str">
        <f>IFERROR(__xludf.DUMMYFUNCTION("IF(A9439&lt;&gt;"""", GOOGLETRANSLATE(A9439, ""en"", ""te""),"""")"),"[ '99 నాటౌట్ (199, 299 etc) (99 *)', '6 వ ఒక సిరీస్లో అత్యధిక బాతులు (3)', '10 వ ఇన్నింగ్స్ లో అత్యధిక పరుగులు (బ్యాటింగ్ స్థానంలో ప్రకారం) (68)']")</f>
        <v>[ '99 నాటౌట్ (199, 299 etc) (99 *)', '6 వ ఒక సిరీస్లో అత్యధిక బాతులు (3)', '10 వ ఇన్నింగ్స్ లో అత్యధిక పరుగులు (బ్యాటింగ్ స్థానంలో ప్రకారం) (68)']</v>
      </c>
      <c r="C9439" s="2"/>
      <c r="D9439" s="2" t="str">
        <f>IFERROR(__xludf.DUMMYFUNCTION("IF(C9439&lt;&gt;"""", GOOGLETRANSLATE(C9439, ""en"", ""te""),"""")"),"")</f>
        <v/>
      </c>
      <c r="E9439" s="2" t="s">
        <v>5415</v>
      </c>
      <c r="F9439" s="2" t="str">
        <f>IFERROR(__xludf.DUMMYFUNCTION("IF(E9439&lt;&gt;"""", GOOGLETRANSLATE(E9439, ""en"", ""te""),"""")"),"[ '24 వ ఇన్నింగ్స్ లో అత్యధిక పరుగులు (బ్యాటింగ్ స్థానంలో ప్రకారం) (92)', '6 వ ఒక సిరీస్లో అత్యధిక బాతులు (3)', 'తొమ్మిదవ వికెట్ (76) 25 వ అత్యధిక భాగస్వామ్యం']")</f>
        <v>[ '24 వ ఇన్నింగ్స్ లో అత్యధిక పరుగులు (బ్యాటింగ్ స్థానంలో ప్రకారం) (92)', '6 వ ఒక సిరీస్లో అత్యధిక బాతులు (3)', 'తొమ్మిదవ వికెట్ (76) 25 వ అత్యధిక భాగస్వామ్యం']</v>
      </c>
      <c r="G9439" s="2" t="s">
        <v>5416</v>
      </c>
      <c r="H9439" s="2" t="str">
        <f>IFERROR(__xludf.DUMMYFUNCTION("IF(G9439&lt;&gt;"""", GOOGLETRANSLATE(G9439, ""en"", ""te""),"""")"),"[ '10 వ ఇన్నింగ్స్ లో అత్యధిక పరుగులు (బ్యాటింగ్ స్థానంలో ప్రకారం) (68)', '47 వ అత్యధిక కెరీర్ సమ్మె రేటు (138.37)', 'పదవ వికెట్ను (17 *) కోసం 36 వ అత్యధిక భాగస్వామ్యం']")</f>
        <v>[ '10 వ ఇన్నింగ్స్ లో అత్యధిక పరుగులు (బ్యాటింగ్ స్థానంలో ప్రకారం) (68)', '47 వ అత్యధిక కెరీర్ సమ్మె రేటు (138.37)', 'పదవ వికెట్ను (17 *) కోసం 36 వ అత్యధిక భాగస్వామ్యం']</v>
      </c>
      <c r="I9439" s="3"/>
    </row>
    <row r="9440" customHeight="1" spans="1:9">
      <c r="A9440" s="2" t="s">
        <v>5417</v>
      </c>
      <c r="B9440" s="2" t="str">
        <f>IFERROR(__xludf.DUMMYFUNCTION("IF(A9440&lt;&gt;"""", GOOGLETRANSLATE(A9440, ""en"", ""te""),"""")"),"[ '6 వ అత్యంత వంద (2705) లేకుండా ఒక వృత్తిలో పరుగులు' 'ఇన్నింగ్స్ లో 2 వ అత్యధిక క్యాచ్లు (4)']")</f>
        <v>[ '6 వ అత్యంత వంద (2705) లేకుండా ఒక వృత్తిలో పరుగులు' 'ఇన్నింగ్స్ లో 2 వ అత్యధిక క్యాచ్లు (4)']</v>
      </c>
      <c r="C9440" s="2" t="s">
        <v>5418</v>
      </c>
      <c r="D9440" s="2" t="str">
        <f>IFERROR(__xludf.DUMMYFUNCTION("IF(C9440&lt;&gt;"""", GOOGLETRANSLATE(C9440, ""en"", ""te""),"""")"),"[ '13 వ ఇన్నింగ్స్ లో అత్యధిక పరుగులు (బ్యాటింగ్ స్థానంలో ప్రకారం) (188 *)']")</f>
        <v>[ '13 వ ఇన్నింగ్స్ లో అత్యధిక పరుగులు (బ్యాటింగ్ స్థానంలో ప్రకారం) (188 *)']</v>
      </c>
      <c r="E9440" s="2" t="s">
        <v>5417</v>
      </c>
      <c r="F9440" s="2" t="str">
        <f>IFERROR(__xludf.DUMMYFUNCTION("IF(E9440&lt;&gt;"""", GOOGLETRANSLATE(E9440, ""en"", ""te""),"""")"),"[ '6 వ అత్యంత వంద (2705) లేకుండా ఒక వృత్తిలో పరుగులు' 'ఇన్నింగ్స్ లో 2 వ అత్యధిక క్యాచ్లు (4)']")</f>
        <v>[ '6 వ అత్యంత వంద (2705) లేకుండా ఒక వృత్తిలో పరుగులు' 'ఇన్నింగ్స్ లో 2 వ అత్యధిక క్యాచ్లు (4)']</v>
      </c>
      <c r="G9440" s="2"/>
      <c r="H9440" s="2" t="str">
        <f>IFERROR(__xludf.DUMMYFUNCTION("IF(G9440&lt;&gt;"""", GOOGLETRANSLATE(G9440, ""en"", ""te""),"""")"),"")</f>
        <v/>
      </c>
      <c r="I9440" s="3"/>
    </row>
    <row r="9441" customHeight="1" spans="1:9">
      <c r="A9441" s="2"/>
      <c r="B9441" s="2" t="str">
        <f>IFERROR(__xludf.DUMMYFUNCTION("IF(A9441&lt;&gt;"""", GOOGLETRANSLATE(A9441, ""en"", ""te""),"""")"),"")</f>
        <v/>
      </c>
      <c r="C9441" s="2"/>
      <c r="D9441" s="2" t="str">
        <f>IFERROR(__xludf.DUMMYFUNCTION("IF(C9441&lt;&gt;"""", GOOGLETRANSLATE(C9441, ""en"", ""te""),"""")"),"")</f>
        <v/>
      </c>
      <c r="E9441" s="2"/>
      <c r="F9441" s="2" t="str">
        <f>IFERROR(__xludf.DUMMYFUNCTION("IF(E9441&lt;&gt;"""", GOOGLETRANSLATE(E9441, ""en"", ""te""),"""")"),"")</f>
        <v/>
      </c>
      <c r="G9441" s="2"/>
      <c r="H9441" s="2" t="str">
        <f>IFERROR(__xludf.DUMMYFUNCTION("IF(G9441&lt;&gt;"""", GOOGLETRANSLATE(G9441, ""en"", ""te""),"""")"),"")</f>
        <v/>
      </c>
      <c r="I9441" s="3"/>
    </row>
    <row r="9442" customHeight="1" spans="1:9">
      <c r="A9442" s="2"/>
      <c r="B9442" s="2" t="str">
        <f>IFERROR(__xludf.DUMMYFUNCTION("IF(A9442&lt;&gt;"""", GOOGLETRANSLATE(A9442, ""en"", ""te""),"""")"),"")</f>
        <v/>
      </c>
      <c r="C9442" s="2"/>
      <c r="D9442" s="2" t="str">
        <f>IFERROR(__xludf.DUMMYFUNCTION("IF(C9442&lt;&gt;"""", GOOGLETRANSLATE(C9442, ""en"", ""te""),"""")"),"")</f>
        <v/>
      </c>
      <c r="E9442" s="2" t="s">
        <v>5419</v>
      </c>
      <c r="F9442" s="2" t="str">
        <f>IFERROR(__xludf.DUMMYFUNCTION("IF(E9442&lt;&gt;"""", GOOGLETRANSLATE(E9442, ""en"", ""te""),"""")"),"[ '30 వ చెత్త కెరీర్ బౌలింగ్ సరాసరి (50.02)', '17 వ చెత్త కెరీర్లో సమ్మె రేటు (68.5)']")</f>
        <v>[ '30 వ చెత్త కెరీర్ బౌలింగ్ సరాసరి (50.02)', '17 వ చెత్త కెరీర్లో సమ్మె రేటు (68.5)']</v>
      </c>
      <c r="G9442" s="2"/>
      <c r="H9442" s="2" t="str">
        <f>IFERROR(__xludf.DUMMYFUNCTION("IF(G9442&lt;&gt;"""", GOOGLETRANSLATE(G9442, ""en"", ""te""),"""")"),"")</f>
        <v/>
      </c>
      <c r="I9442" s="3"/>
    </row>
    <row r="9443" customHeight="1" spans="1:9">
      <c r="A9443" s="2"/>
      <c r="B9443" s="2" t="str">
        <f>IFERROR(__xludf.DUMMYFUNCTION("IF(A9443&lt;&gt;"""", GOOGLETRANSLATE(A9443, ""en"", ""te""),"""")"),"")</f>
        <v/>
      </c>
      <c r="C9443" s="2" t="s">
        <v>5420</v>
      </c>
      <c r="D9443" s="2" t="str">
        <f>IFERROR(__xludf.DUMMYFUNCTION("IF(C9443&lt;&gt;"""", GOOGLETRANSLATE(C9443, ""en"", ""te""),"""")"),"[ 'తొలి 46 వ ఓల్డెస్ట్ క్రీడాకారులు (37y 84d)']")</f>
        <v>[ 'తొలి 46 వ ఓల్డెస్ట్ క్రీడాకారులు (37y 84d)']</v>
      </c>
      <c r="E9443" s="2"/>
      <c r="F9443" s="2" t="str">
        <f>IFERROR(__xludf.DUMMYFUNCTION("IF(E9443&lt;&gt;"""", GOOGLETRANSLATE(E9443, ""en"", ""te""),"""")"),"")</f>
        <v/>
      </c>
      <c r="G9443" s="2"/>
      <c r="H9443" s="2" t="str">
        <f>IFERROR(__xludf.DUMMYFUNCTION("IF(G9443&lt;&gt;"""", GOOGLETRANSLATE(G9443, ""en"", ""te""),"""")"),"")</f>
        <v/>
      </c>
      <c r="I9443" s="3"/>
    </row>
    <row r="9444" customHeight="1" spans="1:9">
      <c r="A9444" s="2" t="s">
        <v>5421</v>
      </c>
      <c r="B9444" s="2" t="str">
        <f>IFERROR(__xludf.DUMMYFUNCTION("IF(A9444&lt;&gt;"""", GOOGLETRANSLATE(A9444, ""en"", ""te""),"""")"),"[ 'ఎనిమిదవ వికెట్కు 10 వ అత్యధిక భాగస్వామ్యం (187)', '1000 పరుగులు, 50 వికెట్లు, 50 క్యాచ్లు', '4 వ లాంగెస్ట్ కెరీర్లు (14y 148d)', '9 వ చెత్త కెరీర్లో సమ్మె రేటు (25.5)']")</f>
        <v>[ 'ఎనిమిదవ వికెట్కు 10 వ అత్యధిక భాగస్వామ్యం (187)', '1000 పరుగులు, 50 వికెట్లు, 50 క్యాచ్లు', '4 వ లాంగెస్ట్ కెరీర్లు (14y 148d)', '9 వ చెత్త కెరీర్లో సమ్మె రేటు (25.5)']</v>
      </c>
      <c r="C9444" s="2" t="s">
        <v>5422</v>
      </c>
      <c r="D9444" s="2" t="str">
        <f>IFERROR(__xludf.DUMMYFUNCTION("IF(C9444&lt;&gt;"""", GOOGLETRANSLATE(C9444, ""en"", ""te""),"""")"),"[ '45 వ హండ్రెడ్ గత మ్యాచ్ (151 *) లో', 'వరుస మ్యాచ్లలో 21 వందల (3)', 'కెరీర్లో 14 వ లేవు బాతులు (27)', '10 వ అత్యధిక భాగస్వామ్యం' 39 వ చెత్త కెరీర్ సగటు (51.04) బౌలింగ్ ' ఎనిమిదవ వికెట్కు (187) ']")</f>
        <v>[ '45 వ హండ్రెడ్ గత మ్యాచ్ (151 *) లో', 'వరుస మ్యాచ్లలో 21 వందల (3)', 'కెరీర్లో 14 వ లేవు బాతులు (27)', '10 వ అత్యధిక భాగస్వామ్యం' 39 వ చెత్త కెరీర్ సగటు (51.04) బౌలింగ్ ' ఎనిమిదవ వికెట్కు (187) ']</v>
      </c>
      <c r="E9444" s="2" t="s">
        <v>5423</v>
      </c>
      <c r="F9444" s="2" t="str">
        <f>IFERROR(__xludf.DUMMYFUNCTION("IF(E9444&lt;&gt;"""", GOOGLETRANSLATE(E9444, ""en"", ""te""),"""")"),"[ '14 వ హండ్రెడ్ గత మ్యాచ్లో (118 *)' '44 వ ఒకే క్రీడా (1046) లో అత్యధిక పరుగులు', 'ఒక ఇన్నింగ్స్లో పరుగుల 17 అత్యధిక శాతం (59.30)', '37 వ చెత్త కెరీర్ సగటు బౌలింగ్ (47.90) ',' ఐదో వికెట్కు (145 *) తొమ్మిదవ వికెట్కు ',' 43 వ అత్యధిక భాగస్వామ్యం (67) ',' 4"&amp;"6 వ లాంగెస్ట్ కెరీర్లు (15y 252d) '] 50 వ అత్యధిక భాగస్వామ్యం")</f>
        <v>[ '14 వ హండ్రెడ్ గత మ్యాచ్లో (118 *)' '44 వ ఒకే క్రీడా (1046) లో అత్యధిక పరుగులు', 'ఒక ఇన్నింగ్స్లో పరుగుల 17 అత్యధిక శాతం (59.30)', '37 వ చెత్త కెరీర్ సగటు బౌలింగ్ (47.90) ',' ఐదో వికెట్కు (145 *) తొమ్మిదవ వికెట్కు ',' 43 వ అత్యధిక భాగస్వామ్యం (67) ',' 46 వ లాంగెస్ట్ కెరీర్లు (15y 252d) '] 50 వ అత్యధిక భాగస్వామ్యం</v>
      </c>
      <c r="G9444" s="2" t="s">
        <v>5424</v>
      </c>
      <c r="H9444" s="2" t="str">
        <f>IFERROR(__xludf.DUMMYFUNCTION("IF(G9444&lt;&gt;"""", GOOGLETRANSLATE(G9444, ""en"", ""te""),"""")"),"[ '38 వ అత్యధిక సమ్మె ఇన్నింగ్స్ లో రేటు (283.33)', '48 వ కెరీర్ అర్ధ (6)', 'ఒక కెప్టెన్తో 20 ఒక ఇన్నింగ్స్ లోని బెస్ట్ ఫిగర్స్ (3)', '16 వ చెత్త కెరీర్ బౌలింగ్ సరాసరి (31.03)' '9 వ చెత్త కెరీర్లో సమ్మె రేటు (25.5)', '49 వ కెరీర్ లో బౌల్డ్ చాలా బంతుల్లో ("&amp;"816)', '4 వ లాంగెస్ట్ కెరీర్లు (14y 148d)', 'ప్రదర్శనల మధ్య 16 వ లాంగెస్ట్ వ్యవధిలో (6y 164)']")</f>
        <v>[ '38 వ అత్యధిక సమ్మె ఇన్నింగ్స్ లో రేటు (283.33)', '48 వ కెరీర్ అర్ధ (6)', 'ఒక కెప్టెన్తో 20 ఒక ఇన్నింగ్స్ లోని బెస్ట్ ఫిగర్స్ (3)', '16 వ చెత్త కెరీర్ బౌలింగ్ సరాసరి (31.03)' '9 వ చెత్త కెరీర్లో సమ్మె రేటు (25.5)', '49 వ కెరీర్ లో బౌల్డ్ చాలా బంతుల్లో (816)', '4 వ లాంగెస్ట్ కెరీర్లు (14y 148d)', 'ప్రదర్శనల మధ్య 16 వ లాంగెస్ట్ వ్యవధిలో (6y 164)']</v>
      </c>
      <c r="I9444" s="3"/>
    </row>
    <row r="9445" customHeight="1" spans="1:9">
      <c r="A9445" s="2"/>
      <c r="B9445" s="2" t="str">
        <f>IFERROR(__xludf.DUMMYFUNCTION("IF(A9445&lt;&gt;"""", GOOGLETRANSLATE(A9445, ""en"", ""te""),"""")"),"")</f>
        <v/>
      </c>
      <c r="C9445" s="2"/>
      <c r="D9445" s="2" t="str">
        <f>IFERROR(__xludf.DUMMYFUNCTION("IF(C9445&lt;&gt;"""", GOOGLETRANSLATE(C9445, ""en"", ""te""),"""")"),"")</f>
        <v/>
      </c>
      <c r="E9445" s="2" t="s">
        <v>5425</v>
      </c>
      <c r="F9445" s="2" t="str">
        <f>IFERROR(__xludf.DUMMYFUNCTION("IF(E9445&lt;&gt;"""", GOOGLETRANSLATE(E9445, ""en"", ""te""),"""")"),"[ '44 వ ఇన్నింగ్స్ లో అత్యధిక పరుగులు (172 *)']")</f>
        <v>[ '44 వ ఇన్నింగ్స్ లో అత్యధిక పరుగులు (172 *)']</v>
      </c>
      <c r="G9445" s="2"/>
      <c r="H9445" s="2" t="str">
        <f>IFERROR(__xludf.DUMMYFUNCTION("IF(G9445&lt;&gt;"""", GOOGLETRANSLATE(G9445, ""en"", ""te""),"""")"),"")</f>
        <v/>
      </c>
      <c r="I9445" s="3"/>
    </row>
    <row r="9446" customHeight="1" spans="1:9">
      <c r="A9446" s="2"/>
      <c r="B9446" s="2" t="str">
        <f>IFERROR(__xludf.DUMMYFUNCTION("IF(A9446&lt;&gt;"""", GOOGLETRANSLATE(A9446, ""en"", ""te""),"""")"),"")</f>
        <v/>
      </c>
      <c r="C9446" s="2"/>
      <c r="D9446" s="2" t="str">
        <f>IFERROR(__xludf.DUMMYFUNCTION("IF(C9446&lt;&gt;"""", GOOGLETRANSLATE(C9446, ""en"", ""te""),"""")"),"")</f>
        <v/>
      </c>
      <c r="E9446" s="2"/>
      <c r="F9446" s="2" t="str">
        <f>IFERROR(__xludf.DUMMYFUNCTION("IF(E9446&lt;&gt;"""", GOOGLETRANSLATE(E9446, ""en"", ""te""),"""")"),"")</f>
        <v/>
      </c>
      <c r="G9446" s="2"/>
      <c r="H9446" s="2" t="str">
        <f>IFERROR(__xludf.DUMMYFUNCTION("IF(G9446&lt;&gt;"""", GOOGLETRANSLATE(G9446, ""en"", ""te""),"""")"),"")</f>
        <v/>
      </c>
      <c r="I9446" s="3"/>
    </row>
    <row r="9447" customHeight="1" spans="1:9">
      <c r="A9447" s="2" t="s">
        <v>5426</v>
      </c>
      <c r="B9447" s="2" t="str">
        <f>IFERROR(__xludf.DUMMYFUNCTION("IF(A9447&lt;&gt;"""", GOOGLETRANSLATE(A9447, ""en"", ""te""),"""")"),"[ 'ప్రదర్శనల మధ్య 8 వ లాంగెస్ట్ వ్యవధిలో (9y 140d)', '8 వ అత్యుత్తమ బౌలింగ్ ఇన్నింగ్స్ లో విశ్లేషించడం (1/1)', '1st బెస్ట్ కెరీర్ (1.00) (అర్హత లేకుండా) సగటు బౌలింగ్']")</f>
        <v>[ 'ప్రదర్శనల మధ్య 8 వ లాంగెస్ట్ వ్యవధిలో (9y 140d)', '8 వ అత్యుత్తమ బౌలింగ్ ఇన్నింగ్స్ లో విశ్లేషించడం (1/1)', '1st బెస్ట్ కెరీర్ (1.00) (అర్హత లేకుండా) సగటు బౌలింగ్']</v>
      </c>
      <c r="C9447" s="2"/>
      <c r="D9447" s="2" t="str">
        <f>IFERROR(__xludf.DUMMYFUNCTION("IF(C9447&lt;&gt;"""", GOOGLETRANSLATE(C9447, ""en"", ""te""),"""")"),"")</f>
        <v/>
      </c>
      <c r="E9447" s="2" t="s">
        <v>5427</v>
      </c>
      <c r="F9447" s="2" t="str">
        <f>IFERROR(__xludf.DUMMYFUNCTION("IF(E9447&lt;&gt;"""", GOOGLETRANSLATE(E9447, ""en"", ""te""),"""")"),"[ 'ప్రదర్శనలు (9y 140d) మధ్య 8 వ లాంగెస్ట్ వ్యవధిలో' '16 వ వరుస మ్యాచ్లు ఆడి మధ్య జట్టు (166) కోసం తప్పిన']")</f>
        <v>[ 'ప్రదర్శనలు (9y 140d) మధ్య 8 వ లాంగెస్ట్ వ్యవధిలో' '16 వ వరుస మ్యాచ్లు ఆడి మధ్య జట్టు (166) కోసం తప్పిన']</v>
      </c>
      <c r="G9447" s="2" t="s">
        <v>5428</v>
      </c>
      <c r="H9447" s="2" t="str">
        <f>IFERROR(__xludf.DUMMYFUNCTION("IF(G9447&lt;&gt;"""", GOOGLETRANSLATE(G9447, ""en"", ""te""),"""")"),"[ '8 వ అత్యుత్తమ బౌలింగ్ ఇన్నింగ్స్ లో విశ్లేషించడం (1/1)', '1st బెస్ట్ కెరీర్ (1.00) (అర్హత లేకుండా) సగటు బౌలింగ్', '32 వ వరుస మ్యాచ్లు ప్రదర్శనల మధ్య బృందం (42) కోసం తప్పిన', '13 వ లాంగెస్ట్ ప్రదర్శనల మధ్య వ్యవధిలో (6y 289d) ']")</f>
        <v>[ '8 వ అత్యుత్తమ బౌలింగ్ ఇన్నింగ్స్ లో విశ్లేషించడం (1/1)', '1st బెస్ట్ కెరీర్ (1.00) (అర్హత లేకుండా) సగటు బౌలింగ్', '32 వ వరుస మ్యాచ్లు ప్రదర్శనల మధ్య బృందం (42) కోసం తప్పిన', '13 వ లాంగెస్ట్ ప్రదర్శనల మధ్య వ్యవధిలో (6y 289d) ']</v>
      </c>
      <c r="I9447" s="3"/>
    </row>
    <row r="9448" customHeight="1" spans="1:9">
      <c r="A9448" s="2"/>
      <c r="B9448" s="2" t="str">
        <f>IFERROR(__xludf.DUMMYFUNCTION("IF(A9448&lt;&gt;"""", GOOGLETRANSLATE(A9448, ""en"", ""te""),"""")"),"")</f>
        <v/>
      </c>
      <c r="C9448" s="2"/>
      <c r="D9448" s="2" t="str">
        <f>IFERROR(__xludf.DUMMYFUNCTION("IF(C9448&lt;&gt;"""", GOOGLETRANSLATE(C9448, ""en"", ""te""),"""")"),"")</f>
        <v/>
      </c>
      <c r="E9448" s="2"/>
      <c r="F9448" s="2" t="str">
        <f>IFERROR(__xludf.DUMMYFUNCTION("IF(E9448&lt;&gt;"""", GOOGLETRANSLATE(E9448, ""en"", ""te""),"""")"),"")</f>
        <v/>
      </c>
      <c r="G9448" s="2"/>
      <c r="H9448" s="2" t="str">
        <f>IFERROR(__xludf.DUMMYFUNCTION("IF(G9448&lt;&gt;"""", GOOGLETRANSLATE(G9448, ""en"", ""te""),"""")"),"")</f>
        <v/>
      </c>
      <c r="I9448" s="3"/>
    </row>
    <row r="9449" customHeight="1" spans="1:9">
      <c r="A9449" s="2" t="s">
        <v>435</v>
      </c>
      <c r="B9449" s="2" t="str">
        <f>IFERROR(__xludf.DUMMYFUNCTION("IF(A9449&lt;&gt;"""", GOOGLETRANSLATE(A9449, ""en"", ""te""),"""")"),"[ '1st వరుస బాతులు (3)']")</f>
        <v>[ '1st వరుస బాతులు (3)']</v>
      </c>
      <c r="C9449" s="2"/>
      <c r="D9449" s="2" t="str">
        <f>IFERROR(__xludf.DUMMYFUNCTION("IF(C9449&lt;&gt;"""", GOOGLETRANSLATE(C9449, ""en"", ""te""),"""")"),"")</f>
        <v/>
      </c>
      <c r="E9449" s="2"/>
      <c r="F9449" s="2" t="str">
        <f>IFERROR(__xludf.DUMMYFUNCTION("IF(E9449&lt;&gt;"""", GOOGLETRANSLATE(E9449, ""en"", ""te""),"""")"),"")</f>
        <v/>
      </c>
      <c r="G9449" s="2" t="s">
        <v>5429</v>
      </c>
      <c r="H9449" s="2" t="str">
        <f>IFERROR(__xludf.DUMMYFUNCTION("IF(G9449&lt;&gt;"""", GOOGLETRANSLATE(G9449, ""en"", ""te""),"""")"),"[ '21 వ ఇన్నింగ్స్ లో అత్యధిక పరుగులు (బ్యాటింగ్ స్థానంలో ప్రకారం) (27)', '1 వ వరుస బాతులు (3)', '17 వ బౌలర్ / బ్యాట్స్ కలయికలు (3)']")</f>
        <v>[ '21 వ ఇన్నింగ్స్ లో అత్యధిక పరుగులు (బ్యాటింగ్ స్థానంలో ప్రకారం) (27)', '1 వ వరుస బాతులు (3)', '17 వ బౌలర్ / బ్యాట్స్ కలయికలు (3)']</v>
      </c>
      <c r="I9449" s="3"/>
    </row>
    <row r="9450" customHeight="1" spans="1:9">
      <c r="A9450" s="2"/>
      <c r="B9450" s="2" t="str">
        <f>IFERROR(__xludf.DUMMYFUNCTION("IF(A9450&lt;&gt;"""", GOOGLETRANSLATE(A9450, ""en"", ""te""),"""")"),"")</f>
        <v/>
      </c>
      <c r="C9450" s="2"/>
      <c r="D9450" s="2" t="str">
        <f>IFERROR(__xludf.DUMMYFUNCTION("IF(C9450&lt;&gt;"""", GOOGLETRANSLATE(C9450, ""en"", ""te""),"""")"),"")</f>
        <v/>
      </c>
      <c r="E9450" s="2"/>
      <c r="F9450" s="2" t="str">
        <f>IFERROR(__xludf.DUMMYFUNCTION("IF(E9450&lt;&gt;"""", GOOGLETRANSLATE(E9450, ""en"", ""te""),"""")"),"")</f>
        <v/>
      </c>
      <c r="G9450" s="2"/>
      <c r="H9450" s="2" t="str">
        <f>IFERROR(__xludf.DUMMYFUNCTION("IF(G9450&lt;&gt;"""", GOOGLETRANSLATE(G9450, ""en"", ""te""),"""")"),"")</f>
        <v/>
      </c>
      <c r="I9450" s="3"/>
    </row>
    <row r="9451" customHeight="1" spans="1:9">
      <c r="A9451" s="2"/>
      <c r="B9451" s="2" t="str">
        <f>IFERROR(__xludf.DUMMYFUNCTION("IF(A9451&lt;&gt;"""", GOOGLETRANSLATE(A9451, ""en"", ""te""),"""")"),"")</f>
        <v/>
      </c>
      <c r="C9451" s="2"/>
      <c r="D9451" s="2" t="str">
        <f>IFERROR(__xludf.DUMMYFUNCTION("IF(C9451&lt;&gt;"""", GOOGLETRANSLATE(C9451, ""en"", ""te""),"""")"),"")</f>
        <v/>
      </c>
      <c r="E9451" s="2"/>
      <c r="F9451" s="2" t="str">
        <f>IFERROR(__xludf.DUMMYFUNCTION("IF(E9451&lt;&gt;"""", GOOGLETRANSLATE(E9451, ""en"", ""te""),"""")"),"")</f>
        <v/>
      </c>
      <c r="G9451" s="2"/>
      <c r="H9451" s="2" t="str">
        <f>IFERROR(__xludf.DUMMYFUNCTION("IF(G9451&lt;&gt;"""", GOOGLETRANSLATE(G9451, ""en"", ""te""),"""")"),"")</f>
        <v/>
      </c>
      <c r="I9451" s="3"/>
    </row>
    <row r="9452" customHeight="1" spans="1:9">
      <c r="A9452" s="2" t="s">
        <v>352</v>
      </c>
      <c r="B9452" s="2" t="str">
        <f>IFERROR(__xludf.DUMMYFUNCTION("IF(A9452&lt;&gt;"""", GOOGLETRANSLATE(A9452, ""en"", ""te""),"""")"),"[ 'బ్యాటింగ్ ప్రారంభించుటకు మరియు అదే మ్యాచ్ లో బౌలింగ్']")</f>
        <v>[ 'బ్యాటింగ్ ప్రారంభించుటకు మరియు అదే మ్యాచ్ లో బౌలింగ్']</v>
      </c>
      <c r="C9452" s="2"/>
      <c r="D9452" s="2" t="str">
        <f>IFERROR(__xludf.DUMMYFUNCTION("IF(C9452&lt;&gt;"""", GOOGLETRANSLATE(C9452, ""en"", ""te""),"""")"),"")</f>
        <v/>
      </c>
      <c r="E9452" s="2" t="s">
        <v>5430</v>
      </c>
      <c r="F9452" s="2" t="str">
        <f>IFERROR(__xludf.DUMMYFUNCTION("IF(E9452&lt;&gt;"""", GOOGLETRANSLATE(E9452, ""en"", ""te""),"""")"),"[ '36 వ 1000 వేగవంతమైన పరుగులు (28)']")</f>
        <v>[ '36 వ 1000 వేగవంతమైన పరుగులు (28)']</v>
      </c>
      <c r="G9452" s="2"/>
      <c r="H9452" s="2" t="str">
        <f>IFERROR(__xludf.DUMMYFUNCTION("IF(G9452&lt;&gt;"""", GOOGLETRANSLATE(G9452, ""en"", ""te""),"""")"),"")</f>
        <v/>
      </c>
      <c r="I9452" s="3"/>
    </row>
    <row r="9453" customHeight="1" spans="1:9">
      <c r="A9453" s="2" t="s">
        <v>5431</v>
      </c>
      <c r="B9453" s="2" t="str">
        <f>IFERROR(__xludf.DUMMYFUNCTION("IF(A9453&lt;&gt;"""", GOOGLETRANSLATE(A9453, ""en"", ""te""),"""")"),"[ '2 వ అత్యుత్తమ బౌలింగ్ ఇన్నింగ్స్ లో విశ్లేషించడం (5/6)', 'బ్యాటింగ్ తెరవడం మరియు అదే మ్యాచ్ లో బౌలింగ్']")</f>
        <v>[ '2 వ అత్యుత్తమ బౌలింగ్ ఇన్నింగ్స్ లో విశ్లేషించడం (5/6)', 'బ్యాటింగ్ తెరవడం మరియు అదే మ్యాచ్ లో బౌలింగ్']</v>
      </c>
      <c r="C9453" s="2"/>
      <c r="D9453" s="2" t="str">
        <f>IFERROR(__xludf.DUMMYFUNCTION("IF(C9453&lt;&gt;"""", GOOGLETRANSLATE(C9453, ""en"", ""te""),"""")"),"")</f>
        <v/>
      </c>
      <c r="E9453" s="2" t="s">
        <v>5432</v>
      </c>
      <c r="F9453" s="2" t="str">
        <f>IFERROR(__xludf.DUMMYFUNCTION("IF(E9453&lt;&gt;"""", GOOGLETRANSLATE(E9453, ""en"", ""te""),"""")"),"[ '2 వ అత్యుత్తమ బౌలింగ్ ఇన్నింగ్స్ లో విశ్లేషించడం (5/6)', 'ఇన్నింగ్స్ లో 29 ఉత్తమ సమ్మె రేటు (6.2)', 'ఐదు వికెట్ల లో-ఒక-ఇన్నింగ్స్ తీసుకోవాలని 22 పిన్న వయస్కుడిగా నిలిచాడు (20y 330d)']")</f>
        <v>[ '2 వ అత్యుత్తమ బౌలింగ్ ఇన్నింగ్స్ లో విశ్లేషించడం (5/6)', 'ఇన్నింగ్స్ లో 29 ఉత్తమ సమ్మె రేటు (6.2)', 'ఐదు వికెట్ల లో-ఒక-ఇన్నింగ్స్ తీసుకోవాలని 22 పిన్న వయస్కుడిగా నిలిచాడు (20y 330d)']</v>
      </c>
      <c r="G9453" s="2" t="s">
        <v>5433</v>
      </c>
      <c r="H9453" s="2" t="str">
        <f>IFERROR(__xludf.DUMMYFUNCTION("IF(G9453&lt;&gt;"""", GOOGLETRANSLATE(G9453, ""en"", ""te""),"""")"),"[ '39 వ ఇన్నింగ్స్ లో అత్యధిక పరుగులు (బ్యాటింగ్ స్థానంలో ప్రకారం) (30 *)', '30th ఒకే మైదానంలో అత్యధిక వికెట్లు (12)', 'ప్రదర్శనల మధ్య 42 వ లాంగెస్ట్ వ్యవధిలో (5 సం 89d)']")</f>
        <v>[ '39 వ ఇన్నింగ్స్ లో అత్యధిక పరుగులు (బ్యాటింగ్ స్థానంలో ప్రకారం) (30 *)', '30th ఒకే మైదానంలో అత్యధిక వికెట్లు (12)', 'ప్రదర్శనల మధ్య 42 వ లాంగెస్ట్ వ్యవధిలో (5 సం 89d)']</v>
      </c>
      <c r="I9453" s="3"/>
    </row>
    <row r="9454" customHeight="1" spans="1:9">
      <c r="A9454" s="2"/>
      <c r="B9454" s="2" t="str">
        <f>IFERROR(__xludf.DUMMYFUNCTION("IF(A9454&lt;&gt;"""", GOOGLETRANSLATE(A9454, ""en"", ""te""),"""")"),"")</f>
        <v/>
      </c>
      <c r="C9454" s="2"/>
      <c r="D9454" s="2" t="str">
        <f>IFERROR(__xludf.DUMMYFUNCTION("IF(C9454&lt;&gt;"""", GOOGLETRANSLATE(C9454, ""en"", ""te""),"""")"),"")</f>
        <v/>
      </c>
      <c r="E9454" s="2"/>
      <c r="F9454" s="2" t="str">
        <f>IFERROR(__xludf.DUMMYFUNCTION("IF(E9454&lt;&gt;"""", GOOGLETRANSLATE(E9454, ""en"", ""te""),"""")"),"")</f>
        <v/>
      </c>
      <c r="G9454" s="2"/>
      <c r="H9454" s="2" t="str">
        <f>IFERROR(__xludf.DUMMYFUNCTION("IF(G9454&lt;&gt;"""", GOOGLETRANSLATE(G9454, ""en"", ""te""),"""")"),"")</f>
        <v/>
      </c>
      <c r="I9454" s="3"/>
    </row>
    <row r="9455" customHeight="1" spans="1:9">
      <c r="A9455" s="2"/>
      <c r="B9455" s="2" t="str">
        <f>IFERROR(__xludf.DUMMYFUNCTION("IF(A9455&lt;&gt;"""", GOOGLETRANSLATE(A9455, ""en"", ""te""),"""")"),"")</f>
        <v/>
      </c>
      <c r="C9455" s="2"/>
      <c r="D9455" s="2" t="str">
        <f>IFERROR(__xludf.DUMMYFUNCTION("IF(C9455&lt;&gt;"""", GOOGLETRANSLATE(C9455, ""en"", ""te""),"""")"),"")</f>
        <v/>
      </c>
      <c r="E9455" s="2"/>
      <c r="F9455" s="2" t="str">
        <f>IFERROR(__xludf.DUMMYFUNCTION("IF(E9455&lt;&gt;"""", GOOGLETRANSLATE(E9455, ""en"", ""te""),"""")"),"")</f>
        <v/>
      </c>
      <c r="G9455" s="2"/>
      <c r="H9455" s="2" t="str">
        <f>IFERROR(__xludf.DUMMYFUNCTION("IF(G9455&lt;&gt;"""", GOOGLETRANSLATE(G9455, ""en"", ""te""),"""")"),"")</f>
        <v/>
      </c>
      <c r="I9455" s="3"/>
    </row>
    <row r="9456" customHeight="1" spans="1:9">
      <c r="A9456" s="2"/>
      <c r="B9456" s="2" t="str">
        <f>IFERROR(__xludf.DUMMYFUNCTION("IF(A9456&lt;&gt;"""", GOOGLETRANSLATE(A9456, ""en"", ""te""),"""")"),"")</f>
        <v/>
      </c>
      <c r="C9456" s="2"/>
      <c r="D9456" s="2" t="str">
        <f>IFERROR(__xludf.DUMMYFUNCTION("IF(C9456&lt;&gt;"""", GOOGLETRANSLATE(C9456, ""en"", ""te""),"""")"),"")</f>
        <v/>
      </c>
      <c r="E9456" s="2"/>
      <c r="F9456" s="2" t="str">
        <f>IFERROR(__xludf.DUMMYFUNCTION("IF(E9456&lt;&gt;"""", GOOGLETRANSLATE(E9456, ""en"", ""te""),"""")"),"")</f>
        <v/>
      </c>
      <c r="G9456" s="2"/>
      <c r="H9456" s="2" t="str">
        <f>IFERROR(__xludf.DUMMYFUNCTION("IF(G9456&lt;&gt;"""", GOOGLETRANSLATE(G9456, ""en"", ""te""),"""")"),"")</f>
        <v/>
      </c>
      <c r="I9456" s="3"/>
    </row>
    <row r="9457" customHeight="1" spans="1:9">
      <c r="A9457" s="2"/>
      <c r="B9457" s="2" t="str">
        <f>IFERROR(__xludf.DUMMYFUNCTION("IF(A9457&lt;&gt;"""", GOOGLETRANSLATE(A9457, ""en"", ""te""),"""")"),"")</f>
        <v/>
      </c>
      <c r="C9457" s="2"/>
      <c r="D9457" s="2" t="str">
        <f>IFERROR(__xludf.DUMMYFUNCTION("IF(C9457&lt;&gt;"""", GOOGLETRANSLATE(C9457, ""en"", ""te""),"""")"),"")</f>
        <v/>
      </c>
      <c r="E9457" s="2"/>
      <c r="F9457" s="2" t="str">
        <f>IFERROR(__xludf.DUMMYFUNCTION("IF(E9457&lt;&gt;"""", GOOGLETRANSLATE(E9457, ""en"", ""te""),"""")"),"")</f>
        <v/>
      </c>
      <c r="G9457" s="2"/>
      <c r="H9457" s="2" t="str">
        <f>IFERROR(__xludf.DUMMYFUNCTION("IF(G9457&lt;&gt;"""", GOOGLETRANSLATE(G9457, ""en"", ""te""),"""")"),"")</f>
        <v/>
      </c>
      <c r="I9457" s="3"/>
    </row>
    <row r="9458" customHeight="1" spans="1:9">
      <c r="A9458" s="2"/>
      <c r="B9458" s="2" t="str">
        <f>IFERROR(__xludf.DUMMYFUNCTION("IF(A9458&lt;&gt;"""", GOOGLETRANSLATE(A9458, ""en"", ""te""),"""")"),"")</f>
        <v/>
      </c>
      <c r="C9458" s="2"/>
      <c r="D9458" s="2" t="str">
        <f>IFERROR(__xludf.DUMMYFUNCTION("IF(C9458&lt;&gt;"""", GOOGLETRANSLATE(C9458, ""en"", ""te""),"""")"),"")</f>
        <v/>
      </c>
      <c r="E9458" s="2"/>
      <c r="F9458" s="2" t="str">
        <f>IFERROR(__xludf.DUMMYFUNCTION("IF(E9458&lt;&gt;"""", GOOGLETRANSLATE(E9458, ""en"", ""te""),"""")"),"")</f>
        <v/>
      </c>
      <c r="G9458" s="2"/>
      <c r="H9458" s="2" t="str">
        <f>IFERROR(__xludf.DUMMYFUNCTION("IF(G9458&lt;&gt;"""", GOOGLETRANSLATE(G9458, ""en"", ""te""),"""")"),"")</f>
        <v/>
      </c>
      <c r="I9458" s="3"/>
    </row>
    <row r="9459" customHeight="1" spans="1:9">
      <c r="A9459" s="2"/>
      <c r="B9459" s="2" t="str">
        <f>IFERROR(__xludf.DUMMYFUNCTION("IF(A9459&lt;&gt;"""", GOOGLETRANSLATE(A9459, ""en"", ""te""),"""")"),"")</f>
        <v/>
      </c>
      <c r="C9459" s="2"/>
      <c r="D9459" s="2" t="str">
        <f>IFERROR(__xludf.DUMMYFUNCTION("IF(C9459&lt;&gt;"""", GOOGLETRANSLATE(C9459, ""en"", ""te""),"""")"),"")</f>
        <v/>
      </c>
      <c r="E9459" s="2"/>
      <c r="F9459" s="2" t="str">
        <f>IFERROR(__xludf.DUMMYFUNCTION("IF(E9459&lt;&gt;"""", GOOGLETRANSLATE(E9459, ""en"", ""te""),"""")"),"")</f>
        <v/>
      </c>
      <c r="G9459" s="2"/>
      <c r="H9459" s="2" t="str">
        <f>IFERROR(__xludf.DUMMYFUNCTION("IF(G9459&lt;&gt;"""", GOOGLETRANSLATE(G9459, ""en"", ""te""),"""")"),"")</f>
        <v/>
      </c>
      <c r="I9459" s="3"/>
    </row>
    <row r="9460" customHeight="1" spans="1:9">
      <c r="A9460" s="2"/>
      <c r="B9460" s="2" t="str">
        <f>IFERROR(__xludf.DUMMYFUNCTION("IF(A9460&lt;&gt;"""", GOOGLETRANSLATE(A9460, ""en"", ""te""),"""")"),"")</f>
        <v/>
      </c>
      <c r="C9460" s="2"/>
      <c r="D9460" s="2" t="str">
        <f>IFERROR(__xludf.DUMMYFUNCTION("IF(C9460&lt;&gt;"""", GOOGLETRANSLATE(C9460, ""en"", ""te""),"""")"),"")</f>
        <v/>
      </c>
      <c r="E9460" s="2"/>
      <c r="F9460" s="2" t="str">
        <f>IFERROR(__xludf.DUMMYFUNCTION("IF(E9460&lt;&gt;"""", GOOGLETRANSLATE(E9460, ""en"", ""te""),"""")"),"")</f>
        <v/>
      </c>
      <c r="G9460" s="2"/>
      <c r="H9460" s="2" t="str">
        <f>IFERROR(__xludf.DUMMYFUNCTION("IF(G9460&lt;&gt;"""", GOOGLETRANSLATE(G9460, ""en"", ""te""),"""")"),"")</f>
        <v/>
      </c>
      <c r="I9460" s="3"/>
    </row>
    <row r="9461" customHeight="1" spans="1:9">
      <c r="A9461" s="2"/>
      <c r="B9461" s="2" t="str">
        <f>IFERROR(__xludf.DUMMYFUNCTION("IF(A9461&lt;&gt;"""", GOOGLETRANSLATE(A9461, ""en"", ""te""),"""")"),"")</f>
        <v/>
      </c>
      <c r="C9461" s="2"/>
      <c r="D9461" s="2" t="str">
        <f>IFERROR(__xludf.DUMMYFUNCTION("IF(C9461&lt;&gt;"""", GOOGLETRANSLATE(C9461, ""en"", ""te""),"""")"),"")</f>
        <v/>
      </c>
      <c r="E9461" s="2"/>
      <c r="F9461" s="2" t="str">
        <f>IFERROR(__xludf.DUMMYFUNCTION("IF(E9461&lt;&gt;"""", GOOGLETRANSLATE(E9461, ""en"", ""te""),"""")"),"")</f>
        <v/>
      </c>
      <c r="G9461" s="2"/>
      <c r="H9461" s="2" t="str">
        <f>IFERROR(__xludf.DUMMYFUNCTION("IF(G9461&lt;&gt;"""", GOOGLETRANSLATE(G9461, ""en"", ""te""),"""")"),"")</f>
        <v/>
      </c>
      <c r="I9461" s="3"/>
    </row>
    <row r="9462" customHeight="1" spans="1:9">
      <c r="A9462" s="2"/>
      <c r="B9462" s="2" t="str">
        <f>IFERROR(__xludf.DUMMYFUNCTION("IF(A9462&lt;&gt;"""", GOOGLETRANSLATE(A9462, ""en"", ""te""),"""")"),"")</f>
        <v/>
      </c>
      <c r="C9462" s="2"/>
      <c r="D9462" s="2" t="str">
        <f>IFERROR(__xludf.DUMMYFUNCTION("IF(C9462&lt;&gt;"""", GOOGLETRANSLATE(C9462, ""en"", ""te""),"""")"),"")</f>
        <v/>
      </c>
      <c r="E9462" s="2" t="s">
        <v>5434</v>
      </c>
      <c r="F9462" s="2" t="str">
        <f>IFERROR(__xludf.DUMMYFUNCTION("IF(E9462&lt;&gt;"""", GOOGLETRANSLATE(E9462, ""en"", ""te""),"""")"),"[ 'ప్రదర్శనల మధ్య 18 వ లాంగెస్ట్ వ్యవధిలో (7y 282d)']")</f>
        <v>[ 'ప్రదర్శనల మధ్య 18 వ లాంగెస్ట్ వ్యవధిలో (7y 282d)']</v>
      </c>
      <c r="G9462" s="2"/>
      <c r="H9462" s="2" t="str">
        <f>IFERROR(__xludf.DUMMYFUNCTION("IF(G9462&lt;&gt;"""", GOOGLETRANSLATE(G9462, ""en"", ""te""),"""")"),"")</f>
        <v/>
      </c>
      <c r="I9462" s="3"/>
    </row>
    <row r="9463" customHeight="1" spans="1:9">
      <c r="A9463" s="2"/>
      <c r="B9463" s="2" t="str">
        <f>IFERROR(__xludf.DUMMYFUNCTION("IF(A9463&lt;&gt;"""", GOOGLETRANSLATE(A9463, ""en"", ""te""),"""")"),"")</f>
        <v/>
      </c>
      <c r="C9463" s="2"/>
      <c r="D9463" s="2" t="str">
        <f>IFERROR(__xludf.DUMMYFUNCTION("IF(C9463&lt;&gt;"""", GOOGLETRANSLATE(C9463, ""en"", ""te""),"""")"),"")</f>
        <v/>
      </c>
      <c r="E9463" s="2"/>
      <c r="F9463" s="2" t="str">
        <f>IFERROR(__xludf.DUMMYFUNCTION("IF(E9463&lt;&gt;"""", GOOGLETRANSLATE(E9463, ""en"", ""te""),"""")"),"")</f>
        <v/>
      </c>
      <c r="G9463" s="2"/>
      <c r="H9463" s="2" t="str">
        <f>IFERROR(__xludf.DUMMYFUNCTION("IF(G9463&lt;&gt;"""", GOOGLETRANSLATE(G9463, ""en"", ""te""),"""")"),"")</f>
        <v/>
      </c>
      <c r="I9463" s="3"/>
    </row>
    <row r="9464" customHeight="1" spans="1:9">
      <c r="A9464" s="2"/>
      <c r="B9464" s="2" t="str">
        <f>IFERROR(__xludf.DUMMYFUNCTION("IF(A9464&lt;&gt;"""", GOOGLETRANSLATE(A9464, ""en"", ""te""),"""")"),"")</f>
        <v/>
      </c>
      <c r="C9464" s="2"/>
      <c r="D9464" s="2" t="str">
        <f>IFERROR(__xludf.DUMMYFUNCTION("IF(C9464&lt;&gt;"""", GOOGLETRANSLATE(C9464, ""en"", ""te""),"""")"),"")</f>
        <v/>
      </c>
      <c r="E9464" s="2"/>
      <c r="F9464" s="2" t="str">
        <f>IFERROR(__xludf.DUMMYFUNCTION("IF(E9464&lt;&gt;"""", GOOGLETRANSLATE(E9464, ""en"", ""te""),"""")"),"")</f>
        <v/>
      </c>
      <c r="G9464" s="2"/>
      <c r="H9464" s="2" t="str">
        <f>IFERROR(__xludf.DUMMYFUNCTION("IF(G9464&lt;&gt;"""", GOOGLETRANSLATE(G9464, ""en"", ""te""),"""")"),"")</f>
        <v/>
      </c>
      <c r="I9464" s="3"/>
    </row>
    <row r="9465" customHeight="1" spans="1:9">
      <c r="A9465" s="2"/>
      <c r="B9465" s="2" t="str">
        <f>IFERROR(__xludf.DUMMYFUNCTION("IF(A9465&lt;&gt;"""", GOOGLETRANSLATE(A9465, ""en"", ""te""),"""")"),"")</f>
        <v/>
      </c>
      <c r="C9465" s="2"/>
      <c r="D9465" s="2" t="str">
        <f>IFERROR(__xludf.DUMMYFUNCTION("IF(C9465&lt;&gt;"""", GOOGLETRANSLATE(C9465, ""en"", ""te""),"""")"),"")</f>
        <v/>
      </c>
      <c r="E9465" s="2"/>
      <c r="F9465" s="2" t="str">
        <f>IFERROR(__xludf.DUMMYFUNCTION("IF(E9465&lt;&gt;"""", GOOGLETRANSLATE(E9465, ""en"", ""te""),"""")"),"")</f>
        <v/>
      </c>
      <c r="G9465" s="2"/>
      <c r="H9465" s="2" t="str">
        <f>IFERROR(__xludf.DUMMYFUNCTION("IF(G9465&lt;&gt;"""", GOOGLETRANSLATE(G9465, ""en"", ""te""),"""")"),"")</f>
        <v/>
      </c>
      <c r="I9465" s="3"/>
    </row>
    <row r="9466" customHeight="1" spans="1:9">
      <c r="A9466" s="2"/>
      <c r="B9466" s="2" t="str">
        <f>IFERROR(__xludf.DUMMYFUNCTION("IF(A9466&lt;&gt;"""", GOOGLETRANSLATE(A9466, ""en"", ""te""),"""")"),"")</f>
        <v/>
      </c>
      <c r="C9466" s="2"/>
      <c r="D9466" s="2" t="str">
        <f>IFERROR(__xludf.DUMMYFUNCTION("IF(C9466&lt;&gt;"""", GOOGLETRANSLATE(C9466, ""en"", ""te""),"""")"),"")</f>
        <v/>
      </c>
      <c r="E9466" s="2"/>
      <c r="F9466" s="2" t="str">
        <f>IFERROR(__xludf.DUMMYFUNCTION("IF(E9466&lt;&gt;"""", GOOGLETRANSLATE(E9466, ""en"", ""te""),"""")"),"")</f>
        <v/>
      </c>
      <c r="G9466" s="2"/>
      <c r="H9466" s="2" t="str">
        <f>IFERROR(__xludf.DUMMYFUNCTION("IF(G9466&lt;&gt;"""", GOOGLETRANSLATE(G9466, ""en"", ""te""),"""")"),"")</f>
        <v/>
      </c>
      <c r="I9466" s="3"/>
    </row>
    <row r="9467" customHeight="1" spans="1:9">
      <c r="A9467" s="2"/>
      <c r="B9467" s="2" t="str">
        <f>IFERROR(__xludf.DUMMYFUNCTION("IF(A9467&lt;&gt;"""", GOOGLETRANSLATE(A9467, ""en"", ""te""),"""")"),"")</f>
        <v/>
      </c>
      <c r="C9467" s="2"/>
      <c r="D9467" s="2" t="str">
        <f>IFERROR(__xludf.DUMMYFUNCTION("IF(C9467&lt;&gt;"""", GOOGLETRANSLATE(C9467, ""en"", ""te""),"""")"),"")</f>
        <v/>
      </c>
      <c r="E9467" s="2"/>
      <c r="F9467" s="2" t="str">
        <f>IFERROR(__xludf.DUMMYFUNCTION("IF(E9467&lt;&gt;"""", GOOGLETRANSLATE(E9467, ""en"", ""te""),"""")"),"")</f>
        <v/>
      </c>
      <c r="G9467" s="2"/>
      <c r="H9467" s="2" t="str">
        <f>IFERROR(__xludf.DUMMYFUNCTION("IF(G9467&lt;&gt;"""", GOOGLETRANSLATE(G9467, ""en"", ""te""),"""")"),"")</f>
        <v/>
      </c>
      <c r="I9467" s="3"/>
    </row>
    <row r="9468" customHeight="1" spans="1:9">
      <c r="A9468" s="2"/>
      <c r="B9468" s="2" t="str">
        <f>IFERROR(__xludf.DUMMYFUNCTION("IF(A9468&lt;&gt;"""", GOOGLETRANSLATE(A9468, ""en"", ""te""),"""")"),"")</f>
        <v/>
      </c>
      <c r="C9468" s="2"/>
      <c r="D9468" s="2" t="str">
        <f>IFERROR(__xludf.DUMMYFUNCTION("IF(C9468&lt;&gt;"""", GOOGLETRANSLATE(C9468, ""en"", ""te""),"""")"),"")</f>
        <v/>
      </c>
      <c r="E9468" s="2" t="s">
        <v>5435</v>
      </c>
      <c r="F9468" s="2" t="str">
        <f>IFERROR(__xludf.DUMMYFUNCTION("IF(E9468&lt;&gt;"""", GOOGLETRANSLATE(E9468, ""en"", ""te""),"""")"),"[ '29 అత్యంత వృద్ధ ఆటగాడు (33y 146d) ఐదు వికెట్లు-ఇన్-ఒక-ఇన్నింగ్స్ తీసుకోవాలని', 'తొలి తీసుకోవాలని 18 వ అత్యంత వృద్ధ ఆటగాడు ఐదు వికెట్ల లో-ఒక-ఇన్నింగ్స్ (33y 146d)']")</f>
        <v>[ '29 అత్యంత వృద్ధ ఆటగాడు (33y 146d) ఐదు వికెట్లు-ఇన్-ఒక-ఇన్నింగ్స్ తీసుకోవాలని', 'తొలి తీసుకోవాలని 18 వ అత్యంత వృద్ధ ఆటగాడు ఐదు వికెట్ల లో-ఒక-ఇన్నింగ్స్ (33y 146d)']</v>
      </c>
      <c r="G9468" s="2"/>
      <c r="H9468" s="2" t="str">
        <f>IFERROR(__xludf.DUMMYFUNCTION("IF(G9468&lt;&gt;"""", GOOGLETRANSLATE(G9468, ""en"", ""te""),"""")"),"")</f>
        <v/>
      </c>
      <c r="I9468" s="3"/>
    </row>
    <row r="9469" customHeight="1" spans="1:9">
      <c r="A9469" s="2"/>
      <c r="B9469" s="2" t="str">
        <f>IFERROR(__xludf.DUMMYFUNCTION("IF(A9469&lt;&gt;"""", GOOGLETRANSLATE(A9469, ""en"", ""te""),"""")"),"")</f>
        <v/>
      </c>
      <c r="C9469" s="2"/>
      <c r="D9469" s="2" t="str">
        <f>IFERROR(__xludf.DUMMYFUNCTION("IF(C9469&lt;&gt;"""", GOOGLETRANSLATE(C9469, ""en"", ""te""),"""")"),"")</f>
        <v/>
      </c>
      <c r="E9469" s="2" t="s">
        <v>5436</v>
      </c>
      <c r="F9469" s="2" t="str">
        <f>IFERROR(__xludf.DUMMYFUNCTION("IF(E9469&lt;&gt;"""", GOOGLETRANSLATE(E9469, ""en"", ""te""),"""")"),"[ '27 అత్యధిక పరుగులు ఇన్నింగ్స్ లో సాధించిన (95)', 'పదవ వికెట్ను (60) 19 వ అత్యధిక భాగస్వామ్యం']")</f>
        <v>[ '27 అత్యధిక పరుగులు ఇన్నింగ్స్ లో సాధించిన (95)', 'పదవ వికెట్ను (60) 19 వ అత్యధిక భాగస్వామ్యం']</v>
      </c>
      <c r="G9469" s="2"/>
      <c r="H9469" s="2" t="str">
        <f>IFERROR(__xludf.DUMMYFUNCTION("IF(G9469&lt;&gt;"""", GOOGLETRANSLATE(G9469, ""en"", ""te""),"""")"),"")</f>
        <v/>
      </c>
      <c r="I9469" s="3"/>
    </row>
    <row r="9470" customHeight="1" spans="1:9">
      <c r="A9470" s="2" t="s">
        <v>5437</v>
      </c>
      <c r="B9470" s="2" t="str">
        <f>IFERROR(__xludf.DUMMYFUNCTION("IF(A9470&lt;&gt;"""", GOOGLETRANSLATE(A9470, ""en"", ""te""),"""")"),"[ '6 వ అత్యంత వికెట్కీపర్గా (75 *) ద్వారా ఇన్నింగ్స్ లో నడుస్తుంది']")</f>
        <v>[ '6 వ అత్యంత వికెట్కీపర్గా (75 *) ద్వారా ఇన్నింగ్స్ లో నడుస్తుంది']</v>
      </c>
      <c r="C9470" s="2"/>
      <c r="D9470" s="2" t="str">
        <f>IFERROR(__xludf.DUMMYFUNCTION("IF(C9470&lt;&gt;"""", GOOGLETRANSLATE(C9470, ""en"", ""te""),"""")"),"")</f>
        <v/>
      </c>
      <c r="E9470" s="2"/>
      <c r="F9470" s="2" t="str">
        <f>IFERROR(__xludf.DUMMYFUNCTION("IF(E9470&lt;&gt;"""", GOOGLETRANSLATE(E9470, ""en"", ""te""),"""")"),"")</f>
        <v/>
      </c>
      <c r="G9470" s="2" t="s">
        <v>5438</v>
      </c>
      <c r="H9470" s="2" t="str">
        <f>IFERROR(__xludf.DUMMYFUNCTION("IF(G9470&lt;&gt;"""", GOOGLETRANSLATE(G9470, ""en"", ""te""),"""")"),"[ 'కెరీర్లో 13 వ లేవు బాతులు (13)' 'వికెట్కీపర్గా (75 *) ద్వారా ఇన్నింగ్స్ లో 6 వ అత్యధిక పరుగులు', '46 వ ఎక్కువ (355) ఒక క్యాలెండర్ సంవత్సరంలో పరుగులు', 'మూడో వికెట్కు 14 అత్యధిక భాగస్వామ్యం ( 107 *) ',' 23 వ బైలు ఇన్నింగ్స్ లో సాధించిన (5) ']")</f>
        <v>[ 'కెరీర్లో 13 వ లేవు బాతులు (13)' 'వికెట్కీపర్గా (75 *) ద్వారా ఇన్నింగ్స్ లో 6 వ అత్యధిక పరుగులు', '46 వ ఎక్కువ (355) ఒక క్యాలెండర్ సంవత్సరంలో పరుగులు', 'మూడో వికెట్కు 14 అత్యధిక భాగస్వామ్యం ( 107 *) ',' 23 వ బైలు ఇన్నింగ్స్ లో సాధించిన (5) ']</v>
      </c>
      <c r="I9470" s="3"/>
    </row>
    <row r="9471" customHeight="1" spans="1:9">
      <c r="A9471" s="2"/>
      <c r="B9471" s="2" t="str">
        <f>IFERROR(__xludf.DUMMYFUNCTION("IF(A9471&lt;&gt;"""", GOOGLETRANSLATE(A9471, ""en"", ""te""),"""")"),"")</f>
        <v/>
      </c>
      <c r="C9471" s="2"/>
      <c r="D9471" s="2" t="str">
        <f>IFERROR(__xludf.DUMMYFUNCTION("IF(C9471&lt;&gt;"""", GOOGLETRANSLATE(C9471, ""en"", ""te""),"""")"),"")</f>
        <v/>
      </c>
      <c r="E9471" s="2"/>
      <c r="F9471" s="2" t="str">
        <f>IFERROR(__xludf.DUMMYFUNCTION("IF(E9471&lt;&gt;"""", GOOGLETRANSLATE(E9471, ""en"", ""te""),"""")"),"")</f>
        <v/>
      </c>
      <c r="G9471" s="2"/>
      <c r="H9471" s="2" t="str">
        <f>IFERROR(__xludf.DUMMYFUNCTION("IF(G9471&lt;&gt;"""", GOOGLETRANSLATE(G9471, ""en"", ""te""),"""")"),"")</f>
        <v/>
      </c>
      <c r="I9471" s="3"/>
    </row>
    <row r="9472" customHeight="1" spans="1:9">
      <c r="A9472" s="2"/>
      <c r="B9472" s="2" t="str">
        <f>IFERROR(__xludf.DUMMYFUNCTION("IF(A9472&lt;&gt;"""", GOOGLETRANSLATE(A9472, ""en"", ""te""),"""")"),"")</f>
        <v/>
      </c>
      <c r="C9472" s="2"/>
      <c r="D9472" s="2" t="str">
        <f>IFERROR(__xludf.DUMMYFUNCTION("IF(C9472&lt;&gt;"""", GOOGLETRANSLATE(C9472, ""en"", ""te""),"""")"),"")</f>
        <v/>
      </c>
      <c r="E9472" s="2"/>
      <c r="F9472" s="2" t="str">
        <f>IFERROR(__xludf.DUMMYFUNCTION("IF(E9472&lt;&gt;"""", GOOGLETRANSLATE(E9472, ""en"", ""te""),"""")"),"")</f>
        <v/>
      </c>
      <c r="G9472" s="2"/>
      <c r="H9472" s="2" t="str">
        <f>IFERROR(__xludf.DUMMYFUNCTION("IF(G9472&lt;&gt;"""", GOOGLETRANSLATE(G9472, ""en"", ""te""),"""")"),"")</f>
        <v/>
      </c>
      <c r="I9472" s="3"/>
    </row>
    <row r="9473" customHeight="1" spans="1:9">
      <c r="A9473" s="2"/>
      <c r="B9473" s="2" t="str">
        <f>IFERROR(__xludf.DUMMYFUNCTION("IF(A9473&lt;&gt;"""", GOOGLETRANSLATE(A9473, ""en"", ""te""),"""")"),"")</f>
        <v/>
      </c>
      <c r="C9473" s="2"/>
      <c r="D9473" s="2" t="str">
        <f>IFERROR(__xludf.DUMMYFUNCTION("IF(C9473&lt;&gt;"""", GOOGLETRANSLATE(C9473, ""en"", ""te""),"""")"),"")</f>
        <v/>
      </c>
      <c r="E9473" s="2"/>
      <c r="F9473" s="2" t="str">
        <f>IFERROR(__xludf.DUMMYFUNCTION("IF(E9473&lt;&gt;"""", GOOGLETRANSLATE(E9473, ""en"", ""te""),"""")"),"")</f>
        <v/>
      </c>
      <c r="G9473" s="2"/>
      <c r="H9473" s="2" t="str">
        <f>IFERROR(__xludf.DUMMYFUNCTION("IF(G9473&lt;&gt;"""", GOOGLETRANSLATE(G9473, ""en"", ""te""),"""")"),"")</f>
        <v/>
      </c>
      <c r="I9473" s="3"/>
    </row>
    <row r="9474" customHeight="1" spans="1:9">
      <c r="A9474" s="2"/>
      <c r="B9474" s="2" t="str">
        <f>IFERROR(__xludf.DUMMYFUNCTION("IF(A9474&lt;&gt;"""", GOOGLETRANSLATE(A9474, ""en"", ""te""),"""")"),"")</f>
        <v/>
      </c>
      <c r="C9474" s="2"/>
      <c r="D9474" s="2" t="str">
        <f>IFERROR(__xludf.DUMMYFUNCTION("IF(C9474&lt;&gt;"""", GOOGLETRANSLATE(C9474, ""en"", ""te""),"""")"),"")</f>
        <v/>
      </c>
      <c r="E9474" s="2"/>
      <c r="F9474" s="2" t="str">
        <f>IFERROR(__xludf.DUMMYFUNCTION("IF(E9474&lt;&gt;"""", GOOGLETRANSLATE(E9474, ""en"", ""te""),"""")"),"")</f>
        <v/>
      </c>
      <c r="G9474" s="2"/>
      <c r="H9474" s="2" t="str">
        <f>IFERROR(__xludf.DUMMYFUNCTION("IF(G9474&lt;&gt;"""", GOOGLETRANSLATE(G9474, ""en"", ""te""),"""")"),"")</f>
        <v/>
      </c>
      <c r="I9474" s="3"/>
    </row>
    <row r="9475" customHeight="1" spans="1:9">
      <c r="A9475" s="2"/>
      <c r="B9475" s="2" t="str">
        <f>IFERROR(__xludf.DUMMYFUNCTION("IF(A9475&lt;&gt;"""", GOOGLETRANSLATE(A9475, ""en"", ""te""),"""")"),"")</f>
        <v/>
      </c>
      <c r="C9475" s="2"/>
      <c r="D9475" s="2" t="str">
        <f>IFERROR(__xludf.DUMMYFUNCTION("IF(C9475&lt;&gt;"""", GOOGLETRANSLATE(C9475, ""en"", ""te""),"""")"),"")</f>
        <v/>
      </c>
      <c r="E9475" s="2"/>
      <c r="F9475" s="2" t="str">
        <f>IFERROR(__xludf.DUMMYFUNCTION("IF(E9475&lt;&gt;"""", GOOGLETRANSLATE(E9475, ""en"", ""te""),"""")"),"")</f>
        <v/>
      </c>
      <c r="G9475" s="2"/>
      <c r="H9475" s="2" t="str">
        <f>IFERROR(__xludf.DUMMYFUNCTION("IF(G9475&lt;&gt;"""", GOOGLETRANSLATE(G9475, ""en"", ""te""),"""")"),"")</f>
        <v/>
      </c>
      <c r="I9475" s="3"/>
    </row>
    <row r="9476" customHeight="1" spans="1:9">
      <c r="A9476" s="2" t="s">
        <v>5439</v>
      </c>
      <c r="B9476" s="2" t="str">
        <f>IFERROR(__xludf.DUMMYFUNCTION("IF(A9476&lt;&gt;"""", GOOGLETRANSLATE(A9476, ""en"", ""te""),"""")"),"[ 'ఇన్నింగ్స్ పూర్తి ద్వారా బ్యాట్ నిదర్శన (163 *)']")</f>
        <v>[ 'ఇన్నింగ్స్ పూర్తి ద్వారా బ్యాట్ నిదర్శన (163 *)']</v>
      </c>
      <c r="C9476" s="2"/>
      <c r="D9476" s="2" t="str">
        <f>IFERROR(__xludf.DUMMYFUNCTION("IF(C9476&lt;&gt;"""", GOOGLETRANSLATE(C9476, ""en"", ""te""),"""")"),"")</f>
        <v/>
      </c>
      <c r="E9476" s="2"/>
      <c r="F9476" s="2" t="str">
        <f>IFERROR(__xludf.DUMMYFUNCTION("IF(E9476&lt;&gt;"""", GOOGLETRANSLATE(E9476, ""en"", ""te""),"""")"),"")</f>
        <v/>
      </c>
      <c r="G9476" s="2"/>
      <c r="H9476" s="2" t="str">
        <f>IFERROR(__xludf.DUMMYFUNCTION("IF(G9476&lt;&gt;"""", GOOGLETRANSLATE(G9476, ""en"", ""te""),"""")"),"")</f>
        <v/>
      </c>
      <c r="I9476" s="3"/>
    </row>
    <row r="9477" customHeight="1" spans="1:9">
      <c r="A9477" s="2"/>
      <c r="B9477" s="2" t="str">
        <f>IFERROR(__xludf.DUMMYFUNCTION("IF(A9477&lt;&gt;"""", GOOGLETRANSLATE(A9477, ""en"", ""te""),"""")"),"")</f>
        <v/>
      </c>
      <c r="C9477" s="2"/>
      <c r="D9477" s="2" t="str">
        <f>IFERROR(__xludf.DUMMYFUNCTION("IF(C9477&lt;&gt;"""", GOOGLETRANSLATE(C9477, ""en"", ""te""),"""")"),"")</f>
        <v/>
      </c>
      <c r="E9477" s="2"/>
      <c r="F9477" s="2" t="str">
        <f>IFERROR(__xludf.DUMMYFUNCTION("IF(E9477&lt;&gt;"""", GOOGLETRANSLATE(E9477, ""en"", ""te""),"""")"),"")</f>
        <v/>
      </c>
      <c r="G9477" s="2"/>
      <c r="H9477" s="2" t="str">
        <f>IFERROR(__xludf.DUMMYFUNCTION("IF(G9477&lt;&gt;"""", GOOGLETRANSLATE(G9477, ""en"", ""te""),"""")"),"")</f>
        <v/>
      </c>
      <c r="I9477" s="3"/>
    </row>
    <row r="9478" customHeight="1" spans="1:9">
      <c r="A9478" s="2" t="s">
        <v>5440</v>
      </c>
      <c r="B9478" s="2" t="str">
        <f>IFERROR(__xludf.DUMMYFUNCTION("IF(A9478&lt;&gt;"""", GOOGLETRANSLATE(A9478, ""en"", ""te""),"""")"),"[ 'లేకుండా కెరీర్లో 10 వ అత్యధిక పరుగులు వంద (2651)']")</f>
        <v>[ 'లేకుండా కెరీర్లో 10 వ అత్యధిక పరుగులు వంద (2651)']</v>
      </c>
      <c r="C9478" s="2" t="s">
        <v>5441</v>
      </c>
      <c r="D9478" s="2" t="str">
        <f>IFERROR(__xludf.DUMMYFUNCTION("IF(C9478&lt;&gt;"""", GOOGLETRANSLATE(C9478, ""en"", ""te""),"""")"),"[ '20 వ చెత్త కెరీర్ బౌలింగ్ సరాసరి (అర్హత లేకుండా) (172.50)']")</f>
        <v>[ '20 వ చెత్త కెరీర్ బౌలింగ్ సరాసరి (అర్హత లేకుండా) (172.50)']</v>
      </c>
      <c r="E9478" s="2" t="s">
        <v>5442</v>
      </c>
      <c r="F9478" s="2" t="str">
        <f>IFERROR(__xludf.DUMMYFUNCTION("IF(E9478&lt;&gt;"""", GOOGLETRANSLATE(E9478, ""en"", ""te""),"""")"),"[ 'లేకుండా కెరీర్లో 12 వ అత్యధిక పరుగులు వంద (2224)']")</f>
        <v>[ 'లేకుండా కెరీర్లో 12 వ అత్యధిక పరుగులు వంద (2224)']</v>
      </c>
      <c r="G9478" s="2"/>
      <c r="H9478" s="2" t="str">
        <f>IFERROR(__xludf.DUMMYFUNCTION("IF(G9478&lt;&gt;"""", GOOGLETRANSLATE(G9478, ""en"", ""te""),"""")"),"")</f>
        <v/>
      </c>
      <c r="I9478" s="3"/>
    </row>
    <row r="9479" customHeight="1" spans="1:9">
      <c r="A9479" s="2"/>
      <c r="B9479" s="2" t="str">
        <f>IFERROR(__xludf.DUMMYFUNCTION("IF(A9479&lt;&gt;"""", GOOGLETRANSLATE(A9479, ""en"", ""te""),"""")"),"")</f>
        <v/>
      </c>
      <c r="C9479" s="2"/>
      <c r="D9479" s="2" t="str">
        <f>IFERROR(__xludf.DUMMYFUNCTION("IF(C9479&lt;&gt;"""", GOOGLETRANSLATE(C9479, ""en"", ""te""),"""")"),"")</f>
        <v/>
      </c>
      <c r="E9479" s="2"/>
      <c r="F9479" s="2" t="str">
        <f>IFERROR(__xludf.DUMMYFUNCTION("IF(E9479&lt;&gt;"""", GOOGLETRANSLATE(E9479, ""en"", ""te""),"""")"),"")</f>
        <v/>
      </c>
      <c r="G9479" s="2"/>
      <c r="H9479" s="2" t="str">
        <f>IFERROR(__xludf.DUMMYFUNCTION("IF(G9479&lt;&gt;"""", GOOGLETRANSLATE(G9479, ""en"", ""te""),"""")"),"")</f>
        <v/>
      </c>
      <c r="I9479" s="3"/>
    </row>
    <row r="9480" customHeight="1" spans="1:9">
      <c r="A9480" s="2"/>
      <c r="B9480" s="2" t="str">
        <f>IFERROR(__xludf.DUMMYFUNCTION("IF(A9480&lt;&gt;"""", GOOGLETRANSLATE(A9480, ""en"", ""te""),"""")"),"")</f>
        <v/>
      </c>
      <c r="C9480" s="2"/>
      <c r="D9480" s="2" t="str">
        <f>IFERROR(__xludf.DUMMYFUNCTION("IF(C9480&lt;&gt;"""", GOOGLETRANSLATE(C9480, ""en"", ""te""),"""")"),"")</f>
        <v/>
      </c>
      <c r="E9480" s="2"/>
      <c r="F9480" s="2" t="str">
        <f>IFERROR(__xludf.DUMMYFUNCTION("IF(E9480&lt;&gt;"""", GOOGLETRANSLATE(E9480, ""en"", ""te""),"""")"),"")</f>
        <v/>
      </c>
      <c r="G9480" s="2"/>
      <c r="H9480" s="2" t="str">
        <f>IFERROR(__xludf.DUMMYFUNCTION("IF(G9480&lt;&gt;"""", GOOGLETRANSLATE(G9480, ""en"", ""te""),"""")"),"")</f>
        <v/>
      </c>
      <c r="I9480" s="3"/>
    </row>
    <row r="9481" customHeight="1" spans="1:9">
      <c r="A9481" s="2"/>
      <c r="B9481" s="2" t="str">
        <f>IFERROR(__xludf.DUMMYFUNCTION("IF(A9481&lt;&gt;"""", GOOGLETRANSLATE(A9481, ""en"", ""te""),"""")"),"")</f>
        <v/>
      </c>
      <c r="C9481" s="2"/>
      <c r="D9481" s="2" t="str">
        <f>IFERROR(__xludf.DUMMYFUNCTION("IF(C9481&lt;&gt;"""", GOOGLETRANSLATE(C9481, ""en"", ""te""),"""")"),"")</f>
        <v/>
      </c>
      <c r="E9481" s="2"/>
      <c r="F9481" s="2" t="str">
        <f>IFERROR(__xludf.DUMMYFUNCTION("IF(E9481&lt;&gt;"""", GOOGLETRANSLATE(E9481, ""en"", ""te""),"""")"),"")</f>
        <v/>
      </c>
      <c r="G9481" s="2"/>
      <c r="H9481" s="2" t="str">
        <f>IFERROR(__xludf.DUMMYFUNCTION("IF(G9481&lt;&gt;"""", GOOGLETRANSLATE(G9481, ""en"", ""te""),"""")"),"")</f>
        <v/>
      </c>
      <c r="I9481" s="3"/>
    </row>
    <row r="9482" customHeight="1" spans="1:9">
      <c r="A9482" s="2"/>
      <c r="B9482" s="2" t="str">
        <f>IFERROR(__xludf.DUMMYFUNCTION("IF(A9482&lt;&gt;"""", GOOGLETRANSLATE(A9482, ""en"", ""te""),"""")"),"")</f>
        <v/>
      </c>
      <c r="C9482" s="2"/>
      <c r="D9482" s="2" t="str">
        <f>IFERROR(__xludf.DUMMYFUNCTION("IF(C9482&lt;&gt;"""", GOOGLETRANSLATE(C9482, ""en"", ""te""),"""")"),"")</f>
        <v/>
      </c>
      <c r="E9482" s="2"/>
      <c r="F9482" s="2" t="str">
        <f>IFERROR(__xludf.DUMMYFUNCTION("IF(E9482&lt;&gt;"""", GOOGLETRANSLATE(E9482, ""en"", ""te""),"""")"),"")</f>
        <v/>
      </c>
      <c r="G9482" s="2"/>
      <c r="H9482" s="2" t="str">
        <f>IFERROR(__xludf.DUMMYFUNCTION("IF(G9482&lt;&gt;"""", GOOGLETRANSLATE(G9482, ""en"", ""te""),"""")"),"")</f>
        <v/>
      </c>
      <c r="I9482" s="3"/>
    </row>
    <row r="9483" customHeight="1" spans="1:9">
      <c r="A9483" s="2"/>
      <c r="B9483" s="2" t="str">
        <f>IFERROR(__xludf.DUMMYFUNCTION("IF(A9483&lt;&gt;"""", GOOGLETRANSLATE(A9483, ""en"", ""te""),"""")"),"")</f>
        <v/>
      </c>
      <c r="C9483" s="2"/>
      <c r="D9483" s="2" t="str">
        <f>IFERROR(__xludf.DUMMYFUNCTION("IF(C9483&lt;&gt;"""", GOOGLETRANSLATE(C9483, ""en"", ""te""),"""")"),"")</f>
        <v/>
      </c>
      <c r="E9483" s="2"/>
      <c r="F9483" s="2" t="str">
        <f>IFERROR(__xludf.DUMMYFUNCTION("IF(E9483&lt;&gt;"""", GOOGLETRANSLATE(E9483, ""en"", ""te""),"""")"),"")</f>
        <v/>
      </c>
      <c r="G9483" s="2"/>
      <c r="H9483" s="2" t="str">
        <f>IFERROR(__xludf.DUMMYFUNCTION("IF(G9483&lt;&gt;"""", GOOGLETRANSLATE(G9483, ""en"", ""te""),"""")"),"")</f>
        <v/>
      </c>
      <c r="I9483" s="3"/>
    </row>
    <row r="9484" customHeight="1" spans="1:9">
      <c r="A9484" s="2"/>
      <c r="B9484" s="2" t="str">
        <f>IFERROR(__xludf.DUMMYFUNCTION("IF(A9484&lt;&gt;"""", GOOGLETRANSLATE(A9484, ""en"", ""te""),"""")"),"")</f>
        <v/>
      </c>
      <c r="C9484" s="2"/>
      <c r="D9484" s="2" t="str">
        <f>IFERROR(__xludf.DUMMYFUNCTION("IF(C9484&lt;&gt;"""", GOOGLETRANSLATE(C9484, ""en"", ""te""),"""")"),"")</f>
        <v/>
      </c>
      <c r="E9484" s="2"/>
      <c r="F9484" s="2" t="str">
        <f>IFERROR(__xludf.DUMMYFUNCTION("IF(E9484&lt;&gt;"""", GOOGLETRANSLATE(E9484, ""en"", ""te""),"""")"),"")</f>
        <v/>
      </c>
      <c r="G9484" s="2"/>
      <c r="H9484" s="2" t="str">
        <f>IFERROR(__xludf.DUMMYFUNCTION("IF(G9484&lt;&gt;"""", GOOGLETRANSLATE(G9484, ""en"", ""te""),"""")"),"")</f>
        <v/>
      </c>
      <c r="I9484" s="3"/>
    </row>
    <row r="9485" customHeight="1" spans="1:9">
      <c r="A9485" s="2"/>
      <c r="B9485" s="2" t="str">
        <f>IFERROR(__xludf.DUMMYFUNCTION("IF(A9485&lt;&gt;"""", GOOGLETRANSLATE(A9485, ""en"", ""te""),"""")"),"")</f>
        <v/>
      </c>
      <c r="C9485" s="2"/>
      <c r="D9485" s="2" t="str">
        <f>IFERROR(__xludf.DUMMYFUNCTION("IF(C9485&lt;&gt;"""", GOOGLETRANSLATE(C9485, ""en"", ""te""),"""")"),"")</f>
        <v/>
      </c>
      <c r="E9485" s="2"/>
      <c r="F9485" s="2" t="str">
        <f>IFERROR(__xludf.DUMMYFUNCTION("IF(E9485&lt;&gt;"""", GOOGLETRANSLATE(E9485, ""en"", ""te""),"""")"),"")</f>
        <v/>
      </c>
      <c r="G9485" s="2"/>
      <c r="H9485" s="2" t="str">
        <f>IFERROR(__xludf.DUMMYFUNCTION("IF(G9485&lt;&gt;"""", GOOGLETRANSLATE(G9485, ""en"", ""te""),"""")"),"")</f>
        <v/>
      </c>
      <c r="I9485" s="3"/>
    </row>
    <row r="9486" customHeight="1" spans="1:9">
      <c r="A9486" s="2"/>
      <c r="B9486" s="2" t="str">
        <f>IFERROR(__xludf.DUMMYFUNCTION("IF(A9486&lt;&gt;"""", GOOGLETRANSLATE(A9486, ""en"", ""te""),"""")"),"")</f>
        <v/>
      </c>
      <c r="C9486" s="2"/>
      <c r="D9486" s="2" t="str">
        <f>IFERROR(__xludf.DUMMYFUNCTION("IF(C9486&lt;&gt;"""", GOOGLETRANSLATE(C9486, ""en"", ""te""),"""")"),"")</f>
        <v/>
      </c>
      <c r="E9486" s="2"/>
      <c r="F9486" s="2" t="str">
        <f>IFERROR(__xludf.DUMMYFUNCTION("IF(E9486&lt;&gt;"""", GOOGLETRANSLATE(E9486, ""en"", ""te""),"""")"),"")</f>
        <v/>
      </c>
      <c r="G9486" s="2"/>
      <c r="H9486" s="2" t="str">
        <f>IFERROR(__xludf.DUMMYFUNCTION("IF(G9486&lt;&gt;"""", GOOGLETRANSLATE(G9486, ""en"", ""te""),"""")"),"")</f>
        <v/>
      </c>
      <c r="I9486" s="3"/>
    </row>
    <row r="9487" customHeight="1" spans="1:9">
      <c r="A9487" s="2"/>
      <c r="B9487" s="2" t="str">
        <f>IFERROR(__xludf.DUMMYFUNCTION("IF(A9487&lt;&gt;"""", GOOGLETRANSLATE(A9487, ""en"", ""te""),"""")"),"")</f>
        <v/>
      </c>
      <c r="C9487" s="2"/>
      <c r="D9487" s="2" t="str">
        <f>IFERROR(__xludf.DUMMYFUNCTION("IF(C9487&lt;&gt;"""", GOOGLETRANSLATE(C9487, ""en"", ""te""),"""")"),"")</f>
        <v/>
      </c>
      <c r="E9487" s="2"/>
      <c r="F9487" s="2" t="str">
        <f>IFERROR(__xludf.DUMMYFUNCTION("IF(E9487&lt;&gt;"""", GOOGLETRANSLATE(E9487, ""en"", ""te""),"""")"),"")</f>
        <v/>
      </c>
      <c r="G9487" s="2"/>
      <c r="H9487" s="2" t="str">
        <f>IFERROR(__xludf.DUMMYFUNCTION("IF(G9487&lt;&gt;"""", GOOGLETRANSLATE(G9487, ""en"", ""te""),"""")"),"")</f>
        <v/>
      </c>
      <c r="I9487" s="3"/>
    </row>
    <row r="9488" customHeight="1" spans="1:9">
      <c r="A9488" s="2" t="s">
        <v>399</v>
      </c>
      <c r="B9488" s="2" t="str">
        <f>IFERROR(__xludf.DUMMYFUNCTION("IF(A9488&lt;&gt;"""", GOOGLETRANSLATE(A9488, ""en"", ""te""),"""")"),"[ 'తొలి పెయిర్']")</f>
        <v>[ 'తొలి పెయిర్']</v>
      </c>
      <c r="C9488" s="2"/>
      <c r="D9488" s="2" t="str">
        <f>IFERROR(__xludf.DUMMYFUNCTION("IF(C9488&lt;&gt;"""", GOOGLETRANSLATE(C9488, ""en"", ""te""),"""")"),"")</f>
        <v/>
      </c>
      <c r="E9488" s="2"/>
      <c r="F9488" s="2" t="str">
        <f>IFERROR(__xludf.DUMMYFUNCTION("IF(E9488&lt;&gt;"""", GOOGLETRANSLATE(E9488, ""en"", ""te""),"""")"),"")</f>
        <v/>
      </c>
      <c r="G9488" s="2"/>
      <c r="H9488" s="2" t="str">
        <f>IFERROR(__xludf.DUMMYFUNCTION("IF(G9488&lt;&gt;"""", GOOGLETRANSLATE(G9488, ""en"", ""te""),"""")"),"")</f>
        <v/>
      </c>
      <c r="I9488" s="3"/>
    </row>
    <row r="9489" customHeight="1" spans="1:9">
      <c r="A9489" s="2"/>
      <c r="B9489" s="2" t="str">
        <f>IFERROR(__xludf.DUMMYFUNCTION("IF(A9489&lt;&gt;"""", GOOGLETRANSLATE(A9489, ""en"", ""te""),"""")"),"")</f>
        <v/>
      </c>
      <c r="C9489" s="2"/>
      <c r="D9489" s="2" t="str">
        <f>IFERROR(__xludf.DUMMYFUNCTION("IF(C9489&lt;&gt;"""", GOOGLETRANSLATE(C9489, ""en"", ""te""),"""")"),"")</f>
        <v/>
      </c>
      <c r="E9489" s="2"/>
      <c r="F9489" s="2" t="str">
        <f>IFERROR(__xludf.DUMMYFUNCTION("IF(E9489&lt;&gt;"""", GOOGLETRANSLATE(E9489, ""en"", ""te""),"""")"),"")</f>
        <v/>
      </c>
      <c r="G9489" s="2"/>
      <c r="H9489" s="2" t="str">
        <f>IFERROR(__xludf.DUMMYFUNCTION("IF(G9489&lt;&gt;"""", GOOGLETRANSLATE(G9489, ""en"", ""te""),"""")"),"")</f>
        <v/>
      </c>
      <c r="I9489" s="3"/>
    </row>
    <row r="9490" customHeight="1" spans="1:9">
      <c r="A9490" s="2"/>
      <c r="B9490" s="2" t="str">
        <f>IFERROR(__xludf.DUMMYFUNCTION("IF(A9490&lt;&gt;"""", GOOGLETRANSLATE(A9490, ""en"", ""te""),"""")"),"")</f>
        <v/>
      </c>
      <c r="C9490" s="2"/>
      <c r="D9490" s="2" t="str">
        <f>IFERROR(__xludf.DUMMYFUNCTION("IF(C9490&lt;&gt;"""", GOOGLETRANSLATE(C9490, ""en"", ""te""),"""")"),"")</f>
        <v/>
      </c>
      <c r="E9490" s="2"/>
      <c r="F9490" s="2" t="str">
        <f>IFERROR(__xludf.DUMMYFUNCTION("IF(E9490&lt;&gt;"""", GOOGLETRANSLATE(E9490, ""en"", ""te""),"""")"),"")</f>
        <v/>
      </c>
      <c r="G9490" s="2"/>
      <c r="H9490" s="2" t="str">
        <f>IFERROR(__xludf.DUMMYFUNCTION("IF(G9490&lt;&gt;"""", GOOGLETRANSLATE(G9490, ""en"", ""te""),"""")"),"")</f>
        <v/>
      </c>
      <c r="I9490" s="3"/>
    </row>
    <row r="9491" customHeight="1" spans="1:9">
      <c r="A9491" s="2"/>
      <c r="B9491" s="2" t="str">
        <f>IFERROR(__xludf.DUMMYFUNCTION("IF(A9491&lt;&gt;"""", GOOGLETRANSLATE(A9491, ""en"", ""te""),"""")"),"")</f>
        <v/>
      </c>
      <c r="C9491" s="2"/>
      <c r="D9491" s="2" t="str">
        <f>IFERROR(__xludf.DUMMYFUNCTION("IF(C9491&lt;&gt;"""", GOOGLETRANSLATE(C9491, ""en"", ""te""),"""")"),"")</f>
        <v/>
      </c>
      <c r="E9491" s="2" t="s">
        <v>5443</v>
      </c>
      <c r="F9491" s="2" t="str">
        <f>IFERROR(__xludf.DUMMYFUNCTION("IF(E9491&lt;&gt;"""", GOOGLETRANSLATE(E9491, ""en"", ""te""),"""")"),"[ '16 వ చెత్త కెరీర్ బౌలింగ్ సరాసరి (అర్హత లేకుండా) (157.00)']")</f>
        <v>[ '16 వ చెత్త కెరీర్ బౌలింగ్ సరాసరి (అర్హత లేకుండా) (157.00)']</v>
      </c>
      <c r="G9491" s="2"/>
      <c r="H9491" s="2" t="str">
        <f>IFERROR(__xludf.DUMMYFUNCTION("IF(G9491&lt;&gt;"""", GOOGLETRANSLATE(G9491, ""en"", ""te""),"""")"),"")</f>
        <v/>
      </c>
      <c r="I9491" s="3"/>
    </row>
    <row r="9492" customHeight="1" spans="1:9">
      <c r="A9492" s="2"/>
      <c r="B9492" s="2" t="str">
        <f>IFERROR(__xludf.DUMMYFUNCTION("IF(A9492&lt;&gt;"""", GOOGLETRANSLATE(A9492, ""en"", ""te""),"""")"),"")</f>
        <v/>
      </c>
      <c r="C9492" s="2"/>
      <c r="D9492" s="2" t="str">
        <f>IFERROR(__xludf.DUMMYFUNCTION("IF(C9492&lt;&gt;"""", GOOGLETRANSLATE(C9492, ""en"", ""te""),"""")"),"")</f>
        <v/>
      </c>
      <c r="E9492" s="2" t="s">
        <v>549</v>
      </c>
      <c r="F9492" s="2" t="str">
        <f>IFERROR(__xludf.DUMMYFUNCTION("IF(E9492&lt;&gt;"""", GOOGLETRANSLATE(E9492, ""en"", ""te""),"""")"),"[ 'తొలి ఇన్నింగ్స్ 15 వ బెస్ట్ ఫిగర్స్ (4)']")</f>
        <v>[ 'తొలి ఇన్నింగ్స్ 15 వ బెస్ట్ ఫిగర్స్ (4)']</v>
      </c>
      <c r="G9492" s="2"/>
      <c r="H9492" s="2" t="str">
        <f>IFERROR(__xludf.DUMMYFUNCTION("IF(G9492&lt;&gt;"""", GOOGLETRANSLATE(G9492, ""en"", ""te""),"""")"),"")</f>
        <v/>
      </c>
      <c r="I9492" s="3"/>
    </row>
    <row r="9493" customHeight="1" spans="1:9">
      <c r="A9493" s="2"/>
      <c r="B9493" s="2" t="str">
        <f>IFERROR(__xludf.DUMMYFUNCTION("IF(A9493&lt;&gt;"""", GOOGLETRANSLATE(A9493, ""en"", ""te""),"""")"),"")</f>
        <v/>
      </c>
      <c r="C9493" s="2"/>
      <c r="D9493" s="2" t="str">
        <f>IFERROR(__xludf.DUMMYFUNCTION("IF(C9493&lt;&gt;"""", GOOGLETRANSLATE(C9493, ""en"", ""te""),"""")"),"")</f>
        <v/>
      </c>
      <c r="E9493" s="2"/>
      <c r="F9493" s="2" t="str">
        <f>IFERROR(__xludf.DUMMYFUNCTION("IF(E9493&lt;&gt;"""", GOOGLETRANSLATE(E9493, ""en"", ""te""),"""")"),"")</f>
        <v/>
      </c>
      <c r="G9493" s="2"/>
      <c r="H9493" s="2" t="str">
        <f>IFERROR(__xludf.DUMMYFUNCTION("IF(G9493&lt;&gt;"""", GOOGLETRANSLATE(G9493, ""en"", ""te""),"""")"),"")</f>
        <v/>
      </c>
      <c r="I9493" s="3"/>
    </row>
    <row r="9494" customHeight="1" spans="1:9">
      <c r="A9494" s="2"/>
      <c r="B9494" s="2" t="str">
        <f>IFERROR(__xludf.DUMMYFUNCTION("IF(A9494&lt;&gt;"""", GOOGLETRANSLATE(A9494, ""en"", ""te""),"""")"),"")</f>
        <v/>
      </c>
      <c r="C9494" s="2"/>
      <c r="D9494" s="2" t="str">
        <f>IFERROR(__xludf.DUMMYFUNCTION("IF(C9494&lt;&gt;"""", GOOGLETRANSLATE(C9494, ""en"", ""te""),"""")"),"")</f>
        <v/>
      </c>
      <c r="E9494" s="2"/>
      <c r="F9494" s="2" t="str">
        <f>IFERROR(__xludf.DUMMYFUNCTION("IF(E9494&lt;&gt;"""", GOOGLETRANSLATE(E9494, ""en"", ""te""),"""")"),"")</f>
        <v/>
      </c>
      <c r="G9494" s="2"/>
      <c r="H9494" s="2" t="str">
        <f>IFERROR(__xludf.DUMMYFUNCTION("IF(G9494&lt;&gt;"""", GOOGLETRANSLATE(G9494, ""en"", ""te""),"""")"),"")</f>
        <v/>
      </c>
      <c r="I9494" s="3"/>
    </row>
    <row r="9495" customHeight="1" spans="1:9">
      <c r="A9495" s="2"/>
      <c r="B9495" s="2" t="str">
        <f>IFERROR(__xludf.DUMMYFUNCTION("IF(A9495&lt;&gt;"""", GOOGLETRANSLATE(A9495, ""en"", ""te""),"""")"),"")</f>
        <v/>
      </c>
      <c r="C9495" s="2"/>
      <c r="D9495" s="2" t="str">
        <f>IFERROR(__xludf.DUMMYFUNCTION("IF(C9495&lt;&gt;"""", GOOGLETRANSLATE(C9495, ""en"", ""te""),"""")"),"")</f>
        <v/>
      </c>
      <c r="E9495" s="2"/>
      <c r="F9495" s="2" t="str">
        <f>IFERROR(__xludf.DUMMYFUNCTION("IF(E9495&lt;&gt;"""", GOOGLETRANSLATE(E9495, ""en"", ""te""),"""")"),"")</f>
        <v/>
      </c>
      <c r="G9495" s="2" t="s">
        <v>5444</v>
      </c>
      <c r="H9495" s="2" t="str">
        <f>IFERROR(__xludf.DUMMYFUNCTION("IF(G9495&lt;&gt;"""", GOOGLETRANSLATE(G9495, ""en"", ""te""),"""")"),"[ 'ఒక కెరీర్ (2) లో 13 వ అత్యంత నాలుగు వికెట్లు-ఇన్-ఒక-ఇన్నింగ్స్' '30 వ అత్యుత్తమ ఇన్నింగ్స్ లో విశ్లేషణలు బౌలింగ్ (4/9)',]")</f>
        <v>[ 'ఒక కెరీర్ (2) లో 13 వ అత్యంత నాలుగు వికెట్లు-ఇన్-ఒక-ఇన్నింగ్స్' '30 వ అత్యుత్తమ ఇన్నింగ్స్ లో విశ్లేషణలు బౌలింగ్ (4/9)',]</v>
      </c>
      <c r="I9495" s="3"/>
    </row>
    <row r="9496" customHeight="1" spans="1:9">
      <c r="A9496" s="2" t="s">
        <v>5445</v>
      </c>
      <c r="B9496" s="2" t="str">
        <f>IFERROR(__xludf.DUMMYFUNCTION("IF(A9496&lt;&gt;"""", GOOGLETRANSLATE(A9496, ""en"", ""te""),"""")"),"[ 'కెరీర్లో 7 వ అత్యంత జతల (3)', '1st ఒక ఇన్నింగ్స్ లోని బెస్ట్ ఫిగర్స్ ఉన్నప్పుడు పరాజయం వైపు (6)', 'ఇన్నింగ్స్ లో 2 వ అత్యధిక పరుగులు (బ్యాటింగ్ స్థానంలో ప్రకారం) (17 *)', '5 వ చెత్త వృత్తి ఆర్థిక రేటు (8.94) ',' 4 వ అత్యధిక వరుస బాతులు (4) ']")</f>
        <v>[ 'కెరీర్లో 7 వ అత్యంత జతల (3)', '1st ఒక ఇన్నింగ్స్ లోని బెస్ట్ ఫిగర్స్ ఉన్నప్పుడు పరాజయం వైపు (6)', 'ఇన్నింగ్స్ లో 2 వ అత్యధిక పరుగులు (బ్యాటింగ్ స్థానంలో ప్రకారం) (17 *)', '5 వ చెత్త వృత్తి ఆర్థిక రేటు (8.94) ',' 4 వ అత్యధిక వరుస బాతులు (4) ']</v>
      </c>
      <c r="C9496" s="2" t="s">
        <v>2704</v>
      </c>
      <c r="D9496" s="2" t="str">
        <f>IFERROR(__xludf.DUMMYFUNCTION("IF(C9496&lt;&gt;"""", GOOGLETRANSLATE(C9496, ""en"", ""te""),"""")"),"[ 'కెరీర్లో 7 వ అత్యంత జతల (3)']")</f>
        <v>[ 'కెరీర్లో 7 వ అత్యంత జతల (3)']</v>
      </c>
      <c r="E9496" s="2" t="s">
        <v>5446</v>
      </c>
      <c r="F9496" s="2" t="str">
        <f>IFERROR(__xludf.DUMMYFUNCTION("IF(E9496&lt;&gt;"""", GOOGLETRANSLATE(E9496, ""en"", ""te""),"""")"),"[ '38 వ ఒకే మైదానంలో అత్యధిక వికెట్లు (35)', '1st ఒక ఇన్నింగ్స్ లోని బెస్ట్ ఫిగర్స్ ఉన్నప్పుడు పరాజయం వైపు (6)']")</f>
        <v>[ '38 వ ఒకే మైదానంలో అత్యధిక వికెట్లు (35)', '1st ఒక ఇన్నింగ్స్ లోని బెస్ట్ ఫిగర్స్ ఉన్నప్పుడు పరాజయం వైపు (6)']</v>
      </c>
      <c r="G9496" s="2" t="s">
        <v>5447</v>
      </c>
      <c r="H9496" s="2" t="str">
        <f>IFERROR(__xludf.DUMMYFUNCTION("IF(G9496&lt;&gt;"""", GOOGLETRANSLATE(G9496, ""en"", ""te""),"""")"),"[ 'ఇన్నింగ్స్ లో 2 వ అత్యధిక పరుగులు (బ్యాటింగ్ స్థానంలో ప్రకారం) (17 *)', 'సగటు (31.36) బౌలింగ్ 15 చెత్త జీవితం' '5 వ చెత్త కెరీర్లో ఆర్థిక రేటు (8.94)', '48 వ కెరీర్ లో సాధించిన అత్యధిక పరుగులు (1035 ) ',' 26th అత్యధిక పరుగులు ఇన్నింగ్స్ 59 (ఒక ఫీల్డర్ "&amp;"చేత పోగొట్టబడిన) ',' 43 వ క్యాచ్ తీసుకున్న అత్యధిక వికెట్లు (26) ',' 49 వ లాంగెస్ట్ కెరీర్లు (11y 153d) ']")</f>
        <v>[ 'ఇన్నింగ్స్ లో 2 వ అత్యధిక పరుగులు (బ్యాటింగ్ స్థానంలో ప్రకారం) (17 *)', 'సగటు (31.36) బౌలింగ్ 15 చెత్త జీవితం' '5 వ చెత్త కెరీర్లో ఆర్థిక రేటు (8.94)', '48 వ కెరీర్ లో సాధించిన అత్యధిక పరుగులు (1035 ) ',' 26th అత్యధిక పరుగులు ఇన్నింగ్స్ 59 (ఒక ఫీల్డర్ చేత పోగొట్టబడిన) ',' 43 వ క్యాచ్ తీసుకున్న అత్యధిక వికెట్లు (26) ',' 49 వ లాంగెస్ట్ కెరీర్లు (11y 153d) ']</v>
      </c>
      <c r="I9496" s="3"/>
    </row>
    <row r="9497" customHeight="1" spans="1:9">
      <c r="A9497" s="2"/>
      <c r="B9497" s="2" t="str">
        <f>IFERROR(__xludf.DUMMYFUNCTION("IF(A9497&lt;&gt;"""", GOOGLETRANSLATE(A9497, ""en"", ""te""),"""")"),"")</f>
        <v/>
      </c>
      <c r="C9497" s="2"/>
      <c r="D9497" s="2" t="str">
        <f>IFERROR(__xludf.DUMMYFUNCTION("IF(C9497&lt;&gt;"""", GOOGLETRANSLATE(C9497, ""en"", ""te""),"""")"),"")</f>
        <v/>
      </c>
      <c r="E9497" s="2"/>
      <c r="F9497" s="2" t="str">
        <f>IFERROR(__xludf.DUMMYFUNCTION("IF(E9497&lt;&gt;"""", GOOGLETRANSLATE(E9497, ""en"", ""te""),"""")"),"")</f>
        <v/>
      </c>
      <c r="G9497" s="2"/>
      <c r="H9497" s="2" t="str">
        <f>IFERROR(__xludf.DUMMYFUNCTION("IF(G9497&lt;&gt;"""", GOOGLETRANSLATE(G9497, ""en"", ""te""),"""")"),"")</f>
        <v/>
      </c>
      <c r="I9497" s="3"/>
    </row>
    <row r="9498" customHeight="1" spans="1:9">
      <c r="A9498" s="2"/>
      <c r="B9498" s="2" t="str">
        <f>IFERROR(__xludf.DUMMYFUNCTION("IF(A9498&lt;&gt;"""", GOOGLETRANSLATE(A9498, ""en"", ""te""),"""")"),"")</f>
        <v/>
      </c>
      <c r="C9498" s="2"/>
      <c r="D9498" s="2" t="str">
        <f>IFERROR(__xludf.DUMMYFUNCTION("IF(C9498&lt;&gt;"""", GOOGLETRANSLATE(C9498, ""en"", ""te""),"""")"),"")</f>
        <v/>
      </c>
      <c r="E9498" s="2"/>
      <c r="F9498" s="2" t="str">
        <f>IFERROR(__xludf.DUMMYFUNCTION("IF(E9498&lt;&gt;"""", GOOGLETRANSLATE(E9498, ""en"", ""te""),"""")"),"")</f>
        <v/>
      </c>
      <c r="G9498" s="2"/>
      <c r="H9498" s="2" t="str">
        <f>IFERROR(__xludf.DUMMYFUNCTION("IF(G9498&lt;&gt;"""", GOOGLETRANSLATE(G9498, ""en"", ""te""),"""")"),"")</f>
        <v/>
      </c>
      <c r="I9498" s="3"/>
    </row>
    <row r="9499" customHeight="1" spans="1:9">
      <c r="A9499" s="2" t="s">
        <v>5448</v>
      </c>
      <c r="B9499" s="2" t="str">
        <f>IFERROR(__xludf.DUMMYFUNCTION("IF(A9499&lt;&gt;"""", GOOGLETRANSLATE(A9499, ""en"", ""te""),"""")"),"[ 'ఇన్నింగ్స్ లో 2 వ పెద్ద పనికత్తెలయొద్ద (3)']")</f>
        <v>[ 'ఇన్నింగ్స్ లో 2 వ పెద్ద పనికత్తెలయొద్ద (3)']</v>
      </c>
      <c r="C9499" s="2"/>
      <c r="D9499" s="2" t="str">
        <f>IFERROR(__xludf.DUMMYFUNCTION("IF(C9499&lt;&gt;"""", GOOGLETRANSLATE(C9499, ""en"", ""te""),"""")"),"")</f>
        <v/>
      </c>
      <c r="E9499" s="2"/>
      <c r="F9499" s="2" t="str">
        <f>IFERROR(__xludf.DUMMYFUNCTION("IF(E9499&lt;&gt;"""", GOOGLETRANSLATE(E9499, ""en"", ""te""),"""")"),"")</f>
        <v/>
      </c>
      <c r="G9499" s="2" t="s">
        <v>5449</v>
      </c>
      <c r="H9499" s="2" t="str">
        <f>IFERROR(__xludf.DUMMYFUNCTION("IF(G9499&lt;&gt;"""", GOOGLETRANSLATE(G9499, ""en"", ""te""),"""")"),"'(23) 11 వ ఒక క్యాలెండర్ సంవత్సరంలో అత్యధిక వికెట్లు', 'ఇన్నింగ్స్ లో 26 వ అత్యుత్తమ బౌలింగ్ విశ్లేషణలు (2/3)', '30 వ ఉత్తమ కెరీర్ (6.21) (అర్హత లేకుండా) సగటు బౌలింగ్', '27 వ పనికత్తెలయొద్ద కెరీర్లో [ (6) ',' 2 వ అత్యంత పనికత్తెలయొద్ద ఇన్నింగ్స్ లో (3) ']")</f>
        <v>'(23) 11 వ ఒక క్యాలెండర్ సంవత్సరంలో అత్యధిక వికెట్లు', 'ఇన్నింగ్స్ లో 26 వ అత్యుత్తమ బౌలింగ్ విశ్లేషణలు (2/3)', '30 వ ఉత్తమ కెరీర్ (6.21) (అర్హత లేకుండా) సగటు బౌలింగ్', '27 వ పనికత్తెలయొద్ద కెరీర్లో [ (6) ',' 2 వ అత్యంత పనికత్తెలయొద్ద ఇన్నింగ్స్ లో (3) ']</v>
      </c>
      <c r="I9499" s="3"/>
    </row>
    <row r="9500" customHeight="1" spans="1:9">
      <c r="A9500" s="2"/>
      <c r="B9500" s="2" t="str">
        <f>IFERROR(__xludf.DUMMYFUNCTION("IF(A9500&lt;&gt;"""", GOOGLETRANSLATE(A9500, ""en"", ""te""),"""")"),"")</f>
        <v/>
      </c>
      <c r="C9500" s="2"/>
      <c r="D9500" s="2" t="str">
        <f>IFERROR(__xludf.DUMMYFUNCTION("IF(C9500&lt;&gt;"""", GOOGLETRANSLATE(C9500, ""en"", ""te""),"""")"),"")</f>
        <v/>
      </c>
      <c r="E9500" s="2"/>
      <c r="F9500" s="2" t="str">
        <f>IFERROR(__xludf.DUMMYFUNCTION("IF(E9500&lt;&gt;"""", GOOGLETRANSLATE(E9500, ""en"", ""te""),"""")"),"")</f>
        <v/>
      </c>
      <c r="G9500" s="2"/>
      <c r="H9500" s="2" t="str">
        <f>IFERROR(__xludf.DUMMYFUNCTION("IF(G9500&lt;&gt;"""", GOOGLETRANSLATE(G9500, ""en"", ""te""),"""")"),"")</f>
        <v/>
      </c>
      <c r="I9500" s="3"/>
    </row>
    <row r="9501" customHeight="1" spans="1:9">
      <c r="A9501" s="2"/>
      <c r="B9501" s="2" t="str">
        <f>IFERROR(__xludf.DUMMYFUNCTION("IF(A9501&lt;&gt;"""", GOOGLETRANSLATE(A9501, ""en"", ""te""),"""")"),"")</f>
        <v/>
      </c>
      <c r="C9501" s="2"/>
      <c r="D9501" s="2" t="str">
        <f>IFERROR(__xludf.DUMMYFUNCTION("IF(C9501&lt;&gt;"""", GOOGLETRANSLATE(C9501, ""en"", ""te""),"""")"),"")</f>
        <v/>
      </c>
      <c r="E9501" s="2"/>
      <c r="F9501" s="2" t="str">
        <f>IFERROR(__xludf.DUMMYFUNCTION("IF(E9501&lt;&gt;"""", GOOGLETRANSLATE(E9501, ""en"", ""te""),"""")"),"")</f>
        <v/>
      </c>
      <c r="G9501" s="2"/>
      <c r="H9501" s="2" t="str">
        <f>IFERROR(__xludf.DUMMYFUNCTION("IF(G9501&lt;&gt;"""", GOOGLETRANSLATE(G9501, ""en"", ""te""),"""")"),"")</f>
        <v/>
      </c>
      <c r="I9501" s="3"/>
    </row>
    <row r="9502" customHeight="1" spans="1:9">
      <c r="A9502" s="2" t="s">
        <v>5450</v>
      </c>
      <c r="B9502" s="2" t="str">
        <f>IFERROR(__xludf.DUMMYFUNCTION("IF(A9502&lt;&gt;"""", GOOGLETRANSLATE(A9502, ""en"", ""te""),"""")"),"[ 'తొలి హండ్రెడ్ (119)', 'ఒకే మైదానంలో 10 వ అత్యధిక పరుగులు (1892)', '5000 పరుగులు మరియు 50 ఫీల్డింగ్ వికెట్లు', '5 వ అత్యధిక భాగస్వామ్యం' 4 వ పిన్న ఆటగాడు వంద (17y 352d) స్కోర్ ' ఎనిమిదవ వికెట్కు (104) ',' 1 వ అత్యంత ఇన్నింగ్స్ తొలి డక్ ముందు (61) ',' 8"&amp;" వ ఒకే క్రీడా (3058) లో అత్యధిక పరుగులు ']")</f>
        <v>[ 'తొలి హండ్రెడ్ (119)', 'ఒకే మైదానంలో 10 వ అత్యధిక పరుగులు (1892)', '5000 పరుగులు మరియు 50 ఫీల్డింగ్ వికెట్లు', '5 వ అత్యధిక భాగస్వామ్యం' 4 వ పిన్న ఆటగాడు వంద (17y 352d) స్కోర్ ' ఎనిమిదవ వికెట్కు (104) ',' 1 వ అత్యంత ఇన్నింగ్స్ తొలి డక్ ముందు (61) ',' 8 వ ఒకే క్రీడా (3058) లో అత్యధిక పరుగులు ']</v>
      </c>
      <c r="C9502" s="2" t="s">
        <v>5451</v>
      </c>
      <c r="D9502" s="2" t="str">
        <f>IFERROR(__xludf.DUMMYFUNCTION("IF(C9502&lt;&gt;"""", GOOGLETRANSLATE(C9502, ""en"", ""te""),"""")"),"[ '31 పరాజయం వైపు ఒక మ్యాచ్లో అత్యధిక పరుగులు (219)', '4 వ పిన్న ఆటగాడు వంద (17y 352d) స్కోర్', '35 వ పిన్న క్రీడాకారులు (17y 352d)']")</f>
        <v>[ '31 పరాజయం వైపు ఒక మ్యాచ్లో అత్యధిక పరుగులు (219)', '4 వ పిన్న ఆటగాడు వంద (17y 352d) స్కోర్', '35 వ పిన్న క్రీడాకారులు (17y 352d)']</v>
      </c>
      <c r="E9502" s="2" t="s">
        <v>5452</v>
      </c>
      <c r="F9502" s="2" t="str">
        <f>IFERROR(__xludf.DUMMYFUNCTION("IF(E9502&lt;&gt;"""", GOOGLETRANSLATE(E9502, ""en"", ""te""),"""")"),"[ '29 ఇన్నింగ్స్ లో అత్యధిక పరుగులు (178 *)', '10th ఒకే మైదానంలో అత్యధిక పరుగులు (1892)', '45 వ కెరీర్ బాతులు (15)', '47 వ కెరీర్ ఫోర్లు (585)', ' 13 వ లాంగెస్ట్ వ్యక్తిగత ఇన్నింగ్స్ (బంతులతో) (167) ',' మొదటి వికెట్కు 26 అత్యధిక భాగస్వామ్యం (224) ఎనిమిదో"&amp;" వికెట్కు ',' 5 వ అత్యధిక భాగస్వామ్యం (104) ',' 18 వ లాంగెస్ట్ కెరీర్లు (17y 287d) ',' 30 వ పిన్న కాప్టెన్ (24y 171d) ']")</f>
        <v>[ '29 ఇన్నింగ్స్ లో అత్యధిక పరుగులు (178 *)', '10th ఒకే మైదానంలో అత్యధిక పరుగులు (1892)', '45 వ కెరీర్ బాతులు (15)', '47 వ కెరీర్ ఫోర్లు (585)', ' 13 వ లాంగెస్ట్ వ్యక్తిగత ఇన్నింగ్స్ (బంతులతో) (167) ',' మొదటి వికెట్కు 26 అత్యధిక భాగస్వామ్యం (224) ఎనిమిదో వికెట్కు ',' 5 వ అత్యధిక భాగస్వామ్యం (104) ',' 18 వ లాంగెస్ట్ కెరీర్లు (17y 287d) ',' 30 వ పిన్న కాప్టెన్ (24y 171d) ']</v>
      </c>
      <c r="G9502" s="2" t="s">
        <v>5453</v>
      </c>
      <c r="H9502" s="2" t="str">
        <f>IFERROR(__xludf.DUMMYFUNCTION("IF(G9502&lt;&gt;"""", GOOGLETRANSLATE(G9502, ""en"", ""te""),"""")"),"[ '25 వ కెరీర్ లో అత్యధిక పరుగులు (1662)', '36 వ ఒక క్యాలెండర్ సంవత్సరంలో అత్యధిక పరుగులు (411)', '40 వ పరాజయం వైపు ఒక మ్యాచ్లో అత్యధిక పరుగులు (79)', '50th ఒకే మైదానంలో అత్యధిక పరుగులు ( 266) ',' 20 వ కెరీర్ అర్ధ (11) ',' 1 వ అత్యంత ఇన్నింగ్స్ తొలి డక్"&amp;" ముందు (61) ',' ఒక డక్ లేకుండా 7 వ అత్యధిక వరుస ఇన్నింగ్స్ (61) ',' 4 వ అతి తక్కువ బాతులు కెరీర్ లో (66) ' '27 కెరీర్లో ఎక్కువ సిక్స్ (65)', '21 వ అత్యంత ఫోర్లు కెరీర్లో (151) ',' 29th లాంగెస్ట్ వ్యక్తిగత ఇన్నింగ్స్ (బంతులతో) (63) ',' 19 వ 1000 పరుగులు (3"&amp;"8) వేగంగా ',' 40 వ కెరీర్లో అత్యధిక క్యాచ్లు (25) ',' 15 వ ఇన్నింగ్స్ (3) ',' ఆరవ వికెట్కు 14 అత్యధిక భాగస్వామ్యం (77) ',' 42 వ కెరీర్ లో అత్యధిక మ్యాచ్లు (66) ',' 22 వ అత్యధిక వరుస మ్యాచ్లలో అత్యధిక క్యాచ్లు ఒక జట్టు (38) ',' 19 వ లాంగెస్ట్ కెరీర్లు (12y"&amp;" 296d) ',' 35 వ అత్యధిక మ్యాచ్లు కెప్టెన్గా (19) ']")</f>
        <v>[ '25 వ కెరీర్ లో అత్యధిక పరుగులు (1662)', '36 వ ఒక క్యాలెండర్ సంవత్సరంలో అత్యధిక పరుగులు (411)', '40 వ పరాజయం వైపు ఒక మ్యాచ్లో అత్యధిక పరుగులు (79)', '50th ఒకే మైదానంలో అత్యధిక పరుగులు ( 266) ',' 20 వ కెరీర్ అర్ధ (11) ',' 1 వ అత్యంత ఇన్నింగ్స్ తొలి డక్ ముందు (61) ',' ఒక డక్ లేకుండా 7 వ అత్యధిక వరుస ఇన్నింగ్స్ (61) ',' 4 వ అతి తక్కువ బాతులు కెరీర్ లో (66) ' '27 కెరీర్లో ఎక్కువ సిక్స్ (65)', '21 వ అత్యంత ఫోర్లు కెరీర్లో (151) ',' 29th లాంగెస్ట్ వ్యక్తిగత ఇన్నింగ్స్ (బంతులతో) (63) ',' 19 వ 1000 పరుగులు (38) వేగంగా ',' 40 వ కెరీర్లో అత్యధిక క్యాచ్లు (25) ',' 15 వ ఇన్నింగ్స్ (3) ',' ఆరవ వికెట్కు 14 అత్యధిక భాగస్వామ్యం (77) ',' 42 వ కెరీర్ లో అత్యధిక మ్యాచ్లు (66) ',' 22 వ అత్యధిక వరుస మ్యాచ్లలో అత్యధిక క్యాచ్లు ఒక జట్టు (38) ',' 19 వ లాంగెస్ట్ కెరీర్లు (12y 296d) ',' 35 వ అత్యధిక మ్యాచ్లు కెప్టెన్గా (19) ']</v>
      </c>
      <c r="I9502" s="3"/>
    </row>
    <row r="9503" customHeight="1" spans="1:9">
      <c r="A9503" s="2"/>
      <c r="B9503" s="2" t="str">
        <f>IFERROR(__xludf.DUMMYFUNCTION("IF(A9503&lt;&gt;"""", GOOGLETRANSLATE(A9503, ""en"", ""te""),"""")"),"")</f>
        <v/>
      </c>
      <c r="C9503" s="2"/>
      <c r="D9503" s="2" t="str">
        <f>IFERROR(__xludf.DUMMYFUNCTION("IF(C9503&lt;&gt;"""", GOOGLETRANSLATE(C9503, ""en"", ""te""),"""")"),"")</f>
        <v/>
      </c>
      <c r="E9503" s="2"/>
      <c r="F9503" s="2" t="str">
        <f>IFERROR(__xludf.DUMMYFUNCTION("IF(E9503&lt;&gt;"""", GOOGLETRANSLATE(E9503, ""en"", ""te""),"""")"),"")</f>
        <v/>
      </c>
      <c r="G9503" s="2"/>
      <c r="H9503" s="2" t="str">
        <f>IFERROR(__xludf.DUMMYFUNCTION("IF(G9503&lt;&gt;"""", GOOGLETRANSLATE(G9503, ""en"", ""te""),"""")"),"")</f>
        <v/>
      </c>
      <c r="I9503" s="3"/>
    </row>
    <row r="9504" customHeight="1" spans="1:9">
      <c r="A9504" s="2"/>
      <c r="B9504" s="2" t="str">
        <f>IFERROR(__xludf.DUMMYFUNCTION("IF(A9504&lt;&gt;"""", GOOGLETRANSLATE(A9504, ""en"", ""te""),"""")"),"")</f>
        <v/>
      </c>
      <c r="C9504" s="2"/>
      <c r="D9504" s="2" t="str">
        <f>IFERROR(__xludf.DUMMYFUNCTION("IF(C9504&lt;&gt;"""", GOOGLETRANSLATE(C9504, ""en"", ""te""),"""")"),"")</f>
        <v/>
      </c>
      <c r="E9504" s="2"/>
      <c r="F9504" s="2" t="str">
        <f>IFERROR(__xludf.DUMMYFUNCTION("IF(E9504&lt;&gt;"""", GOOGLETRANSLATE(E9504, ""en"", ""te""),"""")"),"")</f>
        <v/>
      </c>
      <c r="G9504" s="2"/>
      <c r="H9504" s="2" t="str">
        <f>IFERROR(__xludf.DUMMYFUNCTION("IF(G9504&lt;&gt;"""", GOOGLETRANSLATE(G9504, ""en"", ""te""),"""")"),"")</f>
        <v/>
      </c>
      <c r="I9504" s="3"/>
    </row>
    <row r="9505" customHeight="1" spans="1:9">
      <c r="A9505" s="2"/>
      <c r="B9505" s="2" t="str">
        <f>IFERROR(__xludf.DUMMYFUNCTION("IF(A9505&lt;&gt;"""", GOOGLETRANSLATE(A9505, ""en"", ""te""),"""")"),"")</f>
        <v/>
      </c>
      <c r="C9505" s="2"/>
      <c r="D9505" s="2" t="str">
        <f>IFERROR(__xludf.DUMMYFUNCTION("IF(C9505&lt;&gt;"""", GOOGLETRANSLATE(C9505, ""en"", ""te""),"""")"),"")</f>
        <v/>
      </c>
      <c r="E9505" s="2"/>
      <c r="F9505" s="2" t="str">
        <f>IFERROR(__xludf.DUMMYFUNCTION("IF(E9505&lt;&gt;"""", GOOGLETRANSLATE(E9505, ""en"", ""te""),"""")"),"")</f>
        <v/>
      </c>
      <c r="G9505" s="2"/>
      <c r="H9505" s="2" t="str">
        <f>IFERROR(__xludf.DUMMYFUNCTION("IF(G9505&lt;&gt;"""", GOOGLETRANSLATE(G9505, ""en"", ""te""),"""")"),"")</f>
        <v/>
      </c>
      <c r="I9505" s="3"/>
    </row>
    <row r="9506" customHeight="1" spans="1:9">
      <c r="A9506" s="2"/>
      <c r="B9506" s="2" t="str">
        <f>IFERROR(__xludf.DUMMYFUNCTION("IF(A9506&lt;&gt;"""", GOOGLETRANSLATE(A9506, ""en"", ""te""),"""")"),"")</f>
        <v/>
      </c>
      <c r="C9506" s="2"/>
      <c r="D9506" s="2" t="str">
        <f>IFERROR(__xludf.DUMMYFUNCTION("IF(C9506&lt;&gt;"""", GOOGLETRANSLATE(C9506, ""en"", ""te""),"""")"),"")</f>
        <v/>
      </c>
      <c r="E9506" s="2"/>
      <c r="F9506" s="2" t="str">
        <f>IFERROR(__xludf.DUMMYFUNCTION("IF(E9506&lt;&gt;"""", GOOGLETRANSLATE(E9506, ""en"", ""te""),"""")"),"")</f>
        <v/>
      </c>
      <c r="G9506" s="2"/>
      <c r="H9506" s="2" t="str">
        <f>IFERROR(__xludf.DUMMYFUNCTION("IF(G9506&lt;&gt;"""", GOOGLETRANSLATE(G9506, ""en"", ""te""),"""")"),"")</f>
        <v/>
      </c>
      <c r="I9506" s="3"/>
    </row>
    <row r="9507" customHeight="1" spans="1:9">
      <c r="A9507" s="2"/>
      <c r="B9507" s="2" t="str">
        <f>IFERROR(__xludf.DUMMYFUNCTION("IF(A9507&lt;&gt;"""", GOOGLETRANSLATE(A9507, ""en"", ""te""),"""")"),"")</f>
        <v/>
      </c>
      <c r="C9507" s="2"/>
      <c r="D9507" s="2" t="str">
        <f>IFERROR(__xludf.DUMMYFUNCTION("IF(C9507&lt;&gt;"""", GOOGLETRANSLATE(C9507, ""en"", ""te""),"""")"),"")</f>
        <v/>
      </c>
      <c r="E9507" s="2"/>
      <c r="F9507" s="2" t="str">
        <f>IFERROR(__xludf.DUMMYFUNCTION("IF(E9507&lt;&gt;"""", GOOGLETRANSLATE(E9507, ""en"", ""te""),"""")"),"")</f>
        <v/>
      </c>
      <c r="G9507" s="2"/>
      <c r="H9507" s="2" t="str">
        <f>IFERROR(__xludf.DUMMYFUNCTION("IF(G9507&lt;&gt;"""", GOOGLETRANSLATE(G9507, ""en"", ""te""),"""")"),"")</f>
        <v/>
      </c>
      <c r="I9507" s="3"/>
    </row>
    <row r="9508" customHeight="1" spans="1:9">
      <c r="A9508" s="2"/>
      <c r="B9508" s="2" t="str">
        <f>IFERROR(__xludf.DUMMYFUNCTION("IF(A9508&lt;&gt;"""", GOOGLETRANSLATE(A9508, ""en"", ""te""),"""")"),"")</f>
        <v/>
      </c>
      <c r="C9508" s="2"/>
      <c r="D9508" s="2" t="str">
        <f>IFERROR(__xludf.DUMMYFUNCTION("IF(C9508&lt;&gt;"""", GOOGLETRANSLATE(C9508, ""en"", ""te""),"""")"),"")</f>
        <v/>
      </c>
      <c r="E9508" s="2"/>
      <c r="F9508" s="2" t="str">
        <f>IFERROR(__xludf.DUMMYFUNCTION("IF(E9508&lt;&gt;"""", GOOGLETRANSLATE(E9508, ""en"", ""te""),"""")"),"")</f>
        <v/>
      </c>
      <c r="G9508" s="2"/>
      <c r="H9508" s="2" t="str">
        <f>IFERROR(__xludf.DUMMYFUNCTION("IF(G9508&lt;&gt;"""", GOOGLETRANSLATE(G9508, ""en"", ""te""),"""")"),"")</f>
        <v/>
      </c>
      <c r="I9508" s="3"/>
    </row>
    <row r="9509" customHeight="1" spans="1:9">
      <c r="A9509" s="2" t="s">
        <v>5454</v>
      </c>
      <c r="B9509" s="2" t="str">
        <f>IFERROR(__xludf.DUMMYFUNCTION("IF(A9509&lt;&gt;"""", GOOGLETRANSLATE(A9509, ""en"", ""te""),"""")"),"[ '4 వ అత్యంత ఇన్నింగ్స్ లో నడుస్తుంది (బ్యాటింగ్ స్థానం) (25)']")</f>
        <v>[ '4 వ అత్యంత ఇన్నింగ్స్ లో నడుస్తుంది (బ్యాటింగ్ స్థానం) (25)']</v>
      </c>
      <c r="C9509" s="2"/>
      <c r="D9509" s="2" t="str">
        <f>IFERROR(__xludf.DUMMYFUNCTION("IF(C9509&lt;&gt;"""", GOOGLETRANSLATE(C9509, ""en"", ""te""),"""")"),"")</f>
        <v/>
      </c>
      <c r="E9509" s="2"/>
      <c r="F9509" s="2" t="str">
        <f>IFERROR(__xludf.DUMMYFUNCTION("IF(E9509&lt;&gt;"""", GOOGLETRANSLATE(E9509, ""en"", ""te""),"""")"),"")</f>
        <v/>
      </c>
      <c r="G9509" s="2" t="s">
        <v>5455</v>
      </c>
      <c r="H9509" s="2" t="str">
        <f>IFERROR(__xludf.DUMMYFUNCTION("IF(G9509&lt;&gt;"""", GOOGLETRANSLATE(G9509, ""en"", ""te""),"""")"),"[ '4 వ ఎక్కువ (బ్యాటింగ్ స్థానంలో ద్వారా) ఒక ఇన్నింగ్స్ లో నడుస్తుంది (25)', 'పదవ వికెట్కు 19 అత్యధిక భాగస్వామ్యం (22)']")</f>
        <v>[ '4 వ ఎక్కువ (బ్యాటింగ్ స్థానంలో ద్వారా) ఒక ఇన్నింగ్స్ లో నడుస్తుంది (25)', 'పదవ వికెట్కు 19 అత్యధిక భాగస్వామ్యం (22)']</v>
      </c>
      <c r="I9509" s="3"/>
    </row>
    <row r="9510" customHeight="1" spans="1:9">
      <c r="A9510" s="2" t="s">
        <v>5456</v>
      </c>
      <c r="B9510" s="2" t="str">
        <f>IFERROR(__xludf.DUMMYFUNCTION("IF(A9510&lt;&gt;"""", GOOGLETRANSLATE(A9510, ""en"", ""te""),"""")"),"[ '6 వ అత్యధిక వరుస బాతులు (3)', '1 వ అత్యధిక వికెట్లు తీసిన హిట్ వికెట్ (1)']")</f>
        <v>[ '6 వ అత్యధిక వరుస బాతులు (3)', '1 వ అత్యధిక వికెట్లు తీసిన హిట్ వికెట్ (1)']</v>
      </c>
      <c r="C9510" s="2"/>
      <c r="D9510" s="2" t="str">
        <f>IFERROR(__xludf.DUMMYFUNCTION("IF(C9510&lt;&gt;"""", GOOGLETRANSLATE(C9510, ""en"", ""te""),"""")"),"")</f>
        <v/>
      </c>
      <c r="E9510" s="2" t="s">
        <v>749</v>
      </c>
      <c r="F9510" s="2" t="str">
        <f>IFERROR(__xludf.DUMMYFUNCTION("IF(E9510&lt;&gt;"""", GOOGLETRANSLATE(E9510, ""en"", ""te""),"""")"),"[ '6 వ అత్యధిక వరుస బాతులు (3)']")</f>
        <v>[ '6 వ అత్యధిక వరుస బాతులు (3)']</v>
      </c>
      <c r="G9510" s="2" t="s">
        <v>5457</v>
      </c>
      <c r="H9510" s="2" t="str">
        <f>IFERROR(__xludf.DUMMYFUNCTION("IF(G9510&lt;&gt;"""", GOOGLETRANSLATE(G9510, ""en"", ""te""),"""")"),"[ '17 వ బౌలర్ / బ్యాట్స్ కలయికలు (3)', '33 వ అత్యధిక వికెట్లు ఒక వికెట్ కీపర్ చే కాట్ తీసుకున్న (6)', '1 వ అత్యధిక వికెట్లు తీసిన హిట్ వికెట్ (1)']")</f>
        <v>[ '17 వ బౌలర్ / బ్యాట్స్ కలయికలు (3)', '33 వ అత్యధిక వికెట్లు ఒక వికెట్ కీపర్ చే కాట్ తీసుకున్న (6)', '1 వ అత్యధిక వికెట్లు తీసిన హిట్ వికెట్ (1)']</v>
      </c>
      <c r="I9510" s="3"/>
    </row>
    <row r="9511" customHeight="1" spans="1:9">
      <c r="A9511" s="2"/>
      <c r="B9511" s="2" t="str">
        <f>IFERROR(__xludf.DUMMYFUNCTION("IF(A9511&lt;&gt;"""", GOOGLETRANSLATE(A9511, ""en"", ""te""),"""")"),"")</f>
        <v/>
      </c>
      <c r="C9511" s="2"/>
      <c r="D9511" s="2" t="str">
        <f>IFERROR(__xludf.DUMMYFUNCTION("IF(C9511&lt;&gt;"""", GOOGLETRANSLATE(C9511, ""en"", ""te""),"""")"),"")</f>
        <v/>
      </c>
      <c r="E9511" s="2"/>
      <c r="F9511" s="2" t="str">
        <f>IFERROR(__xludf.DUMMYFUNCTION("IF(E9511&lt;&gt;"""", GOOGLETRANSLATE(E9511, ""en"", ""te""),"""")"),"")</f>
        <v/>
      </c>
      <c r="G9511" s="2"/>
      <c r="H9511" s="2" t="str">
        <f>IFERROR(__xludf.DUMMYFUNCTION("IF(G9511&lt;&gt;"""", GOOGLETRANSLATE(G9511, ""en"", ""te""),"""")"),"")</f>
        <v/>
      </c>
      <c r="I9511" s="3"/>
    </row>
    <row r="9512" customHeight="1" spans="1:9">
      <c r="A9512" s="2"/>
      <c r="B9512" s="2" t="str">
        <f>IFERROR(__xludf.DUMMYFUNCTION("IF(A9512&lt;&gt;"""", GOOGLETRANSLATE(A9512, ""en"", ""te""),"""")"),"")</f>
        <v/>
      </c>
      <c r="C9512" s="2"/>
      <c r="D9512" s="2" t="str">
        <f>IFERROR(__xludf.DUMMYFUNCTION("IF(C9512&lt;&gt;"""", GOOGLETRANSLATE(C9512, ""en"", ""te""),"""")"),"")</f>
        <v/>
      </c>
      <c r="E9512" s="2"/>
      <c r="F9512" s="2" t="str">
        <f>IFERROR(__xludf.DUMMYFUNCTION("IF(E9512&lt;&gt;"""", GOOGLETRANSLATE(E9512, ""en"", ""te""),"""")"),"")</f>
        <v/>
      </c>
      <c r="G9512" s="2"/>
      <c r="H9512" s="2" t="str">
        <f>IFERROR(__xludf.DUMMYFUNCTION("IF(G9512&lt;&gt;"""", GOOGLETRANSLATE(G9512, ""en"", ""te""),"""")"),"")</f>
        <v/>
      </c>
      <c r="I9512" s="3"/>
    </row>
    <row r="9513" customHeight="1" spans="1:9">
      <c r="A9513" s="2"/>
      <c r="B9513" s="2" t="str">
        <f>IFERROR(__xludf.DUMMYFUNCTION("IF(A9513&lt;&gt;"""", GOOGLETRANSLATE(A9513, ""en"", ""te""),"""")"),"")</f>
        <v/>
      </c>
      <c r="C9513" s="2"/>
      <c r="D9513" s="2" t="str">
        <f>IFERROR(__xludf.DUMMYFUNCTION("IF(C9513&lt;&gt;"""", GOOGLETRANSLATE(C9513, ""en"", ""te""),"""")"),"")</f>
        <v/>
      </c>
      <c r="E9513" s="2"/>
      <c r="F9513" s="2" t="str">
        <f>IFERROR(__xludf.DUMMYFUNCTION("IF(E9513&lt;&gt;"""", GOOGLETRANSLATE(E9513, ""en"", ""te""),"""")"),"")</f>
        <v/>
      </c>
      <c r="G9513" s="2" t="s">
        <v>5458</v>
      </c>
      <c r="H9513" s="2" t="str">
        <f>IFERROR(__xludf.DUMMYFUNCTION("IF(G9513&lt;&gt;"""", GOOGLETRANSLATE(G9513, ""en"", ""te""),"""")"),"[ '31 లేవు కెరీర్లో బాతులు (19)', 'ఎనిమిదవ వికెట్కు 11 వ అత్యధిక భాగస్వామ్యం (53)']")</f>
        <v>[ '31 లేవు కెరీర్లో బాతులు (19)', 'ఎనిమిదవ వికెట్కు 11 వ అత్యధిక భాగస్వామ్యం (53)']</v>
      </c>
      <c r="I9513" s="3"/>
    </row>
    <row r="9514" customHeight="1" spans="1:9">
      <c r="A9514" s="2" t="s">
        <v>5459</v>
      </c>
      <c r="B9514" s="2" t="str">
        <f>IFERROR(__xludf.DUMMYFUNCTION("IF(A9514&lt;&gt;"""", GOOGLETRANSLATE(A9514, ""en"", ""te""),"""")"),"[ '5 వ షార్టేస్ట్ క్రీడాకారులు (24y 201d) నివసించారు']")</f>
        <v>[ '5 వ షార్టేస్ట్ క్రీడాకారులు (24y 201d) నివసించారు']</v>
      </c>
      <c r="C9514" s="2" t="s">
        <v>5459</v>
      </c>
      <c r="D9514" s="2" t="str">
        <f>IFERROR(__xludf.DUMMYFUNCTION("IF(C9514&lt;&gt;"""", GOOGLETRANSLATE(C9514, ""en"", ""te""),"""")"),"[ '5 వ షార్టేస్ట్ క్రీడాకారులు (24y 201d) నివసించారు']")</f>
        <v>[ '5 వ షార్టేస్ట్ క్రీడాకారులు (24y 201d) నివసించారు']</v>
      </c>
      <c r="E9514" s="2" t="s">
        <v>5460</v>
      </c>
      <c r="F9514" s="2" t="str">
        <f>IFERROR(__xludf.DUMMYFUNCTION("IF(E9514&lt;&gt;"""", GOOGLETRANSLATE(E9514, ""en"", ""te""),"""")"),"[ '4 వ షార్టేస్ట్ క్రీడాకారులు (24y 201d) నివసించారు']")</f>
        <v>[ '4 వ షార్టేస్ట్ క్రీడాకారులు (24y 201d) నివసించారు']</v>
      </c>
      <c r="G9514" s="2"/>
      <c r="H9514" s="2" t="str">
        <f>IFERROR(__xludf.DUMMYFUNCTION("IF(G9514&lt;&gt;"""", GOOGLETRANSLATE(G9514, ""en"", ""te""),"""")"),"")</f>
        <v/>
      </c>
      <c r="I9514" s="3"/>
    </row>
    <row r="9515" customHeight="1" spans="1:9">
      <c r="A9515" s="2"/>
      <c r="B9515" s="2" t="str">
        <f>IFERROR(__xludf.DUMMYFUNCTION("IF(A9515&lt;&gt;"""", GOOGLETRANSLATE(A9515, ""en"", ""te""),"""")"),"")</f>
        <v/>
      </c>
      <c r="C9515" s="2"/>
      <c r="D9515" s="2" t="str">
        <f>IFERROR(__xludf.DUMMYFUNCTION("IF(C9515&lt;&gt;"""", GOOGLETRANSLATE(C9515, ""en"", ""te""),"""")"),"")</f>
        <v/>
      </c>
      <c r="E9515" s="2"/>
      <c r="F9515" s="2" t="str">
        <f>IFERROR(__xludf.DUMMYFUNCTION("IF(E9515&lt;&gt;"""", GOOGLETRANSLATE(E9515, ""en"", ""te""),"""")"),"")</f>
        <v/>
      </c>
      <c r="G9515" s="2"/>
      <c r="H9515" s="2" t="str">
        <f>IFERROR(__xludf.DUMMYFUNCTION("IF(G9515&lt;&gt;"""", GOOGLETRANSLATE(G9515, ""en"", ""te""),"""")"),"")</f>
        <v/>
      </c>
      <c r="I9515" s="3"/>
    </row>
    <row r="9516" customHeight="1" spans="1:9">
      <c r="A9516" s="2"/>
      <c r="B9516" s="2" t="str">
        <f>IFERROR(__xludf.DUMMYFUNCTION("IF(A9516&lt;&gt;"""", GOOGLETRANSLATE(A9516, ""en"", ""te""),"""")"),"")</f>
        <v/>
      </c>
      <c r="C9516" s="2"/>
      <c r="D9516" s="2" t="str">
        <f>IFERROR(__xludf.DUMMYFUNCTION("IF(C9516&lt;&gt;"""", GOOGLETRANSLATE(C9516, ""en"", ""te""),"""")"),"")</f>
        <v/>
      </c>
      <c r="E9516" s="2"/>
      <c r="F9516" s="2" t="str">
        <f>IFERROR(__xludf.DUMMYFUNCTION("IF(E9516&lt;&gt;"""", GOOGLETRANSLATE(E9516, ""en"", ""te""),"""")"),"")</f>
        <v/>
      </c>
      <c r="G9516" s="2"/>
      <c r="H9516" s="2" t="str">
        <f>IFERROR(__xludf.DUMMYFUNCTION("IF(G9516&lt;&gt;"""", GOOGLETRANSLATE(G9516, ""en"", ""te""),"""")"),"")</f>
        <v/>
      </c>
      <c r="I9516" s="3"/>
    </row>
    <row r="9517" customHeight="1" spans="1:9">
      <c r="A9517" s="2"/>
      <c r="B9517" s="2" t="str">
        <f>IFERROR(__xludf.DUMMYFUNCTION("IF(A9517&lt;&gt;"""", GOOGLETRANSLATE(A9517, ""en"", ""te""),"""")"),"")</f>
        <v/>
      </c>
      <c r="C9517" s="2"/>
      <c r="D9517" s="2" t="str">
        <f>IFERROR(__xludf.DUMMYFUNCTION("IF(C9517&lt;&gt;"""", GOOGLETRANSLATE(C9517, ""en"", ""te""),"""")"),"")</f>
        <v/>
      </c>
      <c r="E9517" s="2"/>
      <c r="F9517" s="2" t="str">
        <f>IFERROR(__xludf.DUMMYFUNCTION("IF(E9517&lt;&gt;"""", GOOGLETRANSLATE(E9517, ""en"", ""te""),"""")"),"")</f>
        <v/>
      </c>
      <c r="G9517" s="2" t="s">
        <v>5461</v>
      </c>
      <c r="H9517" s="2" t="str">
        <f>IFERROR(__xludf.DUMMYFUNCTION("IF(G9517&lt;&gt;"""", GOOGLETRANSLATE(G9517, ""en"", ""te""),"""")"),"[ '25 వ ఇన్నింగ్స్ లో అత్యధిక పరుగులు (బ్యాటింగ్ స్థానంలో ప్రకారం) (60)', 'కెరీర్లో 22 వ లేవు బాతులు (11)', 'ఐదవ వికెట్కు 49 వ అత్యధిక భాగస్వామ్యం (50)', '33 వ అత్యంత కెప్టెన్గా మ్యాచ్లు (14 ) ']")</f>
        <v>[ '25 వ ఇన్నింగ్స్ లో అత్యధిక పరుగులు (బ్యాటింగ్ స్థానంలో ప్రకారం) (60)', 'కెరీర్లో 22 వ లేవు బాతులు (11)', 'ఐదవ వికెట్కు 49 వ అత్యధిక భాగస్వామ్యం (50)', '33 వ అత్యంత కెప్టెన్గా మ్యాచ్లు (14 ) ']</v>
      </c>
      <c r="I9517" s="3"/>
    </row>
    <row r="9518" customHeight="1" spans="1:9">
      <c r="A9518" s="2"/>
      <c r="B9518" s="2" t="str">
        <f>IFERROR(__xludf.DUMMYFUNCTION("IF(A9518&lt;&gt;"""", GOOGLETRANSLATE(A9518, ""en"", ""te""),"""")"),"")</f>
        <v/>
      </c>
      <c r="C9518" s="2"/>
      <c r="D9518" s="2" t="str">
        <f>IFERROR(__xludf.DUMMYFUNCTION("IF(C9518&lt;&gt;"""", GOOGLETRANSLATE(C9518, ""en"", ""te""),"""")"),"")</f>
        <v/>
      </c>
      <c r="E9518" s="2"/>
      <c r="F9518" s="2" t="str">
        <f>IFERROR(__xludf.DUMMYFUNCTION("IF(E9518&lt;&gt;"""", GOOGLETRANSLATE(E9518, ""en"", ""te""),"""")"),"")</f>
        <v/>
      </c>
      <c r="G9518" s="2"/>
      <c r="H9518" s="2" t="str">
        <f>IFERROR(__xludf.DUMMYFUNCTION("IF(G9518&lt;&gt;"""", GOOGLETRANSLATE(G9518, ""en"", ""te""),"""")"),"")</f>
        <v/>
      </c>
      <c r="I9518" s="3"/>
    </row>
    <row r="9519" customHeight="1" spans="1:9">
      <c r="A9519" s="2"/>
      <c r="B9519" s="2" t="str">
        <f>IFERROR(__xludf.DUMMYFUNCTION("IF(A9519&lt;&gt;"""", GOOGLETRANSLATE(A9519, ""en"", ""te""),"""")"),"")</f>
        <v/>
      </c>
      <c r="C9519" s="2"/>
      <c r="D9519" s="2" t="str">
        <f>IFERROR(__xludf.DUMMYFUNCTION("IF(C9519&lt;&gt;"""", GOOGLETRANSLATE(C9519, ""en"", ""te""),"""")"),"")</f>
        <v/>
      </c>
      <c r="E9519" s="2"/>
      <c r="F9519" s="2" t="str">
        <f>IFERROR(__xludf.DUMMYFUNCTION("IF(E9519&lt;&gt;"""", GOOGLETRANSLATE(E9519, ""en"", ""te""),"""")"),"")</f>
        <v/>
      </c>
      <c r="G9519" s="2"/>
      <c r="H9519" s="2" t="str">
        <f>IFERROR(__xludf.DUMMYFUNCTION("IF(G9519&lt;&gt;"""", GOOGLETRANSLATE(G9519, ""en"", ""te""),"""")"),"")</f>
        <v/>
      </c>
      <c r="I9519" s="3"/>
    </row>
    <row r="9520" customHeight="1" spans="1:9">
      <c r="A9520" s="2" t="s">
        <v>5462</v>
      </c>
      <c r="B9520" s="2" t="str">
        <f>IFERROR(__xludf.DUMMYFUNCTION("IF(A9520&lt;&gt;"""", GOOGLETRANSLATE(A9520, ""en"", ""te""),"""")"),"[ '4 వ అత్యధిక వరుస బాతులు (4)', '1st చెత్త కెరీర్లో సమ్మె రేటు (124.4)', '4 వ అత్యధిక వరుస బాతులు (4)']")</f>
        <v>[ '4 వ అత్యధిక వరుస బాతులు (4)', '1st చెత్త కెరీర్లో సమ్మె రేటు (124.4)', '4 వ అత్యధిక వరుస బాతులు (4)']</v>
      </c>
      <c r="C9520" s="2" t="s">
        <v>323</v>
      </c>
      <c r="D9520" s="2" t="str">
        <f>IFERROR(__xludf.DUMMYFUNCTION("IF(C9520&lt;&gt;"""", GOOGLETRANSLATE(C9520, ""en"", ""te""),"""")"),"[ '4 వ అత్యధిక వరుస బాతులు (4)']")</f>
        <v>[ '4 వ అత్యధిక వరుస బాతులు (4)']</v>
      </c>
      <c r="E9520" s="2" t="s">
        <v>5463</v>
      </c>
      <c r="F9520" s="2" t="str">
        <f>IFERROR(__xludf.DUMMYFUNCTION("IF(E9520&lt;&gt;"""", GOOGLETRANSLATE(E9520, ""en"", ""te""),"""")"),"[ '1st చెత్త కెరీర్ బౌలింగ్ సరాసరి (103.63)', '1st చెత్త కెరీర్లో సమ్మె రేటు (124.4)', '50th చెత్త కెరీర్ బౌలింగ్ సరాసరి (అర్హత లేకుండా) (103.63)']")</f>
        <v>[ '1st చెత్త కెరీర్ బౌలింగ్ సరాసరి (103.63)', '1st చెత్త కెరీర్లో సమ్మె రేటు (124.4)', '50th చెత్త కెరీర్ బౌలింగ్ సరాసరి (అర్హత లేకుండా) (103.63)']</v>
      </c>
      <c r="G9520" s="2"/>
      <c r="H9520" s="2" t="str">
        <f>IFERROR(__xludf.DUMMYFUNCTION("IF(G9520&lt;&gt;"""", GOOGLETRANSLATE(G9520, ""en"", ""te""),"""")"),"")</f>
        <v/>
      </c>
      <c r="I9520" s="3"/>
    </row>
    <row r="9521" customHeight="1" spans="1:9">
      <c r="A9521" s="2"/>
      <c r="B9521" s="2" t="str">
        <f>IFERROR(__xludf.DUMMYFUNCTION("IF(A9521&lt;&gt;"""", GOOGLETRANSLATE(A9521, ""en"", ""te""),"""")"),"")</f>
        <v/>
      </c>
      <c r="C9521" s="2"/>
      <c r="D9521" s="2" t="str">
        <f>IFERROR(__xludf.DUMMYFUNCTION("IF(C9521&lt;&gt;"""", GOOGLETRANSLATE(C9521, ""en"", ""te""),"""")"),"")</f>
        <v/>
      </c>
      <c r="E9521" s="2"/>
      <c r="F9521" s="2" t="str">
        <f>IFERROR(__xludf.DUMMYFUNCTION("IF(E9521&lt;&gt;"""", GOOGLETRANSLATE(E9521, ""en"", ""te""),"""")"),"")</f>
        <v/>
      </c>
      <c r="G9521" s="2"/>
      <c r="H9521" s="2" t="str">
        <f>IFERROR(__xludf.DUMMYFUNCTION("IF(G9521&lt;&gt;"""", GOOGLETRANSLATE(G9521, ""en"", ""te""),"""")"),"")</f>
        <v/>
      </c>
      <c r="I9521" s="3"/>
    </row>
    <row r="9522" customHeight="1" spans="1:9">
      <c r="A9522" s="2"/>
      <c r="B9522" s="2" t="str">
        <f>IFERROR(__xludf.DUMMYFUNCTION("IF(A9522&lt;&gt;"""", GOOGLETRANSLATE(A9522, ""en"", ""te""),"""")"),"")</f>
        <v/>
      </c>
      <c r="C9522" s="2"/>
      <c r="D9522" s="2" t="str">
        <f>IFERROR(__xludf.DUMMYFUNCTION("IF(C9522&lt;&gt;"""", GOOGLETRANSLATE(C9522, ""en"", ""te""),"""")"),"")</f>
        <v/>
      </c>
      <c r="E9522" s="2"/>
      <c r="F9522" s="2" t="str">
        <f>IFERROR(__xludf.DUMMYFUNCTION("IF(E9522&lt;&gt;"""", GOOGLETRANSLATE(E9522, ""en"", ""te""),"""")"),"")</f>
        <v/>
      </c>
      <c r="G9522" s="2" t="s">
        <v>5464</v>
      </c>
      <c r="H9522" s="2" t="str">
        <f>IFERROR(__xludf.DUMMYFUNCTION("IF(G9522&lt;&gt;"""", GOOGLETRANSLATE(G9522, ""en"", ""te""),"""")"),"[ '19 ఇన్నింగ్స్ లో అత్యధిక పరుగులు (బ్యాటింగ్ స్థానంలో ద్వారా) (28)', 'బౌలింగ్ 43 వ చెత్త కెరీర్ సగటు (అర్హత లేకుండా) (68.00)']")</f>
        <v>[ '19 ఇన్నింగ్స్ లో అత్యధిక పరుగులు (బ్యాటింగ్ స్థానంలో ద్వారా) (28)', 'బౌలింగ్ 43 వ చెత్త కెరీర్ సగటు (అర్హత లేకుండా) (68.00)']</v>
      </c>
      <c r="I9522" s="3"/>
    </row>
    <row r="9523" customHeight="1" spans="1:9">
      <c r="A9523" s="2"/>
      <c r="B9523" s="2" t="str">
        <f>IFERROR(__xludf.DUMMYFUNCTION("IF(A9523&lt;&gt;"""", GOOGLETRANSLATE(A9523, ""en"", ""te""),"""")"),"")</f>
        <v/>
      </c>
      <c r="C9523" s="2"/>
      <c r="D9523" s="2" t="str">
        <f>IFERROR(__xludf.DUMMYFUNCTION("IF(C9523&lt;&gt;"""", GOOGLETRANSLATE(C9523, ""en"", ""te""),"""")"),"")</f>
        <v/>
      </c>
      <c r="E9523" s="2"/>
      <c r="F9523" s="2" t="str">
        <f>IFERROR(__xludf.DUMMYFUNCTION("IF(E9523&lt;&gt;"""", GOOGLETRANSLATE(E9523, ""en"", ""te""),"""")"),"")</f>
        <v/>
      </c>
      <c r="G9523" s="2" t="s">
        <v>5465</v>
      </c>
      <c r="H9523" s="2" t="str">
        <f>IFERROR(__xludf.DUMMYFUNCTION("IF(G9523&lt;&gt;"""", GOOGLETRANSLATE(G9523, ""en"", ""te""),"""")"),"[ 'కెరీర్లో 41 వ అత్యంత పనికత్తెలయొద్ద (5)' 'ఇన్నింగ్స్ లో 12 వ అత్యంత పనికత్తెలయొద్ద (2)' '34 వ అత్యుత్తమ విశ్లేషణలు ఇన్నింగ్స్ లో బౌలింగ్ (3/5)',]")</f>
        <v>[ 'కెరీర్లో 41 వ అత్యంత పనికత్తెలయొద్ద (5)' 'ఇన్నింగ్స్ లో 12 వ అత్యంత పనికత్తెలయొద్ద (2)' '34 వ అత్యుత్తమ విశ్లేషణలు ఇన్నింగ్స్ లో బౌలింగ్ (3/5)',]</v>
      </c>
      <c r="I9523" s="3"/>
    </row>
    <row r="9524" customHeight="1" spans="1:9">
      <c r="A9524" s="2"/>
      <c r="B9524" s="2" t="str">
        <f>IFERROR(__xludf.DUMMYFUNCTION("IF(A9524&lt;&gt;"""", GOOGLETRANSLATE(A9524, ""en"", ""te""),"""")"),"")</f>
        <v/>
      </c>
      <c r="C9524" s="2"/>
      <c r="D9524" s="2" t="str">
        <f>IFERROR(__xludf.DUMMYFUNCTION("IF(C9524&lt;&gt;"""", GOOGLETRANSLATE(C9524, ""en"", ""te""),"""")"),"")</f>
        <v/>
      </c>
      <c r="E9524" s="2"/>
      <c r="F9524" s="2" t="str">
        <f>IFERROR(__xludf.DUMMYFUNCTION("IF(E9524&lt;&gt;"""", GOOGLETRANSLATE(E9524, ""en"", ""te""),"""")"),"")</f>
        <v/>
      </c>
      <c r="G9524" s="2"/>
      <c r="H9524" s="2" t="str">
        <f>IFERROR(__xludf.DUMMYFUNCTION("IF(G9524&lt;&gt;"""", GOOGLETRANSLATE(G9524, ""en"", ""te""),"""")"),"")</f>
        <v/>
      </c>
      <c r="I9524" s="3"/>
    </row>
    <row r="9525" customHeight="1" spans="1:9">
      <c r="A9525" s="2" t="s">
        <v>5466</v>
      </c>
      <c r="B9525" s="2" t="str">
        <f>IFERROR(__xludf.DUMMYFUNCTION("IF(A9525&lt;&gt;"""", GOOGLETRANSLATE(A9525, ""en"", ""te""),"""")"),"[ '4 వ ఎక్కువ (56 నాటౌట్) ఒక ఇన్నింగ్స్ లో నడుస్తుంది (బ్యాటింగ్ స్థానం)']")</f>
        <v>[ '4 వ ఎక్కువ (56 నాటౌట్) ఒక ఇన్నింగ్స్ లో నడుస్తుంది (బ్యాటింగ్ స్థానం)']</v>
      </c>
      <c r="C9525" s="2"/>
      <c r="D9525" s="2" t="str">
        <f>IFERROR(__xludf.DUMMYFUNCTION("IF(C9525&lt;&gt;"""", GOOGLETRANSLATE(C9525, ""en"", ""te""),"""")"),"")</f>
        <v/>
      </c>
      <c r="E9525" s="2" t="s">
        <v>5466</v>
      </c>
      <c r="F9525" s="2" t="str">
        <f>IFERROR(__xludf.DUMMYFUNCTION("IF(E9525&lt;&gt;"""", GOOGLETRANSLATE(E9525, ""en"", ""te""),"""")"),"[ '4 వ ఎక్కువ (56 నాటౌట్) ఒక ఇన్నింగ్స్ లో నడుస్తుంది (బ్యాటింగ్ స్థానం)']")</f>
        <v>[ '4 వ ఎక్కువ (56 నాటౌట్) ఒక ఇన్నింగ్స్ లో నడుస్తుంది (బ్యాటింగ్ స్థానం)']</v>
      </c>
      <c r="G9525" s="2"/>
      <c r="H9525" s="2" t="str">
        <f>IFERROR(__xludf.DUMMYFUNCTION("IF(G9525&lt;&gt;"""", GOOGLETRANSLATE(G9525, ""en"", ""te""),"""")"),"")</f>
        <v/>
      </c>
      <c r="I9525" s="3"/>
    </row>
    <row r="9526" customHeight="1" spans="1:9">
      <c r="A9526" s="2"/>
      <c r="B9526" s="2" t="str">
        <f>IFERROR(__xludf.DUMMYFUNCTION("IF(A9526&lt;&gt;"""", GOOGLETRANSLATE(A9526, ""en"", ""te""),"""")"),"")</f>
        <v/>
      </c>
      <c r="C9526" s="2"/>
      <c r="D9526" s="2" t="str">
        <f>IFERROR(__xludf.DUMMYFUNCTION("IF(C9526&lt;&gt;"""", GOOGLETRANSLATE(C9526, ""en"", ""te""),"""")"),"")</f>
        <v/>
      </c>
      <c r="E9526" s="2"/>
      <c r="F9526" s="2" t="str">
        <f>IFERROR(__xludf.DUMMYFUNCTION("IF(E9526&lt;&gt;"""", GOOGLETRANSLATE(E9526, ""en"", ""te""),"""")"),"")</f>
        <v/>
      </c>
      <c r="G9526" s="2"/>
      <c r="H9526" s="2" t="str">
        <f>IFERROR(__xludf.DUMMYFUNCTION("IF(G9526&lt;&gt;"""", GOOGLETRANSLATE(G9526, ""en"", ""te""),"""")"),"")</f>
        <v/>
      </c>
      <c r="I9526" s="3"/>
    </row>
    <row r="9527" customHeight="1" spans="1:9">
      <c r="A9527" s="2"/>
      <c r="B9527" s="2" t="str">
        <f>IFERROR(__xludf.DUMMYFUNCTION("IF(A9527&lt;&gt;"""", GOOGLETRANSLATE(A9527, ""en"", ""te""),"""")"),"")</f>
        <v/>
      </c>
      <c r="C9527" s="2"/>
      <c r="D9527" s="2" t="str">
        <f>IFERROR(__xludf.DUMMYFUNCTION("IF(C9527&lt;&gt;"""", GOOGLETRANSLATE(C9527, ""en"", ""te""),"""")"),"")</f>
        <v/>
      </c>
      <c r="E9527" s="2"/>
      <c r="F9527" s="2" t="str">
        <f>IFERROR(__xludf.DUMMYFUNCTION("IF(E9527&lt;&gt;"""", GOOGLETRANSLATE(E9527, ""en"", ""te""),"""")"),"")</f>
        <v/>
      </c>
      <c r="G9527" s="2"/>
      <c r="H9527" s="2" t="str">
        <f>IFERROR(__xludf.DUMMYFUNCTION("IF(G9527&lt;&gt;"""", GOOGLETRANSLATE(G9527, ""en"", ""te""),"""")"),"")</f>
        <v/>
      </c>
      <c r="I9527" s="3"/>
    </row>
    <row r="9528" customHeight="1" spans="1:9">
      <c r="A9528" s="2" t="s">
        <v>175</v>
      </c>
      <c r="B9528" s="2" t="str">
        <f>IFERROR(__xludf.DUMMYFUNCTION("IF(A9528&lt;&gt;"""", GOOGLETRANSLATE(A9528, ""en"", ""te""),"""")"),"[ 'ఒక సిరీస్లో 6 వ అత్యంత బాతులు (3)']")</f>
        <v>[ 'ఒక సిరీస్లో 6 వ అత్యంత బాతులు (3)']</v>
      </c>
      <c r="C9528" s="2"/>
      <c r="D9528" s="2" t="str">
        <f>IFERROR(__xludf.DUMMYFUNCTION("IF(C9528&lt;&gt;"""", GOOGLETRANSLATE(C9528, ""en"", ""te""),"""")"),"")</f>
        <v/>
      </c>
      <c r="E9528" s="2" t="s">
        <v>5467</v>
      </c>
      <c r="F9528" s="2" t="str">
        <f>IFERROR(__xludf.DUMMYFUNCTION("IF(E9528&lt;&gt;"""", GOOGLETRANSLATE(E9528, ""en"", ""te""),"""")"),"[50 వికెట్లు వేగంగా 24 (28) ',' 6 వ అత్యంత వరుస (3) బాతులు ']")</f>
        <v>[50 వికెట్లు వేగంగా 24 (28) ',' 6 వ అత్యంత వరుస (3) బాతులు ']</v>
      </c>
      <c r="G9528" s="2" t="s">
        <v>5468</v>
      </c>
      <c r="H9528" s="2" t="str">
        <f>IFERROR(__xludf.DUMMYFUNCTION("IF(G9528&lt;&gt;"""", GOOGLETRANSLATE(G9528, ""en"", ""te""),"""")"),"[ '11 వ చెత్త కెరీర్ బౌలింగ్ సరాసరి (అర్హత లేకుండా) (94.00)']")</f>
        <v>[ '11 వ చెత్త కెరీర్ బౌలింగ్ సరాసరి (అర్హత లేకుండా) (94.00)']</v>
      </c>
      <c r="I9528" s="3"/>
    </row>
    <row r="9529" customHeight="1" spans="1:9">
      <c r="A9529" s="2"/>
      <c r="B9529" s="2" t="str">
        <f>IFERROR(__xludf.DUMMYFUNCTION("IF(A9529&lt;&gt;"""", GOOGLETRANSLATE(A9529, ""en"", ""te""),"""")"),"")</f>
        <v/>
      </c>
      <c r="C9529" s="2"/>
      <c r="D9529" s="2" t="str">
        <f>IFERROR(__xludf.DUMMYFUNCTION("IF(C9529&lt;&gt;"""", GOOGLETRANSLATE(C9529, ""en"", ""te""),"""")"),"")</f>
        <v/>
      </c>
      <c r="E9529" s="2" t="s">
        <v>5469</v>
      </c>
      <c r="F9529" s="2" t="str">
        <f>IFERROR(__xludf.DUMMYFUNCTION("IF(E9529&lt;&gt;"""", GOOGLETRANSLATE(E9529, ""en"", ""te""),"""")"),"[ '36 వ చెత్త ఇన్నింగ్స్ లో ఆర్థిక రేటు (11.14)']")</f>
        <v>[ '36 వ చెత్త ఇన్నింగ్స్ లో ఆర్థిక రేటు (11.14)']</v>
      </c>
      <c r="G9529" s="2"/>
      <c r="H9529" s="2" t="str">
        <f>IFERROR(__xludf.DUMMYFUNCTION("IF(G9529&lt;&gt;"""", GOOGLETRANSLATE(G9529, ""en"", ""te""),"""")"),"")</f>
        <v/>
      </c>
      <c r="I9529" s="3"/>
    </row>
    <row r="9530" customHeight="1" spans="1:9">
      <c r="A9530" s="2"/>
      <c r="B9530" s="2" t="str">
        <f>IFERROR(__xludf.DUMMYFUNCTION("IF(A9530&lt;&gt;"""", GOOGLETRANSLATE(A9530, ""en"", ""te""),"""")"),"")</f>
        <v/>
      </c>
      <c r="C9530" s="2"/>
      <c r="D9530" s="2" t="str">
        <f>IFERROR(__xludf.DUMMYFUNCTION("IF(C9530&lt;&gt;"""", GOOGLETRANSLATE(C9530, ""en"", ""te""),"""")"),"")</f>
        <v/>
      </c>
      <c r="E9530" s="2"/>
      <c r="F9530" s="2" t="str">
        <f>IFERROR(__xludf.DUMMYFUNCTION("IF(E9530&lt;&gt;"""", GOOGLETRANSLATE(E9530, ""en"", ""te""),"""")"),"")</f>
        <v/>
      </c>
      <c r="G9530" s="2"/>
      <c r="H9530" s="2" t="str">
        <f>IFERROR(__xludf.DUMMYFUNCTION("IF(G9530&lt;&gt;"""", GOOGLETRANSLATE(G9530, ""en"", ""te""),"""")"),"")</f>
        <v/>
      </c>
      <c r="I9530" s="3"/>
    </row>
    <row r="9531" customHeight="1" spans="1:9">
      <c r="A9531" s="2"/>
      <c r="B9531" s="2" t="str">
        <f>IFERROR(__xludf.DUMMYFUNCTION("IF(A9531&lt;&gt;"""", GOOGLETRANSLATE(A9531, ""en"", ""te""),"""")"),"")</f>
        <v/>
      </c>
      <c r="C9531" s="2"/>
      <c r="D9531" s="2" t="str">
        <f>IFERROR(__xludf.DUMMYFUNCTION("IF(C9531&lt;&gt;"""", GOOGLETRANSLATE(C9531, ""en"", ""te""),"""")"),"")</f>
        <v/>
      </c>
      <c r="E9531" s="2"/>
      <c r="F9531" s="2" t="str">
        <f>IFERROR(__xludf.DUMMYFUNCTION("IF(E9531&lt;&gt;"""", GOOGLETRANSLATE(E9531, ""en"", ""te""),"""")"),"")</f>
        <v/>
      </c>
      <c r="G9531" s="2"/>
      <c r="H9531" s="2" t="str">
        <f>IFERROR(__xludf.DUMMYFUNCTION("IF(G9531&lt;&gt;"""", GOOGLETRANSLATE(G9531, ""en"", ""te""),"""")"),"")</f>
        <v/>
      </c>
      <c r="I9531" s="3"/>
    </row>
    <row r="9532" customHeight="1" spans="1:9">
      <c r="A9532" s="2"/>
      <c r="B9532" s="2" t="str">
        <f>IFERROR(__xludf.DUMMYFUNCTION("IF(A9532&lt;&gt;"""", GOOGLETRANSLATE(A9532, ""en"", ""te""),"""")"),"")</f>
        <v/>
      </c>
      <c r="C9532" s="2"/>
      <c r="D9532" s="2" t="str">
        <f>IFERROR(__xludf.DUMMYFUNCTION("IF(C9532&lt;&gt;"""", GOOGLETRANSLATE(C9532, ""en"", ""te""),"""")"),"")</f>
        <v/>
      </c>
      <c r="E9532" s="2"/>
      <c r="F9532" s="2" t="str">
        <f>IFERROR(__xludf.DUMMYFUNCTION("IF(E9532&lt;&gt;"""", GOOGLETRANSLATE(E9532, ""en"", ""te""),"""")"),"")</f>
        <v/>
      </c>
      <c r="G9532" s="2"/>
      <c r="H9532" s="2" t="str">
        <f>IFERROR(__xludf.DUMMYFUNCTION("IF(G9532&lt;&gt;"""", GOOGLETRANSLATE(G9532, ""en"", ""te""),"""")"),"")</f>
        <v/>
      </c>
      <c r="I9532" s="3"/>
    </row>
    <row r="9533" customHeight="1" spans="1:9">
      <c r="A9533" s="2"/>
      <c r="B9533" s="2" t="str">
        <f>IFERROR(__xludf.DUMMYFUNCTION("IF(A9533&lt;&gt;"""", GOOGLETRANSLATE(A9533, ""en"", ""te""),"""")"),"")</f>
        <v/>
      </c>
      <c r="C9533" s="2"/>
      <c r="D9533" s="2" t="str">
        <f>IFERROR(__xludf.DUMMYFUNCTION("IF(C9533&lt;&gt;"""", GOOGLETRANSLATE(C9533, ""en"", ""te""),"""")"),"")</f>
        <v/>
      </c>
      <c r="E9533" s="2"/>
      <c r="F9533" s="2" t="str">
        <f>IFERROR(__xludf.DUMMYFUNCTION("IF(E9533&lt;&gt;"""", GOOGLETRANSLATE(E9533, ""en"", ""te""),"""")"),"")</f>
        <v/>
      </c>
      <c r="G9533" s="2" t="s">
        <v>5470</v>
      </c>
      <c r="H9533" s="2" t="str">
        <f>IFERROR(__xludf.DUMMYFUNCTION("IF(G9533&lt;&gt;"""", GOOGLETRANSLATE(G9533, ""en"", ""te""),"""")"),"[ 'రెండవ వికెట్కు 40 వ అత్యధిక భాగస్వామ్యం (93)']")</f>
        <v>[ 'రెండవ వికెట్కు 40 వ అత్యధిక భాగస్వామ్యం (93)']</v>
      </c>
      <c r="I9533" s="3"/>
    </row>
    <row r="9534" customHeight="1" spans="1:9">
      <c r="A9534" s="2"/>
      <c r="B9534" s="2" t="str">
        <f>IFERROR(__xludf.DUMMYFUNCTION("IF(A9534&lt;&gt;"""", GOOGLETRANSLATE(A9534, ""en"", ""te""),"""")"),"")</f>
        <v/>
      </c>
      <c r="C9534" s="2"/>
      <c r="D9534" s="2" t="str">
        <f>IFERROR(__xludf.DUMMYFUNCTION("IF(C9534&lt;&gt;"""", GOOGLETRANSLATE(C9534, ""en"", ""te""),"""")"),"")</f>
        <v/>
      </c>
      <c r="E9534" s="2"/>
      <c r="F9534" s="2" t="str">
        <f>IFERROR(__xludf.DUMMYFUNCTION("IF(E9534&lt;&gt;"""", GOOGLETRANSLATE(E9534, ""en"", ""te""),"""")"),"")</f>
        <v/>
      </c>
      <c r="G9534" s="2"/>
      <c r="H9534" s="2" t="str">
        <f>IFERROR(__xludf.DUMMYFUNCTION("IF(G9534&lt;&gt;"""", GOOGLETRANSLATE(G9534, ""en"", ""te""),"""")"),"")</f>
        <v/>
      </c>
      <c r="I9534" s="3"/>
    </row>
    <row r="9535" customHeight="1" spans="1:9">
      <c r="A9535" s="2"/>
      <c r="B9535" s="2" t="str">
        <f>IFERROR(__xludf.DUMMYFUNCTION("IF(A9535&lt;&gt;"""", GOOGLETRANSLATE(A9535, ""en"", ""te""),"""")"),"")</f>
        <v/>
      </c>
      <c r="C9535" s="2"/>
      <c r="D9535" s="2" t="str">
        <f>IFERROR(__xludf.DUMMYFUNCTION("IF(C9535&lt;&gt;"""", GOOGLETRANSLATE(C9535, ""en"", ""te""),"""")"),"")</f>
        <v/>
      </c>
      <c r="E9535" s="2"/>
      <c r="F9535" s="2" t="str">
        <f>IFERROR(__xludf.DUMMYFUNCTION("IF(E9535&lt;&gt;"""", GOOGLETRANSLATE(E9535, ""en"", ""te""),"""")"),"")</f>
        <v/>
      </c>
      <c r="G9535" s="2"/>
      <c r="H9535" s="2" t="str">
        <f>IFERROR(__xludf.DUMMYFUNCTION("IF(G9535&lt;&gt;"""", GOOGLETRANSLATE(G9535, ""en"", ""te""),"""")"),"")</f>
        <v/>
      </c>
      <c r="I9535" s="3"/>
    </row>
    <row r="9536" customHeight="1" spans="1:9">
      <c r="A9536" s="2"/>
      <c r="B9536" s="2" t="str">
        <f>IFERROR(__xludf.DUMMYFUNCTION("IF(A9536&lt;&gt;"""", GOOGLETRANSLATE(A9536, ""en"", ""te""),"""")"),"")</f>
        <v/>
      </c>
      <c r="C9536" s="2"/>
      <c r="D9536" s="2" t="str">
        <f>IFERROR(__xludf.DUMMYFUNCTION("IF(C9536&lt;&gt;"""", GOOGLETRANSLATE(C9536, ""en"", ""te""),"""")"),"")</f>
        <v/>
      </c>
      <c r="E9536" s="2"/>
      <c r="F9536" s="2" t="str">
        <f>IFERROR(__xludf.DUMMYFUNCTION("IF(E9536&lt;&gt;"""", GOOGLETRANSLATE(E9536, ""en"", ""te""),"""")"),"")</f>
        <v/>
      </c>
      <c r="G9536" s="2"/>
      <c r="H9536" s="2" t="str">
        <f>IFERROR(__xludf.DUMMYFUNCTION("IF(G9536&lt;&gt;"""", GOOGLETRANSLATE(G9536, ""en"", ""te""),"""")"),"")</f>
        <v/>
      </c>
      <c r="I9536" s="3"/>
    </row>
    <row r="9537" customHeight="1" spans="1:9">
      <c r="A9537" s="2"/>
      <c r="B9537" s="2" t="str">
        <f>IFERROR(__xludf.DUMMYFUNCTION("IF(A9537&lt;&gt;"""", GOOGLETRANSLATE(A9537, ""en"", ""te""),"""")"),"")</f>
        <v/>
      </c>
      <c r="C9537" s="2"/>
      <c r="D9537" s="2" t="str">
        <f>IFERROR(__xludf.DUMMYFUNCTION("IF(C9537&lt;&gt;"""", GOOGLETRANSLATE(C9537, ""en"", ""te""),"""")"),"")</f>
        <v/>
      </c>
      <c r="E9537" s="2"/>
      <c r="F9537" s="2" t="str">
        <f>IFERROR(__xludf.DUMMYFUNCTION("IF(E9537&lt;&gt;"""", GOOGLETRANSLATE(E9537, ""en"", ""te""),"""")"),"")</f>
        <v/>
      </c>
      <c r="G9537" s="2"/>
      <c r="H9537" s="2" t="str">
        <f>IFERROR(__xludf.DUMMYFUNCTION("IF(G9537&lt;&gt;"""", GOOGLETRANSLATE(G9537, ""en"", ""te""),"""")"),"")</f>
        <v/>
      </c>
      <c r="I9537" s="3"/>
    </row>
    <row r="9538" customHeight="1" spans="1:9">
      <c r="A9538" s="2"/>
      <c r="B9538" s="2" t="str">
        <f>IFERROR(__xludf.DUMMYFUNCTION("IF(A9538&lt;&gt;"""", GOOGLETRANSLATE(A9538, ""en"", ""te""),"""")"),"")</f>
        <v/>
      </c>
      <c r="C9538" s="2" t="s">
        <v>5471</v>
      </c>
      <c r="D9538" s="2" t="str">
        <f>IFERROR(__xludf.DUMMYFUNCTION("IF(C9538&lt;&gt;"""", GOOGLETRANSLATE(C9538, ""en"", ""te""),"""")"),"[ '12 వ చెత్త కెరీర్ బౌలింగ్ సరాసరి (61.83)', '29th చెత్త కెరీర్లో సమ్మె రేటు (119.6)', '25 వ పిన్న కాప్టెన్ (24y 342d)']")</f>
        <v>[ '12 వ చెత్త కెరీర్ బౌలింగ్ సరాసరి (61.83)', '29th చెత్త కెరీర్లో సమ్మె రేటు (119.6)', '25 వ పిన్న కాప్టెన్ (24y 342d)']</v>
      </c>
      <c r="E9538" s="2" t="s">
        <v>5472</v>
      </c>
      <c r="F9538" s="2" t="str">
        <f>IFERROR(__xludf.DUMMYFUNCTION("IF(E9538&lt;&gt;"""", GOOGLETRANSLATE(E9538, ""en"", ""te""),"""")"),"[40 వ పిన్న కాప్టెన్ (24y 329d) ']")</f>
        <v>[40 వ పిన్న కాప్టెన్ (24y 329d) ']</v>
      </c>
      <c r="G9538" s="2"/>
      <c r="H9538" s="2" t="str">
        <f>IFERROR(__xludf.DUMMYFUNCTION("IF(G9538&lt;&gt;"""", GOOGLETRANSLATE(G9538, ""en"", ""te""),"""")"),"")</f>
        <v/>
      </c>
      <c r="I9538" s="3"/>
    </row>
    <row r="9539" customHeight="1" spans="1:9">
      <c r="A9539" s="2"/>
      <c r="B9539" s="2" t="str">
        <f>IFERROR(__xludf.DUMMYFUNCTION("IF(A9539&lt;&gt;"""", GOOGLETRANSLATE(A9539, ""en"", ""te""),"""")"),"")</f>
        <v/>
      </c>
      <c r="C9539" s="2"/>
      <c r="D9539" s="2" t="str">
        <f>IFERROR(__xludf.DUMMYFUNCTION("IF(C9539&lt;&gt;"""", GOOGLETRANSLATE(C9539, ""en"", ""te""),"""")"),"")</f>
        <v/>
      </c>
      <c r="E9539" s="2"/>
      <c r="F9539" s="2" t="str">
        <f>IFERROR(__xludf.DUMMYFUNCTION("IF(E9539&lt;&gt;"""", GOOGLETRANSLATE(E9539, ""en"", ""te""),"""")"),"")</f>
        <v/>
      </c>
      <c r="G9539" s="2"/>
      <c r="H9539" s="2" t="str">
        <f>IFERROR(__xludf.DUMMYFUNCTION("IF(G9539&lt;&gt;"""", GOOGLETRANSLATE(G9539, ""en"", ""te""),"""")"),"")</f>
        <v/>
      </c>
      <c r="I9539" s="3"/>
    </row>
    <row r="9540" customHeight="1" spans="1:9">
      <c r="A9540" s="2"/>
      <c r="B9540" s="2" t="str">
        <f>IFERROR(__xludf.DUMMYFUNCTION("IF(A9540&lt;&gt;"""", GOOGLETRANSLATE(A9540, ""en"", ""te""),"""")"),"")</f>
        <v/>
      </c>
      <c r="C9540" s="2"/>
      <c r="D9540" s="2" t="str">
        <f>IFERROR(__xludf.DUMMYFUNCTION("IF(C9540&lt;&gt;"""", GOOGLETRANSLATE(C9540, ""en"", ""te""),"""")"),"")</f>
        <v/>
      </c>
      <c r="E9540" s="2"/>
      <c r="F9540" s="2" t="str">
        <f>IFERROR(__xludf.DUMMYFUNCTION("IF(E9540&lt;&gt;"""", GOOGLETRANSLATE(E9540, ""en"", ""te""),"""")"),"")</f>
        <v/>
      </c>
      <c r="G9540" s="2"/>
      <c r="H9540" s="2" t="str">
        <f>IFERROR(__xludf.DUMMYFUNCTION("IF(G9540&lt;&gt;"""", GOOGLETRANSLATE(G9540, ""en"", ""te""),"""")"),"")</f>
        <v/>
      </c>
      <c r="I9540" s="3"/>
    </row>
    <row r="9541" customHeight="1" spans="1:9">
      <c r="A9541" s="2"/>
      <c r="B9541" s="2" t="str">
        <f>IFERROR(__xludf.DUMMYFUNCTION("IF(A9541&lt;&gt;"""", GOOGLETRANSLATE(A9541, ""en"", ""te""),"""")"),"")</f>
        <v/>
      </c>
      <c r="C9541" s="2"/>
      <c r="D9541" s="2" t="str">
        <f>IFERROR(__xludf.DUMMYFUNCTION("IF(C9541&lt;&gt;"""", GOOGLETRANSLATE(C9541, ""en"", ""te""),"""")"),"")</f>
        <v/>
      </c>
      <c r="E9541" s="2" t="s">
        <v>5473</v>
      </c>
      <c r="F9541" s="2" t="str">
        <f>IFERROR(__xludf.DUMMYFUNCTION("IF(E9541&lt;&gt;"""", GOOGLETRANSLATE(E9541, ""en"", ""te""),"""")"),"[ 'ఎనిమిదవ వికెట్కు 36 వ అత్యధిక భాగస్వామ్యం (80)']")</f>
        <v>[ 'ఎనిమిదవ వికెట్కు 36 వ అత్యధిక భాగస్వామ్యం (80)']</v>
      </c>
      <c r="G9541" s="2"/>
      <c r="H9541" s="2" t="str">
        <f>IFERROR(__xludf.DUMMYFUNCTION("IF(G9541&lt;&gt;"""", GOOGLETRANSLATE(G9541, ""en"", ""te""),"""")"),"")</f>
        <v/>
      </c>
      <c r="I9541" s="3"/>
    </row>
    <row r="9542" customHeight="1" spans="1:9">
      <c r="A9542" s="2"/>
      <c r="B9542" s="2" t="str">
        <f>IFERROR(__xludf.DUMMYFUNCTION("IF(A9542&lt;&gt;"""", GOOGLETRANSLATE(A9542, ""en"", ""te""),"""")"),"")</f>
        <v/>
      </c>
      <c r="C9542" s="2"/>
      <c r="D9542" s="2" t="str">
        <f>IFERROR(__xludf.DUMMYFUNCTION("IF(C9542&lt;&gt;"""", GOOGLETRANSLATE(C9542, ""en"", ""te""),"""")"),"")</f>
        <v/>
      </c>
      <c r="E9542" s="2"/>
      <c r="F9542" s="2" t="str">
        <f>IFERROR(__xludf.DUMMYFUNCTION("IF(E9542&lt;&gt;"""", GOOGLETRANSLATE(E9542, ""en"", ""te""),"""")"),"")</f>
        <v/>
      </c>
      <c r="G9542" s="2"/>
      <c r="H9542" s="2" t="str">
        <f>IFERROR(__xludf.DUMMYFUNCTION("IF(G9542&lt;&gt;"""", GOOGLETRANSLATE(G9542, ""en"", ""te""),"""")"),"")</f>
        <v/>
      </c>
      <c r="I9542" s="3"/>
    </row>
    <row r="9543" customHeight="1" spans="1:9">
      <c r="A9543" s="2"/>
      <c r="B9543" s="2" t="str">
        <f>IFERROR(__xludf.DUMMYFUNCTION("IF(A9543&lt;&gt;"""", GOOGLETRANSLATE(A9543, ""en"", ""te""),"""")"),"")</f>
        <v/>
      </c>
      <c r="C9543" s="2"/>
      <c r="D9543" s="2" t="str">
        <f>IFERROR(__xludf.DUMMYFUNCTION("IF(C9543&lt;&gt;"""", GOOGLETRANSLATE(C9543, ""en"", ""te""),"""")"),"")</f>
        <v/>
      </c>
      <c r="E9543" s="2"/>
      <c r="F9543" s="2" t="str">
        <f>IFERROR(__xludf.DUMMYFUNCTION("IF(E9543&lt;&gt;"""", GOOGLETRANSLATE(E9543, ""en"", ""te""),"""")"),"")</f>
        <v/>
      </c>
      <c r="G9543" s="2"/>
      <c r="H9543" s="2" t="str">
        <f>IFERROR(__xludf.DUMMYFUNCTION("IF(G9543&lt;&gt;"""", GOOGLETRANSLATE(G9543, ""en"", ""te""),"""")"),"")</f>
        <v/>
      </c>
      <c r="I9543" s="3"/>
    </row>
    <row r="9544" customHeight="1" spans="1:9">
      <c r="A9544" s="2"/>
      <c r="B9544" s="2" t="str">
        <f>IFERROR(__xludf.DUMMYFUNCTION("IF(A9544&lt;&gt;"""", GOOGLETRANSLATE(A9544, ""en"", ""te""),"""")"),"")</f>
        <v/>
      </c>
      <c r="C9544" s="2"/>
      <c r="D9544" s="2" t="str">
        <f>IFERROR(__xludf.DUMMYFUNCTION("IF(C9544&lt;&gt;"""", GOOGLETRANSLATE(C9544, ""en"", ""te""),"""")"),"")</f>
        <v/>
      </c>
      <c r="E9544" s="2"/>
      <c r="F9544" s="2" t="str">
        <f>IFERROR(__xludf.DUMMYFUNCTION("IF(E9544&lt;&gt;"""", GOOGLETRANSLATE(E9544, ""en"", ""te""),"""")"),"")</f>
        <v/>
      </c>
      <c r="G9544" s="2"/>
      <c r="H9544" s="2" t="str">
        <f>IFERROR(__xludf.DUMMYFUNCTION("IF(G9544&lt;&gt;"""", GOOGLETRANSLATE(G9544, ""en"", ""te""),"""")"),"")</f>
        <v/>
      </c>
      <c r="I9544" s="3"/>
    </row>
    <row r="9545" customHeight="1" spans="1:9">
      <c r="A9545" s="2"/>
      <c r="B9545" s="2" t="str">
        <f>IFERROR(__xludf.DUMMYFUNCTION("IF(A9545&lt;&gt;"""", GOOGLETRANSLATE(A9545, ""en"", ""te""),"""")"),"")</f>
        <v/>
      </c>
      <c r="C9545" s="2"/>
      <c r="D9545" s="2" t="str">
        <f>IFERROR(__xludf.DUMMYFUNCTION("IF(C9545&lt;&gt;"""", GOOGLETRANSLATE(C9545, ""en"", ""te""),"""")"),"")</f>
        <v/>
      </c>
      <c r="E9545" s="2"/>
      <c r="F9545" s="2" t="str">
        <f>IFERROR(__xludf.DUMMYFUNCTION("IF(E9545&lt;&gt;"""", GOOGLETRANSLATE(E9545, ""en"", ""te""),"""")"),"")</f>
        <v/>
      </c>
      <c r="G9545" s="2"/>
      <c r="H9545" s="2" t="str">
        <f>IFERROR(__xludf.DUMMYFUNCTION("IF(G9545&lt;&gt;"""", GOOGLETRANSLATE(G9545, ""en"", ""te""),"""")"),"")</f>
        <v/>
      </c>
      <c r="I9545" s="3"/>
    </row>
    <row r="9546" customHeight="1" spans="1:9">
      <c r="A9546" s="2" t="s">
        <v>5474</v>
      </c>
      <c r="B9546" s="2" t="str">
        <f>IFERROR(__xludf.DUMMYFUNCTION("IF(A9546&lt;&gt;"""", GOOGLETRANSLATE(A9546, ""en"", ""te""),"""")"),"[ '(115.00) (అర్హత లేకుండా) 3 వ చెత్త కెరీర్ సగటు బౌలింగ్' 'బ్యాటింగ్ తెరవడం మరియు అదే మ్యాచ్ లో బౌలింగ్',]")</f>
        <v>[ '(115.00) (అర్హత లేకుండా) 3 వ చెత్త కెరీర్ సగటు బౌలింగ్' 'బ్యాటింగ్ తెరవడం మరియు అదే మ్యాచ్ లో బౌలింగ్',]</v>
      </c>
      <c r="C9546" s="2"/>
      <c r="D9546" s="2" t="str">
        <f>IFERROR(__xludf.DUMMYFUNCTION("IF(C9546&lt;&gt;"""", GOOGLETRANSLATE(C9546, ""en"", ""te""),"""")"),"")</f>
        <v/>
      </c>
      <c r="E9546" s="2"/>
      <c r="F9546" s="2" t="str">
        <f>IFERROR(__xludf.DUMMYFUNCTION("IF(E9546&lt;&gt;"""", GOOGLETRANSLATE(E9546, ""en"", ""te""),"""")"),"")</f>
        <v/>
      </c>
      <c r="G9546" s="2" t="s">
        <v>5475</v>
      </c>
      <c r="H9546" s="2" t="str">
        <f>IFERROR(__xludf.DUMMYFUNCTION("IF(G9546&lt;&gt;"""", GOOGLETRANSLATE(G9546, ""en"", ""te""),"""")"),"[ '12 వ పరాజయం వైపు ఒక మ్యాచ్లో అత్యధిక పరుగులు (94)', '29th లాంగెస్ట్ వ్యక్తిగత ఇన్నింగ్స్ (బంతులతో) (63)', 'ఒక ఇన్నింగ్స్లో పరుగుల 29 అత్యధిక శాతం (58.02)', '3 వ చెత్త వృత్తి బౌలింగ్ సరాసరి (అర్హత లేకుండా) (115.00) ']")</f>
        <v>[ '12 వ పరాజయం వైపు ఒక మ్యాచ్లో అత్యధిక పరుగులు (94)', '29th లాంగెస్ట్ వ్యక్తిగత ఇన్నింగ్స్ (బంతులతో) (63)', 'ఒక ఇన్నింగ్స్లో పరుగుల 29 అత్యధిక శాతం (58.02)', '3 వ చెత్త వృత్తి బౌలింగ్ సరాసరి (అర్హత లేకుండా) (115.00) ']</v>
      </c>
      <c r="I9546" s="3"/>
    </row>
    <row r="9547" customHeight="1" spans="1:9">
      <c r="A9547" s="2" t="s">
        <v>5476</v>
      </c>
      <c r="B9547" s="2" t="str">
        <f>IFERROR(__xludf.DUMMYFUNCTION("IF(A9547&lt;&gt;"""", GOOGLETRANSLATE(A9547, ""en"", ""te""),"""")"),"[ 'ఇన్నింగ్స్ లో 5 వ అత్యధిక వికెట్లు (4)', 'ఇన్నింగ్స్ లో 3 వ అత్యధిక క్యాచ్లు (4)', 'ఇన్నింగ్స్ లో 3 వ అత్యంత స్టంపింగ్లు (3)', '8 వ అత్యంత ఇన్నింగ్స్ లో సాధించిన బైస్ (8)', 'ఎనిమిదవ వికెట్కు 6 వ అత్యధిక భాగస్వామ్యం (58)']")</f>
        <v>[ 'ఇన్నింగ్స్ లో 5 వ అత్యధిక వికెట్లు (4)', 'ఇన్నింగ్స్ లో 3 వ అత్యధిక క్యాచ్లు (4)', 'ఇన్నింగ్స్ లో 3 వ అత్యంత స్టంపింగ్లు (3)', '8 వ అత్యంత ఇన్నింగ్స్ లో సాధించిన బైస్ (8)', 'ఎనిమిదవ వికెట్కు 6 వ అత్యధిక భాగస్వామ్యం (58)']</v>
      </c>
      <c r="C9547" s="2"/>
      <c r="D9547" s="2" t="str">
        <f>IFERROR(__xludf.DUMMYFUNCTION("IF(C9547&lt;&gt;"""", GOOGLETRANSLATE(C9547, ""en"", ""te""),"""")"),"")</f>
        <v/>
      </c>
      <c r="E9547" s="2"/>
      <c r="F9547" s="2" t="str">
        <f>IFERROR(__xludf.DUMMYFUNCTION("IF(E9547&lt;&gt;"""", GOOGLETRANSLATE(E9547, ""en"", ""te""),"""")"),"")</f>
        <v/>
      </c>
      <c r="G9547" s="2" t="s">
        <v>5477</v>
      </c>
      <c r="H9547" s="2" t="str">
        <f>IFERROR(__xludf.DUMMYFUNCTION("IF(G9547&lt;&gt;"""", GOOGLETRANSLATE(G9547, ""en"", ""te""),"""")"),"[ '13 వ ఇన్నింగ్స్ లో అత్యధిక పరుగులు (బ్యాటింగ్ స్థానంలో ప్రకారం) (54)', 'ఆరవ వికెట్కు 45 వ అత్యధిక భాగస్వామ్యం (62)', 'ఎనిమిదవ వికెట్కు 6 వ అత్యధిక భాగస్వామ్యం (58)', '23 వ కెరీర్ లో తొలగింపులకు (20) ',' 5 వ ఇన్నింగ్స్ లో అత్యధిక వికెట్లు (4) ',' 25 వ క"&amp;"ెరీర్ లో అత్యధిక క్యాచ్లు (16) ',' ఇన్నింగ్స్ లో 3 వ అత్యధిక క్యాచ్లు (4) ',' ఇన్నింగ్స్ లో 3 వ అత్యంత స్టంపింగ్లు (3) ',' 8 వ అత్యంత ఇన్నింగ్స్ లో సాధించిన బైస్ (8) ']")</f>
        <v>[ '13 వ ఇన్నింగ్స్ లో అత్యధిక పరుగులు (బ్యాటింగ్ స్థానంలో ప్రకారం) (54)', 'ఆరవ వికెట్కు 45 వ అత్యధిక భాగస్వామ్యం (62)', 'ఎనిమిదవ వికెట్కు 6 వ అత్యధిక భాగస్వామ్యం (58)', '23 వ కెరీర్ లో తొలగింపులకు (20) ',' 5 వ ఇన్నింగ్స్ లో అత్యధిక వికెట్లు (4) ',' 25 వ కెరీర్ లో అత్యధిక క్యాచ్లు (16) ',' ఇన్నింగ్స్ లో 3 వ అత్యధిక క్యాచ్లు (4) ',' ఇన్నింగ్స్ లో 3 వ అత్యంత స్టంపింగ్లు (3) ',' 8 వ అత్యంత ఇన్నింగ్స్ లో సాధించిన బైస్ (8) ']</v>
      </c>
      <c r="I9547" s="3"/>
    </row>
    <row r="9548" customHeight="1" spans="1:9">
      <c r="A9548" s="2"/>
      <c r="B9548" s="2" t="str">
        <f>IFERROR(__xludf.DUMMYFUNCTION("IF(A9548&lt;&gt;"""", GOOGLETRANSLATE(A9548, ""en"", ""te""),"""")"),"")</f>
        <v/>
      </c>
      <c r="C9548" s="2"/>
      <c r="D9548" s="2" t="str">
        <f>IFERROR(__xludf.DUMMYFUNCTION("IF(C9548&lt;&gt;"""", GOOGLETRANSLATE(C9548, ""en"", ""te""),"""")"),"")</f>
        <v/>
      </c>
      <c r="E9548" s="2"/>
      <c r="F9548" s="2" t="str">
        <f>IFERROR(__xludf.DUMMYFUNCTION("IF(E9548&lt;&gt;"""", GOOGLETRANSLATE(E9548, ""en"", ""te""),"""")"),"")</f>
        <v/>
      </c>
      <c r="G9548" s="2"/>
      <c r="H9548" s="2" t="str">
        <f>IFERROR(__xludf.DUMMYFUNCTION("IF(G9548&lt;&gt;"""", GOOGLETRANSLATE(G9548, ""en"", ""te""),"""")"),"")</f>
        <v/>
      </c>
      <c r="I9548" s="3"/>
    </row>
    <row r="9549" customHeight="1" spans="1:9">
      <c r="A9549" s="2" t="s">
        <v>748</v>
      </c>
      <c r="B9549" s="2" t="str">
        <f>IFERROR(__xludf.DUMMYFUNCTION("IF(A9549&lt;&gt;"""", GOOGLETRANSLATE(A9549, ""en"", ""te""),"""")"),"[ 'ఒక ఇన్నింగ్స్ లో ఒక ప్రత్యామ్నాయంగా (3) 2 వ అత్యధిక క్యాచ్లు']")</f>
        <v>[ 'ఒక ఇన్నింగ్స్ లో ఒక ప్రత్యామ్నాయంగా (3) 2 వ అత్యధిక క్యాచ్లు']</v>
      </c>
      <c r="C9549" s="2"/>
      <c r="D9549" s="2" t="str">
        <f>IFERROR(__xludf.DUMMYFUNCTION("IF(C9549&lt;&gt;"""", GOOGLETRANSLATE(C9549, ""en"", ""te""),"""")"),"")</f>
        <v/>
      </c>
      <c r="E9549" s="2" t="s">
        <v>748</v>
      </c>
      <c r="F9549" s="2" t="str">
        <f>IFERROR(__xludf.DUMMYFUNCTION("IF(E9549&lt;&gt;"""", GOOGLETRANSLATE(E9549, ""en"", ""te""),"""")"),"[ 'ఒక ఇన్నింగ్స్ లో ఒక ప్రత్యామ్నాయంగా (3) 2 వ అత్యధిక క్యాచ్లు']")</f>
        <v>[ 'ఒక ఇన్నింగ్స్ లో ఒక ప్రత్యామ్నాయంగా (3) 2 వ అత్యధిక క్యాచ్లు']</v>
      </c>
      <c r="G9549" s="2"/>
      <c r="H9549" s="2" t="str">
        <f>IFERROR(__xludf.DUMMYFUNCTION("IF(G9549&lt;&gt;"""", GOOGLETRANSLATE(G9549, ""en"", ""te""),"""")"),"")</f>
        <v/>
      </c>
      <c r="I9549" s="3"/>
    </row>
    <row r="9550" customHeight="1" spans="1:9">
      <c r="A9550" s="2"/>
      <c r="B9550" s="2" t="str">
        <f>IFERROR(__xludf.DUMMYFUNCTION("IF(A9550&lt;&gt;"""", GOOGLETRANSLATE(A9550, ""en"", ""te""),"""")"),"")</f>
        <v/>
      </c>
      <c r="C9550" s="2"/>
      <c r="D9550" s="2" t="str">
        <f>IFERROR(__xludf.DUMMYFUNCTION("IF(C9550&lt;&gt;"""", GOOGLETRANSLATE(C9550, ""en"", ""te""),"""")"),"")</f>
        <v/>
      </c>
      <c r="E9550" s="2"/>
      <c r="F9550" s="2" t="str">
        <f>IFERROR(__xludf.DUMMYFUNCTION("IF(E9550&lt;&gt;"""", GOOGLETRANSLATE(E9550, ""en"", ""te""),"""")"),"")</f>
        <v/>
      </c>
      <c r="G9550" s="2"/>
      <c r="H9550" s="2" t="str">
        <f>IFERROR(__xludf.DUMMYFUNCTION("IF(G9550&lt;&gt;"""", GOOGLETRANSLATE(G9550, ""en"", ""te""),"""")"),"")</f>
        <v/>
      </c>
      <c r="I9550" s="3"/>
    </row>
    <row r="9551" customHeight="1" spans="1:9">
      <c r="A9551" s="2"/>
      <c r="B9551" s="2" t="str">
        <f>IFERROR(__xludf.DUMMYFUNCTION("IF(A9551&lt;&gt;"""", GOOGLETRANSLATE(A9551, ""en"", ""te""),"""")"),"")</f>
        <v/>
      </c>
      <c r="C9551" s="2"/>
      <c r="D9551" s="2" t="str">
        <f>IFERROR(__xludf.DUMMYFUNCTION("IF(C9551&lt;&gt;"""", GOOGLETRANSLATE(C9551, ""en"", ""te""),"""")"),"")</f>
        <v/>
      </c>
      <c r="E9551" s="2"/>
      <c r="F9551" s="2" t="str">
        <f>IFERROR(__xludf.DUMMYFUNCTION("IF(E9551&lt;&gt;"""", GOOGLETRANSLATE(E9551, ""en"", ""te""),"""")"),"")</f>
        <v/>
      </c>
      <c r="G9551" s="2"/>
      <c r="H9551" s="2" t="str">
        <f>IFERROR(__xludf.DUMMYFUNCTION("IF(G9551&lt;&gt;"""", GOOGLETRANSLATE(G9551, ""en"", ""te""),"""")"),"")</f>
        <v/>
      </c>
      <c r="I9551" s="3"/>
    </row>
    <row r="9552" customHeight="1" spans="1:9">
      <c r="A9552" s="2"/>
      <c r="B9552" s="2" t="str">
        <f>IFERROR(__xludf.DUMMYFUNCTION("IF(A9552&lt;&gt;"""", GOOGLETRANSLATE(A9552, ""en"", ""te""),"""")"),"")</f>
        <v/>
      </c>
      <c r="C9552" s="2"/>
      <c r="D9552" s="2" t="str">
        <f>IFERROR(__xludf.DUMMYFUNCTION("IF(C9552&lt;&gt;"""", GOOGLETRANSLATE(C9552, ""en"", ""te""),"""")"),"")</f>
        <v/>
      </c>
      <c r="E9552" s="2"/>
      <c r="F9552" s="2" t="str">
        <f>IFERROR(__xludf.DUMMYFUNCTION("IF(E9552&lt;&gt;"""", GOOGLETRANSLATE(E9552, ""en"", ""te""),"""")"),"")</f>
        <v/>
      </c>
      <c r="G9552" s="2"/>
      <c r="H9552" s="2" t="str">
        <f>IFERROR(__xludf.DUMMYFUNCTION("IF(G9552&lt;&gt;"""", GOOGLETRANSLATE(G9552, ""en"", ""te""),"""")"),"")</f>
        <v/>
      </c>
      <c r="I9552" s="3"/>
    </row>
    <row r="9553" customHeight="1" spans="1:9">
      <c r="A9553" s="2"/>
      <c r="B9553" s="2" t="str">
        <f>IFERROR(__xludf.DUMMYFUNCTION("IF(A9553&lt;&gt;"""", GOOGLETRANSLATE(A9553, ""en"", ""te""),"""")"),"")</f>
        <v/>
      </c>
      <c r="C9553" s="2"/>
      <c r="D9553" s="2" t="str">
        <f>IFERROR(__xludf.DUMMYFUNCTION("IF(C9553&lt;&gt;"""", GOOGLETRANSLATE(C9553, ""en"", ""te""),"""")"),"")</f>
        <v/>
      </c>
      <c r="E9553" s="2"/>
      <c r="F9553" s="2" t="str">
        <f>IFERROR(__xludf.DUMMYFUNCTION("IF(E9553&lt;&gt;"""", GOOGLETRANSLATE(E9553, ""en"", ""te""),"""")"),"")</f>
        <v/>
      </c>
      <c r="G9553" s="2"/>
      <c r="H9553" s="2" t="str">
        <f>IFERROR(__xludf.DUMMYFUNCTION("IF(G9553&lt;&gt;"""", GOOGLETRANSLATE(G9553, ""en"", ""te""),"""")"),"")</f>
        <v/>
      </c>
      <c r="I9553" s="3"/>
    </row>
    <row r="9554" customHeight="1" spans="1:9">
      <c r="A9554" s="2"/>
      <c r="B9554" s="2" t="str">
        <f>IFERROR(__xludf.DUMMYFUNCTION("IF(A9554&lt;&gt;"""", GOOGLETRANSLATE(A9554, ""en"", ""te""),"""")"),"")</f>
        <v/>
      </c>
      <c r="C9554" s="2"/>
      <c r="D9554" s="2" t="str">
        <f>IFERROR(__xludf.DUMMYFUNCTION("IF(C9554&lt;&gt;"""", GOOGLETRANSLATE(C9554, ""en"", ""te""),"""")"),"")</f>
        <v/>
      </c>
      <c r="E9554" s="2" t="s">
        <v>5478</v>
      </c>
      <c r="F9554" s="2" t="str">
        <f>IFERROR(__xludf.DUMMYFUNCTION("IF(E9554&lt;&gt;"""", GOOGLETRANSLATE(E9554, ""en"", ""te""),"""")"),"[ '19 అత్యధిక పరుగులు ఇన్నింగ్స్ (96) లో సాధించిన]")</f>
        <v>[ '19 అత్యధిక పరుగులు ఇన్నింగ్స్ (96) లో సాధించిన]</v>
      </c>
      <c r="G9554" s="2" t="s">
        <v>5479</v>
      </c>
      <c r="H9554" s="2" t="str">
        <f>IFERROR(__xludf.DUMMYFUNCTION("IF(G9554&lt;&gt;"""", GOOGLETRANSLATE(G9554, ""en"", ""te""),"""")"),"[ '33 వ అత్యంత వికెట్కీపర్గా (6) పట్టుకుంటే తీసుకోబడిన వికెట్ల']")</f>
        <v>[ '33 వ అత్యంత వికెట్కీపర్గా (6) పట్టుకుంటే తీసుకోబడిన వికెట్ల']</v>
      </c>
      <c r="I9554" s="3"/>
    </row>
    <row r="9555" customHeight="1" spans="1:9">
      <c r="A9555" s="2" t="s">
        <v>1574</v>
      </c>
      <c r="B9555" s="2" t="str">
        <f>IFERROR(__xludf.DUMMYFUNCTION("IF(A9555&lt;&gt;"""", GOOGLETRANSLATE(A9555, ""en"", ""te""),"""")"),"[ 'తొలి ఇన్నింగ్స్లో 4 వ ఉత్తమ బొమ్మలు (4)']")</f>
        <v>[ 'తొలి ఇన్నింగ్స్లో 4 వ ఉత్తమ బొమ్మలు (4)']</v>
      </c>
      <c r="C9555" s="2"/>
      <c r="D9555" s="2" t="str">
        <f>IFERROR(__xludf.DUMMYFUNCTION("IF(C9555&lt;&gt;"""", GOOGLETRANSLATE(C9555, ""en"", ""te""),"""")"),"")</f>
        <v/>
      </c>
      <c r="E9555" s="2"/>
      <c r="F9555" s="2" t="str">
        <f>IFERROR(__xludf.DUMMYFUNCTION("IF(E9555&lt;&gt;"""", GOOGLETRANSLATE(E9555, ""en"", ""te""),"""")"),"")</f>
        <v/>
      </c>
      <c r="G9555" s="2" t="s">
        <v>1574</v>
      </c>
      <c r="H9555" s="2" t="str">
        <f>IFERROR(__xludf.DUMMYFUNCTION("IF(G9555&lt;&gt;"""", GOOGLETRANSLATE(G9555, ""en"", ""te""),"""")"),"[ 'తొలి ఇన్నింగ్స్లో 4 వ ఉత్తమ బొమ్మలు (4)']")</f>
        <v>[ 'తొలి ఇన్నింగ్స్లో 4 వ ఉత్తమ బొమ్మలు (4)']</v>
      </c>
      <c r="I9555" s="3"/>
    </row>
    <row r="9556" customHeight="1" spans="1:9">
      <c r="A9556" s="2"/>
      <c r="B9556" s="2" t="str">
        <f>IFERROR(__xludf.DUMMYFUNCTION("IF(A9556&lt;&gt;"""", GOOGLETRANSLATE(A9556, ""en"", ""te""),"""")"),"")</f>
        <v/>
      </c>
      <c r="C9556" s="2"/>
      <c r="D9556" s="2" t="str">
        <f>IFERROR(__xludf.DUMMYFUNCTION("IF(C9556&lt;&gt;"""", GOOGLETRANSLATE(C9556, ""en"", ""te""),"""")"),"")</f>
        <v/>
      </c>
      <c r="E9556" s="2"/>
      <c r="F9556" s="2" t="str">
        <f>IFERROR(__xludf.DUMMYFUNCTION("IF(E9556&lt;&gt;"""", GOOGLETRANSLATE(E9556, ""en"", ""te""),"""")"),"")</f>
        <v/>
      </c>
      <c r="G9556" s="2"/>
      <c r="H9556" s="2" t="str">
        <f>IFERROR(__xludf.DUMMYFUNCTION("IF(G9556&lt;&gt;"""", GOOGLETRANSLATE(G9556, ""en"", ""te""),"""")"),"")</f>
        <v/>
      </c>
      <c r="I9556" s="3"/>
    </row>
    <row r="9557" customHeight="1" spans="1:9">
      <c r="A9557" s="2"/>
      <c r="B9557" s="2" t="str">
        <f>IFERROR(__xludf.DUMMYFUNCTION("IF(A9557&lt;&gt;"""", GOOGLETRANSLATE(A9557, ""en"", ""te""),"""")"),"")</f>
        <v/>
      </c>
      <c r="C9557" s="2"/>
      <c r="D9557" s="2" t="str">
        <f>IFERROR(__xludf.DUMMYFUNCTION("IF(C9557&lt;&gt;"""", GOOGLETRANSLATE(C9557, ""en"", ""te""),"""")"),"")</f>
        <v/>
      </c>
      <c r="E9557" s="2"/>
      <c r="F9557" s="2" t="str">
        <f>IFERROR(__xludf.DUMMYFUNCTION("IF(E9557&lt;&gt;"""", GOOGLETRANSLATE(E9557, ""en"", ""te""),"""")"),"")</f>
        <v/>
      </c>
      <c r="G9557" s="2"/>
      <c r="H9557" s="2" t="str">
        <f>IFERROR(__xludf.DUMMYFUNCTION("IF(G9557&lt;&gt;"""", GOOGLETRANSLATE(G9557, ""en"", ""te""),"""")"),"")</f>
        <v/>
      </c>
      <c r="I9557" s="3"/>
    </row>
    <row r="9558" customHeight="1" spans="1:9">
      <c r="A9558" s="2"/>
      <c r="B9558" s="2" t="str">
        <f>IFERROR(__xludf.DUMMYFUNCTION("IF(A9558&lt;&gt;"""", GOOGLETRANSLATE(A9558, ""en"", ""te""),"""")"),"")</f>
        <v/>
      </c>
      <c r="C9558" s="2"/>
      <c r="D9558" s="2" t="str">
        <f>IFERROR(__xludf.DUMMYFUNCTION("IF(C9558&lt;&gt;"""", GOOGLETRANSLATE(C9558, ""en"", ""te""),"""")"),"")</f>
        <v/>
      </c>
      <c r="E9558" s="2"/>
      <c r="F9558" s="2" t="str">
        <f>IFERROR(__xludf.DUMMYFUNCTION("IF(E9558&lt;&gt;"""", GOOGLETRANSLATE(E9558, ""en"", ""te""),"""")"),"")</f>
        <v/>
      </c>
      <c r="G9558" s="2"/>
      <c r="H9558" s="2" t="str">
        <f>IFERROR(__xludf.DUMMYFUNCTION("IF(G9558&lt;&gt;"""", GOOGLETRANSLATE(G9558, ""en"", ""te""),"""")"),"")</f>
        <v/>
      </c>
      <c r="I9558" s="3"/>
    </row>
    <row r="9559" customHeight="1" spans="1:9">
      <c r="A9559" s="2" t="s">
        <v>5480</v>
      </c>
      <c r="B9559" s="2" t="str">
        <f>IFERROR(__xludf.DUMMYFUNCTION("IF(A9559&lt;&gt;"""", GOOGLETRANSLATE(A9559, ""en"", ""te""),"""")"),"[ '3 వ చెత్త కెరీర్ బౌలింగ్ సరాసరి (71.36)']")</f>
        <v>[ '3 వ చెత్త కెరీర్ బౌలింగ్ సరాసరి (71.36)']</v>
      </c>
      <c r="C9559" s="2"/>
      <c r="D9559" s="2" t="str">
        <f>IFERROR(__xludf.DUMMYFUNCTION("IF(C9559&lt;&gt;"""", GOOGLETRANSLATE(C9559, ""en"", ""te""),"""")"),"")</f>
        <v/>
      </c>
      <c r="E9559" s="2" t="s">
        <v>5481</v>
      </c>
      <c r="F9559" s="2" t="str">
        <f>IFERROR(__xludf.DUMMYFUNCTION("IF(E9559&lt;&gt;"""", GOOGLETRANSLATE(E9559, ""en"", ""te""),"""")"),"[ '3 వ చెత్త కెరీర్ సగటు (71.36) బౌలింగ్', '14 వ చెత్త కెరీర్లో ఆర్థిక రేటు (5.95)', '10 వ చెత్త కెరీర్లో సమ్మె రేటు (71,9)', '36 వ పిన్న క్రీడాకారులు (17y 179d)']")</f>
        <v>[ '3 వ చెత్త కెరీర్ సగటు (71.36) బౌలింగ్', '14 వ చెత్త కెరీర్లో ఆర్థిక రేటు (5.95)', '10 వ చెత్త కెరీర్లో సమ్మె రేటు (71,9)', '36 వ పిన్న క్రీడాకారులు (17y 179d)']</v>
      </c>
      <c r="G9559" s="2"/>
      <c r="H9559" s="2" t="str">
        <f>IFERROR(__xludf.DUMMYFUNCTION("IF(G9559&lt;&gt;"""", GOOGLETRANSLATE(G9559, ""en"", ""te""),"""")"),"")</f>
        <v/>
      </c>
      <c r="I9559" s="3"/>
    </row>
    <row r="9560" customHeight="1" spans="1:9">
      <c r="A9560" s="2" t="s">
        <v>1781</v>
      </c>
      <c r="B9560" s="2" t="str">
        <f>IFERROR(__xludf.DUMMYFUNCTION("IF(A9560&lt;&gt;"""", GOOGLETRANSLATE(A9560, ""en"", ""te""),"""")"),"[ 'ఇన్నింగ్స్ లో 3 వ అత్యధిక క్యాచ్లు (3)']")</f>
        <v>[ 'ఇన్నింగ్స్ లో 3 వ అత్యధిక క్యాచ్లు (3)']</v>
      </c>
      <c r="C9560" s="2"/>
      <c r="D9560" s="2" t="str">
        <f>IFERROR(__xludf.DUMMYFUNCTION("IF(C9560&lt;&gt;"""", GOOGLETRANSLATE(C9560, ""en"", ""te""),"""")"),"")</f>
        <v/>
      </c>
      <c r="E9560" s="2"/>
      <c r="F9560" s="2" t="str">
        <f>IFERROR(__xludf.DUMMYFUNCTION("IF(E9560&lt;&gt;"""", GOOGLETRANSLATE(E9560, ""en"", ""te""),"""")"),"")</f>
        <v/>
      </c>
      <c r="G9560" s="2" t="s">
        <v>1781</v>
      </c>
      <c r="H9560" s="2" t="str">
        <f>IFERROR(__xludf.DUMMYFUNCTION("IF(G9560&lt;&gt;"""", GOOGLETRANSLATE(G9560, ""en"", ""te""),"""")"),"[ 'ఇన్నింగ్స్ లో 3 వ అత్యధిక క్యాచ్లు (3)']")</f>
        <v>[ 'ఇన్నింగ్స్ లో 3 వ అత్యధిక క్యాచ్లు (3)']</v>
      </c>
      <c r="I9560" s="3"/>
    </row>
    <row r="9561" customHeight="1" spans="1:9">
      <c r="A9561" s="2"/>
      <c r="B9561" s="2" t="str">
        <f>IFERROR(__xludf.DUMMYFUNCTION("IF(A9561&lt;&gt;"""", GOOGLETRANSLATE(A9561, ""en"", ""te""),"""")"),"")</f>
        <v/>
      </c>
      <c r="C9561" s="2"/>
      <c r="D9561" s="2" t="str">
        <f>IFERROR(__xludf.DUMMYFUNCTION("IF(C9561&lt;&gt;"""", GOOGLETRANSLATE(C9561, ""en"", ""te""),"""")"),"")</f>
        <v/>
      </c>
      <c r="E9561" s="2"/>
      <c r="F9561" s="2" t="str">
        <f>IFERROR(__xludf.DUMMYFUNCTION("IF(E9561&lt;&gt;"""", GOOGLETRANSLATE(E9561, ""en"", ""te""),"""")"),"")</f>
        <v/>
      </c>
      <c r="G9561" s="2"/>
      <c r="H9561" s="2" t="str">
        <f>IFERROR(__xludf.DUMMYFUNCTION("IF(G9561&lt;&gt;"""", GOOGLETRANSLATE(G9561, ""en"", ""te""),"""")"),"")</f>
        <v/>
      </c>
      <c r="I9561" s="3"/>
    </row>
    <row r="9562" customHeight="1" spans="1:9">
      <c r="A9562" s="2"/>
      <c r="B9562" s="2" t="str">
        <f>IFERROR(__xludf.DUMMYFUNCTION("IF(A9562&lt;&gt;"""", GOOGLETRANSLATE(A9562, ""en"", ""te""),"""")"),"")</f>
        <v/>
      </c>
      <c r="C9562" s="2" t="s">
        <v>5482</v>
      </c>
      <c r="D9562" s="2" t="str">
        <f>IFERROR(__xludf.DUMMYFUNCTION("IF(C9562&lt;&gt;"""", GOOGLETRANSLATE(C9562, ""en"", ""te""),"""")"),"[ '41 వ చెత్త కెరీర్ బౌలింగ్ సరాసరి (అర్హత లేకుండా) (138.50)']")</f>
        <v>[ '41 వ చెత్త కెరీర్ బౌలింగ్ సరాసరి (అర్హత లేకుండా) (138.50)']</v>
      </c>
      <c r="E9562" s="2"/>
      <c r="F9562" s="2" t="str">
        <f>IFERROR(__xludf.DUMMYFUNCTION("IF(E9562&lt;&gt;"""", GOOGLETRANSLATE(E9562, ""en"", ""te""),"""")"),"")</f>
        <v/>
      </c>
      <c r="G9562" s="2" t="s">
        <v>5483</v>
      </c>
      <c r="H9562" s="2" t="str">
        <f>IFERROR(__xludf.DUMMYFUNCTION("IF(G9562&lt;&gt;"""", GOOGLETRANSLATE(G9562, ""en"", ""te""),"""")"),"[ '16 వ చెత్త కెరీర్ బౌలింగ్ సరాసరి (అర్హత లేకుండా) (90.00)']")</f>
        <v>[ '16 వ చెత్త కెరీర్ బౌలింగ్ సరాసరి (అర్హత లేకుండా) (90.00)']</v>
      </c>
      <c r="I9562" s="3"/>
    </row>
    <row r="9563" customHeight="1" spans="1:9">
      <c r="A9563" s="2"/>
      <c r="B9563" s="2" t="str">
        <f>IFERROR(__xludf.DUMMYFUNCTION("IF(A9563&lt;&gt;"""", GOOGLETRANSLATE(A9563, ""en"", ""te""),"""")"),"")</f>
        <v/>
      </c>
      <c r="C9563" s="2"/>
      <c r="D9563" s="2" t="str">
        <f>IFERROR(__xludf.DUMMYFUNCTION("IF(C9563&lt;&gt;"""", GOOGLETRANSLATE(C9563, ""en"", ""te""),"""")"),"")</f>
        <v/>
      </c>
      <c r="E9563" s="2"/>
      <c r="F9563" s="2" t="str">
        <f>IFERROR(__xludf.DUMMYFUNCTION("IF(E9563&lt;&gt;"""", GOOGLETRANSLATE(E9563, ""en"", ""te""),"""")"),"")</f>
        <v/>
      </c>
      <c r="G9563" s="2"/>
      <c r="H9563" s="2" t="str">
        <f>IFERROR(__xludf.DUMMYFUNCTION("IF(G9563&lt;&gt;"""", GOOGLETRANSLATE(G9563, ""en"", ""te""),"""")"),"")</f>
        <v/>
      </c>
      <c r="I9563" s="3"/>
    </row>
    <row r="9564" customHeight="1" spans="1:9">
      <c r="A9564" s="2"/>
      <c r="B9564" s="2" t="str">
        <f>IFERROR(__xludf.DUMMYFUNCTION("IF(A9564&lt;&gt;"""", GOOGLETRANSLATE(A9564, ""en"", ""te""),"""")"),"")</f>
        <v/>
      </c>
      <c r="C9564" s="2"/>
      <c r="D9564" s="2" t="str">
        <f>IFERROR(__xludf.DUMMYFUNCTION("IF(C9564&lt;&gt;"""", GOOGLETRANSLATE(C9564, ""en"", ""te""),"""")"),"")</f>
        <v/>
      </c>
      <c r="E9564" s="2"/>
      <c r="F9564" s="2" t="str">
        <f>IFERROR(__xludf.DUMMYFUNCTION("IF(E9564&lt;&gt;"""", GOOGLETRANSLATE(E9564, ""en"", ""te""),"""")"),"")</f>
        <v/>
      </c>
      <c r="G9564" s="2"/>
      <c r="H9564" s="2" t="str">
        <f>IFERROR(__xludf.DUMMYFUNCTION("IF(G9564&lt;&gt;"""", GOOGLETRANSLATE(G9564, ""en"", ""te""),"""")"),"")</f>
        <v/>
      </c>
      <c r="I9564" s="3"/>
    </row>
    <row r="9565" customHeight="1" spans="1:9">
      <c r="A9565" s="2"/>
      <c r="B9565" s="2" t="str">
        <f>IFERROR(__xludf.DUMMYFUNCTION("IF(A9565&lt;&gt;"""", GOOGLETRANSLATE(A9565, ""en"", ""te""),"""")"),"")</f>
        <v/>
      </c>
      <c r="C9565" s="2"/>
      <c r="D9565" s="2" t="str">
        <f>IFERROR(__xludf.DUMMYFUNCTION("IF(C9565&lt;&gt;"""", GOOGLETRANSLATE(C9565, ""en"", ""te""),"""")"),"")</f>
        <v/>
      </c>
      <c r="E9565" s="2"/>
      <c r="F9565" s="2" t="str">
        <f>IFERROR(__xludf.DUMMYFUNCTION("IF(E9565&lt;&gt;"""", GOOGLETRANSLATE(E9565, ""en"", ""te""),"""")"),"")</f>
        <v/>
      </c>
      <c r="G9565" s="2"/>
      <c r="H9565" s="2" t="str">
        <f>IFERROR(__xludf.DUMMYFUNCTION("IF(G9565&lt;&gt;"""", GOOGLETRANSLATE(G9565, ""en"", ""te""),"""")"),"")</f>
        <v/>
      </c>
      <c r="I9565" s="3"/>
    </row>
    <row r="9566" customHeight="1" spans="1:9">
      <c r="A9566" s="2" t="s">
        <v>584</v>
      </c>
      <c r="B9566" s="2" t="str">
        <f>IFERROR(__xludf.DUMMYFUNCTION("IF(A9566&lt;&gt;"""", GOOGLETRANSLATE(A9566, ""en"", ""te""),"""")"),"[ '1st వరుస బాతులు (4)']")</f>
        <v>[ '1st వరుస బాతులు (4)']</v>
      </c>
      <c r="C9566" s="2" t="s">
        <v>5484</v>
      </c>
      <c r="D9566" s="2" t="str">
        <f>IFERROR(__xludf.DUMMYFUNCTION("IF(C9566&lt;&gt;"""", GOOGLETRANSLATE(C9566, ""en"", ""te""),"""")"),"[ '39 వ చెత్త కెరీర్లో ఆర్థిక రేటు (3.49)']")</f>
        <v>[ '39 వ చెత్త కెరీర్లో ఆర్థిక రేటు (3.49)']</v>
      </c>
      <c r="E9566" s="2" t="s">
        <v>5485</v>
      </c>
      <c r="F9566" s="2" t="str">
        <f>IFERROR(__xludf.DUMMYFUNCTION("IF(E9566&lt;&gt;"""", GOOGLETRANSLATE(E9566, ""en"", ""te""),"""")"),"[ '1st వరుస బాతులు (4)', '24 వ ఇన్నింగ్స్ (6/19) లో బెస్ట్ ఫిగర్స్' '12 వ అత్యుత్తమ బౌలింగ్ ఇన్నింగ్స్ లో విశ్లేషించడం (6/19)', '32 వ చెత్త కెరీర్లో ఆర్థిక రేటు (5.76)' '43 వ అత్యంత ఐదు-వికెట్ల లో-ఒక-ఇన్నింగ్స్ కెరీర్లో (2)', 'పదవ వికెట్కు 45 వ అత్యధిక భా"&amp;"గస్వామ్యం (47)']")</f>
        <v>[ '1st వరుస బాతులు (4)', '24 వ ఇన్నింగ్స్ (6/19) లో బెస్ట్ ఫిగర్స్' '12 వ అత్యుత్తమ బౌలింగ్ ఇన్నింగ్స్ లో విశ్లేషించడం (6/19)', '32 వ చెత్త కెరీర్లో ఆర్థిక రేటు (5.76)' '43 వ అత్యంత ఐదు-వికెట్ల లో-ఒక-ఇన్నింగ్స్ కెరీర్లో (2)', 'పదవ వికెట్కు 45 వ అత్యధిక భాగస్వామ్యం (47)']</v>
      </c>
      <c r="G9566" s="2"/>
      <c r="H9566" s="2" t="str">
        <f>IFERROR(__xludf.DUMMYFUNCTION("IF(G9566&lt;&gt;"""", GOOGLETRANSLATE(G9566, ""en"", ""te""),"""")"),"")</f>
        <v/>
      </c>
      <c r="I9566" s="3"/>
    </row>
    <row r="9567" customHeight="1" spans="1:9">
      <c r="A9567" s="2"/>
      <c r="B9567" s="2" t="str">
        <f>IFERROR(__xludf.DUMMYFUNCTION("IF(A9567&lt;&gt;"""", GOOGLETRANSLATE(A9567, ""en"", ""te""),"""")"),"")</f>
        <v/>
      </c>
      <c r="C9567" s="2"/>
      <c r="D9567" s="2" t="str">
        <f>IFERROR(__xludf.DUMMYFUNCTION("IF(C9567&lt;&gt;"""", GOOGLETRANSLATE(C9567, ""en"", ""te""),"""")"),"")</f>
        <v/>
      </c>
      <c r="E9567" s="2"/>
      <c r="F9567" s="2" t="str">
        <f>IFERROR(__xludf.DUMMYFUNCTION("IF(E9567&lt;&gt;"""", GOOGLETRANSLATE(E9567, ""en"", ""te""),"""")"),"")</f>
        <v/>
      </c>
      <c r="G9567" s="2"/>
      <c r="H9567" s="2" t="str">
        <f>IFERROR(__xludf.DUMMYFUNCTION("IF(G9567&lt;&gt;"""", GOOGLETRANSLATE(G9567, ""en"", ""te""),"""")"),"")</f>
        <v/>
      </c>
      <c r="I9567" s="3"/>
    </row>
    <row r="9568" customHeight="1" spans="1:9">
      <c r="A9568" s="2" t="s">
        <v>5486</v>
      </c>
      <c r="B9568" s="2" t="str">
        <f>IFERROR(__xludf.DUMMYFUNCTION("IF(A9568&lt;&gt;"""", GOOGLETRANSLATE(A9568, ""en"", ""te""),"""")"),"[ '4 వ అత్యంత ఒక మ్యాచ్ రిఫరీ (80) గా పేర్కొంటే']")</f>
        <v>[ '4 వ అత్యంత ఒక మ్యాచ్ రిఫరీ (80) గా పేర్కొంటే']</v>
      </c>
      <c r="C9568" s="2" t="s">
        <v>5486</v>
      </c>
      <c r="D9568" s="2" t="str">
        <f>IFERROR(__xludf.DUMMYFUNCTION("IF(C9568&lt;&gt;"""", GOOGLETRANSLATE(C9568, ""en"", ""te""),"""")"),"[ '4 వ అత్యంత ఒక మ్యాచ్ రిఫరీ (80) గా పేర్కొంటే']")</f>
        <v>[ '4 వ అత్యంత ఒక మ్యాచ్ రిఫరీ (80) గా పేర్కొంటే']</v>
      </c>
      <c r="E9568" s="2" t="s">
        <v>5487</v>
      </c>
      <c r="F9568" s="2" t="str">
        <f>IFERROR(__xludf.DUMMYFUNCTION("IF(E9568&lt;&gt;"""", GOOGLETRANSLATE(E9568, ""en"", ""te""),"""")"),"[ '6 వ అత్యంత ఒక మ్యాచ్ రిఫరీ (181) వంటి ఆటలకు]")</f>
        <v>[ '6 వ అత్యంత ఒక మ్యాచ్ రిఫరీ (181) వంటి ఆటలకు]</v>
      </c>
      <c r="G9568" s="2" t="s">
        <v>5488</v>
      </c>
      <c r="H9568" s="2" t="str">
        <f>IFERROR(__xludf.DUMMYFUNCTION("IF(G9568&lt;&gt;"""", GOOGLETRANSLATE(G9568, ""en"", ""te""),"""")"),"[ '4 వ అత్యంత ఒక మ్యాచ్ రిఫరీ (97) గా పేర్కొంటే']")</f>
        <v>[ '4 వ అత్యంత ఒక మ్యాచ్ రిఫరీ (97) గా పేర్కొంటే']</v>
      </c>
      <c r="I9568" s="3"/>
    </row>
    <row r="9569" customHeight="1" spans="1:9">
      <c r="A9569" s="2" t="s">
        <v>5489</v>
      </c>
      <c r="B9569" s="2" t="str">
        <f>IFERROR(__xludf.DUMMYFUNCTION("IF(A9569&lt;&gt;"""", GOOGLETRANSLATE(A9569, ""en"", ""te""),"""")"),"[ '6 వ అత్యధిక వరుస బాతులు (3)', 'పరాజయం వైపు ఉన్నప్పుడు ఒక ఇన్నింగ్స్ లో 8 వ బెస్ట్ ఫిగర్స్ (4)']")</f>
        <v>[ '6 వ అత్యధిక వరుస బాతులు (3)', 'పరాజయం వైపు ఉన్నప్పుడు ఒక ఇన్నింగ్స్ లో 8 వ బెస్ట్ ఫిగర్స్ (4)']</v>
      </c>
      <c r="C9569" s="2" t="s">
        <v>5490</v>
      </c>
      <c r="D9569" s="2" t="str">
        <f>IFERROR(__xludf.DUMMYFUNCTION("IF(C9569&lt;&gt;"""", GOOGLETRANSLATE(C9569, ""en"", ""te""),"""")"),"[ 'ప్రదర్శనల మధ్య 45 వ లాంగెస్ట్ వ్యవధిలో (8y 228d)']")</f>
        <v>[ 'ప్రదర్శనల మధ్య 45 వ లాంగెస్ట్ వ్యవధిలో (8y 228d)']</v>
      </c>
      <c r="E9569" s="2" t="s">
        <v>5491</v>
      </c>
      <c r="F9569" s="2" t="str">
        <f>IFERROR(__xludf.DUMMYFUNCTION("IF(E9569&lt;&gt;"""", GOOGLETRANSLATE(E9569, ""en"", ""te""),"""")"),"[ 'ఒక సిరీస్లో 6 వ అత్యంత బాతులు (3)', '6 వ అత్యధిక వరుస బాతులు (3)', '49 వ చెత్త కెరీర్ బౌలింగ్ సరాసరి (46.52)']")</f>
        <v>[ 'ఒక సిరీస్లో 6 వ అత్యంత బాతులు (3)', '6 వ అత్యధిక వరుస బాతులు (3)', '49 వ చెత్త కెరీర్ బౌలింగ్ సరాసరి (46.52)']</v>
      </c>
      <c r="G9569" s="2" t="s">
        <v>814</v>
      </c>
      <c r="H9569" s="2" t="str">
        <f>IFERROR(__xludf.DUMMYFUNCTION("IF(G9569&lt;&gt;"""", GOOGLETRANSLATE(G9569, ""en"", ""te""),"""")"),"[ 'ఒక ఇన్నింగ్స్ లో 8 వ బెస్ట్ ఫిగర్స్ ఉన్నప్పుడు పరాజయం వైపు (4)']")</f>
        <v>[ 'ఒక ఇన్నింగ్స్ లో 8 వ బెస్ట్ ఫిగర్స్ ఉన్నప్పుడు పరాజయం వైపు (4)']</v>
      </c>
      <c r="I9569" s="3"/>
    </row>
    <row r="9570" customHeight="1" spans="1:9">
      <c r="A9570" s="2"/>
      <c r="B9570" s="2" t="str">
        <f>IFERROR(__xludf.DUMMYFUNCTION("IF(A9570&lt;&gt;"""", GOOGLETRANSLATE(A9570, ""en"", ""te""),"""")"),"")</f>
        <v/>
      </c>
      <c r="C9570" s="2"/>
      <c r="D9570" s="2" t="str">
        <f>IFERROR(__xludf.DUMMYFUNCTION("IF(C9570&lt;&gt;"""", GOOGLETRANSLATE(C9570, ""en"", ""te""),"""")"),"")</f>
        <v/>
      </c>
      <c r="E9570" s="2"/>
      <c r="F9570" s="2" t="str">
        <f>IFERROR(__xludf.DUMMYFUNCTION("IF(E9570&lt;&gt;"""", GOOGLETRANSLATE(E9570, ""en"", ""te""),"""")"),"")</f>
        <v/>
      </c>
      <c r="G9570" s="2"/>
      <c r="H9570" s="2" t="str">
        <f>IFERROR(__xludf.DUMMYFUNCTION("IF(G9570&lt;&gt;"""", GOOGLETRANSLATE(G9570, ""en"", ""te""),"""")"),"")</f>
        <v/>
      </c>
      <c r="I9570" s="3"/>
    </row>
    <row r="9571" customHeight="1" spans="1:9">
      <c r="A9571" s="2"/>
      <c r="B9571" s="2" t="str">
        <f>IFERROR(__xludf.DUMMYFUNCTION("IF(A9571&lt;&gt;"""", GOOGLETRANSLATE(A9571, ""en"", ""te""),"""")"),"")</f>
        <v/>
      </c>
      <c r="C9571" s="2"/>
      <c r="D9571" s="2" t="str">
        <f>IFERROR(__xludf.DUMMYFUNCTION("IF(C9571&lt;&gt;"""", GOOGLETRANSLATE(C9571, ""en"", ""te""),"""")"),"")</f>
        <v/>
      </c>
      <c r="E9571" s="2"/>
      <c r="F9571" s="2" t="str">
        <f>IFERROR(__xludf.DUMMYFUNCTION("IF(E9571&lt;&gt;"""", GOOGLETRANSLATE(E9571, ""en"", ""te""),"""")"),"")</f>
        <v/>
      </c>
      <c r="G9571" s="2"/>
      <c r="H9571" s="2" t="str">
        <f>IFERROR(__xludf.DUMMYFUNCTION("IF(G9571&lt;&gt;"""", GOOGLETRANSLATE(G9571, ""en"", ""te""),"""")"),"")</f>
        <v/>
      </c>
      <c r="I9571" s="3"/>
    </row>
    <row r="9572" customHeight="1" spans="1:9">
      <c r="A9572" s="2" t="s">
        <v>667</v>
      </c>
      <c r="B9572" s="2" t="str">
        <f>IFERROR(__xludf.DUMMYFUNCTION("IF(A9572&lt;&gt;"""", GOOGLETRANSLATE(A9572, ""en"", ""te""),"""")"),"[ 'ఇన్నింగ్స్ లో 1 వ అత్యంత పనికత్తెలయొద్ద (2)']")</f>
        <v>[ 'ఇన్నింగ్స్ లో 1 వ అత్యంత పనికత్తెలయొద్ద (2)']</v>
      </c>
      <c r="C9572" s="2" t="s">
        <v>5492</v>
      </c>
      <c r="D9572" s="2" t="str">
        <f>IFERROR(__xludf.DUMMYFUNCTION("IF(C9572&lt;&gt;"""", GOOGLETRANSLATE(C9572, ""en"", ""te""),"""")"),"[ '14 వ అత్యంత బంతుల్లో ఇన్నింగ్స్ లో బౌల్డ్ (474)', '36 వ అత్యధిక పరుగులు ఇన్నింగ్స్ లో సాధించిన (199)']")</f>
        <v>[ '14 వ అత్యంత బంతుల్లో ఇన్నింగ్స్ లో బౌల్డ్ (474)', '36 వ అత్యధిక పరుగులు ఇన్నింగ్స్ లో సాధించిన (199)']</v>
      </c>
      <c r="E9572" s="2" t="s">
        <v>5493</v>
      </c>
      <c r="F9572" s="2" t="str">
        <f>IFERROR(__xludf.DUMMYFUNCTION("IF(E9572&lt;&gt;"""", GOOGLETRANSLATE(E9572, ""en"", ""te""),"""")"),"[ '46 వ ఒక క్యాలెండర్ సంవత్సరంలో అత్యధిక వికెట్లు (44)', 'ఇన్నింగ్స్ లో 14 వ ఉత్తమ ఆర్థిక రేటు (0.70)', '32 వ అత్యధిక వికెట్లు తీసుకున్న స్టంప్ (11)']")</f>
        <v>[ '46 వ ఒక క్యాలెండర్ సంవత్సరంలో అత్యధిక వికెట్లు (44)', 'ఇన్నింగ్స్ లో 14 వ ఉత్తమ ఆర్థిక రేటు (0.70)', '32 వ అత్యధిక వికెట్లు తీసుకున్న స్టంప్ (11)']</v>
      </c>
      <c r="G9572" s="2" t="s">
        <v>5494</v>
      </c>
      <c r="H9572" s="2" t="str">
        <f>IFERROR(__xludf.DUMMYFUNCTION("IF(G9572&lt;&gt;"""", GOOGLETRANSLATE(G9572, ""en"", ""te""),"""")"),"[ '10 వ కెరీర్ లో అత్యంత పనికత్తెలయొద్ద (4)', '1 వ అత్యంత ఇన్నింగ్స్ లో పనికత్తెలయొద్ద (2)']")</f>
        <v>[ '10 వ కెరీర్ లో అత్యంత పనికత్తెలయొద్ద (4)', '1 వ అత్యంత ఇన్నింగ్స్ లో పనికత్తెలయొద్ద (2)']</v>
      </c>
      <c r="I9572" s="3"/>
    </row>
    <row r="9573" customHeight="1" spans="1:9">
      <c r="A9573" s="2" t="s">
        <v>399</v>
      </c>
      <c r="B9573" s="2" t="str">
        <f>IFERROR(__xludf.DUMMYFUNCTION("IF(A9573&lt;&gt;"""", GOOGLETRANSLATE(A9573, ""en"", ""te""),"""")"),"[ 'తొలి పెయిర్']")</f>
        <v>[ 'తొలి పెయిర్']</v>
      </c>
      <c r="C9573" s="2"/>
      <c r="D9573" s="2" t="str">
        <f>IFERROR(__xludf.DUMMYFUNCTION("IF(C9573&lt;&gt;"""", GOOGLETRANSLATE(C9573, ""en"", ""te""),"""")"),"")</f>
        <v/>
      </c>
      <c r="E9573" s="2"/>
      <c r="F9573" s="2" t="str">
        <f>IFERROR(__xludf.DUMMYFUNCTION("IF(E9573&lt;&gt;"""", GOOGLETRANSLATE(E9573, ""en"", ""te""),"""")"),"")</f>
        <v/>
      </c>
      <c r="G9573" s="2"/>
      <c r="H9573" s="2" t="str">
        <f>IFERROR(__xludf.DUMMYFUNCTION("IF(G9573&lt;&gt;"""", GOOGLETRANSLATE(G9573, ""en"", ""te""),"""")"),"")</f>
        <v/>
      </c>
      <c r="I9573" s="3"/>
    </row>
    <row r="9574" customHeight="1" spans="1:9">
      <c r="A9574" s="2"/>
      <c r="B9574" s="2" t="str">
        <f>IFERROR(__xludf.DUMMYFUNCTION("IF(A9574&lt;&gt;"""", GOOGLETRANSLATE(A9574, ""en"", ""te""),"""")"),"")</f>
        <v/>
      </c>
      <c r="C9574" s="2"/>
      <c r="D9574" s="2" t="str">
        <f>IFERROR(__xludf.DUMMYFUNCTION("IF(C9574&lt;&gt;"""", GOOGLETRANSLATE(C9574, ""en"", ""te""),"""")"),"")</f>
        <v/>
      </c>
      <c r="E9574" s="2"/>
      <c r="F9574" s="2" t="str">
        <f>IFERROR(__xludf.DUMMYFUNCTION("IF(E9574&lt;&gt;"""", GOOGLETRANSLATE(E9574, ""en"", ""te""),"""")"),"")</f>
        <v/>
      </c>
      <c r="G9574" s="2"/>
      <c r="H9574" s="2" t="str">
        <f>IFERROR(__xludf.DUMMYFUNCTION("IF(G9574&lt;&gt;"""", GOOGLETRANSLATE(G9574, ""en"", ""te""),"""")"),"")</f>
        <v/>
      </c>
      <c r="I9574" s="3"/>
    </row>
    <row r="9575" customHeight="1" spans="1:9">
      <c r="A9575" s="2"/>
      <c r="B9575" s="2" t="str">
        <f>IFERROR(__xludf.DUMMYFUNCTION("IF(A9575&lt;&gt;"""", GOOGLETRANSLATE(A9575, ""en"", ""te""),"""")"),"")</f>
        <v/>
      </c>
      <c r="C9575" s="2"/>
      <c r="D9575" s="2" t="str">
        <f>IFERROR(__xludf.DUMMYFUNCTION("IF(C9575&lt;&gt;"""", GOOGLETRANSLATE(C9575, ""en"", ""te""),"""")"),"")</f>
        <v/>
      </c>
      <c r="E9575" s="2" t="s">
        <v>5495</v>
      </c>
      <c r="F9575" s="2" t="str">
        <f>IFERROR(__xludf.DUMMYFUNCTION("IF(E9575&lt;&gt;"""", GOOGLETRANSLATE(E9575, ""en"", ""te""),"""")"),"[ '43 వ అత్యంత ఐదు-వికెట్ల లో-ఒక-ఇన్నింగ్స్ కెరీర్లో (2)', 'ఐదు వికెట్ల లో-ఒక-ఇన్నింగ్స్ తీసుకోవాలని 23 వ అత్యంత వృద్ధ ఆటగాడు (33y 328d)', '14 వ అత్యంత వృద్ధ ఆటగాడు తొలి తీసుకోవాలని ఐదు వికెట్లు-ఇన్-ఒక-ఇన్నింగ్స్ (33y 304d) ']")</f>
        <v>[ '43 వ అత్యంత ఐదు-వికెట్ల లో-ఒక-ఇన్నింగ్స్ కెరీర్లో (2)', 'ఐదు వికెట్ల లో-ఒక-ఇన్నింగ్స్ తీసుకోవాలని 23 వ అత్యంత వృద్ధ ఆటగాడు (33y 328d)', '14 వ అత్యంత వృద్ధ ఆటగాడు తొలి తీసుకోవాలని ఐదు వికెట్లు-ఇన్-ఒక-ఇన్నింగ్స్ (33y 304d) ']</v>
      </c>
      <c r="G9575" s="2"/>
      <c r="H9575" s="2" t="str">
        <f>IFERROR(__xludf.DUMMYFUNCTION("IF(G9575&lt;&gt;"""", GOOGLETRANSLATE(G9575, ""en"", ""te""),"""")"),"")</f>
        <v/>
      </c>
      <c r="I9575" s="3"/>
    </row>
    <row r="9576" customHeight="1" spans="1:9">
      <c r="A9576" s="2"/>
      <c r="B9576" s="2" t="str">
        <f>IFERROR(__xludf.DUMMYFUNCTION("IF(A9576&lt;&gt;"""", GOOGLETRANSLATE(A9576, ""en"", ""te""),"""")"),"")</f>
        <v/>
      </c>
      <c r="C9576" s="2"/>
      <c r="D9576" s="2" t="str">
        <f>IFERROR(__xludf.DUMMYFUNCTION("IF(C9576&lt;&gt;"""", GOOGLETRANSLATE(C9576, ""en"", ""te""),"""")"),"")</f>
        <v/>
      </c>
      <c r="E9576" s="2"/>
      <c r="F9576" s="2" t="str">
        <f>IFERROR(__xludf.DUMMYFUNCTION("IF(E9576&lt;&gt;"""", GOOGLETRANSLATE(E9576, ""en"", ""te""),"""")"),"")</f>
        <v/>
      </c>
      <c r="G9576" s="2"/>
      <c r="H9576" s="2" t="str">
        <f>IFERROR(__xludf.DUMMYFUNCTION("IF(G9576&lt;&gt;"""", GOOGLETRANSLATE(G9576, ""en"", ""te""),"""")"),"")</f>
        <v/>
      </c>
      <c r="I9576" s="3"/>
    </row>
    <row r="9577" customHeight="1" spans="1:9">
      <c r="A9577" s="2"/>
      <c r="B9577" s="2" t="str">
        <f>IFERROR(__xludf.DUMMYFUNCTION("IF(A9577&lt;&gt;"""", GOOGLETRANSLATE(A9577, ""en"", ""te""),"""")"),"")</f>
        <v/>
      </c>
      <c r="C9577" s="2"/>
      <c r="D9577" s="2" t="str">
        <f>IFERROR(__xludf.DUMMYFUNCTION("IF(C9577&lt;&gt;"""", GOOGLETRANSLATE(C9577, ""en"", ""te""),"""")"),"")</f>
        <v/>
      </c>
      <c r="E9577" s="2"/>
      <c r="F9577" s="2" t="str">
        <f>IFERROR(__xludf.DUMMYFUNCTION("IF(E9577&lt;&gt;"""", GOOGLETRANSLATE(E9577, ""en"", ""te""),"""")"),"")</f>
        <v/>
      </c>
      <c r="G9577" s="2"/>
      <c r="H9577" s="2" t="str">
        <f>IFERROR(__xludf.DUMMYFUNCTION("IF(G9577&lt;&gt;"""", GOOGLETRANSLATE(G9577, ""en"", ""te""),"""")"),"")</f>
        <v/>
      </c>
      <c r="I9577" s="3"/>
    </row>
    <row r="9578" customHeight="1" spans="1:9">
      <c r="A9578" s="2"/>
      <c r="B9578" s="2" t="str">
        <f>IFERROR(__xludf.DUMMYFUNCTION("IF(A9578&lt;&gt;"""", GOOGLETRANSLATE(A9578, ""en"", ""te""),"""")"),"")</f>
        <v/>
      </c>
      <c r="C9578" s="2"/>
      <c r="D9578" s="2" t="str">
        <f>IFERROR(__xludf.DUMMYFUNCTION("IF(C9578&lt;&gt;"""", GOOGLETRANSLATE(C9578, ""en"", ""te""),"""")"),"")</f>
        <v/>
      </c>
      <c r="E9578" s="2"/>
      <c r="F9578" s="2" t="str">
        <f>IFERROR(__xludf.DUMMYFUNCTION("IF(E9578&lt;&gt;"""", GOOGLETRANSLATE(E9578, ""en"", ""te""),"""")"),"")</f>
        <v/>
      </c>
      <c r="G9578" s="2"/>
      <c r="H9578" s="2" t="str">
        <f>IFERROR(__xludf.DUMMYFUNCTION("IF(G9578&lt;&gt;"""", GOOGLETRANSLATE(G9578, ""en"", ""te""),"""")"),"")</f>
        <v/>
      </c>
      <c r="I9578" s="3"/>
    </row>
    <row r="9579" customHeight="1" spans="1:9">
      <c r="A9579" s="2"/>
      <c r="B9579" s="2" t="str">
        <f>IFERROR(__xludf.DUMMYFUNCTION("IF(A9579&lt;&gt;"""", GOOGLETRANSLATE(A9579, ""en"", ""te""),"""")"),"")</f>
        <v/>
      </c>
      <c r="C9579" s="2"/>
      <c r="D9579" s="2" t="str">
        <f>IFERROR(__xludf.DUMMYFUNCTION("IF(C9579&lt;&gt;"""", GOOGLETRANSLATE(C9579, ""en"", ""te""),"""")"),"")</f>
        <v/>
      </c>
      <c r="E9579" s="2"/>
      <c r="F9579" s="2" t="str">
        <f>IFERROR(__xludf.DUMMYFUNCTION("IF(E9579&lt;&gt;"""", GOOGLETRANSLATE(E9579, ""en"", ""te""),"""")"),"")</f>
        <v/>
      </c>
      <c r="G9579" s="2" t="s">
        <v>5496</v>
      </c>
      <c r="H9579" s="2" t="str">
        <f>IFERROR(__xludf.DUMMYFUNCTION("IF(G9579&lt;&gt;"""", GOOGLETRANSLATE(G9579, ""en"", ""te""),"""")"),"[ '19 ఇన్నింగ్స్ లో అత్యధిక పరుగులు (బ్యాటింగ్ స్థానంలో ప్రకారం) (57 *)', 'కెరీర్లో 24 వ లేవు బాతులు (21)', 'ఆరవ వికెట్కు 11 వ అత్యధిక భాగస్వామ్యం (81 *)']")</f>
        <v>[ '19 ఇన్నింగ్స్ లో అత్యధిక పరుగులు (బ్యాటింగ్ స్థానంలో ప్రకారం) (57 *)', 'కెరీర్లో 24 వ లేవు బాతులు (21)', 'ఆరవ వికెట్కు 11 వ అత్యధిక భాగస్వామ్యం (81 *)']</v>
      </c>
      <c r="I9579" s="3"/>
    </row>
    <row r="9580" customHeight="1" spans="1:9">
      <c r="A9580" s="2"/>
      <c r="B9580" s="2" t="str">
        <f>IFERROR(__xludf.DUMMYFUNCTION("IF(A9580&lt;&gt;"""", GOOGLETRANSLATE(A9580, ""en"", ""te""),"""")"),"")</f>
        <v/>
      </c>
      <c r="C9580" s="2"/>
      <c r="D9580" s="2" t="str">
        <f>IFERROR(__xludf.DUMMYFUNCTION("IF(C9580&lt;&gt;"""", GOOGLETRANSLATE(C9580, ""en"", ""te""),"""")"),"")</f>
        <v/>
      </c>
      <c r="E9580" s="2"/>
      <c r="F9580" s="2" t="str">
        <f>IFERROR(__xludf.DUMMYFUNCTION("IF(E9580&lt;&gt;"""", GOOGLETRANSLATE(E9580, ""en"", ""te""),"""")"),"")</f>
        <v/>
      </c>
      <c r="G9580" s="2"/>
      <c r="H9580" s="2" t="str">
        <f>IFERROR(__xludf.DUMMYFUNCTION("IF(G9580&lt;&gt;"""", GOOGLETRANSLATE(G9580, ""en"", ""te""),"""")"),"")</f>
        <v/>
      </c>
      <c r="I9580" s="3"/>
    </row>
    <row r="9581" customHeight="1" spans="1:9">
      <c r="A9581" s="2"/>
      <c r="B9581" s="2" t="str">
        <f>IFERROR(__xludf.DUMMYFUNCTION("IF(A9581&lt;&gt;"""", GOOGLETRANSLATE(A9581, ""en"", ""te""),"""")"),"")</f>
        <v/>
      </c>
      <c r="C9581" s="2"/>
      <c r="D9581" s="2" t="str">
        <f>IFERROR(__xludf.DUMMYFUNCTION("IF(C9581&lt;&gt;"""", GOOGLETRANSLATE(C9581, ""en"", ""te""),"""")"),"")</f>
        <v/>
      </c>
      <c r="E9581" s="2"/>
      <c r="F9581" s="2" t="str">
        <f>IFERROR(__xludf.DUMMYFUNCTION("IF(E9581&lt;&gt;"""", GOOGLETRANSLATE(E9581, ""en"", ""te""),"""")"),"")</f>
        <v/>
      </c>
      <c r="G9581" s="2"/>
      <c r="H9581" s="2" t="str">
        <f>IFERROR(__xludf.DUMMYFUNCTION("IF(G9581&lt;&gt;"""", GOOGLETRANSLATE(G9581, ""en"", ""te""),"""")"),"")</f>
        <v/>
      </c>
      <c r="I9581" s="3"/>
    </row>
    <row r="9582" customHeight="1" spans="1:9">
      <c r="A9582" s="2"/>
      <c r="B9582" s="2" t="str">
        <f>IFERROR(__xludf.DUMMYFUNCTION("IF(A9582&lt;&gt;"""", GOOGLETRANSLATE(A9582, ""en"", ""te""),"""")"),"")</f>
        <v/>
      </c>
      <c r="C9582" s="2"/>
      <c r="D9582" s="2" t="str">
        <f>IFERROR(__xludf.DUMMYFUNCTION("IF(C9582&lt;&gt;"""", GOOGLETRANSLATE(C9582, ""en"", ""te""),"""")"),"")</f>
        <v/>
      </c>
      <c r="E9582" s="2"/>
      <c r="F9582" s="2" t="str">
        <f>IFERROR(__xludf.DUMMYFUNCTION("IF(E9582&lt;&gt;"""", GOOGLETRANSLATE(E9582, ""en"", ""te""),"""")"),"")</f>
        <v/>
      </c>
      <c r="G9582" s="2"/>
      <c r="H9582" s="2" t="str">
        <f>IFERROR(__xludf.DUMMYFUNCTION("IF(G9582&lt;&gt;"""", GOOGLETRANSLATE(G9582, ""en"", ""te""),"""")"),"")</f>
        <v/>
      </c>
      <c r="I9582" s="3"/>
    </row>
    <row r="9583" customHeight="1" spans="1:9">
      <c r="A9583" s="2"/>
      <c r="B9583" s="2" t="str">
        <f>IFERROR(__xludf.DUMMYFUNCTION("IF(A9583&lt;&gt;"""", GOOGLETRANSLATE(A9583, ""en"", ""te""),"""")"),"")</f>
        <v/>
      </c>
      <c r="C9583" s="2"/>
      <c r="D9583" s="2" t="str">
        <f>IFERROR(__xludf.DUMMYFUNCTION("IF(C9583&lt;&gt;"""", GOOGLETRANSLATE(C9583, ""en"", ""te""),"""")"),"")</f>
        <v/>
      </c>
      <c r="E9583" s="2"/>
      <c r="F9583" s="2" t="str">
        <f>IFERROR(__xludf.DUMMYFUNCTION("IF(E9583&lt;&gt;"""", GOOGLETRANSLATE(E9583, ""en"", ""te""),"""")"),"")</f>
        <v/>
      </c>
      <c r="G9583" s="2"/>
      <c r="H9583" s="2" t="str">
        <f>IFERROR(__xludf.DUMMYFUNCTION("IF(G9583&lt;&gt;"""", GOOGLETRANSLATE(G9583, ""en"", ""te""),"""")"),"")</f>
        <v/>
      </c>
      <c r="I9583" s="3"/>
    </row>
    <row r="9584" customHeight="1" spans="1:9">
      <c r="A9584" s="2"/>
      <c r="B9584" s="2" t="str">
        <f>IFERROR(__xludf.DUMMYFUNCTION("IF(A9584&lt;&gt;"""", GOOGLETRANSLATE(A9584, ""en"", ""te""),"""")"),"")</f>
        <v/>
      </c>
      <c r="C9584" s="2"/>
      <c r="D9584" s="2" t="str">
        <f>IFERROR(__xludf.DUMMYFUNCTION("IF(C9584&lt;&gt;"""", GOOGLETRANSLATE(C9584, ""en"", ""te""),"""")"),"")</f>
        <v/>
      </c>
      <c r="E9584" s="2"/>
      <c r="F9584" s="2" t="str">
        <f>IFERROR(__xludf.DUMMYFUNCTION("IF(E9584&lt;&gt;"""", GOOGLETRANSLATE(E9584, ""en"", ""te""),"""")"),"")</f>
        <v/>
      </c>
      <c r="G9584" s="2"/>
      <c r="H9584" s="2" t="str">
        <f>IFERROR(__xludf.DUMMYFUNCTION("IF(G9584&lt;&gt;"""", GOOGLETRANSLATE(G9584, ""en"", ""te""),"""")"),"")</f>
        <v/>
      </c>
      <c r="I9584" s="3"/>
    </row>
    <row r="9585" customHeight="1" spans="1:9">
      <c r="A9585" s="2" t="s">
        <v>352</v>
      </c>
      <c r="B9585" s="2" t="str">
        <f>IFERROR(__xludf.DUMMYFUNCTION("IF(A9585&lt;&gt;"""", GOOGLETRANSLATE(A9585, ""en"", ""te""),"""")"),"[ 'బ్యాటింగ్ ప్రారంభించుటకు మరియు అదే మ్యాచ్ లో బౌలింగ్']")</f>
        <v>[ 'బ్యాటింగ్ ప్రారంభించుటకు మరియు అదే మ్యాచ్ లో బౌలింగ్']</v>
      </c>
      <c r="C9585" s="2"/>
      <c r="D9585" s="2" t="str">
        <f>IFERROR(__xludf.DUMMYFUNCTION("IF(C9585&lt;&gt;"""", GOOGLETRANSLATE(C9585, ""en"", ""te""),"""")"),"")</f>
        <v/>
      </c>
      <c r="E9585" s="2"/>
      <c r="F9585" s="2" t="str">
        <f>IFERROR(__xludf.DUMMYFUNCTION("IF(E9585&lt;&gt;"""", GOOGLETRANSLATE(E9585, ""en"", ""te""),"""")"),"")</f>
        <v/>
      </c>
      <c r="G9585" s="2"/>
      <c r="H9585" s="2" t="str">
        <f>IFERROR(__xludf.DUMMYFUNCTION("IF(G9585&lt;&gt;"""", GOOGLETRANSLATE(G9585, ""en"", ""te""),"""")"),"")</f>
        <v/>
      </c>
      <c r="I9585" s="3"/>
    </row>
    <row r="9586" customHeight="1" spans="1:9">
      <c r="A9586" s="2"/>
      <c r="B9586" s="2" t="str">
        <f>IFERROR(__xludf.DUMMYFUNCTION("IF(A9586&lt;&gt;"""", GOOGLETRANSLATE(A9586, ""en"", ""te""),"""")"),"")</f>
        <v/>
      </c>
      <c r="C9586" s="2" t="s">
        <v>5497</v>
      </c>
      <c r="D9586" s="2" t="str">
        <f>IFERROR(__xludf.DUMMYFUNCTION("IF(C9586&lt;&gt;"""", GOOGLETRANSLATE(C9586, ""en"", ""te""),"""")"),"[ '36 వ ఇన్నింగ్స్ లో వచ్చిన ఎక్కువ సిక్స్ (6)', '14 వ చెత్త కెరీర్లో ఆర్థిక రేటు (3.71)', '33 వ ప్రవేశం (8) ఒక మ్యాచ్లో బెస్ట్ ఫిగర్స్']")</f>
        <v>[ '36 వ ఇన్నింగ్స్ లో వచ్చిన ఎక్కువ సిక్స్ (6)', '14 వ చెత్త కెరీర్లో ఆర్థిక రేటు (3.71)', '33 వ ప్రవేశం (8) ఒక మ్యాచ్లో బెస్ట్ ఫిగర్స్']</v>
      </c>
      <c r="E9586" s="2" t="s">
        <v>5498</v>
      </c>
      <c r="F9586" s="2" t="str">
        <f>IFERROR(__xludf.DUMMYFUNCTION("IF(E9586&lt;&gt;"""", GOOGLETRANSLATE(E9586, ""en"", ""te""),"""")"),"[18 వ అత్యధిక కెరీర్ సమ్మె రేటు (106.28) ',' 19 వ అత్యధిక పరుగులు ఇన్నింగ్స్ లో సాధించిన (96) ']")</f>
        <v>[18 వ అత్యధిక కెరీర్ సమ్మె రేటు (106.28) ',' 19 వ అత్యధిక పరుగులు ఇన్నింగ్స్ లో సాధించిన (96) ']</v>
      </c>
      <c r="G9586" s="2"/>
      <c r="H9586" s="2" t="str">
        <f>IFERROR(__xludf.DUMMYFUNCTION("IF(G9586&lt;&gt;"""", GOOGLETRANSLATE(G9586, ""en"", ""te""),"""")"),"")</f>
        <v/>
      </c>
      <c r="I9586" s="3"/>
    </row>
    <row r="9587" customHeight="1" spans="1:9">
      <c r="A9587" s="2"/>
      <c r="B9587" s="2" t="str">
        <f>IFERROR(__xludf.DUMMYFUNCTION("IF(A9587&lt;&gt;"""", GOOGLETRANSLATE(A9587, ""en"", ""te""),"""")"),"")</f>
        <v/>
      </c>
      <c r="C9587" s="2"/>
      <c r="D9587" s="2" t="str">
        <f>IFERROR(__xludf.DUMMYFUNCTION("IF(C9587&lt;&gt;"""", GOOGLETRANSLATE(C9587, ""en"", ""te""),"""")"),"")</f>
        <v/>
      </c>
      <c r="E9587" s="2"/>
      <c r="F9587" s="2" t="str">
        <f>IFERROR(__xludf.DUMMYFUNCTION("IF(E9587&lt;&gt;"""", GOOGLETRANSLATE(E9587, ""en"", ""te""),"""")"),"")</f>
        <v/>
      </c>
      <c r="G9587" s="2"/>
      <c r="H9587" s="2" t="str">
        <f>IFERROR(__xludf.DUMMYFUNCTION("IF(G9587&lt;&gt;"""", GOOGLETRANSLATE(G9587, ""en"", ""te""),"""")"),"")</f>
        <v/>
      </c>
      <c r="I9587" s="3"/>
    </row>
    <row r="9588" customHeight="1" spans="1:9">
      <c r="A9588" s="2"/>
      <c r="B9588" s="2" t="str">
        <f>IFERROR(__xludf.DUMMYFUNCTION("IF(A9588&lt;&gt;"""", GOOGLETRANSLATE(A9588, ""en"", ""te""),"""")"),"")</f>
        <v/>
      </c>
      <c r="C9588" s="2"/>
      <c r="D9588" s="2" t="str">
        <f>IFERROR(__xludf.DUMMYFUNCTION("IF(C9588&lt;&gt;"""", GOOGLETRANSLATE(C9588, ""en"", ""te""),"""")"),"")</f>
        <v/>
      </c>
      <c r="E9588" s="2"/>
      <c r="F9588" s="2" t="str">
        <f>IFERROR(__xludf.DUMMYFUNCTION("IF(E9588&lt;&gt;"""", GOOGLETRANSLATE(E9588, ""en"", ""te""),"""")"),"")</f>
        <v/>
      </c>
      <c r="G9588" s="2"/>
      <c r="H9588" s="2" t="str">
        <f>IFERROR(__xludf.DUMMYFUNCTION("IF(G9588&lt;&gt;"""", GOOGLETRANSLATE(G9588, ""en"", ""te""),"""")"),"")</f>
        <v/>
      </c>
      <c r="I9588" s="3"/>
    </row>
    <row r="9589" customHeight="1" spans="1:9">
      <c r="A9589" s="2"/>
      <c r="B9589" s="2" t="str">
        <f>IFERROR(__xludf.DUMMYFUNCTION("IF(A9589&lt;&gt;"""", GOOGLETRANSLATE(A9589, ""en"", ""te""),"""")"),"")</f>
        <v/>
      </c>
      <c r="C9589" s="2"/>
      <c r="D9589" s="2" t="str">
        <f>IFERROR(__xludf.DUMMYFUNCTION("IF(C9589&lt;&gt;"""", GOOGLETRANSLATE(C9589, ""en"", ""te""),"""")"),"")</f>
        <v/>
      </c>
      <c r="E9589" s="2"/>
      <c r="F9589" s="2" t="str">
        <f>IFERROR(__xludf.DUMMYFUNCTION("IF(E9589&lt;&gt;"""", GOOGLETRANSLATE(E9589, ""en"", ""te""),"""")"),"")</f>
        <v/>
      </c>
      <c r="G9589" s="2"/>
      <c r="H9589" s="2" t="str">
        <f>IFERROR(__xludf.DUMMYFUNCTION("IF(G9589&lt;&gt;"""", GOOGLETRANSLATE(G9589, ""en"", ""te""),"""")"),"")</f>
        <v/>
      </c>
      <c r="I9589" s="3"/>
    </row>
    <row r="9590" customHeight="1" spans="1:9">
      <c r="A9590" s="2"/>
      <c r="B9590" s="2" t="str">
        <f>IFERROR(__xludf.DUMMYFUNCTION("IF(A9590&lt;&gt;"""", GOOGLETRANSLATE(A9590, ""en"", ""te""),"""")"),"")</f>
        <v/>
      </c>
      <c r="C9590" s="2"/>
      <c r="D9590" s="2" t="str">
        <f>IFERROR(__xludf.DUMMYFUNCTION("IF(C9590&lt;&gt;"""", GOOGLETRANSLATE(C9590, ""en"", ""te""),"""")"),"")</f>
        <v/>
      </c>
      <c r="E9590" s="2" t="s">
        <v>5499</v>
      </c>
      <c r="F9590" s="2" t="str">
        <f>IFERROR(__xludf.DUMMYFUNCTION("IF(E9590&lt;&gt;"""", GOOGLETRANSLATE(E9590, ""en"", ""te""),"""")"),"[ 'నాలుగో వికెట్కు (202) కోసం 16 అత్యధిక భాగస్వామ్యం']")</f>
        <v>[ 'నాలుగో వికెట్కు (202) కోసం 16 అత్యధిక భాగస్వామ్యం']</v>
      </c>
      <c r="G9590" s="2"/>
      <c r="H9590" s="2" t="str">
        <f>IFERROR(__xludf.DUMMYFUNCTION("IF(G9590&lt;&gt;"""", GOOGLETRANSLATE(G9590, ""en"", ""te""),"""")"),"")</f>
        <v/>
      </c>
      <c r="I9590" s="3"/>
    </row>
    <row r="9591" customHeight="1" spans="1:9">
      <c r="A9591" s="2"/>
      <c r="B9591" s="2" t="str">
        <f>IFERROR(__xludf.DUMMYFUNCTION("IF(A9591&lt;&gt;"""", GOOGLETRANSLATE(A9591, ""en"", ""te""),"""")"),"")</f>
        <v/>
      </c>
      <c r="C9591" s="2"/>
      <c r="D9591" s="2" t="str">
        <f>IFERROR(__xludf.DUMMYFUNCTION("IF(C9591&lt;&gt;"""", GOOGLETRANSLATE(C9591, ""en"", ""te""),"""")"),"")</f>
        <v/>
      </c>
      <c r="E9591" s="2"/>
      <c r="F9591" s="2" t="str">
        <f>IFERROR(__xludf.DUMMYFUNCTION("IF(E9591&lt;&gt;"""", GOOGLETRANSLATE(E9591, ""en"", ""te""),"""")"),"")</f>
        <v/>
      </c>
      <c r="G9591" s="2"/>
      <c r="H9591" s="2" t="str">
        <f>IFERROR(__xludf.DUMMYFUNCTION("IF(G9591&lt;&gt;"""", GOOGLETRANSLATE(G9591, ""en"", ""te""),"""")"),"")</f>
        <v/>
      </c>
      <c r="I9591" s="3"/>
    </row>
    <row r="9592" customHeight="1" spans="1:9">
      <c r="A9592" s="2"/>
      <c r="B9592" s="2" t="str">
        <f>IFERROR(__xludf.DUMMYFUNCTION("IF(A9592&lt;&gt;"""", GOOGLETRANSLATE(A9592, ""en"", ""te""),"""")"),"")</f>
        <v/>
      </c>
      <c r="C9592" s="2"/>
      <c r="D9592" s="2" t="str">
        <f>IFERROR(__xludf.DUMMYFUNCTION("IF(C9592&lt;&gt;"""", GOOGLETRANSLATE(C9592, ""en"", ""te""),"""")"),"")</f>
        <v/>
      </c>
      <c r="E9592" s="2"/>
      <c r="F9592" s="2" t="str">
        <f>IFERROR(__xludf.DUMMYFUNCTION("IF(E9592&lt;&gt;"""", GOOGLETRANSLATE(E9592, ""en"", ""te""),"""")"),"")</f>
        <v/>
      </c>
      <c r="G9592" s="2"/>
      <c r="H9592" s="2" t="str">
        <f>IFERROR(__xludf.DUMMYFUNCTION("IF(G9592&lt;&gt;"""", GOOGLETRANSLATE(G9592, ""en"", ""te""),"""")"),"")</f>
        <v/>
      </c>
      <c r="I9592" s="3"/>
    </row>
    <row r="9593" customHeight="1" spans="1:9">
      <c r="A9593" s="2"/>
      <c r="B9593" s="2" t="str">
        <f>IFERROR(__xludf.DUMMYFUNCTION("IF(A9593&lt;&gt;"""", GOOGLETRANSLATE(A9593, ""en"", ""te""),"""")"),"")</f>
        <v/>
      </c>
      <c r="C9593" s="2"/>
      <c r="D9593" s="2" t="str">
        <f>IFERROR(__xludf.DUMMYFUNCTION("IF(C9593&lt;&gt;"""", GOOGLETRANSLATE(C9593, ""en"", ""te""),"""")"),"")</f>
        <v/>
      </c>
      <c r="E9593" s="2"/>
      <c r="F9593" s="2" t="str">
        <f>IFERROR(__xludf.DUMMYFUNCTION("IF(E9593&lt;&gt;"""", GOOGLETRANSLATE(E9593, ""en"", ""te""),"""")"),"")</f>
        <v/>
      </c>
      <c r="G9593" s="2"/>
      <c r="H9593" s="2" t="str">
        <f>IFERROR(__xludf.DUMMYFUNCTION("IF(G9593&lt;&gt;"""", GOOGLETRANSLATE(G9593, ""en"", ""te""),"""")"),"")</f>
        <v/>
      </c>
      <c r="I9593" s="3"/>
    </row>
    <row r="9594" customHeight="1" spans="1:9">
      <c r="A9594" s="2" t="s">
        <v>5500</v>
      </c>
      <c r="B9594" s="2" t="str">
        <f>IFERROR(__xludf.DUMMYFUNCTION("IF(A9594&lt;&gt;"""", GOOGLETRANSLATE(A9594, ""en"", ""te""),"""")"),"[ 'వంద (2418) లేకుండా ఒక వృత్తిలో 8 వ అత్యధిక పరుగులు' '1 వ 99 (199, 299 etc) (99) అవుటయ్యాడు', '9 వ అసాధారణ వికెట్లు (bal నిర్వహించింది)', 'బ్యాటింగ్ మరియు బౌలింగ్ తెరవడం ఒక ',' 7 వ లాంగెస్ట్ కెరీర్లు (13y 348d) ',' ఒక ఇన్నింగ్స్ లో ఒక ప్రత్యామ్నాయంగా 3 "&amp;"వ అత్యధిక క్యాచ్లు (2) ',' ఒక వృత్తిలో 2 వ అత్యధిక పరుగులు లేకుండా అదే మ్యాచ్ లో వంద (3209) ']")</f>
        <v>[ 'వంద (2418) లేకుండా ఒక వృత్తిలో 8 వ అత్యధిక పరుగులు' '1 వ 99 (199, 299 etc) (99) అవుటయ్యాడు', '9 వ అసాధారణ వికెట్లు (bal నిర్వహించింది)', 'బ్యాటింగ్ మరియు బౌలింగ్ తెరవడం ఒక ',' 7 వ లాంగెస్ట్ కెరీర్లు (13y 348d) ',' ఒక ఇన్నింగ్స్ లో ఒక ప్రత్యామ్నాయంగా 3 వ అత్యధిక క్యాచ్లు (2) ',' ఒక వృత్తిలో 2 వ అత్యధిక పరుగులు లేకుండా అదే మ్యాచ్ లో వంద (3209) ']</v>
      </c>
      <c r="C9594" s="2" t="s">
        <v>5501</v>
      </c>
      <c r="D9594" s="2" t="str">
        <f>IFERROR(__xludf.DUMMYFUNCTION("IF(C9594&lt;&gt;"""", GOOGLETRANSLATE(C9594, ""en"", ""te""),"""")"),"[ '28 చెత్త కెరీర్ బౌలింగ్ సరాసరి (అర్హత లేకుండా) (162.00)']")</f>
        <v>[ '28 చెత్త కెరీర్ బౌలింగ్ సరాసరి (అర్హత లేకుండా) (162.00)']</v>
      </c>
      <c r="E9594" s="2" t="s">
        <v>5502</v>
      </c>
      <c r="F9594" s="2" t="str">
        <f>IFERROR(__xludf.DUMMYFUNCTION("IF(E9594&lt;&gt;"""", GOOGLETRANSLATE(E9594, ""en"", ""te""),"""")"),"[ '99 (199, 299 etc) (99) అవుటయ్యాడు 1st', '8 వ వంద (2418) లేకుండా ఒక జీవితంలో అత్యధిక పరుగులు', '9 వ అసాధారణ వికెట్లు (bal నిర్వహించింది)', '48 వ చెత్త కెరీర్ సగటు బౌలింగ్ (46.60) ',' 26 చెత్త కెరీర్లో ఆర్థిక రేటు (5.82) ']")</f>
        <v>[ '99 (199, 299 etc) (99) అవుటయ్యాడు 1st', '8 వ వంద (2418) లేకుండా ఒక జీవితంలో అత్యధిక పరుగులు', '9 వ అసాధారణ వికెట్లు (bal నిర్వహించింది)', '48 వ చెత్త కెరీర్ సగటు బౌలింగ్ (46.60) ',' 26 చెత్త కెరీర్లో ఆర్థిక రేటు (5.82) ']</v>
      </c>
      <c r="G9594" s="2" t="s">
        <v>5503</v>
      </c>
      <c r="H9594" s="2" t="str">
        <f>IFERROR(__xludf.DUMMYFUNCTION("IF(G9594&lt;&gt;"""", GOOGLETRANSLATE(G9594, ""en"", ""te""),"""")"),"[ '27 ఒకే మైదానంలో అత్యధిక పరుగులు (311)', '29 వ అత్యధిక ఇన్నింగ్స్ తొలి డక్ ముందు (20)', '43 వ అత్యధిక పరుగులు ఇన్నింగ్స్ లో సాధించిన (56)', 'ఒక ఇన్నింగ్స్ లో ఒక ప్రత్యామ్నాయంగా 3 వ అత్యధిక క్యాచ్లు ( 2) ',' 7 వ లాంగెస్ట్ కెరీర్లు (13y 348d) ']")</f>
        <v>[ '27 ఒకే మైదానంలో అత్యధిక పరుగులు (311)', '29 వ అత్యధిక ఇన్నింగ్స్ తొలి డక్ ముందు (20)', '43 వ అత్యధిక పరుగులు ఇన్నింగ్స్ లో సాధించిన (56)', 'ఒక ఇన్నింగ్స్ లో ఒక ప్రత్యామ్నాయంగా 3 వ అత్యధిక క్యాచ్లు ( 2) ',' 7 వ లాంగెస్ట్ కెరీర్లు (13y 348d) ']</v>
      </c>
      <c r="I9594" s="3"/>
    </row>
    <row r="9595" customHeight="1" spans="1:9">
      <c r="A9595" s="2"/>
      <c r="B9595" s="2" t="str">
        <f>IFERROR(__xludf.DUMMYFUNCTION("IF(A9595&lt;&gt;"""", GOOGLETRANSLATE(A9595, ""en"", ""te""),"""")"),"")</f>
        <v/>
      </c>
      <c r="C9595" s="2"/>
      <c r="D9595" s="2" t="str">
        <f>IFERROR(__xludf.DUMMYFUNCTION("IF(C9595&lt;&gt;"""", GOOGLETRANSLATE(C9595, ""en"", ""te""),"""")"),"")</f>
        <v/>
      </c>
      <c r="E9595" s="2"/>
      <c r="F9595" s="2" t="str">
        <f>IFERROR(__xludf.DUMMYFUNCTION("IF(E9595&lt;&gt;"""", GOOGLETRANSLATE(E9595, ""en"", ""te""),"""")"),"")</f>
        <v/>
      </c>
      <c r="G9595" s="2"/>
      <c r="H9595" s="2" t="str">
        <f>IFERROR(__xludf.DUMMYFUNCTION("IF(G9595&lt;&gt;"""", GOOGLETRANSLATE(G9595, ""en"", ""te""),"""")"),"")</f>
        <v/>
      </c>
      <c r="I9595" s="3"/>
    </row>
    <row r="9596" customHeight="1" spans="1:9">
      <c r="A9596" s="2"/>
      <c r="B9596" s="2" t="str">
        <f>IFERROR(__xludf.DUMMYFUNCTION("IF(A9596&lt;&gt;"""", GOOGLETRANSLATE(A9596, ""en"", ""te""),"""")"),"")</f>
        <v/>
      </c>
      <c r="C9596" s="2"/>
      <c r="D9596" s="2" t="str">
        <f>IFERROR(__xludf.DUMMYFUNCTION("IF(C9596&lt;&gt;"""", GOOGLETRANSLATE(C9596, ""en"", ""te""),"""")"),"")</f>
        <v/>
      </c>
      <c r="E9596" s="2"/>
      <c r="F9596" s="2" t="str">
        <f>IFERROR(__xludf.DUMMYFUNCTION("IF(E9596&lt;&gt;"""", GOOGLETRANSLATE(E9596, ""en"", ""te""),"""")"),"")</f>
        <v/>
      </c>
      <c r="G9596" s="2"/>
      <c r="H9596" s="2" t="str">
        <f>IFERROR(__xludf.DUMMYFUNCTION("IF(G9596&lt;&gt;"""", GOOGLETRANSLATE(G9596, ""en"", ""te""),"""")"),"")</f>
        <v/>
      </c>
      <c r="I9596" s="3"/>
    </row>
    <row r="9597" customHeight="1" spans="1:9">
      <c r="A9597" s="2"/>
      <c r="B9597" s="2" t="str">
        <f>IFERROR(__xludf.DUMMYFUNCTION("IF(A9597&lt;&gt;"""", GOOGLETRANSLATE(A9597, ""en"", ""te""),"""")"),"")</f>
        <v/>
      </c>
      <c r="C9597" s="2"/>
      <c r="D9597" s="2" t="str">
        <f>IFERROR(__xludf.DUMMYFUNCTION("IF(C9597&lt;&gt;"""", GOOGLETRANSLATE(C9597, ""en"", ""te""),"""")"),"")</f>
        <v/>
      </c>
      <c r="E9597" s="2" t="s">
        <v>549</v>
      </c>
      <c r="F9597" s="2" t="str">
        <f>IFERROR(__xludf.DUMMYFUNCTION("IF(E9597&lt;&gt;"""", GOOGLETRANSLATE(E9597, ""en"", ""te""),"""")"),"[ 'తొలి ఇన్నింగ్స్ 15 వ బెస్ట్ ఫిగర్స్ (4)']")</f>
        <v>[ 'తొలి ఇన్నింగ్స్ 15 వ బెస్ట్ ఫిగర్స్ (4)']</v>
      </c>
      <c r="G9597" s="2"/>
      <c r="H9597" s="2" t="str">
        <f>IFERROR(__xludf.DUMMYFUNCTION("IF(G9597&lt;&gt;"""", GOOGLETRANSLATE(G9597, ""en"", ""te""),"""")"),"")</f>
        <v/>
      </c>
      <c r="I9597" s="3"/>
    </row>
    <row r="9598" customHeight="1" spans="1:9">
      <c r="A9598" s="2"/>
      <c r="B9598" s="2" t="str">
        <f>IFERROR(__xludf.DUMMYFUNCTION("IF(A9598&lt;&gt;"""", GOOGLETRANSLATE(A9598, ""en"", ""te""),"""")"),"")</f>
        <v/>
      </c>
      <c r="C9598" s="2"/>
      <c r="D9598" s="2" t="str">
        <f>IFERROR(__xludf.DUMMYFUNCTION("IF(C9598&lt;&gt;"""", GOOGLETRANSLATE(C9598, ""en"", ""te""),"""")"),"")</f>
        <v/>
      </c>
      <c r="E9598" s="2"/>
      <c r="F9598" s="2" t="str">
        <f>IFERROR(__xludf.DUMMYFUNCTION("IF(E9598&lt;&gt;"""", GOOGLETRANSLATE(E9598, ""en"", ""te""),"""")"),"")</f>
        <v/>
      </c>
      <c r="G9598" s="2"/>
      <c r="H9598" s="2" t="str">
        <f>IFERROR(__xludf.DUMMYFUNCTION("IF(G9598&lt;&gt;"""", GOOGLETRANSLATE(G9598, ""en"", ""te""),"""")"),"")</f>
        <v/>
      </c>
      <c r="I9598" s="3"/>
    </row>
    <row r="9599" customHeight="1" spans="1:9">
      <c r="A9599" s="2" t="s">
        <v>5504</v>
      </c>
      <c r="B9599" s="2" t="str">
        <f>IFERROR(__xludf.DUMMYFUNCTION("IF(A9599&lt;&gt;"""", GOOGLETRANSLATE(A9599, ""en"", ""te""),"""")"),"[ '1st అత్యుత్తమ ఇన్నింగ్స్ (4/4) విశ్లేషణలలో బౌలింగ్']")</f>
        <v>[ '1st అత్యుత్తమ ఇన్నింగ్స్ (4/4) విశ్లేషణలలో బౌలింగ్']</v>
      </c>
      <c r="C9599" s="2" t="s">
        <v>5505</v>
      </c>
      <c r="D9599" s="2" t="str">
        <f>IFERROR(__xludf.DUMMYFUNCTION("IF(C9599&lt;&gt;"""", GOOGLETRANSLATE(C9599, ""en"", ""te""),"""")"),"[ 'ఒక కెప్టెన్తో ఒక మ్యాచ్లో 21 వ బెస్ట్ ఫిగర్స్ (9)' '1 వ అత్యుత్తమ ఇన్నింగ్స్ లో బౌలింగ్ విశ్లేషణలు (4/4)', '28th ఉత్తమ సమ్మె ఇన్నింగ్స్ లో రేటు (8.0)', '18 వ చెత్త కెరీర్లో ఎకానమీ రేట్ (3.70) ',' 19 వ అత్యధిక పరుగులు ఒక మ్యాచ్ (275) లో సాధించిన]")</f>
        <v>[ 'ఒక కెప్టెన్తో ఒక మ్యాచ్లో 21 వ బెస్ట్ ఫిగర్స్ (9)' '1 వ అత్యుత్తమ ఇన్నింగ్స్ లో బౌలింగ్ విశ్లేషణలు (4/4)', '28th ఉత్తమ సమ్మె ఇన్నింగ్స్ లో రేటు (8.0)', '18 వ చెత్త కెరీర్లో ఎకానమీ రేట్ (3.70) ',' 19 వ అత్యధిక పరుగులు ఒక మ్యాచ్ (275) లో సాధించిన]</v>
      </c>
      <c r="E9599" s="2" t="s">
        <v>5506</v>
      </c>
      <c r="F9599" s="2" t="str">
        <f>IFERROR(__xludf.DUMMYFUNCTION("IF(E9599&lt;&gt;"""", GOOGLETRANSLATE(E9599, ""en"", ""te""),"""")"),"[ '39 వ ఒకే మైదానంలో అత్యధిక వికెట్లు (34)', 'ఒక కెప్టెన్తో ఒక ఇన్నింగ్స్ లో 6 వ ఉత్తమ బొమ్మలు (5)', '14 వ ఒక ఇన్నింగ్స్ లోని బెస్ట్ ఫిగర్స్ ఉన్నప్పుడు పరాజయం వైపు (5)', '25 వ అత్యంత ఐదు -wickets-ఇన్-ఒక-ఇన్నింగ్స్ కెరీర్లో (3) ',' 26th అత్యధిక వికెట్లు "&amp;"స్టంప్ తీసుకున్న (13) ',' ఒక జట్టు కెప్టెన్గా 38 వ వరుస మ్యాచ్లు (35) ']")</f>
        <v>[ '39 వ ఒకే మైదానంలో అత్యధిక వికెట్లు (34)', 'ఒక కెప్టెన్తో ఒక ఇన్నింగ్స్ లో 6 వ ఉత్తమ బొమ్మలు (5)', '14 వ ఒక ఇన్నింగ్స్ లోని బెస్ట్ ఫిగర్స్ ఉన్నప్పుడు పరాజయం వైపు (5)', '25 వ అత్యంత ఐదు -wickets-ఇన్-ఒక-ఇన్నింగ్స్ కెరీర్లో (3) ',' 26th అత్యధిక వికెట్లు స్టంప్ తీసుకున్న (13) ',' ఒక జట్టు కెప్టెన్గా 38 వ వరుస మ్యాచ్లు (35) ']</v>
      </c>
      <c r="G9599" s="2" t="s">
        <v>5507</v>
      </c>
      <c r="H9599" s="2" t="str">
        <f>IFERROR(__xludf.DUMMYFUNCTION("IF(G9599&lt;&gt;"""", GOOGLETRANSLATE(G9599, ""en"", ""te""),"""")"),"[ '17 వ ఉత్తమ కెరీర్ బౌలింగ్ సరాసరి (18.85)', '38 వ ఉత్తమ కెరీర్ ఆర్థిక రేటు (6.94)', '23 వ ఉత్తమ కెరీర్ సమ్మె రేటు (16.2)', '24 వ అత్యధిక వికెట్లు తీసుకున్న ఎల్బిడబ్ల్యు (6)', '37 వ వరుస మ్యాచ్లు 'బృందం (35) కెప్టెన్ గా]")</f>
        <v>[ '17 వ ఉత్తమ కెరీర్ బౌలింగ్ సరాసరి (18.85)', '38 వ ఉత్తమ కెరీర్ ఆర్థిక రేటు (6.94)', '23 వ ఉత్తమ కెరీర్ సమ్మె రేటు (16.2)', '24 వ అత్యధిక వికెట్లు తీసుకున్న ఎల్బిడబ్ల్యు (6)', '37 వ వరుస మ్యాచ్లు 'బృందం (35) కెప్టెన్ గా]</v>
      </c>
      <c r="I9599" s="3"/>
    </row>
    <row r="9600" customHeight="1" spans="1:9">
      <c r="A9600" s="2"/>
      <c r="B9600" s="2" t="str">
        <f>IFERROR(__xludf.DUMMYFUNCTION("IF(A9600&lt;&gt;"""", GOOGLETRANSLATE(A9600, ""en"", ""te""),"""")"),"")</f>
        <v/>
      </c>
      <c r="C9600" s="2"/>
      <c r="D9600" s="2" t="str">
        <f>IFERROR(__xludf.DUMMYFUNCTION("IF(C9600&lt;&gt;"""", GOOGLETRANSLATE(C9600, ""en"", ""te""),"""")"),"")</f>
        <v/>
      </c>
      <c r="E9600" s="2"/>
      <c r="F9600" s="2" t="str">
        <f>IFERROR(__xludf.DUMMYFUNCTION("IF(E9600&lt;&gt;"""", GOOGLETRANSLATE(E9600, ""en"", ""te""),"""")"),"")</f>
        <v/>
      </c>
      <c r="G9600" s="2"/>
      <c r="H9600" s="2" t="str">
        <f>IFERROR(__xludf.DUMMYFUNCTION("IF(G9600&lt;&gt;"""", GOOGLETRANSLATE(G9600, ""en"", ""te""),"""")"),"")</f>
        <v/>
      </c>
      <c r="I9600" s="3"/>
    </row>
    <row r="9601" customHeight="1" spans="1:9">
      <c r="A9601" s="2" t="s">
        <v>5508</v>
      </c>
      <c r="B9601" s="2" t="str">
        <f>IFERROR(__xludf.DUMMYFUNCTION("IF(A9601&lt;&gt;"""", GOOGLETRANSLATE(A9601, ""en"", ""te""),"""")"),"[ '1st పరాజయం వైపు ఒక మ్యాచ్ (194 *) లో అత్యధిక పరుగులు', '1 వ అత్యధిక తొలి వంద (194 *)', 'ఒక ఇన్నింగ్స్లో పరుగుల 8 వ అత్యధిక శాతం (62.17)', '8 వ అత్యంత సాధించిన బైస్ ఇన్నింగ్స్ (8) ']")</f>
        <v>[ '1st పరాజయం వైపు ఒక మ్యాచ్ (194 *) లో అత్యధిక పరుగులు', '1 వ అత్యధిక తొలి వంద (194 *)', 'ఒక ఇన్నింగ్స్లో పరుగుల 8 వ అత్యధిక శాతం (62.17)', '8 వ అత్యంత సాధించిన బైస్ ఇన్నింగ్స్ (8) ']</v>
      </c>
      <c r="C9601" s="2"/>
      <c r="D9601" s="2" t="str">
        <f>IFERROR(__xludf.DUMMYFUNCTION("IF(C9601&lt;&gt;"""", GOOGLETRANSLATE(C9601, ""en"", ""te""),"""")"),"")</f>
        <v/>
      </c>
      <c r="E9601" s="2" t="s">
        <v>5509</v>
      </c>
      <c r="F9601" s="2" t="str">
        <f>IFERROR(__xludf.DUMMYFUNCTION("IF(E9601&lt;&gt;"""", GOOGLETRANSLATE(E9601, ""en"", ""te""),"""")"),"[ 'ఇన్నింగ్స్ లో 9 వ అత్యధిక పరుగులు (194 *)', 'ఇన్నింగ్స్ లో 1 వ అత్యధిక పరుగులు (194 *) (బ్యాటింగ్ స్థానం)' 'ఇన్నింగ్స్ లో 9 వ అత్యధిక పరుగులు (ప్రగతిశీల రికార్డు హోల్డర్) (194 *)', 'ఇన్నింగ్స్ లో ఫోర్లు, సిక్సర్లు నుండి 38 వ అత్యధిక పరుగులు (106)' '1 వ"&amp;" అత్యంత పరాజయం వైపు ఒక మ్యాచ్ (194 *) పరుగులు', '1 వ అత్యధిక తొలి వంద (194 *)', 'పరుగులు 8 వ అత్యధిక శాతం ఒక ఇన్నింగ్స్లో (62.17) ']")</f>
        <v>[ 'ఇన్నింగ్స్ లో 9 వ అత్యధిక పరుగులు (194 *)', 'ఇన్నింగ్స్ లో 1 వ అత్యధిక పరుగులు (194 *) (బ్యాటింగ్ స్థానం)' 'ఇన్నింగ్స్ లో 9 వ అత్యధిక పరుగులు (ప్రగతిశీల రికార్డు హోల్డర్) (194 *)', 'ఇన్నింగ్స్ లో ఫోర్లు, సిక్సర్లు నుండి 38 వ అత్యధిక పరుగులు (106)' '1 వ అత్యంత పరాజయం వైపు ఒక మ్యాచ్ (194 *) పరుగులు', '1 వ అత్యధిక తొలి వంద (194 *)', 'పరుగులు 8 వ అత్యధిక శాతం ఒక ఇన్నింగ్స్లో (62.17) ']</v>
      </c>
      <c r="G9601" s="2" t="s">
        <v>389</v>
      </c>
      <c r="H9601" s="2" t="str">
        <f>IFERROR(__xludf.DUMMYFUNCTION("IF(G9601&lt;&gt;"""", GOOGLETRANSLATE(G9601, ""en"", ""te""),"""")"),"[ '8 వ అత్యంత ఇన్నింగ్స్ లో సాధించిన బైస్ (8)']")</f>
        <v>[ '8 వ అత్యంత ఇన్నింగ్స్ లో సాధించిన బైస్ (8)']</v>
      </c>
      <c r="I9601" s="3"/>
    </row>
    <row r="9602" customHeight="1" spans="1:9">
      <c r="A9602" s="2"/>
      <c r="B9602" s="2" t="str">
        <f>IFERROR(__xludf.DUMMYFUNCTION("IF(A9602&lt;&gt;"""", GOOGLETRANSLATE(A9602, ""en"", ""te""),"""")"),"")</f>
        <v/>
      </c>
      <c r="C9602" s="2"/>
      <c r="D9602" s="2" t="str">
        <f>IFERROR(__xludf.DUMMYFUNCTION("IF(C9602&lt;&gt;"""", GOOGLETRANSLATE(C9602, ""en"", ""te""),"""")"),"")</f>
        <v/>
      </c>
      <c r="E9602" s="2"/>
      <c r="F9602" s="2" t="str">
        <f>IFERROR(__xludf.DUMMYFUNCTION("IF(E9602&lt;&gt;"""", GOOGLETRANSLATE(E9602, ""en"", ""te""),"""")"),"")</f>
        <v/>
      </c>
      <c r="G9602" s="2"/>
      <c r="H9602" s="2" t="str">
        <f>IFERROR(__xludf.DUMMYFUNCTION("IF(G9602&lt;&gt;"""", GOOGLETRANSLATE(G9602, ""en"", ""te""),"""")"),"")</f>
        <v/>
      </c>
      <c r="I9602" s="3"/>
    </row>
    <row r="9603" customHeight="1" spans="1:9">
      <c r="A9603" s="2"/>
      <c r="B9603" s="2" t="str">
        <f>IFERROR(__xludf.DUMMYFUNCTION("IF(A9603&lt;&gt;"""", GOOGLETRANSLATE(A9603, ""en"", ""te""),"""")"),"")</f>
        <v/>
      </c>
      <c r="C9603" s="2"/>
      <c r="D9603" s="2" t="str">
        <f>IFERROR(__xludf.DUMMYFUNCTION("IF(C9603&lt;&gt;"""", GOOGLETRANSLATE(C9603, ""en"", ""te""),"""")"),"")</f>
        <v/>
      </c>
      <c r="E9603" s="2"/>
      <c r="F9603" s="2" t="str">
        <f>IFERROR(__xludf.DUMMYFUNCTION("IF(E9603&lt;&gt;"""", GOOGLETRANSLATE(E9603, ""en"", ""te""),"""")"),"")</f>
        <v/>
      </c>
      <c r="G9603" s="2"/>
      <c r="H9603" s="2" t="str">
        <f>IFERROR(__xludf.DUMMYFUNCTION("IF(G9603&lt;&gt;"""", GOOGLETRANSLATE(G9603, ""en"", ""te""),"""")"),"")</f>
        <v/>
      </c>
      <c r="I9603" s="3"/>
    </row>
    <row r="9604" customHeight="1" spans="1:9">
      <c r="A9604" s="2"/>
      <c r="B9604" s="2" t="str">
        <f>IFERROR(__xludf.DUMMYFUNCTION("IF(A9604&lt;&gt;"""", GOOGLETRANSLATE(A9604, ""en"", ""te""),"""")"),"")</f>
        <v/>
      </c>
      <c r="C9604" s="2"/>
      <c r="D9604" s="2" t="str">
        <f>IFERROR(__xludf.DUMMYFUNCTION("IF(C9604&lt;&gt;"""", GOOGLETRANSLATE(C9604, ""en"", ""te""),"""")"),"")</f>
        <v/>
      </c>
      <c r="E9604" s="2"/>
      <c r="F9604" s="2" t="str">
        <f>IFERROR(__xludf.DUMMYFUNCTION("IF(E9604&lt;&gt;"""", GOOGLETRANSLATE(E9604, ""en"", ""te""),"""")"),"")</f>
        <v/>
      </c>
      <c r="G9604" s="2"/>
      <c r="H9604" s="2" t="str">
        <f>IFERROR(__xludf.DUMMYFUNCTION("IF(G9604&lt;&gt;"""", GOOGLETRANSLATE(G9604, ""en"", ""te""),"""")"),"")</f>
        <v/>
      </c>
      <c r="I9604" s="3"/>
    </row>
    <row r="9605" customHeight="1" spans="1:9">
      <c r="A9605" s="2" t="s">
        <v>2372</v>
      </c>
      <c r="B9605" s="2" t="str">
        <f>IFERROR(__xludf.DUMMYFUNCTION("IF(A9605&lt;&gt;"""", GOOGLETRANSLATE(A9605, ""en"", ""te""),"""")"),"[ 'ఇన్నింగ్స్ లో 1 వ అత్యంత స్టంపింగ్లు (3)']")</f>
        <v>[ 'ఇన్నింగ్స్ లో 1 వ అత్యంత స్టంపింగ్లు (3)']</v>
      </c>
      <c r="C9605" s="2"/>
      <c r="D9605" s="2" t="str">
        <f>IFERROR(__xludf.DUMMYFUNCTION("IF(C9605&lt;&gt;"""", GOOGLETRANSLATE(C9605, ""en"", ""te""),"""")"),"")</f>
        <v/>
      </c>
      <c r="E9605" s="2" t="s">
        <v>5510</v>
      </c>
      <c r="F9605" s="2" t="str">
        <f>IFERROR(__xludf.DUMMYFUNCTION("IF(E9605&lt;&gt;"""", GOOGLETRANSLATE(E9605, ""en"", ""te""),"""")"),"[ 'ఇన్నింగ్స్ లో 11 వ అత్యధిక క్యాచ్లు (5)', 'ఇన్నింగ్స్ (5) 16 వ అత్యధిక వికెట్లు' 'ఇన్నింగ్స్ లో 1 వ అత్యంత స్టంపింగ్లు (3)']")</f>
        <v>[ 'ఇన్నింగ్స్ లో 11 వ అత్యధిక క్యాచ్లు (5)', 'ఇన్నింగ్స్ (5) 16 వ అత్యధిక వికెట్లు' 'ఇన్నింగ్స్ లో 1 వ అత్యంత స్టంపింగ్లు (3)']</v>
      </c>
      <c r="G9605" s="2" t="s">
        <v>5511</v>
      </c>
      <c r="H9605" s="2" t="str">
        <f>IFERROR(__xludf.DUMMYFUNCTION("IF(G9605&lt;&gt;"""", GOOGLETRANSLATE(G9605, ""en"", ""te""),"""")"),"[ '38 వ ఇన్నింగ్స్ లో అత్యధిక పరుగులు (బ్యాటింగ్ స్థానంలో ప్రకారం) (42 *)', '32 వ కెరీర్ బాతులు (5)', 'ఏడవ వికెట్కు 49 వ అత్యధిక భాగస్వామ్యం (45)', '24th లాంగెస్ట్ కెరీర్లు (12y 195d ) ']")</f>
        <v>[ '38 వ ఇన్నింగ్స్ లో అత్యధిక పరుగులు (బ్యాటింగ్ స్థానంలో ప్రకారం) (42 *)', '32 వ కెరీర్ బాతులు (5)', 'ఏడవ వికెట్కు 49 వ అత్యధిక భాగస్వామ్యం (45)', '24th లాంగెస్ట్ కెరీర్లు (12y 195d ) ']</v>
      </c>
      <c r="I9605" s="3"/>
    </row>
    <row r="9606" customHeight="1" spans="1:9">
      <c r="A9606" s="2"/>
      <c r="B9606" s="2" t="str">
        <f>IFERROR(__xludf.DUMMYFUNCTION("IF(A9606&lt;&gt;"""", GOOGLETRANSLATE(A9606, ""en"", ""te""),"""")"),"")</f>
        <v/>
      </c>
      <c r="C9606" s="2"/>
      <c r="D9606" s="2" t="str">
        <f>IFERROR(__xludf.DUMMYFUNCTION("IF(C9606&lt;&gt;"""", GOOGLETRANSLATE(C9606, ""en"", ""te""),"""")"),"")</f>
        <v/>
      </c>
      <c r="E9606" s="2"/>
      <c r="F9606" s="2" t="str">
        <f>IFERROR(__xludf.DUMMYFUNCTION("IF(E9606&lt;&gt;"""", GOOGLETRANSLATE(E9606, ""en"", ""te""),"""")"),"")</f>
        <v/>
      </c>
      <c r="G9606" s="2"/>
      <c r="H9606" s="2" t="str">
        <f>IFERROR(__xludf.DUMMYFUNCTION("IF(G9606&lt;&gt;"""", GOOGLETRANSLATE(G9606, ""en"", ""te""),"""")"),"")</f>
        <v/>
      </c>
      <c r="I9606" s="3"/>
    </row>
    <row r="9607" customHeight="1" spans="1:9">
      <c r="A9607" s="2"/>
      <c r="B9607" s="2" t="str">
        <f>IFERROR(__xludf.DUMMYFUNCTION("IF(A9607&lt;&gt;"""", GOOGLETRANSLATE(A9607, ""en"", ""te""),"""")"),"")</f>
        <v/>
      </c>
      <c r="C9607" s="2"/>
      <c r="D9607" s="2" t="str">
        <f>IFERROR(__xludf.DUMMYFUNCTION("IF(C9607&lt;&gt;"""", GOOGLETRANSLATE(C9607, ""en"", ""te""),"""")"),"")</f>
        <v/>
      </c>
      <c r="E9607" s="2"/>
      <c r="F9607" s="2" t="str">
        <f>IFERROR(__xludf.DUMMYFUNCTION("IF(E9607&lt;&gt;"""", GOOGLETRANSLATE(E9607, ""en"", ""te""),"""")"),"")</f>
        <v/>
      </c>
      <c r="G9607" s="2"/>
      <c r="H9607" s="2" t="str">
        <f>IFERROR(__xludf.DUMMYFUNCTION("IF(G9607&lt;&gt;"""", GOOGLETRANSLATE(G9607, ""en"", ""te""),"""")"),"")</f>
        <v/>
      </c>
      <c r="I9607" s="3"/>
    </row>
    <row r="9608" customHeight="1" spans="1:9">
      <c r="A9608" s="2"/>
      <c r="B9608" s="2" t="str">
        <f>IFERROR(__xludf.DUMMYFUNCTION("IF(A9608&lt;&gt;"""", GOOGLETRANSLATE(A9608, ""en"", ""te""),"""")"),"")</f>
        <v/>
      </c>
      <c r="C9608" s="2"/>
      <c r="D9608" s="2" t="str">
        <f>IFERROR(__xludf.DUMMYFUNCTION("IF(C9608&lt;&gt;"""", GOOGLETRANSLATE(C9608, ""en"", ""te""),"""")"),"")</f>
        <v/>
      </c>
      <c r="E9608" s="2"/>
      <c r="F9608" s="2" t="str">
        <f>IFERROR(__xludf.DUMMYFUNCTION("IF(E9608&lt;&gt;"""", GOOGLETRANSLATE(E9608, ""en"", ""te""),"""")"),"")</f>
        <v/>
      </c>
      <c r="G9608" s="2"/>
      <c r="H9608" s="2" t="str">
        <f>IFERROR(__xludf.DUMMYFUNCTION("IF(G9608&lt;&gt;"""", GOOGLETRANSLATE(G9608, ""en"", ""te""),"""")"),"")</f>
        <v/>
      </c>
      <c r="I9608" s="3"/>
    </row>
    <row r="9609" customHeight="1" spans="1:9">
      <c r="A9609" s="2"/>
      <c r="B9609" s="2" t="str">
        <f>IFERROR(__xludf.DUMMYFUNCTION("IF(A9609&lt;&gt;"""", GOOGLETRANSLATE(A9609, ""en"", ""te""),"""")"),"")</f>
        <v/>
      </c>
      <c r="C9609" s="2"/>
      <c r="D9609" s="2" t="str">
        <f>IFERROR(__xludf.DUMMYFUNCTION("IF(C9609&lt;&gt;"""", GOOGLETRANSLATE(C9609, ""en"", ""te""),"""")"),"")</f>
        <v/>
      </c>
      <c r="E9609" s="2"/>
      <c r="F9609" s="2" t="str">
        <f>IFERROR(__xludf.DUMMYFUNCTION("IF(E9609&lt;&gt;"""", GOOGLETRANSLATE(E9609, ""en"", ""te""),"""")"),"")</f>
        <v/>
      </c>
      <c r="G9609" s="2"/>
      <c r="H9609" s="2" t="str">
        <f>IFERROR(__xludf.DUMMYFUNCTION("IF(G9609&lt;&gt;"""", GOOGLETRANSLATE(G9609, ""en"", ""te""),"""")"),"")</f>
        <v/>
      </c>
      <c r="I9609" s="3"/>
    </row>
    <row r="9610" customHeight="1" spans="1:9">
      <c r="A9610" s="2"/>
      <c r="B9610" s="2" t="str">
        <f>IFERROR(__xludf.DUMMYFUNCTION("IF(A9610&lt;&gt;"""", GOOGLETRANSLATE(A9610, ""en"", ""te""),"""")"),"")</f>
        <v/>
      </c>
      <c r="C9610" s="2"/>
      <c r="D9610" s="2" t="str">
        <f>IFERROR(__xludf.DUMMYFUNCTION("IF(C9610&lt;&gt;"""", GOOGLETRANSLATE(C9610, ""en"", ""te""),"""")"),"")</f>
        <v/>
      </c>
      <c r="E9610" s="2"/>
      <c r="F9610" s="2" t="str">
        <f>IFERROR(__xludf.DUMMYFUNCTION("IF(E9610&lt;&gt;"""", GOOGLETRANSLATE(E9610, ""en"", ""te""),"""")"),"")</f>
        <v/>
      </c>
      <c r="G9610" s="2"/>
      <c r="H9610" s="2" t="str">
        <f>IFERROR(__xludf.DUMMYFUNCTION("IF(G9610&lt;&gt;"""", GOOGLETRANSLATE(G9610, ""en"", ""te""),"""")"),"")</f>
        <v/>
      </c>
      <c r="I9610" s="3"/>
    </row>
    <row r="9611" customHeight="1" spans="1:9">
      <c r="A9611" s="2" t="s">
        <v>5512</v>
      </c>
      <c r="B9611" s="2" t="str">
        <f>IFERROR(__xludf.DUMMYFUNCTION("IF(A9611&lt;&gt;"""", GOOGLETRANSLATE(A9611, ""en"", ""te""),"""")"),"[ 'ఇన్నింగ్స్ లో 2 వ అత్యధిక క్యాచ్లు (4)', '1000 పరుగులు మరియు 100 వికెట్లు', '1000 పరుగులు, 50 వికెట్లు, 50 క్యాచ్లు', 'ఎనిమిదవ వికెట్కు 4 వ అత్యధిక భాగస్వామ్యం (115)', '7 వ లాంగెస్ట్ కెరీర్లు ( 13y 348d) ',' ఒక ఇన్నింగ్స్ లో 8 వ బెస్ట్ ఫిగర్స్ పరాజయం వ"&amp;"ైపు ఉన్నప్పుడు (4) ']")</f>
        <v>[ 'ఇన్నింగ్స్ లో 2 వ అత్యధిక క్యాచ్లు (4)', '1000 పరుగులు మరియు 100 వికెట్లు', '1000 పరుగులు, 50 వికెట్లు, 50 క్యాచ్లు', 'ఎనిమిదవ వికెట్కు 4 వ అత్యధిక భాగస్వామ్యం (115)', '7 వ లాంగెస్ట్ కెరీర్లు ( 13y 348d) ',' ఒక ఇన్నింగ్స్ లో 8 వ బెస్ట్ ఫిగర్స్ పరాజయం వైపు ఉన్నప్పుడు (4) ']</v>
      </c>
      <c r="C9611" s="2" t="s">
        <v>5513</v>
      </c>
      <c r="D9611" s="2" t="str">
        <f>IFERROR(__xludf.DUMMYFUNCTION("IF(C9611&lt;&gt;"""", GOOGLETRANSLATE(C9611, ""en"", ""te""),"""")"),"[ '11 వ పిన్న ఆటగాడు ఐదు వికెట్ల లో-ఒక-ఇన్నింగ్స్ తీసుకోవాలని (18y 298d)', '45 వ పిన్న క్రీడాకారులు (18y 53d)']")</f>
        <v>[ '11 వ పిన్న ఆటగాడు ఐదు వికెట్ల లో-ఒక-ఇన్నింగ్స్ తీసుకోవాలని (18y 298d)', '45 వ పిన్న క్రీడాకారులు (18y 53d)']</v>
      </c>
      <c r="E9611" s="2" t="s">
        <v>5514</v>
      </c>
      <c r="F9611" s="2" t="str">
        <f>IFERROR(__xludf.DUMMYFUNCTION("IF(E9611&lt;&gt;"""", GOOGLETRANSLATE(E9611, ""en"", ""te""),"""")"),"[ '26 ఒకే క్రీడా (1286) లో అత్యధిక పరుగులు', '30 వ అత్యంత బాతులు కెరీర్ లో (17)', '36 వ ఎక్కువ సిక్స్ కెరీర్లో (106)', 'ఒక ఇన్నింగ్స్లో పరుగుల 48 వ అత్యధిక శాతం (54.54)' '19 చెత్త కెరీర్లో ఆర్థిక రేటు (5.91)', '42 వ అత్యంత ఇన్నింగ్స్ లో సాధించిన పరుగులు ("&amp;"92)' 'ఇన్నింగ్స్ లో 2 వ అత్యధిక క్యాచ్లు (4)', 'ఏడవ వికెట్కు 16 అత్యధిక భాగస్వామ్యం (114)', 'ఎనిమిదవ వికెట్కు 4 వ అత్యధిక భాగస్వామ్యం (115)', 'పదవ వికెట్కు 49 వ అత్యధిక భాగస్వామ్యం (46)', '50 వ వరుస జట్టు మ్యాచ్లు (71)', '43 వ అత్యధిక మ్యాచ్లు కెప్టెన్గా "&amp;"(62)', '27 పిన్న కాప్టెన్ (24y 75d)']")</f>
        <v>[ '26 ఒకే క్రీడా (1286) లో అత్యధిక పరుగులు', '30 వ అత్యంత బాతులు కెరీర్ లో (17)', '36 వ ఎక్కువ సిక్స్ కెరీర్లో (106)', 'ఒక ఇన్నింగ్స్లో పరుగుల 48 వ అత్యధిక శాతం (54.54)' '19 చెత్త కెరీర్లో ఆర్థిక రేటు (5.91)', '42 వ అత్యంత ఇన్నింగ్స్ లో సాధించిన పరుగులు (92)' 'ఇన్నింగ్స్ లో 2 వ అత్యధిక క్యాచ్లు (4)', 'ఏడవ వికెట్కు 16 అత్యధిక భాగస్వామ్యం (114)', 'ఎనిమిదవ వికెట్కు 4 వ అత్యధిక భాగస్వామ్యం (115)', 'పదవ వికెట్కు 49 వ అత్యధిక భాగస్వామ్యం (46)', '50 వ వరుస జట్టు మ్యాచ్లు (71)', '43 వ అత్యధిక మ్యాచ్లు కెప్టెన్గా (62)', '27 పిన్న కాప్టెన్ (24y 75d)']</v>
      </c>
      <c r="G9611" s="2" t="s">
        <v>5515</v>
      </c>
      <c r="H9611" s="2" t="str">
        <f>IFERROR(__xludf.DUMMYFUNCTION("IF(G9611&lt;&gt;"""", GOOGLETRANSLATE(G9611, ""en"", ""te""),"""")"),"[ '12 వ ఇన్నింగ్స్ లో అత్యధిక పరుగులు (బ్యాటింగ్ స్థానంలో ప్రకారం) (54 *)', 'ఒకే మైదానంలో 34 వ అత్యధిక పరుగులు (297)', '36 వ అత్యధిక కెరీర్ సమ్మె రేటు (140.62)', '29th మొదటి డక్ ముందు అత్యంత ఇన్నింగ్స్ (20) ',' 13 వ కెరీర్ బాతులు (6) ',' 37 వ కెరీర్ లో వ"&amp;"చ్చిన ఎక్కువ సిక్స్ (53) ',' 42 వ ఇన్నింగ్స్ లో వచ్చిన ఎక్కువ సిక్స్ (7) ',' 8 వ ఒక ఇన్నింగ్స్ లోని బెస్ట్ ఫిగర్స్ ఓడిపోయిన ఉన్నప్పుడు వైపు (4) ',' తొమ్మిదవ వికెట్కు 28 అత్యధిక భాగస్వామ్యం (31) ',' 7 వ లాంగెస్ట్ కెరీర్లు (13y 348d) ',' 38 వ కెప్టెన్గా అత"&amp;"్యధిక మ్యాచ్లు (18) ',' 25 వ పిన్న కాప్టెన్ (24y 90D) ']")</f>
        <v>[ '12 వ ఇన్నింగ్స్ లో అత్యధిక పరుగులు (బ్యాటింగ్ స్థానంలో ప్రకారం) (54 *)', 'ఒకే మైదానంలో 34 వ అత్యధిక పరుగులు (297)', '36 వ అత్యధిక కెరీర్ సమ్మె రేటు (140.62)', '29th మొదటి డక్ ముందు అత్యంత ఇన్నింగ్స్ (20) ',' 13 వ కెరీర్ బాతులు (6) ',' 37 వ కెరీర్ లో వచ్చిన ఎక్కువ సిక్స్ (53) ',' 42 వ ఇన్నింగ్స్ లో వచ్చిన ఎక్కువ సిక్స్ (7) ',' 8 వ ఒక ఇన్నింగ్స్ లోని బెస్ట్ ఫిగర్స్ ఓడిపోయిన ఉన్నప్పుడు వైపు (4) ',' తొమ్మిదవ వికెట్కు 28 అత్యధిక భాగస్వామ్యం (31) ',' 7 వ లాంగెస్ట్ కెరీర్లు (13y 348d) ',' 38 వ కెప్టెన్గా అత్యధిక మ్యాచ్లు (18) ',' 25 వ పిన్న కాప్టెన్ (24y 90D) ']</v>
      </c>
      <c r="I9611" s="3"/>
    </row>
    <row r="9612" customHeight="1" spans="1:9">
      <c r="A9612" s="2"/>
      <c r="B9612" s="2" t="str">
        <f>IFERROR(__xludf.DUMMYFUNCTION("IF(A9612&lt;&gt;"""", GOOGLETRANSLATE(A9612, ""en"", ""te""),"""")"),"")</f>
        <v/>
      </c>
      <c r="C9612" s="2"/>
      <c r="D9612" s="2" t="str">
        <f>IFERROR(__xludf.DUMMYFUNCTION("IF(C9612&lt;&gt;"""", GOOGLETRANSLATE(C9612, ""en"", ""te""),"""")"),"")</f>
        <v/>
      </c>
      <c r="E9612" s="2"/>
      <c r="F9612" s="2" t="str">
        <f>IFERROR(__xludf.DUMMYFUNCTION("IF(E9612&lt;&gt;"""", GOOGLETRANSLATE(E9612, ""en"", ""te""),"""")"),"")</f>
        <v/>
      </c>
      <c r="G9612" s="2"/>
      <c r="H9612" s="2" t="str">
        <f>IFERROR(__xludf.DUMMYFUNCTION("IF(G9612&lt;&gt;"""", GOOGLETRANSLATE(G9612, ""en"", ""te""),"""")"),"")</f>
        <v/>
      </c>
      <c r="I9612" s="3"/>
    </row>
    <row r="9613" customHeight="1" spans="1:9">
      <c r="A9613" s="2"/>
      <c r="B9613" s="2" t="str">
        <f>IFERROR(__xludf.DUMMYFUNCTION("IF(A9613&lt;&gt;"""", GOOGLETRANSLATE(A9613, ""en"", ""te""),"""")"),"")</f>
        <v/>
      </c>
      <c r="C9613" s="2"/>
      <c r="D9613" s="2" t="str">
        <f>IFERROR(__xludf.DUMMYFUNCTION("IF(C9613&lt;&gt;"""", GOOGLETRANSLATE(C9613, ""en"", ""te""),"""")"),"")</f>
        <v/>
      </c>
      <c r="E9613" s="2"/>
      <c r="F9613" s="2" t="str">
        <f>IFERROR(__xludf.DUMMYFUNCTION("IF(E9613&lt;&gt;"""", GOOGLETRANSLATE(E9613, ""en"", ""te""),"""")"),"")</f>
        <v/>
      </c>
      <c r="G9613" s="2"/>
      <c r="H9613" s="2" t="str">
        <f>IFERROR(__xludf.DUMMYFUNCTION("IF(G9613&lt;&gt;"""", GOOGLETRANSLATE(G9613, ""en"", ""te""),"""")"),"")</f>
        <v/>
      </c>
      <c r="I9613" s="3"/>
    </row>
    <row r="9614" customHeight="1" spans="1:9">
      <c r="A9614" s="2" t="s">
        <v>5516</v>
      </c>
      <c r="B9614" s="2" t="str">
        <f>IFERROR(__xludf.DUMMYFUNCTION("IF(A9614&lt;&gt;"""", GOOGLETRANSLATE(A9614, ""en"", ""te""),"""")"),"[ '9 వ అత్యంత బృందం వరుసగా మ్యాచ్లు (121)', '99 నాటౌట్ (199, 299 etc) (99 *)', '5000 పరుగులు' ఒక జట్టు కెప్టెన్ (76) గా 5 వ వరుస మ్యాచ్లు 'మరియు 50 ఫీల్డింగ్ వికెట్లు ',' ఒక జట్టు కెప్టెన్గా 5 వ వరుస మ్యాచ్లు (76) ',' ఒక జట్టు 5 వ వరుస మ్యాచ్లు (159) ',' "&amp;"4 వ వరుస మ్యాచ్లు ఒక జట్టు కెప్టెన్గా (95) ']")</f>
        <v>[ '9 వ అత్యంత బృందం వరుసగా మ్యాచ్లు (121)', '99 నాటౌట్ (199, 299 etc) (99 *)', '5000 పరుగులు' ఒక జట్టు కెప్టెన్ (76) గా 5 వ వరుస మ్యాచ్లు 'మరియు 50 ఫీల్డింగ్ వికెట్లు ',' ఒక జట్టు కెప్టెన్గా 5 వ వరుస మ్యాచ్లు (76) ',' ఒక జట్టు 5 వ వరుస మ్యాచ్లు (159) ',' 4 వ వరుస మ్యాచ్లు ఒక జట్టు కెప్టెన్గా (95) ']</v>
      </c>
      <c r="C9614" s="2" t="s">
        <v>5517</v>
      </c>
      <c r="D9614" s="2" t="str">
        <f>IFERROR(__xludf.DUMMYFUNCTION("IF(C9614&lt;&gt;"""", GOOGLETRANSLATE(C9614, ""en"", ""te""),"""")"),"[ '99 పరుగుల 46 వ (మరియు 199, 299 etc) (99)', 'ఒక జట్టుకు 45 వ వరుస మ్యాచ్లు (56)', '17 వ పిన్న కాప్టెన్ (23y 354d)']")</f>
        <v>[ '99 పరుగుల 46 వ (మరియు 199, 299 etc) (99)', 'ఒక జట్టుకు 45 వ వరుస మ్యాచ్లు (56)', '17 వ పిన్న కాప్టెన్ (23y 354d)']</v>
      </c>
      <c r="E9614" s="2" t="s">
        <v>5518</v>
      </c>
      <c r="F9614" s="2" t="str">
        <f>IFERROR(__xludf.DUMMYFUNCTION("IF(E9614&lt;&gt;"""", GOOGLETRANSLATE(E9614, ""en"", ""te""),"""")"),"[ '50 వ అత్యధిక తొలి వంద (131 *)', 'ఒక జట్టు 9 వ వరుస మ్యాచ్లు (121)', '27 వ అత్యధిక మ్యాచ్లు కెప్టెన్గా (86)', '5 వ వరుస మ్యాచ్లు ఒక జట్టు కెప్టెన్గా (76)' '22 వ పిన్న కాప్టెన్ (23y 338d)']")</f>
        <v>[ '50 వ అత్యధిక తొలి వంద (131 *)', 'ఒక జట్టు 9 వ వరుస మ్యాచ్లు (121)', '27 వ అత్యధిక మ్యాచ్లు కెప్టెన్గా (86)', '5 వ వరుస మ్యాచ్లు ఒక జట్టు కెప్టెన్గా (76)' '22 వ పిన్న కాప్టెన్ (23y 338d)']</v>
      </c>
      <c r="G9614" s="2" t="s">
        <v>5519</v>
      </c>
      <c r="H9614" s="2" t="str">
        <f>IFERROR(__xludf.DUMMYFUNCTION("IF(G9614&lt;&gt;"""", GOOGLETRANSLATE(G9614, ""en"", ""te""),"""")"),"[ 'బృందం (76) కెప్టెన్ గా 5 వ వరుస మ్యాచ్లు']")</f>
        <v>[ 'బృందం (76) కెప్టెన్ గా 5 వ వరుస మ్యాచ్లు']</v>
      </c>
      <c r="I9614" s="3"/>
    </row>
    <row r="9615" customHeight="1" spans="1:9">
      <c r="A9615" s="2"/>
      <c r="B9615" s="2" t="str">
        <f>IFERROR(__xludf.DUMMYFUNCTION("IF(A9615&lt;&gt;"""", GOOGLETRANSLATE(A9615, ""en"", ""te""),"""")"),"")</f>
        <v/>
      </c>
      <c r="C9615" s="2"/>
      <c r="D9615" s="2" t="str">
        <f>IFERROR(__xludf.DUMMYFUNCTION("IF(C9615&lt;&gt;"""", GOOGLETRANSLATE(C9615, ""en"", ""te""),"""")"),"")</f>
        <v/>
      </c>
      <c r="E9615" s="2"/>
      <c r="F9615" s="2" t="str">
        <f>IFERROR(__xludf.DUMMYFUNCTION("IF(E9615&lt;&gt;"""", GOOGLETRANSLATE(E9615, ""en"", ""te""),"""")"),"")</f>
        <v/>
      </c>
      <c r="G9615" s="2"/>
      <c r="H9615" s="2" t="str">
        <f>IFERROR(__xludf.DUMMYFUNCTION("IF(G9615&lt;&gt;"""", GOOGLETRANSLATE(G9615, ""en"", ""te""),"""")"),"")</f>
        <v/>
      </c>
      <c r="I9615" s="3"/>
    </row>
    <row r="9616" customHeight="1" spans="1:9">
      <c r="A9616" s="2"/>
      <c r="B9616" s="2" t="str">
        <f>IFERROR(__xludf.DUMMYFUNCTION("IF(A9616&lt;&gt;"""", GOOGLETRANSLATE(A9616, ""en"", ""te""),"""")"),"")</f>
        <v/>
      </c>
      <c r="C9616" s="2"/>
      <c r="D9616" s="2" t="str">
        <f>IFERROR(__xludf.DUMMYFUNCTION("IF(C9616&lt;&gt;"""", GOOGLETRANSLATE(C9616, ""en"", ""te""),"""")"),"")</f>
        <v/>
      </c>
      <c r="E9616" s="2"/>
      <c r="F9616" s="2" t="str">
        <f>IFERROR(__xludf.DUMMYFUNCTION("IF(E9616&lt;&gt;"""", GOOGLETRANSLATE(E9616, ""en"", ""te""),"""")"),"")</f>
        <v/>
      </c>
      <c r="G9616" s="2"/>
      <c r="H9616" s="2" t="str">
        <f>IFERROR(__xludf.DUMMYFUNCTION("IF(G9616&lt;&gt;"""", GOOGLETRANSLATE(G9616, ""en"", ""te""),"""")"),"")</f>
        <v/>
      </c>
      <c r="I9616" s="3"/>
    </row>
    <row r="9617" customHeight="1" spans="1:9">
      <c r="A9617" s="2" t="s">
        <v>5184</v>
      </c>
      <c r="B9617" s="2" t="str">
        <f>IFERROR(__xludf.DUMMYFUNCTION("IF(A9617&lt;&gt;"""", GOOGLETRANSLATE(A9617, ""en"", ""te""),"""")"),"[ '8 వ అత్యుత్తమ ఇన్నింగ్స్ (1/1) విశ్లేషణలలో బౌలింగ్']")</f>
        <v>[ '8 వ అత్యుత్తమ ఇన్నింగ్స్ (1/1) విశ్లేషణలలో బౌలింగ్']</v>
      </c>
      <c r="C9617" s="2"/>
      <c r="D9617" s="2" t="str">
        <f>IFERROR(__xludf.DUMMYFUNCTION("IF(C9617&lt;&gt;"""", GOOGLETRANSLATE(C9617, ""en"", ""te""),"""")"),"")</f>
        <v/>
      </c>
      <c r="E9617" s="2"/>
      <c r="F9617" s="2" t="str">
        <f>IFERROR(__xludf.DUMMYFUNCTION("IF(E9617&lt;&gt;"""", GOOGLETRANSLATE(E9617, ""en"", ""te""),"""")"),"")</f>
        <v/>
      </c>
      <c r="G9617" s="2" t="s">
        <v>5184</v>
      </c>
      <c r="H9617" s="2" t="str">
        <f>IFERROR(__xludf.DUMMYFUNCTION("IF(G9617&lt;&gt;"""", GOOGLETRANSLATE(G9617, ""en"", ""te""),"""")"),"[ '8 వ అత్యుత్తమ ఇన్నింగ్స్ (1/1) విశ్లేషణలలో బౌలింగ్']")</f>
        <v>[ '8 వ అత్యుత్తమ ఇన్నింగ్స్ (1/1) విశ్లేషణలలో బౌలింగ్']</v>
      </c>
      <c r="I9617" s="3"/>
    </row>
    <row r="9618" customHeight="1" spans="1:9">
      <c r="A9618" s="2" t="s">
        <v>5520</v>
      </c>
      <c r="B9618" s="2" t="str">
        <f>IFERROR(__xludf.DUMMYFUNCTION("IF(A9618&lt;&gt;"""", GOOGLETRANSLATE(A9618, ""en"", ""te""),"""")"),"[ '(68 *) ఒక ఇన్నింగ్స్లో ద్వారా బ్యాట్ వాహక']")</f>
        <v>[ '(68 *) ఒక ఇన్నింగ్స్లో ద్వారా బ్యాట్ వాహక']</v>
      </c>
      <c r="C9618" s="2"/>
      <c r="D9618" s="2" t="str">
        <f>IFERROR(__xludf.DUMMYFUNCTION("IF(C9618&lt;&gt;"""", GOOGLETRANSLATE(C9618, ""en"", ""te""),"""")"),"")</f>
        <v/>
      </c>
      <c r="E9618" s="2" t="s">
        <v>5521</v>
      </c>
      <c r="F9618" s="2" t="str">
        <f>IFERROR(__xludf.DUMMYFUNCTION("IF(E9618&lt;&gt;"""", GOOGLETRANSLATE(E9618, ""en"", ""te""),"""")"),"[ '35 వ తొలి మ్యాచ్లో అత్యధిక పరుగులు (79)', 'కెరీర్ (22) లో 20 వ నో బాతులు']")</f>
        <v>[ '35 వ తొలి మ్యాచ్లో అత్యధిక పరుగులు (79)', 'కెరీర్ (22) లో 20 వ నో బాతులు']</v>
      </c>
      <c r="G9618" s="2"/>
      <c r="H9618" s="2" t="str">
        <f>IFERROR(__xludf.DUMMYFUNCTION("IF(G9618&lt;&gt;"""", GOOGLETRANSLATE(G9618, ""en"", ""te""),"""")"),"")</f>
        <v/>
      </c>
      <c r="I9618" s="3"/>
    </row>
    <row r="9619" customHeight="1" spans="1:9">
      <c r="A9619" s="2"/>
      <c r="B9619" s="2" t="str">
        <f>IFERROR(__xludf.DUMMYFUNCTION("IF(A9619&lt;&gt;"""", GOOGLETRANSLATE(A9619, ""en"", ""te""),"""")"),"")</f>
        <v/>
      </c>
      <c r="C9619" s="2"/>
      <c r="D9619" s="2" t="str">
        <f>IFERROR(__xludf.DUMMYFUNCTION("IF(C9619&lt;&gt;"""", GOOGLETRANSLATE(C9619, ""en"", ""te""),"""")"),"")</f>
        <v/>
      </c>
      <c r="E9619" s="2"/>
      <c r="F9619" s="2" t="str">
        <f>IFERROR(__xludf.DUMMYFUNCTION("IF(E9619&lt;&gt;"""", GOOGLETRANSLATE(E9619, ""en"", ""te""),"""")"),"")</f>
        <v/>
      </c>
      <c r="G9619" s="2"/>
      <c r="H9619" s="2" t="str">
        <f>IFERROR(__xludf.DUMMYFUNCTION("IF(G9619&lt;&gt;"""", GOOGLETRANSLATE(G9619, ""en"", ""te""),"""")"),"")</f>
        <v/>
      </c>
      <c r="I9619" s="3"/>
    </row>
    <row r="9620" customHeight="1" spans="1:9">
      <c r="A9620" s="2"/>
      <c r="B9620" s="2" t="str">
        <f>IFERROR(__xludf.DUMMYFUNCTION("IF(A9620&lt;&gt;"""", GOOGLETRANSLATE(A9620, ""en"", ""te""),"""")"),"")</f>
        <v/>
      </c>
      <c r="C9620" s="2"/>
      <c r="D9620" s="2" t="str">
        <f>IFERROR(__xludf.DUMMYFUNCTION("IF(C9620&lt;&gt;"""", GOOGLETRANSLATE(C9620, ""en"", ""te""),"""")"),"")</f>
        <v/>
      </c>
      <c r="E9620" s="2" t="s">
        <v>5522</v>
      </c>
      <c r="F9620" s="2" t="str">
        <f>IFERROR(__xludf.DUMMYFUNCTION("IF(E9620&lt;&gt;"""", GOOGLETRANSLATE(E9620, ""en"", ""te""),"""")"),"[ '23 పిన్న కాప్టెన్ (23y 342d)']")</f>
        <v>[ '23 పిన్న కాప్టెన్ (23y 342d)']</v>
      </c>
      <c r="G9620" s="2"/>
      <c r="H9620" s="2" t="str">
        <f>IFERROR(__xludf.DUMMYFUNCTION("IF(G9620&lt;&gt;"""", GOOGLETRANSLATE(G9620, ""en"", ""te""),"""")"),"")</f>
        <v/>
      </c>
      <c r="I9620" s="3"/>
    </row>
    <row r="9621" customHeight="1" spans="1:9">
      <c r="A9621" s="2"/>
      <c r="B9621" s="2" t="str">
        <f>IFERROR(__xludf.DUMMYFUNCTION("IF(A9621&lt;&gt;"""", GOOGLETRANSLATE(A9621, ""en"", ""te""),"""")"),"")</f>
        <v/>
      </c>
      <c r="C9621" s="2"/>
      <c r="D9621" s="2" t="str">
        <f>IFERROR(__xludf.DUMMYFUNCTION("IF(C9621&lt;&gt;"""", GOOGLETRANSLATE(C9621, ""en"", ""te""),"""")"),"")</f>
        <v/>
      </c>
      <c r="E9621" s="2"/>
      <c r="F9621" s="2" t="str">
        <f>IFERROR(__xludf.DUMMYFUNCTION("IF(E9621&lt;&gt;"""", GOOGLETRANSLATE(E9621, ""en"", ""te""),"""")"),"")</f>
        <v/>
      </c>
      <c r="G9621" s="2"/>
      <c r="H9621" s="2" t="str">
        <f>IFERROR(__xludf.DUMMYFUNCTION("IF(G9621&lt;&gt;"""", GOOGLETRANSLATE(G9621, ""en"", ""te""),"""")"),"")</f>
        <v/>
      </c>
      <c r="I9621" s="3"/>
    </row>
    <row r="9622" customHeight="1" spans="1:9">
      <c r="A9622" s="2"/>
      <c r="B9622" s="2" t="str">
        <f>IFERROR(__xludf.DUMMYFUNCTION("IF(A9622&lt;&gt;"""", GOOGLETRANSLATE(A9622, ""en"", ""te""),"""")"),"")</f>
        <v/>
      </c>
      <c r="C9622" s="2" t="s">
        <v>5523</v>
      </c>
      <c r="D9622" s="2" t="str">
        <f>IFERROR(__xludf.DUMMYFUNCTION("IF(C9622&lt;&gt;"""", GOOGLETRANSLATE(C9622, ""en"", ""te""),"""")"),"[ '49 వ చెత్త కెరీర్ బౌలింగ్ సరాసరి (అర్హత లేకుండా) (130,00)']")</f>
        <v>[ '49 వ చెత్త కెరీర్ బౌలింగ్ సరాసరి (అర్హత లేకుండా) (130,00)']</v>
      </c>
      <c r="E9622" s="2"/>
      <c r="F9622" s="2" t="str">
        <f>IFERROR(__xludf.DUMMYFUNCTION("IF(E9622&lt;&gt;"""", GOOGLETRANSLATE(E9622, ""en"", ""te""),"""")"),"")</f>
        <v/>
      </c>
      <c r="G9622" s="2"/>
      <c r="H9622" s="2" t="str">
        <f>IFERROR(__xludf.DUMMYFUNCTION("IF(G9622&lt;&gt;"""", GOOGLETRANSLATE(G9622, ""en"", ""te""),"""")"),"")</f>
        <v/>
      </c>
      <c r="I9622" s="3"/>
    </row>
    <row r="9623" customHeight="1" spans="1:9">
      <c r="A9623" s="2" t="s">
        <v>5524</v>
      </c>
      <c r="B9623" s="2" t="str">
        <f>IFERROR(__xludf.DUMMYFUNCTION("IF(A9623&lt;&gt;"""", GOOGLETRANSLATE(A9623, ""en"", ""te""),"""")"),"[ '250 పరుగులు మరియు ఒక సిరీస్లో 10 వికెట్లు']")</f>
        <v>[ '250 పరుగులు మరియు ఒక సిరీస్లో 10 వికెట్లు']</v>
      </c>
      <c r="C9623" s="2"/>
      <c r="D9623" s="2" t="str">
        <f>IFERROR(__xludf.DUMMYFUNCTION("IF(C9623&lt;&gt;"""", GOOGLETRANSLATE(C9623, ""en"", ""te""),"""")"),"")</f>
        <v/>
      </c>
      <c r="E9623" s="2" t="s">
        <v>5525</v>
      </c>
      <c r="F9623" s="2" t="str">
        <f>IFERROR(__xludf.DUMMYFUNCTION("IF(E9623&lt;&gt;"""", GOOGLETRANSLATE(E9623, ""en"", ""te""),"""")"),"[ '31 పిన్న ఆటగాడు వంద (21y 49d) స్కోర్' '40 వ చెత్త కెరీర్లో ఆర్థిక రేటు (5.67)']")</f>
        <v>[ '31 పిన్న ఆటగాడు వంద (21y 49d) స్కోర్' '40 వ చెత్త కెరీర్లో ఆర్థిక రేటు (5.67)']</v>
      </c>
      <c r="G9623" s="2"/>
      <c r="H9623" s="2" t="str">
        <f>IFERROR(__xludf.DUMMYFUNCTION("IF(G9623&lt;&gt;"""", GOOGLETRANSLATE(G9623, ""en"", ""te""),"""")"),"")</f>
        <v/>
      </c>
      <c r="I9623" s="3"/>
    </row>
    <row r="9624" customHeight="1" spans="1:9">
      <c r="A9624" s="2"/>
      <c r="B9624" s="2" t="str">
        <f>IFERROR(__xludf.DUMMYFUNCTION("IF(A9624&lt;&gt;"""", GOOGLETRANSLATE(A9624, ""en"", ""te""),"""")"),"")</f>
        <v/>
      </c>
      <c r="C9624" s="2"/>
      <c r="D9624" s="2" t="str">
        <f>IFERROR(__xludf.DUMMYFUNCTION("IF(C9624&lt;&gt;"""", GOOGLETRANSLATE(C9624, ""en"", ""te""),"""")"),"")</f>
        <v/>
      </c>
      <c r="E9624" s="2"/>
      <c r="F9624" s="2" t="str">
        <f>IFERROR(__xludf.DUMMYFUNCTION("IF(E9624&lt;&gt;"""", GOOGLETRANSLATE(E9624, ""en"", ""te""),"""")"),"")</f>
        <v/>
      </c>
      <c r="G9624" s="2"/>
      <c r="H9624" s="2" t="str">
        <f>IFERROR(__xludf.DUMMYFUNCTION("IF(G9624&lt;&gt;"""", GOOGLETRANSLATE(G9624, ""en"", ""te""),"""")"),"")</f>
        <v/>
      </c>
      <c r="I9624" s="3"/>
    </row>
    <row r="9625" customHeight="1" spans="1:9">
      <c r="A9625" s="2"/>
      <c r="B9625" s="2" t="str">
        <f>IFERROR(__xludf.DUMMYFUNCTION("IF(A9625&lt;&gt;"""", GOOGLETRANSLATE(A9625, ""en"", ""te""),"""")"),"")</f>
        <v/>
      </c>
      <c r="C9625" s="2"/>
      <c r="D9625" s="2" t="str">
        <f>IFERROR(__xludf.DUMMYFUNCTION("IF(C9625&lt;&gt;"""", GOOGLETRANSLATE(C9625, ""en"", ""te""),"""")"),"")</f>
        <v/>
      </c>
      <c r="E9625" s="2"/>
      <c r="F9625" s="2" t="str">
        <f>IFERROR(__xludf.DUMMYFUNCTION("IF(E9625&lt;&gt;"""", GOOGLETRANSLATE(E9625, ""en"", ""te""),"""")"),"")</f>
        <v/>
      </c>
      <c r="G9625" s="2"/>
      <c r="H9625" s="2" t="str">
        <f>IFERROR(__xludf.DUMMYFUNCTION("IF(G9625&lt;&gt;"""", GOOGLETRANSLATE(G9625, ""en"", ""te""),"""")"),"")</f>
        <v/>
      </c>
      <c r="I9625" s="3"/>
    </row>
    <row r="9626" customHeight="1" spans="1:9">
      <c r="A9626" s="2" t="s">
        <v>789</v>
      </c>
      <c r="B9626" s="2" t="str">
        <f>IFERROR(__xludf.DUMMYFUNCTION("IF(A9626&lt;&gt;"""", GOOGLETRANSLATE(A9626, ""en"", ""te""),"""")"),"[ 'ఇన్నింగ్స్ లో 2 వ అత్యధిక క్యాచ్లు (4)']")</f>
        <v>[ 'ఇన్నింగ్స్ లో 2 వ అత్యధిక క్యాచ్లు (4)']</v>
      </c>
      <c r="C9626" s="2" t="s">
        <v>5526</v>
      </c>
      <c r="D9626" s="2" t="str">
        <f>IFERROR(__xludf.DUMMYFUNCTION("IF(C9626&lt;&gt;"""", GOOGLETRANSLATE(C9626, ""en"", ""te""),"""")"),"[ '38 వ హండ్రెడ్ గత మ్యాచ్లో (107)']")</f>
        <v>[ '38 వ హండ్రెడ్ గత మ్యాచ్లో (107)']</v>
      </c>
      <c r="E9626" s="2" t="s">
        <v>5527</v>
      </c>
      <c r="F9626" s="2" t="str">
        <f>IFERROR(__xludf.DUMMYFUNCTION("IF(E9626&lt;&gt;"""", GOOGLETRANSLATE(E9626, ""en"", ""te""),"""")"),"[ 'ఇన్నింగ్స్ లో 2 వ అత్యధిక క్యాచ్లు (4)', 'వరుస 24 వ అత్యధిక క్యాచ్లు (8)']")</f>
        <v>[ 'ఇన్నింగ్స్ లో 2 వ అత్యధిక క్యాచ్లు (4)', 'వరుస 24 వ అత్యధిక క్యాచ్లు (8)']</v>
      </c>
      <c r="G9626" s="2" t="s">
        <v>5528</v>
      </c>
      <c r="H9626" s="2" t="str">
        <f>IFERROR(__xludf.DUMMYFUNCTION("IF(G9626&lt;&gt;"""", GOOGLETRANSLATE(G9626, ""en"", ""te""),"""")"),"[, 'మూడో వికెట్కు 24 అత్యధిక భాగస్వామ్యం (111 *)' '15 వ ఇన్నింగ్స్ (3) లో అత్యధిక క్యాచ్లు']")</f>
        <v>[, 'మూడో వికెట్కు 24 అత్యధిక భాగస్వామ్యం (111 *)' '15 వ ఇన్నింగ్స్ (3) లో అత్యధిక క్యాచ్లు']</v>
      </c>
      <c r="I9626" s="3"/>
    </row>
    <row r="9627" customHeight="1" spans="1:9">
      <c r="A9627" s="2"/>
      <c r="B9627" s="2" t="str">
        <f>IFERROR(__xludf.DUMMYFUNCTION("IF(A9627&lt;&gt;"""", GOOGLETRANSLATE(A9627, ""en"", ""te""),"""")"),"")</f>
        <v/>
      </c>
      <c r="C9627" s="2" t="s">
        <v>5529</v>
      </c>
      <c r="D9627" s="2" t="str">
        <f>IFERROR(__xludf.DUMMYFUNCTION("IF(C9627&lt;&gt;"""", GOOGLETRANSLATE(C9627, ""en"", ""te""),"""")"),"[ '33 వ అత్యంత వంద (1225) లేకుండా ఒక వృత్తిలో నడుస్తుంది']")</f>
        <v>[ '33 వ అత్యంత వంద (1225) లేకుండా ఒక వృత్తిలో నడుస్తుంది']</v>
      </c>
      <c r="E9627" s="2" t="s">
        <v>5530</v>
      </c>
      <c r="F9627" s="2" t="str">
        <f>IFERROR(__xludf.DUMMYFUNCTION("IF(E9627&lt;&gt;"""", GOOGLETRANSLATE(E9627, ""en"", ""te""),"""")"),"[ '37 వ పిన్న ఆటగాడు వంద (21y 110d) స్కోర్']")</f>
        <v>[ '37 వ పిన్న ఆటగాడు వంద (21y 110d) స్కోర్']</v>
      </c>
      <c r="G9627" s="2"/>
      <c r="H9627" s="2" t="str">
        <f>IFERROR(__xludf.DUMMYFUNCTION("IF(G9627&lt;&gt;"""", GOOGLETRANSLATE(G9627, ""en"", ""te""),"""")"),"")</f>
        <v/>
      </c>
      <c r="I9627" s="3"/>
    </row>
    <row r="9628" customHeight="1" spans="1:9">
      <c r="A9628" s="2"/>
      <c r="B9628" s="2" t="str">
        <f>IFERROR(__xludf.DUMMYFUNCTION("IF(A9628&lt;&gt;"""", GOOGLETRANSLATE(A9628, ""en"", ""te""),"""")"),"")</f>
        <v/>
      </c>
      <c r="C9628" s="2"/>
      <c r="D9628" s="2" t="str">
        <f>IFERROR(__xludf.DUMMYFUNCTION("IF(C9628&lt;&gt;"""", GOOGLETRANSLATE(C9628, ""en"", ""te""),"""")"),"")</f>
        <v/>
      </c>
      <c r="E9628" s="2"/>
      <c r="F9628" s="2" t="str">
        <f>IFERROR(__xludf.DUMMYFUNCTION("IF(E9628&lt;&gt;"""", GOOGLETRANSLATE(E9628, ""en"", ""te""),"""")"),"")</f>
        <v/>
      </c>
      <c r="G9628" s="2"/>
      <c r="H9628" s="2" t="str">
        <f>IFERROR(__xludf.DUMMYFUNCTION("IF(G9628&lt;&gt;"""", GOOGLETRANSLATE(G9628, ""en"", ""te""),"""")"),"")</f>
        <v/>
      </c>
      <c r="I9628" s="3"/>
    </row>
    <row r="9629" customHeight="1" spans="1:9">
      <c r="A9629" s="2"/>
      <c r="B9629" s="2" t="str">
        <f>IFERROR(__xludf.DUMMYFUNCTION("IF(A9629&lt;&gt;"""", GOOGLETRANSLATE(A9629, ""en"", ""te""),"""")"),"")</f>
        <v/>
      </c>
      <c r="C9629" s="2"/>
      <c r="D9629" s="2" t="str">
        <f>IFERROR(__xludf.DUMMYFUNCTION("IF(C9629&lt;&gt;"""", GOOGLETRANSLATE(C9629, ""en"", ""te""),"""")"),"")</f>
        <v/>
      </c>
      <c r="E9629" s="2"/>
      <c r="F9629" s="2" t="str">
        <f>IFERROR(__xludf.DUMMYFUNCTION("IF(E9629&lt;&gt;"""", GOOGLETRANSLATE(E9629, ""en"", ""te""),"""")"),"")</f>
        <v/>
      </c>
      <c r="G9629" s="2"/>
      <c r="H9629" s="2" t="str">
        <f>IFERROR(__xludf.DUMMYFUNCTION("IF(G9629&lt;&gt;"""", GOOGLETRANSLATE(G9629, ""en"", ""te""),"""")"),"")</f>
        <v/>
      </c>
      <c r="I9629" s="3"/>
    </row>
    <row r="9630" customHeight="1" spans="1:9">
      <c r="A9630" s="2" t="s">
        <v>5531</v>
      </c>
      <c r="B9630" s="2" t="str">
        <f>IFERROR(__xludf.DUMMYFUNCTION("IF(A9630&lt;&gt;"""", GOOGLETRANSLATE(A9630, ""en"", ""te""),"""")"),"[ 'వికెట్ను కాపాడుకున్నాడు చేసిన 5 వ కెప్టెన్ల (16)', 'అత్యధిక వికెట్లు ఇన్నింగ్స్ లో 1 వ అత్యధిక పరుగులు (232 *)', 'హండ్రెడ్ ఒక మ్యాచ్లో ప్రతి ఇన్నింగ్స్లో' '99 నాటౌట్ (199, 299 etc) (199 *) ',' వరుస ఇన్నింగ్స్లో 1st యాభైల్లో (7) ',' 2000 పరుగులు మరియు "&amp;"100 వికెట్ కీపింగ్ తొలగింపులకు ',' ఒక జట్టు 2 వ వరుస మ్యాచ్లు (172) ',' వికెట్ను కాపాడుకున్నాడు మరియు బ్యాటింగ్ తెరిచారు ఎవరు 2nd కెప్టెన్ల ప్రవేశం (115 *) లో (12) ',' హండ్రెడ్ '' 99 నాటౌట్ (199, 299 etc) (99 *) ',' 2000 పరుగులు మరియు 100 వికెట్ కీపింగ్ త"&amp;"ొలగింపులకు ',' ఏడవ వికెట్కు 3 వ అత్యధిక భాగస్వామ్యం ( ఒక జట్టు 130) ',' 2 వ వరుస మ్యాచ్లు (224) ']")</f>
        <v>[ 'వికెట్ను కాపాడుకున్నాడు చేసిన 5 వ కెప్టెన్ల (16)', 'అత్యధిక వికెట్లు ఇన్నింగ్స్ లో 1 వ అత్యధిక పరుగులు (232 *)', 'హండ్రెడ్ ఒక మ్యాచ్లో ప్రతి ఇన్నింగ్స్లో' '99 నాటౌట్ (199, 299 etc) (199 *) ',' వరుస ఇన్నింగ్స్లో 1st యాభైల్లో (7) ',' 2000 పరుగులు మరియు 100 వికెట్ కీపింగ్ తొలగింపులకు ',' ఒక జట్టు 2 వ వరుస మ్యాచ్లు (172) ',' వికెట్ను కాపాడుకున్నాడు మరియు బ్యాటింగ్ తెరిచారు ఎవరు 2nd కెప్టెన్ల ప్రవేశం (115 *) లో (12) ',' హండ్రెడ్ '' 99 నాటౌట్ (199, 299 etc) (99 *) ',' 2000 పరుగులు మరియు 100 వికెట్ కీపింగ్ తొలగింపులకు ',' ఏడవ వికెట్కు 3 వ అత్యధిక భాగస్వామ్యం ( ఒక జట్టు 130) ',' 2 వ వరుస మ్యాచ్లు (224) ']</v>
      </c>
      <c r="C9630" s="2" t="s">
        <v>5532</v>
      </c>
      <c r="D9630" s="2" t="str">
        <f>IFERROR(__xludf.DUMMYFUNCTION("IF(C9630&lt;&gt;"""", GOOGLETRANSLATE(C9630, ""en"", ""te""),"""")"),"[ '11 వ ఇన్నింగ్స్ లో అత్యధిక పరుగులు (బ్యాటింగ్ స్థానంలో ప్రకారం) (232 *)', '2 వ అత్యధిక పరుగులు ఒక మ్యాచ్లో పరాజయం వైపు (341)', '13 వ అత్యంత' 19 వ ఒక మ్యాచ్ (341) అత్యధిక పరుగులు ' ఒకే క్రీడా (1535) పరుగులు ',' ఒక వికెట్ శ్రేణిలో 2 వ అత్యధిక పరుగులు (5"&amp;"40) ',' అత్యధిక వికెట్లు ఇన్నింగ్స్ లో 1 వ అత్యధిక పరుగులు (232 *) ',' 33 వ అత్యధిక కెరీర్ బ్యాటింగ్ సగటు (51.54) ',' వరుస ఇన్నింగ్స్లో 1st యాభైల్లో (7) ',' 4000 పరుగులు (93) ',' పదవ వికెట్ను (97 *) కోసం 31 అత్యధిక భాగస్వామ్యం ',' 38 వ పిన్న కాప్టెన్ (25"&amp;"y 217d) ',' 5 వ వేగంగా 48 వ వికెట్ (16) ఉంచింది చేసిన కెప్టెన్ల ',' 31 అత్యధిక వికెట్లు కెరీర్లో (151) ',' 30 వ అత్యధిక క్యాచ్లు కెరీర్లో (142) ',' 14 వ అత్యధిక ఇన్నింగ్స్ బై (609 / 6d) గూడా ఇవ్వకుండా మొత్తం ']")</f>
        <v>[ '11 వ ఇన్నింగ్స్ లో అత్యధిక పరుగులు (బ్యాటింగ్ స్థానంలో ప్రకారం) (232 *)', '2 వ అత్యధిక పరుగులు ఒక మ్యాచ్లో పరాజయం వైపు (341)', '13 వ అత్యంత' 19 వ ఒక మ్యాచ్ (341) అత్యధిక పరుగులు ' ఒకే క్రీడా (1535) పరుగులు ',' ఒక వికెట్ శ్రేణిలో 2 వ అత్యధిక పరుగులు (540) ',' అత్యధిక వికెట్లు ఇన్నింగ్స్ లో 1 వ అత్యధిక పరుగులు (232 *) ',' 33 వ అత్యధిక కెరీర్ బ్యాటింగ్ సగటు (51.54) ',' వరుస ఇన్నింగ్స్లో 1st యాభైల్లో (7) ',' 4000 పరుగులు (93) ',' పదవ వికెట్ను (97 *) కోసం 31 అత్యధిక భాగస్వామ్యం ',' 38 వ పిన్న కాప్టెన్ (25y 217d) ',' 5 వ వేగంగా 48 వ వికెట్ (16) ఉంచింది చేసిన కెప్టెన్ల ',' 31 అత్యధిక వికెట్లు కెరీర్లో (151) ',' 30 వ అత్యధిక క్యాచ్లు కెరీర్లో (142) ',' 14 వ అత్యధిక ఇన్నింగ్స్ బై (609 / 6d) గూడా ఇవ్వకుండా మొత్తం ']</v>
      </c>
      <c r="E9630" s="2" t="s">
        <v>5533</v>
      </c>
      <c r="F9630" s="2" t="str">
        <f>IFERROR(__xludf.DUMMYFUNCTION("IF(E9630&lt;&gt;"""", GOOGLETRANSLATE(E9630, ""en"", ""te""),"""")"),"[ 'ఒక మ్యాచ్లో పరాజయం వైపు 23 అత్యధిక పరుగులు (145)' '48 వ అత్యధిక కెరీర్ లో పరుగులు (6786)', '17 వ ఇన్నింగ్స్ లో అత్యధిక పరుగులు (బ్యాటింగ్ స్థానంలో ప్రకారం) (142 *)', '24 వ అత్యధిక పరుగులు ఒకే నేలపై (1291) ',' ఒక వికెట్ కీపర్ సిరీస్లో 15 వ అత్యధిక పరు"&amp;"గులు (375) ',' అత్యధిక వికెట్లు ఇన్నింగ్స్ లో 17 వ అత్యధిక పరుగులు (145) ',' తొలి మ్యాచ్లో 6 వ అత్యధిక పరుగులు (115 *) ',' కెరీర్ లో 32 వ అత్యంత అర్ధ (59) ',' వరుస ఇన్నింగ్స్లో 11 వ యాభైల్లో (5) ', '21 వ లాంగెస్ట్ వ్యక్తిగత ఇన్నింగ్స్ (బంతులతో) (164)', '"&amp;"42 వ 6000 పరుగులు వేగంగా (193)', ' ఐదో వికెట్కు (153 *) ',' ఏడవ వికెట్కు 3 వ అత్యధిక భాగస్వామ్యం (130) ',' ఒక జట్టు 2 వ వరుస మ్యాచ్లు కోసం 37 వ అత్యధిక భాగస్వామ్యం (172) ',' 25 వ వరుస అన్ని టాస్ గెలిచిన (6) ',' వికెట్ (46) ఉంచింది చేసిన 3 వ కెప్టెన్ల ',' "&amp;"వికెట్ను కాపాడుకున్నాడు మరియు బ్యాటింగ్ తెరిచారు ఎవరు 2nd కెప్టెన్ల (12) ',' 18 వ కెరీర్ లో అత్యధిక వికెట్లు (165) ',' 16 వ ఇన్నింగ్స్ లో అత్యధిక వికెట్లు (5 ) ',' 19 వ కెరీర్ లో అత్యధిక క్యాచ్లు (133) ',' 11 వ ఇన్నింగ్స్ లో అత్యధిక క్యాచ్లు (5) ',' 12 వ "&amp;"అత్యంత స్టంపింగ్లు కెరీర్లో (32) ']")</f>
        <v>[ 'ఒక మ్యాచ్లో పరాజయం వైపు 23 అత్యధిక పరుగులు (145)' '48 వ అత్యధిక కెరీర్ లో పరుగులు (6786)', '17 వ ఇన్నింగ్స్ లో అత్యధిక పరుగులు (బ్యాటింగ్ స్థానంలో ప్రకారం) (142 *)', '24 వ అత్యధిక పరుగులు ఒకే నేలపై (1291) ',' ఒక వికెట్ కీపర్ సిరీస్లో 15 వ అత్యధిక పరుగులు (375) ',' అత్యధిక వికెట్లు ఇన్నింగ్స్ లో 17 వ అత్యధిక పరుగులు (145) ',' తొలి మ్యాచ్లో 6 వ అత్యధిక పరుగులు (115 *) ',' కెరీర్ లో 32 వ అత్యంత అర్ధ (59) ',' వరుస ఇన్నింగ్స్లో 11 వ యాభైల్లో (5) ', '21 వ లాంగెస్ట్ వ్యక్తిగత ఇన్నింగ్స్ (బంతులతో) (164)', '42 వ 6000 పరుగులు వేగంగా (193)', ' ఐదో వికెట్కు (153 *) ',' ఏడవ వికెట్కు 3 వ అత్యధిక భాగస్వామ్యం (130) ',' ఒక జట్టు 2 వ వరుస మ్యాచ్లు కోసం 37 వ అత్యధిక భాగస్వామ్యం (172) ',' 25 వ వరుస అన్ని టాస్ గెలిచిన (6) ',' వికెట్ (46) ఉంచింది చేసిన 3 వ కెప్టెన్ల ',' వికెట్ను కాపాడుకున్నాడు మరియు బ్యాటింగ్ తెరిచారు ఎవరు 2nd కెప్టెన్ల (12) ',' 18 వ కెరీర్ లో అత్యధిక వికెట్లు (165) ',' 16 వ ఇన్నింగ్స్ లో అత్యధిక వికెట్లు (5 ) ',' 19 వ కెరీర్ లో అత్యధిక క్యాచ్లు (133) ',' 11 వ ఇన్నింగ్స్ లో అత్యధిక క్యాచ్లు (5) ',' 12 వ అత్యంత స్టంపింగ్లు కెరీర్లో (32) ']</v>
      </c>
      <c r="G9630" s="2"/>
      <c r="H9630" s="2" t="str">
        <f>IFERROR(__xludf.DUMMYFUNCTION("IF(G9630&lt;&gt;"""", GOOGLETRANSLATE(G9630, ""en"", ""te""),"""")"),"")</f>
        <v/>
      </c>
      <c r="I9630" s="3"/>
    </row>
    <row r="9631" customHeight="1" spans="1:9">
      <c r="A9631" s="2"/>
      <c r="B9631" s="2" t="str">
        <f>IFERROR(__xludf.DUMMYFUNCTION("IF(A9631&lt;&gt;"""", GOOGLETRANSLATE(A9631, ""en"", ""te""),"""")"),"")</f>
        <v/>
      </c>
      <c r="C9631" s="2"/>
      <c r="D9631" s="2" t="str">
        <f>IFERROR(__xludf.DUMMYFUNCTION("IF(C9631&lt;&gt;"""", GOOGLETRANSLATE(C9631, ""en"", ""te""),"""")"),"")</f>
        <v/>
      </c>
      <c r="E9631" s="2"/>
      <c r="F9631" s="2" t="str">
        <f>IFERROR(__xludf.DUMMYFUNCTION("IF(E9631&lt;&gt;"""", GOOGLETRANSLATE(E9631, ""en"", ""te""),"""")"),"")</f>
        <v/>
      </c>
      <c r="G9631" s="2"/>
      <c r="H9631" s="2" t="str">
        <f>IFERROR(__xludf.DUMMYFUNCTION("IF(G9631&lt;&gt;"""", GOOGLETRANSLATE(G9631, ""en"", ""te""),"""")"),"")</f>
        <v/>
      </c>
      <c r="I9631" s="3"/>
    </row>
    <row r="9632" customHeight="1" spans="1:9">
      <c r="A9632" s="2"/>
      <c r="B9632" s="2" t="str">
        <f>IFERROR(__xludf.DUMMYFUNCTION("IF(A9632&lt;&gt;"""", GOOGLETRANSLATE(A9632, ""en"", ""te""),"""")"),"")</f>
        <v/>
      </c>
      <c r="C9632" s="2"/>
      <c r="D9632" s="2" t="str">
        <f>IFERROR(__xludf.DUMMYFUNCTION("IF(C9632&lt;&gt;"""", GOOGLETRANSLATE(C9632, ""en"", ""te""),"""")"),"")</f>
        <v/>
      </c>
      <c r="E9632" s="2" t="s">
        <v>5534</v>
      </c>
      <c r="F9632" s="2" t="str">
        <f>IFERROR(__xludf.DUMMYFUNCTION("IF(E9632&lt;&gt;"""", GOOGLETRANSLATE(E9632, ""en"", ""te""),"""")"),"[ 'ఒక కెప్టెన్తో ఒక ఇన్నింగ్స్ లో 26 వ బెస్ట్ ఫిగర్స్ (4)', '15 వ ఉత్తమ తొలి ఇన్నింగ్స్లో గణాంకాలు (4)', 'కెప్టెన్సీ ప్రవేశం (34y 255d) లో 34 వ ఓల్డెస్ట్ కెప్టెన్లు']")</f>
        <v>[ 'ఒక కెప్టెన్తో ఒక ఇన్నింగ్స్ లో 26 వ బెస్ట్ ఫిగర్స్ (4)', '15 వ ఉత్తమ తొలి ఇన్నింగ్స్లో గణాంకాలు (4)', 'కెప్టెన్సీ ప్రవేశం (34y 255d) లో 34 వ ఓల్డెస్ట్ కెప్టెన్లు']</v>
      </c>
      <c r="G9632" s="2"/>
      <c r="H9632" s="2" t="str">
        <f>IFERROR(__xludf.DUMMYFUNCTION("IF(G9632&lt;&gt;"""", GOOGLETRANSLATE(G9632, ""en"", ""te""),"""")"),"")</f>
        <v/>
      </c>
      <c r="I9632" s="3"/>
    </row>
    <row r="9633" customHeight="1" spans="1:9">
      <c r="A9633" s="2"/>
      <c r="B9633" s="2" t="str">
        <f>IFERROR(__xludf.DUMMYFUNCTION("IF(A9633&lt;&gt;"""", GOOGLETRANSLATE(A9633, ""en"", ""te""),"""")"),"")</f>
        <v/>
      </c>
      <c r="C9633" s="2"/>
      <c r="D9633" s="2" t="str">
        <f>IFERROR(__xludf.DUMMYFUNCTION("IF(C9633&lt;&gt;"""", GOOGLETRANSLATE(C9633, ""en"", ""te""),"""")"),"")</f>
        <v/>
      </c>
      <c r="E9633" s="2"/>
      <c r="F9633" s="2" t="str">
        <f>IFERROR(__xludf.DUMMYFUNCTION("IF(E9633&lt;&gt;"""", GOOGLETRANSLATE(E9633, ""en"", ""te""),"""")"),"")</f>
        <v/>
      </c>
      <c r="G9633" s="2"/>
      <c r="H9633" s="2" t="str">
        <f>IFERROR(__xludf.DUMMYFUNCTION("IF(G9633&lt;&gt;"""", GOOGLETRANSLATE(G9633, ""en"", ""te""),"""")"),"")</f>
        <v/>
      </c>
      <c r="I9633" s="3"/>
    </row>
    <row r="9634" customHeight="1" spans="1:9">
      <c r="A9634" s="2"/>
      <c r="B9634" s="2" t="str">
        <f>IFERROR(__xludf.DUMMYFUNCTION("IF(A9634&lt;&gt;"""", GOOGLETRANSLATE(A9634, ""en"", ""te""),"""")"),"")</f>
        <v/>
      </c>
      <c r="C9634" s="2"/>
      <c r="D9634" s="2" t="str">
        <f>IFERROR(__xludf.DUMMYFUNCTION("IF(C9634&lt;&gt;"""", GOOGLETRANSLATE(C9634, ""en"", ""te""),"""")"),"")</f>
        <v/>
      </c>
      <c r="E9634" s="2" t="s">
        <v>5535</v>
      </c>
      <c r="F9634" s="2" t="str">
        <f>IFERROR(__xludf.DUMMYFUNCTION("IF(E9634&lt;&gt;"""", GOOGLETRANSLATE(E9634, ""en"", ""te""),"""")"),"[ '35 వ చెత్త కెరీర్ బౌలింగ్ సరాసరి (48.08)']")</f>
        <v>[ '35 వ చెత్త కెరీర్ బౌలింగ్ సరాసరి (48.08)']</v>
      </c>
      <c r="G9634" s="2"/>
      <c r="H9634" s="2" t="str">
        <f>IFERROR(__xludf.DUMMYFUNCTION("IF(G9634&lt;&gt;"""", GOOGLETRANSLATE(G9634, ""en"", ""te""),"""")"),"")</f>
        <v/>
      </c>
      <c r="I9634" s="3"/>
    </row>
    <row r="9635" customHeight="1" spans="1:9">
      <c r="A9635" s="2" t="s">
        <v>5536</v>
      </c>
      <c r="B9635" s="2" t="str">
        <f>IFERROR(__xludf.DUMMYFUNCTION("IF(A9635&lt;&gt;"""", GOOGLETRANSLATE(A9635, ""en"", ""te""),"""")"),"[ 'హండ్రెడ్ ఒక మ్యాచ్లో ప్రతి ఇన్నింగ్స్లో', 'ఒక ఇన్నింగ్స్లో ద్వారా బ్యాట్ నిదర్శన (156 *)' 'ఇన్నింగ్స్ లో 5 వ అత్యధిక పరుగులు (బ్యాటింగ్ స్థానంలో ప్రకారం) (142 *)', 'కెరీర్ లో 2 వ పెద్ద తొంభైల (9 ) ',' ఒక ఇన్నింగ్స్లో ద్వారా బ్యాట్ నిదర్శన (84 *) ',' 1"&amp;"000 పరుగులు మరియు 100 వికెట్లు ',' 1000 పరుగులు, 50 వికెట్లు, 50 క్యాచ్లు ',' 5000 పరుగులు మరియు 50 ఫీల్డింగ్ వికెట్లు ']")</f>
        <v>[ 'హండ్రెడ్ ఒక మ్యాచ్లో ప్రతి ఇన్నింగ్స్లో', 'ఒక ఇన్నింగ్స్లో ద్వారా బ్యాట్ నిదర్శన (156 *)' 'ఇన్నింగ్స్ లో 5 వ అత్యధిక పరుగులు (బ్యాటింగ్ స్థానంలో ప్రకారం) (142 *)', 'కెరీర్ లో 2 వ పెద్ద తొంభైల (9 ) ',' ఒక ఇన్నింగ్స్లో ద్వారా బ్యాట్ నిదర్శన (84 *) ',' 1000 పరుగులు మరియు 100 వికెట్లు ',' 1000 పరుగులు, 50 వికెట్లు, 50 క్యాచ్లు ',' 5000 పరుగులు మరియు 50 ఫీల్డింగ్ వికెట్లు ']</v>
      </c>
      <c r="C9635" s="2" t="s">
        <v>5537</v>
      </c>
      <c r="D9635" s="2" t="str">
        <f>IFERROR(__xludf.DUMMYFUNCTION("IF(C9635&lt;&gt;"""", GOOGLETRANSLATE(C9635, ""en"", ""te""),"""")"),"[ '46 వ ఒకే మైదానంలో అత్యధిక పరుగులు (1218)', '33 వ అత్యధిక తొలి వంద (201 *)', '34 వ లాంగెస్ట్ వ్యక్తిగత ఇన్నింగ్స్ (బంతులతో) (523)', '13 వ చెత్త కెరీర్ బౌలింగ్ సరాసరి (61.48)', '14 వ చెత్త కెరీర్లో సమ్మె రేటు (135.1)', 'నాలుగవ వికెట్కు 30 వ అత్యధిక భాగస"&amp;"్వామ్యం (269)', 'ఐదవ వికెట్కు 40 వ అత్యధిక భాగస్వామ్యం (233 *)']")</f>
        <v>[ '46 వ ఒకే మైదానంలో అత్యధిక పరుగులు (1218)', '33 వ అత్యధిక తొలి వంద (201 *)', '34 వ లాంగెస్ట్ వ్యక్తిగత ఇన్నింగ్స్ (బంతులతో) (523)', '13 వ చెత్త కెరీర్ బౌలింగ్ సరాసరి (61.48)', '14 వ చెత్త కెరీర్లో సమ్మె రేటు (135.1)', 'నాలుగవ వికెట్కు 30 వ అత్యధిక భాగస్వామ్యం (269)', 'ఐదవ వికెట్కు 40 వ అత్యధిక భాగస్వామ్యం (233 *)']</v>
      </c>
      <c r="E9635" s="2" t="s">
        <v>5538</v>
      </c>
      <c r="F9635" s="2" t="str">
        <f>IFERROR(__xludf.DUMMYFUNCTION("IF(E9635&lt;&gt;"""", GOOGLETRANSLATE(E9635, ""en"", ""te""),"""")"),"[ 'ఇన్నింగ్స్ లో 5 వ అత్యధిక పరుగులు (బ్యాటింగ్ స్థానంలో ప్రకారం) (142 *)', '41 వ ఒకే క్రీడా (1099) లో అత్యధిక పరుగులు', 'కెరీర్ లో 2 వ పెద్ద తొంభైల (9)', 'కెరీర్ లో 24 వ అత్యంత బాతులు ( 18) ',' ఫాస్టెస్ట్ కెరీర్లో 3000 పరుగులు (90) ',' 6000 పరుగులు (196"&amp;") ',' 19 వ అత్యంత వికెట్లు 44 వ వేగంగా క్యాచ్ మరియు బౌల్డ్ తీసుకోకూడదు (12) ',' 43 వ అత్యధిక క్యాచ్లు వరకు 47 వ (86) ', 'పదవ వికెట్కు 49 వ అత్యధిక భాగస్వామ్యం (46)', '14 వ లాంగెస్ట్ కెరీర్లు (17y 357d)', 'ప్రదర్శనల మధ్య 43 వ లాంగెస్ట్ వ్యవధిలో (6y 215d)',"&amp;" '45 వ వరుస మ్యాచ్లు ఆడి మధ్య జట్టు (124) కోసం తప్పిన' ]")</f>
        <v>[ 'ఇన్నింగ్స్ లో 5 వ అత్యధిక పరుగులు (బ్యాటింగ్ స్థానంలో ప్రకారం) (142 *)', '41 వ ఒకే క్రీడా (1099) లో అత్యధిక పరుగులు', 'కెరీర్ లో 2 వ పెద్ద తొంభైల (9)', 'కెరీర్ లో 24 వ అత్యంత బాతులు ( 18) ',' ఫాస్టెస్ట్ కెరీర్లో 3000 పరుగులు (90) ',' 6000 పరుగులు (196) ',' 19 వ అత్యంత వికెట్లు 44 వ వేగంగా క్యాచ్ మరియు బౌల్డ్ తీసుకోకూడదు (12) ',' 43 వ అత్యధిక క్యాచ్లు వరకు 47 వ (86) ', 'పదవ వికెట్కు 49 వ అత్యధిక భాగస్వామ్యం (46)', '14 వ లాంగెస్ట్ కెరీర్లు (17y 357d)', 'ప్రదర్శనల మధ్య 43 వ లాంగెస్ట్ వ్యవధిలో (6y 215d)', '45 వ వరుస మ్యాచ్లు ఆడి మధ్య జట్టు (124) కోసం తప్పిన' ]</v>
      </c>
      <c r="G9635" s="2"/>
      <c r="H9635" s="2" t="str">
        <f>IFERROR(__xludf.DUMMYFUNCTION("IF(G9635&lt;&gt;"""", GOOGLETRANSLATE(G9635, ""en"", ""te""),"""")"),"")</f>
        <v/>
      </c>
      <c r="I9635" s="3"/>
    </row>
    <row r="9636" customHeight="1" spans="1:9">
      <c r="A9636" s="2"/>
      <c r="B9636" s="2" t="str">
        <f>IFERROR(__xludf.DUMMYFUNCTION("IF(A9636&lt;&gt;"""", GOOGLETRANSLATE(A9636, ""en"", ""te""),"""")"),"")</f>
        <v/>
      </c>
      <c r="C9636" s="2"/>
      <c r="D9636" s="2" t="str">
        <f>IFERROR(__xludf.DUMMYFUNCTION("IF(C9636&lt;&gt;"""", GOOGLETRANSLATE(C9636, ""en"", ""te""),"""")"),"")</f>
        <v/>
      </c>
      <c r="E9636" s="2"/>
      <c r="F9636" s="2" t="str">
        <f>IFERROR(__xludf.DUMMYFUNCTION("IF(E9636&lt;&gt;"""", GOOGLETRANSLATE(E9636, ""en"", ""te""),"""")"),"")</f>
        <v/>
      </c>
      <c r="G9636" s="2"/>
      <c r="H9636" s="2" t="str">
        <f>IFERROR(__xludf.DUMMYFUNCTION("IF(G9636&lt;&gt;"""", GOOGLETRANSLATE(G9636, ""en"", ""te""),"""")"),"")</f>
        <v/>
      </c>
      <c r="I9636" s="3"/>
    </row>
    <row r="9637" customHeight="1" spans="1:9">
      <c r="A9637" s="2"/>
      <c r="B9637" s="2" t="str">
        <f>IFERROR(__xludf.DUMMYFUNCTION("IF(A9637&lt;&gt;"""", GOOGLETRANSLATE(A9637, ""en"", ""te""),"""")"),"")</f>
        <v/>
      </c>
      <c r="C9637" s="2"/>
      <c r="D9637" s="2" t="str">
        <f>IFERROR(__xludf.DUMMYFUNCTION("IF(C9637&lt;&gt;"""", GOOGLETRANSLATE(C9637, ""en"", ""te""),"""")"),"")</f>
        <v/>
      </c>
      <c r="E9637" s="2"/>
      <c r="F9637" s="2" t="str">
        <f>IFERROR(__xludf.DUMMYFUNCTION("IF(E9637&lt;&gt;"""", GOOGLETRANSLATE(E9637, ""en"", ""te""),"""")"),"")</f>
        <v/>
      </c>
      <c r="G9637" s="2"/>
      <c r="H9637" s="2" t="str">
        <f>IFERROR(__xludf.DUMMYFUNCTION("IF(G9637&lt;&gt;"""", GOOGLETRANSLATE(G9637, ""en"", ""te""),"""")"),"")</f>
        <v/>
      </c>
      <c r="I9637" s="3"/>
    </row>
    <row r="9638" customHeight="1" spans="1:9">
      <c r="A9638" s="2" t="s">
        <v>5539</v>
      </c>
      <c r="B9638" s="2" t="str">
        <f>IFERROR(__xludf.DUMMYFUNCTION("IF(A9638&lt;&gt;"""", GOOGLETRANSLATE(A9638, ""en"", ""te""),"""")"),"[ 'హండ్రెడ్ మరియు ఒక మ్యాచ్లో ఒక డక్', 'ఐదవ వికెట్కు 9 వ అత్యధిక భాగస్వామ్యం (186 *)']")</f>
        <v>[ 'హండ్రెడ్ మరియు ఒక మ్యాచ్లో ఒక డక్', 'ఐదవ వికెట్కు 9 వ అత్యధిక భాగస్వామ్యం (186 *)']</v>
      </c>
      <c r="C9638" s="2" t="s">
        <v>5540</v>
      </c>
      <c r="D9638" s="2" t="str">
        <f>IFERROR(__xludf.DUMMYFUNCTION("IF(C9638&lt;&gt;"""", GOOGLETRANSLATE(C9638, ""en"", ""te""),"""")"),"[ '27 హండ్రెడ్ గత మ్యాచ్ (148 *) లో', 'ఐదవ వికెట్కు 19 అత్యధిక భాగస్వామ్యం (277 *)']")</f>
        <v>[ '27 హండ్రెడ్ గత మ్యాచ్ (148 *) లో', 'ఐదవ వికెట్కు 19 అత్యధిక భాగస్వామ్యం (277 *)']</v>
      </c>
      <c r="E9638" s="2" t="s">
        <v>5541</v>
      </c>
      <c r="F9638" s="2" t="str">
        <f>IFERROR(__xludf.DUMMYFUNCTION("IF(E9638&lt;&gt;"""", GOOGLETRANSLATE(E9638, ""en"", ""te""),"""")"),"[ 'కెరీర్లో 6 వ అతి తక్కువ బాతులు (70)', 'ఐదవ వికెట్ (186 *) 9 వ అత్యధిక భాగస్వామ్యం' 'బృందం (71) 50 వ వరుస మ్యాచ్లు']")</f>
        <v>[ 'కెరీర్లో 6 వ అతి తక్కువ బాతులు (70)', 'ఐదవ వికెట్ (186 *) 9 వ అత్యధిక భాగస్వామ్యం' 'బృందం (71) 50 వ వరుస మ్యాచ్లు']</v>
      </c>
      <c r="G9638" s="2"/>
      <c r="H9638" s="2" t="str">
        <f>IFERROR(__xludf.DUMMYFUNCTION("IF(G9638&lt;&gt;"""", GOOGLETRANSLATE(G9638, ""en"", ""te""),"""")"),"")</f>
        <v/>
      </c>
      <c r="I9638" s="3"/>
    </row>
    <row r="9639" customHeight="1" spans="1:9">
      <c r="A9639" s="2" t="s">
        <v>5448</v>
      </c>
      <c r="B9639" s="2" t="str">
        <f>IFERROR(__xludf.DUMMYFUNCTION("IF(A9639&lt;&gt;"""", GOOGLETRANSLATE(A9639, ""en"", ""te""),"""")"),"[ 'ఇన్నింగ్స్ లో 2 వ పెద్ద పనికత్తెలయొద్ద (3)']")</f>
        <v>[ 'ఇన్నింగ్స్ లో 2 వ పెద్ద పనికత్తెలయొద్ద (3)']</v>
      </c>
      <c r="C9639" s="2"/>
      <c r="D9639" s="2" t="str">
        <f>IFERROR(__xludf.DUMMYFUNCTION("IF(C9639&lt;&gt;"""", GOOGLETRANSLATE(C9639, ""en"", ""te""),"""")"),"")</f>
        <v/>
      </c>
      <c r="E9639" s="2"/>
      <c r="F9639" s="2" t="str">
        <f>IFERROR(__xludf.DUMMYFUNCTION("IF(E9639&lt;&gt;"""", GOOGLETRANSLATE(E9639, ""en"", ""te""),"""")"),"")</f>
        <v/>
      </c>
      <c r="G9639" s="2" t="s">
        <v>5542</v>
      </c>
      <c r="H9639" s="2" t="str">
        <f>IFERROR(__xludf.DUMMYFUNCTION("IF(G9639&lt;&gt;"""", GOOGLETRANSLATE(G9639, ""en"", ""te""),"""")"),"[ 'ఒక ఇన్నింగ్స్ లో తొలి 12 వ బెస్ట్ ఫిగర్స్ (3)' 'ఇన్నింగ్స్ లో 2 వ పెద్ద పనికత్తెలయొద్ద (3)' '16 వ ఉత్తమ కెరీర్ సగటు (4.88) (అర్హత లేకుండా) బౌలింగ్',]")</f>
        <v>[ 'ఒక ఇన్నింగ్స్ లో తొలి 12 వ బెస్ట్ ఫిగర్స్ (3)' 'ఇన్నింగ్స్ లో 2 వ పెద్ద పనికత్తెలయొద్ద (3)' '16 వ ఉత్తమ కెరీర్ సగటు (4.88) (అర్హత లేకుండా) బౌలింగ్',]</v>
      </c>
      <c r="I9639" s="3"/>
    </row>
    <row r="9640" customHeight="1" spans="1:9">
      <c r="A9640" s="2"/>
      <c r="B9640" s="2" t="str">
        <f>IFERROR(__xludf.DUMMYFUNCTION("IF(A9640&lt;&gt;"""", GOOGLETRANSLATE(A9640, ""en"", ""te""),"""")"),"")</f>
        <v/>
      </c>
      <c r="C9640" s="2"/>
      <c r="D9640" s="2" t="str">
        <f>IFERROR(__xludf.DUMMYFUNCTION("IF(C9640&lt;&gt;"""", GOOGLETRANSLATE(C9640, ""en"", ""te""),"""")"),"")</f>
        <v/>
      </c>
      <c r="E9640" s="2"/>
      <c r="F9640" s="2" t="str">
        <f>IFERROR(__xludf.DUMMYFUNCTION("IF(E9640&lt;&gt;"""", GOOGLETRANSLATE(E9640, ""en"", ""te""),"""")"),"")</f>
        <v/>
      </c>
      <c r="G9640" s="2"/>
      <c r="H9640" s="2" t="str">
        <f>IFERROR(__xludf.DUMMYFUNCTION("IF(G9640&lt;&gt;"""", GOOGLETRANSLATE(G9640, ""en"", ""te""),"""")"),"")</f>
        <v/>
      </c>
      <c r="I9640" s="3"/>
    </row>
    <row r="9641" customHeight="1" spans="1:9">
      <c r="A9641" s="2"/>
      <c r="B9641" s="2" t="str">
        <f>IFERROR(__xludf.DUMMYFUNCTION("IF(A9641&lt;&gt;"""", GOOGLETRANSLATE(A9641, ""en"", ""te""),"""")"),"")</f>
        <v/>
      </c>
      <c r="C9641" s="2"/>
      <c r="D9641" s="2" t="str">
        <f>IFERROR(__xludf.DUMMYFUNCTION("IF(C9641&lt;&gt;"""", GOOGLETRANSLATE(C9641, ""en"", ""te""),"""")"),"")</f>
        <v/>
      </c>
      <c r="E9641" s="2" t="s">
        <v>5543</v>
      </c>
      <c r="F9641" s="2" t="str">
        <f>IFERROR(__xludf.DUMMYFUNCTION("IF(E9641&lt;&gt;"""", GOOGLETRANSLATE(E9641, ""en"", ""te""),"""")"),"[ '29 ఉత్తమ ఇన్నింగ్స్ లో ఆర్థిక రేటు (0.85)']")</f>
        <v>[ '29 ఉత్తమ ఇన్నింగ్స్ లో ఆర్థిక రేటు (0.85)']</v>
      </c>
      <c r="G9641" s="2"/>
      <c r="H9641" s="2" t="str">
        <f>IFERROR(__xludf.DUMMYFUNCTION("IF(G9641&lt;&gt;"""", GOOGLETRANSLATE(G9641, ""en"", ""te""),"""")"),"")</f>
        <v/>
      </c>
      <c r="I9641" s="3"/>
    </row>
    <row r="9642" customHeight="1" spans="1:9">
      <c r="A9642" s="2"/>
      <c r="B9642" s="2" t="str">
        <f>IFERROR(__xludf.DUMMYFUNCTION("IF(A9642&lt;&gt;"""", GOOGLETRANSLATE(A9642, ""en"", ""te""),"""")"),"")</f>
        <v/>
      </c>
      <c r="C9642" s="2"/>
      <c r="D9642" s="2" t="str">
        <f>IFERROR(__xludf.DUMMYFUNCTION("IF(C9642&lt;&gt;"""", GOOGLETRANSLATE(C9642, ""en"", ""te""),"""")"),"")</f>
        <v/>
      </c>
      <c r="E9642" s="2"/>
      <c r="F9642" s="2" t="str">
        <f>IFERROR(__xludf.DUMMYFUNCTION("IF(E9642&lt;&gt;"""", GOOGLETRANSLATE(E9642, ""en"", ""te""),"""")"),"")</f>
        <v/>
      </c>
      <c r="G9642" s="2"/>
      <c r="H9642" s="2" t="str">
        <f>IFERROR(__xludf.DUMMYFUNCTION("IF(G9642&lt;&gt;"""", GOOGLETRANSLATE(G9642, ""en"", ""te""),"""")"),"")</f>
        <v/>
      </c>
      <c r="I9642" s="3"/>
    </row>
    <row r="9643" customHeight="1" spans="1:9">
      <c r="A9643" s="2"/>
      <c r="B9643" s="2" t="str">
        <f>IFERROR(__xludf.DUMMYFUNCTION("IF(A9643&lt;&gt;"""", GOOGLETRANSLATE(A9643, ""en"", ""te""),"""")"),"")</f>
        <v/>
      </c>
      <c r="C9643" s="2"/>
      <c r="D9643" s="2" t="str">
        <f>IFERROR(__xludf.DUMMYFUNCTION("IF(C9643&lt;&gt;"""", GOOGLETRANSLATE(C9643, ""en"", ""te""),"""")"),"")</f>
        <v/>
      </c>
      <c r="E9643" s="2"/>
      <c r="F9643" s="2" t="str">
        <f>IFERROR(__xludf.DUMMYFUNCTION("IF(E9643&lt;&gt;"""", GOOGLETRANSLATE(E9643, ""en"", ""te""),"""")"),"")</f>
        <v/>
      </c>
      <c r="G9643" s="2"/>
      <c r="H9643" s="2" t="str">
        <f>IFERROR(__xludf.DUMMYFUNCTION("IF(G9643&lt;&gt;"""", GOOGLETRANSLATE(G9643, ""en"", ""te""),"""")"),"")</f>
        <v/>
      </c>
      <c r="I9643" s="3"/>
    </row>
    <row r="9644" customHeight="1" spans="1:9">
      <c r="A9644" s="2" t="s">
        <v>5544</v>
      </c>
      <c r="B9644" s="2" t="str">
        <f>IFERROR(__xludf.DUMMYFUNCTION("IF(A9644&lt;&gt;"""", GOOGLETRANSLATE(A9644, ""en"", ""te""),"""")"),"[ 'హండ్రెడ్ తొలి (121)', 'కెరీర్ లో 5 వ లేవు బాతులు (36)', 'ఎనిమిదవ వికెట్ (117) 3 వ అత్యధిక భాగస్వామ్యం']")</f>
        <v>[ 'హండ్రెడ్ తొలి (121)', 'కెరీర్ లో 5 వ లేవు బాతులు (36)', 'ఎనిమిదవ వికెట్ (117) 3 వ అత్యధిక భాగస్వామ్యం']</v>
      </c>
      <c r="C9644" s="2" t="s">
        <v>5545</v>
      </c>
      <c r="D9644" s="2" t="str">
        <f>IFERROR(__xludf.DUMMYFUNCTION("IF(C9644&lt;&gt;"""", GOOGLETRANSLATE(C9644, ""en"", ""te""),"""")"),"[ '35 వ తొలి మ్యాచ్లో అత్యధిక పరుగులు (162)', '23 స్కోర్ తొలి వంద (35y 117d) అత్యంత వృద్ధ ఆటగాడు', 'కెరీర్ లో 5 వ లేవు బాతులు (36)', '38 వ లాంగెస్ట్ వ్యక్తిగత ఇన్నింగ్స్ (నిమిషాలు) (675 ) ',' 25 వ లాంగెస్ట్ వ్యక్తిగత ఇన్నింగ్స్ (బంతులతో) (541) ']")</f>
        <v>[ '35 వ తొలి మ్యాచ్లో అత్యధిక పరుగులు (162)', '23 స్కోర్ తొలి వంద (35y 117d) అత్యంత వృద్ధ ఆటగాడు', 'కెరీర్ లో 5 వ లేవు బాతులు (36)', '38 వ లాంగెస్ట్ వ్యక్తిగత ఇన్నింగ్స్ (నిమిషాలు) (675 ) ',' 25 వ లాంగెస్ట్ వ్యక్తిగత ఇన్నింగ్స్ (బంతులతో) (541) ']</v>
      </c>
      <c r="E9644" s="2" t="s">
        <v>5546</v>
      </c>
      <c r="F9644" s="2" t="str">
        <f>IFERROR(__xludf.DUMMYFUNCTION("IF(E9644&lt;&gt;"""", GOOGLETRANSLATE(E9644, ""en"", ""te""),"""")"),"[ '28 పరాజయం వైపు ఒక మ్యాచ్లో అత్యధిక పరుగులు (142)', 'అత్యధిక వికెట్లు ఇన్నింగ్స్ లో 22 వ అత్యధిక పరుగులు (142)', '31 అత్యధిక తొలి వంద (142)', '15 పరుగులు అత్యధిక శాతం పూర్తి ఇన్నింగ్స్ (59.41) ',' ఎనిమిదవ వికెట్కు 3 వ అత్యధిక భాగస్వామ్యం (117) ',' 41 వ"&amp;" ఓల్డెస్ట్ క్రీడాకారులు (40y 104d) ',' కెప్టెన్సీ తొలి 36 వ ఓల్డెస్ట్ కాప్టెన్ (34y 245d) ']")</f>
        <v>[ '28 పరాజయం వైపు ఒక మ్యాచ్లో అత్యధిక పరుగులు (142)', 'అత్యధిక వికెట్లు ఇన్నింగ్స్ లో 22 వ అత్యధిక పరుగులు (142)', '31 అత్యధిక తొలి వంద (142)', '15 పరుగులు అత్యధిక శాతం పూర్తి ఇన్నింగ్స్ (59.41) ',' ఎనిమిదవ వికెట్కు 3 వ అత్యధిక భాగస్వామ్యం (117) ',' 41 వ ఓల్డెస్ట్ క్రీడాకారులు (40y 104d) ',' కెప్టెన్సీ తొలి 36 వ ఓల్డెస్ట్ కాప్టెన్ (34y 245d) ']</v>
      </c>
      <c r="G9644" s="2"/>
      <c r="H9644" s="2" t="str">
        <f>IFERROR(__xludf.DUMMYFUNCTION("IF(G9644&lt;&gt;"""", GOOGLETRANSLATE(G9644, ""en"", ""te""),"""")"),"")</f>
        <v/>
      </c>
      <c r="I9644" s="3"/>
    </row>
    <row r="9645" customHeight="1" spans="1:9">
      <c r="A9645" s="2"/>
      <c r="B9645" s="2" t="str">
        <f>IFERROR(__xludf.DUMMYFUNCTION("IF(A9645&lt;&gt;"""", GOOGLETRANSLATE(A9645, ""en"", ""te""),"""")"),"")</f>
        <v/>
      </c>
      <c r="C9645" s="2"/>
      <c r="D9645" s="2" t="str">
        <f>IFERROR(__xludf.DUMMYFUNCTION("IF(C9645&lt;&gt;"""", GOOGLETRANSLATE(C9645, ""en"", ""te""),"""")"),"")</f>
        <v/>
      </c>
      <c r="E9645" s="2"/>
      <c r="F9645" s="2" t="str">
        <f>IFERROR(__xludf.DUMMYFUNCTION("IF(E9645&lt;&gt;"""", GOOGLETRANSLATE(E9645, ""en"", ""te""),"""")"),"")</f>
        <v/>
      </c>
      <c r="G9645" s="2"/>
      <c r="H9645" s="2" t="str">
        <f>IFERROR(__xludf.DUMMYFUNCTION("IF(G9645&lt;&gt;"""", GOOGLETRANSLATE(G9645, ""en"", ""te""),"""")"),"")</f>
        <v/>
      </c>
      <c r="I9645" s="3"/>
    </row>
    <row r="9646" customHeight="1" spans="1:9">
      <c r="A9646" s="2"/>
      <c r="B9646" s="2" t="str">
        <f>IFERROR(__xludf.DUMMYFUNCTION("IF(A9646&lt;&gt;"""", GOOGLETRANSLATE(A9646, ""en"", ""te""),"""")"),"")</f>
        <v/>
      </c>
      <c r="C9646" s="2"/>
      <c r="D9646" s="2" t="str">
        <f>IFERROR(__xludf.DUMMYFUNCTION("IF(C9646&lt;&gt;"""", GOOGLETRANSLATE(C9646, ""en"", ""te""),"""")"),"")</f>
        <v/>
      </c>
      <c r="E9646" s="2"/>
      <c r="F9646" s="2" t="str">
        <f>IFERROR(__xludf.DUMMYFUNCTION("IF(E9646&lt;&gt;"""", GOOGLETRANSLATE(E9646, ""en"", ""te""),"""")"),"")</f>
        <v/>
      </c>
      <c r="G9646" s="2"/>
      <c r="H9646" s="2" t="str">
        <f>IFERROR(__xludf.DUMMYFUNCTION("IF(G9646&lt;&gt;"""", GOOGLETRANSLATE(G9646, ""en"", ""te""),"""")"),"")</f>
        <v/>
      </c>
      <c r="I9646" s="3"/>
    </row>
    <row r="9647" customHeight="1" spans="1:9">
      <c r="A9647" s="2"/>
      <c r="B9647" s="2" t="str">
        <f>IFERROR(__xludf.DUMMYFUNCTION("IF(A9647&lt;&gt;"""", GOOGLETRANSLATE(A9647, ""en"", ""te""),"""")"),"")</f>
        <v/>
      </c>
      <c r="C9647" s="2"/>
      <c r="D9647" s="2" t="str">
        <f>IFERROR(__xludf.DUMMYFUNCTION("IF(C9647&lt;&gt;"""", GOOGLETRANSLATE(C9647, ""en"", ""te""),"""")"),"")</f>
        <v/>
      </c>
      <c r="E9647" s="2"/>
      <c r="F9647" s="2" t="str">
        <f>IFERROR(__xludf.DUMMYFUNCTION("IF(E9647&lt;&gt;"""", GOOGLETRANSLATE(E9647, ""en"", ""te""),"""")"),"")</f>
        <v/>
      </c>
      <c r="G9647" s="2"/>
      <c r="H9647" s="2" t="str">
        <f>IFERROR(__xludf.DUMMYFUNCTION("IF(G9647&lt;&gt;"""", GOOGLETRANSLATE(G9647, ""en"", ""te""),"""")"),"")</f>
        <v/>
      </c>
      <c r="I9647" s="3"/>
    </row>
    <row r="9648" customHeight="1" spans="1:9">
      <c r="A9648" s="2"/>
      <c r="B9648" s="2" t="str">
        <f>IFERROR(__xludf.DUMMYFUNCTION("IF(A9648&lt;&gt;"""", GOOGLETRANSLATE(A9648, ""en"", ""te""),"""")"),"")</f>
        <v/>
      </c>
      <c r="C9648" s="2"/>
      <c r="D9648" s="2" t="str">
        <f>IFERROR(__xludf.DUMMYFUNCTION("IF(C9648&lt;&gt;"""", GOOGLETRANSLATE(C9648, ""en"", ""te""),"""")"),"")</f>
        <v/>
      </c>
      <c r="E9648" s="2"/>
      <c r="F9648" s="2" t="str">
        <f>IFERROR(__xludf.DUMMYFUNCTION("IF(E9648&lt;&gt;"""", GOOGLETRANSLATE(E9648, ""en"", ""te""),"""")"),"")</f>
        <v/>
      </c>
      <c r="G9648" s="2"/>
      <c r="H9648" s="2" t="str">
        <f>IFERROR(__xludf.DUMMYFUNCTION("IF(G9648&lt;&gt;"""", GOOGLETRANSLATE(G9648, ""en"", ""te""),"""")"),"")</f>
        <v/>
      </c>
      <c r="I9648" s="3"/>
    </row>
    <row r="9649" customHeight="1" spans="1:9">
      <c r="A9649" s="2"/>
      <c r="B9649" s="2" t="str">
        <f>IFERROR(__xludf.DUMMYFUNCTION("IF(A9649&lt;&gt;"""", GOOGLETRANSLATE(A9649, ""en"", ""te""),"""")"),"")</f>
        <v/>
      </c>
      <c r="C9649" s="2" t="s">
        <v>5547</v>
      </c>
      <c r="D9649" s="2" t="str">
        <f>IFERROR(__xludf.DUMMYFUNCTION("IF(C9649&lt;&gt;"""", GOOGLETRANSLATE(C9649, ""en"", ""te""),"""")"),"[ '50 వ అత్యంత ఒక మ్యాచ్ (255) లో ఇవ్వబడిన పరుగులలో']")</f>
        <v>[ '50 వ అత్యంత ఒక మ్యాచ్ (255) లో ఇవ్వబడిన పరుగులలో']</v>
      </c>
      <c r="E9649" s="2"/>
      <c r="F9649" s="2" t="str">
        <f>IFERROR(__xludf.DUMMYFUNCTION("IF(E9649&lt;&gt;"""", GOOGLETRANSLATE(E9649, ""en"", ""te""),"""")"),"")</f>
        <v/>
      </c>
      <c r="G9649" s="2"/>
      <c r="H9649" s="2" t="str">
        <f>IFERROR(__xludf.DUMMYFUNCTION("IF(G9649&lt;&gt;"""", GOOGLETRANSLATE(G9649, ""en"", ""te""),"""")"),"")</f>
        <v/>
      </c>
      <c r="I9649" s="3"/>
    </row>
    <row r="9650" customHeight="1" spans="1:9">
      <c r="A9650" s="2"/>
      <c r="B9650" s="2" t="str">
        <f>IFERROR(__xludf.DUMMYFUNCTION("IF(A9650&lt;&gt;"""", GOOGLETRANSLATE(A9650, ""en"", ""te""),"""")"),"")</f>
        <v/>
      </c>
      <c r="C9650" s="2"/>
      <c r="D9650" s="2" t="str">
        <f>IFERROR(__xludf.DUMMYFUNCTION("IF(C9650&lt;&gt;"""", GOOGLETRANSLATE(C9650, ""en"", ""te""),"""")"),"")</f>
        <v/>
      </c>
      <c r="E9650" s="2" t="s">
        <v>2700</v>
      </c>
      <c r="F9650" s="2" t="str">
        <f>IFERROR(__xludf.DUMMYFUNCTION("IF(E9650&lt;&gt;"""", GOOGLETRANSLATE(E9650, ""en"", ""te""),"""")"),"[ '13 వ వరుస నాలుగు వికెట్లు-ఇన్-ఒక-ఇన్నింగ్స్ (2)']")</f>
        <v>[ '13 వ వరుస నాలుగు వికెట్లు-ఇన్-ఒక-ఇన్నింగ్స్ (2)']</v>
      </c>
      <c r="G9650" s="2"/>
      <c r="H9650" s="2" t="str">
        <f>IFERROR(__xludf.DUMMYFUNCTION("IF(G9650&lt;&gt;"""", GOOGLETRANSLATE(G9650, ""en"", ""te""),"""")"),"")</f>
        <v/>
      </c>
      <c r="I9650" s="3"/>
    </row>
    <row r="9651" customHeight="1" spans="1:9">
      <c r="A9651" s="2"/>
      <c r="B9651" s="2" t="str">
        <f>IFERROR(__xludf.DUMMYFUNCTION("IF(A9651&lt;&gt;"""", GOOGLETRANSLATE(A9651, ""en"", ""te""),"""")"),"")</f>
        <v/>
      </c>
      <c r="C9651" s="2"/>
      <c r="D9651" s="2" t="str">
        <f>IFERROR(__xludf.DUMMYFUNCTION("IF(C9651&lt;&gt;"""", GOOGLETRANSLATE(C9651, ""en"", ""te""),"""")"),"")</f>
        <v/>
      </c>
      <c r="E9651" s="2"/>
      <c r="F9651" s="2" t="str">
        <f>IFERROR(__xludf.DUMMYFUNCTION("IF(E9651&lt;&gt;"""", GOOGLETRANSLATE(E9651, ""en"", ""te""),"""")"),"")</f>
        <v/>
      </c>
      <c r="G9651" s="2"/>
      <c r="H9651" s="2" t="str">
        <f>IFERROR(__xludf.DUMMYFUNCTION("IF(G9651&lt;&gt;"""", GOOGLETRANSLATE(G9651, ""en"", ""te""),"""")"),"")</f>
        <v/>
      </c>
      <c r="I9651" s="3"/>
    </row>
    <row r="9652" customHeight="1" spans="1:9">
      <c r="A9652" s="2"/>
      <c r="B9652" s="2" t="str">
        <f>IFERROR(__xludf.DUMMYFUNCTION("IF(A9652&lt;&gt;"""", GOOGLETRANSLATE(A9652, ""en"", ""te""),"""")"),"")</f>
        <v/>
      </c>
      <c r="C9652" s="2"/>
      <c r="D9652" s="2" t="str">
        <f>IFERROR(__xludf.DUMMYFUNCTION("IF(C9652&lt;&gt;"""", GOOGLETRANSLATE(C9652, ""en"", ""te""),"""")"),"")</f>
        <v/>
      </c>
      <c r="E9652" s="2"/>
      <c r="F9652" s="2" t="str">
        <f>IFERROR(__xludf.DUMMYFUNCTION("IF(E9652&lt;&gt;"""", GOOGLETRANSLATE(E9652, ""en"", ""te""),"""")"),"")</f>
        <v/>
      </c>
      <c r="G9652" s="2"/>
      <c r="H9652" s="2" t="str">
        <f>IFERROR(__xludf.DUMMYFUNCTION("IF(G9652&lt;&gt;"""", GOOGLETRANSLATE(G9652, ""en"", ""te""),"""")"),"")</f>
        <v/>
      </c>
      <c r="I9652" s="3"/>
    </row>
    <row r="9653" customHeight="1" spans="1:9">
      <c r="A9653" s="2"/>
      <c r="B9653" s="2" t="str">
        <f>IFERROR(__xludf.DUMMYFUNCTION("IF(A9653&lt;&gt;"""", GOOGLETRANSLATE(A9653, ""en"", ""te""),"""")"),"")</f>
        <v/>
      </c>
      <c r="C9653" s="2"/>
      <c r="D9653" s="2" t="str">
        <f>IFERROR(__xludf.DUMMYFUNCTION("IF(C9653&lt;&gt;"""", GOOGLETRANSLATE(C9653, ""en"", ""te""),"""")"),"")</f>
        <v/>
      </c>
      <c r="E9653" s="2"/>
      <c r="F9653" s="2" t="str">
        <f>IFERROR(__xludf.DUMMYFUNCTION("IF(E9653&lt;&gt;"""", GOOGLETRANSLATE(E9653, ""en"", ""te""),"""")"),"")</f>
        <v/>
      </c>
      <c r="G9653" s="2"/>
      <c r="H9653" s="2" t="str">
        <f>IFERROR(__xludf.DUMMYFUNCTION("IF(G9653&lt;&gt;"""", GOOGLETRANSLATE(G9653, ""en"", ""te""),"""")"),"")</f>
        <v/>
      </c>
      <c r="I9653" s="3"/>
    </row>
    <row r="9654" customHeight="1" spans="1:9">
      <c r="A9654" s="2"/>
      <c r="B9654" s="2" t="str">
        <f>IFERROR(__xludf.DUMMYFUNCTION("IF(A9654&lt;&gt;"""", GOOGLETRANSLATE(A9654, ""en"", ""te""),"""")"),"")</f>
        <v/>
      </c>
      <c r="C9654" s="2"/>
      <c r="D9654" s="2" t="str">
        <f>IFERROR(__xludf.DUMMYFUNCTION("IF(C9654&lt;&gt;"""", GOOGLETRANSLATE(C9654, ""en"", ""te""),"""")"),"")</f>
        <v/>
      </c>
      <c r="E9654" s="2"/>
      <c r="F9654" s="2" t="str">
        <f>IFERROR(__xludf.DUMMYFUNCTION("IF(E9654&lt;&gt;"""", GOOGLETRANSLATE(E9654, ""en"", ""te""),"""")"),"")</f>
        <v/>
      </c>
      <c r="G9654" s="2"/>
      <c r="H9654" s="2" t="str">
        <f>IFERROR(__xludf.DUMMYFUNCTION("IF(G9654&lt;&gt;"""", GOOGLETRANSLATE(G9654, ""en"", ""te""),"""")"),"")</f>
        <v/>
      </c>
      <c r="I9654" s="3"/>
    </row>
    <row r="9655" customHeight="1" spans="1:9">
      <c r="A9655" s="2"/>
      <c r="B9655" s="2" t="str">
        <f>IFERROR(__xludf.DUMMYFUNCTION("IF(A9655&lt;&gt;"""", GOOGLETRANSLATE(A9655, ""en"", ""te""),"""")"),"")</f>
        <v/>
      </c>
      <c r="C9655" s="2"/>
      <c r="D9655" s="2" t="str">
        <f>IFERROR(__xludf.DUMMYFUNCTION("IF(C9655&lt;&gt;"""", GOOGLETRANSLATE(C9655, ""en"", ""te""),"""")"),"")</f>
        <v/>
      </c>
      <c r="E9655" s="2"/>
      <c r="F9655" s="2" t="str">
        <f>IFERROR(__xludf.DUMMYFUNCTION("IF(E9655&lt;&gt;"""", GOOGLETRANSLATE(E9655, ""en"", ""te""),"""")"),"")</f>
        <v/>
      </c>
      <c r="G9655" s="2"/>
      <c r="H9655" s="2" t="str">
        <f>IFERROR(__xludf.DUMMYFUNCTION("IF(G9655&lt;&gt;"""", GOOGLETRANSLATE(G9655, ""en"", ""te""),"""")"),"")</f>
        <v/>
      </c>
      <c r="I9655" s="3"/>
    </row>
    <row r="9656" customHeight="1" spans="1:9">
      <c r="A9656" s="2"/>
      <c r="B9656" s="2" t="str">
        <f>IFERROR(__xludf.DUMMYFUNCTION("IF(A9656&lt;&gt;"""", GOOGLETRANSLATE(A9656, ""en"", ""te""),"""")"),"")</f>
        <v/>
      </c>
      <c r="C9656" s="2"/>
      <c r="D9656" s="2" t="str">
        <f>IFERROR(__xludf.DUMMYFUNCTION("IF(C9656&lt;&gt;"""", GOOGLETRANSLATE(C9656, ""en"", ""te""),"""")"),"")</f>
        <v/>
      </c>
      <c r="E9656" s="2"/>
      <c r="F9656" s="2" t="str">
        <f>IFERROR(__xludf.DUMMYFUNCTION("IF(E9656&lt;&gt;"""", GOOGLETRANSLATE(E9656, ""en"", ""te""),"""")"),"")</f>
        <v/>
      </c>
      <c r="G9656" s="2"/>
      <c r="H9656" s="2" t="str">
        <f>IFERROR(__xludf.DUMMYFUNCTION("IF(G9656&lt;&gt;"""", GOOGLETRANSLATE(G9656, ""en"", ""te""),"""")"),"")</f>
        <v/>
      </c>
      <c r="I9656" s="3"/>
    </row>
    <row r="9657" customHeight="1" spans="1:9">
      <c r="A9657" s="2"/>
      <c r="B9657" s="2" t="str">
        <f>IFERROR(__xludf.DUMMYFUNCTION("IF(A9657&lt;&gt;"""", GOOGLETRANSLATE(A9657, ""en"", ""te""),"""")"),"")</f>
        <v/>
      </c>
      <c r="C9657" s="2"/>
      <c r="D9657" s="2" t="str">
        <f>IFERROR(__xludf.DUMMYFUNCTION("IF(C9657&lt;&gt;"""", GOOGLETRANSLATE(C9657, ""en"", ""te""),"""")"),"")</f>
        <v/>
      </c>
      <c r="E9657" s="2"/>
      <c r="F9657" s="2" t="str">
        <f>IFERROR(__xludf.DUMMYFUNCTION("IF(E9657&lt;&gt;"""", GOOGLETRANSLATE(E9657, ""en"", ""te""),"""")"),"")</f>
        <v/>
      </c>
      <c r="G9657" s="2"/>
      <c r="H9657" s="2" t="str">
        <f>IFERROR(__xludf.DUMMYFUNCTION("IF(G9657&lt;&gt;"""", GOOGLETRANSLATE(G9657, ""en"", ""te""),"""")"),"")</f>
        <v/>
      </c>
      <c r="I9657" s="3"/>
    </row>
    <row r="9658" customHeight="1" spans="1:9">
      <c r="A9658" s="2"/>
      <c r="B9658" s="2" t="str">
        <f>IFERROR(__xludf.DUMMYFUNCTION("IF(A9658&lt;&gt;"""", GOOGLETRANSLATE(A9658, ""en"", ""te""),"""")"),"")</f>
        <v/>
      </c>
      <c r="C9658" s="2"/>
      <c r="D9658" s="2" t="str">
        <f>IFERROR(__xludf.DUMMYFUNCTION("IF(C9658&lt;&gt;"""", GOOGLETRANSLATE(C9658, ""en"", ""te""),"""")"),"")</f>
        <v/>
      </c>
      <c r="E9658" s="2"/>
      <c r="F9658" s="2" t="str">
        <f>IFERROR(__xludf.DUMMYFUNCTION("IF(E9658&lt;&gt;"""", GOOGLETRANSLATE(E9658, ""en"", ""te""),"""")"),"")</f>
        <v/>
      </c>
      <c r="G9658" s="2"/>
      <c r="H9658" s="2" t="str">
        <f>IFERROR(__xludf.DUMMYFUNCTION("IF(G9658&lt;&gt;"""", GOOGLETRANSLATE(G9658, ""en"", ""te""),"""")"),"")</f>
        <v/>
      </c>
      <c r="I9658" s="3"/>
    </row>
    <row r="9659" customHeight="1" spans="1:9">
      <c r="A9659" s="2"/>
      <c r="B9659" s="2" t="str">
        <f>IFERROR(__xludf.DUMMYFUNCTION("IF(A9659&lt;&gt;"""", GOOGLETRANSLATE(A9659, ""en"", ""te""),"""")"),"")</f>
        <v/>
      </c>
      <c r="C9659" s="2"/>
      <c r="D9659" s="2" t="str">
        <f>IFERROR(__xludf.DUMMYFUNCTION("IF(C9659&lt;&gt;"""", GOOGLETRANSLATE(C9659, ""en"", ""te""),"""")"),"")</f>
        <v/>
      </c>
      <c r="E9659" s="2"/>
      <c r="F9659" s="2" t="str">
        <f>IFERROR(__xludf.DUMMYFUNCTION("IF(E9659&lt;&gt;"""", GOOGLETRANSLATE(E9659, ""en"", ""te""),"""")"),"")</f>
        <v/>
      </c>
      <c r="G9659" s="2"/>
      <c r="H9659" s="2" t="str">
        <f>IFERROR(__xludf.DUMMYFUNCTION("IF(G9659&lt;&gt;"""", GOOGLETRANSLATE(G9659, ""en"", ""te""),"""")"),"")</f>
        <v/>
      </c>
      <c r="I9659" s="3"/>
    </row>
    <row r="9660" customHeight="1" spans="1:9">
      <c r="A9660" s="2"/>
      <c r="B9660" s="2" t="str">
        <f>IFERROR(__xludf.DUMMYFUNCTION("IF(A9660&lt;&gt;"""", GOOGLETRANSLATE(A9660, ""en"", ""te""),"""")"),"")</f>
        <v/>
      </c>
      <c r="C9660" s="2"/>
      <c r="D9660" s="2" t="str">
        <f>IFERROR(__xludf.DUMMYFUNCTION("IF(C9660&lt;&gt;"""", GOOGLETRANSLATE(C9660, ""en"", ""te""),"""")"),"")</f>
        <v/>
      </c>
      <c r="E9660" s="2"/>
      <c r="F9660" s="2" t="str">
        <f>IFERROR(__xludf.DUMMYFUNCTION("IF(E9660&lt;&gt;"""", GOOGLETRANSLATE(E9660, ""en"", ""te""),"""")"),"")</f>
        <v/>
      </c>
      <c r="G9660" s="2"/>
      <c r="H9660" s="2" t="str">
        <f>IFERROR(__xludf.DUMMYFUNCTION("IF(G9660&lt;&gt;"""", GOOGLETRANSLATE(G9660, ""en"", ""te""),"""")"),"")</f>
        <v/>
      </c>
      <c r="I9660" s="3"/>
    </row>
    <row r="9661" customHeight="1" spans="1:9">
      <c r="A9661" s="2"/>
      <c r="B9661" s="2" t="str">
        <f>IFERROR(__xludf.DUMMYFUNCTION("IF(A9661&lt;&gt;"""", GOOGLETRANSLATE(A9661, ""en"", ""te""),"""")"),"")</f>
        <v/>
      </c>
      <c r="C9661" s="2"/>
      <c r="D9661" s="2" t="str">
        <f>IFERROR(__xludf.DUMMYFUNCTION("IF(C9661&lt;&gt;"""", GOOGLETRANSLATE(C9661, ""en"", ""te""),"""")"),"")</f>
        <v/>
      </c>
      <c r="E9661" s="2"/>
      <c r="F9661" s="2" t="str">
        <f>IFERROR(__xludf.DUMMYFUNCTION("IF(E9661&lt;&gt;"""", GOOGLETRANSLATE(E9661, ""en"", ""te""),"""")"),"")</f>
        <v/>
      </c>
      <c r="G9661" s="2"/>
      <c r="H9661" s="2" t="str">
        <f>IFERROR(__xludf.DUMMYFUNCTION("IF(G9661&lt;&gt;"""", GOOGLETRANSLATE(G9661, ""en"", ""te""),"""")"),"")</f>
        <v/>
      </c>
      <c r="I9661" s="3"/>
    </row>
    <row r="9662" customHeight="1" spans="1:9">
      <c r="A9662" s="2" t="s">
        <v>5174</v>
      </c>
      <c r="B9662" s="2" t="str">
        <f>IFERROR(__xludf.DUMMYFUNCTION("IF(A9662&lt;&gt;"""", GOOGLETRANSLATE(A9662, ""en"", ""te""),"""")"),"[ '10 వ అత్యుత్తమ ఇన్నింగ్స్ (2/1) విశ్లేషణలలో బౌలింగ్']")</f>
        <v>[ '10 వ అత్యుత్తమ ఇన్నింగ్స్ (2/1) విశ్లేషణలలో బౌలింగ్']</v>
      </c>
      <c r="C9662" s="2"/>
      <c r="D9662" s="2" t="str">
        <f>IFERROR(__xludf.DUMMYFUNCTION("IF(C9662&lt;&gt;"""", GOOGLETRANSLATE(C9662, ""en"", ""te""),"""")"),"")</f>
        <v/>
      </c>
      <c r="E9662" s="2"/>
      <c r="F9662" s="2" t="str">
        <f>IFERROR(__xludf.DUMMYFUNCTION("IF(E9662&lt;&gt;"""", GOOGLETRANSLATE(E9662, ""en"", ""te""),"""")"),"")</f>
        <v/>
      </c>
      <c r="G9662" s="2" t="s">
        <v>5548</v>
      </c>
      <c r="H9662" s="2" t="str">
        <f>IFERROR(__xludf.DUMMYFUNCTION("IF(G9662&lt;&gt;"""", GOOGLETRANSLATE(G9662, ""en"", ""te""),"""")"),"[ '10 వ అత్యుత్తమ ఇన్నింగ్స్ లో విశ్లేషణలు బౌలింగ్ (2/1)', 'ఇన్నింగ్స్ లో 19 ఉత్తమ ఆర్థిక రేటు (0.33)', ఒక ఇన్నింగ్స్ లో, '12 వ అత్యంత పనికత్తెలయొద్ద' 33 వ ఉత్తమ సమ్మె ఇన్నింగ్స్ (4.0) లో రేటు '( 2) ']")</f>
        <v>[ '10 వ అత్యుత్తమ ఇన్నింగ్స్ లో విశ్లేషణలు బౌలింగ్ (2/1)', 'ఇన్నింగ్స్ లో 19 ఉత్తమ ఆర్థిక రేటు (0.33)', ఒక ఇన్నింగ్స్ లో, '12 వ అత్యంత పనికత్తెలయొద్ద' 33 వ ఉత్తమ సమ్మె ఇన్నింగ్స్ (4.0) లో రేటు '( 2) ']</v>
      </c>
      <c r="I9662" s="3"/>
    </row>
    <row r="9663" customHeight="1" spans="1:9">
      <c r="A9663" s="2"/>
      <c r="B9663" s="2" t="str">
        <f>IFERROR(__xludf.DUMMYFUNCTION("IF(A9663&lt;&gt;"""", GOOGLETRANSLATE(A9663, ""en"", ""te""),"""")"),"")</f>
        <v/>
      </c>
      <c r="C9663" s="2"/>
      <c r="D9663" s="2" t="str">
        <f>IFERROR(__xludf.DUMMYFUNCTION("IF(C9663&lt;&gt;"""", GOOGLETRANSLATE(C9663, ""en"", ""te""),"""")"),"")</f>
        <v/>
      </c>
      <c r="E9663" s="2"/>
      <c r="F9663" s="2" t="str">
        <f>IFERROR(__xludf.DUMMYFUNCTION("IF(E9663&lt;&gt;"""", GOOGLETRANSLATE(E9663, ""en"", ""te""),"""")"),"")</f>
        <v/>
      </c>
      <c r="G9663" s="2"/>
      <c r="H9663" s="2" t="str">
        <f>IFERROR(__xludf.DUMMYFUNCTION("IF(G9663&lt;&gt;"""", GOOGLETRANSLATE(G9663, ""en"", ""te""),"""")"),"")</f>
        <v/>
      </c>
      <c r="I9663" s="3"/>
    </row>
    <row r="9664" customHeight="1" spans="1:9">
      <c r="A9664" s="2" t="s">
        <v>5549</v>
      </c>
      <c r="B9664" s="2" t="str">
        <f>IFERROR(__xludf.DUMMYFUNCTION("IF(A9664&lt;&gt;"""", GOOGLETRANSLATE(A9664, ""en"", ""te""),"""")"),"[ 'తొలి 8 వ ఓల్డెస్ట్ క్రీడాకారులు (42y 284d)']")</f>
        <v>[ 'తొలి 8 వ ఓల్డెస్ట్ క్రీడాకారులు (42y 284d)']</v>
      </c>
      <c r="C9664" s="2"/>
      <c r="D9664" s="2" t="str">
        <f>IFERROR(__xludf.DUMMYFUNCTION("IF(C9664&lt;&gt;"""", GOOGLETRANSLATE(C9664, ""en"", ""te""),"""")"),"")</f>
        <v/>
      </c>
      <c r="E9664" s="2" t="s">
        <v>5550</v>
      </c>
      <c r="F9664" s="2" t="str">
        <f>IFERROR(__xludf.DUMMYFUNCTION("IF(E9664&lt;&gt;"""", GOOGLETRANSLATE(E9664, ""en"", ""te""),"""")"),"[ 'తొలి 8 వ ఓల్డెస్ట్ క్రీడాకారులు (42y 284d)', '11 వ ఓల్డెస్ట్ క్రీడాకారులు (42y 284d)']")</f>
        <v>[ 'తొలి 8 వ ఓల్డెస్ట్ క్రీడాకారులు (42y 284d)', '11 వ ఓల్డెస్ట్ క్రీడాకారులు (42y 284d)']</v>
      </c>
      <c r="G9664" s="2"/>
      <c r="H9664" s="2" t="str">
        <f>IFERROR(__xludf.DUMMYFUNCTION("IF(G9664&lt;&gt;"""", GOOGLETRANSLATE(G9664, ""en"", ""te""),"""")"),"")</f>
        <v/>
      </c>
      <c r="I9664" s="3"/>
    </row>
    <row r="9665" customHeight="1" spans="1:9">
      <c r="A9665" s="2"/>
      <c r="B9665" s="2" t="str">
        <f>IFERROR(__xludf.DUMMYFUNCTION("IF(A9665&lt;&gt;"""", GOOGLETRANSLATE(A9665, ""en"", ""te""),"""")"),"")</f>
        <v/>
      </c>
      <c r="C9665" s="2"/>
      <c r="D9665" s="2" t="str">
        <f>IFERROR(__xludf.DUMMYFUNCTION("IF(C9665&lt;&gt;"""", GOOGLETRANSLATE(C9665, ""en"", ""te""),"""")"),"")</f>
        <v/>
      </c>
      <c r="E9665" s="2"/>
      <c r="F9665" s="2" t="str">
        <f>IFERROR(__xludf.DUMMYFUNCTION("IF(E9665&lt;&gt;"""", GOOGLETRANSLATE(E9665, ""en"", ""te""),"""")"),"")</f>
        <v/>
      </c>
      <c r="G9665" s="2"/>
      <c r="H9665" s="2" t="str">
        <f>IFERROR(__xludf.DUMMYFUNCTION("IF(G9665&lt;&gt;"""", GOOGLETRANSLATE(G9665, ""en"", ""te""),"""")"),"")</f>
        <v/>
      </c>
      <c r="I9665" s="3"/>
    </row>
    <row r="9666" customHeight="1" spans="1:9">
      <c r="A9666" s="2"/>
      <c r="B9666" s="2" t="str">
        <f>IFERROR(__xludf.DUMMYFUNCTION("IF(A9666&lt;&gt;"""", GOOGLETRANSLATE(A9666, ""en"", ""te""),"""")"),"")</f>
        <v/>
      </c>
      <c r="C9666" s="2"/>
      <c r="D9666" s="2" t="str">
        <f>IFERROR(__xludf.DUMMYFUNCTION("IF(C9666&lt;&gt;"""", GOOGLETRANSLATE(C9666, ""en"", ""te""),"""")"),"")</f>
        <v/>
      </c>
      <c r="E9666" s="2"/>
      <c r="F9666" s="2" t="str">
        <f>IFERROR(__xludf.DUMMYFUNCTION("IF(E9666&lt;&gt;"""", GOOGLETRANSLATE(E9666, ""en"", ""te""),"""")"),"")</f>
        <v/>
      </c>
      <c r="G9666" s="2"/>
      <c r="H9666" s="2" t="str">
        <f>IFERROR(__xludf.DUMMYFUNCTION("IF(G9666&lt;&gt;"""", GOOGLETRANSLATE(G9666, ""en"", ""te""),"""")"),"")</f>
        <v/>
      </c>
      <c r="I9666" s="3"/>
    </row>
    <row r="9667" customHeight="1" spans="1:9">
      <c r="A9667" s="2"/>
      <c r="B9667" s="2" t="str">
        <f>IFERROR(__xludf.DUMMYFUNCTION("IF(A9667&lt;&gt;"""", GOOGLETRANSLATE(A9667, ""en"", ""te""),"""")"),"")</f>
        <v/>
      </c>
      <c r="C9667" s="2"/>
      <c r="D9667" s="2" t="str">
        <f>IFERROR(__xludf.DUMMYFUNCTION("IF(C9667&lt;&gt;"""", GOOGLETRANSLATE(C9667, ""en"", ""te""),"""")"),"")</f>
        <v/>
      </c>
      <c r="E9667" s="2"/>
      <c r="F9667" s="2" t="str">
        <f>IFERROR(__xludf.DUMMYFUNCTION("IF(E9667&lt;&gt;"""", GOOGLETRANSLATE(E9667, ""en"", ""te""),"""")"),"")</f>
        <v/>
      </c>
      <c r="G9667" s="2"/>
      <c r="H9667" s="2" t="str">
        <f>IFERROR(__xludf.DUMMYFUNCTION("IF(G9667&lt;&gt;"""", GOOGLETRANSLATE(G9667, ""en"", ""te""),"""")"),"")</f>
        <v/>
      </c>
      <c r="I9667" s="3"/>
    </row>
    <row r="9668" customHeight="1" spans="1:9">
      <c r="A9668" s="2"/>
      <c r="B9668" s="2" t="str">
        <f>IFERROR(__xludf.DUMMYFUNCTION("IF(A9668&lt;&gt;"""", GOOGLETRANSLATE(A9668, ""en"", ""te""),"""")"),"")</f>
        <v/>
      </c>
      <c r="C9668" s="2"/>
      <c r="D9668" s="2" t="str">
        <f>IFERROR(__xludf.DUMMYFUNCTION("IF(C9668&lt;&gt;"""", GOOGLETRANSLATE(C9668, ""en"", ""te""),"""")"),"")</f>
        <v/>
      </c>
      <c r="E9668" s="2"/>
      <c r="F9668" s="2" t="str">
        <f>IFERROR(__xludf.DUMMYFUNCTION("IF(E9668&lt;&gt;"""", GOOGLETRANSLATE(E9668, ""en"", ""te""),"""")"),"")</f>
        <v/>
      </c>
      <c r="G9668" s="2"/>
      <c r="H9668" s="2" t="str">
        <f>IFERROR(__xludf.DUMMYFUNCTION("IF(G9668&lt;&gt;"""", GOOGLETRANSLATE(G9668, ""en"", ""te""),"""")"),"")</f>
        <v/>
      </c>
      <c r="I9668" s="3"/>
    </row>
    <row r="9669" customHeight="1" spans="1:9">
      <c r="A9669" s="2"/>
      <c r="B9669" s="2" t="str">
        <f>IFERROR(__xludf.DUMMYFUNCTION("IF(A9669&lt;&gt;"""", GOOGLETRANSLATE(A9669, ""en"", ""te""),"""")"),"")</f>
        <v/>
      </c>
      <c r="C9669" s="2"/>
      <c r="D9669" s="2" t="str">
        <f>IFERROR(__xludf.DUMMYFUNCTION("IF(C9669&lt;&gt;"""", GOOGLETRANSLATE(C9669, ""en"", ""te""),"""")"),"")</f>
        <v/>
      </c>
      <c r="E9669" s="2"/>
      <c r="F9669" s="2" t="str">
        <f>IFERROR(__xludf.DUMMYFUNCTION("IF(E9669&lt;&gt;"""", GOOGLETRANSLATE(E9669, ""en"", ""te""),"""")"),"")</f>
        <v/>
      </c>
      <c r="G9669" s="2"/>
      <c r="H9669" s="2" t="str">
        <f>IFERROR(__xludf.DUMMYFUNCTION("IF(G9669&lt;&gt;"""", GOOGLETRANSLATE(G9669, ""en"", ""te""),"""")"),"")</f>
        <v/>
      </c>
      <c r="I9669" s="3"/>
    </row>
    <row r="9670" customHeight="1" spans="1:9">
      <c r="A9670" s="2" t="s">
        <v>5551</v>
      </c>
      <c r="B9670" s="2" t="str">
        <f>IFERROR(__xludf.DUMMYFUNCTION("IF(A9670&lt;&gt;"""", GOOGLETRANSLATE(A9670, ""en"", ""te""),"""")"),"[ '10 వ చెత్త కెరీర్ బౌలింగ్ సరాసరి (అర్హత లేకుండా) (102.00)']")</f>
        <v>[ '10 వ చెత్త కెరీర్ బౌలింగ్ సరాసరి (అర్హత లేకుండా) (102.00)']</v>
      </c>
      <c r="C9670" s="2"/>
      <c r="D9670" s="2" t="str">
        <f>IFERROR(__xludf.DUMMYFUNCTION("IF(C9670&lt;&gt;"""", GOOGLETRANSLATE(C9670, ""en"", ""te""),"""")"),"")</f>
        <v/>
      </c>
      <c r="E9670" s="2"/>
      <c r="F9670" s="2" t="str">
        <f>IFERROR(__xludf.DUMMYFUNCTION("IF(E9670&lt;&gt;"""", GOOGLETRANSLATE(E9670, ""en"", ""te""),"""")"),"")</f>
        <v/>
      </c>
      <c r="G9670" s="2" t="s">
        <v>5551</v>
      </c>
      <c r="H9670" s="2" t="str">
        <f>IFERROR(__xludf.DUMMYFUNCTION("IF(G9670&lt;&gt;"""", GOOGLETRANSLATE(G9670, ""en"", ""te""),"""")"),"[ '10 వ చెత్త కెరీర్ బౌలింగ్ సరాసరి (అర్హత లేకుండా) (102.00)']")</f>
        <v>[ '10 వ చెత్త కెరీర్ బౌలింగ్ సరాసరి (అర్హత లేకుండా) (102.00)']</v>
      </c>
      <c r="I9670" s="3"/>
    </row>
    <row r="9671" customHeight="1" spans="1:9">
      <c r="A9671" s="2"/>
      <c r="B9671" s="2" t="str">
        <f>IFERROR(__xludf.DUMMYFUNCTION("IF(A9671&lt;&gt;"""", GOOGLETRANSLATE(A9671, ""en"", ""te""),"""")"),"")</f>
        <v/>
      </c>
      <c r="C9671" s="2" t="s">
        <v>5552</v>
      </c>
      <c r="D9671" s="2" t="str">
        <f>IFERROR(__xludf.DUMMYFUNCTION("IF(C9671&lt;&gt;"""", GOOGLETRANSLATE(C9671, ""en"", ""te""),"""")"),"[ '11 వ ఇన్నింగ్స్ లో అత్యధిక పరుగులు (బ్యాటింగ్ స్థానంలో ప్రకారం) (46 *)', 'తొలి 27 ఓల్డెస్ట్ క్రీడాకారులు (34y 161d)']")</f>
        <v>[ '11 వ ఇన్నింగ్స్ లో అత్యధిక పరుగులు (బ్యాటింగ్ స్థానంలో ప్రకారం) (46 *)', 'తొలి 27 ఓల్డెస్ట్ క్రీడాకారులు (34y 161d)']</v>
      </c>
      <c r="E9671" s="2" t="s">
        <v>5553</v>
      </c>
      <c r="F9671" s="2" t="str">
        <f>IFERROR(__xludf.DUMMYFUNCTION("IF(E9671&lt;&gt;"""", GOOGLETRANSLATE(E9671, ""en"", ""te""),"""")"),"[ 'తొలి 34 వ ఓల్డెస్ట్ క్రీడాకారులు (33y 158d)']")</f>
        <v>[ 'తొలి 34 వ ఓల్డెస్ట్ క్రీడాకారులు (33y 158d)']</v>
      </c>
      <c r="G9671" s="2"/>
      <c r="H9671" s="2" t="str">
        <f>IFERROR(__xludf.DUMMYFUNCTION("IF(G9671&lt;&gt;"""", GOOGLETRANSLATE(G9671, ""en"", ""te""),"""")"),"")</f>
        <v/>
      </c>
      <c r="I9671" s="3"/>
    </row>
    <row r="9672" customHeight="1" spans="1:9">
      <c r="A9672" s="2"/>
      <c r="B9672" s="2" t="str">
        <f>IFERROR(__xludf.DUMMYFUNCTION("IF(A9672&lt;&gt;"""", GOOGLETRANSLATE(A9672, ""en"", ""te""),"""")"),"")</f>
        <v/>
      </c>
      <c r="C9672" s="2"/>
      <c r="D9672" s="2" t="str">
        <f>IFERROR(__xludf.DUMMYFUNCTION("IF(C9672&lt;&gt;"""", GOOGLETRANSLATE(C9672, ""en"", ""te""),"""")"),"")</f>
        <v/>
      </c>
      <c r="E9672" s="2"/>
      <c r="F9672" s="2" t="str">
        <f>IFERROR(__xludf.DUMMYFUNCTION("IF(E9672&lt;&gt;"""", GOOGLETRANSLATE(E9672, ""en"", ""te""),"""")"),"")</f>
        <v/>
      </c>
      <c r="G9672" s="2"/>
      <c r="H9672" s="2" t="str">
        <f>IFERROR(__xludf.DUMMYFUNCTION("IF(G9672&lt;&gt;"""", GOOGLETRANSLATE(G9672, ""en"", ""te""),"""")"),"")</f>
        <v/>
      </c>
      <c r="I9672" s="3"/>
    </row>
    <row r="9673" customHeight="1" spans="1:9">
      <c r="A9673" s="2"/>
      <c r="B9673" s="2" t="str">
        <f>IFERROR(__xludf.DUMMYFUNCTION("IF(A9673&lt;&gt;"""", GOOGLETRANSLATE(A9673, ""en"", ""te""),"""")"),"")</f>
        <v/>
      </c>
      <c r="C9673" s="2"/>
      <c r="D9673" s="2" t="str">
        <f>IFERROR(__xludf.DUMMYFUNCTION("IF(C9673&lt;&gt;"""", GOOGLETRANSLATE(C9673, ""en"", ""te""),"""")"),"")</f>
        <v/>
      </c>
      <c r="E9673" s="2"/>
      <c r="F9673" s="2" t="str">
        <f>IFERROR(__xludf.DUMMYFUNCTION("IF(E9673&lt;&gt;"""", GOOGLETRANSLATE(E9673, ""en"", ""te""),"""")"),"")</f>
        <v/>
      </c>
      <c r="G9673" s="2" t="s">
        <v>5554</v>
      </c>
      <c r="H9673" s="2" t="str">
        <f>IFERROR(__xludf.DUMMYFUNCTION("IF(G9673&lt;&gt;"""", GOOGLETRANSLATE(G9673, ""en"", ""te""),"""")"),"[ '22 వ అత్యధిక ఒక ఇన్నింగ్స్లో పరుగుల శాతం (58.88)']")</f>
        <v>[ '22 వ అత్యధిక ఒక ఇన్నింగ్స్లో పరుగుల శాతం (58.88)']</v>
      </c>
      <c r="I9673" s="3"/>
    </row>
    <row r="9674" customHeight="1" spans="1:9">
      <c r="A9674" s="2"/>
      <c r="B9674" s="2" t="str">
        <f>IFERROR(__xludf.DUMMYFUNCTION("IF(A9674&lt;&gt;"""", GOOGLETRANSLATE(A9674, ""en"", ""te""),"""")"),"")</f>
        <v/>
      </c>
      <c r="C9674" s="2"/>
      <c r="D9674" s="2" t="str">
        <f>IFERROR(__xludf.DUMMYFUNCTION("IF(C9674&lt;&gt;"""", GOOGLETRANSLATE(C9674, ""en"", ""te""),"""")"),"")</f>
        <v/>
      </c>
      <c r="E9674" s="2"/>
      <c r="F9674" s="2" t="str">
        <f>IFERROR(__xludf.DUMMYFUNCTION("IF(E9674&lt;&gt;"""", GOOGLETRANSLATE(E9674, ""en"", ""te""),"""")"),"")</f>
        <v/>
      </c>
      <c r="G9674" s="2"/>
      <c r="H9674" s="2" t="str">
        <f>IFERROR(__xludf.DUMMYFUNCTION("IF(G9674&lt;&gt;"""", GOOGLETRANSLATE(G9674, ""en"", ""te""),"""")"),"")</f>
        <v/>
      </c>
      <c r="I9674" s="3"/>
    </row>
    <row r="9675" customHeight="1" spans="1:9">
      <c r="A9675" s="2" t="s">
        <v>2356</v>
      </c>
      <c r="B9675" s="2" t="str">
        <f>IFERROR(__xludf.DUMMYFUNCTION("IF(A9675&lt;&gt;"""", GOOGLETRANSLATE(A9675, ""en"", ""te""),"""")"),"[ '5 వ అత్యుత్తమ ఇన్నింగ్స్ (2/1) విశ్లేషణలలో బౌలింగ్']")</f>
        <v>[ '5 వ అత్యుత్తమ ఇన్నింగ్స్ (2/1) విశ్లేషణలలో బౌలింగ్']</v>
      </c>
      <c r="C9675" s="2"/>
      <c r="D9675" s="2" t="str">
        <f>IFERROR(__xludf.DUMMYFUNCTION("IF(C9675&lt;&gt;"""", GOOGLETRANSLATE(C9675, ""en"", ""te""),"""")"),"")</f>
        <v/>
      </c>
      <c r="E9675" s="2" t="s">
        <v>2356</v>
      </c>
      <c r="F9675" s="2" t="str">
        <f>IFERROR(__xludf.DUMMYFUNCTION("IF(E9675&lt;&gt;"""", GOOGLETRANSLATE(E9675, ""en"", ""te""),"""")"),"[ '5 వ అత్యుత్తమ ఇన్నింగ్స్ (2/1) విశ్లేషణలలో బౌలింగ్']")</f>
        <v>[ '5 వ అత్యుత్తమ ఇన్నింగ్స్ (2/1) విశ్లేషణలలో బౌలింగ్']</v>
      </c>
      <c r="G9675" s="2"/>
      <c r="H9675" s="2" t="str">
        <f>IFERROR(__xludf.DUMMYFUNCTION("IF(G9675&lt;&gt;"""", GOOGLETRANSLATE(G9675, ""en"", ""te""),"""")"),"")</f>
        <v/>
      </c>
      <c r="I9675" s="3"/>
    </row>
    <row r="9676" customHeight="1" spans="1:9">
      <c r="A9676" s="2" t="s">
        <v>5555</v>
      </c>
      <c r="B9676" s="2" t="str">
        <f>IFERROR(__xludf.DUMMYFUNCTION("IF(A9676&lt;&gt;"""", GOOGLETRANSLATE(A9676, ""en"", ""te""),"""")"),"[ 'ఇన్నింగ్స్ లో 1 వ అత్యంత పనికత్తెలయొద్ద (2)' '8 వ అత్యుత్తమ ఇన్నింగ్స్ లో విశ్లేషణలు బౌలింగ్ (3/5)',]")</f>
        <v>[ 'ఇన్నింగ్స్ లో 1 వ అత్యంత పనికత్తెలయొద్ద (2)' '8 వ అత్యుత్తమ ఇన్నింగ్స్ లో విశ్లేషణలు బౌలింగ్ (3/5)',]</v>
      </c>
      <c r="C9676" s="2"/>
      <c r="D9676" s="2" t="str">
        <f>IFERROR(__xludf.DUMMYFUNCTION("IF(C9676&lt;&gt;"""", GOOGLETRANSLATE(C9676, ""en"", ""te""),"""")"),"")</f>
        <v/>
      </c>
      <c r="E9676" s="2"/>
      <c r="F9676" s="2" t="str">
        <f>IFERROR(__xludf.DUMMYFUNCTION("IF(E9676&lt;&gt;"""", GOOGLETRANSLATE(E9676, ""en"", ""te""),"""")"),"")</f>
        <v/>
      </c>
      <c r="G9676" s="2" t="s">
        <v>5556</v>
      </c>
      <c r="H9676" s="2" t="str">
        <f>IFERROR(__xludf.DUMMYFUNCTION("IF(G9676&lt;&gt;"""", GOOGLETRANSLATE(G9676, ""en"", ""te""),"""")"),"[ '8 వ అత్యుత్తమ ఇన్నింగ్స్ లో విశ్లేషణలు బౌలింగ్ (3/5)', '45 వ ఉత్తమ కెరీర్ బౌలింగ్ సరాసరి (అర్హత లేకుండా) (8.75)', 'ఇన్నింగ్స్ లో 1 వ అత్యంత పనికత్తెలయొద్ద (2)']")</f>
        <v>[ '8 వ అత్యుత్తమ ఇన్నింగ్స్ లో విశ్లేషణలు బౌలింగ్ (3/5)', '45 వ ఉత్తమ కెరీర్ బౌలింగ్ సరాసరి (అర్హత లేకుండా) (8.75)', 'ఇన్నింగ్స్ లో 1 వ అత్యంత పనికత్తెలయొద్ద (2)']</v>
      </c>
      <c r="I9676" s="3"/>
    </row>
    <row r="9677" customHeight="1" spans="1:9">
      <c r="A9677" s="2"/>
      <c r="B9677" s="2" t="str">
        <f>IFERROR(__xludf.DUMMYFUNCTION("IF(A9677&lt;&gt;"""", GOOGLETRANSLATE(A9677, ""en"", ""te""),"""")"),"")</f>
        <v/>
      </c>
      <c r="C9677" s="2"/>
      <c r="D9677" s="2" t="str">
        <f>IFERROR(__xludf.DUMMYFUNCTION("IF(C9677&lt;&gt;"""", GOOGLETRANSLATE(C9677, ""en"", ""te""),"""")"),"")</f>
        <v/>
      </c>
      <c r="E9677" s="2"/>
      <c r="F9677" s="2" t="str">
        <f>IFERROR(__xludf.DUMMYFUNCTION("IF(E9677&lt;&gt;"""", GOOGLETRANSLATE(E9677, ""en"", ""te""),"""")"),"")</f>
        <v/>
      </c>
      <c r="G9677" s="2"/>
      <c r="H9677" s="2" t="str">
        <f>IFERROR(__xludf.DUMMYFUNCTION("IF(G9677&lt;&gt;"""", GOOGLETRANSLATE(G9677, ""en"", ""te""),"""")"),"")</f>
        <v/>
      </c>
      <c r="I9677" s="3"/>
    </row>
    <row r="9678" customHeight="1" spans="1:9">
      <c r="A9678" s="2"/>
      <c r="B9678" s="2" t="str">
        <f>IFERROR(__xludf.DUMMYFUNCTION("IF(A9678&lt;&gt;"""", GOOGLETRANSLATE(A9678, ""en"", ""te""),"""")"),"")</f>
        <v/>
      </c>
      <c r="C9678" s="2"/>
      <c r="D9678" s="2" t="str">
        <f>IFERROR(__xludf.DUMMYFUNCTION("IF(C9678&lt;&gt;"""", GOOGLETRANSLATE(C9678, ""en"", ""te""),"""")"),"")</f>
        <v/>
      </c>
      <c r="E9678" s="2" t="s">
        <v>5557</v>
      </c>
      <c r="F9678" s="2" t="str">
        <f>IFERROR(__xludf.DUMMYFUNCTION("IF(E9678&lt;&gt;"""", GOOGLETRANSLATE(E9678, ""en"", ""te""),"""")"),"[ '41 వ అత్యధిక భాగస్వామ్యం పదవ వికెట్కు (49 *)' '33 వ చెత్త కెరీర్ సగటు (120,00) (అర్హత లేకుండా) బౌలింగ్', 'తొలి 45 వ ఓల్డెస్ట్ క్రీడాకారులు (37y 33d)']")</f>
        <v>[ '41 వ అత్యధిక భాగస్వామ్యం పదవ వికెట్కు (49 *)' '33 వ చెత్త కెరీర్ సగటు (120,00) (అర్హత లేకుండా) బౌలింగ్', 'తొలి 45 వ ఓల్డెస్ట్ క్రీడాకారులు (37y 33d)']</v>
      </c>
      <c r="G9678" s="2"/>
      <c r="H9678" s="2" t="str">
        <f>IFERROR(__xludf.DUMMYFUNCTION("IF(G9678&lt;&gt;"""", GOOGLETRANSLATE(G9678, ""en"", ""te""),"""")"),"")</f>
        <v/>
      </c>
      <c r="I9678" s="3"/>
    </row>
    <row r="9679" customHeight="1" spans="1:9">
      <c r="A9679" s="2"/>
      <c r="B9679" s="2" t="str">
        <f>IFERROR(__xludf.DUMMYFUNCTION("IF(A9679&lt;&gt;"""", GOOGLETRANSLATE(A9679, ""en"", ""te""),"""")"),"")</f>
        <v/>
      </c>
      <c r="C9679" s="2"/>
      <c r="D9679" s="2" t="str">
        <f>IFERROR(__xludf.DUMMYFUNCTION("IF(C9679&lt;&gt;"""", GOOGLETRANSLATE(C9679, ""en"", ""te""),"""")"),"")</f>
        <v/>
      </c>
      <c r="E9679" s="2"/>
      <c r="F9679" s="2" t="str">
        <f>IFERROR(__xludf.DUMMYFUNCTION("IF(E9679&lt;&gt;"""", GOOGLETRANSLATE(E9679, ""en"", ""te""),"""")"),"")</f>
        <v/>
      </c>
      <c r="G9679" s="2"/>
      <c r="H9679" s="2" t="str">
        <f>IFERROR(__xludf.DUMMYFUNCTION("IF(G9679&lt;&gt;"""", GOOGLETRANSLATE(G9679, ""en"", ""te""),"""")"),"")</f>
        <v/>
      </c>
      <c r="I9679" s="3"/>
    </row>
    <row r="9680" customHeight="1" spans="1:9">
      <c r="A9680" s="2"/>
      <c r="B9680" s="2" t="str">
        <f>IFERROR(__xludf.DUMMYFUNCTION("IF(A9680&lt;&gt;"""", GOOGLETRANSLATE(A9680, ""en"", ""te""),"""")"),"")</f>
        <v/>
      </c>
      <c r="C9680" s="2"/>
      <c r="D9680" s="2" t="str">
        <f>IFERROR(__xludf.DUMMYFUNCTION("IF(C9680&lt;&gt;"""", GOOGLETRANSLATE(C9680, ""en"", ""te""),"""")"),"")</f>
        <v/>
      </c>
      <c r="E9680" s="2"/>
      <c r="F9680" s="2" t="str">
        <f>IFERROR(__xludf.DUMMYFUNCTION("IF(E9680&lt;&gt;"""", GOOGLETRANSLATE(E9680, ""en"", ""te""),"""")"),"")</f>
        <v/>
      </c>
      <c r="G9680" s="2" t="s">
        <v>5558</v>
      </c>
      <c r="H9680" s="2" t="str">
        <f>IFERROR(__xludf.DUMMYFUNCTION("IF(G9680&lt;&gt;"""", GOOGLETRANSLATE(G9680, ""en"", ""te""),"""")"),"[ '35 వ ఇన్నింగ్స్ లో అత్యధిక పరుగులు (బ్యాటింగ్ స్థానంలో ప్రకారం) (31)']")</f>
        <v>[ '35 వ ఇన్నింగ్స్ లో అత్యధిక పరుగులు (బ్యాటింగ్ స్థానంలో ప్రకారం) (31)']</v>
      </c>
      <c r="I9680" s="3"/>
    </row>
    <row r="9681" customHeight="1" spans="1:9">
      <c r="A9681" s="2"/>
      <c r="B9681" s="2" t="str">
        <f>IFERROR(__xludf.DUMMYFUNCTION("IF(A9681&lt;&gt;"""", GOOGLETRANSLATE(A9681, ""en"", ""te""),"""")"),"")</f>
        <v/>
      </c>
      <c r="C9681" s="2"/>
      <c r="D9681" s="2" t="str">
        <f>IFERROR(__xludf.DUMMYFUNCTION("IF(C9681&lt;&gt;"""", GOOGLETRANSLATE(C9681, ""en"", ""te""),"""")"),"")</f>
        <v/>
      </c>
      <c r="E9681" s="2" t="s">
        <v>5559</v>
      </c>
      <c r="F9681" s="2" t="str">
        <f>IFERROR(__xludf.DUMMYFUNCTION("IF(E9681&lt;&gt;"""", GOOGLETRANSLATE(E9681, ""en"", ""te""),"""")"),"[ 'తొలి 18 వ ఓల్డెస్ట్ క్రీడాకారులు (40y 25d)', '46 వ ఓల్డెస్ట్ క్రీడాకారులు (40y 28 రో)']")</f>
        <v>[ 'తొలి 18 వ ఓల్డెస్ట్ క్రీడాకారులు (40y 25d)', '46 వ ఓల్డెస్ట్ క్రీడాకారులు (40y 28 రో)']</v>
      </c>
      <c r="G9681" s="2"/>
      <c r="H9681" s="2" t="str">
        <f>IFERROR(__xludf.DUMMYFUNCTION("IF(G9681&lt;&gt;"""", GOOGLETRANSLATE(G9681, ""en"", ""te""),"""")"),"")</f>
        <v/>
      </c>
      <c r="I9681" s="3"/>
    </row>
    <row r="9682" customHeight="1" spans="1:9">
      <c r="A9682" s="2"/>
      <c r="B9682" s="2" t="str">
        <f>IFERROR(__xludf.DUMMYFUNCTION("IF(A9682&lt;&gt;"""", GOOGLETRANSLATE(A9682, ""en"", ""te""),"""")"),"")</f>
        <v/>
      </c>
      <c r="C9682" s="2"/>
      <c r="D9682" s="2" t="str">
        <f>IFERROR(__xludf.DUMMYFUNCTION("IF(C9682&lt;&gt;"""", GOOGLETRANSLATE(C9682, ""en"", ""te""),"""")"),"")</f>
        <v/>
      </c>
      <c r="E9682" s="2"/>
      <c r="F9682" s="2" t="str">
        <f>IFERROR(__xludf.DUMMYFUNCTION("IF(E9682&lt;&gt;"""", GOOGLETRANSLATE(E9682, ""en"", ""te""),"""")"),"")</f>
        <v/>
      </c>
      <c r="G9682" s="2"/>
      <c r="H9682" s="2" t="str">
        <f>IFERROR(__xludf.DUMMYFUNCTION("IF(G9682&lt;&gt;"""", GOOGLETRANSLATE(G9682, ""en"", ""te""),"""")"),"")</f>
        <v/>
      </c>
      <c r="I9682" s="3"/>
    </row>
    <row r="9683" customHeight="1" spans="1:9">
      <c r="A9683" s="2"/>
      <c r="B9683" s="2" t="str">
        <f>IFERROR(__xludf.DUMMYFUNCTION("IF(A9683&lt;&gt;"""", GOOGLETRANSLATE(A9683, ""en"", ""te""),"""")"),"")</f>
        <v/>
      </c>
      <c r="C9683" s="2"/>
      <c r="D9683" s="2" t="str">
        <f>IFERROR(__xludf.DUMMYFUNCTION("IF(C9683&lt;&gt;"""", GOOGLETRANSLATE(C9683, ""en"", ""te""),"""")"),"")</f>
        <v/>
      </c>
      <c r="E9683" s="2" t="s">
        <v>5560</v>
      </c>
      <c r="F9683" s="2" t="str">
        <f>IFERROR(__xludf.DUMMYFUNCTION("IF(E9683&lt;&gt;"""", GOOGLETRANSLATE(E9683, ""en"", ""te""),"""")"),"[ 'తొలి 16 వ ఓల్డెస్ట్ క్రీడాకారులు (40y 318d)', '30 వ ఓల్డెస్ట్ క్రీడాకారులు (40y 321d)']")</f>
        <v>[ 'తొలి 16 వ ఓల్డెస్ట్ క్రీడాకారులు (40y 318d)', '30 వ ఓల్డెస్ట్ క్రీడాకారులు (40y 321d)']</v>
      </c>
      <c r="G9683" s="2"/>
      <c r="H9683" s="2" t="str">
        <f>IFERROR(__xludf.DUMMYFUNCTION("IF(G9683&lt;&gt;"""", GOOGLETRANSLATE(G9683, ""en"", ""te""),"""")"),"")</f>
        <v/>
      </c>
      <c r="I9683" s="3"/>
    </row>
    <row r="9684" customHeight="1" spans="1:9">
      <c r="A9684" s="2"/>
      <c r="B9684" s="2" t="str">
        <f>IFERROR(__xludf.DUMMYFUNCTION("IF(A9684&lt;&gt;"""", GOOGLETRANSLATE(A9684, ""en"", ""te""),"""")"),"")</f>
        <v/>
      </c>
      <c r="C9684" s="2"/>
      <c r="D9684" s="2" t="str">
        <f>IFERROR(__xludf.DUMMYFUNCTION("IF(C9684&lt;&gt;"""", GOOGLETRANSLATE(C9684, ""en"", ""te""),"""")"),"")</f>
        <v/>
      </c>
      <c r="E9684" s="2"/>
      <c r="F9684" s="2" t="str">
        <f>IFERROR(__xludf.DUMMYFUNCTION("IF(E9684&lt;&gt;"""", GOOGLETRANSLATE(E9684, ""en"", ""te""),"""")"),"")</f>
        <v/>
      </c>
      <c r="G9684" s="2"/>
      <c r="H9684" s="2" t="str">
        <f>IFERROR(__xludf.DUMMYFUNCTION("IF(G9684&lt;&gt;"""", GOOGLETRANSLATE(G9684, ""en"", ""te""),"""")"),"")</f>
        <v/>
      </c>
      <c r="I9684" s="3"/>
    </row>
    <row r="9685" customHeight="1" spans="1:9">
      <c r="A9685" s="2"/>
      <c r="B9685" s="2" t="str">
        <f>IFERROR(__xludf.DUMMYFUNCTION("IF(A9685&lt;&gt;"""", GOOGLETRANSLATE(A9685, ""en"", ""te""),"""")"),"")</f>
        <v/>
      </c>
      <c r="C9685" s="2"/>
      <c r="D9685" s="2" t="str">
        <f>IFERROR(__xludf.DUMMYFUNCTION("IF(C9685&lt;&gt;"""", GOOGLETRANSLATE(C9685, ""en"", ""te""),"""")"),"")</f>
        <v/>
      </c>
      <c r="E9685" s="2"/>
      <c r="F9685" s="2" t="str">
        <f>IFERROR(__xludf.DUMMYFUNCTION("IF(E9685&lt;&gt;"""", GOOGLETRANSLATE(E9685, ""en"", ""te""),"""")"),"")</f>
        <v/>
      </c>
      <c r="G9685" s="2"/>
      <c r="H9685" s="2" t="str">
        <f>IFERROR(__xludf.DUMMYFUNCTION("IF(G9685&lt;&gt;"""", GOOGLETRANSLATE(G9685, ""en"", ""te""),"""")"),"")</f>
        <v/>
      </c>
      <c r="I9685" s="3"/>
    </row>
    <row r="9686" customHeight="1" spans="1:9">
      <c r="A9686" s="2"/>
      <c r="B9686" s="2" t="str">
        <f>IFERROR(__xludf.DUMMYFUNCTION("IF(A9686&lt;&gt;"""", GOOGLETRANSLATE(A9686, ""en"", ""te""),"""")"),"")</f>
        <v/>
      </c>
      <c r="C9686" s="2"/>
      <c r="D9686" s="2" t="str">
        <f>IFERROR(__xludf.DUMMYFUNCTION("IF(C9686&lt;&gt;"""", GOOGLETRANSLATE(C9686, ""en"", ""te""),"""")"),"")</f>
        <v/>
      </c>
      <c r="E9686" s="2"/>
      <c r="F9686" s="2" t="str">
        <f>IFERROR(__xludf.DUMMYFUNCTION("IF(E9686&lt;&gt;"""", GOOGLETRANSLATE(E9686, ""en"", ""te""),"""")"),"")</f>
        <v/>
      </c>
      <c r="G9686" s="2"/>
      <c r="H9686" s="2" t="str">
        <f>IFERROR(__xludf.DUMMYFUNCTION("IF(G9686&lt;&gt;"""", GOOGLETRANSLATE(G9686, ""en"", ""te""),"""")"),"")</f>
        <v/>
      </c>
      <c r="I9686" s="3"/>
    </row>
    <row r="9687" customHeight="1" spans="1:9">
      <c r="A9687" s="2"/>
      <c r="B9687" s="2" t="str">
        <f>IFERROR(__xludf.DUMMYFUNCTION("IF(A9687&lt;&gt;"""", GOOGLETRANSLATE(A9687, ""en"", ""te""),"""")"),"")</f>
        <v/>
      </c>
      <c r="C9687" s="2"/>
      <c r="D9687" s="2" t="str">
        <f>IFERROR(__xludf.DUMMYFUNCTION("IF(C9687&lt;&gt;"""", GOOGLETRANSLATE(C9687, ""en"", ""te""),"""")"),"")</f>
        <v/>
      </c>
      <c r="E9687" s="2"/>
      <c r="F9687" s="2" t="str">
        <f>IFERROR(__xludf.DUMMYFUNCTION("IF(E9687&lt;&gt;"""", GOOGLETRANSLATE(E9687, ""en"", ""te""),"""")"),"")</f>
        <v/>
      </c>
      <c r="G9687" s="2"/>
      <c r="H9687" s="2" t="str">
        <f>IFERROR(__xludf.DUMMYFUNCTION("IF(G9687&lt;&gt;"""", GOOGLETRANSLATE(G9687, ""en"", ""te""),"""")"),"")</f>
        <v/>
      </c>
      <c r="I9687" s="3"/>
    </row>
    <row r="9688" customHeight="1" spans="1:9">
      <c r="A9688" s="2"/>
      <c r="B9688" s="2" t="str">
        <f>IFERROR(__xludf.DUMMYFUNCTION("IF(A9688&lt;&gt;"""", GOOGLETRANSLATE(A9688, ""en"", ""te""),"""")"),"")</f>
        <v/>
      </c>
      <c r="C9688" s="2"/>
      <c r="D9688" s="2" t="str">
        <f>IFERROR(__xludf.DUMMYFUNCTION("IF(C9688&lt;&gt;"""", GOOGLETRANSLATE(C9688, ""en"", ""te""),"""")"),"")</f>
        <v/>
      </c>
      <c r="E9688" s="2"/>
      <c r="F9688" s="2" t="str">
        <f>IFERROR(__xludf.DUMMYFUNCTION("IF(E9688&lt;&gt;"""", GOOGLETRANSLATE(E9688, ""en"", ""te""),"""")"),"")</f>
        <v/>
      </c>
      <c r="G9688" s="2"/>
      <c r="H9688" s="2" t="str">
        <f>IFERROR(__xludf.DUMMYFUNCTION("IF(G9688&lt;&gt;"""", GOOGLETRANSLATE(G9688, ""en"", ""te""),"""")"),"")</f>
        <v/>
      </c>
      <c r="I9688" s="3"/>
    </row>
    <row r="9689" customHeight="1" spans="1:9">
      <c r="A9689" s="2"/>
      <c r="B9689" s="2" t="str">
        <f>IFERROR(__xludf.DUMMYFUNCTION("IF(A9689&lt;&gt;"""", GOOGLETRANSLATE(A9689, ""en"", ""te""),"""")"),"")</f>
        <v/>
      </c>
      <c r="C9689" s="2"/>
      <c r="D9689" s="2" t="str">
        <f>IFERROR(__xludf.DUMMYFUNCTION("IF(C9689&lt;&gt;"""", GOOGLETRANSLATE(C9689, ""en"", ""te""),"""")"),"")</f>
        <v/>
      </c>
      <c r="E9689" s="2"/>
      <c r="F9689" s="2" t="str">
        <f>IFERROR(__xludf.DUMMYFUNCTION("IF(E9689&lt;&gt;"""", GOOGLETRANSLATE(E9689, ""en"", ""te""),"""")"),"")</f>
        <v/>
      </c>
      <c r="G9689" s="2"/>
      <c r="H9689" s="2" t="str">
        <f>IFERROR(__xludf.DUMMYFUNCTION("IF(G9689&lt;&gt;"""", GOOGLETRANSLATE(G9689, ""en"", ""te""),"""")"),"")</f>
        <v/>
      </c>
      <c r="I9689" s="3"/>
    </row>
    <row r="9690" customHeight="1" spans="1:9">
      <c r="A9690" s="2" t="s">
        <v>5561</v>
      </c>
      <c r="B9690" s="2" t="str">
        <f>IFERROR(__xludf.DUMMYFUNCTION("IF(A9690&lt;&gt;"""", GOOGLETRANSLATE(A9690, ""en"", ""te""),"""")"),"[ 'ఇన్నింగ్స్ లో 9 వ ఎక్కువ సిక్స్ (12)' 'ఇన్నింగ్స్ లో 6 వ అత్యధిక పరుగులు (బ్యాటింగ్ స్థానంలో ప్రకారం) (157 *)', '10 వ అసాధారణ వికెట్లు (అడ్డుకోవడం)' 'రెండు దేశాలకు ప్రాతినిధ్యం', 'రెండు టోర్నిలో దేశాల]")</f>
        <v>[ 'ఇన్నింగ్స్ లో 9 వ ఎక్కువ సిక్స్ (12)' 'ఇన్నింగ్స్ లో 6 వ అత్యధిక పరుగులు (బ్యాటింగ్ స్థానంలో ప్రకారం) (157 *)', '10 వ అసాధారణ వికెట్లు (అడ్డుకోవడం)' 'రెండు దేశాలకు ప్రాతినిధ్యం', 'రెండు టోర్నిలో దేశాల]</v>
      </c>
      <c r="C9690" s="2"/>
      <c r="D9690" s="2" t="str">
        <f>IFERROR(__xludf.DUMMYFUNCTION("IF(C9690&lt;&gt;"""", GOOGLETRANSLATE(C9690, ""en"", ""te""),"""")"),"")</f>
        <v/>
      </c>
      <c r="E9690" s="2" t="s">
        <v>5562</v>
      </c>
      <c r="F9690" s="2" t="str">
        <f>IFERROR(__xludf.DUMMYFUNCTION("IF(E9690&lt;&gt;"""", GOOGLETRANSLATE(E9690, ""en"", ""te""),"""")"),"[ 'ఇన్నింగ్స్ లో 6 వ అత్యధిక పరుగులు (బ్యాటింగ్ స్థానంలో ప్రకారం) (157 *)', '14 వ అత్యధిక తొలి వంద (157 *)', '9 వ ఎక్కువ సిక్స్ ఇన్నింగ్స్ లో (12)', '22 వ ఫోర్లు, సిక్సర్లు నుండి అత్యధిక పరుగులు ఒక ఇన్నింగ్స్ లో (116) ',' 10 వ అసాధారణ తొలగింపులకు ప్రదర్శన"&amp;"ల మధ్య (అడ్డుకోవడం) ',' 5 వ లాంగెస్ట్ వ్యవధిలో (10y 110d) ']")</f>
        <v>[ 'ఇన్నింగ్స్ లో 6 వ అత్యధిక పరుగులు (బ్యాటింగ్ స్థానంలో ప్రకారం) (157 *)', '14 వ అత్యధిక తొలి వంద (157 *)', '9 వ ఎక్కువ సిక్స్ ఇన్నింగ్స్ లో (12)', '22 వ ఫోర్లు, సిక్సర్లు నుండి అత్యధిక పరుగులు ఒక ఇన్నింగ్స్ లో (116) ',' 10 వ అసాధారణ తొలగింపులకు ప్రదర్శనల మధ్య (అడ్డుకోవడం) ',' 5 వ లాంగెస్ట్ వ్యవధిలో (10y 110d) ']</v>
      </c>
      <c r="G9690" s="2" t="s">
        <v>5563</v>
      </c>
      <c r="H9690" s="2" t="str">
        <f>IFERROR(__xludf.DUMMYFUNCTION("IF(G9690&lt;&gt;"""", GOOGLETRANSLATE(G9690, ""en"", ""te""),"""")"),"[ 'ప్రదర్శనల మధ్య 4 వ లాంగెస్ట్ వ్యవధిలో (9y 269d)']")</f>
        <v>[ 'ప్రదర్శనల మధ్య 4 వ లాంగెస్ట్ వ్యవధిలో (9y 269d)']</v>
      </c>
      <c r="I9690" s="3"/>
    </row>
    <row r="9691" customHeight="1" spans="1:9">
      <c r="A9691" s="2" t="s">
        <v>4777</v>
      </c>
      <c r="B9691" s="2" t="str">
        <f>IFERROR(__xludf.DUMMYFUNCTION("IF(A9691&lt;&gt;"""", GOOGLETRANSLATE(A9691, ""en"", ""te""),"""")"),"[ 'ఒక కెప్టెన్తో ఒక ఇన్నింగ్స్ లో 6 వ ఉత్తమ బొమ్మలు (5)']")</f>
        <v>[ 'ఒక కెప్టెన్తో ఒక ఇన్నింగ్స్ లో 6 వ ఉత్తమ బొమ్మలు (5)']</v>
      </c>
      <c r="C9691" s="2"/>
      <c r="D9691" s="2" t="str">
        <f>IFERROR(__xludf.DUMMYFUNCTION("IF(C9691&lt;&gt;"""", GOOGLETRANSLATE(C9691, ""en"", ""te""),"""")"),"")</f>
        <v/>
      </c>
      <c r="E9691" s="2" t="s">
        <v>5564</v>
      </c>
      <c r="F9691" s="2" t="str">
        <f>IFERROR(__xludf.DUMMYFUNCTION("IF(E9691&lt;&gt;"""", GOOGLETRANSLATE(E9691, ""en"", ""te""),"""")"),"[ '42 వ ఒక సిరీస్లో అత్యధిక వికెట్లు (18)', 'ఒక కెప్టెన్తో ఒక ఇన్నింగ్స్ లో 6 వ ఉత్తమ బొమ్మలు (5)']")</f>
        <v>[ '42 వ ఒక సిరీస్లో అత్యధిక వికెట్లు (18)', 'ఒక కెప్టెన్తో ఒక ఇన్నింగ్స్ లో 6 వ ఉత్తమ బొమ్మలు (5)']</v>
      </c>
      <c r="G9691" s="2"/>
      <c r="H9691" s="2" t="str">
        <f>IFERROR(__xludf.DUMMYFUNCTION("IF(G9691&lt;&gt;"""", GOOGLETRANSLATE(G9691, ""en"", ""te""),"""")"),"")</f>
        <v/>
      </c>
      <c r="I9691" s="3"/>
    </row>
    <row r="9692" customHeight="1" spans="1:9">
      <c r="A9692" s="2"/>
      <c r="B9692" s="2" t="str">
        <f>IFERROR(__xludf.DUMMYFUNCTION("IF(A9692&lt;&gt;"""", GOOGLETRANSLATE(A9692, ""en"", ""te""),"""")"),"")</f>
        <v/>
      </c>
      <c r="C9692" s="2"/>
      <c r="D9692" s="2" t="str">
        <f>IFERROR(__xludf.DUMMYFUNCTION("IF(C9692&lt;&gt;"""", GOOGLETRANSLATE(C9692, ""en"", ""te""),"""")"),"")</f>
        <v/>
      </c>
      <c r="E9692" s="2" t="s">
        <v>5565</v>
      </c>
      <c r="F9692" s="2" t="str">
        <f>IFERROR(__xludf.DUMMYFUNCTION("IF(E9692&lt;&gt;"""", GOOGLETRANSLATE(E9692, ""en"", ""te""),"""")"),"[ 'తొలి 35 వ ఓల్డెస్ట్ క్రీడాకారులు (38y 84d)']")</f>
        <v>[ 'తొలి 35 వ ఓల్డెస్ట్ క్రీడాకారులు (38y 84d)']</v>
      </c>
      <c r="G9692" s="2"/>
      <c r="H9692" s="2" t="str">
        <f>IFERROR(__xludf.DUMMYFUNCTION("IF(G9692&lt;&gt;"""", GOOGLETRANSLATE(G9692, ""en"", ""te""),"""")"),"")</f>
        <v/>
      </c>
      <c r="I9692" s="3"/>
    </row>
    <row r="9693" customHeight="1" spans="1:9">
      <c r="A9693" s="2"/>
      <c r="B9693" s="2" t="str">
        <f>IFERROR(__xludf.DUMMYFUNCTION("IF(A9693&lt;&gt;"""", GOOGLETRANSLATE(A9693, ""en"", ""te""),"""")"),"")</f>
        <v/>
      </c>
      <c r="C9693" s="2"/>
      <c r="D9693" s="2" t="str">
        <f>IFERROR(__xludf.DUMMYFUNCTION("IF(C9693&lt;&gt;"""", GOOGLETRANSLATE(C9693, ""en"", ""te""),"""")"),"")</f>
        <v/>
      </c>
      <c r="E9693" s="2"/>
      <c r="F9693" s="2" t="str">
        <f>IFERROR(__xludf.DUMMYFUNCTION("IF(E9693&lt;&gt;"""", GOOGLETRANSLATE(E9693, ""en"", ""te""),"""")"),"")</f>
        <v/>
      </c>
      <c r="G9693" s="2"/>
      <c r="H9693" s="2" t="str">
        <f>IFERROR(__xludf.DUMMYFUNCTION("IF(G9693&lt;&gt;"""", GOOGLETRANSLATE(G9693, ""en"", ""te""),"""")"),"")</f>
        <v/>
      </c>
      <c r="I9693" s="3"/>
    </row>
    <row r="9694" customHeight="1" spans="1:9">
      <c r="A9694" s="2" t="s">
        <v>4994</v>
      </c>
      <c r="B9694" s="2" t="str">
        <f>IFERROR(__xludf.DUMMYFUNCTION("IF(A9694&lt;&gt;"""", GOOGLETRANSLATE(A9694, ""en"", ""te""),"""")"),"[ 'వరుస 1st చాలా బాతులు (4)']")</f>
        <v>[ 'వరుస 1st చాలా బాతులు (4)']</v>
      </c>
      <c r="C9694" s="2"/>
      <c r="D9694" s="2" t="str">
        <f>IFERROR(__xludf.DUMMYFUNCTION("IF(C9694&lt;&gt;"""", GOOGLETRANSLATE(C9694, ""en"", ""te""),"""")"),"")</f>
        <v/>
      </c>
      <c r="E9694" s="2" t="s">
        <v>4994</v>
      </c>
      <c r="F9694" s="2" t="str">
        <f>IFERROR(__xludf.DUMMYFUNCTION("IF(E9694&lt;&gt;"""", GOOGLETRANSLATE(E9694, ""en"", ""te""),"""")"),"[ 'వరుస 1st చాలా బాతులు (4)']")</f>
        <v>[ 'వరుస 1st చాలా బాతులు (4)']</v>
      </c>
      <c r="G9694" s="2"/>
      <c r="H9694" s="2" t="str">
        <f>IFERROR(__xludf.DUMMYFUNCTION("IF(G9694&lt;&gt;"""", GOOGLETRANSLATE(G9694, ""en"", ""te""),"""")"),"")</f>
        <v/>
      </c>
      <c r="I9694" s="3"/>
    </row>
    <row r="9695" customHeight="1" spans="1:9">
      <c r="A9695" s="2" t="s">
        <v>814</v>
      </c>
      <c r="B9695" s="2" t="str">
        <f>IFERROR(__xludf.DUMMYFUNCTION("IF(A9695&lt;&gt;"""", GOOGLETRANSLATE(A9695, ""en"", ""te""),"""")"),"[ 'ఒక ఇన్నింగ్స్ లో 8 వ బెస్ట్ ఫిగర్స్ ఉన్నప్పుడు పరాజయం వైపు (4)']")</f>
        <v>[ 'ఒక ఇన్నింగ్స్ లో 8 వ బెస్ట్ ఫిగర్స్ ఉన్నప్పుడు పరాజయం వైపు (4)']</v>
      </c>
      <c r="C9695" s="2"/>
      <c r="D9695" s="2" t="str">
        <f>IFERROR(__xludf.DUMMYFUNCTION("IF(C9695&lt;&gt;"""", GOOGLETRANSLATE(C9695, ""en"", ""te""),"""")"),"")</f>
        <v/>
      </c>
      <c r="E9695" s="2"/>
      <c r="F9695" s="2" t="str">
        <f>IFERROR(__xludf.DUMMYFUNCTION("IF(E9695&lt;&gt;"""", GOOGLETRANSLATE(E9695, ""en"", ""te""),"""")"),"")</f>
        <v/>
      </c>
      <c r="G9695" s="2" t="s">
        <v>5566</v>
      </c>
      <c r="H9695" s="2" t="str">
        <f>IFERROR(__xludf.DUMMYFUNCTION("IF(G9695&lt;&gt;"""", GOOGLETRANSLATE(G9695, ""en"", ""te""),"""")"),"[ 'ఒక ఇన్నింగ్స్ లో 8 వ బెస్ట్ ఫిగర్స్ ఉన్నప్పుడు పరాజయం వైపు (4)', 'పదవ వికెట్కు 47 వ అత్యధిక భాగస్వామ్యం (15 *)']")</f>
        <v>[ 'ఒక ఇన్నింగ్స్ లో 8 వ బెస్ట్ ఫిగర్స్ ఉన్నప్పుడు పరాజయం వైపు (4)', 'పదవ వికెట్కు 47 వ అత్యధిక భాగస్వామ్యం (15 *)']</v>
      </c>
      <c r="I9695" s="3"/>
    </row>
    <row r="9696" customHeight="1" spans="1:9">
      <c r="A9696" s="2"/>
      <c r="B9696" s="2" t="str">
        <f>IFERROR(__xludf.DUMMYFUNCTION("IF(A9696&lt;&gt;"""", GOOGLETRANSLATE(A9696, ""en"", ""te""),"""")"),"")</f>
        <v/>
      </c>
      <c r="C9696" s="2"/>
      <c r="D9696" s="2" t="str">
        <f>IFERROR(__xludf.DUMMYFUNCTION("IF(C9696&lt;&gt;"""", GOOGLETRANSLATE(C9696, ""en"", ""te""),"""")"),"")</f>
        <v/>
      </c>
      <c r="E9696" s="2"/>
      <c r="F9696" s="2" t="str">
        <f>IFERROR(__xludf.DUMMYFUNCTION("IF(E9696&lt;&gt;"""", GOOGLETRANSLATE(E9696, ""en"", ""te""),"""")"),"")</f>
        <v/>
      </c>
      <c r="G9696" s="2"/>
      <c r="H9696" s="2" t="str">
        <f>IFERROR(__xludf.DUMMYFUNCTION("IF(G9696&lt;&gt;"""", GOOGLETRANSLATE(G9696, ""en"", ""te""),"""")"),"")</f>
        <v/>
      </c>
      <c r="I9696" s="3"/>
    </row>
    <row r="9697" customHeight="1" spans="1:9">
      <c r="A9697" s="2" t="s">
        <v>5567</v>
      </c>
      <c r="B9697" s="2" t="str">
        <f>IFERROR(__xludf.DUMMYFUNCTION("IF(A9697&lt;&gt;"""", GOOGLETRANSLATE(A9697, ""en"", ""te""),"""")"),"[ 'తొలి 9 వ ఓల్డెస్ట్ క్రీడాకారులు (42y 154d)']")</f>
        <v>[ 'తొలి 9 వ ఓల్డెస్ట్ క్రీడాకారులు (42y 154d)']</v>
      </c>
      <c r="C9697" s="2"/>
      <c r="D9697" s="2" t="str">
        <f>IFERROR(__xludf.DUMMYFUNCTION("IF(C9697&lt;&gt;"""", GOOGLETRANSLATE(C9697, ""en"", ""te""),"""")"),"")</f>
        <v/>
      </c>
      <c r="E9697" s="2" t="s">
        <v>5568</v>
      </c>
      <c r="F9697" s="2" t="str">
        <f>IFERROR(__xludf.DUMMYFUNCTION("IF(E9697&lt;&gt;"""", GOOGLETRANSLATE(E9697, ""en"", ""te""),"""")"),"[ 'తొలి 9 వ ఓల్డెస్ట్ క్రీడాకారులు (42y 154d)', '16 వ ఓల్డెస్ట్ క్రీడాకారులు (42y 157d)']")</f>
        <v>[ 'తొలి 9 వ ఓల్డెస్ట్ క్రీడాకారులు (42y 154d)', '16 వ ఓల్డెస్ట్ క్రీడాకారులు (42y 157d)']</v>
      </c>
      <c r="G9697" s="2"/>
      <c r="H9697" s="2" t="str">
        <f>IFERROR(__xludf.DUMMYFUNCTION("IF(G9697&lt;&gt;"""", GOOGLETRANSLATE(G9697, ""en"", ""te""),"""")"),"")</f>
        <v/>
      </c>
      <c r="I9697" s="3"/>
    </row>
    <row r="9698" customHeight="1" spans="1:9">
      <c r="A9698" s="2"/>
      <c r="B9698" s="2" t="str">
        <f>IFERROR(__xludf.DUMMYFUNCTION("IF(A9698&lt;&gt;"""", GOOGLETRANSLATE(A9698, ""en"", ""te""),"""")"),"")</f>
        <v/>
      </c>
      <c r="C9698" s="2"/>
      <c r="D9698" s="2" t="str">
        <f>IFERROR(__xludf.DUMMYFUNCTION("IF(C9698&lt;&gt;"""", GOOGLETRANSLATE(C9698, ""en"", ""te""),"""")"),"")</f>
        <v/>
      </c>
      <c r="E9698" s="2"/>
      <c r="F9698" s="2" t="str">
        <f>IFERROR(__xludf.DUMMYFUNCTION("IF(E9698&lt;&gt;"""", GOOGLETRANSLATE(E9698, ""en"", ""te""),"""")"),"")</f>
        <v/>
      </c>
      <c r="G9698" s="2"/>
      <c r="H9698" s="2" t="str">
        <f>IFERROR(__xludf.DUMMYFUNCTION("IF(G9698&lt;&gt;"""", GOOGLETRANSLATE(G9698, ""en"", ""te""),"""")"),"")</f>
        <v/>
      </c>
      <c r="I9698" s="3"/>
    </row>
    <row r="9699" customHeight="1" spans="1:9">
      <c r="A9699" s="2"/>
      <c r="B9699" s="2" t="str">
        <f>IFERROR(__xludf.DUMMYFUNCTION("IF(A9699&lt;&gt;"""", GOOGLETRANSLATE(A9699, ""en"", ""te""),"""")"),"")</f>
        <v/>
      </c>
      <c r="C9699" s="2"/>
      <c r="D9699" s="2" t="str">
        <f>IFERROR(__xludf.DUMMYFUNCTION("IF(C9699&lt;&gt;"""", GOOGLETRANSLATE(C9699, ""en"", ""te""),"""")"),"")</f>
        <v/>
      </c>
      <c r="E9699" s="2"/>
      <c r="F9699" s="2" t="str">
        <f>IFERROR(__xludf.DUMMYFUNCTION("IF(E9699&lt;&gt;"""", GOOGLETRANSLATE(E9699, ""en"", ""te""),"""")"),"")</f>
        <v/>
      </c>
      <c r="G9699" s="2"/>
      <c r="H9699" s="2" t="str">
        <f>IFERROR(__xludf.DUMMYFUNCTION("IF(G9699&lt;&gt;"""", GOOGLETRANSLATE(G9699, ""en"", ""te""),"""")"),"")</f>
        <v/>
      </c>
      <c r="I9699" s="3"/>
    </row>
    <row r="9700" customHeight="1" spans="1:9">
      <c r="A9700" s="2"/>
      <c r="B9700" s="2" t="str">
        <f>IFERROR(__xludf.DUMMYFUNCTION("IF(A9700&lt;&gt;"""", GOOGLETRANSLATE(A9700, ""en"", ""te""),"""")"),"")</f>
        <v/>
      </c>
      <c r="C9700" s="2"/>
      <c r="D9700" s="2" t="str">
        <f>IFERROR(__xludf.DUMMYFUNCTION("IF(C9700&lt;&gt;"""", GOOGLETRANSLATE(C9700, ""en"", ""te""),"""")"),"")</f>
        <v/>
      </c>
      <c r="E9700" s="2"/>
      <c r="F9700" s="2" t="str">
        <f>IFERROR(__xludf.DUMMYFUNCTION("IF(E9700&lt;&gt;"""", GOOGLETRANSLATE(E9700, ""en"", ""te""),"""")"),"")</f>
        <v/>
      </c>
      <c r="G9700" s="2" t="s">
        <v>5569</v>
      </c>
      <c r="H9700" s="2" t="str">
        <f>IFERROR(__xludf.DUMMYFUNCTION("IF(G9700&lt;&gt;"""", GOOGLETRANSLATE(G9700, ""en"", ""te""),"""")"),"[ '15 వ అత్యంత తొలి మ్యాచ్ (47 *) పరుగులు', '42 వ ఓల్డెస్ట్ క్రీడాకారులు (39y 5D)' 'తొలి 35 వ ఓల్డెస్ట్ క్రీడాకారులు (38y 257d)',]")</f>
        <v>[ '15 వ అత్యంత తొలి మ్యాచ్ (47 *) పరుగులు', '42 వ ఓల్డెస్ట్ క్రీడాకారులు (39y 5D)' 'తొలి 35 వ ఓల్డెస్ట్ క్రీడాకారులు (38y 257d)',]</v>
      </c>
      <c r="I9700" s="3"/>
    </row>
    <row r="9701" customHeight="1" spans="1:9">
      <c r="A9701" s="2"/>
      <c r="B9701" s="2" t="str">
        <f>IFERROR(__xludf.DUMMYFUNCTION("IF(A9701&lt;&gt;"""", GOOGLETRANSLATE(A9701, ""en"", ""te""),"""")"),"")</f>
        <v/>
      </c>
      <c r="C9701" s="2"/>
      <c r="D9701" s="2" t="str">
        <f>IFERROR(__xludf.DUMMYFUNCTION("IF(C9701&lt;&gt;"""", GOOGLETRANSLATE(C9701, ""en"", ""te""),"""")"),"")</f>
        <v/>
      </c>
      <c r="E9701" s="2"/>
      <c r="F9701" s="2" t="str">
        <f>IFERROR(__xludf.DUMMYFUNCTION("IF(E9701&lt;&gt;"""", GOOGLETRANSLATE(E9701, ""en"", ""te""),"""")"),"")</f>
        <v/>
      </c>
      <c r="G9701" s="2"/>
      <c r="H9701" s="2" t="str">
        <f>IFERROR(__xludf.DUMMYFUNCTION("IF(G9701&lt;&gt;"""", GOOGLETRANSLATE(G9701, ""en"", ""te""),"""")"),"")</f>
        <v/>
      </c>
      <c r="I9701" s="3"/>
    </row>
    <row r="9702" customHeight="1" spans="1:9">
      <c r="A9702" s="2"/>
      <c r="B9702" s="2" t="str">
        <f>IFERROR(__xludf.DUMMYFUNCTION("IF(A9702&lt;&gt;"""", GOOGLETRANSLATE(A9702, ""en"", ""te""),"""")"),"")</f>
        <v/>
      </c>
      <c r="C9702" s="2" t="s">
        <v>5570</v>
      </c>
      <c r="D9702" s="2" t="str">
        <f>IFERROR(__xludf.DUMMYFUNCTION("IF(C9702&lt;&gt;"""", GOOGLETRANSLATE(C9702, ""en"", ""te""),"""")"),"[ '28 చెత్త కెరీర్లో ఆర్థిక రేటు (3.56)']")</f>
        <v>[ '28 చెత్త కెరీర్లో ఆర్థిక రేటు (3.56)']</v>
      </c>
      <c r="E9702" s="2"/>
      <c r="F9702" s="2" t="str">
        <f>IFERROR(__xludf.DUMMYFUNCTION("IF(E9702&lt;&gt;"""", GOOGLETRANSLATE(E9702, ""en"", ""te""),"""")"),"")</f>
        <v/>
      </c>
      <c r="G9702" s="2"/>
      <c r="H9702" s="2" t="str">
        <f>IFERROR(__xludf.DUMMYFUNCTION("IF(G9702&lt;&gt;"""", GOOGLETRANSLATE(G9702, ""en"", ""te""),"""")"),"")</f>
        <v/>
      </c>
      <c r="I9702" s="3"/>
    </row>
    <row r="9703" customHeight="1" spans="1:9">
      <c r="A9703" s="2"/>
      <c r="B9703" s="2" t="str">
        <f>IFERROR(__xludf.DUMMYFUNCTION("IF(A9703&lt;&gt;"""", GOOGLETRANSLATE(A9703, ""en"", ""te""),"""")"),"")</f>
        <v/>
      </c>
      <c r="C9703" s="2"/>
      <c r="D9703" s="2" t="str">
        <f>IFERROR(__xludf.DUMMYFUNCTION("IF(C9703&lt;&gt;"""", GOOGLETRANSLATE(C9703, ""en"", ""te""),"""")"),"")</f>
        <v/>
      </c>
      <c r="E9703" s="2"/>
      <c r="F9703" s="2" t="str">
        <f>IFERROR(__xludf.DUMMYFUNCTION("IF(E9703&lt;&gt;"""", GOOGLETRANSLATE(E9703, ""en"", ""te""),"""")"),"")</f>
        <v/>
      </c>
      <c r="G9703" s="2"/>
      <c r="H9703" s="2" t="str">
        <f>IFERROR(__xludf.DUMMYFUNCTION("IF(G9703&lt;&gt;"""", GOOGLETRANSLATE(G9703, ""en"", ""te""),"""")"),"")</f>
        <v/>
      </c>
      <c r="I9703" s="3"/>
    </row>
    <row r="9704" customHeight="1" spans="1:9">
      <c r="A9704" s="2" t="s">
        <v>5571</v>
      </c>
      <c r="B9704" s="2" t="str">
        <f>IFERROR(__xludf.DUMMYFUNCTION("IF(A9704&lt;&gt;"""", GOOGLETRANSLATE(A9704, ""en"", ""te""),"""")"),"[ '6 వ అత్యధిక సమ్మె ఇన్నింగ్స్ లో రేటు (357.14)']")</f>
        <v>[ '6 వ అత్యధిక సమ్మె ఇన్నింగ్స్ లో రేటు (357.14)']</v>
      </c>
      <c r="C9704" s="2"/>
      <c r="D9704" s="2" t="str">
        <f>IFERROR(__xludf.DUMMYFUNCTION("IF(C9704&lt;&gt;"""", GOOGLETRANSLATE(C9704, ""en"", ""te""),"""")"),"")</f>
        <v/>
      </c>
      <c r="E9704" s="2"/>
      <c r="F9704" s="2" t="str">
        <f>IFERROR(__xludf.DUMMYFUNCTION("IF(E9704&lt;&gt;"""", GOOGLETRANSLATE(E9704, ""en"", ""te""),"""")"),"")</f>
        <v/>
      </c>
      <c r="G9704" s="2" t="s">
        <v>5571</v>
      </c>
      <c r="H9704" s="2" t="str">
        <f>IFERROR(__xludf.DUMMYFUNCTION("IF(G9704&lt;&gt;"""", GOOGLETRANSLATE(G9704, ""en"", ""te""),"""")"),"[ '6 వ అత్యధిక సమ్మె ఇన్నింగ్స్ లో రేటు (357.14)']")</f>
        <v>[ '6 వ అత్యధిక సమ్మె ఇన్నింగ్స్ లో రేటు (357.14)']</v>
      </c>
      <c r="I9704" s="3"/>
    </row>
    <row r="9705" customHeight="1" spans="1:9">
      <c r="A9705" s="2" t="s">
        <v>5572</v>
      </c>
      <c r="B9705" s="2" t="str">
        <f>IFERROR(__xludf.DUMMYFUNCTION("IF(A9705&lt;&gt;"""", GOOGLETRANSLATE(A9705, ""en"", ""te""),"""")"),"[ 'వికెట్ (8) ఉంచింది చేసిన 6 వ కెప్టెన్ల']")</f>
        <v>[ 'వికెట్ (8) ఉంచింది చేసిన 6 వ కెప్టెన్ల']</v>
      </c>
      <c r="C9705" s="2"/>
      <c r="D9705" s="2" t="str">
        <f>IFERROR(__xludf.DUMMYFUNCTION("IF(C9705&lt;&gt;"""", GOOGLETRANSLATE(C9705, ""en"", ""te""),"""")"),"")</f>
        <v/>
      </c>
      <c r="E9705" s="2"/>
      <c r="F9705" s="2" t="str">
        <f>IFERROR(__xludf.DUMMYFUNCTION("IF(E9705&lt;&gt;"""", GOOGLETRANSLATE(E9705, ""en"", ""te""),"""")"),"")</f>
        <v/>
      </c>
      <c r="G9705" s="2" t="s">
        <v>5573</v>
      </c>
      <c r="H9705" s="2" t="str">
        <f>IFERROR(__xludf.DUMMYFUNCTION("IF(G9705&lt;&gt;"""", GOOGLETRANSLATE(G9705, ""en"", ""te""),"""")"),"[ 'ఐదవ వికెట్కు 19 అత్యధిక భాగస్వామ్యం (65)', 'వికెట్ను కాపాడుకున్నాడు చేసిన 6 వ కెప్టెన్ల (8)', 'కెప్టెన్సీ ప్రవేశం (30y 273d) 38 ఓల్డెస్ట్ కెప్టెన్లు', '23 వ ఇన్నింగ్స్ లో సాధించిన అత్యంత బైలు (5) ']")</f>
        <v>[ 'ఐదవ వికెట్కు 19 అత్యధిక భాగస్వామ్యం (65)', 'వికెట్ను కాపాడుకున్నాడు చేసిన 6 వ కెప్టెన్ల (8)', 'కెప్టెన్సీ ప్రవేశం (30y 273d) 38 ఓల్డెస్ట్ కెప్టెన్లు', '23 వ ఇన్నింగ్స్ లో సాధించిన అత్యంత బైలు (5) ']</v>
      </c>
      <c r="I9705" s="3"/>
    </row>
    <row r="9706" customHeight="1" spans="1:9">
      <c r="A9706" s="2"/>
      <c r="B9706" s="2" t="str">
        <f>IFERROR(__xludf.DUMMYFUNCTION("IF(A9706&lt;&gt;"""", GOOGLETRANSLATE(A9706, ""en"", ""te""),"""")"),"")</f>
        <v/>
      </c>
      <c r="C9706" s="2"/>
      <c r="D9706" s="2" t="str">
        <f>IFERROR(__xludf.DUMMYFUNCTION("IF(C9706&lt;&gt;"""", GOOGLETRANSLATE(C9706, ""en"", ""te""),"""")"),"")</f>
        <v/>
      </c>
      <c r="E9706" s="2" t="s">
        <v>5574</v>
      </c>
      <c r="F9706" s="2" t="str">
        <f>IFERROR(__xludf.DUMMYFUNCTION("IF(E9706&lt;&gt;"""", GOOGLETRANSLATE(E9706, ""en"", ""te""),"""")"),"[ 'కెప్టెన్సీ తొలి 30 వ ఓల్డెస్ట్ కాప్టెన్ (34y 290d)']")</f>
        <v>[ 'కెప్టెన్సీ తొలి 30 వ ఓల్డెస్ట్ కాప్టెన్ (34y 290d)']</v>
      </c>
      <c r="G9706" s="2"/>
      <c r="H9706" s="2" t="str">
        <f>IFERROR(__xludf.DUMMYFUNCTION("IF(G9706&lt;&gt;"""", GOOGLETRANSLATE(G9706, ""en"", ""te""),"""")"),"")</f>
        <v/>
      </c>
      <c r="I9706" s="3"/>
    </row>
    <row r="9707" customHeight="1" spans="1:9">
      <c r="A9707" s="2" t="s">
        <v>175</v>
      </c>
      <c r="B9707" s="2" t="str">
        <f>IFERROR(__xludf.DUMMYFUNCTION("IF(A9707&lt;&gt;"""", GOOGLETRANSLATE(A9707, ""en"", ""te""),"""")"),"[ 'ఒక సిరీస్లో 6 వ అత్యంత బాతులు (3)']")</f>
        <v>[ 'ఒక సిరీస్లో 6 వ అత్యంత బాతులు (3)']</v>
      </c>
      <c r="C9707" s="2"/>
      <c r="D9707" s="2" t="str">
        <f>IFERROR(__xludf.DUMMYFUNCTION("IF(C9707&lt;&gt;"""", GOOGLETRANSLATE(C9707, ""en"", ""te""),"""")"),"")</f>
        <v/>
      </c>
      <c r="E9707" s="2" t="s">
        <v>175</v>
      </c>
      <c r="F9707" s="2" t="str">
        <f>IFERROR(__xludf.DUMMYFUNCTION("IF(E9707&lt;&gt;"""", GOOGLETRANSLATE(E9707, ""en"", ""te""),"""")"),"[ 'ఒక సిరీస్లో 6 వ అత్యంత బాతులు (3)']")</f>
        <v>[ 'ఒక సిరీస్లో 6 వ అత్యంత బాతులు (3)']</v>
      </c>
      <c r="G9707" s="2" t="s">
        <v>5575</v>
      </c>
      <c r="H9707" s="2" t="str">
        <f>IFERROR(__xludf.DUMMYFUNCTION("IF(G9707&lt;&gt;"""", GOOGLETRANSLATE(G9707, ""en"", ""te""),"""")"),"[ '13 వ తొలి మ్యాచ్లో అత్యధిక పరుగులు (72)']")</f>
        <v>[ '13 వ తొలి మ్యాచ్లో అత్యధిక పరుగులు (72)']</v>
      </c>
      <c r="I9707" s="3"/>
    </row>
    <row r="9708" customHeight="1" spans="1:9">
      <c r="A9708" s="2" t="s">
        <v>5576</v>
      </c>
      <c r="B9708" s="2" t="str">
        <f>IFERROR(__xludf.DUMMYFUNCTION("IF(A9708&lt;&gt;"""", GOOGLETRANSLATE(A9708, ""en"", ""te""),"""")"),"[ 'ఇన్నింగ్స్ లో 9 వ అత్యధిక పరుగులు (31 *) (బ్యాటింగ్ స్థానం)', '(3) ఒక సిరీస్లో 6 వ అత్యంత బాతులు', 'రెండు దేశాలకు ప్రాతినిధ్యం', 'రెండు దేశాలకు ప్రాతినిధ్యం']")</f>
        <v>[ 'ఇన్నింగ్స్ లో 9 వ అత్యధిక పరుగులు (31 *) (బ్యాటింగ్ స్థానం)', '(3) ఒక సిరీస్లో 6 వ అత్యంత బాతులు', 'రెండు దేశాలకు ప్రాతినిధ్యం', 'రెండు దేశాలకు ప్రాతినిధ్యం']</v>
      </c>
      <c r="C9708" s="2"/>
      <c r="D9708" s="2" t="str">
        <f>IFERROR(__xludf.DUMMYFUNCTION("IF(C9708&lt;&gt;"""", GOOGLETRANSLATE(C9708, ""en"", ""te""),"""")"),"")</f>
        <v/>
      </c>
      <c r="E9708" s="2" t="s">
        <v>5577</v>
      </c>
      <c r="F9708" s="2" t="str">
        <f>IFERROR(__xludf.DUMMYFUNCTION("IF(E9708&lt;&gt;"""", GOOGLETRANSLATE(E9708, ""en"", ""te""),"""")"),"[ 'ఒక సిరీస్లో 6 వ అత్యంత బాతులు (3)', 'ప్రదర్శనలు (8y 315d) మధ్య 10 వ లాంగెస్ట్ వ్యవధిలో']")</f>
        <v>[ 'ఒక సిరీస్లో 6 వ అత్యంత బాతులు (3)', 'ప్రదర్శనలు (8y 315d) మధ్య 10 వ లాంగెస్ట్ వ్యవధిలో']</v>
      </c>
      <c r="G9708" s="2" t="s">
        <v>5578</v>
      </c>
      <c r="H9708" s="2" t="str">
        <f>IFERROR(__xludf.DUMMYFUNCTION("IF(G9708&lt;&gt;"""", GOOGLETRANSLATE(G9708, ""en"", ""te""),"""")"),"[ '9 వ ఎక్కువ (31 *) ఒక ఇన్నింగ్స్ లో నడుస్తుంది (బ్యాటింగ్ స్థానం)']")</f>
        <v>[ '9 వ ఎక్కువ (31 *) ఒక ఇన్నింగ్స్ లో నడుస్తుంది (బ్యాటింగ్ స్థానం)']</v>
      </c>
      <c r="I9708" s="3"/>
    </row>
    <row r="9709" customHeight="1" spans="1:9">
      <c r="A9709" s="2"/>
      <c r="B9709" s="2" t="str">
        <f>IFERROR(__xludf.DUMMYFUNCTION("IF(A9709&lt;&gt;"""", GOOGLETRANSLATE(A9709, ""en"", ""te""),"""")"),"")</f>
        <v/>
      </c>
      <c r="C9709" s="2"/>
      <c r="D9709" s="2" t="str">
        <f>IFERROR(__xludf.DUMMYFUNCTION("IF(C9709&lt;&gt;"""", GOOGLETRANSLATE(C9709, ""en"", ""te""),"""")"),"")</f>
        <v/>
      </c>
      <c r="E9709" s="2"/>
      <c r="F9709" s="2" t="str">
        <f>IFERROR(__xludf.DUMMYFUNCTION("IF(E9709&lt;&gt;"""", GOOGLETRANSLATE(E9709, ""en"", ""te""),"""")"),"")</f>
        <v/>
      </c>
      <c r="G9709" s="2"/>
      <c r="H9709" s="2" t="str">
        <f>IFERROR(__xludf.DUMMYFUNCTION("IF(G9709&lt;&gt;"""", GOOGLETRANSLATE(G9709, ""en"", ""te""),"""")"),"")</f>
        <v/>
      </c>
      <c r="I9709" s="3"/>
    </row>
    <row r="9710" customHeight="1" spans="1:9">
      <c r="A9710" s="2"/>
      <c r="B9710" s="2" t="str">
        <f>IFERROR(__xludf.DUMMYFUNCTION("IF(A9710&lt;&gt;"""", GOOGLETRANSLATE(A9710, ""en"", ""te""),"""")"),"")</f>
        <v/>
      </c>
      <c r="C9710" s="2"/>
      <c r="D9710" s="2" t="str">
        <f>IFERROR(__xludf.DUMMYFUNCTION("IF(C9710&lt;&gt;"""", GOOGLETRANSLATE(C9710, ""en"", ""te""),"""")"),"")</f>
        <v/>
      </c>
      <c r="E9710" s="2"/>
      <c r="F9710" s="2" t="str">
        <f>IFERROR(__xludf.DUMMYFUNCTION("IF(E9710&lt;&gt;"""", GOOGLETRANSLATE(E9710, ""en"", ""te""),"""")"),"")</f>
        <v/>
      </c>
      <c r="G9710" s="2"/>
      <c r="H9710" s="2" t="str">
        <f>IFERROR(__xludf.DUMMYFUNCTION("IF(G9710&lt;&gt;"""", GOOGLETRANSLATE(G9710, ""en"", ""te""),"""")"),"")</f>
        <v/>
      </c>
      <c r="I9710" s="3"/>
    </row>
    <row r="9711" customHeight="1" spans="1:9">
      <c r="A9711" s="2" t="s">
        <v>352</v>
      </c>
      <c r="B9711" s="2" t="str">
        <f>IFERROR(__xludf.DUMMYFUNCTION("IF(A9711&lt;&gt;"""", GOOGLETRANSLATE(A9711, ""en"", ""te""),"""")"),"[ 'బ్యాటింగ్ ప్రారంభించుటకు మరియు అదే మ్యాచ్ లో బౌలింగ్']")</f>
        <v>[ 'బ్యాటింగ్ ప్రారంభించుటకు మరియు అదే మ్యాచ్ లో బౌలింగ్']</v>
      </c>
      <c r="C9711" s="2"/>
      <c r="D9711" s="2" t="str">
        <f>IFERROR(__xludf.DUMMYFUNCTION("IF(C9711&lt;&gt;"""", GOOGLETRANSLATE(C9711, ""en"", ""te""),"""")"),"")</f>
        <v/>
      </c>
      <c r="E9711" s="2"/>
      <c r="F9711" s="2" t="str">
        <f>IFERROR(__xludf.DUMMYFUNCTION("IF(E9711&lt;&gt;"""", GOOGLETRANSLATE(E9711, ""en"", ""te""),"""")"),"")</f>
        <v/>
      </c>
      <c r="G9711" s="2"/>
      <c r="H9711" s="2" t="str">
        <f>IFERROR(__xludf.DUMMYFUNCTION("IF(G9711&lt;&gt;"""", GOOGLETRANSLATE(G9711, ""en"", ""te""),"""")"),"")</f>
        <v/>
      </c>
      <c r="I9711" s="3"/>
    </row>
    <row r="9712" customHeight="1" spans="1:9">
      <c r="A9712" s="2" t="s">
        <v>5579</v>
      </c>
      <c r="B9712" s="2" t="str">
        <f>IFERROR(__xludf.DUMMYFUNCTION("IF(A9712&lt;&gt;"""", GOOGLETRANSLATE(A9712, ""en"", ""te""),"""")"),"[ '1st లాంగెస్ట్ నివసించారు క్రీడాకారులు (2019y? డి)']")</f>
        <v>[ '1st లాంగెస్ట్ నివసించారు క్రీడాకారులు (2019y? డి)']</v>
      </c>
      <c r="C9712" s="2"/>
      <c r="D9712" s="2" t="str">
        <f>IFERROR(__xludf.DUMMYFUNCTION("IF(C9712&lt;&gt;"""", GOOGLETRANSLATE(C9712, ""en"", ""te""),"""")"),"")</f>
        <v/>
      </c>
      <c r="E9712" s="2" t="s">
        <v>5579</v>
      </c>
      <c r="F9712" s="2" t="str">
        <f>IFERROR(__xludf.DUMMYFUNCTION("IF(E9712&lt;&gt;"""", GOOGLETRANSLATE(E9712, ""en"", ""te""),"""")"),"[ '1st లాంగెస్ట్ నివసించారు క్రీడాకారులు (2019y? డి)']")</f>
        <v>[ '1st లాంగెస్ట్ నివసించారు క్రీడాకారులు (2019y? డి)']</v>
      </c>
      <c r="G9712" s="2"/>
      <c r="H9712" s="2" t="str">
        <f>IFERROR(__xludf.DUMMYFUNCTION("IF(G9712&lt;&gt;"""", GOOGLETRANSLATE(G9712, ""en"", ""te""),"""")"),"")</f>
        <v/>
      </c>
      <c r="I9712" s="3"/>
    </row>
    <row r="9713" customHeight="1" spans="1:9">
      <c r="A9713" s="2"/>
      <c r="B9713" s="2" t="str">
        <f>IFERROR(__xludf.DUMMYFUNCTION("IF(A9713&lt;&gt;"""", GOOGLETRANSLATE(A9713, ""en"", ""te""),"""")"),"")</f>
        <v/>
      </c>
      <c r="C9713" s="2"/>
      <c r="D9713" s="2" t="str">
        <f>IFERROR(__xludf.DUMMYFUNCTION("IF(C9713&lt;&gt;"""", GOOGLETRANSLATE(C9713, ""en"", ""te""),"""")"),"")</f>
        <v/>
      </c>
      <c r="E9713" s="2" t="s">
        <v>5580</v>
      </c>
      <c r="F9713" s="2" t="str">
        <f>IFERROR(__xludf.DUMMYFUNCTION("IF(E9713&lt;&gt;"""", GOOGLETRANSLATE(E9713, ""en"", ""te""),"""")"),"[ '32 వ పురాతన దేశం ఆటగాళ్ళు (79y 119d)']")</f>
        <v>[ '32 వ పురాతన దేశం ఆటగాళ్ళు (79y 119d)']</v>
      </c>
      <c r="G9713" s="2"/>
      <c r="H9713" s="2" t="str">
        <f>IFERROR(__xludf.DUMMYFUNCTION("IF(G9713&lt;&gt;"""", GOOGLETRANSLATE(G9713, ""en"", ""te""),"""")"),"")</f>
        <v/>
      </c>
      <c r="I9713" s="3"/>
    </row>
    <row r="9714" customHeight="1" spans="1:9">
      <c r="A9714" s="2"/>
      <c r="B9714" s="2" t="str">
        <f>IFERROR(__xludf.DUMMYFUNCTION("IF(A9714&lt;&gt;"""", GOOGLETRANSLATE(A9714, ""en"", ""te""),"""")"),"")</f>
        <v/>
      </c>
      <c r="C9714" s="2"/>
      <c r="D9714" s="2" t="str">
        <f>IFERROR(__xludf.DUMMYFUNCTION("IF(C9714&lt;&gt;"""", GOOGLETRANSLATE(C9714, ""en"", ""te""),"""")"),"")</f>
        <v/>
      </c>
      <c r="E9714" s="2" t="s">
        <v>5581</v>
      </c>
      <c r="F9714" s="2" t="str">
        <f>IFERROR(__xludf.DUMMYFUNCTION("IF(E9714&lt;&gt;"""", GOOGLETRANSLATE(E9714, ""en"", ""te""),"""")"),"[ '22 వ పురాతన దేశం ఆటగాళ్ళు (80y? డి)']")</f>
        <v>[ '22 వ పురాతన దేశం ఆటగాళ్ళు (80y? డి)']</v>
      </c>
      <c r="G9714" s="2"/>
      <c r="H9714" s="2" t="str">
        <f>IFERROR(__xludf.DUMMYFUNCTION("IF(G9714&lt;&gt;"""", GOOGLETRANSLATE(G9714, ""en"", ""te""),"""")"),"")</f>
        <v/>
      </c>
      <c r="I9714" s="3"/>
    </row>
    <row r="9715" customHeight="1" spans="1:9">
      <c r="A9715" s="2"/>
      <c r="B9715" s="2" t="str">
        <f>IFERROR(__xludf.DUMMYFUNCTION("IF(A9715&lt;&gt;"""", GOOGLETRANSLATE(A9715, ""en"", ""te""),"""")"),"")</f>
        <v/>
      </c>
      <c r="C9715" s="2"/>
      <c r="D9715" s="2" t="str">
        <f>IFERROR(__xludf.DUMMYFUNCTION("IF(C9715&lt;&gt;"""", GOOGLETRANSLATE(C9715, ""en"", ""te""),"""")"),"")</f>
        <v/>
      </c>
      <c r="E9715" s="2"/>
      <c r="F9715" s="2" t="str">
        <f>IFERROR(__xludf.DUMMYFUNCTION("IF(E9715&lt;&gt;"""", GOOGLETRANSLATE(E9715, ""en"", ""te""),"""")"),"")</f>
        <v/>
      </c>
      <c r="G9715" s="2"/>
      <c r="H9715" s="2" t="str">
        <f>IFERROR(__xludf.DUMMYFUNCTION("IF(G9715&lt;&gt;"""", GOOGLETRANSLATE(G9715, ""en"", ""te""),"""")"),"")</f>
        <v/>
      </c>
      <c r="I9715" s="3"/>
    </row>
    <row r="9716" customHeight="1" spans="1:9">
      <c r="A9716" s="2"/>
      <c r="B9716" s="2" t="str">
        <f>IFERROR(__xludf.DUMMYFUNCTION("IF(A9716&lt;&gt;"""", GOOGLETRANSLATE(A9716, ""en"", ""te""),"""")"),"")</f>
        <v/>
      </c>
      <c r="C9716" s="2"/>
      <c r="D9716" s="2" t="str">
        <f>IFERROR(__xludf.DUMMYFUNCTION("IF(C9716&lt;&gt;"""", GOOGLETRANSLATE(C9716, ""en"", ""te""),"""")"),"")</f>
        <v/>
      </c>
      <c r="E9716" s="2"/>
      <c r="F9716" s="2" t="str">
        <f>IFERROR(__xludf.DUMMYFUNCTION("IF(E9716&lt;&gt;"""", GOOGLETRANSLATE(E9716, ""en"", ""te""),"""")"),"")</f>
        <v/>
      </c>
      <c r="G9716" s="2"/>
      <c r="H9716" s="2" t="str">
        <f>IFERROR(__xludf.DUMMYFUNCTION("IF(G9716&lt;&gt;"""", GOOGLETRANSLATE(G9716, ""en"", ""te""),"""")"),"")</f>
        <v/>
      </c>
      <c r="I9716" s="3"/>
    </row>
    <row r="9717" customHeight="1" spans="1:9">
      <c r="A9717" s="2"/>
      <c r="B9717" s="2" t="str">
        <f>IFERROR(__xludf.DUMMYFUNCTION("IF(A9717&lt;&gt;"""", GOOGLETRANSLATE(A9717, ""en"", ""te""),"""")"),"")</f>
        <v/>
      </c>
      <c r="C9717" s="2"/>
      <c r="D9717" s="2" t="str">
        <f>IFERROR(__xludf.DUMMYFUNCTION("IF(C9717&lt;&gt;"""", GOOGLETRANSLATE(C9717, ""en"", ""te""),"""")"),"")</f>
        <v/>
      </c>
      <c r="E9717" s="2"/>
      <c r="F9717" s="2" t="str">
        <f>IFERROR(__xludf.DUMMYFUNCTION("IF(E9717&lt;&gt;"""", GOOGLETRANSLATE(E9717, ""en"", ""te""),"""")"),"")</f>
        <v/>
      </c>
      <c r="G9717" s="2"/>
      <c r="H9717" s="2" t="str">
        <f>IFERROR(__xludf.DUMMYFUNCTION("IF(G9717&lt;&gt;"""", GOOGLETRANSLATE(G9717, ""en"", ""te""),"""")"),"")</f>
        <v/>
      </c>
      <c r="I9717" s="3"/>
    </row>
    <row r="9718" customHeight="1" spans="1:9">
      <c r="A9718" s="2"/>
      <c r="B9718" s="2" t="str">
        <f>IFERROR(__xludf.DUMMYFUNCTION("IF(A9718&lt;&gt;"""", GOOGLETRANSLATE(A9718, ""en"", ""te""),"""")"),"")</f>
        <v/>
      </c>
      <c r="C9718" s="2"/>
      <c r="D9718" s="2" t="str">
        <f>IFERROR(__xludf.DUMMYFUNCTION("IF(C9718&lt;&gt;"""", GOOGLETRANSLATE(C9718, ""en"", ""te""),"""")"),"")</f>
        <v/>
      </c>
      <c r="E9718" s="2"/>
      <c r="F9718" s="2" t="str">
        <f>IFERROR(__xludf.DUMMYFUNCTION("IF(E9718&lt;&gt;"""", GOOGLETRANSLATE(E9718, ""en"", ""te""),"""")"),"")</f>
        <v/>
      </c>
      <c r="G9718" s="2" t="s">
        <v>5582</v>
      </c>
      <c r="H9718" s="2" t="str">
        <f>IFERROR(__xludf.DUMMYFUNCTION("IF(G9718&lt;&gt;"""", GOOGLETRANSLATE(G9718, ""en"", ""te""),"""")"),"[ '12 వ ఇన్నింగ్స్ లో వచ్చిన ఎక్కువ పనికత్తెలయొద్ద (2)']")</f>
        <v>[ '12 వ ఇన్నింగ్స్ లో వచ్చిన ఎక్కువ పనికత్తెలయొద్ద (2)']</v>
      </c>
      <c r="I9718" s="3"/>
    </row>
    <row r="9719" customHeight="1" spans="1:9">
      <c r="A9719" s="2"/>
      <c r="B9719" s="2" t="str">
        <f>IFERROR(__xludf.DUMMYFUNCTION("IF(A9719&lt;&gt;"""", GOOGLETRANSLATE(A9719, ""en"", ""te""),"""")"),"")</f>
        <v/>
      </c>
      <c r="C9719" s="2"/>
      <c r="D9719" s="2" t="str">
        <f>IFERROR(__xludf.DUMMYFUNCTION("IF(C9719&lt;&gt;"""", GOOGLETRANSLATE(C9719, ""en"", ""te""),"""")"),"")</f>
        <v/>
      </c>
      <c r="E9719" s="2"/>
      <c r="F9719" s="2" t="str">
        <f>IFERROR(__xludf.DUMMYFUNCTION("IF(E9719&lt;&gt;"""", GOOGLETRANSLATE(E9719, ""en"", ""te""),"""")"),"")</f>
        <v/>
      </c>
      <c r="G9719" s="2" t="s">
        <v>5583</v>
      </c>
      <c r="H9719" s="2" t="str">
        <f>IFERROR(__xludf.DUMMYFUNCTION("IF(G9719&lt;&gt;"""", GOOGLETRANSLATE(G9719, ""en"", ""te""),"""")"),"[ '15 వ ఒకే మైదానంలో అత్యధిక వికెట్లు (16)', '17 వ బౌలర్ / బ్యాట్స్ కలయికలు (3)', '45 వ బౌలర్ / ఫీల్డర్ కలయికలు (6)', '17 వ అత్యధిక వికెట్లు తీసుకున్న స్టంప్ (5)']")</f>
        <v>[ '15 వ ఒకే మైదానంలో అత్యధిక వికెట్లు (16)', '17 వ బౌలర్ / బ్యాట్స్ కలయికలు (3)', '45 వ బౌలర్ / ఫీల్డర్ కలయికలు (6)', '17 వ అత్యధిక వికెట్లు తీసుకున్న స్టంప్ (5)']</v>
      </c>
      <c r="I9719" s="3"/>
    </row>
    <row r="9720" customHeight="1" spans="1:9">
      <c r="A9720" s="2" t="s">
        <v>5584</v>
      </c>
      <c r="B9720" s="2" t="str">
        <f>IFERROR(__xludf.DUMMYFUNCTION("IF(A9720&lt;&gt;"""", GOOGLETRANSLATE(A9720, ""en"", ""te""),"""")"),"[ '4 వ అత్యంత ఒకే క్రీడా (464) పై నడుస్తుంది']")</f>
        <v>[ '4 వ అత్యంత ఒకే క్రీడా (464) పై నడుస్తుంది']</v>
      </c>
      <c r="C9720" s="2"/>
      <c r="D9720" s="2" t="str">
        <f>IFERROR(__xludf.DUMMYFUNCTION("IF(C9720&lt;&gt;"""", GOOGLETRANSLATE(C9720, ""en"", ""te""),"""")"),"")</f>
        <v/>
      </c>
      <c r="E9720" s="2"/>
      <c r="F9720" s="2" t="str">
        <f>IFERROR(__xludf.DUMMYFUNCTION("IF(E9720&lt;&gt;"""", GOOGLETRANSLATE(E9720, ""en"", ""te""),"""")"),"")</f>
        <v/>
      </c>
      <c r="G9720" s="2" t="s">
        <v>5585</v>
      </c>
      <c r="H9720" s="2" t="str">
        <f>IFERROR(__xludf.DUMMYFUNCTION("IF(G9720&lt;&gt;"""", GOOGLETRANSLATE(G9720, ""en"", ""te""),"""")"),"[ '33 వ ఒక క్యాలెండర్ సంవత్సరంలో అత్యధిక పరుగులు (415)', 'ఒకే మైదానంలో 4 వ అత్యధిక పరుగులు (464)', '28th అత్యధిక కెరీర్ బ్యాటింగ్ సగటు (32.04)', '48 వ కెరీర్ అర్ధ (6)', ' 20 వ అత్యుత్తమ ఇన్నింగ్స్ లో విశ్లేషణలు బౌలింగ్ (2/4) ',' ఆరవ వికెట్కు 26 అత్యధిక భ"&amp;"ాగస్వామ్యం (69 *) ']")</f>
        <v>[ '33 వ ఒక క్యాలెండర్ సంవత్సరంలో అత్యధిక పరుగులు (415)', 'ఒకే మైదానంలో 4 వ అత్యధిక పరుగులు (464)', '28th అత్యధిక కెరీర్ బ్యాటింగ్ సగటు (32.04)', '48 వ కెరీర్ అర్ధ (6)', ' 20 వ అత్యుత్తమ ఇన్నింగ్స్ లో విశ్లేషణలు బౌలింగ్ (2/4) ',' ఆరవ వికెట్కు 26 అత్యధిక భాగస్వామ్యం (69 *) ']</v>
      </c>
      <c r="I9720" s="3"/>
    </row>
    <row r="9721" customHeight="1" spans="1:9">
      <c r="A9721" s="2"/>
      <c r="B9721" s="2" t="str">
        <f>IFERROR(__xludf.DUMMYFUNCTION("IF(A9721&lt;&gt;"""", GOOGLETRANSLATE(A9721, ""en"", ""te""),"""")"),"")</f>
        <v/>
      </c>
      <c r="C9721" s="2"/>
      <c r="D9721" s="2" t="str">
        <f>IFERROR(__xludf.DUMMYFUNCTION("IF(C9721&lt;&gt;"""", GOOGLETRANSLATE(C9721, ""en"", ""te""),"""")"),"")</f>
        <v/>
      </c>
      <c r="E9721" s="2"/>
      <c r="F9721" s="2" t="str">
        <f>IFERROR(__xludf.DUMMYFUNCTION("IF(E9721&lt;&gt;"""", GOOGLETRANSLATE(E9721, ""en"", ""te""),"""")"),"")</f>
        <v/>
      </c>
      <c r="G9721" s="2" t="s">
        <v>5586</v>
      </c>
      <c r="H9721" s="2" t="str">
        <f>IFERROR(__xludf.DUMMYFUNCTION("IF(G9721&lt;&gt;"""", GOOGLETRANSLATE(G9721, ""en"", ""te""),"""")"),"[ '43 వ ఒకే మైదానంలో అత్యధిక వికెట్లు (11)', '17 వ బౌలర్ / బ్యాట్స్ కలయికలు (3)']")</f>
        <v>[ '43 వ ఒకే మైదానంలో అత్యధిక వికెట్లు (11)', '17 వ బౌలర్ / బ్యాట్స్ కలయికలు (3)']</v>
      </c>
      <c r="I9721" s="3"/>
    </row>
    <row r="9722" customHeight="1" spans="1:9">
      <c r="A9722" s="2"/>
      <c r="B9722" s="2" t="str">
        <f>IFERROR(__xludf.DUMMYFUNCTION("IF(A9722&lt;&gt;"""", GOOGLETRANSLATE(A9722, ""en"", ""te""),"""")"),"")</f>
        <v/>
      </c>
      <c r="C9722" s="2"/>
      <c r="D9722" s="2" t="str">
        <f>IFERROR(__xludf.DUMMYFUNCTION("IF(C9722&lt;&gt;"""", GOOGLETRANSLATE(C9722, ""en"", ""te""),"""")"),"")</f>
        <v/>
      </c>
      <c r="E9722" s="2"/>
      <c r="F9722" s="2" t="str">
        <f>IFERROR(__xludf.DUMMYFUNCTION("IF(E9722&lt;&gt;"""", GOOGLETRANSLATE(E9722, ""en"", ""te""),"""")"),"")</f>
        <v/>
      </c>
      <c r="G9722" s="2"/>
      <c r="H9722" s="2" t="str">
        <f>IFERROR(__xludf.DUMMYFUNCTION("IF(G9722&lt;&gt;"""", GOOGLETRANSLATE(G9722, ""en"", ""te""),"""")"),"")</f>
        <v/>
      </c>
      <c r="I9722" s="3"/>
    </row>
    <row r="9723" customHeight="1" spans="1:9">
      <c r="A9723" s="2"/>
      <c r="B9723" s="2" t="str">
        <f>IFERROR(__xludf.DUMMYFUNCTION("IF(A9723&lt;&gt;"""", GOOGLETRANSLATE(A9723, ""en"", ""te""),"""")"),"")</f>
        <v/>
      </c>
      <c r="C9723" s="2"/>
      <c r="D9723" s="2" t="str">
        <f>IFERROR(__xludf.DUMMYFUNCTION("IF(C9723&lt;&gt;"""", GOOGLETRANSLATE(C9723, ""en"", ""te""),"""")"),"")</f>
        <v/>
      </c>
      <c r="E9723" s="2"/>
      <c r="F9723" s="2" t="str">
        <f>IFERROR(__xludf.DUMMYFUNCTION("IF(E9723&lt;&gt;"""", GOOGLETRANSLATE(E9723, ""en"", ""te""),"""")"),"")</f>
        <v/>
      </c>
      <c r="G9723" s="2"/>
      <c r="H9723" s="2" t="str">
        <f>IFERROR(__xludf.DUMMYFUNCTION("IF(G9723&lt;&gt;"""", GOOGLETRANSLATE(G9723, ""en"", ""te""),"""")"),"")</f>
        <v/>
      </c>
      <c r="I9723" s="3"/>
    </row>
    <row r="9724" customHeight="1" spans="1:9">
      <c r="A9724" s="2" t="s">
        <v>5587</v>
      </c>
      <c r="B9724" s="2" t="str">
        <f>IFERROR(__xludf.DUMMYFUNCTION("IF(A9724&lt;&gt;"""", GOOGLETRANSLATE(A9724, ""en"", ""te""),"""")"),"[ '1st పిన్న కాప్టెన్ (20y 190d)', '10 వ అత్యధిక పరుగులు ఒకే క్రీడా (381) న']")</f>
        <v>[ '1st పిన్న కాప్టెన్ (20y 190d)', '10 వ అత్యధిక పరుగులు ఒకే క్రీడా (381) న']</v>
      </c>
      <c r="C9724" s="2"/>
      <c r="D9724" s="2" t="str">
        <f>IFERROR(__xludf.DUMMYFUNCTION("IF(C9724&lt;&gt;"""", GOOGLETRANSLATE(C9724, ""en"", ""te""),"""")"),"")</f>
        <v/>
      </c>
      <c r="E9724" s="2"/>
      <c r="F9724" s="2" t="str">
        <f>IFERROR(__xludf.DUMMYFUNCTION("IF(E9724&lt;&gt;"""", GOOGLETRANSLATE(E9724, ""en"", ""te""),"""")"),"")</f>
        <v/>
      </c>
      <c r="G9724" s="2" t="s">
        <v>5588</v>
      </c>
      <c r="H9724" s="2" t="str">
        <f>IFERROR(__xludf.DUMMYFUNCTION("IF(G9724&lt;&gt;"""", GOOGLETRANSLATE(G9724, ""en"", ""te""),"""")"),"[ '19 ఇన్నింగ్స్ లో అత్యధిక పరుగులు (బ్యాటింగ్ స్థానంలో ప్రకారం) (87)', 'ఒకే మైదానంలో 10 వ అత్యధిక పరుగులు (381)', '48 వ అత్యధిక' 26 పరాజయం వైపు (87) ఒక మ్యాచ్లో అత్యధిక పరుగులు ' ఎనిమిదవ వికెట్ కొరకు చేసిన భాగస్వామ్యం (34) ',' 1st పిన్న కాప్టెన్ (20y 1"&amp;"90d) ',' వికెట్ (1) ఉంచింది చేసిన 33 వ కెప్టెన్ల ',' వికెట్ను కాపాడుకున్నాడు మరియు బ్యాటింగ్ (1) తెరిచిన చేసిన 9 వ కెప్టెన్ల ']")</f>
        <v>[ '19 ఇన్నింగ్స్ లో అత్యధిక పరుగులు (బ్యాటింగ్ స్థానంలో ప్రకారం) (87)', 'ఒకే మైదానంలో 10 వ అత్యధిక పరుగులు (381)', '48 వ అత్యధిక' 26 పరాజయం వైపు (87) ఒక మ్యాచ్లో అత్యధిక పరుగులు ' ఎనిమిదవ వికెట్ కొరకు చేసిన భాగస్వామ్యం (34) ',' 1st పిన్న కాప్టెన్ (20y 190d) ',' వికెట్ (1) ఉంచింది చేసిన 33 వ కెప్టెన్ల ',' వికెట్ను కాపాడుకున్నాడు మరియు బ్యాటింగ్ (1) తెరిచిన చేసిన 9 వ కెప్టెన్ల ']</v>
      </c>
      <c r="I9724" s="3"/>
    </row>
    <row r="9725" customHeight="1" spans="1:9">
      <c r="A9725" s="2"/>
      <c r="B9725" s="2" t="str">
        <f>IFERROR(__xludf.DUMMYFUNCTION("IF(A9725&lt;&gt;"""", GOOGLETRANSLATE(A9725, ""en"", ""te""),"""")"),"")</f>
        <v/>
      </c>
      <c r="C9725" s="2"/>
      <c r="D9725" s="2" t="str">
        <f>IFERROR(__xludf.DUMMYFUNCTION("IF(C9725&lt;&gt;"""", GOOGLETRANSLATE(C9725, ""en"", ""te""),"""")"),"")</f>
        <v/>
      </c>
      <c r="E9725" s="2"/>
      <c r="F9725" s="2" t="str">
        <f>IFERROR(__xludf.DUMMYFUNCTION("IF(E9725&lt;&gt;"""", GOOGLETRANSLATE(E9725, ""en"", ""te""),"""")"),"")</f>
        <v/>
      </c>
      <c r="G9725" s="2" t="s">
        <v>5589</v>
      </c>
      <c r="H9725" s="2" t="str">
        <f>IFERROR(__xludf.DUMMYFUNCTION("IF(G9725&lt;&gt;"""", GOOGLETRANSLATE(G9725, ""en"", ""te""),"""")"),"[ 'ఐదవ వికెట్కు 37 వ అత్యధిక భాగస్వామ్యం (55 *)']")</f>
        <v>[ 'ఐదవ వికెట్కు 37 వ అత్యధిక భాగస్వామ్యం (55 *)']</v>
      </c>
      <c r="I9725" s="3"/>
    </row>
    <row r="9726" customHeight="1" spans="1:9">
      <c r="A9726" s="2"/>
      <c r="B9726" s="2" t="str">
        <f>IFERROR(__xludf.DUMMYFUNCTION("IF(A9726&lt;&gt;"""", GOOGLETRANSLATE(A9726, ""en"", ""te""),"""")"),"")</f>
        <v/>
      </c>
      <c r="C9726" s="2"/>
      <c r="D9726" s="2" t="str">
        <f>IFERROR(__xludf.DUMMYFUNCTION("IF(C9726&lt;&gt;"""", GOOGLETRANSLATE(C9726, ""en"", ""te""),"""")"),"")</f>
        <v/>
      </c>
      <c r="E9726" s="2"/>
      <c r="F9726" s="2" t="str">
        <f>IFERROR(__xludf.DUMMYFUNCTION("IF(E9726&lt;&gt;"""", GOOGLETRANSLATE(E9726, ""en"", ""te""),"""")"),"")</f>
        <v/>
      </c>
      <c r="G9726" s="2"/>
      <c r="H9726" s="2" t="str">
        <f>IFERROR(__xludf.DUMMYFUNCTION("IF(G9726&lt;&gt;"""", GOOGLETRANSLATE(G9726, ""en"", ""te""),"""")"),"")</f>
        <v/>
      </c>
      <c r="I9726" s="3"/>
    </row>
    <row r="9727" customHeight="1" spans="1:9">
      <c r="A9727" s="2"/>
      <c r="B9727" s="2" t="str">
        <f>IFERROR(__xludf.DUMMYFUNCTION("IF(A9727&lt;&gt;"""", GOOGLETRANSLATE(A9727, ""en"", ""te""),"""")"),"")</f>
        <v/>
      </c>
      <c r="C9727" s="2"/>
      <c r="D9727" s="2" t="str">
        <f>IFERROR(__xludf.DUMMYFUNCTION("IF(C9727&lt;&gt;"""", GOOGLETRANSLATE(C9727, ""en"", ""te""),"""")"),"")</f>
        <v/>
      </c>
      <c r="E9727" s="2"/>
      <c r="F9727" s="2" t="str">
        <f>IFERROR(__xludf.DUMMYFUNCTION("IF(E9727&lt;&gt;"""", GOOGLETRANSLATE(E9727, ""en"", ""te""),"""")"),"")</f>
        <v/>
      </c>
      <c r="G9727" s="2"/>
      <c r="H9727" s="2" t="str">
        <f>IFERROR(__xludf.DUMMYFUNCTION("IF(G9727&lt;&gt;"""", GOOGLETRANSLATE(G9727, ""en"", ""te""),"""")"),"")</f>
        <v/>
      </c>
      <c r="I9727" s="3"/>
    </row>
    <row r="9728" customHeight="1" spans="1:9">
      <c r="A9728" s="2"/>
      <c r="B9728" s="2" t="str">
        <f>IFERROR(__xludf.DUMMYFUNCTION("IF(A9728&lt;&gt;"""", GOOGLETRANSLATE(A9728, ""en"", ""te""),"""")"),"")</f>
        <v/>
      </c>
      <c r="C9728" s="2"/>
      <c r="D9728" s="2" t="str">
        <f>IFERROR(__xludf.DUMMYFUNCTION("IF(C9728&lt;&gt;"""", GOOGLETRANSLATE(C9728, ""en"", ""te""),"""")"),"")</f>
        <v/>
      </c>
      <c r="E9728" s="2"/>
      <c r="F9728" s="2" t="str">
        <f>IFERROR(__xludf.DUMMYFUNCTION("IF(E9728&lt;&gt;"""", GOOGLETRANSLATE(E9728, ""en"", ""te""),"""")"),"")</f>
        <v/>
      </c>
      <c r="G9728" s="2"/>
      <c r="H9728" s="2" t="str">
        <f>IFERROR(__xludf.DUMMYFUNCTION("IF(G9728&lt;&gt;"""", GOOGLETRANSLATE(G9728, ""en"", ""te""),"""")"),"")</f>
        <v/>
      </c>
      <c r="I9728" s="3"/>
    </row>
    <row r="9729" customHeight="1" spans="1:9">
      <c r="A9729" s="2"/>
      <c r="B9729" s="2" t="str">
        <f>IFERROR(__xludf.DUMMYFUNCTION("IF(A9729&lt;&gt;"""", GOOGLETRANSLATE(A9729, ""en"", ""te""),"""")"),"")</f>
        <v/>
      </c>
      <c r="C9729" s="2"/>
      <c r="D9729" s="2" t="str">
        <f>IFERROR(__xludf.DUMMYFUNCTION("IF(C9729&lt;&gt;"""", GOOGLETRANSLATE(C9729, ""en"", ""te""),"""")"),"")</f>
        <v/>
      </c>
      <c r="E9729" s="2"/>
      <c r="F9729" s="2" t="str">
        <f>IFERROR(__xludf.DUMMYFUNCTION("IF(E9729&lt;&gt;"""", GOOGLETRANSLATE(E9729, ""en"", ""te""),"""")"),"")</f>
        <v/>
      </c>
      <c r="G9729" s="2" t="s">
        <v>3311</v>
      </c>
      <c r="H9729" s="2" t="str">
        <f>IFERROR(__xludf.DUMMYFUNCTION("IF(G9729&lt;&gt;"""", GOOGLETRANSLATE(G9729, ""en"", ""te""),"""")"),"[ 'కెరీర్లో 29 వ లేవు బాతులు (10)']")</f>
        <v>[ 'కెరీర్లో 29 వ లేవు బాతులు (10)']</v>
      </c>
      <c r="I9729" s="3"/>
    </row>
    <row r="9730" customHeight="1" spans="1:9">
      <c r="A9730" s="2"/>
      <c r="B9730" s="2" t="str">
        <f>IFERROR(__xludf.DUMMYFUNCTION("IF(A9730&lt;&gt;"""", GOOGLETRANSLATE(A9730, ""en"", ""te""),"""")"),"")</f>
        <v/>
      </c>
      <c r="C9730" s="2"/>
      <c r="D9730" s="2" t="str">
        <f>IFERROR(__xludf.DUMMYFUNCTION("IF(C9730&lt;&gt;"""", GOOGLETRANSLATE(C9730, ""en"", ""te""),"""")"),"")</f>
        <v/>
      </c>
      <c r="E9730" s="2"/>
      <c r="F9730" s="2" t="str">
        <f>IFERROR(__xludf.DUMMYFUNCTION("IF(E9730&lt;&gt;"""", GOOGLETRANSLATE(E9730, ""en"", ""te""),"""")"),"")</f>
        <v/>
      </c>
      <c r="G9730" s="2" t="s">
        <v>5590</v>
      </c>
      <c r="H9730" s="2" t="str">
        <f>IFERROR(__xludf.DUMMYFUNCTION("IF(G9730&lt;&gt;"""", GOOGLETRANSLATE(G9730, ""en"", ""te""),"""")"),"[ '28 ఒకే మైదానంలో అత్యధిక పరుగులు (310)', '40 వ అత్యంత ఇన్నింగ్స్ ముందు మొదటి డక్ (17)', '29th అత్యధిక మ్యాచ్లు కెప్టెన్గా (22)', '25 వ వరుస అన్ని టాస్ గెలిచిన (4)']")</f>
        <v>[ '28 ఒకే మైదానంలో అత్యధిక పరుగులు (310)', '40 వ అత్యంత ఇన్నింగ్స్ ముందు మొదటి డక్ (17)', '29th అత్యధిక మ్యాచ్లు కెప్టెన్గా (22)', '25 వ వరుస అన్ని టాస్ గెలిచిన (4)']</v>
      </c>
      <c r="I9730" s="3"/>
    </row>
    <row r="9731" customHeight="1" spans="1:9">
      <c r="A9731" s="2"/>
      <c r="B9731" s="2" t="str">
        <f>IFERROR(__xludf.DUMMYFUNCTION("IF(A9731&lt;&gt;"""", GOOGLETRANSLATE(A9731, ""en"", ""te""),"""")"),"")</f>
        <v/>
      </c>
      <c r="C9731" s="2"/>
      <c r="D9731" s="2" t="str">
        <f>IFERROR(__xludf.DUMMYFUNCTION("IF(C9731&lt;&gt;"""", GOOGLETRANSLATE(C9731, ""en"", ""te""),"""")"),"")</f>
        <v/>
      </c>
      <c r="E9731" s="2"/>
      <c r="F9731" s="2" t="str">
        <f>IFERROR(__xludf.DUMMYFUNCTION("IF(E9731&lt;&gt;"""", GOOGLETRANSLATE(E9731, ""en"", ""te""),"""")"),"")</f>
        <v/>
      </c>
      <c r="G9731" s="2"/>
      <c r="H9731" s="2" t="str">
        <f>IFERROR(__xludf.DUMMYFUNCTION("IF(G9731&lt;&gt;"""", GOOGLETRANSLATE(G9731, ""en"", ""te""),"""")"),"")</f>
        <v/>
      </c>
      <c r="I9731" s="3"/>
    </row>
    <row r="9732" customHeight="1" spans="1:9">
      <c r="A9732" s="2"/>
      <c r="B9732" s="2" t="str">
        <f>IFERROR(__xludf.DUMMYFUNCTION("IF(A9732&lt;&gt;"""", GOOGLETRANSLATE(A9732, ""en"", ""te""),"""")"),"")</f>
        <v/>
      </c>
      <c r="C9732" s="2"/>
      <c r="D9732" s="2" t="str">
        <f>IFERROR(__xludf.DUMMYFUNCTION("IF(C9732&lt;&gt;"""", GOOGLETRANSLATE(C9732, ""en"", ""te""),"""")"),"")</f>
        <v/>
      </c>
      <c r="E9732" s="2"/>
      <c r="F9732" s="2" t="str">
        <f>IFERROR(__xludf.DUMMYFUNCTION("IF(E9732&lt;&gt;"""", GOOGLETRANSLATE(E9732, ""en"", ""te""),"""")"),"")</f>
        <v/>
      </c>
      <c r="G9732" s="2" t="s">
        <v>5591</v>
      </c>
      <c r="H9732" s="2" t="str">
        <f>IFERROR(__xludf.DUMMYFUNCTION("IF(G9732&lt;&gt;"""", GOOGLETRANSLATE(G9732, ""en"", ""te""),"""")"),"[ '32 వ కెరీర్ బాతులు (5)']")</f>
        <v>[ '32 వ కెరీర్ బాతులు (5)']</v>
      </c>
      <c r="I9732" s="3"/>
    </row>
    <row r="9733" customHeight="1" spans="1:9">
      <c r="A9733" s="2" t="s">
        <v>5592</v>
      </c>
      <c r="B9733" s="2" t="str">
        <f>IFERROR(__xludf.DUMMYFUNCTION("IF(A9733&lt;&gt;"""", GOOGLETRANSLATE(A9733, ""en"", ""te""),"""")"),"[ '9 వ అత్యధిక వికెట్లు తీసుకున్న ఎల్బిడబ్ల్యు (8)']")</f>
        <v>[ '9 వ అత్యధిక వికెట్లు తీసుకున్న ఎల్బిడబ్ల్యు (8)']</v>
      </c>
      <c r="C9733" s="2"/>
      <c r="D9733" s="2" t="str">
        <f>IFERROR(__xludf.DUMMYFUNCTION("IF(C9733&lt;&gt;"""", GOOGLETRANSLATE(C9733, ""en"", ""te""),"""")"),"")</f>
        <v/>
      </c>
      <c r="E9733" s="2"/>
      <c r="F9733" s="2" t="str">
        <f>IFERROR(__xludf.DUMMYFUNCTION("IF(E9733&lt;&gt;"""", GOOGLETRANSLATE(E9733, ""en"", ""te""),"""")"),"")</f>
        <v/>
      </c>
      <c r="G9733" s="2" t="s">
        <v>5593</v>
      </c>
      <c r="H9733" s="2" t="str">
        <f>IFERROR(__xludf.DUMMYFUNCTION("IF(G9733&lt;&gt;"""", GOOGLETRANSLATE(G9733, ""en"", ""te""),"""")"),"[ '17 వ అత్యుత్తమ ఇన్నింగ్స్ లో విశ్లేషణలు బౌలింగ్ (3/7)', '9 వ అత్యధిక వికెట్లు తీసుకున్న ఎల్బిడబ్ల్యు (8)']")</f>
        <v>[ '17 వ అత్యుత్తమ ఇన్నింగ్స్ లో విశ్లేషణలు బౌలింగ్ (3/7)', '9 వ అత్యధిక వికెట్లు తీసుకున్న ఎల్బిడబ్ల్యు (8)']</v>
      </c>
      <c r="I9733" s="3"/>
    </row>
    <row r="9734" customHeight="1" spans="1:9">
      <c r="A9734" s="2" t="s">
        <v>5594</v>
      </c>
      <c r="B9734" s="2" t="str">
        <f>IFERROR(__xludf.DUMMYFUNCTION("IF(A9734&lt;&gt;"""", GOOGLETRANSLATE(A9734, ""en"", ""te""),"""")"),"[ '8 వ ఎక్కువ (37 *) ఒక ఇన్నింగ్స్ లో నడుస్తుంది (బ్యాటింగ్ స్థానం)']")</f>
        <v>[ '8 వ ఎక్కువ (37 *) ఒక ఇన్నింగ్స్ లో నడుస్తుంది (బ్యాటింగ్ స్థానం)']</v>
      </c>
      <c r="C9734" s="2"/>
      <c r="D9734" s="2" t="str">
        <f>IFERROR(__xludf.DUMMYFUNCTION("IF(C9734&lt;&gt;"""", GOOGLETRANSLATE(C9734, ""en"", ""te""),"""")"),"")</f>
        <v/>
      </c>
      <c r="E9734" s="2"/>
      <c r="F9734" s="2" t="str">
        <f>IFERROR(__xludf.DUMMYFUNCTION("IF(E9734&lt;&gt;"""", GOOGLETRANSLATE(E9734, ""en"", ""te""),"""")"),"")</f>
        <v/>
      </c>
      <c r="G9734" s="2" t="s">
        <v>5594</v>
      </c>
      <c r="H9734" s="2" t="str">
        <f>IFERROR(__xludf.DUMMYFUNCTION("IF(G9734&lt;&gt;"""", GOOGLETRANSLATE(G9734, ""en"", ""te""),"""")"),"[ '8 వ ఎక్కువ (37 *) ఒక ఇన్నింగ్స్ లో నడుస్తుంది (బ్యాటింగ్ స్థానం)']")</f>
        <v>[ '8 వ ఎక్కువ (37 *) ఒక ఇన్నింగ్స్ లో నడుస్తుంది (బ్యాటింగ్ స్థానం)']</v>
      </c>
      <c r="I9734" s="3"/>
    </row>
    <row r="9735" customHeight="1" spans="1:9">
      <c r="A9735" s="2"/>
      <c r="B9735" s="2" t="str">
        <f>IFERROR(__xludf.DUMMYFUNCTION("IF(A9735&lt;&gt;"""", GOOGLETRANSLATE(A9735, ""en"", ""te""),"""")"),"")</f>
        <v/>
      </c>
      <c r="C9735" s="2"/>
      <c r="D9735" s="2" t="str">
        <f>IFERROR(__xludf.DUMMYFUNCTION("IF(C9735&lt;&gt;"""", GOOGLETRANSLATE(C9735, ""en"", ""te""),"""")"),"")</f>
        <v/>
      </c>
      <c r="E9735" s="2"/>
      <c r="F9735" s="2" t="str">
        <f>IFERROR(__xludf.DUMMYFUNCTION("IF(E9735&lt;&gt;"""", GOOGLETRANSLATE(E9735, ""en"", ""te""),"""")"),"")</f>
        <v/>
      </c>
      <c r="G9735" s="2"/>
      <c r="H9735" s="2" t="str">
        <f>IFERROR(__xludf.DUMMYFUNCTION("IF(G9735&lt;&gt;"""", GOOGLETRANSLATE(G9735, ""en"", ""te""),"""")"),"")</f>
        <v/>
      </c>
      <c r="I9735" s="3"/>
    </row>
    <row r="9736" customHeight="1" spans="1:9">
      <c r="A9736" s="2"/>
      <c r="B9736" s="2" t="str">
        <f>IFERROR(__xludf.DUMMYFUNCTION("IF(A9736&lt;&gt;"""", GOOGLETRANSLATE(A9736, ""en"", ""te""),"""")"),"")</f>
        <v/>
      </c>
      <c r="C9736" s="2"/>
      <c r="D9736" s="2" t="str">
        <f>IFERROR(__xludf.DUMMYFUNCTION("IF(C9736&lt;&gt;"""", GOOGLETRANSLATE(C9736, ""en"", ""te""),"""")"),"")</f>
        <v/>
      </c>
      <c r="E9736" s="2"/>
      <c r="F9736" s="2" t="str">
        <f>IFERROR(__xludf.DUMMYFUNCTION("IF(E9736&lt;&gt;"""", GOOGLETRANSLATE(E9736, ""en"", ""te""),"""")"),"")</f>
        <v/>
      </c>
      <c r="G9736" s="2" t="s">
        <v>5595</v>
      </c>
      <c r="H9736" s="2" t="str">
        <f>IFERROR(__xludf.DUMMYFUNCTION("IF(G9736&lt;&gt;"""", GOOGLETRANSLATE(G9736, ""en"", ""te""),"""")"),"[ '21 వ ఉత్తమ కెప్టెన్ ఒక ఇన్నింగ్స్ లో సంఖ్యలు (3)', 'ఇన్నింగ్స్ లో 22 వ ఉత్తమ ఆర్థిక రేటు (0.50)', 'రెండవ వికెట్కు 49 వ అత్యధిక భాగస్వామ్యం (84)', '25 వ కెప్టెన్గా అత్యధిక మ్యాచ్లు (18 ) ']")</f>
        <v>[ '21 వ ఉత్తమ కెప్టెన్ ఒక ఇన్నింగ్స్ లో సంఖ్యలు (3)', 'ఇన్నింగ్స్ లో 22 వ ఉత్తమ ఆర్థిక రేటు (0.50)', 'రెండవ వికెట్కు 49 వ అత్యధిక భాగస్వామ్యం (84)', '25 వ కెప్టెన్గా అత్యధిక మ్యాచ్లు (18 ) ']</v>
      </c>
      <c r="I9736" s="3"/>
    </row>
    <row r="9737" customHeight="1" spans="1:9">
      <c r="A9737" s="2"/>
      <c r="B9737" s="2" t="str">
        <f>IFERROR(__xludf.DUMMYFUNCTION("IF(A9737&lt;&gt;"""", GOOGLETRANSLATE(A9737, ""en"", ""te""),"""")"),"")</f>
        <v/>
      </c>
      <c r="C9737" s="2"/>
      <c r="D9737" s="2" t="str">
        <f>IFERROR(__xludf.DUMMYFUNCTION("IF(C9737&lt;&gt;"""", GOOGLETRANSLATE(C9737, ""en"", ""te""),"""")"),"")</f>
        <v/>
      </c>
      <c r="E9737" s="2"/>
      <c r="F9737" s="2" t="str">
        <f>IFERROR(__xludf.DUMMYFUNCTION("IF(E9737&lt;&gt;"""", GOOGLETRANSLATE(E9737, ""en"", ""te""),"""")"),"")</f>
        <v/>
      </c>
      <c r="G9737" s="2" t="s">
        <v>5596</v>
      </c>
      <c r="H9737" s="2" t="str">
        <f>IFERROR(__xludf.DUMMYFUNCTION("IF(G9737&lt;&gt;"""", GOOGLETRANSLATE(G9737, ""en"", ""te""),"""")"),"[ 'ఒక కెప్టెన్తో ఒక ఇన్నింగ్స్ లో 21 వ బెస్ట్ ఫిగర్స్ (3)', 'కెప్టెన్సీ తొలి 20 వ ఓల్డెస్ట్ కాప్టెన్ (33y 30D)']")</f>
        <v>[ 'ఒక కెప్టెన్తో ఒక ఇన్నింగ్స్ లో 21 వ బెస్ట్ ఫిగర్స్ (3)', 'కెప్టెన్సీ తొలి 20 వ ఓల్డెస్ట్ కాప్టెన్ (33y 30D)']</v>
      </c>
      <c r="I9737" s="3"/>
    </row>
    <row r="9738" customHeight="1" spans="1:9">
      <c r="A9738" s="2"/>
      <c r="B9738" s="2" t="str">
        <f>IFERROR(__xludf.DUMMYFUNCTION("IF(A9738&lt;&gt;"""", GOOGLETRANSLATE(A9738, ""en"", ""te""),"""")"),"")</f>
        <v/>
      </c>
      <c r="C9738" s="2"/>
      <c r="D9738" s="2" t="str">
        <f>IFERROR(__xludf.DUMMYFUNCTION("IF(C9738&lt;&gt;"""", GOOGLETRANSLATE(C9738, ""en"", ""te""),"""")"),"")</f>
        <v/>
      </c>
      <c r="E9738" s="2"/>
      <c r="F9738" s="2" t="str">
        <f>IFERROR(__xludf.DUMMYFUNCTION("IF(E9738&lt;&gt;"""", GOOGLETRANSLATE(E9738, ""en"", ""te""),"""")"),"")</f>
        <v/>
      </c>
      <c r="G9738" s="2" t="s">
        <v>5597</v>
      </c>
      <c r="H9738" s="2" t="str">
        <f>IFERROR(__xludf.DUMMYFUNCTION("IF(G9738&lt;&gt;"""", GOOGLETRANSLATE(G9738, ""en"", ""te""),"""")"),"[ 'కెరీర్లో 47 వ లేవు బాతులు (14)', 'ఒకే క్రీడా (17) 11 వ అత్యధిక వికెట్లు']")</f>
        <v>[ 'కెరీర్లో 47 వ లేవు బాతులు (14)', 'ఒకే క్రీడా (17) 11 వ అత్యధిక వికెట్లు']</v>
      </c>
      <c r="I9738" s="3"/>
    </row>
    <row r="9739" customHeight="1" spans="1:9">
      <c r="A9739" s="2"/>
      <c r="B9739" s="2" t="str">
        <f>IFERROR(__xludf.DUMMYFUNCTION("IF(A9739&lt;&gt;"""", GOOGLETRANSLATE(A9739, ""en"", ""te""),"""")"),"")</f>
        <v/>
      </c>
      <c r="C9739" s="2"/>
      <c r="D9739" s="2" t="str">
        <f>IFERROR(__xludf.DUMMYFUNCTION("IF(C9739&lt;&gt;"""", GOOGLETRANSLATE(C9739, ""en"", ""te""),"""")"),"")</f>
        <v/>
      </c>
      <c r="E9739" s="2"/>
      <c r="F9739" s="2" t="str">
        <f>IFERROR(__xludf.DUMMYFUNCTION("IF(E9739&lt;&gt;"""", GOOGLETRANSLATE(E9739, ""en"", ""te""),"""")"),"")</f>
        <v/>
      </c>
      <c r="G9739" s="2" t="s">
        <v>5598</v>
      </c>
      <c r="H9739" s="2" t="str">
        <f>IFERROR(__xludf.DUMMYFUNCTION("IF(G9739&lt;&gt;"""", GOOGLETRANSLATE(G9739, ""en"", ""te""),"""")"),"[ '27 అత్యుత్తమ ఇన్నింగ్స్ (1/2) విశ్లేషణలలో బౌలింగ్']")</f>
        <v>[ '27 అత్యుత్తమ ఇన్నింగ్స్ (1/2) విశ్లేషణలలో బౌలింగ్']</v>
      </c>
      <c r="I9739" s="3"/>
    </row>
    <row r="9740" customHeight="1" spans="1:9">
      <c r="A9740" s="2" t="s">
        <v>5599</v>
      </c>
      <c r="B9740" s="2" t="str">
        <f>IFERROR(__xludf.DUMMYFUNCTION("IF(A9740&lt;&gt;"""", GOOGLETRANSLATE(A9740, ""en"", ""te""),"""")"),"[ 'ప్రవేశం (5) ఒక ఇన్నింగ్స్ లో 1 వ బెస్ట్ ఫిగర్స్' '3 వ అత్యుత్తమ ఇన్నింగ్స్ లో విశ్లేషణలు బౌలింగ్ (5/4)', 'ఇన్నింగ్స్ లో 2 వ ఉత్తమ సమ్మె రేటు (2.4)',]")</f>
        <v>[ 'ప్రవేశం (5) ఒక ఇన్నింగ్స్ లో 1 వ బెస్ట్ ఫిగర్స్' '3 వ అత్యుత్తమ ఇన్నింగ్స్ లో విశ్లేషణలు బౌలింగ్ (5/4)', 'ఇన్నింగ్స్ లో 2 వ ఉత్తమ సమ్మె రేటు (2.4)',]</v>
      </c>
      <c r="C9740" s="2"/>
      <c r="D9740" s="2" t="str">
        <f>IFERROR(__xludf.DUMMYFUNCTION("IF(C9740&lt;&gt;"""", GOOGLETRANSLATE(C9740, ""en"", ""te""),"""")"),"")</f>
        <v/>
      </c>
      <c r="E9740" s="2"/>
      <c r="F9740" s="2" t="str">
        <f>IFERROR(__xludf.DUMMYFUNCTION("IF(E9740&lt;&gt;"""", GOOGLETRANSLATE(E9740, ""en"", ""te""),"""")"),"")</f>
        <v/>
      </c>
      <c r="G9740" s="2" t="s">
        <v>5600</v>
      </c>
      <c r="H9740" s="2" t="str">
        <f>IFERROR(__xludf.DUMMYFUNCTION("IF(G9740&lt;&gt;"""", GOOGLETRANSLATE(G9740, ""en"", ""te""),"""")"),"[ 'ఇన్నింగ్స్ లో 8 వ బెస్ట్ ఫిగర్స్ (5/4)', 'ఇన్నింగ్స్ లో 3 వ అత్యుత్తమ బౌలింగ్ విశ్లేషణలు (5/4)', 'ఇన్నింగ్స్ లో 2 వ ఉత్తమ సమ్మె రేటు (2.4)', '1st ఒక ఇన్నింగ్స్ లోని బెస్ట్ ఫిగర్స్ తొలి (5) ',' 29 వ అత్యధిక పరుగులు ఇన్నింగ్స్ లో సాధించిన (58) ']")</f>
        <v>[ 'ఇన్నింగ్స్ లో 8 వ బెస్ట్ ఫిగర్స్ (5/4)', 'ఇన్నింగ్స్ లో 3 వ అత్యుత్తమ బౌలింగ్ విశ్లేషణలు (5/4)', 'ఇన్నింగ్స్ లో 2 వ ఉత్తమ సమ్మె రేటు (2.4)', '1st ఒక ఇన్నింగ్స్ లోని బెస్ట్ ఫిగర్స్ తొలి (5) ',' 29 వ అత్యధిక పరుగులు ఇన్నింగ్స్ లో సాధించిన (58) ']</v>
      </c>
      <c r="I9740" s="3"/>
    </row>
    <row r="9741" customHeight="1" spans="1:9">
      <c r="A9741" s="2"/>
      <c r="B9741" s="2" t="str">
        <f>IFERROR(__xludf.DUMMYFUNCTION("IF(A9741&lt;&gt;"""", GOOGLETRANSLATE(A9741, ""en"", ""te""),"""")"),"")</f>
        <v/>
      </c>
      <c r="C9741" s="2"/>
      <c r="D9741" s="2" t="str">
        <f>IFERROR(__xludf.DUMMYFUNCTION("IF(C9741&lt;&gt;"""", GOOGLETRANSLATE(C9741, ""en"", ""te""),"""")"),"")</f>
        <v/>
      </c>
      <c r="E9741" s="2"/>
      <c r="F9741" s="2" t="str">
        <f>IFERROR(__xludf.DUMMYFUNCTION("IF(E9741&lt;&gt;"""", GOOGLETRANSLATE(E9741, ""en"", ""te""),"""")"),"")</f>
        <v/>
      </c>
      <c r="G9741" s="2" t="s">
        <v>5601</v>
      </c>
      <c r="H9741" s="2" t="str">
        <f>IFERROR(__xludf.DUMMYFUNCTION("IF(G9741&lt;&gt;"""", GOOGLETRANSLATE(G9741, ""en"", ""te""),"""")"),"[ 'తొలి 21 వ ఓల్డెస్ట్ క్రీడాకారులు (43y 258d)', '23 వ ఓల్డెస్ట్ క్రీడాకారులు (43y 291d)']")</f>
        <v>[ 'తొలి 21 వ ఓల్డెస్ట్ క్రీడాకారులు (43y 258d)', '23 వ ఓల్డెస్ట్ క్రీడాకారులు (43y 291d)']</v>
      </c>
      <c r="I9741" s="3"/>
    </row>
    <row r="9742" customHeight="1" spans="1:9">
      <c r="A9742" s="2"/>
      <c r="B9742" s="2" t="str">
        <f>IFERROR(__xludf.DUMMYFUNCTION("IF(A9742&lt;&gt;"""", GOOGLETRANSLATE(A9742, ""en"", ""te""),"""")"),"")</f>
        <v/>
      </c>
      <c r="C9742" s="2"/>
      <c r="D9742" s="2" t="str">
        <f>IFERROR(__xludf.DUMMYFUNCTION("IF(C9742&lt;&gt;"""", GOOGLETRANSLATE(C9742, ""en"", ""te""),"""")"),"")</f>
        <v/>
      </c>
      <c r="E9742" s="2"/>
      <c r="F9742" s="2" t="str">
        <f>IFERROR(__xludf.DUMMYFUNCTION("IF(E9742&lt;&gt;"""", GOOGLETRANSLATE(E9742, ""en"", ""te""),"""")"),"")</f>
        <v/>
      </c>
      <c r="G9742" s="2"/>
      <c r="H9742" s="2" t="str">
        <f>IFERROR(__xludf.DUMMYFUNCTION("IF(G9742&lt;&gt;"""", GOOGLETRANSLATE(G9742, ""en"", ""te""),"""")"),"")</f>
        <v/>
      </c>
      <c r="I9742" s="3"/>
    </row>
    <row r="9743" customHeight="1" spans="1:9">
      <c r="A9743" s="2"/>
      <c r="B9743" s="2" t="str">
        <f>IFERROR(__xludf.DUMMYFUNCTION("IF(A9743&lt;&gt;"""", GOOGLETRANSLATE(A9743, ""en"", ""te""),"""")"),"")</f>
        <v/>
      </c>
      <c r="C9743" s="2"/>
      <c r="D9743" s="2" t="str">
        <f>IFERROR(__xludf.DUMMYFUNCTION("IF(C9743&lt;&gt;"""", GOOGLETRANSLATE(C9743, ""en"", ""te""),"""")"),"")</f>
        <v/>
      </c>
      <c r="E9743" s="2"/>
      <c r="F9743" s="2" t="str">
        <f>IFERROR(__xludf.DUMMYFUNCTION("IF(E9743&lt;&gt;"""", GOOGLETRANSLATE(E9743, ""en"", ""te""),"""")"),"")</f>
        <v/>
      </c>
      <c r="G9743" s="2" t="s">
        <v>5602</v>
      </c>
      <c r="H9743" s="2" t="str">
        <f>IFERROR(__xludf.DUMMYFUNCTION("IF(G9743&lt;&gt;"""", GOOGLETRANSLATE(G9743, ""en"", ""te""),"""")"),"[ '35 వ ఇన్నింగ్స్ లో అత్యధిక పరుగులు (బ్యాటింగ్ స్థానంలో ప్రకారం) (52 *)']")</f>
        <v>[ '35 వ ఇన్నింగ్స్ లో అత్యధిక పరుగులు (బ్యాటింగ్ స్థానంలో ప్రకారం) (52 *)']</v>
      </c>
      <c r="I9743" s="3"/>
    </row>
    <row r="9744" customHeight="1" spans="1:9">
      <c r="A9744" s="2" t="s">
        <v>5603</v>
      </c>
      <c r="B9744" s="2" t="str">
        <f>IFERROR(__xludf.DUMMYFUNCTION("IF(A9744&lt;&gt;"""", GOOGLETRANSLATE(A9744, ""en"", ""te""),"""")"),"[ '1st అత్యధిక వికెట్లు తీసిన హిట్ వికెట్ (1)' '2 వ అత్యుత్తమ బౌలింగ్ (6/3) ఇన్నింగ్స్ విశ్లేషణలలో']")</f>
        <v>[ '1st అత్యధిక వికెట్లు తీసిన హిట్ వికెట్ (1)' '2 వ అత్యుత్తమ బౌలింగ్ (6/3) ఇన్నింగ్స్ విశ్లేషణలలో']</v>
      </c>
      <c r="C9744" s="2"/>
      <c r="D9744" s="2" t="str">
        <f>IFERROR(__xludf.DUMMYFUNCTION("IF(C9744&lt;&gt;"""", GOOGLETRANSLATE(C9744, ""en"", ""te""),"""")"),"")</f>
        <v/>
      </c>
      <c r="E9744" s="2"/>
      <c r="F9744" s="2" t="str">
        <f>IFERROR(__xludf.DUMMYFUNCTION("IF(E9744&lt;&gt;"""", GOOGLETRANSLATE(E9744, ""en"", ""te""),"""")"),"")</f>
        <v/>
      </c>
      <c r="G9744" s="2" t="s">
        <v>5604</v>
      </c>
      <c r="H9744" s="2" t="str">
        <f>IFERROR(__xludf.DUMMYFUNCTION("IF(G9744&lt;&gt;"""", GOOGLETRANSLATE(G9744, ""en"", ""te""),"""")"),"[ 'ఇన్నింగ్స్ లో 2 వ బెస్ట్ ఫిగర్స్ (6/3)', '2 వ అత్యుత్తమ ఇన్నింగ్స్ లో బౌలింగ్ విశ్లేషణలు (6/3)', 'ఒకే మైదానంలో 19 వ అత్యధిక వికెట్లు (10)', '33 వ ఉత్తమ సమ్మె ఒక రేటు ఇన్నింగ్స్ (4.0) ',' 1 వ అత్యధిక వికెట్లు తీసిన హిట్ వికెట్ (1) ',' ఆరవ వికెట్కు 29 అ"&amp;"త్యధిక భాగస్వామ్యం (46) ']")</f>
        <v>[ 'ఇన్నింగ్స్ లో 2 వ బెస్ట్ ఫిగర్స్ (6/3)', '2 వ అత్యుత్తమ ఇన్నింగ్స్ లో బౌలింగ్ విశ్లేషణలు (6/3)', 'ఒకే మైదానంలో 19 వ అత్యధిక వికెట్లు (10)', '33 వ ఉత్తమ సమ్మె ఒక రేటు ఇన్నింగ్స్ (4.0) ',' 1 వ అత్యధిక వికెట్లు తీసిన హిట్ వికెట్ (1) ',' ఆరవ వికెట్కు 29 అత్యధిక భాగస్వామ్యం (46) ']</v>
      </c>
      <c r="I9744" s="3"/>
    </row>
    <row r="9745" customHeight="1" spans="1:9">
      <c r="A9745" s="2"/>
      <c r="B9745" s="2" t="str">
        <f>IFERROR(__xludf.DUMMYFUNCTION("IF(A9745&lt;&gt;"""", GOOGLETRANSLATE(A9745, ""en"", ""te""),"""")"),"")</f>
        <v/>
      </c>
      <c r="C9745" s="2"/>
      <c r="D9745" s="2" t="str">
        <f>IFERROR(__xludf.DUMMYFUNCTION("IF(C9745&lt;&gt;"""", GOOGLETRANSLATE(C9745, ""en"", ""te""),"""")"),"")</f>
        <v/>
      </c>
      <c r="E9745" s="2"/>
      <c r="F9745" s="2" t="str">
        <f>IFERROR(__xludf.DUMMYFUNCTION("IF(E9745&lt;&gt;"""", GOOGLETRANSLATE(E9745, ""en"", ""te""),"""")"),"")</f>
        <v/>
      </c>
      <c r="G9745" s="2" t="s">
        <v>5605</v>
      </c>
      <c r="H9745" s="2" t="str">
        <f>IFERROR(__xludf.DUMMYFUNCTION("IF(G9745&lt;&gt;"""", GOOGLETRANSLATE(G9745, ""en"", ""te""),"""")"),"[ '17 వ అత్యుత్తమ ఇన్నింగ్స్ (3/7) విశ్లేషణలలో బౌలింగ్']")</f>
        <v>[ '17 వ అత్యుత్తమ ఇన్నింగ్స్ (3/7) విశ్లేషణలలో బౌలింగ్']</v>
      </c>
      <c r="I9745" s="3"/>
    </row>
    <row r="9746" customHeight="1" spans="1:9">
      <c r="A9746" s="2" t="s">
        <v>5606</v>
      </c>
      <c r="B9746" s="2" t="str">
        <f>IFERROR(__xludf.DUMMYFUNCTION("IF(A9746&lt;&gt;"""", GOOGLETRANSLATE(A9746, ""en"", ""te""),"""")"),"[ '2 వ చెత్త కెరీర్ బౌలింగ్ సరాసరి (అర్హత లేకుండా) (116.00)']")</f>
        <v>[ '2 వ చెత్త కెరీర్ బౌలింగ్ సరాసరి (అర్హత లేకుండా) (116.00)']</v>
      </c>
      <c r="C9746" s="2"/>
      <c r="D9746" s="2" t="str">
        <f>IFERROR(__xludf.DUMMYFUNCTION("IF(C9746&lt;&gt;"""", GOOGLETRANSLATE(C9746, ""en"", ""te""),"""")"),"")</f>
        <v/>
      </c>
      <c r="E9746" s="2"/>
      <c r="F9746" s="2" t="str">
        <f>IFERROR(__xludf.DUMMYFUNCTION("IF(E9746&lt;&gt;"""", GOOGLETRANSLATE(E9746, ""en"", ""te""),"""")"),"")</f>
        <v/>
      </c>
      <c r="G9746" s="2" t="s">
        <v>5607</v>
      </c>
      <c r="H9746" s="2" t="str">
        <f>IFERROR(__xludf.DUMMYFUNCTION("IF(G9746&lt;&gt;"""", GOOGLETRANSLATE(G9746, ""en"", ""te""),"""")"),"[ '2 వ చెత్త కెరీర్ (116.00) (అర్హత లేకుండా) సగటు బౌలింగ్', '12 వ ఇన్నింగ్స్ లో సాధించిన అత్యధిక పరుగులు (63)']")</f>
        <v>[ '2 వ చెత్త కెరీర్ (116.00) (అర్హత లేకుండా) సగటు బౌలింగ్', '12 వ ఇన్నింగ్స్ లో సాధించిన అత్యధిక పరుగులు (63)']</v>
      </c>
      <c r="I9746" s="3"/>
    </row>
    <row r="9747" customHeight="1" spans="1:9">
      <c r="A9747" s="2"/>
      <c r="B9747" s="2" t="str">
        <f>IFERROR(__xludf.DUMMYFUNCTION("IF(A9747&lt;&gt;"""", GOOGLETRANSLATE(A9747, ""en"", ""te""),"""")"),"")</f>
        <v/>
      </c>
      <c r="C9747" s="2"/>
      <c r="D9747" s="2" t="str">
        <f>IFERROR(__xludf.DUMMYFUNCTION("IF(C9747&lt;&gt;"""", GOOGLETRANSLATE(C9747, ""en"", ""te""),"""")"),"")</f>
        <v/>
      </c>
      <c r="E9747" s="2"/>
      <c r="F9747" s="2" t="str">
        <f>IFERROR(__xludf.DUMMYFUNCTION("IF(E9747&lt;&gt;"""", GOOGLETRANSLATE(E9747, ""en"", ""te""),"""")"),"")</f>
        <v/>
      </c>
      <c r="G9747" s="2" t="s">
        <v>5608</v>
      </c>
      <c r="H9747" s="2" t="str">
        <f>IFERROR(__xludf.DUMMYFUNCTION("IF(G9747&lt;&gt;"""", GOOGLETRANSLATE(G9747, ""en"", ""te""),"""")"),"[ '22 ఒకే మైదానంలో అత్యధిక వికెట్లు (14)', '17 వ బౌలర్ / బ్యాట్స్ కలయికలు (3)', '15 వ ఇన్నింగ్స్ లో అత్యధిక క్యాచ్లు (3)']")</f>
        <v>[ '22 ఒకే మైదానంలో అత్యధిక వికెట్లు (14)', '17 వ బౌలర్ / బ్యాట్స్ కలయికలు (3)', '15 వ ఇన్నింగ్స్ లో అత్యధిక క్యాచ్లు (3)']</v>
      </c>
      <c r="I9747" s="3"/>
    </row>
    <row r="9748" customHeight="1" spans="1:9">
      <c r="A9748" s="2" t="s">
        <v>5609</v>
      </c>
      <c r="B9748" s="2" t="str">
        <f>IFERROR(__xludf.DUMMYFUNCTION("IF(A9748&lt;&gt;"""", GOOGLETRANSLATE(A9748, ""en"", ""te""),"""")"),"[ 'తొలి 5 వ ఓల్డెస్ట్ క్రీడాకారులు (43y 112d)']")</f>
        <v>[ 'తొలి 5 వ ఓల్డెస్ట్ క్రీడాకారులు (43y 112d)']</v>
      </c>
      <c r="C9748" s="2"/>
      <c r="D9748" s="2" t="str">
        <f>IFERROR(__xludf.DUMMYFUNCTION("IF(C9748&lt;&gt;"""", GOOGLETRANSLATE(C9748, ""en"", ""te""),"""")"),"")</f>
        <v/>
      </c>
      <c r="E9748" s="2" t="s">
        <v>5610</v>
      </c>
      <c r="F9748" s="2" t="str">
        <f>IFERROR(__xludf.DUMMYFUNCTION("IF(E9748&lt;&gt;"""", GOOGLETRANSLATE(E9748, ""en"", ""te""),"""")"),"[ '5 వ తొలి ఓల్డెస్ట్ క్రీడాకారులు (43y 112d)' '26 చెత్త కెరీర్ సగటు (128.50) (అర్హత లేకుండా) బౌలింగ్', '7 వ ఓల్డెస్ట్ క్రీడాకారులు (43y 129d)']")</f>
        <v>[ '5 వ తొలి ఓల్డెస్ట్ క్రీడాకారులు (43y 112d)' '26 చెత్త కెరీర్ సగటు (128.50) (అర్హత లేకుండా) బౌలింగ్', '7 వ ఓల్డెస్ట్ క్రీడాకారులు (43y 129d)']</v>
      </c>
      <c r="G9748" s="2"/>
      <c r="H9748" s="2" t="str">
        <f>IFERROR(__xludf.DUMMYFUNCTION("IF(G9748&lt;&gt;"""", GOOGLETRANSLATE(G9748, ""en"", ""te""),"""")"),"")</f>
        <v/>
      </c>
      <c r="I9748" s="3"/>
    </row>
    <row r="9749" customHeight="1" spans="1:9">
      <c r="A9749" s="2" t="s">
        <v>5611</v>
      </c>
      <c r="B9749" s="2" t="str">
        <f>IFERROR(__xludf.DUMMYFUNCTION("IF(A9749&lt;&gt;"""", GOOGLETRANSLATE(A9749, ""en"", ""te""),"""")"),"[ '1st ఒక ఇన్నింగ్స్ లోని బెస్ట్ ఫిగర్స్ ఉన్నప్పుడు పరాజయం వైపు (5)', '3 వ ఉత్తమ కెరీర్ సమ్మె రేటు (13.0)', 'పదవ వికెట్కు 6 వ అత్యధిక భాగస్వామ్యం (29)']")</f>
        <v>[ '1st ఒక ఇన్నింగ్స్ లోని బెస్ట్ ఫిగర్స్ ఉన్నప్పుడు పరాజయం వైపు (5)', '3 వ ఉత్తమ కెరీర్ సమ్మె రేటు (13.0)', 'పదవ వికెట్కు 6 వ అత్యధిక భాగస్వామ్యం (29)']</v>
      </c>
      <c r="C9749" s="2"/>
      <c r="D9749" s="2" t="str">
        <f>IFERROR(__xludf.DUMMYFUNCTION("IF(C9749&lt;&gt;"""", GOOGLETRANSLATE(C9749, ""en"", ""te""),"""")"),"")</f>
        <v/>
      </c>
      <c r="E9749" s="2"/>
      <c r="F9749" s="2" t="str">
        <f>IFERROR(__xludf.DUMMYFUNCTION("IF(E9749&lt;&gt;"""", GOOGLETRANSLATE(E9749, ""en"", ""te""),"""")"),"")</f>
        <v/>
      </c>
      <c r="G9749" s="2" t="s">
        <v>5612</v>
      </c>
      <c r="H9749" s="2" t="str">
        <f>IFERROR(__xludf.DUMMYFUNCTION("IF(G9749&lt;&gt;"""", GOOGLETRANSLATE(G9749, ""en"", ""te""),"""")"),"[ '29 ఒక ఇన్నింగ్స్ లోని బెస్ట్ ఫిగర్స్ (5/19)', '1st ఒక ఇన్నింగ్స్ లోని బెస్ట్ ఫిగర్స్ ఉన్నప్పుడు పరాజయం వైపు (5) న', '6 వ ఉత్తమ కెరీర్ సగటు (16.59) బౌలింగ్', '3 వ ఉత్తమ కెరీర్ సమ్మె రేటు ( 13.0) ',' 48 వ చెత్త కెరీర్లో ఆర్థిక రేటు (7.61) ',' 16 వ అత్యం"&amp;"త నాలుగు వికెట్లు-ఇన్-ఒక-ఇన్నింగ్స్ కెరీర్ (2) ',' 17 వ బౌలర్ / బ్యాట్స్ కలయికలు (3) ',' 26th బౌలర్ లో / ఫీల్డర్ కలయికలు (7) ',' 37 వ అత్యధిక వికెట్లు తీసుకున్న ఆకర్షించింది (33) ',' 14 వ అత్యధిక వికెట్లు ఆకర్షించింది తీసుకున్న మరియు బౌల్డ్ (3) ',' 27 వ అ"&amp;"త్యధిక వికెట్లు ఒక ఫీల్డర్ (30) ',' 6 వ అత్యధిక కొరకు చేసిన భాగస్వామ్యం పట్టుకుంటే తీసుకున్న పదవ వికెట్ను (29) ']")</f>
        <v>[ '29 ఒక ఇన్నింగ్స్ లోని బెస్ట్ ఫిగర్స్ (5/19)', '1st ఒక ఇన్నింగ్స్ లోని బెస్ట్ ఫిగర్స్ ఉన్నప్పుడు పరాజయం వైపు (5) న', '6 వ ఉత్తమ కెరీర్ సగటు (16.59) బౌలింగ్', '3 వ ఉత్తమ కెరీర్ సమ్మె రేటు ( 13.0) ',' 48 వ చెత్త కెరీర్లో ఆర్థిక రేటు (7.61) ',' 16 వ అత్యంత నాలుగు వికెట్లు-ఇన్-ఒక-ఇన్నింగ్స్ కెరీర్ (2) ',' 17 వ బౌలర్ / బ్యాట్స్ కలయికలు (3) ',' 26th బౌలర్ లో / ఫీల్డర్ కలయికలు (7) ',' 37 వ అత్యధిక వికెట్లు తీసుకున్న ఆకర్షించింది (33) ',' 14 వ అత్యధిక వికెట్లు ఆకర్షించింది తీసుకున్న మరియు బౌల్డ్ (3) ',' 27 వ అత్యధిక వికెట్లు ఒక ఫీల్డర్ (30) ',' 6 వ అత్యధిక కొరకు చేసిన భాగస్వామ్యం పట్టుకుంటే తీసుకున్న పదవ వికెట్ను (29) ']</v>
      </c>
      <c r="I9749" s="3"/>
    </row>
    <row r="9750" customHeight="1" spans="1:9">
      <c r="A9750" s="2"/>
      <c r="B9750" s="2" t="str">
        <f>IFERROR(__xludf.DUMMYFUNCTION("IF(A9750&lt;&gt;"""", GOOGLETRANSLATE(A9750, ""en"", ""te""),"""")"),"")</f>
        <v/>
      </c>
      <c r="C9750" s="2"/>
      <c r="D9750" s="2" t="str">
        <f>IFERROR(__xludf.DUMMYFUNCTION("IF(C9750&lt;&gt;"""", GOOGLETRANSLATE(C9750, ""en"", ""te""),"""")"),"")</f>
        <v/>
      </c>
      <c r="E9750" s="2"/>
      <c r="F9750" s="2" t="str">
        <f>IFERROR(__xludf.DUMMYFUNCTION("IF(E9750&lt;&gt;"""", GOOGLETRANSLATE(E9750, ""en"", ""te""),"""")"),"")</f>
        <v/>
      </c>
      <c r="G9750" s="2"/>
      <c r="H9750" s="2" t="str">
        <f>IFERROR(__xludf.DUMMYFUNCTION("IF(G9750&lt;&gt;"""", GOOGLETRANSLATE(G9750, ""en"", ""te""),"""")"),"")</f>
        <v/>
      </c>
      <c r="I9750" s="3"/>
    </row>
    <row r="9751" customHeight="1" spans="1:9">
      <c r="A9751" s="2"/>
      <c r="B9751" s="2" t="str">
        <f>IFERROR(__xludf.DUMMYFUNCTION("IF(A9751&lt;&gt;"""", GOOGLETRANSLATE(A9751, ""en"", ""te""),"""")"),"")</f>
        <v/>
      </c>
      <c r="C9751" s="2"/>
      <c r="D9751" s="2" t="str">
        <f>IFERROR(__xludf.DUMMYFUNCTION("IF(C9751&lt;&gt;"""", GOOGLETRANSLATE(C9751, ""en"", ""te""),"""")"),"")</f>
        <v/>
      </c>
      <c r="E9751" s="2"/>
      <c r="F9751" s="2" t="str">
        <f>IFERROR(__xludf.DUMMYFUNCTION("IF(E9751&lt;&gt;"""", GOOGLETRANSLATE(E9751, ""en"", ""te""),"""")"),"")</f>
        <v/>
      </c>
      <c r="G9751" s="2"/>
      <c r="H9751" s="2" t="str">
        <f>IFERROR(__xludf.DUMMYFUNCTION("IF(G9751&lt;&gt;"""", GOOGLETRANSLATE(G9751, ""en"", ""te""),"""")"),"")</f>
        <v/>
      </c>
      <c r="I9751" s="3"/>
    </row>
    <row r="9752" customHeight="1" spans="1:9">
      <c r="A9752" s="2"/>
      <c r="B9752" s="2" t="str">
        <f>IFERROR(__xludf.DUMMYFUNCTION("IF(A9752&lt;&gt;"""", GOOGLETRANSLATE(A9752, ""en"", ""te""),"""")"),"")</f>
        <v/>
      </c>
      <c r="C9752" s="2"/>
      <c r="D9752" s="2" t="str">
        <f>IFERROR(__xludf.DUMMYFUNCTION("IF(C9752&lt;&gt;"""", GOOGLETRANSLATE(C9752, ""en"", ""te""),"""")"),"")</f>
        <v/>
      </c>
      <c r="E9752" s="2" t="s">
        <v>2579</v>
      </c>
      <c r="F9752" s="2" t="str">
        <f>IFERROR(__xludf.DUMMYFUNCTION("IF(E9752&lt;&gt;"""", GOOGLETRANSLATE(E9752, ""en"", ""te""),"""")"),"[ '12 వ అత్యుత్తమ ఇన్నింగ్స్ (2/3) విశ్లేషణలలో బౌలింగ్']")</f>
        <v>[ '12 వ అత్యుత్తమ ఇన్నింగ్స్ (2/3) విశ్లేషణలలో బౌలింగ్']</v>
      </c>
      <c r="G9752" s="2"/>
      <c r="H9752" s="2" t="str">
        <f>IFERROR(__xludf.DUMMYFUNCTION("IF(G9752&lt;&gt;"""", GOOGLETRANSLATE(G9752, ""en"", ""te""),"""")"),"")</f>
        <v/>
      </c>
      <c r="I9752" s="3"/>
    </row>
    <row r="9753" customHeight="1" spans="1:9">
      <c r="A9753" s="2"/>
      <c r="B9753" s="2" t="str">
        <f>IFERROR(__xludf.DUMMYFUNCTION("IF(A9753&lt;&gt;"""", GOOGLETRANSLATE(A9753, ""en"", ""te""),"""")"),"")</f>
        <v/>
      </c>
      <c r="C9753" s="2"/>
      <c r="D9753" s="2" t="str">
        <f>IFERROR(__xludf.DUMMYFUNCTION("IF(C9753&lt;&gt;"""", GOOGLETRANSLATE(C9753, ""en"", ""te""),"""")"),"")</f>
        <v/>
      </c>
      <c r="E9753" s="2"/>
      <c r="F9753" s="2" t="str">
        <f>IFERROR(__xludf.DUMMYFUNCTION("IF(E9753&lt;&gt;"""", GOOGLETRANSLATE(E9753, ""en"", ""te""),"""")"),"")</f>
        <v/>
      </c>
      <c r="G9753" s="2"/>
      <c r="H9753" s="2" t="str">
        <f>IFERROR(__xludf.DUMMYFUNCTION("IF(G9753&lt;&gt;"""", GOOGLETRANSLATE(G9753, ""en"", ""te""),"""")"),"")</f>
        <v/>
      </c>
      <c r="I9753" s="3"/>
    </row>
    <row r="9754" customHeight="1" spans="1:9">
      <c r="A9754" s="2" t="s">
        <v>5613</v>
      </c>
      <c r="B9754" s="2" t="str">
        <f>IFERROR(__xludf.DUMMYFUNCTION("IF(A9754&lt;&gt;"""", GOOGLETRANSLATE(A9754, ""en"", ""te""),"""")"),"[ '4 వ చెత్త కెరీర్ బౌలింగ్ సరాసరి (అర్హత లేకుండా) (137.00)']")</f>
        <v>[ '4 వ చెత్త కెరీర్ బౌలింగ్ సరాసరి (అర్హత లేకుండా) (137.00)']</v>
      </c>
      <c r="C9754" s="2"/>
      <c r="D9754" s="2" t="str">
        <f>IFERROR(__xludf.DUMMYFUNCTION("IF(C9754&lt;&gt;"""", GOOGLETRANSLATE(C9754, ""en"", ""te""),"""")"),"")</f>
        <v/>
      </c>
      <c r="E9754" s="2"/>
      <c r="F9754" s="2" t="str">
        <f>IFERROR(__xludf.DUMMYFUNCTION("IF(E9754&lt;&gt;"""", GOOGLETRANSLATE(E9754, ""en"", ""te""),"""")"),"")</f>
        <v/>
      </c>
      <c r="G9754" s="2" t="s">
        <v>5613</v>
      </c>
      <c r="H9754" s="2" t="str">
        <f>IFERROR(__xludf.DUMMYFUNCTION("IF(G9754&lt;&gt;"""", GOOGLETRANSLATE(G9754, ""en"", ""te""),"""")"),"[ '4 వ చెత్త కెరీర్ బౌలింగ్ సరాసరి (అర్హత లేకుండా) (137.00)']")</f>
        <v>[ '4 వ చెత్త కెరీర్ బౌలింగ్ సరాసరి (అర్హత లేకుండా) (137.00)']</v>
      </c>
      <c r="I9754" s="3"/>
    </row>
    <row r="9755" customHeight="1" spans="1:9">
      <c r="A9755" s="2"/>
      <c r="B9755" s="2" t="str">
        <f>IFERROR(__xludf.DUMMYFUNCTION("IF(A9755&lt;&gt;"""", GOOGLETRANSLATE(A9755, ""en"", ""te""),"""")"),"")</f>
        <v/>
      </c>
      <c r="C9755" s="2"/>
      <c r="D9755" s="2" t="str">
        <f>IFERROR(__xludf.DUMMYFUNCTION("IF(C9755&lt;&gt;"""", GOOGLETRANSLATE(C9755, ""en"", ""te""),"""")"),"")</f>
        <v/>
      </c>
      <c r="E9755" s="2" t="s">
        <v>5614</v>
      </c>
      <c r="F9755" s="2" t="str">
        <f>IFERROR(__xludf.DUMMYFUNCTION("IF(E9755&lt;&gt;"""", GOOGLETRANSLATE(E9755, ""en"", ""te""),"""")"),"[ 'తొలి 30 వ ఓల్డెస్ట్ క్రీడాకారులు (38y 182d)']")</f>
        <v>[ 'తొలి 30 వ ఓల్డెస్ట్ క్రీడాకారులు (38y 182d)']</v>
      </c>
      <c r="G9755" s="2"/>
      <c r="H9755" s="2" t="str">
        <f>IFERROR(__xludf.DUMMYFUNCTION("IF(G9755&lt;&gt;"""", GOOGLETRANSLATE(G9755, ""en"", ""te""),"""")"),"")</f>
        <v/>
      </c>
      <c r="I9755" s="3"/>
    </row>
    <row r="9756" customHeight="1" spans="1:9">
      <c r="A9756" s="2" t="s">
        <v>5615</v>
      </c>
      <c r="B9756" s="2" t="str">
        <f>IFERROR(__xludf.DUMMYFUNCTION("IF(A9756&lt;&gt;"""", GOOGLETRANSLATE(A9756, ""en"", ""te""),"""")"),"[ '1st చెత్త కెరీర్లో సమ్మె రేటు (87.0)']")</f>
        <v>[ '1st చెత్త కెరీర్లో సమ్మె రేటు (87.0)']</v>
      </c>
      <c r="C9756" s="2"/>
      <c r="D9756" s="2" t="str">
        <f>IFERROR(__xludf.DUMMYFUNCTION("IF(C9756&lt;&gt;"""", GOOGLETRANSLATE(C9756, ""en"", ""te""),"""")"),"")</f>
        <v/>
      </c>
      <c r="E9756" s="2" t="s">
        <v>5616</v>
      </c>
      <c r="F9756" s="2" t="str">
        <f>IFERROR(__xludf.DUMMYFUNCTION("IF(E9756&lt;&gt;"""", GOOGLETRANSLATE(E9756, ""en"", ""te""),"""")"),"[ '11 వ ఒక ఇన్నింగ్స్ లోని బెస్ట్ ఫిగర్స్ ఉన్నప్పుడు పరాజయం వైపు (4)', '9 వ చెత్త కెరీర్ సగటు (43.66) బౌలింగ్', '1st చెత్త కెరీర్లో సమ్మె రేటు (87.0)']")</f>
        <v>[ '11 వ ఒక ఇన్నింగ్స్ లోని బెస్ట్ ఫిగర్స్ ఉన్నప్పుడు పరాజయం వైపు (4)', '9 వ చెత్త కెరీర్ సగటు (43.66) బౌలింగ్', '1st చెత్త కెరీర్లో సమ్మె రేటు (87.0)']</v>
      </c>
      <c r="G9756" s="2"/>
      <c r="H9756" s="2" t="str">
        <f>IFERROR(__xludf.DUMMYFUNCTION("IF(G9756&lt;&gt;"""", GOOGLETRANSLATE(G9756, ""en"", ""te""),"""")"),"")</f>
        <v/>
      </c>
      <c r="I9756" s="3"/>
    </row>
    <row r="9757" customHeight="1" spans="1:9">
      <c r="A9757" s="2" t="s">
        <v>5617</v>
      </c>
      <c r="B9757" s="2" t="str">
        <f>IFERROR(__xludf.DUMMYFUNCTION("IF(A9757&lt;&gt;"""", GOOGLETRANSLATE(A9757, ""en"", ""te""),"""")"),"[ '7th చాలా ఇన్నింగ్స్ లో సాధించిన బైస్ (13)']")</f>
        <v>[ '7th చాలా ఇన్నింగ్స్ లో సాధించిన బైస్ (13)']</v>
      </c>
      <c r="C9757" s="2"/>
      <c r="D9757" s="2" t="str">
        <f>IFERROR(__xludf.DUMMYFUNCTION("IF(C9757&lt;&gt;"""", GOOGLETRANSLATE(C9757, ""en"", ""te""),"""")"),"")</f>
        <v/>
      </c>
      <c r="E9757" s="2" t="s">
        <v>5617</v>
      </c>
      <c r="F9757" s="2" t="str">
        <f>IFERROR(__xludf.DUMMYFUNCTION("IF(E9757&lt;&gt;"""", GOOGLETRANSLATE(E9757, ""en"", ""te""),"""")"),"[ '7th చాలా ఇన్నింగ్స్ లో సాధించిన బైస్ (13)']")</f>
        <v>[ '7th చాలా ఇన్నింగ్స్ లో సాధించిన బైస్ (13)']</v>
      </c>
      <c r="G9757" s="2"/>
      <c r="H9757" s="2" t="str">
        <f>IFERROR(__xludf.DUMMYFUNCTION("IF(G9757&lt;&gt;"""", GOOGLETRANSLATE(G9757, ""en"", ""te""),"""")"),"")</f>
        <v/>
      </c>
      <c r="I9757" s="3"/>
    </row>
    <row r="9758" customHeight="1" spans="1:9">
      <c r="A9758" s="2" t="s">
        <v>5618</v>
      </c>
      <c r="B9758" s="2" t="str">
        <f>IFERROR(__xludf.DUMMYFUNCTION("IF(A9758&lt;&gt;"""", GOOGLETRANSLATE(A9758, ""en"", ""te""),"""")"),"[ 'వరుస 1 వ అత్యంత స్టంపింగ్లు (7)', '200 పరుగులు మరియు ఒక సిరీస్లో 10 వికెట్కీపింగ్ తొలగింపులకు', 'ఇన్నింగ్స్ (4) 5 వ అత్యధిక వికెట్లు', 'ఇన్నింగ్స్ లో 3 వ అత్యధిక క్యాచ్లు (4)']")</f>
        <v>[ 'వరుస 1 వ అత్యంత స్టంపింగ్లు (7)', '200 పరుగులు మరియు ఒక సిరీస్లో 10 వికెట్కీపింగ్ తొలగింపులకు', 'ఇన్నింగ్స్ (4) 5 వ అత్యధిక వికెట్లు', 'ఇన్నింగ్స్ లో 3 వ అత్యధిక క్యాచ్లు (4)']</v>
      </c>
      <c r="C9758" s="2"/>
      <c r="D9758" s="2" t="str">
        <f>IFERROR(__xludf.DUMMYFUNCTION("IF(C9758&lt;&gt;"""", GOOGLETRANSLATE(C9758, ""en"", ""te""),"""")"),"")</f>
        <v/>
      </c>
      <c r="E9758" s="2" t="s">
        <v>5619</v>
      </c>
      <c r="F9758" s="2" t="str">
        <f>IFERROR(__xludf.DUMMYFUNCTION("IF(E9758&lt;&gt;"""", GOOGLETRANSLATE(E9758, ""en"", ""te""),"""")"),"[ 'అత్యధిక వికెట్లు ఇన్నింగ్స్ లో 29 వ అత్యధిక పరుగులు (137 *)', '41 వ అత్యధిక తొలి వంద (137 *)', '17 వ ఒక సిరీస్లో అత్యధిక వికెట్లు (17)', '1st ఒక సిరీస్లో అత్యధిక స్టంపింగ్లు (7) ']")</f>
        <v>[ 'అత్యధిక వికెట్లు ఇన్నింగ్స్ లో 29 వ అత్యధిక పరుగులు (137 *)', '41 వ అత్యధిక తొలి వంద (137 *)', '17 వ ఒక సిరీస్లో అత్యధిక వికెట్లు (17)', '1st ఒక సిరీస్లో అత్యధిక స్టంపింగ్లు (7) ']</v>
      </c>
      <c r="G9758" s="2" t="s">
        <v>5620</v>
      </c>
      <c r="H9758" s="2" t="str">
        <f>IFERROR(__xludf.DUMMYFUNCTION("IF(G9758&lt;&gt;"""", GOOGLETRANSLATE(G9758, ""en"", ""te""),"""")"),"[ 'ఒక డక్ లేకుండా 45 వ వరుస ఇన్నింగ్స్ (32 *)', '26 వికెట్లు ఇన్నింగ్స్ (75 *) లో అత్యధిక పరుగులు' 'ఒక జట్టు 27 వరుస మ్యాచ్లు (35)', '16 వ అత్యధిక కెరీర్ లో తొలగింపులకు (27) ',' 5 వ ఇన్నింగ్స్ లో అత్యధిక వికెట్లు (4) ',' 9 వ కెరీర్లో అత్యధిక క్యాచ్లు (26)"&amp;" ',' ఇన్నింగ్స్ ఇన్నింగ్స్ లో (4) ',' 32 వ అత్యంత సాధించిన బైస్ 3 వ అత్యధిక క్యాచ్లు (5 ) ']")</f>
        <v>[ 'ఒక డక్ లేకుండా 45 వ వరుస ఇన్నింగ్స్ (32 *)', '26 వికెట్లు ఇన్నింగ్స్ (75 *) లో అత్యధిక పరుగులు' 'ఒక జట్టు 27 వరుస మ్యాచ్లు (35)', '16 వ అత్యధిక కెరీర్ లో తొలగింపులకు (27) ',' 5 వ ఇన్నింగ్స్ లో అత్యధిక వికెట్లు (4) ',' 9 వ కెరీర్లో అత్యధిక క్యాచ్లు (26) ',' ఇన్నింగ్స్ ఇన్నింగ్స్ లో (4) ',' 32 వ అత్యంత సాధించిన బైస్ 3 వ అత్యధిక క్యాచ్లు (5 ) ']</v>
      </c>
      <c r="I9758" s="3"/>
    </row>
    <row r="9759" customHeight="1" spans="1:9">
      <c r="A9759" s="2"/>
      <c r="B9759" s="2" t="str">
        <f>IFERROR(__xludf.DUMMYFUNCTION("IF(A9759&lt;&gt;"""", GOOGLETRANSLATE(A9759, ""en"", ""te""),"""")"),"")</f>
        <v/>
      </c>
      <c r="C9759" s="2"/>
      <c r="D9759" s="2" t="str">
        <f>IFERROR(__xludf.DUMMYFUNCTION("IF(C9759&lt;&gt;"""", GOOGLETRANSLATE(C9759, ""en"", ""te""),"""")"),"")</f>
        <v/>
      </c>
      <c r="E9759" s="2"/>
      <c r="F9759" s="2" t="str">
        <f>IFERROR(__xludf.DUMMYFUNCTION("IF(E9759&lt;&gt;"""", GOOGLETRANSLATE(E9759, ""en"", ""te""),"""")"),"")</f>
        <v/>
      </c>
      <c r="G9759" s="2"/>
      <c r="H9759" s="2" t="str">
        <f>IFERROR(__xludf.DUMMYFUNCTION("IF(G9759&lt;&gt;"""", GOOGLETRANSLATE(G9759, ""en"", ""te""),"""")"),"")</f>
        <v/>
      </c>
      <c r="I9759" s="3"/>
    </row>
    <row r="9760" customHeight="1" spans="1:9">
      <c r="A9760" s="2" t="s">
        <v>5621</v>
      </c>
      <c r="B9760" s="2" t="str">
        <f>IFERROR(__xludf.DUMMYFUNCTION("IF(A9760&lt;&gt;"""", GOOGLETRANSLATE(A9760, ""en"", ""te""),"""")"),"[ '6 వ ఉత్తమ కెరీర్ బౌలింగ్ సరాసరి (అర్హత లేకుండా) (5.50)']")</f>
        <v>[ '6 వ ఉత్తమ కెరీర్ బౌలింగ్ సరాసరి (అర్హత లేకుండా) (5.50)']</v>
      </c>
      <c r="C9760" s="2" t="s">
        <v>5622</v>
      </c>
      <c r="D9760" s="2" t="str">
        <f>IFERROR(__xludf.DUMMYFUNCTION("IF(C9760&lt;&gt;"""", GOOGLETRANSLATE(C9760, ""en"", ""te""),"""")"),"[ '6 వ ఉత్తమ కెరీర్ (5.50) (అర్హత లేకుండా) సగటు బౌలింగ్', '16 వ పిన్న క్రీడాకారులు (17y 113d)']")</f>
        <v>[ '6 వ ఉత్తమ కెరీర్ (5.50) (అర్హత లేకుండా) సగటు బౌలింగ్', '16 వ పిన్న క్రీడాకారులు (17y 113d)']</v>
      </c>
      <c r="E9760" s="2" t="s">
        <v>5623</v>
      </c>
      <c r="F9760" s="2" t="str">
        <f>IFERROR(__xludf.DUMMYFUNCTION("IF(E9760&lt;&gt;"""", GOOGLETRANSLATE(E9760, ""en"", ""te""),"""")"),"[ '36 వ పిన్న క్రీడాకారులు (16y 138d)']")</f>
        <v>[ '36 వ పిన్న క్రీడాకారులు (16y 138d)']</v>
      </c>
      <c r="G9760" s="2"/>
      <c r="H9760" s="2" t="str">
        <f>IFERROR(__xludf.DUMMYFUNCTION("IF(G9760&lt;&gt;"""", GOOGLETRANSLATE(G9760, ""en"", ""te""),"""")"),"")</f>
        <v/>
      </c>
      <c r="I9760" s="3"/>
    </row>
    <row r="9761" customHeight="1" spans="1:9">
      <c r="A9761" s="2" t="s">
        <v>5624</v>
      </c>
      <c r="B9761" s="2" t="str">
        <f>IFERROR(__xludf.DUMMYFUNCTION("IF(A9761&lt;&gt;"""", GOOGLETRANSLATE(A9761, ""en"", ""te""),"""")"),"[ '7th వరుస అన్ని టాస్ గెలిచిన (4)', '1st చెత్త కెరీర్లో సమ్మె రేటు (29.2)', '1 వ ఇన్నింగ్స్ లో అత్యధిక క్యాచ్లు (4)']")</f>
        <v>[ '7th వరుస అన్ని టాస్ గెలిచిన (4)', '1st చెత్త కెరీర్లో సమ్మె రేటు (29.2)', '1 వ ఇన్నింగ్స్ లో అత్యధిక క్యాచ్లు (4)']</v>
      </c>
      <c r="C9761" s="2"/>
      <c r="D9761" s="2" t="str">
        <f>IFERROR(__xludf.DUMMYFUNCTION("IF(C9761&lt;&gt;"""", GOOGLETRANSLATE(C9761, ""en"", ""te""),"""")"),"")</f>
        <v/>
      </c>
      <c r="E9761" s="2" t="s">
        <v>5625</v>
      </c>
      <c r="F9761" s="2" t="str">
        <f>IFERROR(__xludf.DUMMYFUNCTION("IF(E9761&lt;&gt;"""", GOOGLETRANSLATE(E9761, ""en"", ""te""),"""")"),"[ 'ఒక కెప్టెన్తో ఒక ఇన్నింగ్స్ లో 26 వ బెస్ట్ ఫిగర్స్ (4)', '24 వ అత్యధిక క్యాచ్లు వరుస (8) లో' '33 వ అత్యంత ఇన్నింగ్స్ (94) లో ఇవ్వబడిన పరుగులలో']")</f>
        <v>[ 'ఒక కెప్టెన్తో ఒక ఇన్నింగ్స్ లో 26 వ బెస్ట్ ఫిగర్స్ (4)', '24 వ అత్యధిక క్యాచ్లు వరుస (8) లో' '33 వ అత్యంత ఇన్నింగ్స్ (94) లో ఇవ్వబడిన పరుగులలో']</v>
      </c>
      <c r="G9761" s="2" t="s">
        <v>5626</v>
      </c>
      <c r="H9761" s="2" t="str">
        <f>IFERROR(__xludf.DUMMYFUNCTION("IF(G9761&lt;&gt;"""", GOOGLETRANSLATE(G9761, ""en"", ""te""),"""")"),"[ '29 మొదటి డక్ ముందు అత్యంత ఇన్నింగ్స్ (20)', '30 వ ఉత్తమ కెరీర్ ఆర్థిక రేటు (6.87)', '7 వ చెత్త కెరీర్ సగటు (33.50) బౌలింగ్', '1st చెత్త కెరీర్లో సమ్మె రేటు (29.2)', '34 వ అత్యధిక క్యాచ్లు కెరీర్లో (28) ',' 1 వ ఇన్నింగ్స్ (4) ',' ఐదవ వికెట్కు 39 వ అత్యధ"&amp;"ిక భాగస్వామ్యం (70) ',' తొమ్మిదవ వికెట్కు 33 వ అత్యధిక భాగస్వామ్యం (29) ',' 11 వ అత్యధిక మ్యాచ్లు వంటి అత్యధిక క్యాచ్లు కెప్టెన్ (37) ',' 8 వ వరుస మ్యాచ్లు ఒక జట్టు కెప్టెన్గా (27) ',' 7 వ వరుస అన్ని టాస్ గెలిచిన (4) ']")</f>
        <v>[ '29 మొదటి డక్ ముందు అత్యంత ఇన్నింగ్స్ (20)', '30 వ ఉత్తమ కెరీర్ ఆర్థిక రేటు (6.87)', '7 వ చెత్త కెరీర్ సగటు (33.50) బౌలింగ్', '1st చెత్త కెరీర్లో సమ్మె రేటు (29.2)', '34 వ అత్యధిక క్యాచ్లు కెరీర్లో (28) ',' 1 వ ఇన్నింగ్స్ (4) ',' ఐదవ వికెట్కు 39 వ అత్యధిక భాగస్వామ్యం (70) ',' తొమ్మిదవ వికెట్కు 33 వ అత్యధిక భాగస్వామ్యం (29) ',' 11 వ అత్యధిక మ్యాచ్లు వంటి అత్యధిక క్యాచ్లు కెప్టెన్ (37) ',' 8 వ వరుస మ్యాచ్లు ఒక జట్టు కెప్టెన్గా (27) ',' 7 వ వరుస అన్ని టాస్ గెలిచిన (4) ']</v>
      </c>
      <c r="I9761" s="3"/>
    </row>
    <row r="9762" customHeight="1" spans="1:9">
      <c r="A9762" s="2"/>
      <c r="B9762" s="2" t="str">
        <f>IFERROR(__xludf.DUMMYFUNCTION("IF(A9762&lt;&gt;"""", GOOGLETRANSLATE(A9762, ""en"", ""te""),"""")"),"")</f>
        <v/>
      </c>
      <c r="C9762" s="2"/>
      <c r="D9762" s="2" t="str">
        <f>IFERROR(__xludf.DUMMYFUNCTION("IF(C9762&lt;&gt;"""", GOOGLETRANSLATE(C9762, ""en"", ""te""),"""")"),"")</f>
        <v/>
      </c>
      <c r="E9762" s="2"/>
      <c r="F9762" s="2" t="str">
        <f>IFERROR(__xludf.DUMMYFUNCTION("IF(E9762&lt;&gt;"""", GOOGLETRANSLATE(E9762, ""en"", ""te""),"""")"),"")</f>
        <v/>
      </c>
      <c r="G9762" s="2"/>
      <c r="H9762" s="2" t="str">
        <f>IFERROR(__xludf.DUMMYFUNCTION("IF(G9762&lt;&gt;"""", GOOGLETRANSLATE(G9762, ""en"", ""te""),"""")"),"")</f>
        <v/>
      </c>
      <c r="I9762" s="3"/>
    </row>
    <row r="9763" customHeight="1" spans="1:9">
      <c r="A9763" s="2" t="s">
        <v>5627</v>
      </c>
      <c r="B9763" s="2" t="str">
        <f>IFERROR(__xludf.DUMMYFUNCTION("IF(A9763&lt;&gt;"""", GOOGLETRANSLATE(A9763, ""en"", ""te""),"""")"),"[ '1st ఓల్డెస్ట్ క్రీడాకారులు (47y 257d)']")</f>
        <v>[ '1st ఓల్డెస్ట్ క్రీడాకారులు (47y 257d)']</v>
      </c>
      <c r="C9763" s="2"/>
      <c r="D9763" s="2" t="str">
        <f>IFERROR(__xludf.DUMMYFUNCTION("IF(C9763&lt;&gt;"""", GOOGLETRANSLATE(C9763, ""en"", ""te""),"""")"),"")</f>
        <v/>
      </c>
      <c r="E9763" s="2" t="s">
        <v>5628</v>
      </c>
      <c r="F9763" s="2" t="str">
        <f>IFERROR(__xludf.DUMMYFUNCTION("IF(E9763&lt;&gt;"""", GOOGLETRANSLATE(E9763, ""en"", ""te""),"""")"),"[ 'తొలి 1st ఓల్డెస్ట్ క్రీడాకారులు (47y 240d)', '1 వ ఓల్డెస్ట్ క్రీడాకారులు (47y 257d)']")</f>
        <v>[ 'తొలి 1st ఓల్డెస్ట్ క్రీడాకారులు (47y 240d)', '1 వ ఓల్డెస్ట్ క్రీడాకారులు (47y 257d)']</v>
      </c>
      <c r="G9763" s="2"/>
      <c r="H9763" s="2" t="str">
        <f>IFERROR(__xludf.DUMMYFUNCTION("IF(G9763&lt;&gt;"""", GOOGLETRANSLATE(G9763, ""en"", ""te""),"""")"),"")</f>
        <v/>
      </c>
      <c r="I9763" s="3"/>
    </row>
    <row r="9764" customHeight="1" spans="1:9">
      <c r="A9764" s="2"/>
      <c r="B9764" s="2" t="str">
        <f>IFERROR(__xludf.DUMMYFUNCTION("IF(A9764&lt;&gt;"""", GOOGLETRANSLATE(A9764, ""en"", ""te""),"""")"),"")</f>
        <v/>
      </c>
      <c r="C9764" s="2"/>
      <c r="D9764" s="2" t="str">
        <f>IFERROR(__xludf.DUMMYFUNCTION("IF(C9764&lt;&gt;"""", GOOGLETRANSLATE(C9764, ""en"", ""te""),"""")"),"")</f>
        <v/>
      </c>
      <c r="E9764" s="2"/>
      <c r="F9764" s="2" t="str">
        <f>IFERROR(__xludf.DUMMYFUNCTION("IF(E9764&lt;&gt;"""", GOOGLETRANSLATE(E9764, ""en"", ""te""),"""")"),"")</f>
        <v/>
      </c>
      <c r="G9764" s="2"/>
      <c r="H9764" s="2" t="str">
        <f>IFERROR(__xludf.DUMMYFUNCTION("IF(G9764&lt;&gt;"""", GOOGLETRANSLATE(G9764, ""en"", ""te""),"""")"),"")</f>
        <v/>
      </c>
      <c r="I9764" s="3"/>
    </row>
    <row r="9765" customHeight="1" spans="1:9">
      <c r="A9765" s="2" t="s">
        <v>5629</v>
      </c>
      <c r="B9765" s="2" t="str">
        <f>IFERROR(__xludf.DUMMYFUNCTION("IF(A9765&lt;&gt;"""", GOOGLETRANSLATE(A9765, ""en"", ""te""),"""")"),"[ '6 వ అత్యంత ఒక క్యాలెండర్ ఏడాది (637) లో నడుస్తుంది']")</f>
        <v>[ '6 వ అత్యంత ఒక క్యాలెండర్ ఏడాది (637) లో నడుస్తుంది']</v>
      </c>
      <c r="C9765" s="2"/>
      <c r="D9765" s="2" t="str">
        <f>IFERROR(__xludf.DUMMYFUNCTION("IF(C9765&lt;&gt;"""", GOOGLETRANSLATE(C9765, ""en"", ""te""),"""")"),"")</f>
        <v/>
      </c>
      <c r="E9765" s="2" t="s">
        <v>5630</v>
      </c>
      <c r="F9765" s="2" t="str">
        <f>IFERROR(__xludf.DUMMYFUNCTION("IF(E9765&lt;&gt;"""", GOOGLETRANSLATE(E9765, ""en"", ""te""),"""")"),"[ '42 వ తొలి మ్యాచ్లో అత్యధిక పరుగులు (74)']")</f>
        <v>[ '42 వ తొలి మ్యాచ్లో అత్యధిక పరుగులు (74)']</v>
      </c>
      <c r="G9765" s="2" t="s">
        <v>5631</v>
      </c>
      <c r="H9765" s="2" t="str">
        <f>IFERROR(__xludf.DUMMYFUNCTION("IF(G9765&lt;&gt;"""", GOOGLETRANSLATE(G9765, ""en"", ""te""),"""")"),"[ '6 వ అత్యంత ఒక క్యాలెండర్ సంవత్సరంలో పరుగులు (637)', '17 వ ఇన్నింగ్స్ లో అత్యధిక పరుగులు (బ్యాటింగ్ స్థానంలో ప్రకారం) (91 *)', '29 వ అత్యధిక అర్ధ కెరీర్లో (9)', '13 వ కెరీర్ బాతులు ( 6) ',' కెరీర్ లో 45 వ అత్యంత ఫోర్లు (116) ',' 42 వ అత్యంత ఇన్నింగ్స్ ల"&amp;"ో సిక్సర్లు (7) ',' 17 వ కెరీర్ లో అత్యధిక క్యాచ్లు (35) ',' 15 వ అత్యంత ఇన్నింగ్స్ లో క్యాచ్లు (3) ']")</f>
        <v>[ '6 వ అత్యంత ఒక క్యాలెండర్ సంవత్సరంలో పరుగులు (637)', '17 వ ఇన్నింగ్స్ లో అత్యధిక పరుగులు (బ్యాటింగ్ స్థానంలో ప్రకారం) (91 *)', '29 వ అత్యధిక అర్ధ కెరీర్లో (9)', '13 వ కెరీర్ బాతులు ( 6) ',' కెరీర్ లో 45 వ అత్యంత ఫోర్లు (116) ',' 42 వ అత్యంత ఇన్నింగ్స్ లో సిక్సర్లు (7) ',' 17 వ కెరీర్ లో అత్యధిక క్యాచ్లు (35) ',' 15 వ అత్యంత ఇన్నింగ్స్ లో క్యాచ్లు (3) ']</v>
      </c>
      <c r="I9765" s="3"/>
    </row>
    <row r="9766" customHeight="1" spans="1:9">
      <c r="A9766" s="2"/>
      <c r="B9766" s="2" t="str">
        <f>IFERROR(__xludf.DUMMYFUNCTION("IF(A9766&lt;&gt;"""", GOOGLETRANSLATE(A9766, ""en"", ""te""),"""")"),"")</f>
        <v/>
      </c>
      <c r="C9766" s="2"/>
      <c r="D9766" s="2" t="str">
        <f>IFERROR(__xludf.DUMMYFUNCTION("IF(C9766&lt;&gt;"""", GOOGLETRANSLATE(C9766, ""en"", ""te""),"""")"),"")</f>
        <v/>
      </c>
      <c r="E9766" s="2" t="s">
        <v>5632</v>
      </c>
      <c r="F9766" s="2" t="str">
        <f>IFERROR(__xludf.DUMMYFUNCTION("IF(E9766&lt;&gt;"""", GOOGLETRANSLATE(E9766, ""en"", ""te""),"""")"),"[ '15 వ అత్యధిక కెరీర్ బ్యాటింగ్ సగటు (48.80)', '34 వ తొలి మ్యాచ్లో అత్యధిక పరుగులు (80 *)', 'కెరీర్ (22) లో 20 వ నో బాతులు']")</f>
        <v>[ '15 వ అత్యధిక కెరీర్ బ్యాటింగ్ సగటు (48.80)', '34 వ తొలి మ్యాచ్లో అత్యధిక పరుగులు (80 *)', 'కెరీర్ (22) లో 20 వ నో బాతులు']</v>
      </c>
      <c r="G9766" s="2" t="s">
        <v>5633</v>
      </c>
      <c r="H9766" s="2" t="str">
        <f>IFERROR(__xludf.DUMMYFUNCTION("IF(G9766&lt;&gt;"""", GOOGLETRANSLATE(G9766, ""en"", ""te""),"""")"),"[ '21 వ ఇన్నింగ్స్ లో అత్యధిక పరుగులు (బ్యాటింగ్ స్థానంలో ప్రకారం) (72 *)', 'ఇన్నింగ్స్ లో 21 వ అత్యధిక స్ట్రైక్ రేట్ (300.00)']")</f>
        <v>[ '21 వ ఇన్నింగ్స్ లో అత్యధిక పరుగులు (బ్యాటింగ్ స్థానంలో ప్రకారం) (72 *)', 'ఇన్నింగ్స్ లో 21 వ అత్యధిక స్ట్రైక్ రేట్ (300.00)']</v>
      </c>
      <c r="I9766" s="3"/>
    </row>
    <row r="9767" customHeight="1" spans="1:9">
      <c r="A9767" s="2"/>
      <c r="B9767" s="2" t="str">
        <f>IFERROR(__xludf.DUMMYFUNCTION("IF(A9767&lt;&gt;"""", GOOGLETRANSLATE(A9767, ""en"", ""te""),"""")"),"")</f>
        <v/>
      </c>
      <c r="C9767" s="2"/>
      <c r="D9767" s="2" t="str">
        <f>IFERROR(__xludf.DUMMYFUNCTION("IF(C9767&lt;&gt;"""", GOOGLETRANSLATE(C9767, ""en"", ""te""),"""")"),"")</f>
        <v/>
      </c>
      <c r="E9767" s="2"/>
      <c r="F9767" s="2" t="str">
        <f>IFERROR(__xludf.DUMMYFUNCTION("IF(E9767&lt;&gt;"""", GOOGLETRANSLATE(E9767, ""en"", ""te""),"""")"),"")</f>
        <v/>
      </c>
      <c r="G9767" s="2"/>
      <c r="H9767" s="2" t="str">
        <f>IFERROR(__xludf.DUMMYFUNCTION("IF(G9767&lt;&gt;"""", GOOGLETRANSLATE(G9767, ""en"", ""te""),"""")"),"")</f>
        <v/>
      </c>
      <c r="I9767" s="3"/>
    </row>
    <row r="9768" customHeight="1" spans="1:9">
      <c r="A9768" s="2"/>
      <c r="B9768" s="2" t="str">
        <f>IFERROR(__xludf.DUMMYFUNCTION("IF(A9768&lt;&gt;"""", GOOGLETRANSLATE(A9768, ""en"", ""te""),"""")"),"")</f>
        <v/>
      </c>
      <c r="C9768" s="2"/>
      <c r="D9768" s="2" t="str">
        <f>IFERROR(__xludf.DUMMYFUNCTION("IF(C9768&lt;&gt;"""", GOOGLETRANSLATE(C9768, ""en"", ""te""),"""")"),"")</f>
        <v/>
      </c>
      <c r="E9768" s="2" t="s">
        <v>152</v>
      </c>
      <c r="F9768" s="2" t="str">
        <f>IFERROR(__xludf.DUMMYFUNCTION("IF(E9768&lt;&gt;"""", GOOGLETRANSLATE(E9768, ""en"", ""te""),"""")"),"[ '11 వ ఒక ఇన్నింగ్స్ లోని బెస్ట్ ఫిగర్స్ ఉన్నప్పుడు పరాజయం వైపు (4)']")</f>
        <v>[ '11 వ ఒక ఇన్నింగ్స్ లోని బెస్ట్ ఫిగర్స్ ఉన్నప్పుడు పరాజయం వైపు (4)']</v>
      </c>
      <c r="G9768" s="2"/>
      <c r="H9768" s="2" t="str">
        <f>IFERROR(__xludf.DUMMYFUNCTION("IF(G9768&lt;&gt;"""", GOOGLETRANSLATE(G9768, ""en"", ""te""),"""")"),"")</f>
        <v/>
      </c>
      <c r="I9768" s="3"/>
    </row>
    <row r="9769" customHeight="1" spans="1:9">
      <c r="A9769" s="2"/>
      <c r="B9769" s="2" t="str">
        <f>IFERROR(__xludf.DUMMYFUNCTION("IF(A9769&lt;&gt;"""", GOOGLETRANSLATE(A9769, ""en"", ""te""),"""")"),"")</f>
        <v/>
      </c>
      <c r="C9769" s="2"/>
      <c r="D9769" s="2" t="str">
        <f>IFERROR(__xludf.DUMMYFUNCTION("IF(C9769&lt;&gt;"""", GOOGLETRANSLATE(C9769, ""en"", ""te""),"""")"),"")</f>
        <v/>
      </c>
      <c r="E9769" s="2" t="s">
        <v>5634</v>
      </c>
      <c r="F9769" s="2" t="str">
        <f>IFERROR(__xludf.DUMMYFUNCTION("IF(E9769&lt;&gt;"""", GOOGLETRANSLATE(E9769, ""en"", ""te""),"""")"),"[ 'ప్రదర్శనల మధ్య 45 వ లాంగెస్ట్ వ్యవధిలో (6y 195d)']")</f>
        <v>[ 'ప్రదర్శనల మధ్య 45 వ లాంగెస్ట్ వ్యవధిలో (6y 195d)']</v>
      </c>
      <c r="G9769" s="2"/>
      <c r="H9769" s="2" t="str">
        <f>IFERROR(__xludf.DUMMYFUNCTION("IF(G9769&lt;&gt;"""", GOOGLETRANSLATE(G9769, ""en"", ""te""),"""")"),"")</f>
        <v/>
      </c>
      <c r="I9769" s="3"/>
    </row>
    <row r="9770" customHeight="1" spans="1:9">
      <c r="A9770" s="2"/>
      <c r="B9770" s="2" t="str">
        <f>IFERROR(__xludf.DUMMYFUNCTION("IF(A9770&lt;&gt;"""", GOOGLETRANSLATE(A9770, ""en"", ""te""),"""")"),"")</f>
        <v/>
      </c>
      <c r="C9770" s="2"/>
      <c r="D9770" s="2" t="str">
        <f>IFERROR(__xludf.DUMMYFUNCTION("IF(C9770&lt;&gt;"""", GOOGLETRANSLATE(C9770, ""en"", ""te""),"""")"),"")</f>
        <v/>
      </c>
      <c r="E9770" s="2"/>
      <c r="F9770" s="2" t="str">
        <f>IFERROR(__xludf.DUMMYFUNCTION("IF(E9770&lt;&gt;"""", GOOGLETRANSLATE(E9770, ""en"", ""te""),"""")"),"")</f>
        <v/>
      </c>
      <c r="G9770" s="2"/>
      <c r="H9770" s="2" t="str">
        <f>IFERROR(__xludf.DUMMYFUNCTION("IF(G9770&lt;&gt;"""", GOOGLETRANSLATE(G9770, ""en"", ""te""),"""")"),"")</f>
        <v/>
      </c>
      <c r="I9770" s="3"/>
    </row>
    <row r="9771" customHeight="1" spans="1:9">
      <c r="A9771" s="2" t="s">
        <v>5635</v>
      </c>
      <c r="B9771" s="2" t="str">
        <f>IFERROR(__xludf.DUMMYFUNCTION("IF(A9771&lt;&gt;"""", GOOGLETRANSLATE(A9771, ""en"", ""te""),"""")"),"[ '2 వ ఉత్తమ కెరీర్ బౌలింగ్ సరాసరి (అర్హత లేకుండా) (2.00)']")</f>
        <v>[ '2 వ ఉత్తమ కెరీర్ బౌలింగ్ సరాసరి (అర్హత లేకుండా) (2.00)']</v>
      </c>
      <c r="C9771" s="2"/>
      <c r="D9771" s="2" t="str">
        <f>IFERROR(__xludf.DUMMYFUNCTION("IF(C9771&lt;&gt;"""", GOOGLETRANSLATE(C9771, ""en"", ""te""),"""")"),"")</f>
        <v/>
      </c>
      <c r="E9771" s="2" t="s">
        <v>5635</v>
      </c>
      <c r="F9771" s="2" t="str">
        <f>IFERROR(__xludf.DUMMYFUNCTION("IF(E9771&lt;&gt;"""", GOOGLETRANSLATE(E9771, ""en"", ""te""),"""")"),"[ '2 వ ఉత్తమ కెరీర్ బౌలింగ్ సరాసరి (అర్హత లేకుండా) (2.00)']")</f>
        <v>[ '2 వ ఉత్తమ కెరీర్ బౌలింగ్ సరాసరి (అర్హత లేకుండా) (2.00)']</v>
      </c>
      <c r="G9771" s="2"/>
      <c r="H9771" s="2" t="str">
        <f>IFERROR(__xludf.DUMMYFUNCTION("IF(G9771&lt;&gt;"""", GOOGLETRANSLATE(G9771, ""en"", ""te""),"""")"),"")</f>
        <v/>
      </c>
      <c r="I9771" s="3"/>
    </row>
    <row r="9772" customHeight="1" spans="1:9">
      <c r="A9772" s="2" t="s">
        <v>5636</v>
      </c>
      <c r="B9772" s="2" t="str">
        <f>IFERROR(__xludf.DUMMYFUNCTION("IF(A9772&lt;&gt;"""", GOOGLETRANSLATE(A9772, ""en"", ""te""),"""")"),"[ 'తొలి 5 వ ఓల్డెస్ట్ క్రీడాకారులు (41y 77d)']")</f>
        <v>[ 'తొలి 5 వ ఓల్డెస్ట్ క్రీడాకారులు (41y 77d)']</v>
      </c>
      <c r="C9772" s="2" t="s">
        <v>5637</v>
      </c>
      <c r="D9772" s="2" t="str">
        <f>IFERROR(__xludf.DUMMYFUNCTION("IF(C9772&lt;&gt;"""", GOOGLETRANSLATE(C9772, ""en"", ""te""),"""")"),"[ 'తొలి 5 వ ఓల్డెస్ట్ క్రీడాకారులు (41y 77d)', '9 వ ఓల్డెస్ట్ క్రీడాకారులు (41y 80D)']")</f>
        <v>[ 'తొలి 5 వ ఓల్డెస్ట్ క్రీడాకారులు (41y 77d)', '9 వ ఓల్డెస్ట్ క్రీడాకారులు (41y 80D)']</v>
      </c>
      <c r="E9772" s="2" t="s">
        <v>5638</v>
      </c>
      <c r="F9772" s="2" t="str">
        <f>IFERROR(__xludf.DUMMYFUNCTION("IF(E9772&lt;&gt;"""", GOOGLETRANSLATE(E9772, ""en"", ""te""),"""")"),"[ '(32) 13 వ కెరీర్ లో అతి తక్కువ బాతులు', '10 వ ఓల్డెస్ట్ క్రీడాకారులు (42y 58d)', '14 వ లాంగెస్ట్ కెరీర్లు (16y 359d)', '22 వ లాంగెస్ట్ వ్యవధిలో ప్రదర్శనల మధ్య,' మొదటి డక్ (25) ముందు 13 వ అత్యంత ఇన్నింగ్స్ (6y 231d) ']")</f>
        <v>[ '(32) 13 వ కెరీర్ లో అతి తక్కువ బాతులు', '10 వ ఓల్డెస్ట్ క్రీడాకారులు (42y 58d)', '14 వ లాంగెస్ట్ కెరీర్లు (16y 359d)', '22 వ లాంగెస్ట్ వ్యవధిలో ప్రదర్శనల మధ్య,' మొదటి డక్ (25) ముందు 13 వ అత్యంత ఇన్నింగ్స్ (6y 231d) ']</v>
      </c>
      <c r="G9772" s="2" t="s">
        <v>5639</v>
      </c>
      <c r="H9772" s="2" t="str">
        <f>IFERROR(__xludf.DUMMYFUNCTION("IF(G9772&lt;&gt;"""", GOOGLETRANSLATE(G9772, ""en"", ""te""),"""")"),"[ 'తొలి 15 నాడు ఓల్డెస్ట్ క్రీడాకారులు (42y 50D)', '3 వ ఓల్డెస్ట్ క్రీడాకారులు (52y 61d)']")</f>
        <v>[ 'తొలి 15 నాడు ఓల్డెస్ట్ క్రీడాకారులు (42y 50D)', '3 వ ఓల్డెస్ట్ క్రీడాకారులు (52y 61d)']</v>
      </c>
      <c r="I9772" s="3"/>
    </row>
    <row r="9773" customHeight="1" spans="1:9">
      <c r="A9773" s="2"/>
      <c r="B9773" s="2" t="str">
        <f>IFERROR(__xludf.DUMMYFUNCTION("IF(A9773&lt;&gt;"""", GOOGLETRANSLATE(A9773, ""en"", ""te""),"""")"),"")</f>
        <v/>
      </c>
      <c r="C9773" s="2"/>
      <c r="D9773" s="2" t="str">
        <f>IFERROR(__xludf.DUMMYFUNCTION("IF(C9773&lt;&gt;"""", GOOGLETRANSLATE(C9773, ""en"", ""te""),"""")"),"")</f>
        <v/>
      </c>
      <c r="E9773" s="2"/>
      <c r="F9773" s="2" t="str">
        <f>IFERROR(__xludf.DUMMYFUNCTION("IF(E9773&lt;&gt;"""", GOOGLETRANSLATE(E9773, ""en"", ""te""),"""")"),"")</f>
        <v/>
      </c>
      <c r="G9773" s="2"/>
      <c r="H9773" s="2" t="str">
        <f>IFERROR(__xludf.DUMMYFUNCTION("IF(G9773&lt;&gt;"""", GOOGLETRANSLATE(G9773, ""en"", ""te""),"""")"),"")</f>
        <v/>
      </c>
      <c r="I9773" s="3"/>
    </row>
    <row r="9774" customHeight="1" spans="1:9">
      <c r="A9774" s="2" t="s">
        <v>5640</v>
      </c>
      <c r="B9774" s="2" t="str">
        <f>IFERROR(__xludf.DUMMYFUNCTION("IF(A9774&lt;&gt;"""", GOOGLETRANSLATE(A9774, ""en"", ""te""),"""")"),"[ '(4) ఒక ఇన్నింగ్స్ లో 6 వ అత్యధిక వికెట్లు' 'ఇన్నింగ్స్ లో 5 వ అత్యధిక క్యాచ్లు (3)', '9 వ అత్యంత ఇన్నింగ్స్ లో సాధించిన బైస్ (7)']")</f>
        <v>[ '(4) ఒక ఇన్నింగ్స్ లో 6 వ అత్యధిక వికెట్లు' 'ఇన్నింగ్స్ లో 5 వ అత్యధిక క్యాచ్లు (3)', '9 వ అత్యంత ఇన్నింగ్స్ లో సాధించిన బైస్ (7)']</v>
      </c>
      <c r="C9774" s="2"/>
      <c r="D9774" s="2" t="str">
        <f>IFERROR(__xludf.DUMMYFUNCTION("IF(C9774&lt;&gt;"""", GOOGLETRANSLATE(C9774, ""en"", ""te""),"""")"),"")</f>
        <v/>
      </c>
      <c r="E9774" s="2"/>
      <c r="F9774" s="2" t="str">
        <f>IFERROR(__xludf.DUMMYFUNCTION("IF(E9774&lt;&gt;"""", GOOGLETRANSLATE(E9774, ""en"", ""te""),"""")"),"")</f>
        <v/>
      </c>
      <c r="G9774" s="2" t="s">
        <v>5641</v>
      </c>
      <c r="H9774" s="2" t="str">
        <f>IFERROR(__xludf.DUMMYFUNCTION("IF(G9774&lt;&gt;"""", GOOGLETRANSLATE(G9774, ""en"", ""te""),"""")"),"[ '42 వ అత్యధిక ఒక ఇన్నింగ్స్లో పరుగుల శాతం (55.55)', '22 వ కెరీర్ లో అత్యధిక వికెట్లు (20)', '6 వ ఇన్నింగ్స్ లో అత్యధిక వికెట్లు (4)', '5 వ ఇన్నింగ్స్ లో అత్యధిక క్యాచ్లు (3)' '22 వ కెరీర్ స్టంపింగ్లు (11)', '9 వ అత్యంత ఇన్నింగ్స్ లో సాధించిన బైస్ (7)']")</f>
        <v>[ '42 వ అత్యధిక ఒక ఇన్నింగ్స్లో పరుగుల శాతం (55.55)', '22 వ కెరీర్ లో అత్యధిక వికెట్లు (20)', '6 వ ఇన్నింగ్స్ లో అత్యధిక వికెట్లు (4)', '5 వ ఇన్నింగ్స్ లో అత్యధిక క్యాచ్లు (3)' '22 వ కెరీర్ స్టంపింగ్లు (11)', '9 వ అత్యంత ఇన్నింగ్స్ లో సాధించిన బైస్ (7)']</v>
      </c>
      <c r="I9774" s="3"/>
    </row>
    <row r="9775" customHeight="1" spans="1:9">
      <c r="A9775" s="2"/>
      <c r="B9775" s="2" t="str">
        <f>IFERROR(__xludf.DUMMYFUNCTION("IF(A9775&lt;&gt;"""", GOOGLETRANSLATE(A9775, ""en"", ""te""),"""")"),"")</f>
        <v/>
      </c>
      <c r="C9775" s="2"/>
      <c r="D9775" s="2" t="str">
        <f>IFERROR(__xludf.DUMMYFUNCTION("IF(C9775&lt;&gt;"""", GOOGLETRANSLATE(C9775, ""en"", ""te""),"""")"),"")</f>
        <v/>
      </c>
      <c r="E9775" s="2"/>
      <c r="F9775" s="2" t="str">
        <f>IFERROR(__xludf.DUMMYFUNCTION("IF(E9775&lt;&gt;"""", GOOGLETRANSLATE(E9775, ""en"", ""te""),"""")"),"")</f>
        <v/>
      </c>
      <c r="G9775" s="2"/>
      <c r="H9775" s="2" t="str">
        <f>IFERROR(__xludf.DUMMYFUNCTION("IF(G9775&lt;&gt;"""", GOOGLETRANSLATE(G9775, ""en"", ""te""),"""")"),"")</f>
        <v/>
      </c>
      <c r="I9775" s="3"/>
    </row>
    <row r="9776" customHeight="1" spans="1:9">
      <c r="A9776" s="2"/>
      <c r="B9776" s="2" t="str">
        <f>IFERROR(__xludf.DUMMYFUNCTION("IF(A9776&lt;&gt;"""", GOOGLETRANSLATE(A9776, ""en"", ""te""),"""")"),"")</f>
        <v/>
      </c>
      <c r="C9776" s="2"/>
      <c r="D9776" s="2" t="str">
        <f>IFERROR(__xludf.DUMMYFUNCTION("IF(C9776&lt;&gt;"""", GOOGLETRANSLATE(C9776, ""en"", ""te""),"""")"),"")</f>
        <v/>
      </c>
      <c r="E9776" s="2"/>
      <c r="F9776" s="2" t="str">
        <f>IFERROR(__xludf.DUMMYFUNCTION("IF(E9776&lt;&gt;"""", GOOGLETRANSLATE(E9776, ""en"", ""te""),"""")"),"")</f>
        <v/>
      </c>
      <c r="G9776" s="2" t="s">
        <v>5642</v>
      </c>
      <c r="H9776" s="2" t="str">
        <f>IFERROR(__xludf.DUMMYFUNCTION("IF(G9776&lt;&gt;"""", GOOGLETRANSLATE(G9776, ""en"", ""te""),"""")"),"[ '26 ఇన్నింగ్స్ లో అత్యధిక పరుగులు (81 *) (బ్యాటింగ్ స్థానం)', 'ఇన్నింగ్స్ లో 15 వ అత్యధిక క్యాచ్లు (3)']")</f>
        <v>[ '26 ఇన్నింగ్స్ లో అత్యధిక పరుగులు (81 *) (బ్యాటింగ్ స్థానం)', 'ఇన్నింగ్స్ లో 15 వ అత్యధిక క్యాచ్లు (3)']</v>
      </c>
      <c r="I9776" s="3"/>
    </row>
    <row r="9777" customHeight="1" spans="1:9">
      <c r="A9777" s="2"/>
      <c r="B9777" s="2" t="str">
        <f>IFERROR(__xludf.DUMMYFUNCTION("IF(A9777&lt;&gt;"""", GOOGLETRANSLATE(A9777, ""en"", ""te""),"""")"),"")</f>
        <v/>
      </c>
      <c r="C9777" s="2"/>
      <c r="D9777" s="2" t="str">
        <f>IFERROR(__xludf.DUMMYFUNCTION("IF(C9777&lt;&gt;"""", GOOGLETRANSLATE(C9777, ""en"", ""te""),"""")"),"")</f>
        <v/>
      </c>
      <c r="E9777" s="2"/>
      <c r="F9777" s="2" t="str">
        <f>IFERROR(__xludf.DUMMYFUNCTION("IF(E9777&lt;&gt;"""", GOOGLETRANSLATE(E9777, ""en"", ""te""),"""")"),"")</f>
        <v/>
      </c>
      <c r="G9777" s="2" t="s">
        <v>5643</v>
      </c>
      <c r="H9777" s="2" t="str">
        <f>IFERROR(__xludf.DUMMYFUNCTION("IF(G9777&lt;&gt;"""", GOOGLETRANSLATE(G9777, ""en"", ""te""),"""")"),"[ '50 వ అత్యధిక కెరీర్ సమ్మె రేటు (137.20)', '14 వ కెరీర్ లో అత్యధిక వికెట్లు (29)', '11 వ కెరీర్ లో అత్యధిక క్యాచ్లు (25)', '13 వ ఇన్నింగ్స్ లో అత్యధిక క్యాచ్లు (3)']")</f>
        <v>[ '50 వ అత్యధిక కెరీర్ సమ్మె రేటు (137.20)', '14 వ కెరీర్ లో అత్యధిక వికెట్లు (29)', '11 వ కెరీర్ లో అత్యధిక క్యాచ్లు (25)', '13 వ ఇన్నింగ్స్ లో అత్యధిక క్యాచ్లు (3)']</v>
      </c>
      <c r="I9777" s="3"/>
    </row>
    <row r="9778" customHeight="1" spans="1:9">
      <c r="A9778" s="2"/>
      <c r="B9778" s="2" t="str">
        <f>IFERROR(__xludf.DUMMYFUNCTION("IF(A9778&lt;&gt;"""", GOOGLETRANSLATE(A9778, ""en"", ""te""),"""")"),"")</f>
        <v/>
      </c>
      <c r="C9778" s="2"/>
      <c r="D9778" s="2" t="str">
        <f>IFERROR(__xludf.DUMMYFUNCTION("IF(C9778&lt;&gt;"""", GOOGLETRANSLATE(C9778, ""en"", ""te""),"""")"),"")</f>
        <v/>
      </c>
      <c r="E9778" s="2" t="s">
        <v>152</v>
      </c>
      <c r="F9778" s="2" t="str">
        <f>IFERROR(__xludf.DUMMYFUNCTION("IF(E9778&lt;&gt;"""", GOOGLETRANSLATE(E9778, ""en"", ""te""),"""")"),"[ '11 వ ఒక ఇన్నింగ్స్ లోని బెస్ట్ ఫిగర్స్ ఉన్నప్పుడు పరాజయం వైపు (4)']")</f>
        <v>[ '11 వ ఒక ఇన్నింగ్స్ లోని బెస్ట్ ఫిగర్స్ ఉన్నప్పుడు పరాజయం వైపు (4)']</v>
      </c>
      <c r="G9778" s="2"/>
      <c r="H9778" s="2" t="str">
        <f>IFERROR(__xludf.DUMMYFUNCTION("IF(G9778&lt;&gt;"""", GOOGLETRANSLATE(G9778, ""en"", ""te""),"""")"),"")</f>
        <v/>
      </c>
      <c r="I9778" s="3"/>
    </row>
    <row r="9779" customHeight="1" spans="1:9">
      <c r="A9779" s="2" t="s">
        <v>5644</v>
      </c>
      <c r="B9779" s="2" t="str">
        <f>IFERROR(__xludf.DUMMYFUNCTION("IF(A9779&lt;&gt;"""", GOOGLETRANSLATE(A9779, ""en"", ""te""),"""")"),"[ 'ఒక క్యాలెండర్ సంవత్సరంలో 2 వ అత్యధిక వికెట్లు (28)', '1 వ అత్యధిక వికెట్లు తీసిన హిట్ వికెట్ (1)']")</f>
        <v>[ 'ఒక క్యాలెండర్ సంవత్సరంలో 2 వ అత్యధిక వికెట్లు (28)', '1 వ అత్యధిక వికెట్లు తీసిన హిట్ వికెట్ (1)']</v>
      </c>
      <c r="C9779" s="2"/>
      <c r="D9779" s="2" t="str">
        <f>IFERROR(__xludf.DUMMYFUNCTION("IF(C9779&lt;&gt;"""", GOOGLETRANSLATE(C9779, ""en"", ""te""),"""")"),"")</f>
        <v/>
      </c>
      <c r="E9779" s="2"/>
      <c r="F9779" s="2" t="str">
        <f>IFERROR(__xludf.DUMMYFUNCTION("IF(E9779&lt;&gt;"""", GOOGLETRANSLATE(E9779, ""en"", ""te""),"""")"),"")</f>
        <v/>
      </c>
      <c r="G9779" s="2" t="s">
        <v>5645</v>
      </c>
      <c r="H9779" s="2" t="str">
        <f>IFERROR(__xludf.DUMMYFUNCTION("IF(G9779&lt;&gt;"""", GOOGLETRANSLATE(G9779, ""en"", ""te""),"""")"),"[ 'ఒక క్యాలెండర్ సంవత్సరంలో 2 వ అత్యధిక వికెట్లు (28)', 'ఇన్నింగ్స్ లో 31 ఉత్తమ సమ్మె రేటు (4.5)', '16 వ అత్యంత నాలుగు వికెట్లు-ఇన్-ఒక-ఇన్నింగ్స్ కెరీర్లో (2)', '12 వ బౌలర్ / ఫీల్డర్ కలయికలు (8) ',' 13 వ అత్యధిక వికెట్లు ఒక వికెట్ కీపర్ చే కాట్ తీసుకున్న "&amp;"(8) ',' 1 వ అత్యధిక వికెట్లు తీసిన హిట్ వికెట్ (1) ']")</f>
        <v>[ 'ఒక క్యాలెండర్ సంవత్సరంలో 2 వ అత్యధిక వికెట్లు (28)', 'ఇన్నింగ్స్ లో 31 ఉత్తమ సమ్మె రేటు (4.5)', '16 వ అత్యంత నాలుగు వికెట్లు-ఇన్-ఒక-ఇన్నింగ్స్ కెరీర్లో (2)', '12 వ బౌలర్ / ఫీల్డర్ కలయికలు (8) ',' 13 వ అత్యధిక వికెట్లు ఒక వికెట్ కీపర్ చే కాట్ తీసుకున్న (8) ',' 1 వ అత్యధిక వికెట్లు తీసిన హిట్ వికెట్ (1) ']</v>
      </c>
      <c r="I9779" s="3"/>
    </row>
    <row r="9780" customHeight="1" spans="1:9">
      <c r="A9780" s="2"/>
      <c r="B9780" s="2" t="str">
        <f>IFERROR(__xludf.DUMMYFUNCTION("IF(A9780&lt;&gt;"""", GOOGLETRANSLATE(A9780, ""en"", ""te""),"""")"),"")</f>
        <v/>
      </c>
      <c r="C9780" s="2"/>
      <c r="D9780" s="2" t="str">
        <f>IFERROR(__xludf.DUMMYFUNCTION("IF(C9780&lt;&gt;"""", GOOGLETRANSLATE(C9780, ""en"", ""te""),"""")"),"")</f>
        <v/>
      </c>
      <c r="E9780" s="2"/>
      <c r="F9780" s="2" t="str">
        <f>IFERROR(__xludf.DUMMYFUNCTION("IF(E9780&lt;&gt;"""", GOOGLETRANSLATE(E9780, ""en"", ""te""),"""")"),"")</f>
        <v/>
      </c>
      <c r="G9780" s="2"/>
      <c r="H9780" s="2" t="str">
        <f>IFERROR(__xludf.DUMMYFUNCTION("IF(G9780&lt;&gt;"""", GOOGLETRANSLATE(G9780, ""en"", ""te""),"""")"),"")</f>
        <v/>
      </c>
      <c r="I9780" s="3"/>
    </row>
    <row r="9781" customHeight="1" spans="1:9">
      <c r="A9781" s="2" t="s">
        <v>4014</v>
      </c>
      <c r="B9781" s="2" t="str">
        <f>IFERROR(__xludf.DUMMYFUNCTION("IF(A9781&lt;&gt;"""", GOOGLETRANSLATE(A9781, ""en"", ""te""),"""")"),"[ 'ఒక సిరీస్లో 4 చాలా బాతులు (4)']")</f>
        <v>[ 'ఒక సిరీస్లో 4 చాలా బాతులు (4)']</v>
      </c>
      <c r="C9781" s="2"/>
      <c r="D9781" s="2" t="str">
        <f>IFERROR(__xludf.DUMMYFUNCTION("IF(C9781&lt;&gt;"""", GOOGLETRANSLATE(C9781, ""en"", ""te""),"""")"),"")</f>
        <v/>
      </c>
      <c r="E9781" s="2" t="s">
        <v>4014</v>
      </c>
      <c r="F9781" s="2" t="str">
        <f>IFERROR(__xludf.DUMMYFUNCTION("IF(E9781&lt;&gt;"""", GOOGLETRANSLATE(E9781, ""en"", ""te""),"""")"),"[ 'ఒక సిరీస్లో 4 చాలా బాతులు (4)']")</f>
        <v>[ 'ఒక సిరీస్లో 4 చాలా బాతులు (4)']</v>
      </c>
      <c r="G9781" s="2"/>
      <c r="H9781" s="2" t="str">
        <f>IFERROR(__xludf.DUMMYFUNCTION("IF(G9781&lt;&gt;"""", GOOGLETRANSLATE(G9781, ""en"", ""te""),"""")"),"")</f>
        <v/>
      </c>
      <c r="I9781" s="3"/>
    </row>
    <row r="9782" customHeight="1" spans="1:9">
      <c r="A9782" s="2"/>
      <c r="B9782" s="2" t="str">
        <f>IFERROR(__xludf.DUMMYFUNCTION("IF(A9782&lt;&gt;"""", GOOGLETRANSLATE(A9782, ""en"", ""te""),"""")"),"")</f>
        <v/>
      </c>
      <c r="C9782" s="2"/>
      <c r="D9782" s="2" t="str">
        <f>IFERROR(__xludf.DUMMYFUNCTION("IF(C9782&lt;&gt;"""", GOOGLETRANSLATE(C9782, ""en"", ""te""),"""")"),"")</f>
        <v/>
      </c>
      <c r="E9782" s="2"/>
      <c r="F9782" s="2" t="str">
        <f>IFERROR(__xludf.DUMMYFUNCTION("IF(E9782&lt;&gt;"""", GOOGLETRANSLATE(E9782, ""en"", ""te""),"""")"),"")</f>
        <v/>
      </c>
      <c r="G9782" s="2"/>
      <c r="H9782" s="2" t="str">
        <f>IFERROR(__xludf.DUMMYFUNCTION("IF(G9782&lt;&gt;"""", GOOGLETRANSLATE(G9782, ""en"", ""te""),"""")"),"")</f>
        <v/>
      </c>
      <c r="I9782" s="3"/>
    </row>
    <row r="9783" customHeight="1" spans="1:9">
      <c r="A9783" s="2"/>
      <c r="B9783" s="2" t="str">
        <f>IFERROR(__xludf.DUMMYFUNCTION("IF(A9783&lt;&gt;"""", GOOGLETRANSLATE(A9783, ""en"", ""te""),"""")"),"")</f>
        <v/>
      </c>
      <c r="C9783" s="2"/>
      <c r="D9783" s="2" t="str">
        <f>IFERROR(__xludf.DUMMYFUNCTION("IF(C9783&lt;&gt;"""", GOOGLETRANSLATE(C9783, ""en"", ""te""),"""")"),"")</f>
        <v/>
      </c>
      <c r="E9783" s="2"/>
      <c r="F9783" s="2" t="str">
        <f>IFERROR(__xludf.DUMMYFUNCTION("IF(E9783&lt;&gt;"""", GOOGLETRANSLATE(E9783, ""en"", ""te""),"""")"),"")</f>
        <v/>
      </c>
      <c r="G9783" s="2" t="s">
        <v>2078</v>
      </c>
      <c r="H9783" s="2" t="str">
        <f>IFERROR(__xludf.DUMMYFUNCTION("IF(G9783&lt;&gt;"""", GOOGLETRANSLATE(G9783, ""en"", ""te""),"""")"),"[ '33 వ ఉత్తమ ఇన్నింగ్స్ లో సమ్మె రేటు (4.0)']")</f>
        <v>[ '33 వ ఉత్తమ ఇన్నింగ్స్ లో సమ్మె రేటు (4.0)']</v>
      </c>
      <c r="I9783" s="3"/>
    </row>
    <row r="9784" customHeight="1" spans="1:9">
      <c r="A9784" s="2"/>
      <c r="B9784" s="2" t="str">
        <f>IFERROR(__xludf.DUMMYFUNCTION("IF(A9784&lt;&gt;"""", GOOGLETRANSLATE(A9784, ""en"", ""te""),"""")"),"")</f>
        <v/>
      </c>
      <c r="C9784" s="2"/>
      <c r="D9784" s="2" t="str">
        <f>IFERROR(__xludf.DUMMYFUNCTION("IF(C9784&lt;&gt;"""", GOOGLETRANSLATE(C9784, ""en"", ""te""),"""")"),"")</f>
        <v/>
      </c>
      <c r="E9784" s="2"/>
      <c r="F9784" s="2" t="str">
        <f>IFERROR(__xludf.DUMMYFUNCTION("IF(E9784&lt;&gt;"""", GOOGLETRANSLATE(E9784, ""en"", ""te""),"""")"),"")</f>
        <v/>
      </c>
      <c r="G9784" s="2"/>
      <c r="H9784" s="2" t="str">
        <f>IFERROR(__xludf.DUMMYFUNCTION("IF(G9784&lt;&gt;"""", GOOGLETRANSLATE(G9784, ""en"", ""te""),"""")"),"")</f>
        <v/>
      </c>
      <c r="I9784" s="3"/>
    </row>
    <row r="9785" customHeight="1" spans="1:9">
      <c r="A9785" s="2"/>
      <c r="B9785" s="2" t="str">
        <f>IFERROR(__xludf.DUMMYFUNCTION("IF(A9785&lt;&gt;"""", GOOGLETRANSLATE(A9785, ""en"", ""te""),"""")"),"")</f>
        <v/>
      </c>
      <c r="C9785" s="2"/>
      <c r="D9785" s="2" t="str">
        <f>IFERROR(__xludf.DUMMYFUNCTION("IF(C9785&lt;&gt;"""", GOOGLETRANSLATE(C9785, ""en"", ""te""),"""")"),"")</f>
        <v/>
      </c>
      <c r="E9785" s="2"/>
      <c r="F9785" s="2" t="str">
        <f>IFERROR(__xludf.DUMMYFUNCTION("IF(E9785&lt;&gt;"""", GOOGLETRANSLATE(E9785, ""en"", ""te""),"""")"),"")</f>
        <v/>
      </c>
      <c r="G9785" s="2"/>
      <c r="H9785" s="2" t="str">
        <f>IFERROR(__xludf.DUMMYFUNCTION("IF(G9785&lt;&gt;"""", GOOGLETRANSLATE(G9785, ""en"", ""te""),"""")"),"")</f>
        <v/>
      </c>
      <c r="I9785" s="3"/>
    </row>
    <row r="9786" customHeight="1" spans="1:9">
      <c r="A9786" s="2" t="s">
        <v>399</v>
      </c>
      <c r="B9786" s="2" t="str">
        <f>IFERROR(__xludf.DUMMYFUNCTION("IF(A9786&lt;&gt;"""", GOOGLETRANSLATE(A9786, ""en"", ""te""),"""")"),"[ 'తొలి పెయిర్']")</f>
        <v>[ 'తొలి పెయిర్']</v>
      </c>
      <c r="C9786" s="2" t="s">
        <v>5646</v>
      </c>
      <c r="D9786" s="2" t="str">
        <f>IFERROR(__xludf.DUMMYFUNCTION("IF(C9786&lt;&gt;"""", GOOGLETRANSLATE(C9786, ""en"", ""te""),"""")"),"[ 'కెరీర్లో 2 వ అత్యంత జతల (1)', '15 ఇన్నింగ్స్లో ఉత్తమ సంఖ్యలు ఉన్నప్పుడు పరాజయం వైపు (4)', '14 వ ఉత్తమ తొలి ఇన్నింగ్స్లో గణాంకాలు (4)']")</f>
        <v>[ 'కెరీర్లో 2 వ అత్యంత జతల (1)', '15 ఇన్నింగ్స్లో ఉత్తమ సంఖ్యలు ఉన్నప్పుడు పరాజయం వైపు (4)', '14 వ ఉత్తమ తొలి ఇన్నింగ్స్లో గణాంకాలు (4)']</v>
      </c>
      <c r="E9786" s="2" t="s">
        <v>5647</v>
      </c>
      <c r="F9786" s="2" t="str">
        <f>IFERROR(__xludf.DUMMYFUNCTION("IF(E9786&lt;&gt;"""", GOOGLETRANSLATE(E9786, ""en"", ""te""),"""")"),"[ 'కెరీర్లో 40 వ అత్యంత బాతులు (8)', '50th లాంగెస్ట్ కెరీర్లు (13y 121d)']")</f>
        <v>[ 'కెరీర్లో 40 వ అత్యంత బాతులు (8)', '50th లాంగెస్ట్ కెరీర్లు (13y 121d)']</v>
      </c>
      <c r="G9786" s="2" t="s">
        <v>4970</v>
      </c>
      <c r="H9786" s="2" t="str">
        <f>IFERROR(__xludf.DUMMYFUNCTION("IF(G9786&lt;&gt;"""", GOOGLETRANSLATE(G9786, ""en"", ""te""),"""")"),"[ '16 వ చెత్త కెరీర్ బౌలింగ్ సరాసరి (అర్హత లేకుండా) (85.00)']")</f>
        <v>[ '16 వ చెత్త కెరీర్ బౌలింగ్ సరాసరి (అర్హత లేకుండా) (85.00)']</v>
      </c>
      <c r="I9786" s="3"/>
    </row>
    <row r="9787" customHeight="1" spans="1:9">
      <c r="A9787" s="2"/>
      <c r="B9787" s="2" t="str">
        <f>IFERROR(__xludf.DUMMYFUNCTION("IF(A9787&lt;&gt;"""", GOOGLETRANSLATE(A9787, ""en"", ""te""),"""")"),"")</f>
        <v/>
      </c>
      <c r="C9787" s="2"/>
      <c r="D9787" s="2" t="str">
        <f>IFERROR(__xludf.DUMMYFUNCTION("IF(C9787&lt;&gt;"""", GOOGLETRANSLATE(C9787, ""en"", ""te""),"""")"),"")</f>
        <v/>
      </c>
      <c r="E9787" s="2"/>
      <c r="F9787" s="2" t="str">
        <f>IFERROR(__xludf.DUMMYFUNCTION("IF(E9787&lt;&gt;"""", GOOGLETRANSLATE(E9787, ""en"", ""te""),"""")"),"")</f>
        <v/>
      </c>
      <c r="G9787" s="2"/>
      <c r="H9787" s="2" t="str">
        <f>IFERROR(__xludf.DUMMYFUNCTION("IF(G9787&lt;&gt;"""", GOOGLETRANSLATE(G9787, ""en"", ""te""),"""")"),"")</f>
        <v/>
      </c>
      <c r="I9787" s="3"/>
    </row>
    <row r="9788" customHeight="1" spans="1:9">
      <c r="A9788" s="2"/>
      <c r="B9788" s="2" t="str">
        <f>IFERROR(__xludf.DUMMYFUNCTION("IF(A9788&lt;&gt;"""", GOOGLETRANSLATE(A9788, ""en"", ""te""),"""")"),"")</f>
        <v/>
      </c>
      <c r="C9788" s="2"/>
      <c r="D9788" s="2" t="str">
        <f>IFERROR(__xludf.DUMMYFUNCTION("IF(C9788&lt;&gt;"""", GOOGLETRANSLATE(C9788, ""en"", ""te""),"""")"),"")</f>
        <v/>
      </c>
      <c r="E9788" s="2"/>
      <c r="F9788" s="2" t="str">
        <f>IFERROR(__xludf.DUMMYFUNCTION("IF(E9788&lt;&gt;"""", GOOGLETRANSLATE(E9788, ""en"", ""te""),"""")"),"")</f>
        <v/>
      </c>
      <c r="G9788" s="2"/>
      <c r="H9788" s="2" t="str">
        <f>IFERROR(__xludf.DUMMYFUNCTION("IF(G9788&lt;&gt;"""", GOOGLETRANSLATE(G9788, ""en"", ""te""),"""")"),"")</f>
        <v/>
      </c>
      <c r="I9788" s="3"/>
    </row>
    <row r="9789" customHeight="1" spans="1:9">
      <c r="A9789" s="2"/>
      <c r="B9789" s="2" t="str">
        <f>IFERROR(__xludf.DUMMYFUNCTION("IF(A9789&lt;&gt;"""", GOOGLETRANSLATE(A9789, ""en"", ""te""),"""")"),"")</f>
        <v/>
      </c>
      <c r="C9789" s="2"/>
      <c r="D9789" s="2" t="str">
        <f>IFERROR(__xludf.DUMMYFUNCTION("IF(C9789&lt;&gt;"""", GOOGLETRANSLATE(C9789, ""en"", ""te""),"""")"),"")</f>
        <v/>
      </c>
      <c r="E9789" s="2"/>
      <c r="F9789" s="2" t="str">
        <f>IFERROR(__xludf.DUMMYFUNCTION("IF(E9789&lt;&gt;"""", GOOGLETRANSLATE(E9789, ""en"", ""te""),"""")"),"")</f>
        <v/>
      </c>
      <c r="G9789" s="2"/>
      <c r="H9789" s="2" t="str">
        <f>IFERROR(__xludf.DUMMYFUNCTION("IF(G9789&lt;&gt;"""", GOOGLETRANSLATE(G9789, ""en"", ""te""),"""")"),"")</f>
        <v/>
      </c>
      <c r="I9789" s="3"/>
    </row>
    <row r="9790" customHeight="1" spans="1:9">
      <c r="A9790" s="2"/>
      <c r="B9790" s="2" t="str">
        <f>IFERROR(__xludf.DUMMYFUNCTION("IF(A9790&lt;&gt;"""", GOOGLETRANSLATE(A9790, ""en"", ""te""),"""")"),"")</f>
        <v/>
      </c>
      <c r="C9790" s="2"/>
      <c r="D9790" s="2" t="str">
        <f>IFERROR(__xludf.DUMMYFUNCTION("IF(C9790&lt;&gt;"""", GOOGLETRANSLATE(C9790, ""en"", ""te""),"""")"),"")</f>
        <v/>
      </c>
      <c r="E9790" s="2" t="s">
        <v>5648</v>
      </c>
      <c r="F9790" s="2" t="str">
        <f>IFERROR(__xludf.DUMMYFUNCTION("IF(E9790&lt;&gt;"""", GOOGLETRANSLATE(E9790, ""en"", ""te""),"""")"),"[ '17 వ పిన్న క్రీడాకారులు (16y 296d)']")</f>
        <v>[ '17 వ పిన్న క్రీడాకారులు (16y 296d)']</v>
      </c>
      <c r="G9790" s="2"/>
      <c r="H9790" s="2" t="str">
        <f>IFERROR(__xludf.DUMMYFUNCTION("IF(G9790&lt;&gt;"""", GOOGLETRANSLATE(G9790, ""en"", ""te""),"""")"),"")</f>
        <v/>
      </c>
      <c r="I9790" s="3"/>
    </row>
    <row r="9791" customHeight="1" spans="1:9">
      <c r="A9791" s="2" t="s">
        <v>5649</v>
      </c>
      <c r="B9791" s="2" t="str">
        <f>IFERROR(__xludf.DUMMYFUNCTION("IF(A9791&lt;&gt;"""", GOOGLETRANSLATE(A9791, ""en"", ""te""),"""")"),"[ '9 వ చెత్త కెరీర్ బౌలింగ్ సరాసరి (అర్హత లేకుండా) (106.00)']")</f>
        <v>[ '9 వ చెత్త కెరీర్ బౌలింగ్ సరాసరి (అర్హత లేకుండా) (106.00)']</v>
      </c>
      <c r="C9791" s="2"/>
      <c r="D9791" s="2" t="str">
        <f>IFERROR(__xludf.DUMMYFUNCTION("IF(C9791&lt;&gt;"""", GOOGLETRANSLATE(C9791, ""en"", ""te""),"""")"),"")</f>
        <v/>
      </c>
      <c r="E9791" s="2"/>
      <c r="F9791" s="2" t="str">
        <f>IFERROR(__xludf.DUMMYFUNCTION("IF(E9791&lt;&gt;"""", GOOGLETRANSLATE(E9791, ""en"", ""te""),"""")"),"")</f>
        <v/>
      </c>
      <c r="G9791" s="2" t="s">
        <v>5649</v>
      </c>
      <c r="H9791" s="2" t="str">
        <f>IFERROR(__xludf.DUMMYFUNCTION("IF(G9791&lt;&gt;"""", GOOGLETRANSLATE(G9791, ""en"", ""te""),"""")"),"[ '9 వ చెత్త కెరీర్ బౌలింగ్ సరాసరి (అర్హత లేకుండా) (106.00)']")</f>
        <v>[ '9 వ చెత్త కెరీర్ బౌలింగ్ సరాసరి (అర్హత లేకుండా) (106.00)']</v>
      </c>
      <c r="I9791" s="3"/>
    </row>
    <row r="9792" customHeight="1" spans="1:9">
      <c r="A9792" s="2"/>
      <c r="B9792" s="2" t="str">
        <f>IFERROR(__xludf.DUMMYFUNCTION("IF(A9792&lt;&gt;"""", GOOGLETRANSLATE(A9792, ""en"", ""te""),"""")"),"")</f>
        <v/>
      </c>
      <c r="C9792" s="2"/>
      <c r="D9792" s="2" t="str">
        <f>IFERROR(__xludf.DUMMYFUNCTION("IF(C9792&lt;&gt;"""", GOOGLETRANSLATE(C9792, ""en"", ""te""),"""")"),"")</f>
        <v/>
      </c>
      <c r="E9792" s="2" t="s">
        <v>5650</v>
      </c>
      <c r="F9792" s="2" t="str">
        <f>IFERROR(__xludf.DUMMYFUNCTION("IF(E9792&lt;&gt;"""", GOOGLETRANSLATE(E9792, ""en"", ""te""),"""")"),"[ '42 వ ఉత్తమ ఇన్నింగ్స్ లో ఆర్థిక రేటు (0.44)']")</f>
        <v>[ '42 వ ఉత్తమ ఇన్నింగ్స్ లో ఆర్థిక రేటు (0.44)']</v>
      </c>
      <c r="G9792" s="2"/>
      <c r="H9792" s="2" t="str">
        <f>IFERROR(__xludf.DUMMYFUNCTION("IF(G9792&lt;&gt;"""", GOOGLETRANSLATE(G9792, ""en"", ""te""),"""")"),"")</f>
        <v/>
      </c>
      <c r="I9792" s="3"/>
    </row>
    <row r="9793" customHeight="1" spans="1:9">
      <c r="A9793" s="2" t="s">
        <v>5651</v>
      </c>
      <c r="B9793" s="2" t="str">
        <f>IFERROR(__xludf.DUMMYFUNCTION("IF(A9793&lt;&gt;"""", GOOGLETRANSLATE(A9793, ""en"", ""te""),"""")"),"[ 'ఇన్నింగ్స్ లో 2 వ అత్యధిక పరుగులు (బ్యాటింగ్ స్థానంలో ప్రకారం) (126 *)', 'ఒక ఇన్నింగ్స్లో పరుగుల 8 వ అత్యధిక శాతం (64.28)' '3 వ అత్యంత తొలి మ్యాచ్ (88 *) లో నడుస్తుంది', '5 వ అత్యధిక రెండవ వికెట్కు భాగస్వామ్యం (144) ']")</f>
        <v>[ 'ఇన్నింగ్స్ లో 2 వ అత్యధిక పరుగులు (బ్యాటింగ్ స్థానంలో ప్రకారం) (126 *)', 'ఒక ఇన్నింగ్స్లో పరుగుల 8 వ అత్యధిక శాతం (64.28)' '3 వ అత్యంత తొలి మ్యాచ్ (88 *) లో నడుస్తుంది', '5 వ అత్యధిక రెండవ వికెట్కు భాగస్వామ్యం (144) ']</v>
      </c>
      <c r="C9793" s="2"/>
      <c r="D9793" s="2" t="str">
        <f>IFERROR(__xludf.DUMMYFUNCTION("IF(C9793&lt;&gt;"""", GOOGLETRANSLATE(C9793, ""en"", ""te""),"""")"),"")</f>
        <v/>
      </c>
      <c r="E9793" s="2"/>
      <c r="F9793" s="2" t="str">
        <f>IFERROR(__xludf.DUMMYFUNCTION("IF(E9793&lt;&gt;"""", GOOGLETRANSLATE(E9793, ""en"", ""te""),"""")"),"")</f>
        <v/>
      </c>
      <c r="G9793" s="2" t="s">
        <v>5652</v>
      </c>
      <c r="H9793" s="2" t="str">
        <f>IFERROR(__xludf.DUMMYFUNCTION("IF(G9793&lt;&gt;"""", GOOGLETRANSLATE(G9793, ""en"", ""te""),"""")"),"[ 'ఇన్నింగ్స్ లో 3 వ అత్యధిక పరుగులు (126 *)', '6 వ ఇన్నింగ్స్ లో అత్యధిక పరుగులు (ప్రగతిశీల రికార్డు హోల్డర్) (126 *)', 'ఇన్నింగ్స్ లో 2 వ అత్యధిక పరుగులు (126 *) (బ్యాటింగ్ స్థానం)', 'పరాజయం వైపు ఒక మ్యాచ్ (88 *) లో 4 వ అత్యధిక పరుగులు', 'ఒకే మైదానంలో"&amp;" 49 వ అత్యధిక పరుగులు (175)', '' 3 వ అత్యంత తొలి మ్యాచ్ (88 *) లో నడుస్తుంది ', 34 వ కెరీర్ అర్ధ ( 3) ',' 47 వ అత్యంత ఇన్నింగ్స్ తొలి డక్ ముందు (12) ',' ఒక ఇన్నింగ్స్లో పరుగుల 8 వ అత్యధిక శాతం (64.28) ',' 18 వ అత్యధిక ఏ వికెట్కు పార్టనర్ షిప్ (144) రెండవ "&amp;"కోసం ',' 5 వ అత్యధిక భాగస్వామ్యం వికెట్ (144) ']")</f>
        <v>[ 'ఇన్నింగ్స్ లో 3 వ అత్యధిక పరుగులు (126 *)', '6 వ ఇన్నింగ్స్ లో అత్యధిక పరుగులు (ప్రగతిశీల రికార్డు హోల్డర్) (126 *)', 'ఇన్నింగ్స్ లో 2 వ అత్యధిక పరుగులు (126 *) (బ్యాటింగ్ స్థానం)', 'పరాజయం వైపు ఒక మ్యాచ్ (88 *) లో 4 వ అత్యధిక పరుగులు', 'ఒకే మైదానంలో 49 వ అత్యధిక పరుగులు (175)', '' 3 వ అత్యంత తొలి మ్యాచ్ (88 *) లో నడుస్తుంది ', 34 వ కెరీర్ అర్ధ ( 3) ',' 47 వ అత్యంత ఇన్నింగ్స్ తొలి డక్ ముందు (12) ',' ఒక ఇన్నింగ్స్లో పరుగుల 8 వ అత్యధిక శాతం (64.28) ',' 18 వ అత్యధిక ఏ వికెట్కు పార్టనర్ షిప్ (144) రెండవ కోసం ',' 5 వ అత్యధిక భాగస్వామ్యం వికెట్ (144) ']</v>
      </c>
      <c r="I9793" s="3"/>
    </row>
    <row r="9794" customHeight="1" spans="1:9">
      <c r="A9794" s="2"/>
      <c r="B9794" s="2" t="str">
        <f>IFERROR(__xludf.DUMMYFUNCTION("IF(A9794&lt;&gt;"""", GOOGLETRANSLATE(A9794, ""en"", ""te""),"""")"),"")</f>
        <v/>
      </c>
      <c r="C9794" s="2"/>
      <c r="D9794" s="2" t="str">
        <f>IFERROR(__xludf.DUMMYFUNCTION("IF(C9794&lt;&gt;"""", GOOGLETRANSLATE(C9794, ""en"", ""te""),"""")"),"")</f>
        <v/>
      </c>
      <c r="E9794" s="2" t="s">
        <v>5653</v>
      </c>
      <c r="F9794" s="2" t="str">
        <f>IFERROR(__xludf.DUMMYFUNCTION("IF(E9794&lt;&gt;"""", GOOGLETRANSLATE(E9794, ""en"", ""te""),"""")"),"[40 వ కెరీర్ బాతులు (8) ',' ఆరవ వికెట్కు 41 వ అత్యధిక భాగస్వామ్యం (66) ']")</f>
        <v>[40 వ కెరీర్ బాతులు (8) ',' ఆరవ వికెట్కు 41 వ అత్యధిక భాగస్వామ్యం (66) ']</v>
      </c>
      <c r="G9794" s="2"/>
      <c r="H9794" s="2" t="str">
        <f>IFERROR(__xludf.DUMMYFUNCTION("IF(G9794&lt;&gt;"""", GOOGLETRANSLATE(G9794, ""en"", ""te""),"""")"),"")</f>
        <v/>
      </c>
      <c r="I9794" s="3"/>
    </row>
    <row r="9795" customHeight="1" spans="1:9">
      <c r="A9795" s="2"/>
      <c r="B9795" s="2" t="str">
        <f>IFERROR(__xludf.DUMMYFUNCTION("IF(A9795&lt;&gt;"""", GOOGLETRANSLATE(A9795, ""en"", ""te""),"""")"),"")</f>
        <v/>
      </c>
      <c r="C9795" s="2"/>
      <c r="D9795" s="2" t="str">
        <f>IFERROR(__xludf.DUMMYFUNCTION("IF(C9795&lt;&gt;"""", GOOGLETRANSLATE(C9795, ""en"", ""te""),"""")"),"")</f>
        <v/>
      </c>
      <c r="E9795" s="2"/>
      <c r="F9795" s="2" t="str">
        <f>IFERROR(__xludf.DUMMYFUNCTION("IF(E9795&lt;&gt;"""", GOOGLETRANSLATE(E9795, ""en"", ""te""),"""")"),"")</f>
        <v/>
      </c>
      <c r="G9795" s="2"/>
      <c r="H9795" s="2" t="str">
        <f>IFERROR(__xludf.DUMMYFUNCTION("IF(G9795&lt;&gt;"""", GOOGLETRANSLATE(G9795, ""en"", ""te""),"""")"),"")</f>
        <v/>
      </c>
      <c r="I9795" s="3"/>
    </row>
    <row r="9796" customHeight="1" spans="1:9">
      <c r="A9796" s="2" t="s">
        <v>5654</v>
      </c>
      <c r="B9796" s="2" t="str">
        <f>IFERROR(__xludf.DUMMYFUNCTION("IF(A9796&lt;&gt;"""", GOOGLETRANSLATE(A9796, ""en"", ""te""),"""")"),"[ 'గత మ్యాచ్లో 4 వ హండ్రెడ్ (121)', 'నూట ఒక ఇన్నింగ్స్ లో నాలుగు వికెట్లు']")</f>
        <v>[ 'గత మ్యాచ్లో 4 వ హండ్రెడ్ (121)', 'నూట ఒక ఇన్నింగ్స్ లో నాలుగు వికెట్లు']</v>
      </c>
      <c r="C9796" s="2"/>
      <c r="D9796" s="2" t="str">
        <f>IFERROR(__xludf.DUMMYFUNCTION("IF(C9796&lt;&gt;"""", GOOGLETRANSLATE(C9796, ""en"", ""te""),"""")"),"")</f>
        <v/>
      </c>
      <c r="E9796" s="2" t="s">
        <v>5655</v>
      </c>
      <c r="F9796" s="2" t="str">
        <f>IFERROR(__xludf.DUMMYFUNCTION("IF(E9796&lt;&gt;"""", GOOGLETRANSLATE(E9796, ""en"", ""te""),"""")"),"[ 'గత మ్యాచ్లో 4 వ హండ్రెడ్ (121)', 'రెండవ వికెట్ (228) కోసం 16 అత్యధిక భాగస్వామ్యం']")</f>
        <v>[ 'గత మ్యాచ్లో 4 వ హండ్రెడ్ (121)', 'రెండవ వికెట్ (228) కోసం 16 అత్యధిక భాగస్వామ్యం']</v>
      </c>
      <c r="G9796" s="2"/>
      <c r="H9796" s="2" t="str">
        <f>IFERROR(__xludf.DUMMYFUNCTION("IF(G9796&lt;&gt;"""", GOOGLETRANSLATE(G9796, ""en"", ""te""),"""")"),"")</f>
        <v/>
      </c>
      <c r="I9796" s="3"/>
    </row>
    <row r="9797" customHeight="1" spans="1:9">
      <c r="A9797" s="2" t="s">
        <v>5656</v>
      </c>
      <c r="B9797" s="2" t="str">
        <f>IFERROR(__xludf.DUMMYFUNCTION("IF(A9797&lt;&gt;"""", GOOGLETRANSLATE(A9797, ""en"", ""te""),"""")"),"[ '1st వరుస బాతులు (7)']")</f>
        <v>[ '1st వరుస బాతులు (7)']</v>
      </c>
      <c r="C9797" s="2"/>
      <c r="D9797" s="2" t="str">
        <f>IFERROR(__xludf.DUMMYFUNCTION("IF(C9797&lt;&gt;"""", GOOGLETRANSLATE(C9797, ""en"", ""te""),"""")"),"")</f>
        <v/>
      </c>
      <c r="E9797" s="2" t="s">
        <v>5657</v>
      </c>
      <c r="F9797" s="2" t="str">
        <f>IFERROR(__xludf.DUMMYFUNCTION("IF(E9797&lt;&gt;"""", GOOGLETRANSLATE(E9797, ""en"", ""te""),"""")"),"[ '21 వ కెరీర్ బాతులు (9)', '1 వ వరుస బాతులు (7)', '47 వ అత్యధిక పరుగులు ఇన్నింగ్స్ లో సాధించిన (70)', '39 వ పిన్న క్రీడాకారులు (16y 189d)', '39 వ పిన్న కాప్టెన్ ( 24y 183d) ']")</f>
        <v>[ '21 వ కెరీర్ బాతులు (9)', '1 వ వరుస బాతులు (7)', '47 వ అత్యధిక పరుగులు ఇన్నింగ్స్ లో సాధించిన (70)', '39 వ పిన్న క్రీడాకారులు (16y 189d)', '39 వ పిన్న కాప్టెన్ ( 24y 183d) ']</v>
      </c>
      <c r="G9797" s="2"/>
      <c r="H9797" s="2" t="str">
        <f>IFERROR(__xludf.DUMMYFUNCTION("IF(G9797&lt;&gt;"""", GOOGLETRANSLATE(G9797, ""en"", ""te""),"""")"),"")</f>
        <v/>
      </c>
      <c r="I9797" s="3"/>
    </row>
    <row r="9798" customHeight="1" spans="1:9">
      <c r="A9798" s="2"/>
      <c r="B9798" s="2" t="str">
        <f>IFERROR(__xludf.DUMMYFUNCTION("IF(A9798&lt;&gt;"""", GOOGLETRANSLATE(A9798, ""en"", ""te""),"""")"),"")</f>
        <v/>
      </c>
      <c r="C9798" s="2"/>
      <c r="D9798" s="2" t="str">
        <f>IFERROR(__xludf.DUMMYFUNCTION("IF(C9798&lt;&gt;"""", GOOGLETRANSLATE(C9798, ""en"", ""te""),"""")"),"")</f>
        <v/>
      </c>
      <c r="E9798" s="2"/>
      <c r="F9798" s="2" t="str">
        <f>IFERROR(__xludf.DUMMYFUNCTION("IF(E9798&lt;&gt;"""", GOOGLETRANSLATE(E9798, ""en"", ""te""),"""")"),"")</f>
        <v/>
      </c>
      <c r="G9798" s="2"/>
      <c r="H9798" s="2" t="str">
        <f>IFERROR(__xludf.DUMMYFUNCTION("IF(G9798&lt;&gt;"""", GOOGLETRANSLATE(G9798, ""en"", ""te""),"""")"),"")</f>
        <v/>
      </c>
      <c r="I9798" s="3"/>
    </row>
    <row r="9799" customHeight="1" spans="1:9">
      <c r="A9799" s="2"/>
      <c r="B9799" s="2" t="str">
        <f>IFERROR(__xludf.DUMMYFUNCTION("IF(A9799&lt;&gt;"""", GOOGLETRANSLATE(A9799, ""en"", ""te""),"""")"),"")</f>
        <v/>
      </c>
      <c r="C9799" s="2"/>
      <c r="D9799" s="2" t="str">
        <f>IFERROR(__xludf.DUMMYFUNCTION("IF(C9799&lt;&gt;"""", GOOGLETRANSLATE(C9799, ""en"", ""te""),"""")"),"")</f>
        <v/>
      </c>
      <c r="E9799" s="2"/>
      <c r="F9799" s="2" t="str">
        <f>IFERROR(__xludf.DUMMYFUNCTION("IF(E9799&lt;&gt;"""", GOOGLETRANSLATE(E9799, ""en"", ""te""),"""")"),"")</f>
        <v/>
      </c>
      <c r="G9799" s="2"/>
      <c r="H9799" s="2" t="str">
        <f>IFERROR(__xludf.DUMMYFUNCTION("IF(G9799&lt;&gt;"""", GOOGLETRANSLATE(G9799, ""en"", ""te""),"""")"),"")</f>
        <v/>
      </c>
      <c r="I9799" s="3"/>
    </row>
    <row r="9800" customHeight="1" spans="1:9">
      <c r="A9800" s="2"/>
      <c r="B9800" s="2" t="str">
        <f>IFERROR(__xludf.DUMMYFUNCTION("IF(A9800&lt;&gt;"""", GOOGLETRANSLATE(A9800, ""en"", ""te""),"""")"),"")</f>
        <v/>
      </c>
      <c r="C9800" s="2"/>
      <c r="D9800" s="2" t="str">
        <f>IFERROR(__xludf.DUMMYFUNCTION("IF(C9800&lt;&gt;"""", GOOGLETRANSLATE(C9800, ""en"", ""te""),"""")"),"")</f>
        <v/>
      </c>
      <c r="E9800" s="2"/>
      <c r="F9800" s="2" t="str">
        <f>IFERROR(__xludf.DUMMYFUNCTION("IF(E9800&lt;&gt;"""", GOOGLETRANSLATE(E9800, ""en"", ""te""),"""")"),"")</f>
        <v/>
      </c>
      <c r="G9800" s="2"/>
      <c r="H9800" s="2" t="str">
        <f>IFERROR(__xludf.DUMMYFUNCTION("IF(G9800&lt;&gt;"""", GOOGLETRANSLATE(G9800, ""en"", ""te""),"""")"),"")</f>
        <v/>
      </c>
      <c r="I9800" s="3"/>
    </row>
    <row r="9801" customHeight="1" spans="1:9">
      <c r="A9801" s="2" t="s">
        <v>5658</v>
      </c>
      <c r="B9801" s="2" t="str">
        <f>IFERROR(__xludf.DUMMYFUNCTION("IF(A9801&lt;&gt;"""", GOOGLETRANSLATE(A9801, ""en"", ""te""),"""")"),"[ 'తొలి 7th ఓల్డెస్ట్ క్రీడాకారులు (42y 330d)', 'కెప్టెన్సీ తొలి 4 వ ఓల్డెస్ట్ కాప్టెన్ (42y 330d)']")</f>
        <v>[ 'తొలి 7th ఓల్డెస్ట్ క్రీడాకారులు (42y 330d)', 'కెప్టెన్సీ తొలి 4 వ ఓల్డెస్ట్ కాప్టెన్ (42y 330d)']</v>
      </c>
      <c r="C9801" s="2"/>
      <c r="D9801" s="2" t="str">
        <f>IFERROR(__xludf.DUMMYFUNCTION("IF(C9801&lt;&gt;"""", GOOGLETRANSLATE(C9801, ""en"", ""te""),"""")"),"")</f>
        <v/>
      </c>
      <c r="E9801" s="2" t="s">
        <v>5659</v>
      </c>
      <c r="F9801" s="2" t="str">
        <f>IFERROR(__xludf.DUMMYFUNCTION("IF(E9801&lt;&gt;"""", GOOGLETRANSLATE(E9801, ""en"", ""te""),"""")"),"[ 'తొలి 7th ఓల్డెస్ట్ క్రీడాకారులు (42y 330d)', '10 వ ఓల్డెస్ట్ క్రీడాకారులు (42y 347d)', '5 వ ఓల్డెస్ట్ కాప్టెన్ (42y 347d)', 'కెప్టెన్సీ తొలి 4 వ ఓల్డెస్ట్ కాప్టెన్ (42y 330d)']")</f>
        <v>[ 'తొలి 7th ఓల్డెస్ట్ క్రీడాకారులు (42y 330d)', '10 వ ఓల్డెస్ట్ క్రీడాకారులు (42y 347d)', '5 వ ఓల్డెస్ట్ కాప్టెన్ (42y 347d)', 'కెప్టెన్సీ తొలి 4 వ ఓల్డెస్ట్ కాప్టెన్ (42y 330d)']</v>
      </c>
      <c r="G9801" s="2"/>
      <c r="H9801" s="2" t="str">
        <f>IFERROR(__xludf.DUMMYFUNCTION("IF(G9801&lt;&gt;"""", GOOGLETRANSLATE(G9801, ""en"", ""te""),"""")"),"")</f>
        <v/>
      </c>
      <c r="I9801" s="3"/>
    </row>
    <row r="9802" customHeight="1" spans="1:9">
      <c r="A9802" s="2"/>
      <c r="B9802" s="2" t="str">
        <f>IFERROR(__xludf.DUMMYFUNCTION("IF(A9802&lt;&gt;"""", GOOGLETRANSLATE(A9802, ""en"", ""te""),"""")"),"")</f>
        <v/>
      </c>
      <c r="C9802" s="2"/>
      <c r="D9802" s="2" t="str">
        <f>IFERROR(__xludf.DUMMYFUNCTION("IF(C9802&lt;&gt;"""", GOOGLETRANSLATE(C9802, ""en"", ""te""),"""")"),"")</f>
        <v/>
      </c>
      <c r="E9802" s="2"/>
      <c r="F9802" s="2" t="str">
        <f>IFERROR(__xludf.DUMMYFUNCTION("IF(E9802&lt;&gt;"""", GOOGLETRANSLATE(E9802, ""en"", ""te""),"""")"),"")</f>
        <v/>
      </c>
      <c r="G9802" s="2" t="s">
        <v>5660</v>
      </c>
      <c r="H9802" s="2" t="str">
        <f>IFERROR(__xludf.DUMMYFUNCTION("IF(G9802&lt;&gt;"""", GOOGLETRANSLATE(G9802, ""en"", ""te""),"""")"),"[ '44 వ అత్యుత్తమ ఇన్నింగ్స్ లో విశ్లేషణలు బౌలింగ్ (2/4)', '43 వ ఇన్నింగ్స్ లో సాధించిన (44) అత్యధిక పరుగులు']")</f>
        <v>[ '44 వ అత్యుత్తమ ఇన్నింగ్స్ లో విశ్లేషణలు బౌలింగ్ (2/4)', '43 వ ఇన్నింగ్స్ లో సాధించిన (44) అత్యధిక పరుగులు']</v>
      </c>
      <c r="I9802" s="3"/>
    </row>
    <row r="9803" customHeight="1" spans="1:9">
      <c r="A9803" s="2"/>
      <c r="B9803" s="2" t="str">
        <f>IFERROR(__xludf.DUMMYFUNCTION("IF(A9803&lt;&gt;"""", GOOGLETRANSLATE(A9803, ""en"", ""te""),"""")"),"")</f>
        <v/>
      </c>
      <c r="C9803" s="2"/>
      <c r="D9803" s="2" t="str">
        <f>IFERROR(__xludf.DUMMYFUNCTION("IF(C9803&lt;&gt;"""", GOOGLETRANSLATE(C9803, ""en"", ""te""),"""")"),"")</f>
        <v/>
      </c>
      <c r="E9803" s="2"/>
      <c r="F9803" s="2" t="str">
        <f>IFERROR(__xludf.DUMMYFUNCTION("IF(E9803&lt;&gt;"""", GOOGLETRANSLATE(E9803, ""en"", ""te""),"""")"),"")</f>
        <v/>
      </c>
      <c r="G9803" s="2"/>
      <c r="H9803" s="2" t="str">
        <f>IFERROR(__xludf.DUMMYFUNCTION("IF(G9803&lt;&gt;"""", GOOGLETRANSLATE(G9803, ""en"", ""te""),"""")"),"")</f>
        <v/>
      </c>
      <c r="I9803" s="3"/>
    </row>
    <row r="9804" customHeight="1" spans="1:9">
      <c r="A9804" s="2"/>
      <c r="B9804" s="2" t="str">
        <f>IFERROR(__xludf.DUMMYFUNCTION("IF(A9804&lt;&gt;"""", GOOGLETRANSLATE(A9804, ""en"", ""te""),"""")"),"")</f>
        <v/>
      </c>
      <c r="C9804" s="2"/>
      <c r="D9804" s="2" t="str">
        <f>IFERROR(__xludf.DUMMYFUNCTION("IF(C9804&lt;&gt;"""", GOOGLETRANSLATE(C9804, ""en"", ""te""),"""")"),"")</f>
        <v/>
      </c>
      <c r="E9804" s="2"/>
      <c r="F9804" s="2" t="str">
        <f>IFERROR(__xludf.DUMMYFUNCTION("IF(E9804&lt;&gt;"""", GOOGLETRANSLATE(E9804, ""en"", ""te""),"""")"),"")</f>
        <v/>
      </c>
      <c r="G9804" s="2"/>
      <c r="H9804" s="2" t="str">
        <f>IFERROR(__xludf.DUMMYFUNCTION("IF(G9804&lt;&gt;"""", GOOGLETRANSLATE(G9804, ""en"", ""te""),"""")"),"")</f>
        <v/>
      </c>
      <c r="I9804" s="3"/>
    </row>
    <row r="9805" customHeight="1" spans="1:9">
      <c r="A9805" s="2"/>
      <c r="B9805" s="2" t="str">
        <f>IFERROR(__xludf.DUMMYFUNCTION("IF(A9805&lt;&gt;"""", GOOGLETRANSLATE(A9805, ""en"", ""te""),"""")"),"")</f>
        <v/>
      </c>
      <c r="C9805" s="2"/>
      <c r="D9805" s="2" t="str">
        <f>IFERROR(__xludf.DUMMYFUNCTION("IF(C9805&lt;&gt;"""", GOOGLETRANSLATE(C9805, ""en"", ""te""),"""")"),"")</f>
        <v/>
      </c>
      <c r="E9805" s="2"/>
      <c r="F9805" s="2" t="str">
        <f>IFERROR(__xludf.DUMMYFUNCTION("IF(E9805&lt;&gt;"""", GOOGLETRANSLATE(E9805, ""en"", ""te""),"""")"),"")</f>
        <v/>
      </c>
      <c r="G9805" s="2" t="s">
        <v>5239</v>
      </c>
      <c r="H9805" s="2" t="str">
        <f>IFERROR(__xludf.DUMMYFUNCTION("IF(G9805&lt;&gt;"""", GOOGLETRANSLATE(G9805, ""en"", ""te""),"""")"),"[ '35 వ చెత్త కెరీర్ బౌలింగ్ సరాసరి (అర్హత లేకుండా) (66.00)']")</f>
        <v>[ '35 వ చెత్త కెరీర్ బౌలింగ్ సరాసరి (అర్హత లేకుండా) (66.00)']</v>
      </c>
      <c r="I9805" s="3"/>
    </row>
    <row r="9806" customHeight="1" spans="1:9">
      <c r="A9806" s="2"/>
      <c r="B9806" s="2" t="str">
        <f>IFERROR(__xludf.DUMMYFUNCTION("IF(A9806&lt;&gt;"""", GOOGLETRANSLATE(A9806, ""en"", ""te""),"""")"),"")</f>
        <v/>
      </c>
      <c r="C9806" s="2"/>
      <c r="D9806" s="2" t="str">
        <f>IFERROR(__xludf.DUMMYFUNCTION("IF(C9806&lt;&gt;"""", GOOGLETRANSLATE(C9806, ""en"", ""te""),"""")"),"")</f>
        <v/>
      </c>
      <c r="E9806" s="2" t="s">
        <v>5661</v>
      </c>
      <c r="F9806" s="2" t="str">
        <f>IFERROR(__xludf.DUMMYFUNCTION("IF(E9806&lt;&gt;"""", GOOGLETRANSLATE(E9806, ""en"", ""te""),"""")"),"[ '48 వ ఓల్డెస్ట్ క్రీడాకారులు (40y 21d)', '44th లాంగెస్ట్ వ్యవధిలో ప్రదర్శనల మధ్య (6y 199d)', '14 వ ఓల్డెస్ట్ కాప్టెన్ (40y 21d)']")</f>
        <v>[ '48 వ ఓల్డెస్ట్ క్రీడాకారులు (40y 21d)', '44th లాంగెస్ట్ వ్యవధిలో ప్రదర్శనల మధ్య (6y 199d)', '14 వ ఓల్డెస్ట్ కాప్టెన్ (40y 21d)']</v>
      </c>
      <c r="G9806" s="2"/>
      <c r="H9806" s="2" t="str">
        <f>IFERROR(__xludf.DUMMYFUNCTION("IF(G9806&lt;&gt;"""", GOOGLETRANSLATE(G9806, ""en"", ""te""),"""")"),"")</f>
        <v/>
      </c>
      <c r="I9806" s="3"/>
    </row>
    <row r="9807" customHeight="1" spans="1:9">
      <c r="A9807" s="2" t="s">
        <v>352</v>
      </c>
      <c r="B9807" s="2" t="str">
        <f>IFERROR(__xludf.DUMMYFUNCTION("IF(A9807&lt;&gt;"""", GOOGLETRANSLATE(A9807, ""en"", ""te""),"""")"),"[ 'బ్యాటింగ్ ప్రారంభించుటకు మరియు అదే మ్యాచ్ లో బౌలింగ్']")</f>
        <v>[ 'బ్యాటింగ్ ప్రారంభించుటకు మరియు అదే మ్యాచ్ లో బౌలింగ్']</v>
      </c>
      <c r="C9807" s="2"/>
      <c r="D9807" s="2" t="str">
        <f>IFERROR(__xludf.DUMMYFUNCTION("IF(C9807&lt;&gt;"""", GOOGLETRANSLATE(C9807, ""en"", ""te""),"""")"),"")</f>
        <v/>
      </c>
      <c r="E9807" s="2"/>
      <c r="F9807" s="2" t="str">
        <f>IFERROR(__xludf.DUMMYFUNCTION("IF(E9807&lt;&gt;"""", GOOGLETRANSLATE(E9807, ""en"", ""te""),"""")"),"")</f>
        <v/>
      </c>
      <c r="G9807" s="2" t="s">
        <v>5662</v>
      </c>
      <c r="H9807" s="2" t="str">
        <f>IFERROR(__xludf.DUMMYFUNCTION("IF(G9807&lt;&gt;"""", GOOGLETRANSLATE(G9807, ""en"", ""te""),"""")"),"[ '12 వ ఇన్నింగ్స్ లో అత్యధిక పరుగులు (బ్యాటింగ్ స్థానంలో ప్రకారం) (55)', '20 వ చెత్త కెరీర్ (80.50) (అర్హత లేకుండా) సగటు బౌలింగ్']")</f>
        <v>[ '12 వ ఇన్నింగ్స్ లో అత్యధిక పరుగులు (బ్యాటింగ్ స్థానంలో ప్రకారం) (55)', '20 వ చెత్త కెరీర్ (80.50) (అర్హత లేకుండా) సగటు బౌలింగ్']</v>
      </c>
      <c r="I9807" s="3"/>
    </row>
    <row r="9808" customHeight="1" spans="1:9">
      <c r="A9808" s="2"/>
      <c r="B9808" s="2" t="str">
        <f>IFERROR(__xludf.DUMMYFUNCTION("IF(A9808&lt;&gt;"""", GOOGLETRANSLATE(A9808, ""en"", ""te""),"""")"),"")</f>
        <v/>
      </c>
      <c r="C9808" s="2"/>
      <c r="D9808" s="2" t="str">
        <f>IFERROR(__xludf.DUMMYFUNCTION("IF(C9808&lt;&gt;"""", GOOGLETRANSLATE(C9808, ""en"", ""te""),"""")"),"")</f>
        <v/>
      </c>
      <c r="E9808" s="2"/>
      <c r="F9808" s="2" t="str">
        <f>IFERROR(__xludf.DUMMYFUNCTION("IF(E9808&lt;&gt;"""", GOOGLETRANSLATE(E9808, ""en"", ""te""),"""")"),"")</f>
        <v/>
      </c>
      <c r="G9808" s="2" t="s">
        <v>5663</v>
      </c>
      <c r="H9808" s="2" t="str">
        <f>IFERROR(__xludf.DUMMYFUNCTION("IF(G9808&lt;&gt;"""", GOOGLETRANSLATE(G9808, ""en"", ""te""),"""")"),"[ '13 వ కెరీర్ బాతులు (6)', '42 వ ఇన్నింగ్స్ లో వచ్చిన ఎక్కువ సిక్స్ (7)', 'ఆరవ వికెట్కు 40 వ అత్యధిక భాగస్వామ్యం (63 *)']")</f>
        <v>[ '13 వ కెరీర్ బాతులు (6)', '42 వ ఇన్నింగ్స్ లో వచ్చిన ఎక్కువ సిక్స్ (7)', 'ఆరవ వికెట్కు 40 వ అత్యధిక భాగస్వామ్యం (63 *)']</v>
      </c>
      <c r="I9808" s="3"/>
    </row>
    <row r="9809" customHeight="1" spans="1:9">
      <c r="A9809" s="2"/>
      <c r="B9809" s="2" t="str">
        <f>IFERROR(__xludf.DUMMYFUNCTION("IF(A9809&lt;&gt;"""", GOOGLETRANSLATE(A9809, ""en"", ""te""),"""")"),"")</f>
        <v/>
      </c>
      <c r="C9809" s="2"/>
      <c r="D9809" s="2" t="str">
        <f>IFERROR(__xludf.DUMMYFUNCTION("IF(C9809&lt;&gt;"""", GOOGLETRANSLATE(C9809, ""en"", ""te""),"""")"),"")</f>
        <v/>
      </c>
      <c r="E9809" s="2"/>
      <c r="F9809" s="2" t="str">
        <f>IFERROR(__xludf.DUMMYFUNCTION("IF(E9809&lt;&gt;"""", GOOGLETRANSLATE(E9809, ""en"", ""te""),"""")"),"")</f>
        <v/>
      </c>
      <c r="G9809" s="2"/>
      <c r="H9809" s="2" t="str">
        <f>IFERROR(__xludf.DUMMYFUNCTION("IF(G9809&lt;&gt;"""", GOOGLETRANSLATE(G9809, ""en"", ""te""),"""")"),"")</f>
        <v/>
      </c>
      <c r="I9809" s="3"/>
    </row>
    <row r="9810" customHeight="1" spans="1:9">
      <c r="A9810" s="2" t="s">
        <v>5664</v>
      </c>
      <c r="B9810" s="2" t="str">
        <f>IFERROR(__xludf.DUMMYFUNCTION("IF(A9810&lt;&gt;"""", GOOGLETRANSLATE(A9810, ""en"", ""te""),"""")"),"[ 'ఇన్నింగ్స్ లో 5 వ అత్యుత్తమ బౌలింగ్ విశ్లేషణలు (4/7)' 'బ్యాటింగ్ తెరవడం మరియు అదే మ్యాచ్ లో బౌలింగ్', '1 వ వరుస నాలుగు వికెట్ల-ఒక ఇన్నింగ్స్లో (2)', '1 వ అత్యంత పనికత్తెలయొద్ద ఒక ఇన్నింగ్స్ లో (2) ']")</f>
        <v>[ 'ఇన్నింగ్స్ లో 5 వ అత్యుత్తమ బౌలింగ్ విశ్లేషణలు (4/7)' 'బ్యాటింగ్ తెరవడం మరియు అదే మ్యాచ్ లో బౌలింగ్', '1 వ వరుస నాలుగు వికెట్ల-ఒక ఇన్నింగ్స్లో (2)', '1 వ అత్యంత పనికత్తెలయొద్ద ఒక ఇన్నింగ్స్ లో (2) ']</v>
      </c>
      <c r="C9810" s="2"/>
      <c r="D9810" s="2" t="str">
        <f>IFERROR(__xludf.DUMMYFUNCTION("IF(C9810&lt;&gt;"""", GOOGLETRANSLATE(C9810, ""en"", ""te""),"""")"),"")</f>
        <v/>
      </c>
      <c r="E9810" s="2"/>
      <c r="F9810" s="2" t="str">
        <f>IFERROR(__xludf.DUMMYFUNCTION("IF(E9810&lt;&gt;"""", GOOGLETRANSLATE(E9810, ""en"", ""te""),"""")"),"")</f>
        <v/>
      </c>
      <c r="G9810" s="2" t="s">
        <v>5665</v>
      </c>
      <c r="H9810" s="2" t="str">
        <f>IFERROR(__xludf.DUMMYFUNCTION("IF(G9810&lt;&gt;"""", GOOGLETRANSLATE(G9810, ""en"", ""te""),"""")"),"[ '5 వ అత్యుత్తమ ఇన్నింగ్స్ లో బౌలింగ్ విశ్లేషణలు (4/7)', '13 వ సగటు (18.13) బౌలింగ్ ఉత్తమ జీవితం' '19 వ ఉత్తమ కెరీర్ ఆర్థిక రేటు (6.64)', '24 వ ఉత్తమ కెరీర్ సమ్మె రేటు (16.3)', ' 7 వ అత్యంత నాలుగు వికెట్లు-ఇన్-ఒక-ఇన్నింగ్స్ కెరీర్ (3) ',' 1 వ వరుస నాలుగు"&amp;" వికెట్లు-ఇన్-ఒక-ఇన్నింగ్స్ (2) ',' 26th బౌలర్ / ఫీల్డర్ కలయికలు (7) ',' 30 వ లో అత్యధిక వికెట్లను తీసుకున్నాడు బౌల్డ్ (12) ',' 22 వ అత్యధిక వికెట్లు చిక్కుకున్న వికెట్కీపర్గా (7) ',' 28 వ అతి ప్లేయర్ ఆఫ్ ది మ్యాచ్ అవార్డులు (5) ',' 10 వ కెరీర్ లో అత్యంత "&amp;"పనికత్తెలయొద్ద (4) 'తీసుకుంటుందనే '1 వ అత్యంత ఇన్నింగ్స్ లో పనికత్తెలయొద్ద (2)']")</f>
        <v>[ '5 వ అత్యుత్తమ ఇన్నింగ్స్ లో బౌలింగ్ విశ్లేషణలు (4/7)', '13 వ సగటు (18.13) బౌలింగ్ ఉత్తమ జీవితం' '19 వ ఉత్తమ కెరీర్ ఆర్థిక రేటు (6.64)', '24 వ ఉత్తమ కెరీర్ సమ్మె రేటు (16.3)', ' 7 వ అత్యంత నాలుగు వికెట్లు-ఇన్-ఒక-ఇన్నింగ్స్ కెరీర్ (3) ',' 1 వ వరుస నాలుగు వికెట్లు-ఇన్-ఒక-ఇన్నింగ్స్ (2) ',' 26th బౌలర్ / ఫీల్డర్ కలయికలు (7) ',' 30 వ లో అత్యధిక వికెట్లను తీసుకున్నాడు బౌల్డ్ (12) ',' 22 వ అత్యధిక వికెట్లు చిక్కుకున్న వికెట్కీపర్గా (7) ',' 28 వ అతి ప్లేయర్ ఆఫ్ ది మ్యాచ్ అవార్డులు (5) ',' 10 వ కెరీర్ లో అత్యంత పనికత్తెలయొద్ద (4) 'తీసుకుంటుందనే '1 వ అత్యంత ఇన్నింగ్స్ లో పనికత్తెలయొద్ద (2)']</v>
      </c>
      <c r="I9810" s="3"/>
    </row>
    <row r="9811" customHeight="1" spans="1:9">
      <c r="A9811" s="2"/>
      <c r="B9811" s="2" t="str">
        <f>IFERROR(__xludf.DUMMYFUNCTION("IF(A9811&lt;&gt;"""", GOOGLETRANSLATE(A9811, ""en"", ""te""),"""")"),"")</f>
        <v/>
      </c>
      <c r="C9811" s="2"/>
      <c r="D9811" s="2" t="str">
        <f>IFERROR(__xludf.DUMMYFUNCTION("IF(C9811&lt;&gt;"""", GOOGLETRANSLATE(C9811, ""en"", ""te""),"""")"),"")</f>
        <v/>
      </c>
      <c r="E9811" s="2"/>
      <c r="F9811" s="2" t="str">
        <f>IFERROR(__xludf.DUMMYFUNCTION("IF(E9811&lt;&gt;"""", GOOGLETRANSLATE(E9811, ""en"", ""te""),"""")"),"")</f>
        <v/>
      </c>
      <c r="G9811" s="2"/>
      <c r="H9811" s="2" t="str">
        <f>IFERROR(__xludf.DUMMYFUNCTION("IF(G9811&lt;&gt;"""", GOOGLETRANSLATE(G9811, ""en"", ""te""),"""")"),"")</f>
        <v/>
      </c>
      <c r="I9811" s="3"/>
    </row>
    <row r="9812" customHeight="1" spans="1:9">
      <c r="A9812" s="2"/>
      <c r="B9812" s="2" t="str">
        <f>IFERROR(__xludf.DUMMYFUNCTION("IF(A9812&lt;&gt;"""", GOOGLETRANSLATE(A9812, ""en"", ""te""),"""")"),"")</f>
        <v/>
      </c>
      <c r="C9812" s="2"/>
      <c r="D9812" s="2" t="str">
        <f>IFERROR(__xludf.DUMMYFUNCTION("IF(C9812&lt;&gt;"""", GOOGLETRANSLATE(C9812, ""en"", ""te""),"""")"),"")</f>
        <v/>
      </c>
      <c r="E9812" s="2"/>
      <c r="F9812" s="2" t="str">
        <f>IFERROR(__xludf.DUMMYFUNCTION("IF(E9812&lt;&gt;"""", GOOGLETRANSLATE(E9812, ""en"", ""te""),"""")"),"")</f>
        <v/>
      </c>
      <c r="G9812" s="2"/>
      <c r="H9812" s="2" t="str">
        <f>IFERROR(__xludf.DUMMYFUNCTION("IF(G9812&lt;&gt;"""", GOOGLETRANSLATE(G9812, ""en"", ""te""),"""")"),"")</f>
        <v/>
      </c>
      <c r="I9812" s="3"/>
    </row>
    <row r="9813" customHeight="1" spans="1:9">
      <c r="A9813" s="2"/>
      <c r="B9813" s="2" t="str">
        <f>IFERROR(__xludf.DUMMYFUNCTION("IF(A9813&lt;&gt;"""", GOOGLETRANSLATE(A9813, ""en"", ""te""),"""")"),"")</f>
        <v/>
      </c>
      <c r="C9813" s="2"/>
      <c r="D9813" s="2" t="str">
        <f>IFERROR(__xludf.DUMMYFUNCTION("IF(C9813&lt;&gt;"""", GOOGLETRANSLATE(C9813, ""en"", ""te""),"""")"),"")</f>
        <v/>
      </c>
      <c r="E9813" s="2"/>
      <c r="F9813" s="2" t="str">
        <f>IFERROR(__xludf.DUMMYFUNCTION("IF(E9813&lt;&gt;"""", GOOGLETRANSLATE(E9813, ""en"", ""te""),"""")"),"")</f>
        <v/>
      </c>
      <c r="G9813" s="2"/>
      <c r="H9813" s="2" t="str">
        <f>IFERROR(__xludf.DUMMYFUNCTION("IF(G9813&lt;&gt;"""", GOOGLETRANSLATE(G9813, ""en"", ""te""),"""")"),"")</f>
        <v/>
      </c>
      <c r="I9813" s="3"/>
    </row>
    <row r="9814" customHeight="1" spans="1:9">
      <c r="A9814" s="2"/>
      <c r="B9814" s="2" t="str">
        <f>IFERROR(__xludf.DUMMYFUNCTION("IF(A9814&lt;&gt;"""", GOOGLETRANSLATE(A9814, ""en"", ""te""),"""")"),"")</f>
        <v/>
      </c>
      <c r="C9814" s="2"/>
      <c r="D9814" s="2" t="str">
        <f>IFERROR(__xludf.DUMMYFUNCTION("IF(C9814&lt;&gt;"""", GOOGLETRANSLATE(C9814, ""en"", ""te""),"""")"),"")</f>
        <v/>
      </c>
      <c r="E9814" s="2" t="s">
        <v>5666</v>
      </c>
      <c r="F9814" s="2" t="str">
        <f>IFERROR(__xludf.DUMMYFUNCTION("IF(E9814&lt;&gt;"""", GOOGLETRANSLATE(E9814, ""en"", ""te""),"""")"),"[ '23 వ ఉత్తమ కెరీర్ బౌలింగ్ సరాసరి (అర్హత లేకుండా) (10.33)']")</f>
        <v>[ '23 వ ఉత్తమ కెరీర్ బౌలింగ్ సరాసరి (అర్హత లేకుండా) (10.33)']</v>
      </c>
      <c r="G9814" s="2"/>
      <c r="H9814" s="2" t="str">
        <f>IFERROR(__xludf.DUMMYFUNCTION("IF(G9814&lt;&gt;"""", GOOGLETRANSLATE(G9814, ""en"", ""te""),"""")"),"")</f>
        <v/>
      </c>
      <c r="I9814" s="3"/>
    </row>
    <row r="9815" customHeight="1" spans="1:9">
      <c r="A9815" s="2" t="s">
        <v>352</v>
      </c>
      <c r="B9815" s="2" t="str">
        <f>IFERROR(__xludf.DUMMYFUNCTION("IF(A9815&lt;&gt;"""", GOOGLETRANSLATE(A9815, ""en"", ""te""),"""")"),"[ 'బ్యాటింగ్ ప్రారంభించుటకు మరియు అదే మ్యాచ్ లో బౌలింగ్']")</f>
        <v>[ 'బ్యాటింగ్ ప్రారంభించుటకు మరియు అదే మ్యాచ్ లో బౌలింగ్']</v>
      </c>
      <c r="C9815" s="2"/>
      <c r="D9815" s="2" t="str">
        <f>IFERROR(__xludf.DUMMYFUNCTION("IF(C9815&lt;&gt;"""", GOOGLETRANSLATE(C9815, ""en"", ""te""),"""")"),"")</f>
        <v/>
      </c>
      <c r="E9815" s="2"/>
      <c r="F9815" s="2" t="str">
        <f>IFERROR(__xludf.DUMMYFUNCTION("IF(E9815&lt;&gt;"""", GOOGLETRANSLATE(E9815, ""en"", ""te""),"""")"),"")</f>
        <v/>
      </c>
      <c r="G9815" s="2" t="s">
        <v>5667</v>
      </c>
      <c r="H9815" s="2" t="str">
        <f>IFERROR(__xludf.DUMMYFUNCTION("IF(G9815&lt;&gt;"""", GOOGLETRANSLATE(G9815, ""en"", ""te""),"""")"),"[ 'ఐదవ వికెట్కు 29 అత్యధిక భాగస్వామ్యం (60)']")</f>
        <v>[ 'ఐదవ వికెట్కు 29 అత్యధిక భాగస్వామ్యం (60)']</v>
      </c>
      <c r="I9815" s="3"/>
    </row>
    <row r="9816" customHeight="1" spans="1:9">
      <c r="A9816" s="2" t="s">
        <v>5668</v>
      </c>
      <c r="B9816" s="2" t="str">
        <f>IFERROR(__xludf.DUMMYFUNCTION("IF(A9816&lt;&gt;"""", GOOGLETRANSLATE(A9816, ""en"", ""te""),"""")"),"[ 'ఒక క్యాలెండర్ సంవత్సరంలో 3 వ అత్యధిక పరుగులు (702)', 'కెరీర్ లో 6 వ లేవు బాతులు (39)', '2 వ ఇన్నింగ్స్ లో వచ్చిన ఎక్కువ ఫోర్లు (15)', '2 వ లాంగెస్ట్ వ్యక్తిగత ఇన్నింగ్స్ (బంతులతో) (73)' 'రెండవ వికెట్కు 8 వ అత్యధిక భాగస్వామ్యం (144)', 'కెరీర్ లో 2 వ లేవ"&amp;"ు బాతులు (44)']")</f>
        <v>[ 'ఒక క్యాలెండర్ సంవత్సరంలో 3 వ అత్యధిక పరుగులు (702)', 'కెరీర్ లో 6 వ లేవు బాతులు (39)', '2 వ ఇన్నింగ్స్ లో వచ్చిన ఎక్కువ ఫోర్లు (15)', '2 వ లాంగెస్ట్ వ్యక్తిగత ఇన్నింగ్స్ (బంతులతో) (73)' 'రెండవ వికెట్కు 8 వ అత్యధిక భాగస్వామ్యం (144)', 'కెరీర్ లో 2 వ లేవు బాతులు (44)']</v>
      </c>
      <c r="C9816" s="2"/>
      <c r="D9816" s="2" t="str">
        <f>IFERROR(__xludf.DUMMYFUNCTION("IF(C9816&lt;&gt;"""", GOOGLETRANSLATE(C9816, ""en"", ""te""),"""")"),"")</f>
        <v/>
      </c>
      <c r="E9816" s="2" t="s">
        <v>5669</v>
      </c>
      <c r="F9816" s="2" t="str">
        <f>IFERROR(__xludf.DUMMYFUNCTION("IF(E9816&lt;&gt;"""", GOOGLETRANSLATE(E9816, ""en"", ""te""),"""")"),"[ '25 తొలి మ్యాచ్లో అత్యధిక పరుగులు (86 *)']")</f>
        <v>[ '25 తొలి మ్యాచ్లో అత్యధిక పరుగులు (86 *)']</v>
      </c>
      <c r="G9816" s="2" t="s">
        <v>5670</v>
      </c>
      <c r="H9816" s="2" t="str">
        <f>IFERROR(__xludf.DUMMYFUNCTION("IF(G9816&lt;&gt;"""", GOOGLETRANSLATE(G9816, ""en"", ""te""),"""")"),"[ 'ఇన్నింగ్స్ లో 5 వ అత్యధిక పరుగులు (133 *)', '3 వ భాగం ఒక క్యాలెండర్ సంవత్సరంలో పరుగులు (702)' లో, '5 వ ఇన్నింగ్స్ లో అత్యధిక పరుగులు (బ్యాటింగ్ స్థానంలో ప్రకారం) (133 *)', '41 వ అత్యంత అర్ధ కెరీర్ (7) ',' కెరీర్ లో 6 వ లేవు బాతులు (39) ',' ఒక డక్ లేకుం"&amp;"డా 26 వరుస ఇన్నింగ్స్ (39 *) ',' ఇన్నింగ్స్ లో 2 వ పెద్ద ఫోర్లు (15) ',' 9 వ ఫోర్లు నుండి చాలా పరుగులు మరియు ఒక ఇన్నింగ్స్ లో సిక్సర్లు (96) ',' 2 వ లాంగెస్ట్ వ్యక్తిగత ఇన్నింగ్స్ (బంతులతో) (73) ',' ఒక ఇన్నింగ్స్లో పరుగుల 4 వ అత్యధిక శాతం (69.63) ',' ఫాస్"&amp;"టెస్ట్ 1000 పరుగులు 16 (37) ',' ఏ వికెట్కు (144) ',' మొదటి వికెట్కు 38 వ అత్యధిక భాగస్వామ్యం (123) ',' రెండవ వికెట్కు 8 వ అత్యధిక భాగస్వామ్యం (144) ',' మూడో వికెట్కు 11 వ అత్యధిక భాగస్వామ్యం (125 *) 24 అత్యధిక భాగస్వామ్యాలు ' ]")</f>
        <v>[ 'ఇన్నింగ్స్ లో 5 వ అత్యధిక పరుగులు (133 *)', '3 వ భాగం ఒక క్యాలెండర్ సంవత్సరంలో పరుగులు (702)' లో, '5 వ ఇన్నింగ్స్ లో అత్యధిక పరుగులు (బ్యాటింగ్ స్థానంలో ప్రకారం) (133 *)', '41 వ అత్యంత అర్ధ కెరీర్ (7) ',' కెరీర్ లో 6 వ లేవు బాతులు (39) ',' ఒక డక్ లేకుండా 26 వరుస ఇన్నింగ్స్ (39 *) ',' ఇన్నింగ్స్ లో 2 వ పెద్ద ఫోర్లు (15) ',' 9 వ ఫోర్లు నుండి చాలా పరుగులు మరియు ఒక ఇన్నింగ్స్ లో సిక్సర్లు (96) ',' 2 వ లాంగెస్ట్ వ్యక్తిగత ఇన్నింగ్స్ (బంతులతో) (73) ',' ఒక ఇన్నింగ్స్లో పరుగుల 4 వ అత్యధిక శాతం (69.63) ',' ఫాస్టెస్ట్ 1000 పరుగులు 16 (37) ',' ఏ వికెట్కు (144) ',' మొదటి వికెట్కు 38 వ అత్యధిక భాగస్వామ్యం (123) ',' రెండవ వికెట్కు 8 వ అత్యధిక భాగస్వామ్యం (144) ',' మూడో వికెట్కు 11 వ అత్యధిక భాగస్వామ్యం (125 *) 24 అత్యధిక భాగస్వామ్యాలు ' ]</v>
      </c>
      <c r="I9816" s="3"/>
    </row>
    <row r="9817" customHeight="1" spans="1:9">
      <c r="A9817" s="2"/>
      <c r="B9817" s="2" t="str">
        <f>IFERROR(__xludf.DUMMYFUNCTION("IF(A9817&lt;&gt;"""", GOOGLETRANSLATE(A9817, ""en"", ""te""),"""")"),"")</f>
        <v/>
      </c>
      <c r="C9817" s="2"/>
      <c r="D9817" s="2" t="str">
        <f>IFERROR(__xludf.DUMMYFUNCTION("IF(C9817&lt;&gt;"""", GOOGLETRANSLATE(C9817, ""en"", ""te""),"""")"),"")</f>
        <v/>
      </c>
      <c r="E9817" s="2"/>
      <c r="F9817" s="2" t="str">
        <f>IFERROR(__xludf.DUMMYFUNCTION("IF(E9817&lt;&gt;"""", GOOGLETRANSLATE(E9817, ""en"", ""te""),"""")"),"")</f>
        <v/>
      </c>
      <c r="G9817" s="2"/>
      <c r="H9817" s="2" t="str">
        <f>IFERROR(__xludf.DUMMYFUNCTION("IF(G9817&lt;&gt;"""", GOOGLETRANSLATE(G9817, ""en"", ""te""),"""")"),"")</f>
        <v/>
      </c>
      <c r="I9817" s="3"/>
    </row>
    <row r="9818" customHeight="1" spans="1:9">
      <c r="A9818" s="2" t="s">
        <v>5671</v>
      </c>
      <c r="B9818" s="2" t="str">
        <f>IFERROR(__xludf.DUMMYFUNCTION("IF(A9818&lt;&gt;"""", GOOGLETRANSLATE(A9818, ""en"", ""te""),"""")"),"[ '3 వ పిన్న ఆటగాడు ఐదు వికెట్ల లో-ఒక-ఇన్నింగ్స్ తీసుకోవాలని (17y 210d)']")</f>
        <v>[ '3 వ పిన్న ఆటగాడు ఐదు వికెట్ల లో-ఒక-ఇన్నింగ్స్ తీసుకోవాలని (17y 210d)']</v>
      </c>
      <c r="C9818" s="2"/>
      <c r="D9818" s="2" t="str">
        <f>IFERROR(__xludf.DUMMYFUNCTION("IF(C9818&lt;&gt;"""", GOOGLETRANSLATE(C9818, ""en"", ""te""),"""")"),"")</f>
        <v/>
      </c>
      <c r="E9818" s="2" t="s">
        <v>5672</v>
      </c>
      <c r="F9818" s="2" t="str">
        <f>IFERROR(__xludf.DUMMYFUNCTION("IF(E9818&lt;&gt;"""", GOOGLETRANSLATE(E9818, ""en"", ""te""),"""")"),"[ '12 వ పిన్న క్రీడాకారులు (15y 75d)' '38 వ లాంగెస్ట్ కెరీర్లు (14y 18d)' '3 వ పిన్న ఆటగాడు ఐదు వికెట్ల లో-ఒక-ఇన్నింగ్స్ (17y 210d) తీసుకోవాలని',]")</f>
        <v>[ '12 వ పిన్న క్రీడాకారులు (15y 75d)' '38 వ లాంగెస్ట్ కెరీర్లు (14y 18d)' '3 వ పిన్న ఆటగాడు ఐదు వికెట్ల లో-ఒక-ఇన్నింగ్స్ (17y 210d) తీసుకోవాలని',]</v>
      </c>
      <c r="G9818" s="2"/>
      <c r="H9818" s="2" t="str">
        <f>IFERROR(__xludf.DUMMYFUNCTION("IF(G9818&lt;&gt;"""", GOOGLETRANSLATE(G9818, ""en"", ""te""),"""")"),"")</f>
        <v/>
      </c>
      <c r="I9818" s="3"/>
    </row>
    <row r="9819" customHeight="1" spans="1:9">
      <c r="A9819" s="2"/>
      <c r="B9819" s="2" t="str">
        <f>IFERROR(__xludf.DUMMYFUNCTION("IF(A9819&lt;&gt;"""", GOOGLETRANSLATE(A9819, ""en"", ""te""),"""")"),"")</f>
        <v/>
      </c>
      <c r="C9819" s="2"/>
      <c r="D9819" s="2" t="str">
        <f>IFERROR(__xludf.DUMMYFUNCTION("IF(C9819&lt;&gt;"""", GOOGLETRANSLATE(C9819, ""en"", ""te""),"""")"),"")</f>
        <v/>
      </c>
      <c r="E9819" s="2" t="s">
        <v>5673</v>
      </c>
      <c r="F9819" s="2" t="str">
        <f>IFERROR(__xludf.DUMMYFUNCTION("IF(E9819&lt;&gt;"""", GOOGLETRANSLATE(E9819, ""en"", ""te""),"""")"),"[ '42 వ కెరీర్ స్టంపింగ్లు (5)']")</f>
        <v>[ '42 వ కెరీర్ స్టంపింగ్లు (5)']</v>
      </c>
      <c r="G9819" s="2"/>
      <c r="H9819" s="2" t="str">
        <f>IFERROR(__xludf.DUMMYFUNCTION("IF(G9819&lt;&gt;"""", GOOGLETRANSLATE(G9819, ""en"", ""te""),"""")"),"")</f>
        <v/>
      </c>
      <c r="I9819" s="3"/>
    </row>
    <row r="9820" customHeight="1" spans="1:9">
      <c r="A9820" s="2"/>
      <c r="B9820" s="2" t="str">
        <f>IFERROR(__xludf.DUMMYFUNCTION("IF(A9820&lt;&gt;"""", GOOGLETRANSLATE(A9820, ""en"", ""te""),"""")"),"")</f>
        <v/>
      </c>
      <c r="C9820" s="2"/>
      <c r="D9820" s="2" t="str">
        <f>IFERROR(__xludf.DUMMYFUNCTION("IF(C9820&lt;&gt;"""", GOOGLETRANSLATE(C9820, ""en"", ""te""),"""")"),"")</f>
        <v/>
      </c>
      <c r="E9820" s="2"/>
      <c r="F9820" s="2" t="str">
        <f>IFERROR(__xludf.DUMMYFUNCTION("IF(E9820&lt;&gt;"""", GOOGLETRANSLATE(E9820, ""en"", ""te""),"""")"),"")</f>
        <v/>
      </c>
      <c r="G9820" s="2"/>
      <c r="H9820" s="2" t="str">
        <f>IFERROR(__xludf.DUMMYFUNCTION("IF(G9820&lt;&gt;"""", GOOGLETRANSLATE(G9820, ""en"", ""te""),"""")"),"")</f>
        <v/>
      </c>
      <c r="I9820" s="3"/>
    </row>
    <row r="9821" customHeight="1" spans="1:9">
      <c r="A9821" s="2"/>
      <c r="B9821" s="2" t="str">
        <f>IFERROR(__xludf.DUMMYFUNCTION("IF(A9821&lt;&gt;"""", GOOGLETRANSLATE(A9821, ""en"", ""te""),"""")"),"")</f>
        <v/>
      </c>
      <c r="C9821" s="2"/>
      <c r="D9821" s="2" t="str">
        <f>IFERROR(__xludf.DUMMYFUNCTION("IF(C9821&lt;&gt;"""", GOOGLETRANSLATE(C9821, ""en"", ""te""),"""")"),"")</f>
        <v/>
      </c>
      <c r="E9821" s="2" t="s">
        <v>5674</v>
      </c>
      <c r="F9821" s="2" t="str">
        <f>IFERROR(__xludf.DUMMYFUNCTION("IF(E9821&lt;&gt;"""", GOOGLETRANSLATE(E9821, ""en"", ""te""),"""")"),"[ '30 వ అత్యంత ఇన్నింగ్స్ లో సాధించిన పరుగులు (74)', '49 వ లాంగెస్ట్ కెరీర్లు (13y 122d)', '31 అత్యధిక మ్యాచ్లు కెప్టెన్గా (25)']")</f>
        <v>[ '30 వ అత్యంత ఇన్నింగ్స్ లో సాధించిన పరుగులు (74)', '49 వ లాంగెస్ట్ కెరీర్లు (13y 122d)', '31 అత్యధిక మ్యాచ్లు కెప్టెన్గా (25)']</v>
      </c>
      <c r="G9821" s="2" t="s">
        <v>5675</v>
      </c>
      <c r="H9821" s="2" t="str">
        <f>IFERROR(__xludf.DUMMYFUNCTION("IF(G9821&lt;&gt;"""", GOOGLETRANSLATE(G9821, ""en"", ""te""),"""")"),"[ '25 వ అత్యధిక భాగస్వామ్యం ఏడవ వికెట్కు (38 *)' '14 వ చెత్త కెరీర్ సగటు (92.00) (అర్హత లేకుండా) బౌలింగ్', 'కెప్టెన్ (10) గా 43 వ అత్యధిక మ్యాచ్లు']")</f>
        <v>[ '25 వ అత్యధిక భాగస్వామ్యం ఏడవ వికెట్కు (38 *)' '14 వ చెత్త కెరీర్ సగటు (92.00) (అర్హత లేకుండా) బౌలింగ్', 'కెప్టెన్ (10) గా 43 వ అత్యధిక మ్యాచ్లు']</v>
      </c>
      <c r="I9821" s="3"/>
    </row>
    <row r="9822" customHeight="1" spans="1:9">
      <c r="A9822" s="2" t="s">
        <v>248</v>
      </c>
      <c r="B9822" s="2" t="str">
        <f>IFERROR(__xludf.DUMMYFUNCTION("IF(A9822&lt;&gt;"""", GOOGLETRANSLATE(A9822, ""en"", ""te""),"""")"),"[ '1st అత్యధిక వికెట్లు తీసిన హిట్ వికెట్ (1)']")</f>
        <v>[ '1st అత్యధిక వికెట్లు తీసిన హిట్ వికెట్ (1)']</v>
      </c>
      <c r="C9822" s="2"/>
      <c r="D9822" s="2" t="str">
        <f>IFERROR(__xludf.DUMMYFUNCTION("IF(C9822&lt;&gt;"""", GOOGLETRANSLATE(C9822, ""en"", ""te""),"""")"),"")</f>
        <v/>
      </c>
      <c r="E9822" s="2"/>
      <c r="F9822" s="2" t="str">
        <f>IFERROR(__xludf.DUMMYFUNCTION("IF(E9822&lt;&gt;"""", GOOGLETRANSLATE(E9822, ""en"", ""te""),"""")"),"")</f>
        <v/>
      </c>
      <c r="G9822" s="2" t="s">
        <v>5676</v>
      </c>
      <c r="H9822" s="2" t="str">
        <f>IFERROR(__xludf.DUMMYFUNCTION("IF(G9822&lt;&gt;"""", GOOGLETRANSLATE(G9822, ""en"", ""te""),"""")"),"[ '25 వ అత్యుత్తమ ఇన్నింగ్స్ లో బౌలింగ్ విశ్లేషణలు (3/8)', '1 వ అత్యధిక వికెట్లు తీసిన హిట్ వికెట్ (1)', 'మూడో వికెట్కు 49 వ అత్యధిక భాగస్వామ్యం (93)']")</f>
        <v>[ '25 వ అత్యుత్తమ ఇన్నింగ్స్ లో బౌలింగ్ విశ్లేషణలు (3/8)', '1 వ అత్యధిక వికెట్లు తీసిన హిట్ వికెట్ (1)', 'మూడో వికెట్కు 49 వ అత్యధిక భాగస్వామ్యం (93)']</v>
      </c>
      <c r="I9822" s="3"/>
    </row>
    <row r="9823" customHeight="1" spans="1:9">
      <c r="A9823" s="2" t="s">
        <v>1828</v>
      </c>
      <c r="B9823" s="2" t="str">
        <f>IFERROR(__xludf.DUMMYFUNCTION("IF(A9823&lt;&gt;"""", GOOGLETRANSLATE(A9823, ""en"", ""te""),"""")"),"[ 'ఇన్నింగ్స్ లో 4 వ అత్యధిక క్యాచ్లు (3)']")</f>
        <v>[ 'ఇన్నింగ్స్ లో 4 వ అత్యధిక క్యాచ్లు (3)']</v>
      </c>
      <c r="C9823" s="2"/>
      <c r="D9823" s="2" t="str">
        <f>IFERROR(__xludf.DUMMYFUNCTION("IF(C9823&lt;&gt;"""", GOOGLETRANSLATE(C9823, ""en"", ""te""),"""")"),"")</f>
        <v/>
      </c>
      <c r="E9823" s="2" t="s">
        <v>1828</v>
      </c>
      <c r="F9823" s="2" t="str">
        <f>IFERROR(__xludf.DUMMYFUNCTION("IF(E9823&lt;&gt;"""", GOOGLETRANSLATE(E9823, ""en"", ""te""),"""")"),"[ 'ఇన్నింగ్స్ లో 4 వ అత్యధిక క్యాచ్లు (3)']")</f>
        <v>[ 'ఇన్నింగ్స్ లో 4 వ అత్యధిక క్యాచ్లు (3)']</v>
      </c>
      <c r="G9823" s="2"/>
      <c r="H9823" s="2" t="str">
        <f>IFERROR(__xludf.DUMMYFUNCTION("IF(G9823&lt;&gt;"""", GOOGLETRANSLATE(G9823, ""en"", ""te""),"""")"),"")</f>
        <v/>
      </c>
      <c r="I9823" s="3"/>
    </row>
    <row r="9824" customHeight="1" spans="1:9">
      <c r="A9824" s="2"/>
      <c r="B9824" s="2" t="str">
        <f>IFERROR(__xludf.DUMMYFUNCTION("IF(A9824&lt;&gt;"""", GOOGLETRANSLATE(A9824, ""en"", ""te""),"""")"),"")</f>
        <v/>
      </c>
      <c r="C9824" s="2"/>
      <c r="D9824" s="2" t="str">
        <f>IFERROR(__xludf.DUMMYFUNCTION("IF(C9824&lt;&gt;"""", GOOGLETRANSLATE(C9824, ""en"", ""te""),"""")"),"")</f>
        <v/>
      </c>
      <c r="E9824" s="2"/>
      <c r="F9824" s="2" t="str">
        <f>IFERROR(__xludf.DUMMYFUNCTION("IF(E9824&lt;&gt;"""", GOOGLETRANSLATE(E9824, ""en"", ""te""),"""")"),"")</f>
        <v/>
      </c>
      <c r="G9824" s="2" t="s">
        <v>5677</v>
      </c>
      <c r="H9824" s="2" t="str">
        <f>IFERROR(__xludf.DUMMYFUNCTION("IF(G9824&lt;&gt;"""", GOOGLETRANSLATE(G9824, ""en"", ""te""),"""")"),"[ 'మొదటి డక్ (13) ముందు 37 వ అత్యంత ఇన్నింగ్స్]")</f>
        <v>[ 'మొదటి డక్ (13) ముందు 37 వ అత్యంత ఇన్నింగ్స్]</v>
      </c>
      <c r="I9824" s="3"/>
    </row>
    <row r="9825" customHeight="1" spans="1:9">
      <c r="A9825" s="2" t="s">
        <v>352</v>
      </c>
      <c r="B9825" s="2" t="str">
        <f>IFERROR(__xludf.DUMMYFUNCTION("IF(A9825&lt;&gt;"""", GOOGLETRANSLATE(A9825, ""en"", ""te""),"""")"),"[ 'బ్యాటింగ్ ప్రారంభించుటకు మరియు అదే మ్యాచ్ లో బౌలింగ్']")</f>
        <v>[ 'బ్యాటింగ్ ప్రారంభించుటకు మరియు అదే మ్యాచ్ లో బౌలింగ్']</v>
      </c>
      <c r="C9825" s="2"/>
      <c r="D9825" s="2" t="str">
        <f>IFERROR(__xludf.DUMMYFUNCTION("IF(C9825&lt;&gt;"""", GOOGLETRANSLATE(C9825, ""en"", ""te""),"""")"),"")</f>
        <v/>
      </c>
      <c r="E9825" s="2" t="s">
        <v>5678</v>
      </c>
      <c r="F9825" s="2" t="str">
        <f>IFERROR(__xludf.DUMMYFUNCTION("IF(E9825&lt;&gt;"""", GOOGLETRANSLATE(E9825, ""en"", ""te""),"""")"),"[ '25 వ అత్యంత వృద్ధ ఆటగాడు తొలి వంద (33y 255d) స్కోర్']")</f>
        <v>[ '25 వ అత్యంత వృద్ధ ఆటగాడు తొలి వంద (33y 255d) స్కోర్']</v>
      </c>
      <c r="G9825" s="2" t="s">
        <v>5679</v>
      </c>
      <c r="H9825" s="2" t="str">
        <f>IFERROR(__xludf.DUMMYFUNCTION("IF(G9825&lt;&gt;"""", GOOGLETRANSLATE(G9825, ""en"", ""te""),"""")"),"[ '49 వ పురాతన దేశం ఆటగాళ్ళు (47y 293d)']")</f>
        <v>[ '49 వ పురాతన దేశం ఆటగాళ్ళు (47y 293d)']</v>
      </c>
      <c r="I9825" s="3"/>
    </row>
    <row r="9826" customHeight="1" spans="1:9">
      <c r="A9826" s="2"/>
      <c r="B9826" s="2" t="str">
        <f>IFERROR(__xludf.DUMMYFUNCTION("IF(A9826&lt;&gt;"""", GOOGLETRANSLATE(A9826, ""en"", ""te""),"""")"),"")</f>
        <v/>
      </c>
      <c r="C9826" s="2"/>
      <c r="D9826" s="2" t="str">
        <f>IFERROR(__xludf.DUMMYFUNCTION("IF(C9826&lt;&gt;"""", GOOGLETRANSLATE(C9826, ""en"", ""te""),"""")"),"")</f>
        <v/>
      </c>
      <c r="E9826" s="2"/>
      <c r="F9826" s="2" t="str">
        <f>IFERROR(__xludf.DUMMYFUNCTION("IF(E9826&lt;&gt;"""", GOOGLETRANSLATE(E9826, ""en"", ""te""),"""")"),"")</f>
        <v/>
      </c>
      <c r="G9826" s="2"/>
      <c r="H9826" s="2" t="str">
        <f>IFERROR(__xludf.DUMMYFUNCTION("IF(G9826&lt;&gt;"""", GOOGLETRANSLATE(G9826, ""en"", ""te""),"""")"),"")</f>
        <v/>
      </c>
      <c r="I9826" s="3"/>
    </row>
    <row r="9827" customHeight="1" spans="1:9">
      <c r="A9827" s="2"/>
      <c r="B9827" s="2" t="str">
        <f>IFERROR(__xludf.DUMMYFUNCTION("IF(A9827&lt;&gt;"""", GOOGLETRANSLATE(A9827, ""en"", ""te""),"""")"),"")</f>
        <v/>
      </c>
      <c r="C9827" s="2"/>
      <c r="D9827" s="2" t="str">
        <f>IFERROR(__xludf.DUMMYFUNCTION("IF(C9827&lt;&gt;"""", GOOGLETRANSLATE(C9827, ""en"", ""te""),"""")"),"")</f>
        <v/>
      </c>
      <c r="E9827" s="2"/>
      <c r="F9827" s="2" t="str">
        <f>IFERROR(__xludf.DUMMYFUNCTION("IF(E9827&lt;&gt;"""", GOOGLETRANSLATE(E9827, ""en"", ""te""),"""")"),"")</f>
        <v/>
      </c>
      <c r="G9827" s="2" t="s">
        <v>797</v>
      </c>
      <c r="H9827" s="2" t="str">
        <f>IFERROR(__xludf.DUMMYFUNCTION("IF(G9827&lt;&gt;"""", GOOGLETRANSLATE(G9827, ""en"", ""te""),"""")"),"[ '17 వ బౌలర్ / బ్యాట్స్ కలయికలు (3)']")</f>
        <v>[ '17 వ బౌలర్ / బ్యాట్స్ కలయికలు (3)']</v>
      </c>
      <c r="I9827" s="3"/>
    </row>
    <row r="9828" customHeight="1" spans="1:9">
      <c r="A9828" s="2"/>
      <c r="B9828" s="2" t="str">
        <f>IFERROR(__xludf.DUMMYFUNCTION("IF(A9828&lt;&gt;"""", GOOGLETRANSLATE(A9828, ""en"", ""te""),"""")"),"")</f>
        <v/>
      </c>
      <c r="C9828" s="2"/>
      <c r="D9828" s="2" t="str">
        <f>IFERROR(__xludf.DUMMYFUNCTION("IF(C9828&lt;&gt;"""", GOOGLETRANSLATE(C9828, ""en"", ""te""),"""")"),"")</f>
        <v/>
      </c>
      <c r="E9828" s="2"/>
      <c r="F9828" s="2" t="str">
        <f>IFERROR(__xludf.DUMMYFUNCTION("IF(E9828&lt;&gt;"""", GOOGLETRANSLATE(E9828, ""en"", ""te""),"""")"),"")</f>
        <v/>
      </c>
      <c r="G9828" s="2"/>
      <c r="H9828" s="2" t="str">
        <f>IFERROR(__xludf.DUMMYFUNCTION("IF(G9828&lt;&gt;"""", GOOGLETRANSLATE(G9828, ""en"", ""te""),"""")"),"")</f>
        <v/>
      </c>
      <c r="I9828" s="3"/>
    </row>
    <row r="9829" customHeight="1" spans="1:9">
      <c r="A9829" s="2"/>
      <c r="B9829" s="2" t="str">
        <f>IFERROR(__xludf.DUMMYFUNCTION("IF(A9829&lt;&gt;"""", GOOGLETRANSLATE(A9829, ""en"", ""te""),"""")"),"")</f>
        <v/>
      </c>
      <c r="C9829" s="2"/>
      <c r="D9829" s="2" t="str">
        <f>IFERROR(__xludf.DUMMYFUNCTION("IF(C9829&lt;&gt;"""", GOOGLETRANSLATE(C9829, ""en"", ""te""),"""")"),"")</f>
        <v/>
      </c>
      <c r="E9829" s="2"/>
      <c r="F9829" s="2" t="str">
        <f>IFERROR(__xludf.DUMMYFUNCTION("IF(E9829&lt;&gt;"""", GOOGLETRANSLATE(E9829, ""en"", ""te""),"""")"),"")</f>
        <v/>
      </c>
      <c r="G9829" s="2"/>
      <c r="H9829" s="2" t="str">
        <f>IFERROR(__xludf.DUMMYFUNCTION("IF(G9829&lt;&gt;"""", GOOGLETRANSLATE(G9829, ""en"", ""te""),"""")"),"")</f>
        <v/>
      </c>
      <c r="I9829" s="3"/>
    </row>
    <row r="9830" customHeight="1" spans="1:9">
      <c r="A9830" s="2"/>
      <c r="B9830" s="2" t="str">
        <f>IFERROR(__xludf.DUMMYFUNCTION("IF(A9830&lt;&gt;"""", GOOGLETRANSLATE(A9830, ""en"", ""te""),"""")"),"")</f>
        <v/>
      </c>
      <c r="C9830" s="2"/>
      <c r="D9830" s="2" t="str">
        <f>IFERROR(__xludf.DUMMYFUNCTION("IF(C9830&lt;&gt;"""", GOOGLETRANSLATE(C9830, ""en"", ""te""),"""")"),"")</f>
        <v/>
      </c>
      <c r="E9830" s="2"/>
      <c r="F9830" s="2" t="str">
        <f>IFERROR(__xludf.DUMMYFUNCTION("IF(E9830&lt;&gt;"""", GOOGLETRANSLATE(E9830, ""en"", ""te""),"""")"),"")</f>
        <v/>
      </c>
      <c r="G9830" s="2"/>
      <c r="H9830" s="2" t="str">
        <f>IFERROR(__xludf.DUMMYFUNCTION("IF(G9830&lt;&gt;"""", GOOGLETRANSLATE(G9830, ""en"", ""te""),"""")"),"")</f>
        <v/>
      </c>
      <c r="I9830" s="3"/>
    </row>
    <row r="9831" customHeight="1" spans="1:9">
      <c r="A9831" s="2"/>
      <c r="B9831" s="2" t="str">
        <f>IFERROR(__xludf.DUMMYFUNCTION("IF(A9831&lt;&gt;"""", GOOGLETRANSLATE(A9831, ""en"", ""te""),"""")"),"")</f>
        <v/>
      </c>
      <c r="C9831" s="2"/>
      <c r="D9831" s="2" t="str">
        <f>IFERROR(__xludf.DUMMYFUNCTION("IF(C9831&lt;&gt;"""", GOOGLETRANSLATE(C9831, ""en"", ""te""),"""")"),"")</f>
        <v/>
      </c>
      <c r="E9831" s="2"/>
      <c r="F9831" s="2" t="str">
        <f>IFERROR(__xludf.DUMMYFUNCTION("IF(E9831&lt;&gt;"""", GOOGLETRANSLATE(E9831, ""en"", ""te""),"""")"),"")</f>
        <v/>
      </c>
      <c r="G9831" s="2"/>
      <c r="H9831" s="2" t="str">
        <f>IFERROR(__xludf.DUMMYFUNCTION("IF(G9831&lt;&gt;"""", GOOGLETRANSLATE(G9831, ""en"", ""te""),"""")"),"")</f>
        <v/>
      </c>
      <c r="I9831" s="3"/>
    </row>
    <row r="9832" customHeight="1" spans="1:9">
      <c r="A9832" s="2"/>
      <c r="B9832" s="2" t="str">
        <f>IFERROR(__xludf.DUMMYFUNCTION("IF(A9832&lt;&gt;"""", GOOGLETRANSLATE(A9832, ""en"", ""te""),"""")"),"")</f>
        <v/>
      </c>
      <c r="C9832" s="2"/>
      <c r="D9832" s="2" t="str">
        <f>IFERROR(__xludf.DUMMYFUNCTION("IF(C9832&lt;&gt;"""", GOOGLETRANSLATE(C9832, ""en"", ""te""),"""")"),"")</f>
        <v/>
      </c>
      <c r="E9832" s="2" t="s">
        <v>5680</v>
      </c>
      <c r="F9832" s="2" t="str">
        <f>IFERROR(__xludf.DUMMYFUNCTION("IF(E9832&lt;&gt;"""", GOOGLETRANSLATE(E9832, ""en"", ""te""),"""")"),"[ 'తొమ్మిదవ వికెట్కు 46 వ అత్యధిక భాగస్వామ్యం (66)', '35 వ ఓల్డెస్ట్ కాప్టెన్ (37y 72d)', 'వికెట్ను కాపాడుకున్నాడు చేసిన 14 వ కెప్టెన్ల (17)', 'కెప్టెన్సీ ప్రవేశం (34y 274d) పై 32 వ ఓల్డెస్ట్ కెప్టెన్లు']")</f>
        <v>[ 'తొమ్మిదవ వికెట్కు 46 వ అత్యధిక భాగస్వామ్యం (66)', '35 వ ఓల్డెస్ట్ కాప్టెన్ (37y 72d)', 'వికెట్ను కాపాడుకున్నాడు చేసిన 14 వ కెప్టెన్ల (17)', 'కెప్టెన్సీ ప్రవేశం (34y 274d) పై 32 వ ఓల్డెస్ట్ కెప్టెన్లు']</v>
      </c>
      <c r="G9832" s="2" t="s">
        <v>5681</v>
      </c>
      <c r="H9832" s="2" t="str">
        <f>IFERROR(__xludf.DUMMYFUNCTION("IF(G9832&lt;&gt;"""", GOOGLETRANSLATE(G9832, ""en"", ""te""),"""")"),"[ '38 వ పురాతన దేశం ఆటగాళ్ళు (48y 267d)', '42 వ ఓల్డెస్ట్ కాప్టెన్ (36y 353d)', 'వికెట్ను కాపాడుకున్నాడు చేసిన 13 వ కెప్టెన్ల (6)', 'కెప్టెన్సీ ప్రవేశం (36y 42d) 38 ఓల్డెస్ట్ కెప్టెన్లు']")</f>
        <v>[ '38 వ పురాతన దేశం ఆటగాళ్ళు (48y 267d)', '42 వ ఓల్డెస్ట్ కాప్టెన్ (36y 353d)', 'వికెట్ను కాపాడుకున్నాడు చేసిన 13 వ కెప్టెన్ల (6)', 'కెప్టెన్సీ ప్రవేశం (36y 42d) 38 ఓల్డెస్ట్ కెప్టెన్లు']</v>
      </c>
      <c r="I9832" s="3"/>
    </row>
    <row r="9833" customHeight="1" spans="1:9">
      <c r="A9833" s="2"/>
      <c r="B9833" s="2" t="str">
        <f>IFERROR(__xludf.DUMMYFUNCTION("IF(A9833&lt;&gt;"""", GOOGLETRANSLATE(A9833, ""en"", ""te""),"""")"),"")</f>
        <v/>
      </c>
      <c r="C9833" s="2"/>
      <c r="D9833" s="2" t="str">
        <f>IFERROR(__xludf.DUMMYFUNCTION("IF(C9833&lt;&gt;"""", GOOGLETRANSLATE(C9833, ""en"", ""te""),"""")"),"")</f>
        <v/>
      </c>
      <c r="E9833" s="2"/>
      <c r="F9833" s="2" t="str">
        <f>IFERROR(__xludf.DUMMYFUNCTION("IF(E9833&lt;&gt;"""", GOOGLETRANSLATE(E9833, ""en"", ""te""),"""")"),"")</f>
        <v/>
      </c>
      <c r="G9833" s="2"/>
      <c r="H9833" s="2" t="str">
        <f>IFERROR(__xludf.DUMMYFUNCTION("IF(G9833&lt;&gt;"""", GOOGLETRANSLATE(G9833, ""en"", ""te""),"""")"),"")</f>
        <v/>
      </c>
      <c r="I9833" s="3"/>
    </row>
    <row r="9834" customHeight="1" spans="1:9">
      <c r="A9834" s="2"/>
      <c r="B9834" s="2" t="str">
        <f>IFERROR(__xludf.DUMMYFUNCTION("IF(A9834&lt;&gt;"""", GOOGLETRANSLATE(A9834, ""en"", ""te""),"""")"),"")</f>
        <v/>
      </c>
      <c r="C9834" s="2"/>
      <c r="D9834" s="2" t="str">
        <f>IFERROR(__xludf.DUMMYFUNCTION("IF(C9834&lt;&gt;"""", GOOGLETRANSLATE(C9834, ""en"", ""te""),"""")"),"")</f>
        <v/>
      </c>
      <c r="E9834" s="2"/>
      <c r="F9834" s="2" t="str">
        <f>IFERROR(__xludf.DUMMYFUNCTION("IF(E9834&lt;&gt;"""", GOOGLETRANSLATE(E9834, ""en"", ""te""),"""")"),"")</f>
        <v/>
      </c>
      <c r="G9834" s="2" t="s">
        <v>5682</v>
      </c>
      <c r="H9834" s="2" t="str">
        <f>IFERROR(__xludf.DUMMYFUNCTION("IF(G9834&lt;&gt;"""", GOOGLETRANSLATE(G9834, ""en"", ""te""),"""")"),"[ '31 పిన్న కాప్టెన్ (21y 270d)']")</f>
        <v>[ '31 పిన్న కాప్టెన్ (21y 270d)']</v>
      </c>
      <c r="I9834" s="3"/>
    </row>
    <row r="9835" customHeight="1" spans="1:9">
      <c r="A9835" s="2"/>
      <c r="B9835" s="2" t="str">
        <f>IFERROR(__xludf.DUMMYFUNCTION("IF(A9835&lt;&gt;"""", GOOGLETRANSLATE(A9835, ""en"", ""te""),"""")"),"")</f>
        <v/>
      </c>
      <c r="C9835" s="2"/>
      <c r="D9835" s="2" t="str">
        <f>IFERROR(__xludf.DUMMYFUNCTION("IF(C9835&lt;&gt;"""", GOOGLETRANSLATE(C9835, ""en"", ""te""),"""")"),"")</f>
        <v/>
      </c>
      <c r="E9835" s="2" t="s">
        <v>5683</v>
      </c>
      <c r="F9835" s="2" t="str">
        <f>IFERROR(__xludf.DUMMYFUNCTION("IF(E9835&lt;&gt;"""", GOOGLETRANSLATE(E9835, ""en"", ""te""),"""")"),"[ '48 వ అత్యధిక పరుగులు ఇన్నింగ్స్ లో సాధించిన (91)', 'ఎనిమిదవ వికెట్కు 44 వ అత్యధిక భాగస్వామ్యం (76)', 'తొలి 46 వ ఓల్డెస్ట్ క్రీడాకారులు (37y 4D)']")</f>
        <v>[ '48 వ అత్యధిక పరుగులు ఇన్నింగ్స్ లో సాధించిన (91)', 'ఎనిమిదవ వికెట్కు 44 వ అత్యధిక భాగస్వామ్యం (76)', 'తొలి 46 వ ఓల్డెస్ట్ క్రీడాకారులు (37y 4D)']</v>
      </c>
      <c r="G9835" s="2"/>
      <c r="H9835" s="2" t="str">
        <f>IFERROR(__xludf.DUMMYFUNCTION("IF(G9835&lt;&gt;"""", GOOGLETRANSLATE(G9835, ""en"", ""te""),"""")"),"")</f>
        <v/>
      </c>
      <c r="I9835" s="3"/>
    </row>
    <row r="9836" customHeight="1" spans="1:9">
      <c r="A9836" s="2" t="s">
        <v>5684</v>
      </c>
      <c r="B9836" s="2" t="str">
        <f>IFERROR(__xludf.DUMMYFUNCTION("IF(A9836&lt;&gt;"""", GOOGLETRANSLATE(A9836, ""en"", ""te""),"""")"),"[ '3 వ అత్యంత జట్టు కెప్టెన్ (35 *) గా వరుస మ్యాచ్లు', '10 వ ఇన్నింగ్స్ లో అత్యధిక పరుగులు (బ్యాటింగ్ స్థానంలో ప్రకారం) (96 *)']")</f>
        <v>[ '3 వ అత్యంత జట్టు కెప్టెన్ (35 *) గా వరుస మ్యాచ్లు', '10 వ ఇన్నింగ్స్ లో అత్యధిక పరుగులు (బ్యాటింగ్ స్థానంలో ప్రకారం) (96 *)']</v>
      </c>
      <c r="C9836" s="2"/>
      <c r="D9836" s="2" t="str">
        <f>IFERROR(__xludf.DUMMYFUNCTION("IF(C9836&lt;&gt;"""", GOOGLETRANSLATE(C9836, ""en"", ""te""),"""")"),"")</f>
        <v/>
      </c>
      <c r="E9836" s="2" t="s">
        <v>5685</v>
      </c>
      <c r="F9836" s="2" t="str">
        <f>IFERROR(__xludf.DUMMYFUNCTION("IF(E9836&lt;&gt;"""", GOOGLETRANSLATE(E9836, ""en"", ""te""),"""")"),"[ '41 వ ఉత్తమ ఇన్నింగ్స్ లో సమ్మె రేటు (7.0)']")</f>
        <v>[ '41 వ ఉత్తమ ఇన్నింగ్స్ లో సమ్మె రేటు (7.0)']</v>
      </c>
      <c r="G9836" s="2" t="s">
        <v>5686</v>
      </c>
      <c r="H9836" s="2" t="str">
        <f>IFERROR(__xludf.DUMMYFUNCTION("IF(G9836&lt;&gt;"""", GOOGLETRANSLATE(G9836, ""en"", ""te""),"""")"),"[ '10 వ ఇన్నింగ్స్ లో అత్యధిక పరుగులు (బ్యాటింగ్ స్థానంలో ప్రకారం) (96 *)', '11 వ పరాజయం వైపు (96 *) ఒక మ్యాచ్లో అత్యధిక పరుగులు', 'ఒక కెప్టెన్తో ఇన్నింగ్స్ లో 13 వ అత్యధిక పరుగులు (96 *) ',' ఒక డక్ లేకుండా 21 వరుస ఇన్నింగ్స్ (43 *) ',' కెరీర్లో 13 వ అతి"&amp;" తక్కువ బాతులు (44) ',' 25 వ అత్యధిక వికెట్లు కెరీర్లో (56) ',' 23 ఒక క్యాలెండర్ సంవత్సరంలో అత్యధిక వికెట్లు (22) ' 'ఒకే మైదానంలో 18 వ అత్యధిక వికెట్లు (15)', 'ఒక కెప్టెన్తో ఒక ఇన్నింగ్స్ లో 20 వ బెస్ట్ ఫిగర్స్ (3)', '30 వ ఉత్తమ కెరీర్ ఆర్థిక రేటు (6.87)"&amp;"', '22 వ కెరీర్ లో బౌల్డ్ చాలా బంతుల్లో (1107) ''21 వ అత్యధిక పరుగులు కెరీర్లో (1268) సాధించిన', '17 వ బౌలర్ / బ్యాట్స్ కలయికలు (3)', '38 వ అత్యధిక వికెట్లు తీసుకున్న బౌల్డ్ (11)', '21 వ అత్యధిక వికెట్లు తీసుకున్న ఆకర్షించింది (38) ',' 15 వ అత్యంత వికెట్ల"&amp;"ు ఒక ఫీల్డర్ (36) ', '21 వ అత్యధిక క్యాచ్లు కెరీర్లో (32)', 'ఎనిమిదవ వికెట్ (52 *) కోసం 12 వ అత్యధిక భాగస్వామ్యం', '32 వ కెరీర్ లో అత్యధిక మ్యాచ్లు (74)', '17 వ అత్యంత పట్టుకుంటే తీసుకున్న ఒక జట్టు వరుస మ్యాచ్లు (41 *) ', '21 వ లాంగెస్ట్ కెరీర్లు (12y 265"&amp;"d)', '13 వ కెప్టెన్గా అత్యధిక మ్యాచ్లు (35)', '3 వ అత్యంత consecutiv ఇ 'ఒక జట్టు కెప్టెన్ (35 *)', '19 వ కెరీర్ (3) అత్యంత పనికత్తెలయొద్ద] వంటి మ్యాచ్లు")</f>
        <v>[ '10 వ ఇన్నింగ్స్ లో అత్యధిక పరుగులు (బ్యాటింగ్ స్థానంలో ప్రకారం) (96 *)', '11 వ పరాజయం వైపు (96 *) ఒక మ్యాచ్లో అత్యధిక పరుగులు', 'ఒక కెప్టెన్తో ఇన్నింగ్స్ లో 13 వ అత్యధిక పరుగులు (96 *) ',' ఒక డక్ లేకుండా 21 వరుస ఇన్నింగ్స్ (43 *) ',' కెరీర్లో 13 వ అతి తక్కువ బాతులు (44) ',' 25 వ అత్యధిక వికెట్లు కెరీర్లో (56) ',' 23 ఒక క్యాలెండర్ సంవత్సరంలో అత్యధిక వికెట్లు (22) ' 'ఒకే మైదానంలో 18 వ అత్యధిక వికెట్లు (15)', 'ఒక కెప్టెన్తో ఒక ఇన్నింగ్స్ లో 20 వ బెస్ట్ ఫిగర్స్ (3)', '30 వ ఉత్తమ కెరీర్ ఆర్థిక రేటు (6.87)', '22 వ కెరీర్ లో బౌల్డ్ చాలా బంతుల్లో (1107) ''21 వ అత్యధిక పరుగులు కెరీర్లో (1268) సాధించిన', '17 వ బౌలర్ / బ్యాట్స్ కలయికలు (3)', '38 వ అత్యధిక వికెట్లు తీసుకున్న బౌల్డ్ (11)', '21 వ అత్యధిక వికెట్లు తీసుకున్న ఆకర్షించింది (38) ',' 15 వ అత్యంత వికెట్లు ఒక ఫీల్డర్ (36) ', '21 వ అత్యధిక క్యాచ్లు కెరీర్లో (32)', 'ఎనిమిదవ వికెట్ (52 *) కోసం 12 వ అత్యధిక భాగస్వామ్యం', '32 వ కెరీర్ లో అత్యధిక మ్యాచ్లు (74)', '17 వ అత్యంత పట్టుకుంటే తీసుకున్న ఒక జట్టు వరుస మ్యాచ్లు (41 *) ', '21 వ లాంగెస్ట్ కెరీర్లు (12y 265d)', '13 వ కెప్టెన్గా అత్యధిక మ్యాచ్లు (35)', '3 వ అత్యంత consecutiv ఇ 'ఒక జట్టు కెప్టెన్ (35 *)', '19 వ కెరీర్ (3) అత్యంత పనికత్తెలయొద్ద] వంటి మ్యాచ్లు</v>
      </c>
      <c r="I9836" s="3"/>
    </row>
    <row r="9837" customHeight="1" spans="1:9">
      <c r="A9837" s="2"/>
      <c r="B9837" s="2" t="str">
        <f>IFERROR(__xludf.DUMMYFUNCTION("IF(A9837&lt;&gt;"""", GOOGLETRANSLATE(A9837, ""en"", ""te""),"""")"),"")</f>
        <v/>
      </c>
      <c r="C9837" s="2"/>
      <c r="D9837" s="2" t="str">
        <f>IFERROR(__xludf.DUMMYFUNCTION("IF(C9837&lt;&gt;"""", GOOGLETRANSLATE(C9837, ""en"", ""te""),"""")"),"")</f>
        <v/>
      </c>
      <c r="E9837" s="2"/>
      <c r="F9837" s="2" t="str">
        <f>IFERROR(__xludf.DUMMYFUNCTION("IF(E9837&lt;&gt;"""", GOOGLETRANSLATE(E9837, ""en"", ""te""),"""")"),"")</f>
        <v/>
      </c>
      <c r="G9837" s="2"/>
      <c r="H9837" s="2" t="str">
        <f>IFERROR(__xludf.DUMMYFUNCTION("IF(G9837&lt;&gt;"""", GOOGLETRANSLATE(G9837, ""en"", ""te""),"""")"),"")</f>
        <v/>
      </c>
      <c r="I9837" s="3"/>
    </row>
    <row r="9838" customHeight="1" spans="1:9">
      <c r="A9838" s="2" t="s">
        <v>352</v>
      </c>
      <c r="B9838" s="2" t="str">
        <f>IFERROR(__xludf.DUMMYFUNCTION("IF(A9838&lt;&gt;"""", GOOGLETRANSLATE(A9838, ""en"", ""te""),"""")"),"[ 'బ్యాటింగ్ ప్రారంభించుటకు మరియు అదే మ్యాచ్ లో బౌలింగ్']")</f>
        <v>[ 'బ్యాటింగ్ ప్రారంభించుటకు మరియు అదే మ్యాచ్ లో బౌలింగ్']</v>
      </c>
      <c r="C9838" s="2"/>
      <c r="D9838" s="2" t="str">
        <f>IFERROR(__xludf.DUMMYFUNCTION("IF(C9838&lt;&gt;"""", GOOGLETRANSLATE(C9838, ""en"", ""te""),"""")"),"")</f>
        <v/>
      </c>
      <c r="E9838" s="2" t="s">
        <v>2700</v>
      </c>
      <c r="F9838" s="2" t="str">
        <f>IFERROR(__xludf.DUMMYFUNCTION("IF(E9838&lt;&gt;"""", GOOGLETRANSLATE(E9838, ""en"", ""te""),"""")"),"[ '13 వ వరుస నాలుగు వికెట్లు-ఇన్-ఒక-ఇన్నింగ్స్ (2)']")</f>
        <v>[ '13 వ వరుస నాలుగు వికెట్లు-ఇన్-ఒక-ఇన్నింగ్స్ (2)']</v>
      </c>
      <c r="G9838" s="2"/>
      <c r="H9838" s="2" t="str">
        <f>IFERROR(__xludf.DUMMYFUNCTION("IF(G9838&lt;&gt;"""", GOOGLETRANSLATE(G9838, ""en"", ""te""),"""")"),"")</f>
        <v/>
      </c>
      <c r="I9838" s="3"/>
    </row>
    <row r="9839" customHeight="1" spans="1:9">
      <c r="A9839" s="2" t="s">
        <v>5524</v>
      </c>
      <c r="B9839" s="2" t="str">
        <f>IFERROR(__xludf.DUMMYFUNCTION("IF(A9839&lt;&gt;"""", GOOGLETRANSLATE(A9839, ""en"", ""te""),"""")"),"[ '250 పరుగులు మరియు ఒక సిరీస్లో 10 వికెట్లు']")</f>
        <v>[ '250 పరుగులు మరియు ఒక సిరీస్లో 10 వికెట్లు']</v>
      </c>
      <c r="C9839" s="2"/>
      <c r="D9839" s="2" t="str">
        <f>IFERROR(__xludf.DUMMYFUNCTION("IF(C9839&lt;&gt;"""", GOOGLETRANSLATE(C9839, ""en"", ""te""),"""")"),"")</f>
        <v/>
      </c>
      <c r="E9839" s="2" t="s">
        <v>5687</v>
      </c>
      <c r="F9839" s="2" t="str">
        <f>IFERROR(__xludf.DUMMYFUNCTION("IF(E9839&lt;&gt;"""", GOOGLETRANSLATE(E9839, ""en"", ""te""),"""")"),"[, 'వంద (894) లేకుండా ఒక వృత్తిలో 45 వ అత్యధిక పరుగులు' 'ఒకే మైదానంలో 24 వ అత్యధిక వికెట్లు (13)', '31 ఉత్తమ కెరీర్ బౌలింగ్' 45 వ పరాజయం వైపు (89) ఒక మ్యాచ్లో అత్యధిక పరుగులు ' సగటు (18.67) ',' 43 వ ఉత్తమ కెరీర్ ఆర్థిక రేటు (2.89) ',' 47 వ ఒక సిరీస్లో అ"&amp;"త్యధిక క్యాచ్లు (6) పదవ వికెట్కు ',' 33 వ అత్యధిక భాగస్వామ్యం (28) ',' 19 వ లాంగెస్ట్ కెరీర్లు (16y 28 రో) ',' 45 వ అత్యధిక మ్యాచ్లు కెప్టెన్గా (17) ',' బృందం (17) కెప్టెన్ గా 38 వ వరుస మ్యాచ్లు ']")</f>
        <v>[, 'వంద (894) లేకుండా ఒక వృత్తిలో 45 వ అత్యధిక పరుగులు' 'ఒకే మైదానంలో 24 వ అత్యధిక వికెట్లు (13)', '31 ఉత్తమ కెరీర్ బౌలింగ్' 45 వ పరాజయం వైపు (89) ఒక మ్యాచ్లో అత్యధిక పరుగులు ' సగటు (18.67) ',' 43 వ ఉత్తమ కెరీర్ ఆర్థిక రేటు (2.89) ',' 47 వ ఒక సిరీస్లో అత్యధిక క్యాచ్లు (6) పదవ వికెట్కు ',' 33 వ అత్యధిక భాగస్వామ్యం (28) ',' 19 వ లాంగెస్ట్ కెరీర్లు (16y 28 రో) ',' 45 వ అత్యధిక మ్యాచ్లు కెప్టెన్గా (17) ',' బృందం (17) కెప్టెన్ గా 38 వ వరుస మ్యాచ్లు ']</v>
      </c>
      <c r="G9839" s="2"/>
      <c r="H9839" s="2" t="str">
        <f>IFERROR(__xludf.DUMMYFUNCTION("IF(G9839&lt;&gt;"""", GOOGLETRANSLATE(G9839, ""en"", ""te""),"""")"),"")</f>
        <v/>
      </c>
      <c r="I9839" s="3"/>
    </row>
    <row r="9840" customHeight="1" spans="1:9">
      <c r="A9840" s="2"/>
      <c r="B9840" s="2" t="str">
        <f>IFERROR(__xludf.DUMMYFUNCTION("IF(A9840&lt;&gt;"""", GOOGLETRANSLATE(A9840, ""en"", ""te""),"""")"),"")</f>
        <v/>
      </c>
      <c r="C9840" s="2"/>
      <c r="D9840" s="2" t="str">
        <f>IFERROR(__xludf.DUMMYFUNCTION("IF(C9840&lt;&gt;"""", GOOGLETRANSLATE(C9840, ""en"", ""te""),"""")"),"")</f>
        <v/>
      </c>
      <c r="E9840" s="2"/>
      <c r="F9840" s="2" t="str">
        <f>IFERROR(__xludf.DUMMYFUNCTION("IF(E9840&lt;&gt;"""", GOOGLETRANSLATE(E9840, ""en"", ""te""),"""")"),"")</f>
        <v/>
      </c>
      <c r="G9840" s="2"/>
      <c r="H9840" s="2" t="str">
        <f>IFERROR(__xludf.DUMMYFUNCTION("IF(G9840&lt;&gt;"""", GOOGLETRANSLATE(G9840, ""en"", ""te""),"""")"),"")</f>
        <v/>
      </c>
      <c r="I9840" s="3"/>
    </row>
    <row r="9841" customHeight="1" spans="1:9">
      <c r="A9841" s="2" t="s">
        <v>3234</v>
      </c>
      <c r="B9841" s="2" t="str">
        <f>IFERROR(__xludf.DUMMYFUNCTION("IF(A9841&lt;&gt;"""", GOOGLETRANSLATE(A9841, ""en"", ""te""),"""")"),"[ 'వరుస 1st చాలా బాతులు (5)']")</f>
        <v>[ 'వరుస 1st చాలా బాతులు (5)']</v>
      </c>
      <c r="C9841" s="2"/>
      <c r="D9841" s="2" t="str">
        <f>IFERROR(__xludf.DUMMYFUNCTION("IF(C9841&lt;&gt;"""", GOOGLETRANSLATE(C9841, ""en"", ""te""),"""")"),"")</f>
        <v/>
      </c>
      <c r="E9841" s="2" t="s">
        <v>5688</v>
      </c>
      <c r="F9841" s="2" t="str">
        <f>IFERROR(__xludf.DUMMYFUNCTION("IF(E9841&lt;&gt;"""", GOOGLETRANSLATE(E9841, ""en"", ""te""),"""")"),"[ 'వరుస 1st చాలా బాతులు (5)', '21 వ చెత్త కెరీర్ (అర్హత లేకుండా) సగటు బౌలింగ్ (95.00) ']")</f>
        <v>[ 'వరుస 1st చాలా బాతులు (5)', '21 వ చెత్త కెరీర్ (అర్హత లేకుండా) సగటు బౌలింగ్ (95.00) ']</v>
      </c>
      <c r="G9841" s="2"/>
      <c r="H9841" s="2" t="str">
        <f>IFERROR(__xludf.DUMMYFUNCTION("IF(G9841&lt;&gt;"""", GOOGLETRANSLATE(G9841, ""en"", ""te""),"""")"),"")</f>
        <v/>
      </c>
      <c r="I9841" s="3"/>
    </row>
    <row r="9842" customHeight="1" spans="1:9">
      <c r="A9842" s="2"/>
      <c r="B9842" s="2" t="str">
        <f>IFERROR(__xludf.DUMMYFUNCTION("IF(A9842&lt;&gt;"""", GOOGLETRANSLATE(A9842, ""en"", ""te""),"""")"),"")</f>
        <v/>
      </c>
      <c r="C9842" s="2"/>
      <c r="D9842" s="2" t="str">
        <f>IFERROR(__xludf.DUMMYFUNCTION("IF(C9842&lt;&gt;"""", GOOGLETRANSLATE(C9842, ""en"", ""te""),"""")"),"")</f>
        <v/>
      </c>
      <c r="E9842" s="2"/>
      <c r="F9842" s="2" t="str">
        <f>IFERROR(__xludf.DUMMYFUNCTION("IF(E9842&lt;&gt;"""", GOOGLETRANSLATE(E9842, ""en"", ""te""),"""")"),"")</f>
        <v/>
      </c>
      <c r="G9842" s="2"/>
      <c r="H9842" s="2" t="str">
        <f>IFERROR(__xludf.DUMMYFUNCTION("IF(G9842&lt;&gt;"""", GOOGLETRANSLATE(G9842, ""en"", ""te""),"""")"),"")</f>
        <v/>
      </c>
      <c r="I9842" s="3"/>
    </row>
    <row r="9843" customHeight="1" spans="1:9">
      <c r="A9843" s="2" t="s">
        <v>5689</v>
      </c>
      <c r="B9843" s="2" t="str">
        <f>IFERROR(__xludf.DUMMYFUNCTION("IF(A9843&lt;&gt;"""", GOOGLETRANSLATE(A9843, ""en"", ""te""),"""")"),"[ '1st అత్యధిక కెరీర్ బ్యాటింగ్ సగటు (67.00)', 'గత మ్యాచ్లో 7 వ హండ్రెడ్ (106)', '1000 పరుగులు వేగంగా 8 వ (23)', '7 వ లాంగెస్ట్ వ్యవధిలో ప్రదర్శనల మధ్య (8y 166d)', '4 వ అత్యధిక కెరీర్ బ్యాటింగ్ సగటు (44.41) ']")</f>
        <v>[ '1st అత్యధిక కెరీర్ బ్యాటింగ్ సగటు (67.00)', 'గత మ్యాచ్లో 7 వ హండ్రెడ్ (106)', '1000 పరుగులు వేగంగా 8 వ (23)', '7 వ లాంగెస్ట్ వ్యవధిలో ప్రదర్శనల మధ్య (8y 166d)', '4 వ అత్యధిక కెరీర్ బ్యాటింగ్ సగటు (44.41) ']</v>
      </c>
      <c r="C9843" s="2"/>
      <c r="D9843" s="2" t="str">
        <f>IFERROR(__xludf.DUMMYFUNCTION("IF(C9843&lt;&gt;"""", GOOGLETRANSLATE(C9843, ""en"", ""te""),"""")"),"")</f>
        <v/>
      </c>
      <c r="E9843" s="2" t="s">
        <v>5690</v>
      </c>
      <c r="F9843" s="2" t="str">
        <f>IFERROR(__xludf.DUMMYFUNCTION("IF(E9843&lt;&gt;"""", GOOGLETRANSLATE(E9843, ""en"", ""te""),"""")"),"[ '1st అత్యధిక కెరీర్ బ్యాటింగ్ సగటు (67.00)', '7 వ హండ్రెడ్ గత మ్యాచ్లో (106)', '1000 పరుగులు వేగంగా 8 వ (23)', '14 వ ఉత్తమ కెరీర్ సమ్మె' 47 వ సగటు (24.12) బౌలింగ్ ఉత్తమ కెరీర్లో ' రేటు (28.7) ',' ఫాస్టెస్ట్ 50 వికెట్లు (28) ',' నాలుగవ వికెట్కు 26 అత్యధి"&amp;"క భాగస్వామ్యం (186 *) '] 24")</f>
        <v>[ '1st అత్యధిక కెరీర్ బ్యాటింగ్ సగటు (67.00)', '7 వ హండ్రెడ్ గత మ్యాచ్లో (106)', '1000 పరుగులు వేగంగా 8 వ (23)', '14 వ ఉత్తమ కెరీర్ సమ్మె' 47 వ సగటు (24.12) బౌలింగ్ ఉత్తమ కెరీర్లో ' రేటు (28.7) ',' ఫాస్టెస్ట్ 50 వికెట్లు (28) ',' నాలుగవ వికెట్కు 26 అత్యధిక భాగస్వామ్యం (186 *) '] 24</v>
      </c>
      <c r="G9843" s="2" t="s">
        <v>5691</v>
      </c>
      <c r="H9843" s="2" t="str">
        <f>IFERROR(__xludf.DUMMYFUNCTION("IF(G9843&lt;&gt;"""", GOOGLETRANSLATE(G9843, ""en"", ""te""),"""")"),"[ '4 వ అత్యధిక కెరీర్ బ్యాటింగ్ సగటు (44.41)', 'తొలి మ్యాచ్లో 32 వ అత్యధిక పరుగులు (56)', '38 వ వరుస మ్యాచ్లు ఆడి మధ్య జట్టుకు దూరమయ్యాడు (39)', '50th లాంగెస్ట్ కెరీర్లు (11y 92d)', 'ప్రదర్శనల మధ్య 7 వ లాంగెస్ట్ వ్యవధిలో (8y 166d)']")</f>
        <v>[ '4 వ అత్యధిక కెరీర్ బ్యాటింగ్ సగటు (44.41)', 'తొలి మ్యాచ్లో 32 వ అత్యధిక పరుగులు (56)', '38 వ వరుస మ్యాచ్లు ఆడి మధ్య జట్టుకు దూరమయ్యాడు (39)', '50th లాంగెస్ట్ కెరీర్లు (11y 92d)', 'ప్రదర్శనల మధ్య 7 వ లాంగెస్ట్ వ్యవధిలో (8y 166d)']</v>
      </c>
      <c r="I9843" s="3"/>
    </row>
    <row r="9844" customHeight="1" spans="1:9">
      <c r="A9844" s="2" t="s">
        <v>5692</v>
      </c>
      <c r="B9844" s="2" t="str">
        <f>IFERROR(__xludf.DUMMYFUNCTION("IF(A9844&lt;&gt;"""", GOOGLETRANSLATE(A9844, ""en"", ""te""),"""")"),"[ '9 వ అత్యంత బృందం వరుసగా మ్యాచ్లు (61)', ఒక ఇన్నింగ్స్ లో, '10th అత్యధిక పరుగులు' ఇన్నింగ్స్ (10) 9 వ అత్యంత సాధించిన బైస్ ',' వికెట్ను కాపాడుకున్నాడు మరియు బ్యాటింగ్ (1) తెరిచిన చేసిన 2 వ కెప్టెన్ల ' (బ్యాటింగ్ స్థానం) (142) ',' వరుస (2) ',' 4 వ అత్యం"&amp;"త బాతులు క్యాలెండర్ సంవత్సరంలో 5 వ అత్యధిక వందలు (4) ',' 4 వ ఇన్నింగ్స్ లో అత్యధిక క్యాచ్లు (3) ',' 7 వ అత్యధిక మూడో వికెట్కు భాగస్వామ్యం (201) ']")</f>
        <v>[ '9 వ అత్యంత బృందం వరుసగా మ్యాచ్లు (61)', ఒక ఇన్నింగ్స్ లో, '10th అత్యధిక పరుగులు' ఇన్నింగ్స్ (10) 9 వ అత్యంత సాధించిన బైస్ ',' వికెట్ను కాపాడుకున్నాడు మరియు బ్యాటింగ్ (1) తెరిచిన చేసిన 2 వ కెప్టెన్ల ' (బ్యాటింగ్ స్థానం) (142) ',' వరుస (2) ',' 4 వ అత్యంత బాతులు క్యాలెండర్ సంవత్సరంలో 5 వ అత్యధిక వందలు (4) ',' 4 వ ఇన్నింగ్స్ లో అత్యధిక క్యాచ్లు (3) ',' 7 వ అత్యధిక మూడో వికెట్కు భాగస్వామ్యం (201) ']</v>
      </c>
      <c r="C9844" s="2"/>
      <c r="D9844" s="2" t="str">
        <f>IFERROR(__xludf.DUMMYFUNCTION("IF(C9844&lt;&gt;"""", GOOGLETRANSLATE(C9844, ""en"", ""te""),"""")"),"")</f>
        <v/>
      </c>
      <c r="E9844" s="2" t="s">
        <v>5693</v>
      </c>
      <c r="F9844" s="2" t="str">
        <f>IFERROR(__xludf.DUMMYFUNCTION("IF(E9844&lt;&gt;"""", GOOGLETRANSLATE(E9844, ""en"", ""te""),"""")"),"[ '27 ఇన్నింగ్స్ లో అత్యధిక పరుగులు (142)', '10 వ ఇన్నింగ్స్ లో అత్యధిక పరుగులు (బ్యాటింగ్ స్థానంలో ప్రకారం) (142)', '50th ఒకే మైదానంలో అత్యధిక పరుగులు (283)', '25 వ అత్యంత జీవితంలో వందల (2) ',' ఒక సిరీస్లో 6 వ అత్యధిక వందలు (2) ',' ఒక క్యాలెండర్ సంవత్సర"&amp;"ంలో 5 వ అత్యధిక వందలు (2) ',' 10 వ అత్యధిక తొలి వంద (138) ',' 17 వ అత్యంత వృద్ధ ఆటగాడు వంద (33y స్కోర్ 160d) ',' 10 వ అత్యంత వృద్ధ ఆటగాడు తొలి వంద (33y 158d) ',' ఒక డక్ లేకుండా 24 వరుస ఇన్నింగ్స్ (38) ',' 4 వ ఒక సిరీస్లో అత్యధిక బాతులు (4) ',' 4 వ చాల వరక"&amp;"ు ఒక లో క్యాచ్లు స్కోర్ ఇన్నింగ్స్ (3) ',' 26 ఒక సిరీస్లో అత్యధిక క్యాచ్లు (7) ',' 24 వ అత్యధిక ఏ వికెట్కు పార్టనర్ షిప్ (201) ',' మూడో వికెట్కు 7 వ అత్యధిక భాగస్వామ్యం (201) ',' 9 వ వరుస ఒక మ్యాచ్ జట్టు (61) ',' 40 వ ఓల్డెస్ట్ క్రీడాకారులు (38y 11d) ',' "&amp;"10 వ లాంగెస్ట్ కెరీర్లు (17y 221d) ',' 22 వ అత్యధిక మ్యాచ్లు కెప్టెన్గా (29) ',' ఒక జట్టు కెప్టెన్గా 29 వరుస మ్యాచ్లు (21) ',' వికెట్ (5) ఉంచింది చేసిన 8 వ కెప్టెన్ల ',' వికెట్ను కాపాడుకున్నాడు మరియు బ్యాటింగ్ (1) ',' 9 వ మోస్ తెరిచిన చేసిన 2 వ కెప్టెన్ల "&amp;"t ఒక ఇన్నింగ్స్ లో సాధించిన బైస్ (10) ']")</f>
        <v>[ '27 ఇన్నింగ్స్ లో అత్యధిక పరుగులు (142)', '10 వ ఇన్నింగ్స్ లో అత్యధిక పరుగులు (బ్యాటింగ్ స్థానంలో ప్రకారం) (142)', '50th ఒకే మైదానంలో అత్యధిక పరుగులు (283)', '25 వ అత్యంత జీవితంలో వందల (2) ',' ఒక సిరీస్లో 6 వ అత్యధిక వందలు (2) ',' ఒక క్యాలెండర్ సంవత్సరంలో 5 వ అత్యధిక వందలు (2) ',' 10 వ అత్యధిక తొలి వంద (138) ',' 17 వ అత్యంత వృద్ధ ఆటగాడు వంద (33y స్కోర్ 160d) ',' 10 వ అత్యంత వృద్ధ ఆటగాడు తొలి వంద (33y 158d) ',' ఒక డక్ లేకుండా 24 వరుస ఇన్నింగ్స్ (38) ',' 4 వ ఒక సిరీస్లో అత్యధిక బాతులు (4) ',' 4 వ చాల వరకు ఒక లో క్యాచ్లు స్కోర్ ఇన్నింగ్స్ (3) ',' 26 ఒక సిరీస్లో అత్యధిక క్యాచ్లు (7) ',' 24 వ అత్యధిక ఏ వికెట్కు పార్టనర్ షిప్ (201) ',' మూడో వికెట్కు 7 వ అత్యధిక భాగస్వామ్యం (201) ',' 9 వ వరుస ఒక మ్యాచ్ జట్టు (61) ',' 40 వ ఓల్డెస్ట్ క్రీడాకారులు (38y 11d) ',' 10 వ లాంగెస్ట్ కెరీర్లు (17y 221d) ',' 22 వ అత్యధిక మ్యాచ్లు కెప్టెన్గా (29) ',' ఒక జట్టు కెప్టెన్గా 29 వరుస మ్యాచ్లు (21) ',' వికెట్ (5) ఉంచింది చేసిన 8 వ కెప్టెన్ల ',' వికెట్ను కాపాడుకున్నాడు మరియు బ్యాటింగ్ (1) ',' 9 వ మోస్ తెరిచిన చేసిన 2 వ కెప్టెన్ల t ఒక ఇన్నింగ్స్ లో సాధించిన బైస్ (10) ']</v>
      </c>
      <c r="G9844" s="2"/>
      <c r="H9844" s="2" t="str">
        <f>IFERROR(__xludf.DUMMYFUNCTION("IF(G9844&lt;&gt;"""", GOOGLETRANSLATE(G9844, ""en"", ""te""),"""")"),"")</f>
        <v/>
      </c>
      <c r="I9844" s="3"/>
    </row>
    <row r="9845" customHeight="1" spans="1:9">
      <c r="A9845" s="2" t="s">
        <v>5694</v>
      </c>
      <c r="B9845" s="2" t="str">
        <f>IFERROR(__xludf.DUMMYFUNCTION("IF(A9845&lt;&gt;"""", GOOGLETRANSLATE(A9845, ""en"", ""te""),"""")"),"[ 'తొలి పెయిర్', 'ఒక ఇన్నింగ్స్లో పరుగుల 3 వ అత్యధిక శాతం (60.29)', '3 వ ఒక ఇన్నింగ్స్ లోని బెస్ట్ ఫిగర్స్ పరాజయం వైపు (5) ఉన్నప్పుడు', '8 వ అత్యంత వృద్ధ ఆటగాడు తొలి తీసుకుని ఐదు-వికెట్ల -ఇన్-ఒక-ఇన్నింగ్స్ (29y 171d) ',' 3 వ చెత్త కెరీర్ (138.00) (అర్హత "&amp;"లేకుండా) '] సగటు బౌలింగ్")</f>
        <v>[ 'తొలి పెయిర్', 'ఒక ఇన్నింగ్స్లో పరుగుల 3 వ అత్యధిక శాతం (60.29)', '3 వ ఒక ఇన్నింగ్స్ లోని బెస్ట్ ఫిగర్స్ పరాజయం వైపు (5) ఉన్నప్పుడు', '8 వ అత్యంత వృద్ధ ఆటగాడు తొలి తీసుకుని ఐదు-వికెట్ల -ఇన్-ఒక-ఇన్నింగ్స్ (29y 171d) ',' 3 వ చెత్త కెరీర్ (138.00) (అర్హత లేకుండా) '] సగటు బౌలింగ్</v>
      </c>
      <c r="C9845" s="2" t="s">
        <v>2932</v>
      </c>
      <c r="D9845" s="2" t="str">
        <f>IFERROR(__xludf.DUMMYFUNCTION("IF(C9845&lt;&gt;"""", GOOGLETRANSLATE(C9845, ""en"", ""te""),"""")"),"[ '2 వ కెరీర్ జతల (1)']")</f>
        <v>[ '2 వ కెరీర్ జతల (1)']</v>
      </c>
      <c r="E9845" s="2" t="s">
        <v>5695</v>
      </c>
      <c r="F9845" s="2" t="str">
        <f>IFERROR(__xludf.DUMMYFUNCTION("IF(E9845&lt;&gt;"""", GOOGLETRANSLATE(E9845, ""en"", ""te""),"""")"),"[ 'ఒక ఇన్నింగ్స్లో పరుగుల 3 వ అత్యధిక శాతం (60.29)', '3 వ ఒక ఇన్నింగ్స్ లోని బెస్ట్ ఫిగర్స్ పరాజయం వైపు (5)' ఒక తొలి తీసుకోవాలని, '8 వ అత్యంత వృద్ధ ఆటగాడు ఐదు వికెట్ల లో-ఒక-ఇన్నింగ్స్ (29y 171d) ']")</f>
        <v>[ 'ఒక ఇన్నింగ్స్లో పరుగుల 3 వ అత్యధిక శాతం (60.29)', '3 వ ఒక ఇన్నింగ్స్ లోని బెస్ట్ ఫిగర్స్ పరాజయం వైపు (5)' ఒక తొలి తీసుకోవాలని, '8 వ అత్యంత వృద్ధ ఆటగాడు ఐదు వికెట్ల లో-ఒక-ఇన్నింగ్స్ (29y 171d) ']</v>
      </c>
      <c r="G9845" s="2" t="s">
        <v>5696</v>
      </c>
      <c r="H9845" s="2" t="str">
        <f>IFERROR(__xludf.DUMMYFUNCTION("IF(G9845&lt;&gt;"""", GOOGLETRANSLATE(G9845, ""en"", ""te""),"""")"),"[ '3 వ చెత్త కెరీర్ (138.00) (అర్హత లేకుండా) సగటు బౌలింగ్', 'ఇన్నింగ్స్ లో 25 చెత్త ఆర్థిక రేటు (15.00)', '43 వ ఇన్నింగ్స్ లో సాధించిన అత్యధిక పరుగులు (44)']")</f>
        <v>[ '3 వ చెత్త కెరీర్ (138.00) (అర్హత లేకుండా) సగటు బౌలింగ్', 'ఇన్నింగ్స్ లో 25 చెత్త ఆర్థిక రేటు (15.00)', '43 వ ఇన్నింగ్స్ లో సాధించిన అత్యధిక పరుగులు (44)']</v>
      </c>
      <c r="I9845" s="3"/>
    </row>
    <row r="9846" customHeight="1" spans="1:9">
      <c r="A9846" s="2"/>
      <c r="B9846" s="2" t="str">
        <f>IFERROR(__xludf.DUMMYFUNCTION("IF(A9846&lt;&gt;"""", GOOGLETRANSLATE(A9846, ""en"", ""te""),"""")"),"")</f>
        <v/>
      </c>
      <c r="C9846" s="2"/>
      <c r="D9846" s="2" t="str">
        <f>IFERROR(__xludf.DUMMYFUNCTION("IF(C9846&lt;&gt;"""", GOOGLETRANSLATE(C9846, ""en"", ""te""),"""")"),"")</f>
        <v/>
      </c>
      <c r="E9846" s="2" t="s">
        <v>5697</v>
      </c>
      <c r="F9846" s="2" t="str">
        <f>IFERROR(__xludf.DUMMYFUNCTION("IF(E9846&lt;&gt;"""", GOOGLETRANSLATE(E9846, ""en"", ""te""),"""")"),"[ '17 వ అత్యధిక ఒక ఇన్నింగ్స్లో పరుగుల శాతం (55.00)', '11 వ ఒక ఇన్నింగ్స్ లోని బెస్ట్ ఫిగర్స్ ఉన్నప్పుడు పరాజయం వైపు (4)', '35 వ సగటు (19.33) బౌలింగ్ ఉత్తమ జీవితం', '28th ఉత్తమ కెరీర్ ఎకానమీ రేట్ (2.70) ']")</f>
        <v>[ '17 వ అత్యధిక ఒక ఇన్నింగ్స్లో పరుగుల శాతం (55.00)', '11 వ ఒక ఇన్నింగ్స్ లోని బెస్ట్ ఫిగర్స్ ఉన్నప్పుడు పరాజయం వైపు (4)', '35 వ సగటు (19.33) బౌలింగ్ ఉత్తమ జీవితం', '28th ఉత్తమ కెరీర్ ఎకానమీ రేట్ (2.70) ']</v>
      </c>
      <c r="G9846" s="2"/>
      <c r="H9846" s="2" t="str">
        <f>IFERROR(__xludf.DUMMYFUNCTION("IF(G9846&lt;&gt;"""", GOOGLETRANSLATE(G9846, ""en"", ""te""),"""")"),"")</f>
        <v/>
      </c>
      <c r="I9846" s="3"/>
    </row>
    <row r="9847" customHeight="1" spans="1:9">
      <c r="A9847" s="2"/>
      <c r="B9847" s="2" t="str">
        <f>IFERROR(__xludf.DUMMYFUNCTION("IF(A9847&lt;&gt;"""", GOOGLETRANSLATE(A9847, ""en"", ""te""),"""")"),"")</f>
        <v/>
      </c>
      <c r="C9847" s="2"/>
      <c r="D9847" s="2" t="str">
        <f>IFERROR(__xludf.DUMMYFUNCTION("IF(C9847&lt;&gt;"""", GOOGLETRANSLATE(C9847, ""en"", ""te""),"""")"),"")</f>
        <v/>
      </c>
      <c r="E9847" s="2"/>
      <c r="F9847" s="2" t="str">
        <f>IFERROR(__xludf.DUMMYFUNCTION("IF(E9847&lt;&gt;"""", GOOGLETRANSLATE(E9847, ""en"", ""te""),"""")"),"")</f>
        <v/>
      </c>
      <c r="G9847" s="2"/>
      <c r="H9847" s="2" t="str">
        <f>IFERROR(__xludf.DUMMYFUNCTION("IF(G9847&lt;&gt;"""", GOOGLETRANSLATE(G9847, ""en"", ""te""),"""")"),"")</f>
        <v/>
      </c>
      <c r="I9847" s="3"/>
    </row>
    <row r="9848" customHeight="1" spans="1:9">
      <c r="A9848" s="2" t="s">
        <v>4014</v>
      </c>
      <c r="B9848" s="2" t="str">
        <f>IFERROR(__xludf.DUMMYFUNCTION("IF(A9848&lt;&gt;"""", GOOGLETRANSLATE(A9848, ""en"", ""te""),"""")"),"[ 'ఒక సిరీస్లో 4 చాలా బాతులు (4)']")</f>
        <v>[ 'ఒక సిరీస్లో 4 చాలా బాతులు (4)']</v>
      </c>
      <c r="C9848" s="2"/>
      <c r="D9848" s="2" t="str">
        <f>IFERROR(__xludf.DUMMYFUNCTION("IF(C9848&lt;&gt;"""", GOOGLETRANSLATE(C9848, ""en"", ""te""),"""")"),"")</f>
        <v/>
      </c>
      <c r="E9848" s="2" t="s">
        <v>4014</v>
      </c>
      <c r="F9848" s="2" t="str">
        <f>IFERROR(__xludf.DUMMYFUNCTION("IF(E9848&lt;&gt;"""", GOOGLETRANSLATE(E9848, ""en"", ""te""),"""")"),"[ 'ఒక సిరీస్లో 4 చాలా బాతులు (4)']")</f>
        <v>[ 'ఒక సిరీస్లో 4 చాలా బాతులు (4)']</v>
      </c>
      <c r="G9848" s="2"/>
      <c r="H9848" s="2" t="str">
        <f>IFERROR(__xludf.DUMMYFUNCTION("IF(G9848&lt;&gt;"""", GOOGLETRANSLATE(G9848, ""en"", ""te""),"""")"),"")</f>
        <v/>
      </c>
      <c r="I9848" s="3"/>
    </row>
    <row r="9849" customHeight="1" spans="1:9">
      <c r="A9849" s="2"/>
      <c r="B9849" s="2" t="str">
        <f>IFERROR(__xludf.DUMMYFUNCTION("IF(A9849&lt;&gt;"""", GOOGLETRANSLATE(A9849, ""en"", ""te""),"""")"),"")</f>
        <v/>
      </c>
      <c r="C9849" s="2"/>
      <c r="D9849" s="2" t="str">
        <f>IFERROR(__xludf.DUMMYFUNCTION("IF(C9849&lt;&gt;"""", GOOGLETRANSLATE(C9849, ""en"", ""te""),"""")"),"")</f>
        <v/>
      </c>
      <c r="E9849" s="2"/>
      <c r="F9849" s="2" t="str">
        <f>IFERROR(__xludf.DUMMYFUNCTION("IF(E9849&lt;&gt;"""", GOOGLETRANSLATE(E9849, ""en"", ""te""),"""")"),"")</f>
        <v/>
      </c>
      <c r="G9849" s="2"/>
      <c r="H9849" s="2" t="str">
        <f>IFERROR(__xludf.DUMMYFUNCTION("IF(G9849&lt;&gt;"""", GOOGLETRANSLATE(G9849, ""en"", ""te""),"""")"),"")</f>
        <v/>
      </c>
      <c r="I9849" s="3"/>
    </row>
    <row r="9850" customHeight="1" spans="1:9">
      <c r="A9850" s="2"/>
      <c r="B9850" s="2" t="str">
        <f>IFERROR(__xludf.DUMMYFUNCTION("IF(A9850&lt;&gt;"""", GOOGLETRANSLATE(A9850, ""en"", ""te""),"""")"),"")</f>
        <v/>
      </c>
      <c r="C9850" s="2"/>
      <c r="D9850" s="2" t="str">
        <f>IFERROR(__xludf.DUMMYFUNCTION("IF(C9850&lt;&gt;"""", GOOGLETRANSLATE(C9850, ""en"", ""te""),"""")"),"")</f>
        <v/>
      </c>
      <c r="E9850" s="2" t="s">
        <v>5698</v>
      </c>
      <c r="F9850" s="2" t="str">
        <f>IFERROR(__xludf.DUMMYFUNCTION("IF(E9850&lt;&gt;"""", GOOGLETRANSLATE(E9850, ""en"", ""te""),"""")"),"[ '15 వ చెత్త కెరీర్ బౌలింగ్ సరాసరి (అర్హత లేకుండా) (116.50)']")</f>
        <v>[ '15 వ చెత్త కెరీర్ బౌలింగ్ సరాసరి (అర్హత లేకుండా) (116.50)']</v>
      </c>
      <c r="G9850" s="2"/>
      <c r="H9850" s="2" t="str">
        <f>IFERROR(__xludf.DUMMYFUNCTION("IF(G9850&lt;&gt;"""", GOOGLETRANSLATE(G9850, ""en"", ""te""),"""")"),"")</f>
        <v/>
      </c>
      <c r="I9850" s="3"/>
    </row>
    <row r="9851" customHeight="1" spans="1:9">
      <c r="A9851" s="2"/>
      <c r="B9851" s="2" t="str">
        <f>IFERROR(__xludf.DUMMYFUNCTION("IF(A9851&lt;&gt;"""", GOOGLETRANSLATE(A9851, ""en"", ""te""),"""")"),"")</f>
        <v/>
      </c>
      <c r="C9851" s="2"/>
      <c r="D9851" s="2" t="str">
        <f>IFERROR(__xludf.DUMMYFUNCTION("IF(C9851&lt;&gt;"""", GOOGLETRANSLATE(C9851, ""en"", ""te""),"""")"),"")</f>
        <v/>
      </c>
      <c r="E9851" s="2"/>
      <c r="F9851" s="2" t="str">
        <f>IFERROR(__xludf.DUMMYFUNCTION("IF(E9851&lt;&gt;"""", GOOGLETRANSLATE(E9851, ""en"", ""te""),"""")"),"")</f>
        <v/>
      </c>
      <c r="G9851" s="2"/>
      <c r="H9851" s="2" t="str">
        <f>IFERROR(__xludf.DUMMYFUNCTION("IF(G9851&lt;&gt;"""", GOOGLETRANSLATE(G9851, ""en"", ""te""),"""")"),"")</f>
        <v/>
      </c>
      <c r="I9851" s="3"/>
    </row>
    <row r="9852" customHeight="1" spans="1:9">
      <c r="A9852" s="2" t="s">
        <v>5699</v>
      </c>
      <c r="B9852" s="2" t="str">
        <f>IFERROR(__xludf.DUMMYFUNCTION("IF(A9852&lt;&gt;"""", GOOGLETRANSLATE(A9852, ""en"", ""te""),"""")"),"[ '5 వ షార్టేస్ట్ క్రీడాకారులు (25y 136d) నివసించారు']")</f>
        <v>[ '5 వ షార్టేస్ట్ క్రీడాకారులు (25y 136d) నివసించారు']</v>
      </c>
      <c r="C9852" s="2"/>
      <c r="D9852" s="2" t="str">
        <f>IFERROR(__xludf.DUMMYFUNCTION("IF(C9852&lt;&gt;"""", GOOGLETRANSLATE(C9852, ""en"", ""te""),"""")"),"")</f>
        <v/>
      </c>
      <c r="E9852" s="2" t="s">
        <v>5699</v>
      </c>
      <c r="F9852" s="2" t="str">
        <f>IFERROR(__xludf.DUMMYFUNCTION("IF(E9852&lt;&gt;"""", GOOGLETRANSLATE(E9852, ""en"", ""te""),"""")"),"[ '5 వ షార్టేస్ట్ క్రీడాకారులు (25y 136d) నివసించారు']")</f>
        <v>[ '5 వ షార్టేస్ట్ క్రీడాకారులు (25y 136d) నివసించారు']</v>
      </c>
      <c r="G9852" s="2"/>
      <c r="H9852" s="2" t="str">
        <f>IFERROR(__xludf.DUMMYFUNCTION("IF(G9852&lt;&gt;"""", GOOGLETRANSLATE(G9852, ""en"", ""te""),"""")"),"")</f>
        <v/>
      </c>
      <c r="I9852" s="3"/>
    </row>
    <row r="9853" customHeight="1" spans="1:9">
      <c r="A9853" s="2"/>
      <c r="B9853" s="2" t="str">
        <f>IFERROR(__xludf.DUMMYFUNCTION("IF(A9853&lt;&gt;"""", GOOGLETRANSLATE(A9853, ""en"", ""te""),"""")"),"")</f>
        <v/>
      </c>
      <c r="C9853" s="2"/>
      <c r="D9853" s="2" t="str">
        <f>IFERROR(__xludf.DUMMYFUNCTION("IF(C9853&lt;&gt;"""", GOOGLETRANSLATE(C9853, ""en"", ""te""),"""")"),"")</f>
        <v/>
      </c>
      <c r="E9853" s="2" t="s">
        <v>5700</v>
      </c>
      <c r="F9853" s="2" t="str">
        <f>IFERROR(__xludf.DUMMYFUNCTION("IF(E9853&lt;&gt;"""", GOOGLETRANSLATE(E9853, ""en"", ""te""),"""")"),"[ 'పదవ వికెట్కు 44 వ అత్యధిక భాగస్వామ్యం (25 *)']")</f>
        <v>[ 'పదవ వికెట్కు 44 వ అత్యధిక భాగస్వామ్యం (25 *)']</v>
      </c>
      <c r="G9853" s="2"/>
      <c r="H9853" s="2" t="str">
        <f>IFERROR(__xludf.DUMMYFUNCTION("IF(G9853&lt;&gt;"""", GOOGLETRANSLATE(G9853, ""en"", ""te""),"""")"),"")</f>
        <v/>
      </c>
      <c r="I9853" s="3"/>
    </row>
    <row r="9854" customHeight="1" spans="1:9">
      <c r="A9854" s="2" t="s">
        <v>5701</v>
      </c>
      <c r="B9854" s="2" t="str">
        <f>IFERROR(__xludf.DUMMYFUNCTION("IF(A9854&lt;&gt;"""", GOOGLETRANSLATE(A9854, ""en"", ""te""),"""")"),"[ 'ఇన్నింగ్స్ లో 6 వ అత్యధిక పరుగులు (బ్యాటింగ్ స్థానంలో ద్వారా) (75 *)', 'రెండు దేశాలకు ప్రాతినిధ్యం', '7 వ ఉత్తమ కెరీర్ ఆర్థిక రేటు (6.28)' '7th అత్యుత్తమ బౌలింగ్ (2/3) ఇన్నింగ్స్ విశ్లేషణలలో' 'ఎనిమిదవ వికెట్ (56 నాటౌట్) 9 వ అత్యధిక భాగస్వామ్యం' '4 వ అత"&amp;"్యధిక వికెట్లు తీసుకున్న ఎల్బిడబ్ల్యు (13)', 'రెండు దేశాలకు ప్రాతినిధ్యం']")</f>
        <v>[ 'ఇన్నింగ్స్ లో 6 వ అత్యధిక పరుగులు (బ్యాటింగ్ స్థానంలో ద్వారా) (75 *)', 'రెండు దేశాలకు ప్రాతినిధ్యం', '7 వ ఉత్తమ కెరీర్ ఆర్థిక రేటు (6.28)' '7th అత్యుత్తమ బౌలింగ్ (2/3) ఇన్నింగ్స్ విశ్లేషణలలో' 'ఎనిమిదవ వికెట్ (56 నాటౌట్) 9 వ అత్యధిక భాగస్వామ్యం' '4 వ అత్యధిక వికెట్లు తీసుకున్న ఎల్బిడబ్ల్యు (13)', 'రెండు దేశాలకు ప్రాతినిధ్యం']</v>
      </c>
      <c r="C9854" s="2"/>
      <c r="D9854" s="2" t="str">
        <f>IFERROR(__xludf.DUMMYFUNCTION("IF(C9854&lt;&gt;"""", GOOGLETRANSLATE(C9854, ""en"", ""te""),"""")"),"")</f>
        <v/>
      </c>
      <c r="E9854" s="2" t="s">
        <v>5702</v>
      </c>
      <c r="F9854" s="2" t="str">
        <f>IFERROR(__xludf.DUMMYFUNCTION("IF(E9854&lt;&gt;"""", GOOGLETRANSLATE(E9854, ""en"", ""te""),"""")"),"[ '9 వ లాంగెస్ట్ ప్రదర్శనలు (9y 16d) మధ్య వ్యవధిలో']")</f>
        <v>[ '9 వ లాంగెస్ట్ ప్రదర్శనలు (9y 16d) మధ్య వ్యవధిలో']</v>
      </c>
      <c r="G9854" s="2" t="s">
        <v>5703</v>
      </c>
      <c r="H9854" s="2" t="str">
        <f>IFERROR(__xludf.DUMMYFUNCTION("IF(G9854&lt;&gt;"""", GOOGLETRANSLATE(G9854, ""en"", ""te""),"""")"),"[ 'ఇన్నింగ్స్ లో 6 వ అత్యధిక పరుగులు (75 *) (బ్యాటింగ్ స్థానం)', 'కెరీర్లో 30 వ అత్యధిక వికెట్లు (54)', 'ఒక క్యాలెండర్ సంవత్సరంలో 17 వ అత్యధిక వికెట్లు (23)', '7 వ అత్యుత్తమ బౌలింగ్ ఒక విశ్లేషణలలో ఇన్నింగ్స్ (2/3) ',' 11 వ బౌలింగ్ ఉత్తమ కెరీర్ సగటు (17.37"&amp;") ',' 7 వ ఉత్తమ కెరీర్ ఆర్థిక రేటు (6.28) ',' 27 వ ఉత్తమ కెరీర్ సమ్మె రేటు (16.5) ',' 42 వ కెరీర్ లో బౌల్డ్ చాలా బంతుల్లో (895 ) ',' 12 వ అత్యధిక వికెట్లు బౌల్డ్ (17) ',' 4 వ అత్యధిక వికెట్లు తీసుకున్న ఎల్బిడబ్ల్యు (13) ',' 12 వ వేగంగా 50 వికెట్లు (40) ',"&amp;"' ఎనిమిదవ వికెట్కు 9 వ అత్యధిక భాగస్వామ్యం (56 *) కు తీసుకువెళ్లారు, '19 మోస్ట్ ప్లేయర్ ఆఫ్ ది మ్యాచ్ అవార్డులు (6)', 'ప్రదర్శనలు (5 సం 45d) మధ్య 44 వ లాంగెస్ట్ వ్యవధిలో']")</f>
        <v>[ 'ఇన్నింగ్స్ లో 6 వ అత్యధిక పరుగులు (75 *) (బ్యాటింగ్ స్థానం)', 'కెరీర్లో 30 వ అత్యధిక వికెట్లు (54)', 'ఒక క్యాలెండర్ సంవత్సరంలో 17 వ అత్యధిక వికెట్లు (23)', '7 వ అత్యుత్తమ బౌలింగ్ ఒక విశ్లేషణలలో ఇన్నింగ్స్ (2/3) ',' 11 వ బౌలింగ్ ఉత్తమ కెరీర్ సగటు (17.37) ',' 7 వ ఉత్తమ కెరీర్ ఆర్థిక రేటు (6.28) ',' 27 వ ఉత్తమ కెరీర్ సమ్మె రేటు (16.5) ',' 42 వ కెరీర్ లో బౌల్డ్ చాలా బంతుల్లో (895 ) ',' 12 వ అత్యధిక వికెట్లు బౌల్డ్ (17) ',' 4 వ అత్యధిక వికెట్లు తీసుకున్న ఎల్బిడబ్ల్యు (13) ',' 12 వ వేగంగా 50 వికెట్లు (40) ',' ఎనిమిదవ వికెట్కు 9 వ అత్యధిక భాగస్వామ్యం (56 *) కు తీసుకువెళ్లారు, '19 మోస్ట్ ప్లేయర్ ఆఫ్ ది మ్యాచ్ అవార్డులు (6)', 'ప్రదర్శనలు (5 సం 45d) మధ్య 44 వ లాంగెస్ట్ వ్యవధిలో']</v>
      </c>
      <c r="I9854" s="3"/>
    </row>
    <row r="9855" customHeight="1" spans="1:9">
      <c r="A9855" s="2"/>
      <c r="B9855" s="2" t="str">
        <f>IFERROR(__xludf.DUMMYFUNCTION("IF(A9855&lt;&gt;"""", GOOGLETRANSLATE(A9855, ""en"", ""te""),"""")"),"")</f>
        <v/>
      </c>
      <c r="C9855" s="2"/>
      <c r="D9855" s="2" t="str">
        <f>IFERROR(__xludf.DUMMYFUNCTION("IF(C9855&lt;&gt;"""", GOOGLETRANSLATE(C9855, ""en"", ""te""),"""")"),"")</f>
        <v/>
      </c>
      <c r="E9855" s="2" t="s">
        <v>5704</v>
      </c>
      <c r="F9855" s="2" t="str">
        <f>IFERROR(__xludf.DUMMYFUNCTION("IF(E9855&lt;&gt;"""", GOOGLETRANSLATE(E9855, ""en"", ""te""),"""")"),"[ '27 పిన్న క్రీడాకారులు (15y 346d)']")</f>
        <v>[ '27 పిన్న క్రీడాకారులు (15y 346d)']</v>
      </c>
      <c r="G9855" s="2" t="s">
        <v>5705</v>
      </c>
      <c r="H9855" s="2" t="str">
        <f>IFERROR(__xludf.DUMMYFUNCTION("IF(G9855&lt;&gt;"""", GOOGLETRANSLATE(G9855, ""en"", ""te""),"""")"),"[ '38 వ పరాజయం వైపు (60) ఒక మ్యాచ్లో అత్యధిక పరుగులు']")</f>
        <v>[ '38 వ పరాజయం వైపు (60) ఒక మ్యాచ్లో అత్యధిక పరుగులు']</v>
      </c>
      <c r="I9855" s="3"/>
    </row>
    <row r="9856" customHeight="1" spans="1:9">
      <c r="A9856" s="2" t="s">
        <v>5706</v>
      </c>
      <c r="B9856" s="2" t="str">
        <f>IFERROR(__xludf.DUMMYFUNCTION("IF(A9856&lt;&gt;"""", GOOGLETRANSLATE(A9856, ""en"", ""te""),"""")"),"[ '1st ఇన్నింగ్స్ లో అత్యధిక పరుగులు (బ్యాటింగ్ స్థానంలో ప్రకారం) (18)', '7th ఒక క్యాలెండర్ సంవత్సరంలో అత్యధిక వికెట్లు (27)', 'ఇన్నింగ్స్ లో 6 వ ఉత్తమ సమ్మె రేటు (3.0)', '1 వ బౌలర్ / బ్యాట్స్ కాంబినేషన్ (4) ']")</f>
        <v>[ '1st ఇన్నింగ్స్ లో అత్యధిక పరుగులు (బ్యాటింగ్ స్థానంలో ప్రకారం) (18)', '7th ఒక క్యాలెండర్ సంవత్సరంలో అత్యధిక వికెట్లు (27)', 'ఇన్నింగ్స్ లో 6 వ ఉత్తమ సమ్మె రేటు (3.0)', '1 వ బౌలర్ / బ్యాట్స్ కాంబినేషన్ (4) ']</v>
      </c>
      <c r="C9856" s="2"/>
      <c r="D9856" s="2" t="str">
        <f>IFERROR(__xludf.DUMMYFUNCTION("IF(C9856&lt;&gt;"""", GOOGLETRANSLATE(C9856, ""en"", ""te""),"""")"),"")</f>
        <v/>
      </c>
      <c r="E9856" s="2"/>
      <c r="F9856" s="2" t="str">
        <f>IFERROR(__xludf.DUMMYFUNCTION("IF(E9856&lt;&gt;"""", GOOGLETRANSLATE(E9856, ""en"", ""te""),"""")"),"")</f>
        <v/>
      </c>
      <c r="G9856" s="2" t="s">
        <v>5707</v>
      </c>
      <c r="H9856" s="2" t="str">
        <f>IFERROR(__xludf.DUMMYFUNCTION("IF(G9856&lt;&gt;"""", GOOGLETRANSLATE(G9856, ""en"", ""te""),"""")"),"[ 'ఇన్నింగ్స్ లో 1 వ అత్యధిక పరుగులు (బ్యాటింగ్ స్థానంలో ప్రకారం) (18)', '41 వ అత్యధిక వికెట్లు కెరీర్లో (47)' ఒక ఇన్నింగ్స్ ఉన్నప్పుడు, '7th ఒక క్యాలెండర్ సంవత్సరంలో అత్యధిక వికెట్లు (27)', '8 వ బెస్ట్ ఫిగర్స్ పరాజయం వైపు (4) ',' ఇన్నింగ్స్ లో 6 వ ఉత్తమ"&amp;" సమ్మె రేటు (3.0) ',' 16 వ అత్యంత నాలుగు వికెట్లు-ఇన్-ఒక-ఇన్నింగ్స్ కెరీర్లో (2) ',' 43 వ కెరీర్ లో బౌల్డ్ చాలా బంతుల్లో ( 889) ',' 45 వ కెరీర్ లో సాధించిన (1061) ',' 1 వ బౌలర్ అత్యధిక పరుగులు / బ్యాట్స్ కలయికలు (4) ',' 45 వ బౌలర్ / ఫీల్డర్ కలయికలు (6) ',"&amp;"' 48 వ అత్యధిక వికెట్లు తీసుకున్న బౌల్డ్ (10) ',' 29 వ అత్యధిక క్యాచ్ తీసుకున్న వికెట్ల (35) ',' 3 వ అత్యధిక వికెట్లు సాధించిన వికెట్కీపర్గా (11) పట్టుకుంటే తీసిన]")</f>
        <v>[ 'ఇన్నింగ్స్ లో 1 వ అత్యధిక పరుగులు (బ్యాటింగ్ స్థానంలో ప్రకారం) (18)', '41 వ అత్యధిక వికెట్లు కెరీర్లో (47)' ఒక ఇన్నింగ్స్ ఉన్నప్పుడు, '7th ఒక క్యాలెండర్ సంవత్సరంలో అత్యధిక వికెట్లు (27)', '8 వ బెస్ట్ ఫిగర్స్ పరాజయం వైపు (4) ',' ఇన్నింగ్స్ లో 6 వ ఉత్తమ సమ్మె రేటు (3.0) ',' 16 వ అత్యంత నాలుగు వికెట్లు-ఇన్-ఒక-ఇన్నింగ్స్ కెరీర్లో (2) ',' 43 వ కెరీర్ లో బౌల్డ్ చాలా బంతుల్లో ( 889) ',' 45 వ కెరీర్ లో సాధించిన (1061) ',' 1 వ బౌలర్ అత్యధిక పరుగులు / బ్యాట్స్ కలయికలు (4) ',' 45 వ బౌలర్ / ఫీల్డర్ కలయికలు (6) ',' 48 వ అత్యధిక వికెట్లు తీసుకున్న బౌల్డ్ (10) ',' 29 వ అత్యధిక క్యాచ్ తీసుకున్న వికెట్ల (35) ',' 3 వ అత్యధిక వికెట్లు సాధించిన వికెట్కీపర్గా (11) పట్టుకుంటే తీసిన]</v>
      </c>
      <c r="I9856" s="3"/>
    </row>
    <row r="9857" customHeight="1" spans="1:9">
      <c r="A9857" s="2" t="s">
        <v>352</v>
      </c>
      <c r="B9857" s="2" t="str">
        <f>IFERROR(__xludf.DUMMYFUNCTION("IF(A9857&lt;&gt;"""", GOOGLETRANSLATE(A9857, ""en"", ""te""),"""")"),"[ 'బ్యాటింగ్ ప్రారంభించుటకు మరియు అదే మ్యాచ్ లో బౌలింగ్']")</f>
        <v>[ 'బ్యాటింగ్ ప్రారంభించుటకు మరియు అదే మ్యాచ్ లో బౌలింగ్']</v>
      </c>
      <c r="C9857" s="2"/>
      <c r="D9857" s="2" t="str">
        <f>IFERROR(__xludf.DUMMYFUNCTION("IF(C9857&lt;&gt;"""", GOOGLETRANSLATE(C9857, ""en"", ""te""),"""")"),"")</f>
        <v/>
      </c>
      <c r="E9857" s="2" t="s">
        <v>5708</v>
      </c>
      <c r="F9857" s="2" t="str">
        <f>IFERROR(__xludf.DUMMYFUNCTION("IF(E9857&lt;&gt;"""", GOOGLETRANSLATE(E9857, ""en"", ""te""),"""")"),"[ 'మొదటి డక్ ముందు 40 వ అత్యంత ఇన్నింగ్స్ (15)', 'పదవ వికెట్కు 36 వ అత్యధిక భాగస్వామ్యం (27)']")</f>
        <v>[ 'మొదటి డక్ ముందు 40 వ అత్యంత ఇన్నింగ్స్ (15)', 'పదవ వికెట్కు 36 వ అత్యధిక భాగస్వామ్యం (27)']</v>
      </c>
      <c r="G9857" s="2"/>
      <c r="H9857" s="2" t="str">
        <f>IFERROR(__xludf.DUMMYFUNCTION("IF(G9857&lt;&gt;"""", GOOGLETRANSLATE(G9857, ""en"", ""te""),"""")"),"")</f>
        <v/>
      </c>
      <c r="I9857" s="3"/>
    </row>
    <row r="9858" customHeight="1" spans="1:9">
      <c r="A9858" s="2"/>
      <c r="B9858" s="2" t="str">
        <f>IFERROR(__xludf.DUMMYFUNCTION("IF(A9858&lt;&gt;"""", GOOGLETRANSLATE(A9858, ""en"", ""te""),"""")"),"")</f>
        <v/>
      </c>
      <c r="C9858" s="2"/>
      <c r="D9858" s="2" t="str">
        <f>IFERROR(__xludf.DUMMYFUNCTION("IF(C9858&lt;&gt;"""", GOOGLETRANSLATE(C9858, ""en"", ""te""),"""")"),"")</f>
        <v/>
      </c>
      <c r="E9858" s="2"/>
      <c r="F9858" s="2" t="str">
        <f>IFERROR(__xludf.DUMMYFUNCTION("IF(E9858&lt;&gt;"""", GOOGLETRANSLATE(E9858, ""en"", ""te""),"""")"),"")</f>
        <v/>
      </c>
      <c r="G9858" s="2"/>
      <c r="H9858" s="2" t="str">
        <f>IFERROR(__xludf.DUMMYFUNCTION("IF(G9858&lt;&gt;"""", GOOGLETRANSLATE(G9858, ""en"", ""te""),"""")"),"")</f>
        <v/>
      </c>
      <c r="I9858" s="3"/>
    </row>
    <row r="9859" customHeight="1" spans="1:9">
      <c r="A9859" s="2"/>
      <c r="B9859" s="2" t="str">
        <f>IFERROR(__xludf.DUMMYFUNCTION("IF(A9859&lt;&gt;"""", GOOGLETRANSLATE(A9859, ""en"", ""te""),"""")"),"")</f>
        <v/>
      </c>
      <c r="C9859" s="2"/>
      <c r="D9859" s="2" t="str">
        <f>IFERROR(__xludf.DUMMYFUNCTION("IF(C9859&lt;&gt;"""", GOOGLETRANSLATE(C9859, ""en"", ""te""),"""")"),"")</f>
        <v/>
      </c>
      <c r="E9859" s="2" t="s">
        <v>5709</v>
      </c>
      <c r="F9859" s="2" t="str">
        <f>IFERROR(__xludf.DUMMYFUNCTION("IF(E9859&lt;&gt;"""", GOOGLETRANSLATE(E9859, ""en"", ""te""),"""")"),"[ '33 వ ఓల్డెస్ట్ కాప్టెన్ (37y 80D)']")</f>
        <v>[ '33 వ ఓల్డెస్ట్ కాప్టెన్ (37y 80D)']</v>
      </c>
      <c r="G9859" s="2"/>
      <c r="H9859" s="2" t="str">
        <f>IFERROR(__xludf.DUMMYFUNCTION("IF(G9859&lt;&gt;"""", GOOGLETRANSLATE(G9859, ""en"", ""te""),"""")"),"")</f>
        <v/>
      </c>
      <c r="I9859" s="3"/>
    </row>
    <row r="9860" customHeight="1" spans="1:9">
      <c r="A9860" s="2"/>
      <c r="B9860" s="2" t="str">
        <f>IFERROR(__xludf.DUMMYFUNCTION("IF(A9860&lt;&gt;"""", GOOGLETRANSLATE(A9860, ""en"", ""te""),"""")"),"")</f>
        <v/>
      </c>
      <c r="C9860" s="2"/>
      <c r="D9860" s="2" t="str">
        <f>IFERROR(__xludf.DUMMYFUNCTION("IF(C9860&lt;&gt;"""", GOOGLETRANSLATE(C9860, ""en"", ""te""),"""")"),"")</f>
        <v/>
      </c>
      <c r="E9860" s="2" t="s">
        <v>5710</v>
      </c>
      <c r="F9860" s="2" t="str">
        <f>IFERROR(__xludf.DUMMYFUNCTION("IF(E9860&lt;&gt;"""", GOOGLETRANSLATE(E9860, ""en"", ""te""),"""")"),"[ '38 వ చెత్త కెరీర్ బౌలింగ్ సరాసరి (32.17)', '13 వ చెత్త కెరీర్లో సమ్మె రేటు (64.3)']")</f>
        <v>[ '38 వ చెత్త కెరీర్ బౌలింగ్ సరాసరి (32.17)', '13 వ చెత్త కెరీర్లో సమ్మె రేటు (64.3)']</v>
      </c>
      <c r="G9860" s="2"/>
      <c r="H9860" s="2" t="str">
        <f>IFERROR(__xludf.DUMMYFUNCTION("IF(G9860&lt;&gt;"""", GOOGLETRANSLATE(G9860, ""en"", ""te""),"""")"),"")</f>
        <v/>
      </c>
      <c r="I9860" s="3"/>
    </row>
    <row r="9861" customHeight="1" spans="1:9">
      <c r="A9861" s="2"/>
      <c r="B9861" s="2" t="str">
        <f>IFERROR(__xludf.DUMMYFUNCTION("IF(A9861&lt;&gt;"""", GOOGLETRANSLATE(A9861, ""en"", ""te""),"""")"),"")</f>
        <v/>
      </c>
      <c r="C9861" s="2"/>
      <c r="D9861" s="2" t="str">
        <f>IFERROR(__xludf.DUMMYFUNCTION("IF(C9861&lt;&gt;"""", GOOGLETRANSLATE(C9861, ""en"", ""te""),"""")"),"")</f>
        <v/>
      </c>
      <c r="E9861" s="2"/>
      <c r="F9861" s="2" t="str">
        <f>IFERROR(__xludf.DUMMYFUNCTION("IF(E9861&lt;&gt;"""", GOOGLETRANSLATE(E9861, ""en"", ""te""),"""")"),"")</f>
        <v/>
      </c>
      <c r="G9861" s="2" t="s">
        <v>5711</v>
      </c>
      <c r="H9861" s="2" t="str">
        <f>IFERROR(__xludf.DUMMYFUNCTION("IF(G9861&lt;&gt;"""", GOOGLETRANSLATE(G9861, ""en"", ""te""),"""")"),"[ '45 వ పరాజయం వైపు ఒక మ్యాచ్లో అత్యధిక పరుగులు (78)', '40 వ అత్యధిక పరుగులు ఒకే నేలపై (285)', 'అత్యధిక వికెట్లు ఇన్నింగ్స్ లో 20 వ అత్యధిక పరుగులు (78)', '18 వ అత్యధిక కెరీర్ సమ్మె రేటు (146.31) ',' 32 వ కెరీర్ బాతులు (5) ',' 12 వ ఇన్నింగ్స్ లో వచ్చిన "&amp;"ఎక్కువ ఫోర్లు (12) ',' తొలి వికెట్కు (116) కోసం 45 వ అత్యధిక భాగస్వామ్యం ']")</f>
        <v>[ '45 వ పరాజయం వైపు ఒక మ్యాచ్లో అత్యధిక పరుగులు (78)', '40 వ అత్యధిక పరుగులు ఒకే నేలపై (285)', 'అత్యధిక వికెట్లు ఇన్నింగ్స్ లో 20 వ అత్యధిక పరుగులు (78)', '18 వ అత్యధిక కెరీర్ సమ్మె రేటు (146.31) ',' 32 వ కెరీర్ బాతులు (5) ',' 12 వ ఇన్నింగ్స్ లో వచ్చిన ఎక్కువ ఫోర్లు (12) ',' తొలి వికెట్కు (116) కోసం 45 వ అత్యధిక భాగస్వామ్యం ']</v>
      </c>
      <c r="I9861" s="3"/>
    </row>
    <row r="9862" customHeight="1" spans="1:9">
      <c r="A9862" s="2" t="s">
        <v>5712</v>
      </c>
      <c r="B9862" s="2" t="str">
        <f>IFERROR(__xludf.DUMMYFUNCTION("IF(A9862&lt;&gt;"""", GOOGLETRANSLATE(A9862, ""en"", ""te""),"""")"),"[ 'గత మ్యాచ్లో 5 వ హండ్రెడ్ (134 *)']")</f>
        <v>[ 'గత మ్యాచ్లో 5 వ హండ్రెడ్ (134 *)']</v>
      </c>
      <c r="C9862" s="2"/>
      <c r="D9862" s="2" t="str">
        <f>IFERROR(__xludf.DUMMYFUNCTION("IF(C9862&lt;&gt;"""", GOOGLETRANSLATE(C9862, ""en"", ""te""),"""")"),"")</f>
        <v/>
      </c>
      <c r="E9862" s="2" t="s">
        <v>5713</v>
      </c>
      <c r="F9862" s="2" t="str">
        <f>IFERROR(__xludf.DUMMYFUNCTION("IF(E9862&lt;&gt;"""", GOOGLETRANSLATE(E9862, ""en"", ""te""),"""")"),"[ '45 వ అత్యధిక తొలి వంద (134 *)', 'గత మ్యాచ్ (134 *) లో 5 వ హండ్రెడ్' '33 వ అత్యంత వృద్ధ ఆటగాడు తొలి శతకాలను సాధించిన (32y 236d)', 'ప్రదర్శనలు (6y 348d) మధ్య 32 వ లాంగెస్ట్ వ్యవధిలో' ]")</f>
        <v>[ '45 వ అత్యధిక తొలి వంద (134 *)', 'గత మ్యాచ్ (134 *) లో 5 వ హండ్రెడ్' '33 వ అత్యంత వృద్ధ ఆటగాడు తొలి శతకాలను సాధించిన (32y 236d)', 'ప్రదర్శనలు (6y 348d) మధ్య 32 వ లాంగెస్ట్ వ్యవధిలో' ]</v>
      </c>
      <c r="G9862" s="2"/>
      <c r="H9862" s="2" t="str">
        <f>IFERROR(__xludf.DUMMYFUNCTION("IF(G9862&lt;&gt;"""", GOOGLETRANSLATE(G9862, ""en"", ""te""),"""")"),"")</f>
        <v/>
      </c>
      <c r="I9862" s="3"/>
    </row>
    <row r="9863" customHeight="1" spans="1:9">
      <c r="A9863" s="2"/>
      <c r="B9863" s="2" t="str">
        <f>IFERROR(__xludf.DUMMYFUNCTION("IF(A9863&lt;&gt;"""", GOOGLETRANSLATE(A9863, ""en"", ""te""),"""")"),"")</f>
        <v/>
      </c>
      <c r="C9863" s="2"/>
      <c r="D9863" s="2" t="str">
        <f>IFERROR(__xludf.DUMMYFUNCTION("IF(C9863&lt;&gt;"""", GOOGLETRANSLATE(C9863, ""en"", ""te""),"""")"),"")</f>
        <v/>
      </c>
      <c r="E9863" s="2" t="s">
        <v>5634</v>
      </c>
      <c r="F9863" s="2" t="str">
        <f>IFERROR(__xludf.DUMMYFUNCTION("IF(E9863&lt;&gt;"""", GOOGLETRANSLATE(E9863, ""en"", ""te""),"""")"),"[ 'ప్రదర్శనల మధ్య 45 వ లాంగెస్ట్ వ్యవధిలో (6y 195d)']")</f>
        <v>[ 'ప్రదర్శనల మధ్య 45 వ లాంగెస్ట్ వ్యవధిలో (6y 195d)']</v>
      </c>
      <c r="G9863" s="2"/>
      <c r="H9863" s="2" t="str">
        <f>IFERROR(__xludf.DUMMYFUNCTION("IF(G9863&lt;&gt;"""", GOOGLETRANSLATE(G9863, ""en"", ""te""),"""")"),"")</f>
        <v/>
      </c>
      <c r="I9863" s="3"/>
    </row>
    <row r="9864" customHeight="1" spans="1:9">
      <c r="A9864" s="2"/>
      <c r="B9864" s="2" t="str">
        <f>IFERROR(__xludf.DUMMYFUNCTION("IF(A9864&lt;&gt;"""", GOOGLETRANSLATE(A9864, ""en"", ""te""),"""")"),"")</f>
        <v/>
      </c>
      <c r="C9864" s="2"/>
      <c r="D9864" s="2" t="str">
        <f>IFERROR(__xludf.DUMMYFUNCTION("IF(C9864&lt;&gt;"""", GOOGLETRANSLATE(C9864, ""en"", ""te""),"""")"),"")</f>
        <v/>
      </c>
      <c r="E9864" s="2"/>
      <c r="F9864" s="2" t="str">
        <f>IFERROR(__xludf.DUMMYFUNCTION("IF(E9864&lt;&gt;"""", GOOGLETRANSLATE(E9864, ""en"", ""te""),"""")"),"")</f>
        <v/>
      </c>
      <c r="G9864" s="2"/>
      <c r="H9864" s="2" t="str">
        <f>IFERROR(__xludf.DUMMYFUNCTION("IF(G9864&lt;&gt;"""", GOOGLETRANSLATE(G9864, ""en"", ""te""),"""")"),"")</f>
        <v/>
      </c>
      <c r="I9864" s="3"/>
    </row>
    <row r="9865" customHeight="1" spans="1:9">
      <c r="A9865" s="2"/>
      <c r="B9865" s="2" t="str">
        <f>IFERROR(__xludf.DUMMYFUNCTION("IF(A9865&lt;&gt;"""", GOOGLETRANSLATE(A9865, ""en"", ""te""),"""")"),"")</f>
        <v/>
      </c>
      <c r="C9865" s="2"/>
      <c r="D9865" s="2" t="str">
        <f>IFERROR(__xludf.DUMMYFUNCTION("IF(C9865&lt;&gt;"""", GOOGLETRANSLATE(C9865, ""en"", ""te""),"""")"),"")</f>
        <v/>
      </c>
      <c r="E9865" s="2" t="s">
        <v>5714</v>
      </c>
      <c r="F9865" s="2" t="str">
        <f>IFERROR(__xludf.DUMMYFUNCTION("IF(E9865&lt;&gt;"""", GOOGLETRANSLATE(E9865, ""en"", ""te""),"""")"),"[ '34 వ అత్యధిక పరుగులు ఇన్నింగ్స్ (72) లో సాధించిన]")</f>
        <v>[ '34 వ అత్యధిక పరుగులు ఇన్నింగ్స్ (72) లో సాధించిన]</v>
      </c>
      <c r="G9865" s="2"/>
      <c r="H9865" s="2" t="str">
        <f>IFERROR(__xludf.DUMMYFUNCTION("IF(G9865&lt;&gt;"""", GOOGLETRANSLATE(G9865, ""en"", ""te""),"""")"),"")</f>
        <v/>
      </c>
      <c r="I9865" s="3"/>
    </row>
    <row r="9866" customHeight="1" spans="1:9">
      <c r="A9866" s="2"/>
      <c r="B9866" s="2" t="str">
        <f>IFERROR(__xludf.DUMMYFUNCTION("IF(A9866&lt;&gt;"""", GOOGLETRANSLATE(A9866, ""en"", ""te""),"""")"),"")</f>
        <v/>
      </c>
      <c r="C9866" s="2"/>
      <c r="D9866" s="2" t="str">
        <f>IFERROR(__xludf.DUMMYFUNCTION("IF(C9866&lt;&gt;"""", GOOGLETRANSLATE(C9866, ""en"", ""te""),"""")"),"")</f>
        <v/>
      </c>
      <c r="E9866" s="2" t="s">
        <v>5715</v>
      </c>
      <c r="F9866" s="2" t="str">
        <f>IFERROR(__xludf.DUMMYFUNCTION("IF(E9866&lt;&gt;"""", GOOGLETRANSLATE(E9866, ""en"", ""te""),"""")"),"[ '33 వ కెరీర్ (12) లో అత్యధిక క్యాచ్లు']")</f>
        <v>[ '33 వ కెరీర్ (12) లో అత్యధిక క్యాచ్లు']</v>
      </c>
      <c r="G9866" s="2" t="s">
        <v>5716</v>
      </c>
      <c r="H9866" s="2" t="str">
        <f>IFERROR(__xludf.DUMMYFUNCTION("IF(G9866&lt;&gt;"""", GOOGLETRANSLATE(G9866, ""en"", ""te""),"""")"),"[ 'కెరీర్లో 22 వ బాతులు నో (11)']")</f>
        <v>[ 'కెరీర్లో 22 వ బాతులు నో (11)']</v>
      </c>
      <c r="I9866" s="3"/>
    </row>
    <row r="9867" customHeight="1" spans="1:9">
      <c r="A9867" s="2" t="s">
        <v>5717</v>
      </c>
      <c r="B9867" s="2" t="str">
        <f>IFERROR(__xludf.DUMMYFUNCTION("IF(A9867&lt;&gt;"""", GOOGLETRANSLATE(A9867, ""en"", ""te""),"""")"),"[ '6 వ చెత్త కెరీర్ బౌలింగ్ సరాసరి (అర్హత లేకుండా) (195.00)']")</f>
        <v>[ '6 వ చెత్త కెరీర్ బౌలింగ్ సరాసరి (అర్హత లేకుండా) (195.00)']</v>
      </c>
      <c r="C9867" s="2"/>
      <c r="D9867" s="2" t="str">
        <f>IFERROR(__xludf.DUMMYFUNCTION("IF(C9867&lt;&gt;"""", GOOGLETRANSLATE(C9867, ""en"", ""te""),"""")"),"")</f>
        <v/>
      </c>
      <c r="E9867" s="2" t="s">
        <v>5717</v>
      </c>
      <c r="F9867" s="2" t="str">
        <f>IFERROR(__xludf.DUMMYFUNCTION("IF(E9867&lt;&gt;"""", GOOGLETRANSLATE(E9867, ""en"", ""te""),"""")"),"[ '6 వ చెత్త కెరీర్ బౌలింగ్ సరాసరి (అర్హత లేకుండా) (195.00)']")</f>
        <v>[ '6 వ చెత్త కెరీర్ బౌలింగ్ సరాసరి (అర్హత లేకుండా) (195.00)']</v>
      </c>
      <c r="G9867" s="2"/>
      <c r="H9867" s="2" t="str">
        <f>IFERROR(__xludf.DUMMYFUNCTION("IF(G9867&lt;&gt;"""", GOOGLETRANSLATE(G9867, ""en"", ""te""),"""")"),"")</f>
        <v/>
      </c>
      <c r="I9867" s="3"/>
    </row>
    <row r="9868" customHeight="1" spans="1:9">
      <c r="A9868" s="2"/>
      <c r="B9868" s="2" t="str">
        <f>IFERROR(__xludf.DUMMYFUNCTION("IF(A9868&lt;&gt;"""", GOOGLETRANSLATE(A9868, ""en"", ""te""),"""")"),"")</f>
        <v/>
      </c>
      <c r="C9868" s="2"/>
      <c r="D9868" s="2" t="str">
        <f>IFERROR(__xludf.DUMMYFUNCTION("IF(C9868&lt;&gt;"""", GOOGLETRANSLATE(C9868, ""en"", ""te""),"""")"),"")</f>
        <v/>
      </c>
      <c r="E9868" s="2"/>
      <c r="F9868" s="2" t="str">
        <f>IFERROR(__xludf.DUMMYFUNCTION("IF(E9868&lt;&gt;"""", GOOGLETRANSLATE(E9868, ""en"", ""te""),"""")"),"")</f>
        <v/>
      </c>
      <c r="G9868" s="2" t="s">
        <v>5718</v>
      </c>
      <c r="H9868" s="2" t="str">
        <f>IFERROR(__xludf.DUMMYFUNCTION("IF(G9868&lt;&gt;"""", GOOGLETRANSLATE(G9868, ""en"", ""te""),"""")"),"[ '33 వ చెత్త ఇన్నింగ్స్ లో ఆర్థిక రేటు (14.50)', '34 వ ఇన్నింగ్స్ లో సాధించిన అత్యధిక పరుగులు (46)']")</f>
        <v>[ '33 వ చెత్త ఇన్నింగ్స్ లో ఆర్థిక రేటు (14.50)', '34 వ ఇన్నింగ్స్ లో సాధించిన అత్యధిక పరుగులు (46)']</v>
      </c>
      <c r="I9868" s="3"/>
    </row>
    <row r="9869" customHeight="1" spans="1:9">
      <c r="A9869" s="2"/>
      <c r="B9869" s="2" t="str">
        <f>IFERROR(__xludf.DUMMYFUNCTION("IF(A9869&lt;&gt;"""", GOOGLETRANSLATE(A9869, ""en"", ""te""),"""")"),"")</f>
        <v/>
      </c>
      <c r="C9869" s="2"/>
      <c r="D9869" s="2" t="str">
        <f>IFERROR(__xludf.DUMMYFUNCTION("IF(C9869&lt;&gt;"""", GOOGLETRANSLATE(C9869, ""en"", ""te""),"""")"),"")</f>
        <v/>
      </c>
      <c r="E9869" s="2" t="s">
        <v>5634</v>
      </c>
      <c r="F9869" s="2" t="str">
        <f>IFERROR(__xludf.DUMMYFUNCTION("IF(E9869&lt;&gt;"""", GOOGLETRANSLATE(E9869, ""en"", ""te""),"""")"),"[ 'ప్రదర్శనల మధ్య 45 వ లాంగెస్ట్ వ్యవధిలో (6y 195d)']")</f>
        <v>[ 'ప్రదర్శనల మధ్య 45 వ లాంగెస్ట్ వ్యవధిలో (6y 195d)']</v>
      </c>
      <c r="G9869" s="2"/>
      <c r="H9869" s="2" t="str">
        <f>IFERROR(__xludf.DUMMYFUNCTION("IF(G9869&lt;&gt;"""", GOOGLETRANSLATE(G9869, ""en"", ""te""),"""")"),"")</f>
        <v/>
      </c>
      <c r="I9869" s="3"/>
    </row>
    <row r="9870" customHeight="1" spans="1:9">
      <c r="A9870" s="2" t="s">
        <v>5719</v>
      </c>
      <c r="B9870" s="2" t="str">
        <f>IFERROR(__xludf.DUMMYFUNCTION("IF(A9870&lt;&gt;"""", GOOGLETRANSLATE(A9870, ""en"", ""te""),"""")"),"[ '2nd పురాతన దేశం ఆటగాళ్ళు (87y 290d)']")</f>
        <v>[ '2nd పురాతన దేశం ఆటగాళ్ళు (87y 290d)']</v>
      </c>
      <c r="C9870" s="2"/>
      <c r="D9870" s="2" t="str">
        <f>IFERROR(__xludf.DUMMYFUNCTION("IF(C9870&lt;&gt;"""", GOOGLETRANSLATE(C9870, ""en"", ""te""),"""")"),"")</f>
        <v/>
      </c>
      <c r="E9870" s="2" t="s">
        <v>5720</v>
      </c>
      <c r="F9870" s="2" t="str">
        <f>IFERROR(__xludf.DUMMYFUNCTION("IF(E9870&lt;&gt;"""", GOOGLETRANSLATE(E9870, ""en"", ""te""),"""")"),"[ '22 వ ఓల్డెస్ట్ క్రీడాకారులు (41y 301d)', '(41y 294d) తొలి 13 వ ఓల్డెస్ట్ క్రీడాకారులు', '38 వ చెత్త కెరీర్ (116.00) (అర్హత లేకుండా) సగటు బౌలింగ్', '2 వ పురాతన దేశం ఆటగాళ్ళు (87y 290d)']")</f>
        <v>[ '22 వ ఓల్డెస్ట్ క్రీడాకారులు (41y 301d)', '(41y 294d) తొలి 13 వ ఓల్డెస్ట్ క్రీడాకారులు', '38 వ చెత్త కెరీర్ (116.00) (అర్హత లేకుండా) సగటు బౌలింగ్', '2 వ పురాతన దేశం ఆటగాళ్ళు (87y 290d)']</v>
      </c>
      <c r="G9870" s="2"/>
      <c r="H9870" s="2" t="str">
        <f>IFERROR(__xludf.DUMMYFUNCTION("IF(G9870&lt;&gt;"""", GOOGLETRANSLATE(G9870, ""en"", ""te""),"""")"),"")</f>
        <v/>
      </c>
      <c r="I9870" s="3"/>
    </row>
    <row r="9871" customHeight="1" spans="1:9">
      <c r="A9871" s="2" t="s">
        <v>5721</v>
      </c>
      <c r="B9871" s="2" t="str">
        <f>IFERROR(__xludf.DUMMYFUNCTION("IF(A9871&lt;&gt;"""", GOOGLETRANSLATE(A9871, ""en"", ""te""),"""")"),"[ '9 వ పురాతన దేశం ఆటగాళ్ళు (83y 39d)']")</f>
        <v>[ '9 వ పురాతన దేశం ఆటగాళ్ళు (83y 39d)']</v>
      </c>
      <c r="C9871" s="2"/>
      <c r="D9871" s="2" t="str">
        <f>IFERROR(__xludf.DUMMYFUNCTION("IF(C9871&lt;&gt;"""", GOOGLETRANSLATE(C9871, ""en"", ""te""),"""")"),"")</f>
        <v/>
      </c>
      <c r="E9871" s="2" t="s">
        <v>5722</v>
      </c>
      <c r="F9871" s="2" t="str">
        <f>IFERROR(__xludf.DUMMYFUNCTION("IF(E9871&lt;&gt;"""", GOOGLETRANSLATE(E9871, ""en"", ""te""),"""")"),"[ 'తొలి 43 వ ఓల్డెస్ట్ క్రీడాకారులు (37y 43D)', '9 వ పురాతన దేశం ఆటగాళ్ళు (83y 39d)']")</f>
        <v>[ 'తొలి 43 వ ఓల్డెస్ట్ క్రీడాకారులు (37y 43D)', '9 వ పురాతన దేశం ఆటగాళ్ళు (83y 39d)']</v>
      </c>
      <c r="G9871" s="2"/>
      <c r="H9871" s="2" t="str">
        <f>IFERROR(__xludf.DUMMYFUNCTION("IF(G9871&lt;&gt;"""", GOOGLETRANSLATE(G9871, ""en"", ""te""),"""")"),"")</f>
        <v/>
      </c>
      <c r="I9871" s="3"/>
    </row>
    <row r="9872" customHeight="1" spans="1:9">
      <c r="A9872" s="2" t="s">
        <v>5723</v>
      </c>
      <c r="B9872" s="2" t="str">
        <f>IFERROR(__xludf.DUMMYFUNCTION("IF(A9872&lt;&gt;"""", GOOGLETRANSLATE(A9872, ""en"", ""te""),"""")"),"[ 'తొలి 6 వ ఓల్డెస్ట్ క్రీడాకారులు (43y 41d)']")</f>
        <v>[ 'తొలి 6 వ ఓల్డెస్ట్ క్రీడాకారులు (43y 41d)']</v>
      </c>
      <c r="C9872" s="2"/>
      <c r="D9872" s="2" t="str">
        <f>IFERROR(__xludf.DUMMYFUNCTION("IF(C9872&lt;&gt;"""", GOOGLETRANSLATE(C9872, ""en"", ""te""),"""")"),"")</f>
        <v/>
      </c>
      <c r="E9872" s="2" t="s">
        <v>5724</v>
      </c>
      <c r="F9872" s="2" t="str">
        <f>IFERROR(__xludf.DUMMYFUNCTION("IF(E9872&lt;&gt;"""", GOOGLETRANSLATE(E9872, ""en"", ""te""),"""")"),"[ 'తొలి 6 వ ఓల్డెస్ట్ క్రీడాకారులు (43y 41d)', '9 వ ఓల్డెస్ట్ క్రీడాకారులు (43y 44d)', '24th షార్టేస్ట్ క్రీడాకారులు (43y 156d) నివసించారు']")</f>
        <v>[ 'తొలి 6 వ ఓల్డెస్ట్ క్రీడాకారులు (43y 41d)', '9 వ ఓల్డెస్ట్ క్రీడాకారులు (43y 44d)', '24th షార్టేస్ట్ క్రీడాకారులు (43y 156d) నివసించారు']</v>
      </c>
      <c r="G9872" s="2"/>
      <c r="H9872" s="2" t="str">
        <f>IFERROR(__xludf.DUMMYFUNCTION("IF(G9872&lt;&gt;"""", GOOGLETRANSLATE(G9872, ""en"", ""te""),"""")"),"")</f>
        <v/>
      </c>
      <c r="I9872" s="3"/>
    </row>
    <row r="9873" customHeight="1" spans="1:9">
      <c r="A9873" s="2"/>
      <c r="B9873" s="2" t="str">
        <f>IFERROR(__xludf.DUMMYFUNCTION("IF(A9873&lt;&gt;"""", GOOGLETRANSLATE(A9873, ""en"", ""te""),"""")"),"")</f>
        <v/>
      </c>
      <c r="C9873" s="2"/>
      <c r="D9873" s="2" t="str">
        <f>IFERROR(__xludf.DUMMYFUNCTION("IF(C9873&lt;&gt;"""", GOOGLETRANSLATE(C9873, ""en"", ""te""),"""")"),"")</f>
        <v/>
      </c>
      <c r="E9873" s="2" t="s">
        <v>5725</v>
      </c>
      <c r="F9873" s="2" t="str">
        <f>IFERROR(__xludf.DUMMYFUNCTION("IF(E9873&lt;&gt;"""", GOOGLETRANSLATE(E9873, ""en"", ""te""),"""")"),"[ '26 పురాతన దేశం ఆటగాళ్ళు (79y 272d)']")</f>
        <v>[ '26 పురాతన దేశం ఆటగాళ్ళు (79y 272d)']</v>
      </c>
      <c r="G9873" s="2"/>
      <c r="H9873" s="2" t="str">
        <f>IFERROR(__xludf.DUMMYFUNCTION("IF(G9873&lt;&gt;"""", GOOGLETRANSLATE(G9873, ""en"", ""te""),"""")"),"")</f>
        <v/>
      </c>
      <c r="I9873" s="3"/>
    </row>
    <row r="9874" customHeight="1" spans="1:9">
      <c r="A9874" s="2"/>
      <c r="B9874" s="2" t="str">
        <f>IFERROR(__xludf.DUMMYFUNCTION("IF(A9874&lt;&gt;"""", GOOGLETRANSLATE(A9874, ""en"", ""te""),"""")"),"")</f>
        <v/>
      </c>
      <c r="C9874" s="2"/>
      <c r="D9874" s="2" t="str">
        <f>IFERROR(__xludf.DUMMYFUNCTION("IF(C9874&lt;&gt;"""", GOOGLETRANSLATE(C9874, ""en"", ""te""),"""")"),"")</f>
        <v/>
      </c>
      <c r="E9874" s="2"/>
      <c r="F9874" s="2" t="str">
        <f>IFERROR(__xludf.DUMMYFUNCTION("IF(E9874&lt;&gt;"""", GOOGLETRANSLATE(E9874, ""en"", ""te""),"""")"),"")</f>
        <v/>
      </c>
      <c r="G9874" s="2"/>
      <c r="H9874" s="2" t="str">
        <f>IFERROR(__xludf.DUMMYFUNCTION("IF(G9874&lt;&gt;"""", GOOGLETRANSLATE(G9874, ""en"", ""te""),"""")"),"")</f>
        <v/>
      </c>
      <c r="I9874" s="3"/>
    </row>
    <row r="9875" customHeight="1" spans="1:9">
      <c r="A9875" s="2"/>
      <c r="B9875" s="2" t="str">
        <f>IFERROR(__xludf.DUMMYFUNCTION("IF(A9875&lt;&gt;"""", GOOGLETRANSLATE(A9875, ""en"", ""te""),"""")"),"")</f>
        <v/>
      </c>
      <c r="C9875" s="2"/>
      <c r="D9875" s="2" t="str">
        <f>IFERROR(__xludf.DUMMYFUNCTION("IF(C9875&lt;&gt;"""", GOOGLETRANSLATE(C9875, ""en"", ""te""),"""")"),"")</f>
        <v/>
      </c>
      <c r="E9875" s="2"/>
      <c r="F9875" s="2" t="str">
        <f>IFERROR(__xludf.DUMMYFUNCTION("IF(E9875&lt;&gt;"""", GOOGLETRANSLATE(E9875, ""en"", ""te""),"""")"),"")</f>
        <v/>
      </c>
      <c r="G9875" s="2"/>
      <c r="H9875" s="2" t="str">
        <f>IFERROR(__xludf.DUMMYFUNCTION("IF(G9875&lt;&gt;"""", GOOGLETRANSLATE(G9875, ""en"", ""te""),"""")"),"")</f>
        <v/>
      </c>
      <c r="I9875" s="3"/>
    </row>
    <row r="9876" customHeight="1" spans="1:9">
      <c r="A9876" s="2"/>
      <c r="B9876" s="2" t="str">
        <f>IFERROR(__xludf.DUMMYFUNCTION("IF(A9876&lt;&gt;"""", GOOGLETRANSLATE(A9876, ""en"", ""te""),"""")"),"")</f>
        <v/>
      </c>
      <c r="C9876" s="2"/>
      <c r="D9876" s="2" t="str">
        <f>IFERROR(__xludf.DUMMYFUNCTION("IF(C9876&lt;&gt;"""", GOOGLETRANSLATE(C9876, ""en"", ""te""),"""")"),"")</f>
        <v/>
      </c>
      <c r="E9876" s="2" t="s">
        <v>5726</v>
      </c>
      <c r="F9876" s="2" t="str">
        <f>IFERROR(__xludf.DUMMYFUNCTION("IF(E9876&lt;&gt;"""", GOOGLETRANSLATE(E9876, ""en"", ""te""),"""")"),"[40 వ కెరీర్ బాతులు (8) ',' 11 వ ఒక ఇన్నింగ్స్ లోని బెస్ట్ ఫిగర్స్ ఉన్నప్పుడు పరాజయం వైపు (4) ',' 48 వ చెత్త కెరీర్లో సమ్మె రేటు (52.0) ',' 23 వ ఇన్నింగ్స్ లో సాధించిన అత్యధిక పరుగులు (77 ) ']")</f>
        <v>[40 వ కెరీర్ బాతులు (8) ',' 11 వ ఒక ఇన్నింగ్స్ లోని బెస్ట్ ఫిగర్స్ ఉన్నప్పుడు పరాజయం వైపు (4) ',' 48 వ చెత్త కెరీర్లో సమ్మె రేటు (52.0) ',' 23 వ ఇన్నింగ్స్ లో సాధించిన అత్యధిక పరుగులు (77 ) ']</v>
      </c>
      <c r="G9876" s="2"/>
      <c r="H9876" s="2" t="str">
        <f>IFERROR(__xludf.DUMMYFUNCTION("IF(G9876&lt;&gt;"""", GOOGLETRANSLATE(G9876, ""en"", ""te""),"""")"),"")</f>
        <v/>
      </c>
      <c r="I9876" s="3"/>
    </row>
    <row r="9877" customHeight="1" spans="1:9">
      <c r="A9877" s="2"/>
      <c r="B9877" s="2" t="str">
        <f>IFERROR(__xludf.DUMMYFUNCTION("IF(A9877&lt;&gt;"""", GOOGLETRANSLATE(A9877, ""en"", ""te""),"""")"),"")</f>
        <v/>
      </c>
      <c r="C9877" s="2"/>
      <c r="D9877" s="2" t="str">
        <f>IFERROR(__xludf.DUMMYFUNCTION("IF(C9877&lt;&gt;"""", GOOGLETRANSLATE(C9877, ""en"", ""te""),"""")"),"")</f>
        <v/>
      </c>
      <c r="E9877" s="2"/>
      <c r="F9877" s="2" t="str">
        <f>IFERROR(__xludf.DUMMYFUNCTION("IF(E9877&lt;&gt;"""", GOOGLETRANSLATE(E9877, ""en"", ""te""),"""")"),"")</f>
        <v/>
      </c>
      <c r="G9877" s="2"/>
      <c r="H9877" s="2" t="str">
        <f>IFERROR(__xludf.DUMMYFUNCTION("IF(G9877&lt;&gt;"""", GOOGLETRANSLATE(G9877, ""en"", ""te""),"""")"),"")</f>
        <v/>
      </c>
      <c r="I9877" s="3"/>
    </row>
    <row r="9878" customHeight="1" spans="1:9">
      <c r="A9878" s="2"/>
      <c r="B9878" s="2" t="str">
        <f>IFERROR(__xludf.DUMMYFUNCTION("IF(A9878&lt;&gt;"""", GOOGLETRANSLATE(A9878, ""en"", ""te""),"""")"),"")</f>
        <v/>
      </c>
      <c r="C9878" s="2"/>
      <c r="D9878" s="2" t="str">
        <f>IFERROR(__xludf.DUMMYFUNCTION("IF(C9878&lt;&gt;"""", GOOGLETRANSLATE(C9878, ""en"", ""te""),"""")"),"")</f>
        <v/>
      </c>
      <c r="E9878" s="2"/>
      <c r="F9878" s="2" t="str">
        <f>IFERROR(__xludf.DUMMYFUNCTION("IF(E9878&lt;&gt;"""", GOOGLETRANSLATE(E9878, ""en"", ""te""),"""")"),"")</f>
        <v/>
      </c>
      <c r="G9878" s="2"/>
      <c r="H9878" s="2" t="str">
        <f>IFERROR(__xludf.DUMMYFUNCTION("IF(G9878&lt;&gt;"""", GOOGLETRANSLATE(G9878, ""en"", ""te""),"""")"),"")</f>
        <v/>
      </c>
      <c r="I9878" s="3"/>
    </row>
    <row r="9879" customHeight="1" spans="1:9">
      <c r="A9879" s="2"/>
      <c r="B9879" s="2" t="str">
        <f>IFERROR(__xludf.DUMMYFUNCTION("IF(A9879&lt;&gt;"""", GOOGLETRANSLATE(A9879, ""en"", ""te""),"""")"),"")</f>
        <v/>
      </c>
      <c r="C9879" s="2"/>
      <c r="D9879" s="2" t="str">
        <f>IFERROR(__xludf.DUMMYFUNCTION("IF(C9879&lt;&gt;"""", GOOGLETRANSLATE(C9879, ""en"", ""te""),"""")"),"")</f>
        <v/>
      </c>
      <c r="E9879" s="2"/>
      <c r="F9879" s="2" t="str">
        <f>IFERROR(__xludf.DUMMYFUNCTION("IF(E9879&lt;&gt;"""", GOOGLETRANSLATE(E9879, ""en"", ""te""),"""")"),"")</f>
        <v/>
      </c>
      <c r="G9879" s="2"/>
      <c r="H9879" s="2" t="str">
        <f>IFERROR(__xludf.DUMMYFUNCTION("IF(G9879&lt;&gt;"""", GOOGLETRANSLATE(G9879, ""en"", ""te""),"""")"),"")</f>
        <v/>
      </c>
      <c r="I9879" s="3"/>
    </row>
    <row r="9880" customHeight="1" spans="1:9">
      <c r="A9880" s="2" t="s">
        <v>5727</v>
      </c>
      <c r="B9880" s="2" t="str">
        <f>IFERROR(__xludf.DUMMYFUNCTION("IF(A9880&lt;&gt;"""", GOOGLETRANSLATE(A9880, ""en"", ""te""),"""")"),"[ 'ఒక కెప్టెన్తో ఒక ఇన్నింగ్స్ లో 4 వ ఉత్తమ బొమ్మలు (4)', 'ప్రవేశం (4) ఒక ఇన్నింగ్స్ లో 4 వ బెస్ట్ ఫిగర్స్']")</f>
        <v>[ 'ఒక కెప్టెన్తో ఒక ఇన్నింగ్స్ లో 4 వ ఉత్తమ బొమ్మలు (4)', 'ప్రవేశం (4) ఒక ఇన్నింగ్స్ లో 4 వ బెస్ట్ ఫిగర్స్']</v>
      </c>
      <c r="C9880" s="2"/>
      <c r="D9880" s="2" t="str">
        <f>IFERROR(__xludf.DUMMYFUNCTION("IF(C9880&lt;&gt;"""", GOOGLETRANSLATE(C9880, ""en"", ""te""),"""")"),"")</f>
        <v/>
      </c>
      <c r="E9880" s="2"/>
      <c r="F9880" s="2" t="str">
        <f>IFERROR(__xludf.DUMMYFUNCTION("IF(E9880&lt;&gt;"""", GOOGLETRANSLATE(E9880, ""en"", ""te""),"""")"),"")</f>
        <v/>
      </c>
      <c r="G9880" s="2" t="s">
        <v>5728</v>
      </c>
      <c r="H9880" s="2" t="str">
        <f>IFERROR(__xludf.DUMMYFUNCTION("IF(G9880&lt;&gt;"""", GOOGLETRANSLATE(G9880, ""en"", ""te""),"""")"),"[ 'ఒక కెప్టెన్తో ఒక ఇన్నింగ్స్ లో 4 వ ఉత్తమ బొమ్మలు (4)', 'ఒక ఇన్నింగ్స్ లో 8 వ బెస్ట్ ఫిగర్స్ కూడా ఓడిపోయింది వైపు (4)', '4 వ ఉత్తమ తొలి ఇన్నింగ్స్లో గణాంకాలు (4)', '15 వ అత్యంత ఒక ఇన్నింగ్స్ లో క్యాచ్లు (3) ']")</f>
        <v>[ 'ఒక కెప్టెన్తో ఒక ఇన్నింగ్స్ లో 4 వ ఉత్తమ బొమ్మలు (4)', 'ఒక ఇన్నింగ్స్ లో 8 వ బెస్ట్ ఫిగర్స్ కూడా ఓడిపోయింది వైపు (4)', '4 వ ఉత్తమ తొలి ఇన్నింగ్స్లో గణాంకాలు (4)', '15 వ అత్యంత ఒక ఇన్నింగ్స్ లో క్యాచ్లు (3) ']</v>
      </c>
      <c r="I9880" s="3"/>
    </row>
    <row r="9881" customHeight="1" spans="1:9">
      <c r="A9881" s="2"/>
      <c r="B9881" s="2" t="str">
        <f>IFERROR(__xludf.DUMMYFUNCTION("IF(A9881&lt;&gt;"""", GOOGLETRANSLATE(A9881, ""en"", ""te""),"""")"),"")</f>
        <v/>
      </c>
      <c r="C9881" s="2"/>
      <c r="D9881" s="2" t="str">
        <f>IFERROR(__xludf.DUMMYFUNCTION("IF(C9881&lt;&gt;"""", GOOGLETRANSLATE(C9881, ""en"", ""te""),"""")"),"")</f>
        <v/>
      </c>
      <c r="E9881" s="2"/>
      <c r="F9881" s="2" t="str">
        <f>IFERROR(__xludf.DUMMYFUNCTION("IF(E9881&lt;&gt;"""", GOOGLETRANSLATE(E9881, ""en"", ""te""),"""")"),"")</f>
        <v/>
      </c>
      <c r="G9881" s="2"/>
      <c r="H9881" s="2" t="str">
        <f>IFERROR(__xludf.DUMMYFUNCTION("IF(G9881&lt;&gt;"""", GOOGLETRANSLATE(G9881, ""en"", ""te""),"""")"),"")</f>
        <v/>
      </c>
      <c r="I9881" s="3"/>
    </row>
    <row r="9882" customHeight="1" spans="1:9">
      <c r="A9882" s="2"/>
      <c r="B9882" s="2" t="str">
        <f>IFERROR(__xludf.DUMMYFUNCTION("IF(A9882&lt;&gt;"""", GOOGLETRANSLATE(A9882, ""en"", ""te""),"""")"),"")</f>
        <v/>
      </c>
      <c r="C9882" s="2"/>
      <c r="D9882" s="2" t="str">
        <f>IFERROR(__xludf.DUMMYFUNCTION("IF(C9882&lt;&gt;"""", GOOGLETRANSLATE(C9882, ""en"", ""te""),"""")"),"")</f>
        <v/>
      </c>
      <c r="E9882" s="2"/>
      <c r="F9882" s="2" t="str">
        <f>IFERROR(__xludf.DUMMYFUNCTION("IF(E9882&lt;&gt;"""", GOOGLETRANSLATE(E9882, ""en"", ""te""),"""")"),"")</f>
        <v/>
      </c>
      <c r="G9882" s="2"/>
      <c r="H9882" s="2" t="str">
        <f>IFERROR(__xludf.DUMMYFUNCTION("IF(G9882&lt;&gt;"""", GOOGLETRANSLATE(G9882, ""en"", ""te""),"""")"),"")</f>
        <v/>
      </c>
      <c r="I9882" s="3"/>
    </row>
    <row r="9883" customHeight="1" spans="1:9">
      <c r="A9883" s="2"/>
      <c r="B9883" s="2" t="str">
        <f>IFERROR(__xludf.DUMMYFUNCTION("IF(A9883&lt;&gt;"""", GOOGLETRANSLATE(A9883, ""en"", ""te""),"""")"),"")</f>
        <v/>
      </c>
      <c r="C9883" s="2"/>
      <c r="D9883" s="2" t="str">
        <f>IFERROR(__xludf.DUMMYFUNCTION("IF(C9883&lt;&gt;"""", GOOGLETRANSLATE(C9883, ""en"", ""te""),"""")"),"")</f>
        <v/>
      </c>
      <c r="E9883" s="2"/>
      <c r="F9883" s="2" t="str">
        <f>IFERROR(__xludf.DUMMYFUNCTION("IF(E9883&lt;&gt;"""", GOOGLETRANSLATE(E9883, ""en"", ""te""),"""")"),"")</f>
        <v/>
      </c>
      <c r="G9883" s="2"/>
      <c r="H9883" s="2" t="str">
        <f>IFERROR(__xludf.DUMMYFUNCTION("IF(G9883&lt;&gt;"""", GOOGLETRANSLATE(G9883, ""en"", ""te""),"""")"),"")</f>
        <v/>
      </c>
      <c r="I9883" s="3"/>
    </row>
    <row r="9884" customHeight="1" spans="1:9">
      <c r="A9884" s="2"/>
      <c r="B9884" s="2" t="str">
        <f>IFERROR(__xludf.DUMMYFUNCTION("IF(A9884&lt;&gt;"""", GOOGLETRANSLATE(A9884, ""en"", ""te""),"""")"),"")</f>
        <v/>
      </c>
      <c r="C9884" s="2"/>
      <c r="D9884" s="2" t="str">
        <f>IFERROR(__xludf.DUMMYFUNCTION("IF(C9884&lt;&gt;"""", GOOGLETRANSLATE(C9884, ""en"", ""te""),"""")"),"")</f>
        <v/>
      </c>
      <c r="E9884" s="2"/>
      <c r="F9884" s="2" t="str">
        <f>IFERROR(__xludf.DUMMYFUNCTION("IF(E9884&lt;&gt;"""", GOOGLETRANSLATE(E9884, ""en"", ""te""),"""")"),"")</f>
        <v/>
      </c>
      <c r="G9884" s="2"/>
      <c r="H9884" s="2" t="str">
        <f>IFERROR(__xludf.DUMMYFUNCTION("IF(G9884&lt;&gt;"""", GOOGLETRANSLATE(G9884, ""en"", ""te""),"""")"),"")</f>
        <v/>
      </c>
      <c r="I9884" s="3"/>
    </row>
    <row r="9885" customHeight="1" spans="1:9">
      <c r="A9885" s="2"/>
      <c r="B9885" s="2" t="str">
        <f>IFERROR(__xludf.DUMMYFUNCTION("IF(A9885&lt;&gt;"""", GOOGLETRANSLATE(A9885, ""en"", ""te""),"""")"),"")</f>
        <v/>
      </c>
      <c r="C9885" s="2"/>
      <c r="D9885" s="2" t="str">
        <f>IFERROR(__xludf.DUMMYFUNCTION("IF(C9885&lt;&gt;"""", GOOGLETRANSLATE(C9885, ""en"", ""te""),"""")"),"")</f>
        <v/>
      </c>
      <c r="E9885" s="2"/>
      <c r="F9885" s="2" t="str">
        <f>IFERROR(__xludf.DUMMYFUNCTION("IF(E9885&lt;&gt;"""", GOOGLETRANSLATE(E9885, ""en"", ""te""),"""")"),"")</f>
        <v/>
      </c>
      <c r="G9885" s="2" t="s">
        <v>5729</v>
      </c>
      <c r="H9885" s="2" t="str">
        <f>IFERROR(__xludf.DUMMYFUNCTION("IF(G9885&lt;&gt;"""", GOOGLETRANSLATE(G9885, ""en"", ""te""),"""")"),"[ 'ఏడవ వికెట్కు 20 వ అత్యధిక భాగస్వామ్యం (57)']")</f>
        <v>[ 'ఏడవ వికెట్కు 20 వ అత్యధిక భాగస్వామ్యం (57)']</v>
      </c>
      <c r="I9885" s="3"/>
    </row>
    <row r="9886" customHeight="1" spans="1:9">
      <c r="A9886" s="2"/>
      <c r="B9886" s="2" t="str">
        <f>IFERROR(__xludf.DUMMYFUNCTION("IF(A9886&lt;&gt;"""", GOOGLETRANSLATE(A9886, ""en"", ""te""),"""")"),"")</f>
        <v/>
      </c>
      <c r="C9886" s="2"/>
      <c r="D9886" s="2" t="str">
        <f>IFERROR(__xludf.DUMMYFUNCTION("IF(C9886&lt;&gt;"""", GOOGLETRANSLATE(C9886, ""en"", ""te""),"""")"),"")</f>
        <v/>
      </c>
      <c r="E9886" s="2"/>
      <c r="F9886" s="2" t="str">
        <f>IFERROR(__xludf.DUMMYFUNCTION("IF(E9886&lt;&gt;"""", GOOGLETRANSLATE(E9886, ""en"", ""te""),"""")"),"")</f>
        <v/>
      </c>
      <c r="G9886" s="2" t="s">
        <v>5178</v>
      </c>
      <c r="H9886" s="2" t="str">
        <f>IFERROR(__xludf.DUMMYFUNCTION("IF(G9886&lt;&gt;"""", GOOGLETRANSLATE(G9886, ""en"", ""te""),"""")"),"[ '29 ఉత్తమ కెరీర్ బౌలింగ్ సరాసరి (అర్హత లేకుండా) (7.00)']")</f>
        <v>[ '29 ఉత్తమ కెరీర్ బౌలింగ్ సరాసరి (అర్హత లేకుండా) (7.00)']</v>
      </c>
      <c r="I9886" s="3"/>
    </row>
    <row r="9887" customHeight="1" spans="1:9">
      <c r="A9887" s="2"/>
      <c r="B9887" s="2" t="str">
        <f>IFERROR(__xludf.DUMMYFUNCTION("IF(A9887&lt;&gt;"""", GOOGLETRANSLATE(A9887, ""en"", ""te""),"""")"),"")</f>
        <v/>
      </c>
      <c r="C9887" s="2"/>
      <c r="D9887" s="2" t="str">
        <f>IFERROR(__xludf.DUMMYFUNCTION("IF(C9887&lt;&gt;"""", GOOGLETRANSLATE(C9887, ""en"", ""te""),"""")"),"")</f>
        <v/>
      </c>
      <c r="E9887" s="2"/>
      <c r="F9887" s="2" t="str">
        <f>IFERROR(__xludf.DUMMYFUNCTION("IF(E9887&lt;&gt;"""", GOOGLETRANSLATE(E9887, ""en"", ""te""),"""")"),"")</f>
        <v/>
      </c>
      <c r="G9887" s="2" t="s">
        <v>5558</v>
      </c>
      <c r="H9887" s="2" t="str">
        <f>IFERROR(__xludf.DUMMYFUNCTION("IF(G9887&lt;&gt;"""", GOOGLETRANSLATE(G9887, ""en"", ""te""),"""")"),"[ '35 వ ఇన్నింగ్స్ లో అత్యధిక పరుగులు (బ్యాటింగ్ స్థానంలో ప్రకారం) (31)']")</f>
        <v>[ '35 వ ఇన్నింగ్స్ లో అత్యధిక పరుగులు (బ్యాటింగ్ స్థానంలో ప్రకారం) (31)']</v>
      </c>
      <c r="I9887" s="3"/>
    </row>
    <row r="9888" customHeight="1" spans="1:9">
      <c r="A9888" s="2"/>
      <c r="B9888" s="2" t="str">
        <f>IFERROR(__xludf.DUMMYFUNCTION("IF(A9888&lt;&gt;"""", GOOGLETRANSLATE(A9888, ""en"", ""te""),"""")"),"")</f>
        <v/>
      </c>
      <c r="C9888" s="2"/>
      <c r="D9888" s="2" t="str">
        <f>IFERROR(__xludf.DUMMYFUNCTION("IF(C9888&lt;&gt;"""", GOOGLETRANSLATE(C9888, ""en"", ""te""),"""")"),"")</f>
        <v/>
      </c>
      <c r="E9888" s="2"/>
      <c r="F9888" s="2" t="str">
        <f>IFERROR(__xludf.DUMMYFUNCTION("IF(E9888&lt;&gt;"""", GOOGLETRANSLATE(E9888, ""en"", ""te""),"""")"),"")</f>
        <v/>
      </c>
      <c r="G9888" s="2"/>
      <c r="H9888" s="2" t="str">
        <f>IFERROR(__xludf.DUMMYFUNCTION("IF(G9888&lt;&gt;"""", GOOGLETRANSLATE(G9888, ""en"", ""te""),"""")"),"")</f>
        <v/>
      </c>
      <c r="I9888" s="3"/>
    </row>
    <row r="9889" customHeight="1" spans="1:9">
      <c r="A9889" s="2"/>
      <c r="B9889" s="2" t="str">
        <f>IFERROR(__xludf.DUMMYFUNCTION("IF(A9889&lt;&gt;"""", GOOGLETRANSLATE(A9889, ""en"", ""te""),"""")"),"")</f>
        <v/>
      </c>
      <c r="C9889" s="2"/>
      <c r="D9889" s="2" t="str">
        <f>IFERROR(__xludf.DUMMYFUNCTION("IF(C9889&lt;&gt;"""", GOOGLETRANSLATE(C9889, ""en"", ""te""),"""")"),"")</f>
        <v/>
      </c>
      <c r="E9889" s="2"/>
      <c r="F9889" s="2" t="str">
        <f>IFERROR(__xludf.DUMMYFUNCTION("IF(E9889&lt;&gt;"""", GOOGLETRANSLATE(E9889, ""en"", ""te""),"""")"),"")</f>
        <v/>
      </c>
      <c r="G9889" s="2" t="s">
        <v>933</v>
      </c>
      <c r="H9889" s="2" t="str">
        <f>IFERROR(__xludf.DUMMYFUNCTION("IF(G9889&lt;&gt;"""", GOOGLETRANSLATE(G9889, ""en"", ""te""),"""")"),"[ '15 వ ఇన్నింగ్స్ లో అత్యధిక క్యాచ్లు (3)']")</f>
        <v>[ '15 వ ఇన్నింగ్స్ లో అత్యధిక క్యాచ్లు (3)']</v>
      </c>
      <c r="I9889" s="3"/>
    </row>
    <row r="9890" customHeight="1" spans="1:9">
      <c r="A9890" s="2"/>
      <c r="B9890" s="2" t="str">
        <f>IFERROR(__xludf.DUMMYFUNCTION("IF(A9890&lt;&gt;"""", GOOGLETRANSLATE(A9890, ""en"", ""te""),"""")"),"")</f>
        <v/>
      </c>
      <c r="C9890" s="2"/>
      <c r="D9890" s="2" t="str">
        <f>IFERROR(__xludf.DUMMYFUNCTION("IF(C9890&lt;&gt;"""", GOOGLETRANSLATE(C9890, ""en"", ""te""),"""")"),"")</f>
        <v/>
      </c>
      <c r="E9890" s="2" t="s">
        <v>3380</v>
      </c>
      <c r="F9890" s="2" t="str">
        <f>IFERROR(__xludf.DUMMYFUNCTION("IF(E9890&lt;&gt;"""", GOOGLETRANSLATE(E9890, ""en"", ""te""),"""")"),"[ '43 వ చెత్త ఇన్నింగ్స్ లో ఆర్థిక రేటు (వీటిలో సగటు 8.60)']")</f>
        <v>[ '43 వ చెత్త ఇన్నింగ్స్ లో ఆర్థిక రేటు (వీటిలో సగటు 8.60)']</v>
      </c>
      <c r="G9890" s="2"/>
      <c r="H9890" s="2" t="str">
        <f>IFERROR(__xludf.DUMMYFUNCTION("IF(G9890&lt;&gt;"""", GOOGLETRANSLATE(G9890, ""en"", ""te""),"""")"),"")</f>
        <v/>
      </c>
      <c r="I9890" s="3"/>
    </row>
    <row r="9891" customHeight="1" spans="1:9">
      <c r="A9891" s="2"/>
      <c r="B9891" s="2" t="str">
        <f>IFERROR(__xludf.DUMMYFUNCTION("IF(A9891&lt;&gt;"""", GOOGLETRANSLATE(A9891, ""en"", ""te""),"""")"),"")</f>
        <v/>
      </c>
      <c r="C9891" s="2"/>
      <c r="D9891" s="2" t="str">
        <f>IFERROR(__xludf.DUMMYFUNCTION("IF(C9891&lt;&gt;"""", GOOGLETRANSLATE(C9891, ""en"", ""te""),"""")"),"")</f>
        <v/>
      </c>
      <c r="E9891" s="2"/>
      <c r="F9891" s="2" t="str">
        <f>IFERROR(__xludf.DUMMYFUNCTION("IF(E9891&lt;&gt;"""", GOOGLETRANSLATE(E9891, ""en"", ""te""),"""")"),"")</f>
        <v/>
      </c>
      <c r="G9891" s="2"/>
      <c r="H9891" s="2" t="str">
        <f>IFERROR(__xludf.DUMMYFUNCTION("IF(G9891&lt;&gt;"""", GOOGLETRANSLATE(G9891, ""en"", ""te""),"""")"),"")</f>
        <v/>
      </c>
      <c r="I9891" s="3"/>
    </row>
    <row r="9892" customHeight="1" spans="1:9">
      <c r="A9892" s="2"/>
      <c r="B9892" s="2" t="str">
        <f>IFERROR(__xludf.DUMMYFUNCTION("IF(A9892&lt;&gt;"""", GOOGLETRANSLATE(A9892, ""en"", ""te""),"""")"),"")</f>
        <v/>
      </c>
      <c r="C9892" s="2"/>
      <c r="D9892" s="2" t="str">
        <f>IFERROR(__xludf.DUMMYFUNCTION("IF(C9892&lt;&gt;"""", GOOGLETRANSLATE(C9892, ""en"", ""te""),"""")"),"")</f>
        <v/>
      </c>
      <c r="E9892" s="2"/>
      <c r="F9892" s="2" t="str">
        <f>IFERROR(__xludf.DUMMYFUNCTION("IF(E9892&lt;&gt;"""", GOOGLETRANSLATE(E9892, ""en"", ""te""),"""")"),"")</f>
        <v/>
      </c>
      <c r="G9892" s="2"/>
      <c r="H9892" s="2" t="str">
        <f>IFERROR(__xludf.DUMMYFUNCTION("IF(G9892&lt;&gt;"""", GOOGLETRANSLATE(G9892, ""en"", ""te""),"""")"),"")</f>
        <v/>
      </c>
      <c r="I9892" s="3"/>
    </row>
    <row r="9893" customHeight="1" spans="1:9">
      <c r="A9893" s="2"/>
      <c r="B9893" s="2" t="str">
        <f>IFERROR(__xludf.DUMMYFUNCTION("IF(A9893&lt;&gt;"""", GOOGLETRANSLATE(A9893, ""en"", ""te""),"""")"),"")</f>
        <v/>
      </c>
      <c r="C9893" s="2"/>
      <c r="D9893" s="2" t="str">
        <f>IFERROR(__xludf.DUMMYFUNCTION("IF(C9893&lt;&gt;"""", GOOGLETRANSLATE(C9893, ""en"", ""te""),"""")"),"")</f>
        <v/>
      </c>
      <c r="E9893" s="2"/>
      <c r="F9893" s="2" t="str">
        <f>IFERROR(__xludf.DUMMYFUNCTION("IF(E9893&lt;&gt;"""", GOOGLETRANSLATE(E9893, ""en"", ""te""),"""")"),"")</f>
        <v/>
      </c>
      <c r="G9893" s="2"/>
      <c r="H9893" s="2" t="str">
        <f>IFERROR(__xludf.DUMMYFUNCTION("IF(G9893&lt;&gt;"""", GOOGLETRANSLATE(G9893, ""en"", ""te""),"""")"),"")</f>
        <v/>
      </c>
      <c r="I9893" s="3"/>
    </row>
    <row r="9894" customHeight="1" spans="1:9">
      <c r="A9894" s="2" t="s">
        <v>5730</v>
      </c>
      <c r="B9894" s="2" t="str">
        <f>IFERROR(__xludf.DUMMYFUNCTION("IF(A9894&lt;&gt;"""", GOOGLETRANSLATE(A9894, ""en"", ""te""),"""")"),"[ '2nd అత్యంత ఇన్నింగ్స్ లో సాధించిన బైస్ (13)']")</f>
        <v>[ '2nd అత్యంత ఇన్నింగ్స్ లో సాధించిన బైస్ (13)']</v>
      </c>
      <c r="C9894" s="2"/>
      <c r="D9894" s="2" t="str">
        <f>IFERROR(__xludf.DUMMYFUNCTION("IF(C9894&lt;&gt;"""", GOOGLETRANSLATE(C9894, ""en"", ""te""),"""")"),"")</f>
        <v/>
      </c>
      <c r="E9894" s="2" t="s">
        <v>5731</v>
      </c>
      <c r="F9894" s="2" t="str">
        <f>IFERROR(__xludf.DUMMYFUNCTION("IF(E9894&lt;&gt;"""", GOOGLETRANSLATE(E9894, ""en"", ""te""),"""")"),"[ 'ఇన్నింగ్స్ లో 17 వ అత్యధిక వికెట్లు (4)' 'ఇన్నింగ్స్ లో 21 వ అత్యధిక క్యాచ్లు (3)' '35 వ అత్యధిక ఎనిమిదవ వికెట్కు భాగస్వామ్యం (46)', '2 వ అత్యంత ఇన్నింగ్స్ లో సాధించిన బైస్ (13)' ]")</f>
        <v>[ 'ఇన్నింగ్స్ లో 17 వ అత్యధిక వికెట్లు (4)' 'ఇన్నింగ్స్ లో 21 వ అత్యధిక క్యాచ్లు (3)' '35 వ అత్యధిక ఎనిమిదవ వికెట్కు భాగస్వామ్యం (46)', '2 వ అత్యంత ఇన్నింగ్స్ లో సాధించిన బైస్ (13)' ]</v>
      </c>
      <c r="G9894" s="2"/>
      <c r="H9894" s="2" t="str">
        <f>IFERROR(__xludf.DUMMYFUNCTION("IF(G9894&lt;&gt;"""", GOOGLETRANSLATE(G9894, ""en"", ""te""),"""")"),"")</f>
        <v/>
      </c>
      <c r="I9894" s="3"/>
    </row>
    <row r="9895" customHeight="1" spans="1:9">
      <c r="A9895" s="2"/>
      <c r="B9895" s="2" t="str">
        <f>IFERROR(__xludf.DUMMYFUNCTION("IF(A9895&lt;&gt;"""", GOOGLETRANSLATE(A9895, ""en"", ""te""),"""")"),"")</f>
        <v/>
      </c>
      <c r="C9895" s="2"/>
      <c r="D9895" s="2" t="str">
        <f>IFERROR(__xludf.DUMMYFUNCTION("IF(C9895&lt;&gt;"""", GOOGLETRANSLATE(C9895, ""en"", ""te""),"""")"),"")</f>
        <v/>
      </c>
      <c r="E9895" s="2" t="s">
        <v>5714</v>
      </c>
      <c r="F9895" s="2" t="str">
        <f>IFERROR(__xludf.DUMMYFUNCTION("IF(E9895&lt;&gt;"""", GOOGLETRANSLATE(E9895, ""en"", ""te""),"""")"),"[ '34 వ అత్యధిక పరుగులు ఇన్నింగ్స్ (72) లో సాధించిన]")</f>
        <v>[ '34 వ అత్యధిక పరుగులు ఇన్నింగ్స్ (72) లో సాధించిన]</v>
      </c>
      <c r="G9895" s="2"/>
      <c r="H9895" s="2" t="str">
        <f>IFERROR(__xludf.DUMMYFUNCTION("IF(G9895&lt;&gt;"""", GOOGLETRANSLATE(G9895, ""en"", ""te""),"""")"),"")</f>
        <v/>
      </c>
      <c r="I9895" s="3"/>
    </row>
    <row r="9896" customHeight="1" spans="1:9">
      <c r="A9896" s="2"/>
      <c r="B9896" s="2" t="str">
        <f>IFERROR(__xludf.DUMMYFUNCTION("IF(A9896&lt;&gt;"""", GOOGLETRANSLATE(A9896, ""en"", ""te""),"""")"),"")</f>
        <v/>
      </c>
      <c r="C9896" s="2"/>
      <c r="D9896" s="2" t="str">
        <f>IFERROR(__xludf.DUMMYFUNCTION("IF(C9896&lt;&gt;"""", GOOGLETRANSLATE(C9896, ""en"", ""te""),"""")"),"")</f>
        <v/>
      </c>
      <c r="E9896" s="2"/>
      <c r="F9896" s="2" t="str">
        <f>IFERROR(__xludf.DUMMYFUNCTION("IF(E9896&lt;&gt;"""", GOOGLETRANSLATE(E9896, ""en"", ""te""),"""")"),"")</f>
        <v/>
      </c>
      <c r="G9896" s="2"/>
      <c r="H9896" s="2" t="str">
        <f>IFERROR(__xludf.DUMMYFUNCTION("IF(G9896&lt;&gt;"""", GOOGLETRANSLATE(G9896, ""en"", ""te""),"""")"),"")</f>
        <v/>
      </c>
      <c r="I9896" s="3"/>
    </row>
    <row r="9897" customHeight="1" spans="1:9">
      <c r="A9897" s="2"/>
      <c r="B9897" s="2" t="str">
        <f>IFERROR(__xludf.DUMMYFUNCTION("IF(A9897&lt;&gt;"""", GOOGLETRANSLATE(A9897, ""en"", ""te""),"""")"),"")</f>
        <v/>
      </c>
      <c r="C9897" s="2"/>
      <c r="D9897" s="2" t="str">
        <f>IFERROR(__xludf.DUMMYFUNCTION("IF(C9897&lt;&gt;"""", GOOGLETRANSLATE(C9897, ""en"", ""te""),"""")"),"")</f>
        <v/>
      </c>
      <c r="E9897" s="2" t="s">
        <v>5732</v>
      </c>
      <c r="F9897" s="2" t="str">
        <f>IFERROR(__xludf.DUMMYFUNCTION("IF(E9897&lt;&gt;"""", GOOGLETRANSLATE(E9897, ""en"", ""te""),"""")"),"[ '11 వ ఇన్నింగ్స్ లో అత్యధిక పరుగులు (బ్యాటింగ్ స్థానంలో ప్రకారం) (45 *)']")</f>
        <v>[ '11 వ ఇన్నింగ్స్ లో అత్యధిక పరుగులు (బ్యాటింగ్ స్థానంలో ప్రకారం) (45 *)']</v>
      </c>
      <c r="G9897" s="2"/>
      <c r="H9897" s="2" t="str">
        <f>IFERROR(__xludf.DUMMYFUNCTION("IF(G9897&lt;&gt;"""", GOOGLETRANSLATE(G9897, ""en"", ""te""),"""")"),"")</f>
        <v/>
      </c>
      <c r="I9897" s="3"/>
    </row>
    <row r="9898" customHeight="1" spans="1:9">
      <c r="A9898" s="2"/>
      <c r="B9898" s="2" t="str">
        <f>IFERROR(__xludf.DUMMYFUNCTION("IF(A9898&lt;&gt;"""", GOOGLETRANSLATE(A9898, ""en"", ""te""),"""")"),"")</f>
        <v/>
      </c>
      <c r="C9898" s="2"/>
      <c r="D9898" s="2" t="str">
        <f>IFERROR(__xludf.DUMMYFUNCTION("IF(C9898&lt;&gt;"""", GOOGLETRANSLATE(C9898, ""en"", ""te""),"""")"),"")</f>
        <v/>
      </c>
      <c r="E9898" s="2" t="s">
        <v>5733</v>
      </c>
      <c r="F9898" s="2" t="str">
        <f>IFERROR(__xludf.DUMMYFUNCTION("IF(E9898&lt;&gt;"""", GOOGLETRANSLATE(E9898, ""en"", ""te""),"""")"),"[ '29 కెరీర్ స్టంపింగ్లు (9)']")</f>
        <v>[ '29 కెరీర్ స్టంపింగ్లు (9)']</v>
      </c>
      <c r="G9898" s="2"/>
      <c r="H9898" s="2" t="str">
        <f>IFERROR(__xludf.DUMMYFUNCTION("IF(G9898&lt;&gt;"""", GOOGLETRANSLATE(G9898, ""en"", ""te""),"""")"),"")</f>
        <v/>
      </c>
      <c r="I9898" s="3"/>
    </row>
    <row r="9899" customHeight="1" spans="1:9">
      <c r="A9899" s="2" t="s">
        <v>1828</v>
      </c>
      <c r="B9899" s="2" t="str">
        <f>IFERROR(__xludf.DUMMYFUNCTION("IF(A9899&lt;&gt;"""", GOOGLETRANSLATE(A9899, ""en"", ""te""),"""")"),"[ 'ఇన్నింగ్స్ లో 4 వ అత్యధిక క్యాచ్లు (3)']")</f>
        <v>[ 'ఇన్నింగ్స్ లో 4 వ అత్యధిక క్యాచ్లు (3)']</v>
      </c>
      <c r="C9899" s="2"/>
      <c r="D9899" s="2" t="str">
        <f>IFERROR(__xludf.DUMMYFUNCTION("IF(C9899&lt;&gt;"""", GOOGLETRANSLATE(C9899, ""en"", ""te""),"""")"),"")</f>
        <v/>
      </c>
      <c r="E9899" s="2" t="s">
        <v>5734</v>
      </c>
      <c r="F9899" s="2" t="str">
        <f>IFERROR(__xludf.DUMMYFUNCTION("IF(E9899&lt;&gt;"""", GOOGLETRANSLATE(E9899, ""en"", ""te""),"""")"),"[ '11 వ ఒక ఇన్నింగ్స్ లోని బెస్ట్ ఫిగర్స్ ఉన్నప్పుడు పరాజయం వైపు (4)', '34 వ ఉత్తమ కెరీర్ ఆర్థిక రేటు (2.78)', '37 వ చెత్త కెరీర్లో సమ్మె రేటు (53.4)', '4 వ ఇన్నింగ్స్ లో అత్యధిక క్యాచ్లు (3) ',' 25 వ అత్యంత కెప్టెన్ (28) గా పేర్కొంటే ']")</f>
        <v>[ '11 వ ఒక ఇన్నింగ్స్ లోని బెస్ట్ ఫిగర్స్ ఉన్నప్పుడు పరాజయం వైపు (4)', '34 వ ఉత్తమ కెరీర్ ఆర్థిక రేటు (2.78)', '37 వ చెత్త కెరీర్లో సమ్మె రేటు (53.4)', '4 వ ఇన్నింగ్స్ లో అత్యధిక క్యాచ్లు (3) ',' 25 వ అత్యంత కెప్టెన్ (28) గా పేర్కొంటే ']</v>
      </c>
      <c r="G9899" s="2"/>
      <c r="H9899" s="2" t="str">
        <f>IFERROR(__xludf.DUMMYFUNCTION("IF(G9899&lt;&gt;"""", GOOGLETRANSLATE(G9899, ""en"", ""te""),"""")"),"")</f>
        <v/>
      </c>
      <c r="I9899" s="3"/>
    </row>
    <row r="9900" customHeight="1" spans="1:9">
      <c r="A9900" s="2"/>
      <c r="B9900" s="2" t="str">
        <f>IFERROR(__xludf.DUMMYFUNCTION("IF(A9900&lt;&gt;"""", GOOGLETRANSLATE(A9900, ""en"", ""te""),"""")"),"")</f>
        <v/>
      </c>
      <c r="C9900" s="2"/>
      <c r="D9900" s="2" t="str">
        <f>IFERROR(__xludf.DUMMYFUNCTION("IF(C9900&lt;&gt;"""", GOOGLETRANSLATE(C9900, ""en"", ""te""),"""")"),"")</f>
        <v/>
      </c>
      <c r="E9900" s="2"/>
      <c r="F9900" s="2" t="str">
        <f>IFERROR(__xludf.DUMMYFUNCTION("IF(E9900&lt;&gt;"""", GOOGLETRANSLATE(E9900, ""en"", ""te""),"""")"),"")</f>
        <v/>
      </c>
      <c r="G9900" s="2"/>
      <c r="H9900" s="2" t="str">
        <f>IFERROR(__xludf.DUMMYFUNCTION("IF(G9900&lt;&gt;"""", GOOGLETRANSLATE(G9900, ""en"", ""te""),"""")"),"")</f>
        <v/>
      </c>
      <c r="I9900" s="3"/>
    </row>
    <row r="9901" customHeight="1" spans="1:9">
      <c r="A9901" s="2"/>
      <c r="B9901" s="2" t="str">
        <f>IFERROR(__xludf.DUMMYFUNCTION("IF(A9901&lt;&gt;"""", GOOGLETRANSLATE(A9901, ""en"", ""te""),"""")"),"")</f>
        <v/>
      </c>
      <c r="C9901" s="2"/>
      <c r="D9901" s="2" t="str">
        <f>IFERROR(__xludf.DUMMYFUNCTION("IF(C9901&lt;&gt;"""", GOOGLETRANSLATE(C9901, ""en"", ""te""),"""")"),"")</f>
        <v/>
      </c>
      <c r="E9901" s="2"/>
      <c r="F9901" s="2" t="str">
        <f>IFERROR(__xludf.DUMMYFUNCTION("IF(E9901&lt;&gt;"""", GOOGLETRANSLATE(E9901, ""en"", ""te""),"""")"),"")</f>
        <v/>
      </c>
      <c r="G9901" s="2"/>
      <c r="H9901" s="2" t="str">
        <f>IFERROR(__xludf.DUMMYFUNCTION("IF(G9901&lt;&gt;"""", GOOGLETRANSLATE(G9901, ""en"", ""te""),"""")"),"")</f>
        <v/>
      </c>
      <c r="I9901" s="3"/>
    </row>
    <row r="9902" customHeight="1" spans="1:9">
      <c r="A9902" s="2" t="s">
        <v>5735</v>
      </c>
      <c r="B9902" s="2" t="str">
        <f>IFERROR(__xludf.DUMMYFUNCTION("IF(A9902&lt;&gt;"""", GOOGLETRANSLATE(A9902, ""en"", ""te""),"""")"),"[ '2 వ చెత్త కెరీర్ బౌలింగ్ సరాసరి (అర్హత లేకుండా) (163.00)']")</f>
        <v>[ '2 వ చెత్త కెరీర్ బౌలింగ్ సరాసరి (అర్హత లేకుండా) (163.00)']</v>
      </c>
      <c r="C9902" s="2"/>
      <c r="D9902" s="2" t="str">
        <f>IFERROR(__xludf.DUMMYFUNCTION("IF(C9902&lt;&gt;"""", GOOGLETRANSLATE(C9902, ""en"", ""te""),"""")"),"")</f>
        <v/>
      </c>
      <c r="E9902" s="2" t="s">
        <v>5735</v>
      </c>
      <c r="F9902" s="2" t="str">
        <f>IFERROR(__xludf.DUMMYFUNCTION("IF(E9902&lt;&gt;"""", GOOGLETRANSLATE(E9902, ""en"", ""te""),"""")"),"[ '2 వ చెత్త కెరీర్ బౌలింగ్ సరాసరి (అర్హత లేకుండా) (163.00)']")</f>
        <v>[ '2 వ చెత్త కెరీర్ బౌలింగ్ సరాసరి (అర్హత లేకుండా) (163.00)']</v>
      </c>
      <c r="G9902" s="2"/>
      <c r="H9902" s="2" t="str">
        <f>IFERROR(__xludf.DUMMYFUNCTION("IF(G9902&lt;&gt;"""", GOOGLETRANSLATE(G9902, ""en"", ""te""),"""")"),"")</f>
        <v/>
      </c>
      <c r="I9902" s="3"/>
    </row>
    <row r="9903" customHeight="1" spans="1:9">
      <c r="A9903" s="2"/>
      <c r="B9903" s="2" t="str">
        <f>IFERROR(__xludf.DUMMYFUNCTION("IF(A9903&lt;&gt;"""", GOOGLETRANSLATE(A9903, ""en"", ""te""),"""")"),"")</f>
        <v/>
      </c>
      <c r="C9903" s="2"/>
      <c r="D9903" s="2" t="str">
        <f>IFERROR(__xludf.DUMMYFUNCTION("IF(C9903&lt;&gt;"""", GOOGLETRANSLATE(C9903, ""en"", ""te""),"""")"),"")</f>
        <v/>
      </c>
      <c r="E9903" s="2"/>
      <c r="F9903" s="2" t="str">
        <f>IFERROR(__xludf.DUMMYFUNCTION("IF(E9903&lt;&gt;"""", GOOGLETRANSLATE(E9903, ""en"", ""te""),"""")"),"")</f>
        <v/>
      </c>
      <c r="G9903" s="2" t="s">
        <v>933</v>
      </c>
      <c r="H9903" s="2" t="str">
        <f>IFERROR(__xludf.DUMMYFUNCTION("IF(G9903&lt;&gt;"""", GOOGLETRANSLATE(G9903, ""en"", ""te""),"""")"),"[ '15 వ ఇన్నింగ్స్ లో అత్యధిక క్యాచ్లు (3)']")</f>
        <v>[ '15 వ ఇన్నింగ్స్ లో అత్యధిక క్యాచ్లు (3)']</v>
      </c>
      <c r="I9903" s="3"/>
    </row>
    <row r="9904" customHeight="1" spans="1:9">
      <c r="A9904" s="2" t="s">
        <v>5736</v>
      </c>
      <c r="B9904" s="2" t="str">
        <f>IFERROR(__xludf.DUMMYFUNCTION("IF(A9904&lt;&gt;"""", GOOGLETRANSLATE(A9904, ""en"", ""te""),"""")"),"[ '9 వ పిన్న క్రీడాకారులు (15y 266d)']")</f>
        <v>[ '9 వ పిన్న క్రీడాకారులు (15y 266d)']</v>
      </c>
      <c r="C9904" s="2"/>
      <c r="D9904" s="2" t="str">
        <f>IFERROR(__xludf.DUMMYFUNCTION("IF(C9904&lt;&gt;"""", GOOGLETRANSLATE(C9904, ""en"", ""te""),"""")"),"")</f>
        <v/>
      </c>
      <c r="E9904" s="2"/>
      <c r="F9904" s="2" t="str">
        <f>IFERROR(__xludf.DUMMYFUNCTION("IF(E9904&lt;&gt;"""", GOOGLETRANSLATE(E9904, ""en"", ""te""),"""")"),"")</f>
        <v/>
      </c>
      <c r="G9904" s="2" t="s">
        <v>5736</v>
      </c>
      <c r="H9904" s="2" t="str">
        <f>IFERROR(__xludf.DUMMYFUNCTION("IF(G9904&lt;&gt;"""", GOOGLETRANSLATE(G9904, ""en"", ""te""),"""")"),"[ '9 వ పిన్న క్రీడాకారులు (15y 266d)']")</f>
        <v>[ '9 వ పిన్న క్రీడాకారులు (15y 266d)']</v>
      </c>
      <c r="I9904" s="3"/>
    </row>
    <row r="9905" customHeight="1" spans="1:9">
      <c r="A9905" s="2"/>
      <c r="B9905" s="2" t="str">
        <f>IFERROR(__xludf.DUMMYFUNCTION("IF(A9905&lt;&gt;"""", GOOGLETRANSLATE(A9905, ""en"", ""te""),"""")"),"")</f>
        <v/>
      </c>
      <c r="C9905" s="2"/>
      <c r="D9905" s="2" t="str">
        <f>IFERROR(__xludf.DUMMYFUNCTION("IF(C9905&lt;&gt;"""", GOOGLETRANSLATE(C9905, ""en"", ""te""),"""")"),"")</f>
        <v/>
      </c>
      <c r="E9905" s="2" t="s">
        <v>5737</v>
      </c>
      <c r="F9905" s="2" t="str">
        <f>IFERROR(__xludf.DUMMYFUNCTION("IF(E9905&lt;&gt;"""", GOOGLETRANSLATE(E9905, ""en"", ""te""),"""")"),"[ '28 చెత్త కెరీర్ బౌలింగ్ సరాసరి (అర్హత లేకుండా) (83.00)']")</f>
        <v>[ '28 చెత్త కెరీర్ బౌలింగ్ సరాసరి (అర్హత లేకుండా) (83.00)']</v>
      </c>
      <c r="G9905" s="2"/>
      <c r="H9905" s="2" t="str">
        <f>IFERROR(__xludf.DUMMYFUNCTION("IF(G9905&lt;&gt;"""", GOOGLETRANSLATE(G9905, ""en"", ""te""),"""")"),"")</f>
        <v/>
      </c>
      <c r="I9905" s="3"/>
    </row>
    <row r="9906" customHeight="1" spans="1:9">
      <c r="A9906" s="2"/>
      <c r="B9906" s="2" t="str">
        <f>IFERROR(__xludf.DUMMYFUNCTION("IF(A9906&lt;&gt;"""", GOOGLETRANSLATE(A9906, ""en"", ""te""),"""")"),"")</f>
        <v/>
      </c>
      <c r="C9906" s="2"/>
      <c r="D9906" s="2" t="str">
        <f>IFERROR(__xludf.DUMMYFUNCTION("IF(C9906&lt;&gt;"""", GOOGLETRANSLATE(C9906, ""en"", ""te""),"""")"),"")</f>
        <v/>
      </c>
      <c r="E9906" s="2"/>
      <c r="F9906" s="2" t="str">
        <f>IFERROR(__xludf.DUMMYFUNCTION("IF(E9906&lt;&gt;"""", GOOGLETRANSLATE(E9906, ""en"", ""te""),"""")"),"")</f>
        <v/>
      </c>
      <c r="G9906" s="2"/>
      <c r="H9906" s="2" t="str">
        <f>IFERROR(__xludf.DUMMYFUNCTION("IF(G9906&lt;&gt;"""", GOOGLETRANSLATE(G9906, ""en"", ""te""),"""")"),"")</f>
        <v/>
      </c>
      <c r="I9906" s="3"/>
    </row>
    <row r="9907" customHeight="1" spans="1:9">
      <c r="A9907" s="2"/>
      <c r="B9907" s="2" t="str">
        <f>IFERROR(__xludf.DUMMYFUNCTION("IF(A9907&lt;&gt;"""", GOOGLETRANSLATE(A9907, ""en"", ""te""),"""")"),"")</f>
        <v/>
      </c>
      <c r="C9907" s="2"/>
      <c r="D9907" s="2" t="str">
        <f>IFERROR(__xludf.DUMMYFUNCTION("IF(C9907&lt;&gt;"""", GOOGLETRANSLATE(C9907, ""en"", ""te""),"""")"),"")</f>
        <v/>
      </c>
      <c r="E9907" s="2"/>
      <c r="F9907" s="2" t="str">
        <f>IFERROR(__xludf.DUMMYFUNCTION("IF(E9907&lt;&gt;"""", GOOGLETRANSLATE(E9907, ""en"", ""te""),"""")"),"")</f>
        <v/>
      </c>
      <c r="G9907" s="2"/>
      <c r="H9907" s="2" t="str">
        <f>IFERROR(__xludf.DUMMYFUNCTION("IF(G9907&lt;&gt;"""", GOOGLETRANSLATE(G9907, ""en"", ""te""),"""")"),"")</f>
        <v/>
      </c>
      <c r="I9907" s="3"/>
    </row>
    <row r="9908" customHeight="1" spans="1:9">
      <c r="A9908" s="2"/>
      <c r="B9908" s="2" t="str">
        <f>IFERROR(__xludf.DUMMYFUNCTION("IF(A9908&lt;&gt;"""", GOOGLETRANSLATE(A9908, ""en"", ""te""),"""")"),"")</f>
        <v/>
      </c>
      <c r="C9908" s="2"/>
      <c r="D9908" s="2" t="str">
        <f>IFERROR(__xludf.DUMMYFUNCTION("IF(C9908&lt;&gt;"""", GOOGLETRANSLATE(C9908, ""en"", ""te""),"""")"),"")</f>
        <v/>
      </c>
      <c r="E9908" s="2"/>
      <c r="F9908" s="2" t="str">
        <f>IFERROR(__xludf.DUMMYFUNCTION("IF(E9908&lt;&gt;"""", GOOGLETRANSLATE(E9908, ""en"", ""te""),"""")"),"")</f>
        <v/>
      </c>
      <c r="G9908" s="2"/>
      <c r="H9908" s="2" t="str">
        <f>IFERROR(__xludf.DUMMYFUNCTION("IF(G9908&lt;&gt;"""", GOOGLETRANSLATE(G9908, ""en"", ""te""),"""")"),"")</f>
        <v/>
      </c>
      <c r="I9908" s="3"/>
    </row>
    <row r="9909" customHeight="1" spans="1:9">
      <c r="A9909" s="2"/>
      <c r="B9909" s="2" t="str">
        <f>IFERROR(__xludf.DUMMYFUNCTION("IF(A9909&lt;&gt;"""", GOOGLETRANSLATE(A9909, ""en"", ""te""),"""")"),"")</f>
        <v/>
      </c>
      <c r="C9909" s="2"/>
      <c r="D9909" s="2" t="str">
        <f>IFERROR(__xludf.DUMMYFUNCTION("IF(C9909&lt;&gt;"""", GOOGLETRANSLATE(C9909, ""en"", ""te""),"""")"),"")</f>
        <v/>
      </c>
      <c r="E9909" s="2"/>
      <c r="F9909" s="2" t="str">
        <f>IFERROR(__xludf.DUMMYFUNCTION("IF(E9909&lt;&gt;"""", GOOGLETRANSLATE(E9909, ""en"", ""te""),"""")"),"")</f>
        <v/>
      </c>
      <c r="G9909" s="2"/>
      <c r="H9909" s="2" t="str">
        <f>IFERROR(__xludf.DUMMYFUNCTION("IF(G9909&lt;&gt;"""", GOOGLETRANSLATE(G9909, ""en"", ""te""),"""")"),"")</f>
        <v/>
      </c>
      <c r="I9909" s="3"/>
    </row>
    <row r="9910" customHeight="1" spans="1:9">
      <c r="A9910" s="2"/>
      <c r="B9910" s="2" t="str">
        <f>IFERROR(__xludf.DUMMYFUNCTION("IF(A9910&lt;&gt;"""", GOOGLETRANSLATE(A9910, ""en"", ""te""),"""")"),"")</f>
        <v/>
      </c>
      <c r="C9910" s="2"/>
      <c r="D9910" s="2" t="str">
        <f>IFERROR(__xludf.DUMMYFUNCTION("IF(C9910&lt;&gt;"""", GOOGLETRANSLATE(C9910, ""en"", ""te""),"""")"),"")</f>
        <v/>
      </c>
      <c r="E9910" s="2"/>
      <c r="F9910" s="2" t="str">
        <f>IFERROR(__xludf.DUMMYFUNCTION("IF(E9910&lt;&gt;"""", GOOGLETRANSLATE(E9910, ""en"", ""te""),"""")"),"")</f>
        <v/>
      </c>
      <c r="G9910" s="2"/>
      <c r="H9910" s="2" t="str">
        <f>IFERROR(__xludf.DUMMYFUNCTION("IF(G9910&lt;&gt;"""", GOOGLETRANSLATE(G9910, ""en"", ""te""),"""")"),"")</f>
        <v/>
      </c>
      <c r="I9910" s="3"/>
    </row>
    <row r="9911" customHeight="1" spans="1:9">
      <c r="A9911" s="2"/>
      <c r="B9911" s="2" t="str">
        <f>IFERROR(__xludf.DUMMYFUNCTION("IF(A9911&lt;&gt;"""", GOOGLETRANSLATE(A9911, ""en"", ""te""),"""")"),"")</f>
        <v/>
      </c>
      <c r="C9911" s="2"/>
      <c r="D9911" s="2" t="str">
        <f>IFERROR(__xludf.DUMMYFUNCTION("IF(C9911&lt;&gt;"""", GOOGLETRANSLATE(C9911, ""en"", ""te""),"""")"),"")</f>
        <v/>
      </c>
      <c r="E9911" s="2"/>
      <c r="F9911" s="2" t="str">
        <f>IFERROR(__xludf.DUMMYFUNCTION("IF(E9911&lt;&gt;"""", GOOGLETRANSLATE(E9911, ""en"", ""te""),"""")"),"")</f>
        <v/>
      </c>
      <c r="G9911" s="2"/>
      <c r="H9911" s="2" t="str">
        <f>IFERROR(__xludf.DUMMYFUNCTION("IF(G9911&lt;&gt;"""", GOOGLETRANSLATE(G9911, ""en"", ""te""),"""")"),"")</f>
        <v/>
      </c>
      <c r="I9911" s="3"/>
    </row>
    <row r="9912" customHeight="1" spans="1:9">
      <c r="A9912" s="2"/>
      <c r="B9912" s="2" t="str">
        <f>IFERROR(__xludf.DUMMYFUNCTION("IF(A9912&lt;&gt;"""", GOOGLETRANSLATE(A9912, ""en"", ""te""),"""")"),"")</f>
        <v/>
      </c>
      <c r="C9912" s="2"/>
      <c r="D9912" s="2" t="str">
        <f>IFERROR(__xludf.DUMMYFUNCTION("IF(C9912&lt;&gt;"""", GOOGLETRANSLATE(C9912, ""en"", ""te""),"""")"),"")</f>
        <v/>
      </c>
      <c r="E9912" s="2"/>
      <c r="F9912" s="2" t="str">
        <f>IFERROR(__xludf.DUMMYFUNCTION("IF(E9912&lt;&gt;"""", GOOGLETRANSLATE(E9912, ""en"", ""te""),"""")"),"")</f>
        <v/>
      </c>
      <c r="G9912" s="2"/>
      <c r="H9912" s="2" t="str">
        <f>IFERROR(__xludf.DUMMYFUNCTION("IF(G9912&lt;&gt;"""", GOOGLETRANSLATE(G9912, ""en"", ""te""),"""")"),"")</f>
        <v/>
      </c>
      <c r="I9912" s="3"/>
    </row>
    <row r="9913" customHeight="1" spans="1:9">
      <c r="A9913" s="2"/>
      <c r="B9913" s="2" t="str">
        <f>IFERROR(__xludf.DUMMYFUNCTION("IF(A9913&lt;&gt;"""", GOOGLETRANSLATE(A9913, ""en"", ""te""),"""")"),"")</f>
        <v/>
      </c>
      <c r="C9913" s="2"/>
      <c r="D9913" s="2" t="str">
        <f>IFERROR(__xludf.DUMMYFUNCTION("IF(C9913&lt;&gt;"""", GOOGLETRANSLATE(C9913, ""en"", ""te""),"""")"),"")</f>
        <v/>
      </c>
      <c r="E9913" s="2"/>
      <c r="F9913" s="2" t="str">
        <f>IFERROR(__xludf.DUMMYFUNCTION("IF(E9913&lt;&gt;"""", GOOGLETRANSLATE(E9913, ""en"", ""te""),"""")"),"")</f>
        <v/>
      </c>
      <c r="G9913" s="2" t="s">
        <v>5738</v>
      </c>
      <c r="H9913" s="2" t="str">
        <f>IFERROR(__xludf.DUMMYFUNCTION("IF(G9913&lt;&gt;"""", GOOGLETRANSLATE(G9913, ""en"", ""te""),"""")"),"[ '42 వ పురాతన దేశం ఆటగాళ్ళు (48y 140d)']")</f>
        <v>[ '42 వ పురాతన దేశం ఆటగాళ్ళు (48y 140d)']</v>
      </c>
      <c r="I9913" s="3"/>
    </row>
    <row r="9914" customHeight="1" spans="1:9">
      <c r="A9914" s="2" t="s">
        <v>2435</v>
      </c>
      <c r="B9914" s="2" t="str">
        <f>IFERROR(__xludf.DUMMYFUNCTION("IF(A9914&lt;&gt;"""", GOOGLETRANSLATE(A9914, ""en"", ""te""),"""")"),"[ '7th లాంగెస్ట్ వ్యక్తిగత ఇన్నింగ్స్ (బంతులతో) (172)']")</f>
        <v>[ '7th లాంగెస్ట్ వ్యక్తిగత ఇన్నింగ్స్ (బంతులతో) (172)']</v>
      </c>
      <c r="C9914" s="2"/>
      <c r="D9914" s="2" t="str">
        <f>IFERROR(__xludf.DUMMYFUNCTION("IF(C9914&lt;&gt;"""", GOOGLETRANSLATE(C9914, ""en"", ""te""),"""")"),"")</f>
        <v/>
      </c>
      <c r="E9914" s="2" t="s">
        <v>5739</v>
      </c>
      <c r="F9914" s="2" t="str">
        <f>IFERROR(__xludf.DUMMYFUNCTION("IF(E9914&lt;&gt;"""", GOOGLETRANSLATE(E9914, ""en"", ""te""),"""")"),"[ 'అత్యధిక వికెట్లు ఇన్నింగ్స్ లో 29 వ అత్యధిక పరుగులు (137 *)', '41 వ అత్యధిక తొలి వంద (137 *)', 'కెరీర్లో 33 వ అతి తక్కువ బాతులు (30)', '7 వ లాంగెస్ట్ వ్యక్తిగత ఇన్నింగ్స్ (బంతులతో) (172 ) ',' వికెట్ను కాపాడుకున్నాడు చేసిన 13 వ కెప్టెన్ల (24) ',' 42 వ క"&amp;"ెరీర్ లో అత్యధిక వికెట్లు (67) ',' 43 వ కెరీర్ (58 అత్యధిక క్యాచ్లు) ']")</f>
        <v>[ 'అత్యధిక వికెట్లు ఇన్నింగ్స్ లో 29 వ అత్యధిక పరుగులు (137 *)', '41 వ అత్యధిక తొలి వంద (137 *)', 'కెరీర్లో 33 వ అతి తక్కువ బాతులు (30)', '7 వ లాంగెస్ట్ వ్యక్తిగత ఇన్నింగ్స్ (బంతులతో) (172 ) ',' వికెట్ను కాపాడుకున్నాడు చేసిన 13 వ కెప్టెన్ల (24) ',' 42 వ కెరీర్ లో అత్యధిక వికెట్లు (67) ',' 43 వ కెరీర్ (58 అత్యధిక క్యాచ్లు) ']</v>
      </c>
      <c r="G9914" s="2" t="s">
        <v>5740</v>
      </c>
      <c r="H9914" s="2" t="str">
        <f>IFERROR(__xludf.DUMMYFUNCTION("IF(G9914&lt;&gt;"""", GOOGLETRANSLATE(G9914, ""en"", ""te""),"""")"),"[ 'అత్యధిక వికెట్లు ఇన్నింగ్స్ లో 50 వ అత్యధిక పరుగులు (67 *)', 'వికెట్ (4) ఉంచింది చేసిన 18 వ కెప్టెన్ల', '17 వ కెరీర్ స్టంపింగ్లు (6)', '20 వ అత్యంత బైలు ఇన్నింగ్స్ లో సాధించిన (6 ) ']")</f>
        <v>[ 'అత్యధిక వికెట్లు ఇన్నింగ్స్ లో 50 వ అత్యధిక పరుగులు (67 *)', 'వికెట్ (4) ఉంచింది చేసిన 18 వ కెప్టెన్ల', '17 వ కెరీర్ స్టంపింగ్లు (6)', '20 వ అత్యంత బైలు ఇన్నింగ్స్ లో సాధించిన (6 ) ']</v>
      </c>
      <c r="I9914" s="3"/>
    </row>
    <row r="9915" customHeight="1" spans="1:9">
      <c r="A9915" s="2"/>
      <c r="B9915" s="2" t="str">
        <f>IFERROR(__xludf.DUMMYFUNCTION("IF(A9915&lt;&gt;"""", GOOGLETRANSLATE(A9915, ""en"", ""te""),"""")"),"")</f>
        <v/>
      </c>
      <c r="C9915" s="2"/>
      <c r="D9915" s="2" t="str">
        <f>IFERROR(__xludf.DUMMYFUNCTION("IF(C9915&lt;&gt;"""", GOOGLETRANSLATE(C9915, ""en"", ""te""),"""")"),"")</f>
        <v/>
      </c>
      <c r="E9915" s="2"/>
      <c r="F9915" s="2" t="str">
        <f>IFERROR(__xludf.DUMMYFUNCTION("IF(E9915&lt;&gt;"""", GOOGLETRANSLATE(E9915, ""en"", ""te""),"""")"),"")</f>
        <v/>
      </c>
      <c r="G9915" s="2"/>
      <c r="H9915" s="2" t="str">
        <f>IFERROR(__xludf.DUMMYFUNCTION("IF(G9915&lt;&gt;"""", GOOGLETRANSLATE(G9915, ""en"", ""te""),"""")"),"")</f>
        <v/>
      </c>
      <c r="I9915" s="3"/>
    </row>
    <row r="9916" customHeight="1" spans="1:9">
      <c r="A9916" s="2"/>
      <c r="B9916" s="2" t="str">
        <f>IFERROR(__xludf.DUMMYFUNCTION("IF(A9916&lt;&gt;"""", GOOGLETRANSLATE(A9916, ""en"", ""te""),"""")"),"")</f>
        <v/>
      </c>
      <c r="C9916" s="2"/>
      <c r="D9916" s="2" t="str">
        <f>IFERROR(__xludf.DUMMYFUNCTION("IF(C9916&lt;&gt;"""", GOOGLETRANSLATE(C9916, ""en"", ""te""),"""")"),"")</f>
        <v/>
      </c>
      <c r="E9916" s="2"/>
      <c r="F9916" s="2" t="str">
        <f>IFERROR(__xludf.DUMMYFUNCTION("IF(E9916&lt;&gt;"""", GOOGLETRANSLATE(E9916, ""en"", ""te""),"""")"),"")</f>
        <v/>
      </c>
      <c r="G9916" s="2"/>
      <c r="H9916" s="2" t="str">
        <f>IFERROR(__xludf.DUMMYFUNCTION("IF(G9916&lt;&gt;"""", GOOGLETRANSLATE(G9916, ""en"", ""te""),"""")"),"")</f>
        <v/>
      </c>
      <c r="I9916" s="3"/>
    </row>
    <row r="9917" customHeight="1" spans="1:9">
      <c r="A9917" s="2" t="s">
        <v>1574</v>
      </c>
      <c r="B9917" s="2" t="str">
        <f>IFERROR(__xludf.DUMMYFUNCTION("IF(A9917&lt;&gt;"""", GOOGLETRANSLATE(A9917, ""en"", ""te""),"""")"),"[ 'తొలి ఇన్నింగ్స్లో 4 వ ఉత్తమ బొమ్మలు (4)']")</f>
        <v>[ 'తొలి ఇన్నింగ్స్లో 4 వ ఉత్తమ బొమ్మలు (4)']</v>
      </c>
      <c r="C9917" s="2"/>
      <c r="D9917" s="2" t="str">
        <f>IFERROR(__xludf.DUMMYFUNCTION("IF(C9917&lt;&gt;"""", GOOGLETRANSLATE(C9917, ""en"", ""te""),"""")"),"")</f>
        <v/>
      </c>
      <c r="E9917" s="2"/>
      <c r="F9917" s="2" t="str">
        <f>IFERROR(__xludf.DUMMYFUNCTION("IF(E9917&lt;&gt;"""", GOOGLETRANSLATE(E9917, ""en"", ""te""),"""")"),"")</f>
        <v/>
      </c>
      <c r="G9917" s="2" t="s">
        <v>1574</v>
      </c>
      <c r="H9917" s="2" t="str">
        <f>IFERROR(__xludf.DUMMYFUNCTION("IF(G9917&lt;&gt;"""", GOOGLETRANSLATE(G9917, ""en"", ""te""),"""")"),"[ 'తొలి ఇన్నింగ్స్లో 4 వ ఉత్తమ బొమ్మలు (4)']")</f>
        <v>[ 'తొలి ఇన్నింగ్స్లో 4 వ ఉత్తమ బొమ్మలు (4)']</v>
      </c>
      <c r="I9917" s="3"/>
    </row>
    <row r="9918" customHeight="1" spans="1:9">
      <c r="A9918" s="2" t="s">
        <v>153</v>
      </c>
      <c r="B9918" s="2" t="str">
        <f>IFERROR(__xludf.DUMMYFUNCTION("IF(A9918&lt;&gt;"""", GOOGLETRANSLATE(A9918, ""en"", ""te""),"""")"),"[ 'రెండు దేశాలకు ప్రాతినిధ్యం']")</f>
        <v>[ 'రెండు దేశాలకు ప్రాతినిధ్యం']</v>
      </c>
      <c r="C9918" s="2"/>
      <c r="D9918" s="2" t="str">
        <f>IFERROR(__xludf.DUMMYFUNCTION("IF(C9918&lt;&gt;"""", GOOGLETRANSLATE(C9918, ""en"", ""te""),"""")"),"")</f>
        <v/>
      </c>
      <c r="E9918" s="2" t="s">
        <v>5741</v>
      </c>
      <c r="F9918" s="2" t="str">
        <f>IFERROR(__xludf.DUMMYFUNCTION("IF(E9918&lt;&gt;"""", GOOGLETRANSLATE(E9918, ""en"", ""te""),"""")"),"[ 'ప్రదర్శనల మధ్య 2 వ లాంగెస్ట్ వ్యవధిలో (11y 30D)' '31 ఓల్డెస్ట్ క్రీడాకారులు (40y 319d)', '49 వ లాంగెస్ట్ కెరీర్లు (15y 122d)',]")</f>
        <v>[ 'ప్రదర్శనల మధ్య 2 వ లాంగెస్ట్ వ్యవధిలో (11y 30D)' '31 ఓల్డెస్ట్ క్రీడాకారులు (40y 319d)', '49 వ లాంగెస్ట్ కెరీర్లు (15y 122d)',]</v>
      </c>
      <c r="G9918" s="2"/>
      <c r="H9918" s="2" t="str">
        <f>IFERROR(__xludf.DUMMYFUNCTION("IF(G9918&lt;&gt;"""", GOOGLETRANSLATE(G9918, ""en"", ""te""),"""")"),"")</f>
        <v/>
      </c>
      <c r="I9918" s="3"/>
    </row>
    <row r="9919" customHeight="1" spans="1:9">
      <c r="A9919" s="2" t="s">
        <v>4279</v>
      </c>
      <c r="B9919" s="2" t="str">
        <f>IFERROR(__xludf.DUMMYFUNCTION("IF(A9919&lt;&gt;"""", GOOGLETRANSLATE(A9919, ""en"", ""te""),"""")"),"[ 'తొలి ఇన్నింగ్స్లో 3 వ ఉత్తమ బొమ్మలు (5)']")</f>
        <v>[ 'తొలి ఇన్నింగ్స్లో 3 వ ఉత్తమ బొమ్మలు (5)']</v>
      </c>
      <c r="C9919" s="2"/>
      <c r="D9919" s="2" t="str">
        <f>IFERROR(__xludf.DUMMYFUNCTION("IF(C9919&lt;&gt;"""", GOOGLETRANSLATE(C9919, ""en"", ""te""),"""")"),"")</f>
        <v/>
      </c>
      <c r="E9919" s="2" t="s">
        <v>4279</v>
      </c>
      <c r="F9919" s="2" t="str">
        <f>IFERROR(__xludf.DUMMYFUNCTION("IF(E9919&lt;&gt;"""", GOOGLETRANSLATE(E9919, ""en"", ""te""),"""")"),"[ 'తొలి ఇన్నింగ్స్లో 3 వ ఉత్తమ బొమ్మలు (5)']")</f>
        <v>[ 'తొలి ఇన్నింగ్స్లో 3 వ ఉత్తమ బొమ్మలు (5)']</v>
      </c>
      <c r="G9919" s="2"/>
      <c r="H9919" s="2" t="str">
        <f>IFERROR(__xludf.DUMMYFUNCTION("IF(G9919&lt;&gt;"""", GOOGLETRANSLATE(G9919, ""en"", ""te""),"""")"),"")</f>
        <v/>
      </c>
      <c r="I9919" s="3"/>
    </row>
    <row r="9920" customHeight="1" spans="1:9">
      <c r="A9920" s="2"/>
      <c r="B9920" s="2" t="str">
        <f>IFERROR(__xludf.DUMMYFUNCTION("IF(A9920&lt;&gt;"""", GOOGLETRANSLATE(A9920, ""en"", ""te""),"""")"),"")</f>
        <v/>
      </c>
      <c r="C9920" s="2"/>
      <c r="D9920" s="2" t="str">
        <f>IFERROR(__xludf.DUMMYFUNCTION("IF(C9920&lt;&gt;"""", GOOGLETRANSLATE(C9920, ""en"", ""te""),"""")"),"")</f>
        <v/>
      </c>
      <c r="E9920" s="2"/>
      <c r="F9920" s="2" t="str">
        <f>IFERROR(__xludf.DUMMYFUNCTION("IF(E9920&lt;&gt;"""", GOOGLETRANSLATE(E9920, ""en"", ""te""),"""")"),"")</f>
        <v/>
      </c>
      <c r="G9920" s="2"/>
      <c r="H9920" s="2" t="str">
        <f>IFERROR(__xludf.DUMMYFUNCTION("IF(G9920&lt;&gt;"""", GOOGLETRANSLATE(G9920, ""en"", ""te""),"""")"),"")</f>
        <v/>
      </c>
      <c r="I9920" s="3"/>
    </row>
    <row r="9921" customHeight="1" spans="1:9">
      <c r="A9921" s="2" t="s">
        <v>5742</v>
      </c>
      <c r="B9921" s="2" t="str">
        <f>IFERROR(__xludf.DUMMYFUNCTION("IF(A9921&lt;&gt;"""", GOOGLETRANSLATE(A9921, ""en"", ""te""),"""")"),"[ 'కెప్టెన్సీ తొలి 10 వ ఓల్డెస్ట్ కాప్టెన్ (40y 0 రో)']")</f>
        <v>[ 'కెప్టెన్సీ తొలి 10 వ ఓల్డెస్ట్ కాప్టెన్ (40y 0 రో)']</v>
      </c>
      <c r="C9921" s="2"/>
      <c r="D9921" s="2" t="str">
        <f>IFERROR(__xludf.DUMMYFUNCTION("IF(C9921&lt;&gt;"""", GOOGLETRANSLATE(C9921, ""en"", ""te""),"""")"),"")</f>
        <v/>
      </c>
      <c r="E9921" s="2" t="s">
        <v>5743</v>
      </c>
      <c r="F9921" s="2" t="str">
        <f>IFERROR(__xludf.DUMMYFUNCTION("IF(E9921&lt;&gt;"""", GOOGLETRANSLATE(E9921, ""en"", ""te""),"""")"),"[ 'తొలి 21 వ ఓల్డెస్ట్ క్రీడాకారులు (39y 172d)', '40 వ ఓల్డెస్ట్ క్రీడాకారులు (40y 112d)', '15 వ ఓల్డెస్ట్ కాప్టెన్ (40y 5D)', '10 వ 26 వ ఉత్తమ కెప్టెన్ (4) ఒక ఇన్నింగ్స్ లో బొమ్మల కెప్టెన్సీ తొలి పురాతన కాప్టెన్ (40y 0 రో) ']")</f>
        <v>[ 'తొలి 21 వ ఓల్డెస్ట్ క్రీడాకారులు (39y 172d)', '40 వ ఓల్డెస్ట్ క్రీడాకారులు (40y 112d)', '15 వ ఓల్డెస్ట్ కాప్టెన్ (40y 5D)', '10 వ 26 వ ఉత్తమ కెప్టెన్ (4) ఒక ఇన్నింగ్స్ లో బొమ్మల కెప్టెన్సీ తొలి పురాతన కాప్టెన్ (40y 0 రో) ']</v>
      </c>
      <c r="G9921" s="2"/>
      <c r="H9921" s="2" t="str">
        <f>IFERROR(__xludf.DUMMYFUNCTION("IF(G9921&lt;&gt;"""", GOOGLETRANSLATE(G9921, ""en"", ""te""),"""")"),"")</f>
        <v/>
      </c>
      <c r="I9921" s="3"/>
    </row>
    <row r="9922" customHeight="1" spans="1:9">
      <c r="A9922" s="2"/>
      <c r="B9922" s="2" t="str">
        <f>IFERROR(__xludf.DUMMYFUNCTION("IF(A9922&lt;&gt;"""", GOOGLETRANSLATE(A9922, ""en"", ""te""),"""")"),"")</f>
        <v/>
      </c>
      <c r="C9922" s="2"/>
      <c r="D9922" s="2" t="str">
        <f>IFERROR(__xludf.DUMMYFUNCTION("IF(C9922&lt;&gt;"""", GOOGLETRANSLATE(C9922, ""en"", ""te""),"""")"),"")</f>
        <v/>
      </c>
      <c r="E9922" s="2" t="s">
        <v>5744</v>
      </c>
      <c r="F9922" s="2" t="str">
        <f>IFERROR(__xludf.DUMMYFUNCTION("IF(E9922&lt;&gt;"""", GOOGLETRANSLATE(E9922, ""en"", ""te""),"""")"),"[ 'కెరీర్లో 24 వ లేవు బాతులు (21)']")</f>
        <v>[ 'కెరీర్లో 24 వ లేవు బాతులు (21)']</v>
      </c>
      <c r="G9922" s="2"/>
      <c r="H9922" s="2" t="str">
        <f>IFERROR(__xludf.DUMMYFUNCTION("IF(G9922&lt;&gt;"""", GOOGLETRANSLATE(G9922, ""en"", ""te""),"""")"),"")</f>
        <v/>
      </c>
      <c r="I9922" s="3"/>
    </row>
    <row r="9923" customHeight="1" spans="1:9">
      <c r="A9923" s="2"/>
      <c r="B9923" s="2" t="str">
        <f>IFERROR(__xludf.DUMMYFUNCTION("IF(A9923&lt;&gt;"""", GOOGLETRANSLATE(A9923, ""en"", ""te""),"""")"),"")</f>
        <v/>
      </c>
      <c r="C9923" s="2"/>
      <c r="D9923" s="2" t="str">
        <f>IFERROR(__xludf.DUMMYFUNCTION("IF(C9923&lt;&gt;"""", GOOGLETRANSLATE(C9923, ""en"", ""te""),"""")"),"")</f>
        <v/>
      </c>
      <c r="E9923" s="2"/>
      <c r="F9923" s="2" t="str">
        <f>IFERROR(__xludf.DUMMYFUNCTION("IF(E9923&lt;&gt;"""", GOOGLETRANSLATE(E9923, ""en"", ""te""),"""")"),"")</f>
        <v/>
      </c>
      <c r="G9923" s="2"/>
      <c r="H9923" s="2" t="str">
        <f>IFERROR(__xludf.DUMMYFUNCTION("IF(G9923&lt;&gt;"""", GOOGLETRANSLATE(G9923, ""en"", ""te""),"""")"),"")</f>
        <v/>
      </c>
      <c r="I9923" s="3"/>
    </row>
    <row r="9924" customHeight="1" spans="1:9">
      <c r="A9924" s="2"/>
      <c r="B9924" s="2" t="str">
        <f>IFERROR(__xludf.DUMMYFUNCTION("IF(A9924&lt;&gt;"""", GOOGLETRANSLATE(A9924, ""en"", ""te""),"""")"),"")</f>
        <v/>
      </c>
      <c r="C9924" s="2"/>
      <c r="D9924" s="2" t="str">
        <f>IFERROR(__xludf.DUMMYFUNCTION("IF(C9924&lt;&gt;"""", GOOGLETRANSLATE(C9924, ""en"", ""te""),"""")"),"")</f>
        <v/>
      </c>
      <c r="E9924" s="2"/>
      <c r="F9924" s="2" t="str">
        <f>IFERROR(__xludf.DUMMYFUNCTION("IF(E9924&lt;&gt;"""", GOOGLETRANSLATE(E9924, ""en"", ""te""),"""")"),"")</f>
        <v/>
      </c>
      <c r="G9924" s="2"/>
      <c r="H9924" s="2" t="str">
        <f>IFERROR(__xludf.DUMMYFUNCTION("IF(G9924&lt;&gt;"""", GOOGLETRANSLATE(G9924, ""en"", ""te""),"""")"),"")</f>
        <v/>
      </c>
      <c r="I9924" s="3"/>
    </row>
    <row r="9925" customHeight="1" spans="1:9">
      <c r="A9925" s="2"/>
      <c r="B9925" s="2" t="str">
        <f>IFERROR(__xludf.DUMMYFUNCTION("IF(A9925&lt;&gt;"""", GOOGLETRANSLATE(A9925, ""en"", ""te""),"""")"),"")</f>
        <v/>
      </c>
      <c r="C9925" s="2"/>
      <c r="D9925" s="2" t="str">
        <f>IFERROR(__xludf.DUMMYFUNCTION("IF(C9925&lt;&gt;"""", GOOGLETRANSLATE(C9925, ""en"", ""te""),"""")"),"")</f>
        <v/>
      </c>
      <c r="E9925" s="2"/>
      <c r="F9925" s="2" t="str">
        <f>IFERROR(__xludf.DUMMYFUNCTION("IF(E9925&lt;&gt;"""", GOOGLETRANSLATE(E9925, ""en"", ""te""),"""")"),"")</f>
        <v/>
      </c>
      <c r="G9925" s="2"/>
      <c r="H9925" s="2" t="str">
        <f>IFERROR(__xludf.DUMMYFUNCTION("IF(G9925&lt;&gt;"""", GOOGLETRANSLATE(G9925, ""en"", ""te""),"""")"),"")</f>
        <v/>
      </c>
      <c r="I9925" s="3"/>
    </row>
    <row r="9926" customHeight="1" spans="1:9">
      <c r="A9926" s="2"/>
      <c r="B9926" s="2" t="str">
        <f>IFERROR(__xludf.DUMMYFUNCTION("IF(A9926&lt;&gt;"""", GOOGLETRANSLATE(A9926, ""en"", ""te""),"""")"),"")</f>
        <v/>
      </c>
      <c r="C9926" s="2"/>
      <c r="D9926" s="2" t="str">
        <f>IFERROR(__xludf.DUMMYFUNCTION("IF(C9926&lt;&gt;"""", GOOGLETRANSLATE(C9926, ""en"", ""te""),"""")"),"")</f>
        <v/>
      </c>
      <c r="E9926" s="2"/>
      <c r="F9926" s="2" t="str">
        <f>IFERROR(__xludf.DUMMYFUNCTION("IF(E9926&lt;&gt;"""", GOOGLETRANSLATE(E9926, ""en"", ""te""),"""")"),"")</f>
        <v/>
      </c>
      <c r="G9926" s="2"/>
      <c r="H9926" s="2" t="str">
        <f>IFERROR(__xludf.DUMMYFUNCTION("IF(G9926&lt;&gt;"""", GOOGLETRANSLATE(G9926, ""en"", ""te""),"""")"),"")</f>
        <v/>
      </c>
      <c r="I9926" s="3"/>
    </row>
    <row r="9927" customHeight="1" spans="1:9">
      <c r="A9927" s="2"/>
      <c r="B9927" s="2" t="str">
        <f>IFERROR(__xludf.DUMMYFUNCTION("IF(A9927&lt;&gt;"""", GOOGLETRANSLATE(A9927, ""en"", ""te""),"""")"),"")</f>
        <v/>
      </c>
      <c r="C9927" s="2"/>
      <c r="D9927" s="2" t="str">
        <f>IFERROR(__xludf.DUMMYFUNCTION("IF(C9927&lt;&gt;"""", GOOGLETRANSLATE(C9927, ""en"", ""te""),"""")"),"")</f>
        <v/>
      </c>
      <c r="E9927" s="2"/>
      <c r="F9927" s="2" t="str">
        <f>IFERROR(__xludf.DUMMYFUNCTION("IF(E9927&lt;&gt;"""", GOOGLETRANSLATE(E9927, ""en"", ""te""),"""")"),"")</f>
        <v/>
      </c>
      <c r="G9927" s="2"/>
      <c r="H9927" s="2" t="str">
        <f>IFERROR(__xludf.DUMMYFUNCTION("IF(G9927&lt;&gt;"""", GOOGLETRANSLATE(G9927, ""en"", ""te""),"""")"),"")</f>
        <v/>
      </c>
      <c r="I9927" s="3"/>
    </row>
    <row r="9928" customHeight="1" spans="1:9">
      <c r="A9928" s="2" t="s">
        <v>5745</v>
      </c>
      <c r="B9928" s="2" t="str">
        <f>IFERROR(__xludf.DUMMYFUNCTION("IF(A9928&lt;&gt;"""", GOOGLETRANSLATE(A9928, ""en"", ""te""),"""")"),"[ 'బ్యాటింగ్ ప్రారంభించుటకు మరియు అదే మ్యాచ్ లో బౌలింగ్', '4 వ అత్యధిక వరుస బాతులు (4)']")</f>
        <v>[ 'బ్యాటింగ్ ప్రారంభించుటకు మరియు అదే మ్యాచ్ లో బౌలింగ్', '4 వ అత్యధిక వరుస బాతులు (4)']</v>
      </c>
      <c r="C9928" s="2"/>
      <c r="D9928" s="2" t="str">
        <f>IFERROR(__xludf.DUMMYFUNCTION("IF(C9928&lt;&gt;"""", GOOGLETRANSLATE(C9928, ""en"", ""te""),"""")"),"")</f>
        <v/>
      </c>
      <c r="E9928" s="2" t="s">
        <v>5746</v>
      </c>
      <c r="F9928" s="2" t="str">
        <f>IFERROR(__xludf.DUMMYFUNCTION("IF(E9928&lt;&gt;"""", GOOGLETRANSLATE(E9928, ""en"", ""te""),"""")"),"[ '24 వ అత్యధిక కెరీర్ సమ్మె రేటు (104.17)', '31 స్కోర్ అత్యంత వృద్ధ ఆటగాడు తొలి వంద (32y 290d)', 'ఒక ఇన్నింగ్స్లో పరుగుల 45 వ అత్యధిక శాతం (54.95)', '32 వ ఓల్డెస్ట్ క్రీడాకారులు (40y 311d) ',' 43 వ ఓల్డెస్ట్ కాప్టెన్ (36y 317d) ',' 22 వ ఓల్డెస్ట్ కెప్టెన"&amp;"్లు కెప్టెన్సీ తొలి (36y 7D) ']")</f>
        <v>[ '24 వ అత్యధిక కెరీర్ సమ్మె రేటు (104.17)', '31 స్కోర్ అత్యంత వృద్ధ ఆటగాడు తొలి వంద (32y 290d)', 'ఒక ఇన్నింగ్స్లో పరుగుల 45 వ అత్యధిక శాతం (54.95)', '32 వ ఓల్డెస్ట్ క్రీడాకారులు (40y 311d) ',' 43 వ ఓల్డెస్ట్ కాప్టెన్ (36y 317d) ',' 22 వ ఓల్డెస్ట్ కెప్టెన్లు కెప్టెన్సీ తొలి (36y 7D) ']</v>
      </c>
      <c r="G9928" s="2" t="s">
        <v>5747</v>
      </c>
      <c r="H9928" s="2" t="str">
        <f>IFERROR(__xludf.DUMMYFUNCTION("IF(G9928&lt;&gt;"""", GOOGLETRANSLATE(G9928, ""en"", ""te""),"""")"),"[ '14 వ పురాతన దేశం ఆటగాళ్ళు (50y 310d)']")</f>
        <v>[ '14 వ పురాతన దేశం ఆటగాళ్ళు (50y 310d)']</v>
      </c>
      <c r="I9928" s="3"/>
    </row>
    <row r="9929" customHeight="1" spans="1:9">
      <c r="A9929" s="2"/>
      <c r="B9929" s="2" t="str">
        <f>IFERROR(__xludf.DUMMYFUNCTION("IF(A9929&lt;&gt;"""", GOOGLETRANSLATE(A9929, ""en"", ""te""),"""")"),"")</f>
        <v/>
      </c>
      <c r="C9929" s="2"/>
      <c r="D9929" s="2" t="str">
        <f>IFERROR(__xludf.DUMMYFUNCTION("IF(C9929&lt;&gt;"""", GOOGLETRANSLATE(C9929, ""en"", ""te""),"""")"),"")</f>
        <v/>
      </c>
      <c r="E9929" s="2"/>
      <c r="F9929" s="2" t="str">
        <f>IFERROR(__xludf.DUMMYFUNCTION("IF(E9929&lt;&gt;"""", GOOGLETRANSLATE(E9929, ""en"", ""te""),"""")"),"")</f>
        <v/>
      </c>
      <c r="G9929" s="2"/>
      <c r="H9929" s="2" t="str">
        <f>IFERROR(__xludf.DUMMYFUNCTION("IF(G9929&lt;&gt;"""", GOOGLETRANSLATE(G9929, ""en"", ""te""),"""")"),"")</f>
        <v/>
      </c>
      <c r="I9929" s="3"/>
    </row>
    <row r="9930" customHeight="1" spans="1:9">
      <c r="A9930" s="2"/>
      <c r="B9930" s="2" t="str">
        <f>IFERROR(__xludf.DUMMYFUNCTION("IF(A9930&lt;&gt;"""", GOOGLETRANSLATE(A9930, ""en"", ""te""),"""")"),"")</f>
        <v/>
      </c>
      <c r="C9930" s="2"/>
      <c r="D9930" s="2" t="str">
        <f>IFERROR(__xludf.DUMMYFUNCTION("IF(C9930&lt;&gt;"""", GOOGLETRANSLATE(C9930, ""en"", ""te""),"""")"),"")</f>
        <v/>
      </c>
      <c r="E9930" s="2"/>
      <c r="F9930" s="2" t="str">
        <f>IFERROR(__xludf.DUMMYFUNCTION("IF(E9930&lt;&gt;"""", GOOGLETRANSLATE(E9930, ""en"", ""te""),"""")"),"")</f>
        <v/>
      </c>
      <c r="G9930" s="2"/>
      <c r="H9930" s="2" t="str">
        <f>IFERROR(__xludf.DUMMYFUNCTION("IF(G9930&lt;&gt;"""", GOOGLETRANSLATE(G9930, ""en"", ""te""),"""")"),"")</f>
        <v/>
      </c>
      <c r="I9930" s="3"/>
    </row>
    <row r="9931" customHeight="1" spans="1:9">
      <c r="A9931" s="2"/>
      <c r="B9931" s="2" t="str">
        <f>IFERROR(__xludf.DUMMYFUNCTION("IF(A9931&lt;&gt;"""", GOOGLETRANSLATE(A9931, ""en"", ""te""),"""")"),"")</f>
        <v/>
      </c>
      <c r="C9931" s="2"/>
      <c r="D9931" s="2" t="str">
        <f>IFERROR(__xludf.DUMMYFUNCTION("IF(C9931&lt;&gt;"""", GOOGLETRANSLATE(C9931, ""en"", ""te""),"""")"),"")</f>
        <v/>
      </c>
      <c r="E9931" s="2"/>
      <c r="F9931" s="2" t="str">
        <f>IFERROR(__xludf.DUMMYFUNCTION("IF(E9931&lt;&gt;"""", GOOGLETRANSLATE(E9931, ""en"", ""te""),"""")"),"")</f>
        <v/>
      </c>
      <c r="G9931" s="2" t="s">
        <v>5748</v>
      </c>
      <c r="H9931" s="2" t="str">
        <f>IFERROR(__xludf.DUMMYFUNCTION("IF(G9931&lt;&gt;"""", GOOGLETRANSLATE(G9931, ""en"", ""te""),"""")"),"[ 'ప్రదర్శనల మధ్య 44 వ లాంగెస్ట్ వ్యవధిలో (5 సం 45d)']")</f>
        <v>[ 'ప్రదర్శనల మధ్య 44 వ లాంగెస్ట్ వ్యవధిలో (5 సం 45d)']</v>
      </c>
      <c r="I9931" s="3"/>
    </row>
    <row r="9932" customHeight="1" spans="1:9">
      <c r="A9932" s="2"/>
      <c r="B9932" s="2" t="str">
        <f>IFERROR(__xludf.DUMMYFUNCTION("IF(A9932&lt;&gt;"""", GOOGLETRANSLATE(A9932, ""en"", ""te""),"""")"),"")</f>
        <v/>
      </c>
      <c r="C9932" s="2"/>
      <c r="D9932" s="2" t="str">
        <f>IFERROR(__xludf.DUMMYFUNCTION("IF(C9932&lt;&gt;"""", GOOGLETRANSLATE(C9932, ""en"", ""te""),"""")"),"")</f>
        <v/>
      </c>
      <c r="E9932" s="2"/>
      <c r="F9932" s="2" t="str">
        <f>IFERROR(__xludf.DUMMYFUNCTION("IF(E9932&lt;&gt;"""", GOOGLETRANSLATE(E9932, ""en"", ""te""),"""")"),"")</f>
        <v/>
      </c>
      <c r="G9932" s="2" t="s">
        <v>5749</v>
      </c>
      <c r="H9932" s="2" t="str">
        <f>IFERROR(__xludf.DUMMYFUNCTION("IF(G9932&lt;&gt;"""", GOOGLETRANSLATE(G9932, ""en"", ""te""),"""")"),"[ 'రెండవ వికెట్కు 33 వ అత్యధిక భాగస్వామ్యం (111)', 'మూడో వికెట్కు 42 వ అత్యధిక భాగస్వామ్యం (95 *)']")</f>
        <v>[ 'రెండవ వికెట్కు 33 వ అత్యధిక భాగస్వామ్యం (111)', 'మూడో వికెట్కు 42 వ అత్యధిక భాగస్వామ్యం (95 *)']</v>
      </c>
      <c r="I9932" s="3"/>
    </row>
    <row r="9933" customHeight="1" spans="1:9">
      <c r="A9933" s="2" t="s">
        <v>749</v>
      </c>
      <c r="B9933" s="2" t="str">
        <f>IFERROR(__xludf.DUMMYFUNCTION("IF(A9933&lt;&gt;"""", GOOGLETRANSLATE(A9933, ""en"", ""te""),"""")"),"[ '6 వ అత్యధిక వరుస బాతులు (3)']")</f>
        <v>[ '6 వ అత్యధిక వరుస బాతులు (3)']</v>
      </c>
      <c r="C9933" s="2"/>
      <c r="D9933" s="2" t="str">
        <f>IFERROR(__xludf.DUMMYFUNCTION("IF(C9933&lt;&gt;"""", GOOGLETRANSLATE(C9933, ""en"", ""te""),"""")"),"")</f>
        <v/>
      </c>
      <c r="E9933" s="2" t="s">
        <v>1335</v>
      </c>
      <c r="F9933" s="2" t="str">
        <f>IFERROR(__xludf.DUMMYFUNCTION("IF(E9933&lt;&gt;"""", GOOGLETRANSLATE(E9933, ""en"", ""te""),"""")"),"[ 'ఒక సిరీస్లో 6 వ అత్యంత బాతులు (3)', '6 వ అత్యధిక వరుస బాతులు (3)']")</f>
        <v>[ 'ఒక సిరీస్లో 6 వ అత్యంత బాతులు (3)', '6 వ అత్యధిక వరుస బాతులు (3)']</v>
      </c>
      <c r="G9933" s="2"/>
      <c r="H9933" s="2" t="str">
        <f>IFERROR(__xludf.DUMMYFUNCTION("IF(G9933&lt;&gt;"""", GOOGLETRANSLATE(G9933, ""en"", ""te""),"""")"),"")</f>
        <v/>
      </c>
      <c r="I9933" s="3"/>
    </row>
    <row r="9934" customHeight="1" spans="1:9">
      <c r="A9934" s="2" t="s">
        <v>5750</v>
      </c>
      <c r="B9934" s="2" t="str">
        <f>IFERROR(__xludf.DUMMYFUNCTION("IF(A9934&lt;&gt;"""", GOOGLETRANSLATE(A9934, ""en"", ""te""),"""")"),"[ 'ఇన్నింగ్స్ లో 1 వ ఉత్తమ సమ్మె రేటు (4.2)', 'ఎ ఏబది ఒక ఇన్నింగ్స్ లో ఐదు వికెట్లు', '6 వ' 1st అత్యంత వృద్ధ ఆటగాడు ఐదు వికెట్ల లో-ఒక-ఇన్నింగ్స్ (39y 256d) కన్య తీసుకోవాలని ' పురాతన దేశం ఆటగాళ్ళు (52y 149d) ']")</f>
        <v>[ 'ఇన్నింగ్స్ లో 1 వ ఉత్తమ సమ్మె రేటు (4.2)', 'ఎ ఏబది ఒక ఇన్నింగ్స్ లో ఐదు వికెట్లు', '6 వ' 1st అత్యంత వృద్ధ ఆటగాడు ఐదు వికెట్ల లో-ఒక-ఇన్నింగ్స్ (39y 256d) కన్య తీసుకోవాలని ' పురాతన దేశం ఆటగాళ్ళు (52y 149d) ']</v>
      </c>
      <c r="C9934" s="2"/>
      <c r="D9934" s="2" t="str">
        <f>IFERROR(__xludf.DUMMYFUNCTION("IF(C9934&lt;&gt;"""", GOOGLETRANSLATE(C9934, ""en"", ""te""),"""")"),"")</f>
        <v/>
      </c>
      <c r="E9934" s="2" t="s">
        <v>5751</v>
      </c>
      <c r="F9934" s="2" t="str">
        <f>IFERROR(__xludf.DUMMYFUNCTION("IF(E9934&lt;&gt;"""", GOOGLETRANSLATE(E9934, ""en"", ""te""),"""")"),"[ 'ఒక ఇన్నింగ్స్ పరాజయం వైపు (5) న ఉన్నప్పుడు 14 బెస్ట్ ఫిగర్స్', 'ఇన్నింగ్స్ లో 1 వ ఉత్తమ సమ్మె రేటు (4.2)', '1 వ అత్యంత వృద్ధ ఆటగాడు' 15 వ అత్యుత్తమ విశ్లేషణలు ఇన్నింగ్స్ లో బౌలింగ్ (4/10) ', కన్య తీసుకుని ఐదు-వికెట్ల లో-ఒక-ఇన్నింగ్స్ తీసుకోవాలని (39y "&amp;"256d) ',' 1 వ ఓల్డెస్ట్ క్రీడాకారుడు ఐదు-వికెట్ల లో-ఒక-ఇన్నింగ్స్ (39y 256d) ',' తొలి 40 వ ఓల్డెస్ట్ క్రీడాకారులు (37y 211d) ',' కెప్టెన్సీ తొలి 23 వ ఓల్డెస్ట్ క్రీడాకారులు (41y 261d) ',' 17 వ ఓల్డెస్ట్ కాప్టెన్ (39y 312d) ',' 11 వ ఓల్డెస్ట్ కాప్టెన్ (39y"&amp;" 1D) ']")</f>
        <v>[ 'ఒక ఇన్నింగ్స్ పరాజయం వైపు (5) న ఉన్నప్పుడు 14 బెస్ట్ ఫిగర్స్', 'ఇన్నింగ్స్ లో 1 వ ఉత్తమ సమ్మె రేటు (4.2)', '1 వ అత్యంత వృద్ధ ఆటగాడు' 15 వ అత్యుత్తమ విశ్లేషణలు ఇన్నింగ్స్ లో బౌలింగ్ (4/10) ', కన్య తీసుకుని ఐదు-వికెట్ల లో-ఒక-ఇన్నింగ్స్ తీసుకోవాలని (39y 256d) ',' 1 వ ఓల్డెస్ట్ క్రీడాకారుడు ఐదు-వికెట్ల లో-ఒక-ఇన్నింగ్స్ (39y 256d) ',' తొలి 40 వ ఓల్డెస్ట్ క్రీడాకారులు (37y 211d) ',' కెప్టెన్సీ తొలి 23 వ ఓల్డెస్ట్ క్రీడాకారులు (41y 261d) ',' 17 వ ఓల్డెస్ట్ కాప్టెన్ (39y 312d) ',' 11 వ ఓల్డెస్ట్ కాప్టెన్ (39y 1D) ']</v>
      </c>
      <c r="G9934" s="2" t="s">
        <v>5752</v>
      </c>
      <c r="H9934" s="2" t="str">
        <f>IFERROR(__xludf.DUMMYFUNCTION("IF(G9934&lt;&gt;"""", GOOGLETRANSLATE(G9934, ""en"", ""te""),"""")"),"[ 'కెప్టెన్సీ ప్రవేశం (39y 359d) 17 వ ఓల్డెస్ట్ కెప్టెన్లు' '50 వ ఓల్డెస్ట్ క్రీడాకారులు (41y 116d)', '6 వ పురాతన దేశం ఆటగాళ్ళు (52y 149d)', '20 వ ఓల్డెస్ట్ కాప్టెన్ (39y 362d)',]")</f>
        <v>[ 'కెప్టెన్సీ ప్రవేశం (39y 359d) 17 వ ఓల్డెస్ట్ కెప్టెన్లు' '50 వ ఓల్డెస్ట్ క్రీడాకారులు (41y 116d)', '6 వ పురాతన దేశం ఆటగాళ్ళు (52y 149d)', '20 వ ఓల్డెస్ట్ కాప్టెన్ (39y 362d)',]</v>
      </c>
      <c r="I9934" s="3"/>
    </row>
    <row r="9935" customHeight="1" spans="1:9">
      <c r="A9935" s="2"/>
      <c r="B9935" s="2" t="str">
        <f>IFERROR(__xludf.DUMMYFUNCTION("IF(A9935&lt;&gt;"""", GOOGLETRANSLATE(A9935, ""en"", ""te""),"""")"),"")</f>
        <v/>
      </c>
      <c r="C9935" s="2"/>
      <c r="D9935" s="2" t="str">
        <f>IFERROR(__xludf.DUMMYFUNCTION("IF(C9935&lt;&gt;"""", GOOGLETRANSLATE(C9935, ""en"", ""te""),"""")"),"")</f>
        <v/>
      </c>
      <c r="E9935" s="2"/>
      <c r="F9935" s="2" t="str">
        <f>IFERROR(__xludf.DUMMYFUNCTION("IF(E9935&lt;&gt;"""", GOOGLETRANSLATE(E9935, ""en"", ""te""),"""")"),"")</f>
        <v/>
      </c>
      <c r="G9935" s="2"/>
      <c r="H9935" s="2" t="str">
        <f>IFERROR(__xludf.DUMMYFUNCTION("IF(G9935&lt;&gt;"""", GOOGLETRANSLATE(G9935, ""en"", ""te""),"""")"),"")</f>
        <v/>
      </c>
      <c r="I9935" s="3"/>
    </row>
    <row r="9936" customHeight="1" spans="1:9">
      <c r="A9936" s="2"/>
      <c r="B9936" s="2" t="str">
        <f>IFERROR(__xludf.DUMMYFUNCTION("IF(A9936&lt;&gt;"""", GOOGLETRANSLATE(A9936, ""en"", ""te""),"""")"),"")</f>
        <v/>
      </c>
      <c r="C9936" s="2"/>
      <c r="D9936" s="2" t="str">
        <f>IFERROR(__xludf.DUMMYFUNCTION("IF(C9936&lt;&gt;"""", GOOGLETRANSLATE(C9936, ""en"", ""te""),"""")"),"")</f>
        <v/>
      </c>
      <c r="E9936" s="2"/>
      <c r="F9936" s="2" t="str">
        <f>IFERROR(__xludf.DUMMYFUNCTION("IF(E9936&lt;&gt;"""", GOOGLETRANSLATE(E9936, ""en"", ""te""),"""")"),"")</f>
        <v/>
      </c>
      <c r="G9936" s="2" t="s">
        <v>4903</v>
      </c>
      <c r="H9936" s="2" t="str">
        <f>IFERROR(__xludf.DUMMYFUNCTION("IF(G9936&lt;&gt;"""", GOOGLETRANSLATE(G9936, ""en"", ""te""),"""")"),"[ '20 వ అత్యుత్తమ ఇన్నింగ్స్ (2/4) విశ్లేషణలలో బౌలింగ్']")</f>
        <v>[ '20 వ అత్యుత్తమ ఇన్నింగ్స్ (2/4) విశ్లేషణలలో బౌలింగ్']</v>
      </c>
      <c r="I9936" s="3"/>
    </row>
    <row r="9937" customHeight="1" spans="1:9">
      <c r="A9937" s="2"/>
      <c r="B9937" s="2" t="str">
        <f>IFERROR(__xludf.DUMMYFUNCTION("IF(A9937&lt;&gt;"""", GOOGLETRANSLATE(A9937, ""en"", ""te""),"""")"),"")</f>
        <v/>
      </c>
      <c r="C9937" s="2"/>
      <c r="D9937" s="2" t="str">
        <f>IFERROR(__xludf.DUMMYFUNCTION("IF(C9937&lt;&gt;"""", GOOGLETRANSLATE(C9937, ""en"", ""te""),"""")"),"")</f>
        <v/>
      </c>
      <c r="E9937" s="2"/>
      <c r="F9937" s="2" t="str">
        <f>IFERROR(__xludf.DUMMYFUNCTION("IF(E9937&lt;&gt;"""", GOOGLETRANSLATE(E9937, ""en"", ""te""),"""")"),"")</f>
        <v/>
      </c>
      <c r="G9937" s="2"/>
      <c r="H9937" s="2" t="str">
        <f>IFERROR(__xludf.DUMMYFUNCTION("IF(G9937&lt;&gt;"""", GOOGLETRANSLATE(G9937, ""en"", ""te""),"""")"),"")</f>
        <v/>
      </c>
      <c r="I9937" s="3"/>
    </row>
    <row r="9938" customHeight="1" spans="1:9">
      <c r="A9938" s="2"/>
      <c r="B9938" s="2" t="str">
        <f>IFERROR(__xludf.DUMMYFUNCTION("IF(A9938&lt;&gt;"""", GOOGLETRANSLATE(A9938, ""en"", ""te""),"""")"),"")</f>
        <v/>
      </c>
      <c r="C9938" s="2"/>
      <c r="D9938" s="2" t="str">
        <f>IFERROR(__xludf.DUMMYFUNCTION("IF(C9938&lt;&gt;"""", GOOGLETRANSLATE(C9938, ""en"", ""te""),"""")"),"")</f>
        <v/>
      </c>
      <c r="E9938" s="2" t="s">
        <v>5753</v>
      </c>
      <c r="F9938" s="2" t="str">
        <f>IFERROR(__xludf.DUMMYFUNCTION("IF(E9938&lt;&gt;"""", GOOGLETRANSLATE(E9938, ""en"", ""te""),"""")"),"['21 వ పిన్న క్రీడాకారులు (16y 347d) ']")</f>
        <v>['21 వ పిన్న క్రీడాకారులు (16y 347d) ']</v>
      </c>
      <c r="G9938" s="2" t="s">
        <v>5754</v>
      </c>
      <c r="H9938" s="2" t="str">
        <f>IFERROR(__xludf.DUMMYFUNCTION("IF(G9938&lt;&gt;"""", GOOGLETRANSLATE(G9938, ""en"", ""te""),"""")"),"[ 'మూడో వికెట్కు (125) కోసం 12 వ అత్యధిక భాగస్వామ్యం']")</f>
        <v>[ 'మూడో వికెట్కు (125) కోసం 12 వ అత్యధిక భాగస్వామ్యం']</v>
      </c>
      <c r="I9938" s="3"/>
    </row>
    <row r="9939" customHeight="1" spans="1:9">
      <c r="A9939" s="2"/>
      <c r="B9939" s="2" t="str">
        <f>IFERROR(__xludf.DUMMYFUNCTION("IF(A9939&lt;&gt;"""", GOOGLETRANSLATE(A9939, ""en"", ""te""),"""")"),"")</f>
        <v/>
      </c>
      <c r="C9939" s="2"/>
      <c r="D9939" s="2" t="str">
        <f>IFERROR(__xludf.DUMMYFUNCTION("IF(C9939&lt;&gt;"""", GOOGLETRANSLATE(C9939, ""en"", ""te""),"""")"),"")</f>
        <v/>
      </c>
      <c r="E9939" s="2"/>
      <c r="F9939" s="2" t="str">
        <f>IFERROR(__xludf.DUMMYFUNCTION("IF(E9939&lt;&gt;"""", GOOGLETRANSLATE(E9939, ""en"", ""te""),"""")"),"")</f>
        <v/>
      </c>
      <c r="G9939" s="2" t="s">
        <v>5755</v>
      </c>
      <c r="H9939" s="2" t="str">
        <f>IFERROR(__xludf.DUMMYFUNCTION("IF(G9939&lt;&gt;"""", GOOGLETRANSLATE(G9939, ""en"", ""te""),"""")"),"[ 'ప్రదర్శనల మధ్య 22 లాంగెస్ట్ వ్యవధిలో (5 సం 328d)']")</f>
        <v>[ 'ప్రదర్శనల మధ్య 22 లాంగెస్ట్ వ్యవధిలో (5 సం 328d)']</v>
      </c>
      <c r="I9939" s="3"/>
    </row>
    <row r="9940" customHeight="1" spans="1:9">
      <c r="A9940" s="2"/>
      <c r="B9940" s="2" t="str">
        <f>IFERROR(__xludf.DUMMYFUNCTION("IF(A9940&lt;&gt;"""", GOOGLETRANSLATE(A9940, ""en"", ""te""),"""")"),"")</f>
        <v/>
      </c>
      <c r="C9940" s="2"/>
      <c r="D9940" s="2" t="str">
        <f>IFERROR(__xludf.DUMMYFUNCTION("IF(C9940&lt;&gt;"""", GOOGLETRANSLATE(C9940, ""en"", ""te""),"""")"),"")</f>
        <v/>
      </c>
      <c r="E9940" s="2"/>
      <c r="F9940" s="2" t="str">
        <f>IFERROR(__xludf.DUMMYFUNCTION("IF(E9940&lt;&gt;"""", GOOGLETRANSLATE(E9940, ""en"", ""te""),"""")"),"")</f>
        <v/>
      </c>
      <c r="G9940" s="2" t="s">
        <v>5756</v>
      </c>
      <c r="H9940" s="2" t="str">
        <f>IFERROR(__xludf.DUMMYFUNCTION("IF(G9940&lt;&gt;"""", GOOGLETRANSLATE(G9940, ""en"", ""te""),"""")"),"[ '28 ఇన్నింగ్స్ లో అత్యధిక పరుగులు (బ్యాటింగ్ స్థానంలో ప్రకారం) (33)', ఒక ఇన్నింగ్స్ లో 'కెరీర్లో 34 వ అత్యధిక క్యాచ్లు (12)', '13 వ అత్యధిక క్యాచ్లు' ప్రదర్శనలు (5 సం 265d) మధ్య 25 లాంగెస్ట్ వ్యవధిలో '(3 ) ']")</f>
        <v>[ '28 ఇన్నింగ్స్ లో అత్యధిక పరుగులు (బ్యాటింగ్ స్థానంలో ప్రకారం) (33)', ఒక ఇన్నింగ్స్ లో 'కెరీర్లో 34 వ అత్యధిక క్యాచ్లు (12)', '13 వ అత్యధిక క్యాచ్లు' ప్రదర్శనలు (5 సం 265d) మధ్య 25 లాంగెస్ట్ వ్యవధిలో '(3 ) ']</v>
      </c>
      <c r="I9940" s="3"/>
    </row>
    <row r="9941" customHeight="1" spans="1:9">
      <c r="A9941" s="2"/>
      <c r="B9941" s="2" t="str">
        <f>IFERROR(__xludf.DUMMYFUNCTION("IF(A9941&lt;&gt;"""", GOOGLETRANSLATE(A9941, ""en"", ""te""),"""")"),"")</f>
        <v/>
      </c>
      <c r="C9941" s="2"/>
      <c r="D9941" s="2" t="str">
        <f>IFERROR(__xludf.DUMMYFUNCTION("IF(C9941&lt;&gt;"""", GOOGLETRANSLATE(C9941, ""en"", ""te""),"""")"),"")</f>
        <v/>
      </c>
      <c r="E9941" s="2"/>
      <c r="F9941" s="2" t="str">
        <f>IFERROR(__xludf.DUMMYFUNCTION("IF(E9941&lt;&gt;"""", GOOGLETRANSLATE(E9941, ""en"", ""te""),"""")"),"")</f>
        <v/>
      </c>
      <c r="G9941" s="2"/>
      <c r="H9941" s="2" t="str">
        <f>IFERROR(__xludf.DUMMYFUNCTION("IF(G9941&lt;&gt;"""", GOOGLETRANSLATE(G9941, ""en"", ""te""),"""")"),"")</f>
        <v/>
      </c>
      <c r="I9941" s="3"/>
    </row>
    <row r="9942" customHeight="1" spans="1:9">
      <c r="A9942" s="2"/>
      <c r="B9942" s="2" t="str">
        <f>IFERROR(__xludf.DUMMYFUNCTION("IF(A9942&lt;&gt;"""", GOOGLETRANSLATE(A9942, ""en"", ""te""),"""")"),"")</f>
        <v/>
      </c>
      <c r="C9942" s="2"/>
      <c r="D9942" s="2" t="str">
        <f>IFERROR(__xludf.DUMMYFUNCTION("IF(C9942&lt;&gt;"""", GOOGLETRANSLATE(C9942, ""en"", ""te""),"""")"),"")</f>
        <v/>
      </c>
      <c r="E9942" s="2" t="s">
        <v>5757</v>
      </c>
      <c r="F9942" s="2" t="str">
        <f>IFERROR(__xludf.DUMMYFUNCTION("IF(E9942&lt;&gt;"""", GOOGLETRANSLATE(E9942, ""en"", ""te""),"""")"),"[ 'తొలి 41 వ ఓల్డెస్ట్ క్రీడాకారులు (37y 179d)', '30 వ ఓల్డెస్ట్ కాప్టెన్ (37y 199d)', '16 వ ఓల్డెస్ట్ కెప్టెన్లు కెప్టెన్సీ తొలి (37y 179d)']")</f>
        <v>[ 'తొలి 41 వ ఓల్డెస్ట్ క్రీడాకారులు (37y 179d)', '30 వ ఓల్డెస్ట్ కాప్టెన్ (37y 199d)', '16 వ ఓల్డెస్ట్ కెప్టెన్లు కెప్టెన్సీ తొలి (37y 179d)']</v>
      </c>
      <c r="G9942" s="2"/>
      <c r="H9942" s="2" t="str">
        <f>IFERROR(__xludf.DUMMYFUNCTION("IF(G9942&lt;&gt;"""", GOOGLETRANSLATE(G9942, ""en"", ""te""),"""")"),"")</f>
        <v/>
      </c>
      <c r="I9942" s="3"/>
    </row>
    <row r="9943" customHeight="1" spans="1:9">
      <c r="A9943" s="2"/>
      <c r="B9943" s="2" t="str">
        <f>IFERROR(__xludf.DUMMYFUNCTION("IF(A9943&lt;&gt;"""", GOOGLETRANSLATE(A9943, ""en"", ""te""),"""")"),"")</f>
        <v/>
      </c>
      <c r="C9943" s="2"/>
      <c r="D9943" s="2" t="str">
        <f>IFERROR(__xludf.DUMMYFUNCTION("IF(C9943&lt;&gt;"""", GOOGLETRANSLATE(C9943, ""en"", ""te""),"""")"),"")</f>
        <v/>
      </c>
      <c r="E9943" s="2"/>
      <c r="F9943" s="2" t="str">
        <f>IFERROR(__xludf.DUMMYFUNCTION("IF(E9943&lt;&gt;"""", GOOGLETRANSLATE(E9943, ""en"", ""te""),"""")"),"")</f>
        <v/>
      </c>
      <c r="G9943" s="2"/>
      <c r="H9943" s="2" t="str">
        <f>IFERROR(__xludf.DUMMYFUNCTION("IF(G9943&lt;&gt;"""", GOOGLETRANSLATE(G9943, ""en"", ""te""),"""")"),"")</f>
        <v/>
      </c>
      <c r="I9943" s="3"/>
    </row>
    <row r="9944" customHeight="1" spans="1:9">
      <c r="A9944" s="2"/>
      <c r="B9944" s="2" t="str">
        <f>IFERROR(__xludf.DUMMYFUNCTION("IF(A9944&lt;&gt;"""", GOOGLETRANSLATE(A9944, ""en"", ""te""),"""")"),"")</f>
        <v/>
      </c>
      <c r="C9944" s="2"/>
      <c r="D9944" s="2" t="str">
        <f>IFERROR(__xludf.DUMMYFUNCTION("IF(C9944&lt;&gt;"""", GOOGLETRANSLATE(C9944, ""en"", ""te""),"""")"),"")</f>
        <v/>
      </c>
      <c r="E9944" s="2"/>
      <c r="F9944" s="2" t="str">
        <f>IFERROR(__xludf.DUMMYFUNCTION("IF(E9944&lt;&gt;"""", GOOGLETRANSLATE(E9944, ""en"", ""te""),"""")"),"")</f>
        <v/>
      </c>
      <c r="G9944" s="2" t="s">
        <v>5758</v>
      </c>
      <c r="H9944" s="2" t="str">
        <f>IFERROR(__xludf.DUMMYFUNCTION("IF(G9944&lt;&gt;"""", GOOGLETRANSLATE(G9944, ""en"", ""te""),"""")"),"[ '42 వ ఒక క్యాలెండర్ సంవత్సరంలో అత్యధిక వికెట్లు (19)', 'ఇన్నింగ్స్ లో 31 ఉత్తమ సమ్మె రేటు (4.5)', '16 వ అత్యంత నాలుగు వికెట్లు-ఇన్-ఒక-ఇన్నింగ్స్ కెరీర్లో (2)', '45 వ బౌలర్ / ఫీల్డర్ కలయికలు (6) ',' 33 వ అత్యధిక వికెట్లు ఆకర్షించింది అత్యధిక వికెట్లు తీస"&amp;"ిన (6) ']")</f>
        <v>[ '42 వ ఒక క్యాలెండర్ సంవత్సరంలో అత్యధిక వికెట్లు (19)', 'ఇన్నింగ్స్ లో 31 ఉత్తమ సమ్మె రేటు (4.5)', '16 వ అత్యంత నాలుగు వికెట్లు-ఇన్-ఒక-ఇన్నింగ్స్ కెరీర్లో (2)', '45 వ బౌలర్ / ఫీల్డర్ కలయికలు (6) ',' 33 వ అత్యధిక వికెట్లు ఆకర్షించింది అత్యధిక వికెట్లు తీసిన (6) ']</v>
      </c>
      <c r="I9944" s="3"/>
    </row>
    <row r="9945" customHeight="1" spans="1:9">
      <c r="A9945" s="2"/>
      <c r="B9945" s="2" t="str">
        <f>IFERROR(__xludf.DUMMYFUNCTION("IF(A9945&lt;&gt;"""", GOOGLETRANSLATE(A9945, ""en"", ""te""),"""")"),"")</f>
        <v/>
      </c>
      <c r="C9945" s="2"/>
      <c r="D9945" s="2" t="str">
        <f>IFERROR(__xludf.DUMMYFUNCTION("IF(C9945&lt;&gt;"""", GOOGLETRANSLATE(C9945, ""en"", ""te""),"""")"),"")</f>
        <v/>
      </c>
      <c r="E9945" s="2"/>
      <c r="F9945" s="2" t="str">
        <f>IFERROR(__xludf.DUMMYFUNCTION("IF(E9945&lt;&gt;"""", GOOGLETRANSLATE(E9945, ""en"", ""te""),"""")"),"")</f>
        <v/>
      </c>
      <c r="G9945" s="2"/>
      <c r="H9945" s="2" t="str">
        <f>IFERROR(__xludf.DUMMYFUNCTION("IF(G9945&lt;&gt;"""", GOOGLETRANSLATE(G9945, ""en"", ""te""),"""")"),"")</f>
        <v/>
      </c>
      <c r="I9945" s="3"/>
    </row>
    <row r="9946" customHeight="1" spans="1:9">
      <c r="A9946" s="2"/>
      <c r="B9946" s="2" t="str">
        <f>IFERROR(__xludf.DUMMYFUNCTION("IF(A9946&lt;&gt;"""", GOOGLETRANSLATE(A9946, ""en"", ""te""),"""")"),"")</f>
        <v/>
      </c>
      <c r="C9946" s="2"/>
      <c r="D9946" s="2" t="str">
        <f>IFERROR(__xludf.DUMMYFUNCTION("IF(C9946&lt;&gt;"""", GOOGLETRANSLATE(C9946, ""en"", ""te""),"""")"),"")</f>
        <v/>
      </c>
      <c r="E9946" s="2"/>
      <c r="F9946" s="2" t="str">
        <f>IFERROR(__xludf.DUMMYFUNCTION("IF(E9946&lt;&gt;"""", GOOGLETRANSLATE(E9946, ""en"", ""te""),"""")"),"")</f>
        <v/>
      </c>
      <c r="G9946" s="2"/>
      <c r="H9946" s="2" t="str">
        <f>IFERROR(__xludf.DUMMYFUNCTION("IF(G9946&lt;&gt;"""", GOOGLETRANSLATE(G9946, ""en"", ""te""),"""")"),"")</f>
        <v/>
      </c>
      <c r="I9946" s="3"/>
    </row>
    <row r="9947" customHeight="1" spans="1:9">
      <c r="A9947" s="2"/>
      <c r="B9947" s="2" t="str">
        <f>IFERROR(__xludf.DUMMYFUNCTION("IF(A9947&lt;&gt;"""", GOOGLETRANSLATE(A9947, ""en"", ""te""),"""")"),"")</f>
        <v/>
      </c>
      <c r="C9947" s="2"/>
      <c r="D9947" s="2" t="str">
        <f>IFERROR(__xludf.DUMMYFUNCTION("IF(C9947&lt;&gt;"""", GOOGLETRANSLATE(C9947, ""en"", ""te""),"""")"),"")</f>
        <v/>
      </c>
      <c r="E9947" s="2"/>
      <c r="F9947" s="2" t="str">
        <f>IFERROR(__xludf.DUMMYFUNCTION("IF(E9947&lt;&gt;"""", GOOGLETRANSLATE(E9947, ""en"", ""te""),"""")"),"")</f>
        <v/>
      </c>
      <c r="G9947" s="2" t="s">
        <v>5759</v>
      </c>
      <c r="H9947" s="2" t="str">
        <f>IFERROR(__xludf.DUMMYFUNCTION("IF(G9947&lt;&gt;"""", GOOGLETRANSLATE(G9947, ""en"", ""te""),"""")"),"[ 'ప్రదర్శనల మధ్య 25 లాంగెస్ట్ వ్యవధిలో (5 సం 265d)']")</f>
        <v>[ 'ప్రదర్శనల మధ్య 25 లాంగెస్ట్ వ్యవధిలో (5 సం 265d)']</v>
      </c>
      <c r="I9947" s="3"/>
    </row>
    <row r="9948" customHeight="1" spans="1:9">
      <c r="A9948" s="2"/>
      <c r="B9948" s="2" t="str">
        <f>IFERROR(__xludf.DUMMYFUNCTION("IF(A9948&lt;&gt;"""", GOOGLETRANSLATE(A9948, ""en"", ""te""),"""")"),"")</f>
        <v/>
      </c>
      <c r="C9948" s="2"/>
      <c r="D9948" s="2" t="str">
        <f>IFERROR(__xludf.DUMMYFUNCTION("IF(C9948&lt;&gt;"""", GOOGLETRANSLATE(C9948, ""en"", ""te""),"""")"),"")</f>
        <v/>
      </c>
      <c r="E9948" s="2"/>
      <c r="F9948" s="2" t="str">
        <f>IFERROR(__xludf.DUMMYFUNCTION("IF(E9948&lt;&gt;"""", GOOGLETRANSLATE(E9948, ""en"", ""te""),"""")"),"")</f>
        <v/>
      </c>
      <c r="G9948" s="2"/>
      <c r="H9948" s="2" t="str">
        <f>IFERROR(__xludf.DUMMYFUNCTION("IF(G9948&lt;&gt;"""", GOOGLETRANSLATE(G9948, ""en"", ""te""),"""")"),"")</f>
        <v/>
      </c>
      <c r="I9948" s="3"/>
    </row>
    <row r="9949" customHeight="1" spans="1:9">
      <c r="A9949" s="2"/>
      <c r="B9949" s="2" t="str">
        <f>IFERROR(__xludf.DUMMYFUNCTION("IF(A9949&lt;&gt;"""", GOOGLETRANSLATE(A9949, ""en"", ""te""),"""")"),"")</f>
        <v/>
      </c>
      <c r="C9949" s="2"/>
      <c r="D9949" s="2" t="str">
        <f>IFERROR(__xludf.DUMMYFUNCTION("IF(C9949&lt;&gt;"""", GOOGLETRANSLATE(C9949, ""en"", ""te""),"""")"),"")</f>
        <v/>
      </c>
      <c r="E9949" s="2" t="s">
        <v>5760</v>
      </c>
      <c r="F9949" s="2" t="str">
        <f>IFERROR(__xludf.DUMMYFUNCTION("IF(E9949&lt;&gt;"""", GOOGLETRANSLATE(E9949, ""en"", ""te""),"""")"),"[ '11 వ అత్యంత వృద్ధ ఆటగాడు తొలి వంద (35y 205d) స్కోర్' '38 వ అత్యంత వృద్ధ ఆటగాడు వంద (35y 205d) స్కోర్',]")</f>
        <v>[ '11 వ అత్యంత వృద్ధ ఆటగాడు తొలి వంద (35y 205d) స్కోర్' '38 వ అత్యంత వృద్ధ ఆటగాడు వంద (35y 205d) స్కోర్',]</v>
      </c>
      <c r="G9949" s="2"/>
      <c r="H9949" s="2" t="str">
        <f>IFERROR(__xludf.DUMMYFUNCTION("IF(G9949&lt;&gt;"""", GOOGLETRANSLATE(G9949, ""en"", ""te""),"""")"),"")</f>
        <v/>
      </c>
      <c r="I9949" s="3"/>
    </row>
    <row r="9950" customHeight="1" spans="1:9">
      <c r="A9950" s="2"/>
      <c r="B9950" s="2" t="str">
        <f>IFERROR(__xludf.DUMMYFUNCTION("IF(A9950&lt;&gt;"""", GOOGLETRANSLATE(A9950, ""en"", ""te""),"""")"),"")</f>
        <v/>
      </c>
      <c r="C9950" s="2"/>
      <c r="D9950" s="2" t="str">
        <f>IFERROR(__xludf.DUMMYFUNCTION("IF(C9950&lt;&gt;"""", GOOGLETRANSLATE(C9950, ""en"", ""te""),"""")"),"")</f>
        <v/>
      </c>
      <c r="E9950" s="2" t="s">
        <v>5761</v>
      </c>
      <c r="F9950" s="2" t="str">
        <f>IFERROR(__xludf.DUMMYFUNCTION("IF(E9950&lt;&gt;"""", GOOGLETRANSLATE(E9950, ""en"", ""te""),"""")"),"[ 'తొలి 20 వ ఓల్డెస్ట్ క్రీడాకారులు (39y 195d)']")</f>
        <v>[ 'తొలి 20 వ ఓల్డెస్ట్ క్రీడాకారులు (39y 195d)']</v>
      </c>
      <c r="G9950" s="2"/>
      <c r="H9950" s="2" t="str">
        <f>IFERROR(__xludf.DUMMYFUNCTION("IF(G9950&lt;&gt;"""", GOOGLETRANSLATE(G9950, ""en"", ""te""),"""")"),"")</f>
        <v/>
      </c>
      <c r="I9950" s="3"/>
    </row>
    <row r="9951" customHeight="1" spans="1:9">
      <c r="A9951" s="2"/>
      <c r="B9951" s="2" t="str">
        <f>IFERROR(__xludf.DUMMYFUNCTION("IF(A9951&lt;&gt;"""", GOOGLETRANSLATE(A9951, ""en"", ""te""),"""")"),"")</f>
        <v/>
      </c>
      <c r="C9951" s="2"/>
      <c r="D9951" s="2" t="str">
        <f>IFERROR(__xludf.DUMMYFUNCTION("IF(C9951&lt;&gt;"""", GOOGLETRANSLATE(C9951, ""en"", ""te""),"""")"),"")</f>
        <v/>
      </c>
      <c r="E9951" s="2"/>
      <c r="F9951" s="2" t="str">
        <f>IFERROR(__xludf.DUMMYFUNCTION("IF(E9951&lt;&gt;"""", GOOGLETRANSLATE(E9951, ""en"", ""te""),"""")"),"")</f>
        <v/>
      </c>
      <c r="G9951" s="2"/>
      <c r="H9951" s="2" t="str">
        <f>IFERROR(__xludf.DUMMYFUNCTION("IF(G9951&lt;&gt;"""", GOOGLETRANSLATE(G9951, ""en"", ""te""),"""")"),"")</f>
        <v/>
      </c>
      <c r="I9951" s="3"/>
    </row>
    <row r="9952" customHeight="1" spans="1:9">
      <c r="A9952" s="2"/>
      <c r="B9952" s="2" t="str">
        <f>IFERROR(__xludf.DUMMYFUNCTION("IF(A9952&lt;&gt;"""", GOOGLETRANSLATE(A9952, ""en"", ""te""),"""")"),"")</f>
        <v/>
      </c>
      <c r="C9952" s="2"/>
      <c r="D9952" s="2" t="str">
        <f>IFERROR(__xludf.DUMMYFUNCTION("IF(C9952&lt;&gt;"""", GOOGLETRANSLATE(C9952, ""en"", ""te""),"""")"),"")</f>
        <v/>
      </c>
      <c r="E9952" s="2"/>
      <c r="F9952" s="2" t="str">
        <f>IFERROR(__xludf.DUMMYFUNCTION("IF(E9952&lt;&gt;"""", GOOGLETRANSLATE(E9952, ""en"", ""te""),"""")"),"")</f>
        <v/>
      </c>
      <c r="G9952" s="2"/>
      <c r="H9952" s="2" t="str">
        <f>IFERROR(__xludf.DUMMYFUNCTION("IF(G9952&lt;&gt;"""", GOOGLETRANSLATE(G9952, ""en"", ""te""),"""")"),"")</f>
        <v/>
      </c>
      <c r="I9952" s="3"/>
    </row>
    <row r="9953" customHeight="1" spans="1:9">
      <c r="A9953" s="2"/>
      <c r="B9953" s="2" t="str">
        <f>IFERROR(__xludf.DUMMYFUNCTION("IF(A9953&lt;&gt;"""", GOOGLETRANSLATE(A9953, ""en"", ""te""),"""")"),"")</f>
        <v/>
      </c>
      <c r="C9953" s="2"/>
      <c r="D9953" s="2" t="str">
        <f>IFERROR(__xludf.DUMMYFUNCTION("IF(C9953&lt;&gt;"""", GOOGLETRANSLATE(C9953, ""en"", ""te""),"""")"),"")</f>
        <v/>
      </c>
      <c r="E9953" s="2"/>
      <c r="F9953" s="2" t="str">
        <f>IFERROR(__xludf.DUMMYFUNCTION("IF(E9953&lt;&gt;"""", GOOGLETRANSLATE(E9953, ""en"", ""te""),"""")"),"")</f>
        <v/>
      </c>
      <c r="G9953" s="2"/>
      <c r="H9953" s="2" t="str">
        <f>IFERROR(__xludf.DUMMYFUNCTION("IF(G9953&lt;&gt;"""", GOOGLETRANSLATE(G9953, ""en"", ""te""),"""")"),"")</f>
        <v/>
      </c>
      <c r="I9953" s="3"/>
    </row>
    <row r="9954" customHeight="1" spans="1:9">
      <c r="A9954" s="2" t="s">
        <v>5762</v>
      </c>
      <c r="B9954" s="2" t="str">
        <f>IFERROR(__xludf.DUMMYFUNCTION("IF(A9954&lt;&gt;"""", GOOGLETRANSLATE(A9954, ""en"", ""te""),"""")"),"[ '1st చాలా వరుసగా నాలుగు వికెట్లు-ఇన్-ఒక-ఇన్నింగ్స్ (3)', '5 వ చెత్త కెరీర్ బౌలింగ్ సరాసరి (అర్హత లేకుండా) (106.00)']")</f>
        <v>[ '1st చాలా వరుసగా నాలుగు వికెట్లు-ఇన్-ఒక-ఇన్నింగ్స్ (3)', '5 వ చెత్త కెరీర్ బౌలింగ్ సరాసరి (అర్హత లేకుండా) (106.00)']</v>
      </c>
      <c r="C9954" s="2"/>
      <c r="D9954" s="2" t="str">
        <f>IFERROR(__xludf.DUMMYFUNCTION("IF(C9954&lt;&gt;"""", GOOGLETRANSLATE(C9954, ""en"", ""te""),"""")"),"")</f>
        <v/>
      </c>
      <c r="E9954" s="2" t="s">
        <v>5763</v>
      </c>
      <c r="F9954" s="2" t="str">
        <f>IFERROR(__xludf.DUMMYFUNCTION("IF(E9954&lt;&gt;"""", GOOGLETRANSLATE(E9954, ""en"", ""te""),"""")"),"[ '14 వ ఒక ఇన్నింగ్స్ లోని బెస్ట్ ఫిగర్స్ పరాజయం వైపు (5) ఉన్నప్పుడు', '1 వ వరుస నాలుగు వికెట్లు-ఇన్-ఒక-ఇన్నింగ్స్ (3)', '22 వ అత్యంత వృద్ధ ఆటగాడు ఐదు వికెట్లు ఇన్ an- తీసుకోవాలని ఇన్నింగ్స్ (33y 335d) ',' 13 వ అత్యంత వృద్ధ ఆటగాడు తొలి తీసుకుని ఐదు-వికెట"&amp;"్ల లో-ఒక-ఇన్నింగ్స్ (33y 335d) ']")</f>
        <v>[ '14 వ ఒక ఇన్నింగ్స్ లోని బెస్ట్ ఫిగర్స్ పరాజయం వైపు (5) ఉన్నప్పుడు', '1 వ వరుస నాలుగు వికెట్లు-ఇన్-ఒక-ఇన్నింగ్స్ (3)', '22 వ అత్యంత వృద్ధ ఆటగాడు ఐదు వికెట్లు ఇన్ an- తీసుకోవాలని ఇన్నింగ్స్ (33y 335d) ',' 13 వ అత్యంత వృద్ధ ఆటగాడు తొలి తీసుకుని ఐదు-వికెట్ల లో-ఒక-ఇన్నింగ్స్ (33y 335d) ']</v>
      </c>
      <c r="G9954" s="2" t="s">
        <v>5764</v>
      </c>
      <c r="H9954" s="2" t="str">
        <f>IFERROR(__xludf.DUMMYFUNCTION("IF(G9954&lt;&gt;"""", GOOGLETRANSLATE(G9954, ""en"", ""te""),"""")"),"[ '5 వ చెత్త కెరీర్ బౌలింగ్ సరాసరి (అర్హత లేకుండా) (106.00)']")</f>
        <v>[ '5 వ చెత్త కెరీర్ బౌలింగ్ సరాసరి (అర్హత లేకుండా) (106.00)']</v>
      </c>
      <c r="I9954" s="3"/>
    </row>
    <row r="9955" customHeight="1" spans="1:9">
      <c r="A9955" s="2" t="s">
        <v>5765</v>
      </c>
      <c r="B9955" s="2" t="str">
        <f>IFERROR(__xludf.DUMMYFUNCTION("IF(A9955&lt;&gt;"""", GOOGLETRANSLATE(A9955, ""en"", ""te""),"""")"),"[ '4 వ పిన్న క్రీడాకారులు (15y 273d)', 'వరుస ఇన్నింగ్స్లో 3 వ యాభైల్లో (3)']")</f>
        <v>[ '4 వ పిన్న క్రీడాకారులు (15y 273d)', 'వరుస ఇన్నింగ్స్లో 3 వ యాభైల్లో (3)']</v>
      </c>
      <c r="C9955" s="2"/>
      <c r="D9955" s="2" t="str">
        <f>IFERROR(__xludf.DUMMYFUNCTION("IF(C9955&lt;&gt;"""", GOOGLETRANSLATE(C9955, ""en"", ""te""),"""")"),"")</f>
        <v/>
      </c>
      <c r="E9955" s="2" t="s">
        <v>5766</v>
      </c>
      <c r="F9955" s="2" t="str">
        <f>IFERROR(__xludf.DUMMYFUNCTION("IF(E9955&lt;&gt;"""", GOOGLETRANSLATE(E9955, ""en"", ""te""),"""")"),"[ '4 వ పిన్న క్రీడాకారులు (15y 273d)']")</f>
        <v>[ '4 వ పిన్న క్రీడాకారులు (15y 273d)']</v>
      </c>
      <c r="G9955" s="2" t="s">
        <v>5767</v>
      </c>
      <c r="H9955" s="2" t="str">
        <f>IFERROR(__xludf.DUMMYFUNCTION("IF(G9955&lt;&gt;"""", GOOGLETRANSLATE(G9955, ""en"", ""te""),"""")"),"[ '34 వ ఇన్నింగ్స్ లో అత్యధిక పరుగులు (బ్యాటింగ్ స్థానంలో ప్రకారం) (83)', 'ఏడవ వికెట్కు 44 వ అత్యధిక భాగస్వామ్యం (47)', '17 వ అతిపెద్ద (ప్రదర్శనల మధ్య వ్యవధిలో 6y' వరుస ఇన్నింగ్స్లో (3) 3 వ యాభైల్లో ' 155d) ']")</f>
        <v>[ '34 వ ఇన్నింగ్స్ లో అత్యధిక పరుగులు (బ్యాటింగ్ స్థానంలో ప్రకారం) (83)', 'ఏడవ వికెట్కు 44 వ అత్యధిక భాగస్వామ్యం (47)', '17 వ అతిపెద్ద (ప్రదర్శనల మధ్య వ్యవధిలో 6y' వరుస ఇన్నింగ్స్లో (3) 3 వ యాభైల్లో ' 155d) ']</v>
      </c>
      <c r="I9955" s="3"/>
    </row>
    <row r="9956" customHeight="1" spans="1:9">
      <c r="A9956" s="2"/>
      <c r="B9956" s="2" t="str">
        <f>IFERROR(__xludf.DUMMYFUNCTION("IF(A9956&lt;&gt;"""", GOOGLETRANSLATE(A9956, ""en"", ""te""),"""")"),"")</f>
        <v/>
      </c>
      <c r="C9956" s="2"/>
      <c r="D9956" s="2" t="str">
        <f>IFERROR(__xludf.DUMMYFUNCTION("IF(C9956&lt;&gt;"""", GOOGLETRANSLATE(C9956, ""en"", ""te""),"""")"),"")</f>
        <v/>
      </c>
      <c r="E9956" s="2" t="s">
        <v>5768</v>
      </c>
      <c r="F9956" s="2" t="str">
        <f>IFERROR(__xludf.DUMMYFUNCTION("IF(E9956&lt;&gt;"""", GOOGLETRANSLATE(E9956, ""en"", ""te""),"""")"),"[ 'ప్రవేశం (4) ఒక ఇన్నింగ్స్ లో 15 వ బెస్ట్ ఫిగర్స్' '32 వ ఉత్తమ కెరీర్ (11.75) (అర్హత లేకుండా) సగటు బౌలింగ్',]")</f>
        <v>[ 'ప్రవేశం (4) ఒక ఇన్నింగ్స్ లో 15 వ బెస్ట్ ఫిగర్స్' '32 వ ఉత్తమ కెరీర్ (11.75) (అర్హత లేకుండా) సగటు బౌలింగ్',]</v>
      </c>
      <c r="G9956" s="2"/>
      <c r="H9956" s="2" t="str">
        <f>IFERROR(__xludf.DUMMYFUNCTION("IF(G9956&lt;&gt;"""", GOOGLETRANSLATE(G9956, ""en"", ""te""),"""")"),"")</f>
        <v/>
      </c>
      <c r="I9956" s="3"/>
    </row>
    <row r="9957" customHeight="1" spans="1:9">
      <c r="A9957" s="2"/>
      <c r="B9957" s="2" t="str">
        <f>IFERROR(__xludf.DUMMYFUNCTION("IF(A9957&lt;&gt;"""", GOOGLETRANSLATE(A9957, ""en"", ""te""),"""")"),"")</f>
        <v/>
      </c>
      <c r="C9957" s="2"/>
      <c r="D9957" s="2" t="str">
        <f>IFERROR(__xludf.DUMMYFUNCTION("IF(C9957&lt;&gt;"""", GOOGLETRANSLATE(C9957, ""en"", ""te""),"""")"),"")</f>
        <v/>
      </c>
      <c r="E9957" s="2"/>
      <c r="F9957" s="2" t="str">
        <f>IFERROR(__xludf.DUMMYFUNCTION("IF(E9957&lt;&gt;"""", GOOGLETRANSLATE(E9957, ""en"", ""te""),"""")"),"")</f>
        <v/>
      </c>
      <c r="G9957" s="2"/>
      <c r="H9957" s="2" t="str">
        <f>IFERROR(__xludf.DUMMYFUNCTION("IF(G9957&lt;&gt;"""", GOOGLETRANSLATE(G9957, ""en"", ""te""),"""")"),"")</f>
        <v/>
      </c>
      <c r="I9957" s="3"/>
    </row>
    <row r="9958" customHeight="1" spans="1:9">
      <c r="A9958" s="2"/>
      <c r="B9958" s="2" t="str">
        <f>IFERROR(__xludf.DUMMYFUNCTION("IF(A9958&lt;&gt;"""", GOOGLETRANSLATE(A9958, ""en"", ""te""),"""")"),"")</f>
        <v/>
      </c>
      <c r="C9958" s="2"/>
      <c r="D9958" s="2" t="str">
        <f>IFERROR(__xludf.DUMMYFUNCTION("IF(C9958&lt;&gt;"""", GOOGLETRANSLATE(C9958, ""en"", ""te""),"""")"),"")</f>
        <v/>
      </c>
      <c r="E9958" s="2"/>
      <c r="F9958" s="2" t="str">
        <f>IFERROR(__xludf.DUMMYFUNCTION("IF(E9958&lt;&gt;"""", GOOGLETRANSLATE(E9958, ""en"", ""te""),"""")"),"")</f>
        <v/>
      </c>
      <c r="G9958" s="2"/>
      <c r="H9958" s="2" t="str">
        <f>IFERROR(__xludf.DUMMYFUNCTION("IF(G9958&lt;&gt;"""", GOOGLETRANSLATE(G9958, ""en"", ""te""),"""")"),"")</f>
        <v/>
      </c>
      <c r="I9958" s="3"/>
    </row>
    <row r="9959" customHeight="1" spans="1:9">
      <c r="A9959" s="2"/>
      <c r="B9959" s="2" t="str">
        <f>IFERROR(__xludf.DUMMYFUNCTION("IF(A9959&lt;&gt;"""", GOOGLETRANSLATE(A9959, ""en"", ""te""),"""")"),"")</f>
        <v/>
      </c>
      <c r="C9959" s="2"/>
      <c r="D9959" s="2" t="str">
        <f>IFERROR(__xludf.DUMMYFUNCTION("IF(C9959&lt;&gt;"""", GOOGLETRANSLATE(C9959, ""en"", ""te""),"""")"),"")</f>
        <v/>
      </c>
      <c r="E9959" s="2"/>
      <c r="F9959" s="2" t="str">
        <f>IFERROR(__xludf.DUMMYFUNCTION("IF(E9959&lt;&gt;"""", GOOGLETRANSLATE(E9959, ""en"", ""te""),"""")"),"")</f>
        <v/>
      </c>
      <c r="G9959" s="2"/>
      <c r="H9959" s="2" t="str">
        <f>IFERROR(__xludf.DUMMYFUNCTION("IF(G9959&lt;&gt;"""", GOOGLETRANSLATE(G9959, ""en"", ""te""),"""")"),"")</f>
        <v/>
      </c>
      <c r="I9959" s="3"/>
    </row>
    <row r="9960" customHeight="1" spans="1:9">
      <c r="A9960" s="2"/>
      <c r="B9960" s="2" t="str">
        <f>IFERROR(__xludf.DUMMYFUNCTION("IF(A9960&lt;&gt;"""", GOOGLETRANSLATE(A9960, ""en"", ""te""),"""")"),"")</f>
        <v/>
      </c>
      <c r="C9960" s="2"/>
      <c r="D9960" s="2" t="str">
        <f>IFERROR(__xludf.DUMMYFUNCTION("IF(C9960&lt;&gt;"""", GOOGLETRANSLATE(C9960, ""en"", ""te""),"""")"),"")</f>
        <v/>
      </c>
      <c r="E9960" s="2"/>
      <c r="F9960" s="2" t="str">
        <f>IFERROR(__xludf.DUMMYFUNCTION("IF(E9960&lt;&gt;"""", GOOGLETRANSLATE(E9960, ""en"", ""te""),"""")"),"")</f>
        <v/>
      </c>
      <c r="G9960" s="2"/>
      <c r="H9960" s="2" t="str">
        <f>IFERROR(__xludf.DUMMYFUNCTION("IF(G9960&lt;&gt;"""", GOOGLETRANSLATE(G9960, ""en"", ""te""),"""")"),"")</f>
        <v/>
      </c>
      <c r="I9960" s="3"/>
    </row>
    <row r="9961" customHeight="1" spans="1:9">
      <c r="A9961" s="2"/>
      <c r="B9961" s="2" t="str">
        <f>IFERROR(__xludf.DUMMYFUNCTION("IF(A9961&lt;&gt;"""", GOOGLETRANSLATE(A9961, ""en"", ""te""),"""")"),"")</f>
        <v/>
      </c>
      <c r="C9961" s="2"/>
      <c r="D9961" s="2" t="str">
        <f>IFERROR(__xludf.DUMMYFUNCTION("IF(C9961&lt;&gt;"""", GOOGLETRANSLATE(C9961, ""en"", ""te""),"""")"),"")</f>
        <v/>
      </c>
      <c r="E9961" s="2" t="s">
        <v>5769</v>
      </c>
      <c r="F9961" s="2" t="str">
        <f>IFERROR(__xludf.DUMMYFUNCTION("IF(E9961&lt;&gt;"""", GOOGLETRANSLATE(E9961, ""en"", ""te""),"""")"),"[ 'వికెట్ (3) ఉంచింది చేసిన 28 కెప్టెన్ల']")</f>
        <v>[ 'వికెట్ (3) ఉంచింది చేసిన 28 కెప్టెన్ల']</v>
      </c>
      <c r="G9961" s="2"/>
      <c r="H9961" s="2" t="str">
        <f>IFERROR(__xludf.DUMMYFUNCTION("IF(G9961&lt;&gt;"""", GOOGLETRANSLATE(G9961, ""en"", ""te""),"""")"),"")</f>
        <v/>
      </c>
      <c r="I9961" s="3"/>
    </row>
    <row r="9962" customHeight="1" spans="1:9">
      <c r="A9962" s="2"/>
      <c r="B9962" s="2" t="str">
        <f>IFERROR(__xludf.DUMMYFUNCTION("IF(A9962&lt;&gt;"""", GOOGLETRANSLATE(A9962, ""en"", ""te""),"""")"),"")</f>
        <v/>
      </c>
      <c r="C9962" s="2"/>
      <c r="D9962" s="2" t="str">
        <f>IFERROR(__xludf.DUMMYFUNCTION("IF(C9962&lt;&gt;"""", GOOGLETRANSLATE(C9962, ""en"", ""te""),"""")"),"")</f>
        <v/>
      </c>
      <c r="E9962" s="2"/>
      <c r="F9962" s="2" t="str">
        <f>IFERROR(__xludf.DUMMYFUNCTION("IF(E9962&lt;&gt;"""", GOOGLETRANSLATE(E9962, ""en"", ""te""),"""")"),"")</f>
        <v/>
      </c>
      <c r="G9962" s="2"/>
      <c r="H9962" s="2" t="str">
        <f>IFERROR(__xludf.DUMMYFUNCTION("IF(G9962&lt;&gt;"""", GOOGLETRANSLATE(G9962, ""en"", ""te""),"""")"),"")</f>
        <v/>
      </c>
      <c r="I9962" s="3"/>
    </row>
    <row r="9963" customHeight="1" spans="1:9">
      <c r="A9963" s="2"/>
      <c r="B9963" s="2" t="str">
        <f>IFERROR(__xludf.DUMMYFUNCTION("IF(A9963&lt;&gt;"""", GOOGLETRANSLATE(A9963, ""en"", ""te""),"""")"),"")</f>
        <v/>
      </c>
      <c r="C9963" s="2"/>
      <c r="D9963" s="2" t="str">
        <f>IFERROR(__xludf.DUMMYFUNCTION("IF(C9963&lt;&gt;"""", GOOGLETRANSLATE(C9963, ""en"", ""te""),"""")"),"")</f>
        <v/>
      </c>
      <c r="E9963" s="2"/>
      <c r="F9963" s="2" t="str">
        <f>IFERROR(__xludf.DUMMYFUNCTION("IF(E9963&lt;&gt;"""", GOOGLETRANSLATE(E9963, ""en"", ""te""),"""")"),"")</f>
        <v/>
      </c>
      <c r="G9963" s="2"/>
      <c r="H9963" s="2" t="str">
        <f>IFERROR(__xludf.DUMMYFUNCTION("IF(G9963&lt;&gt;"""", GOOGLETRANSLATE(G9963, ""en"", ""te""),"""")"),"")</f>
        <v/>
      </c>
      <c r="I9963" s="3"/>
    </row>
    <row r="9964" customHeight="1" spans="1:9">
      <c r="A9964" s="2"/>
      <c r="B9964" s="2" t="str">
        <f>IFERROR(__xludf.DUMMYFUNCTION("IF(A9964&lt;&gt;"""", GOOGLETRANSLATE(A9964, ""en"", ""te""),"""")"),"")</f>
        <v/>
      </c>
      <c r="C9964" s="2"/>
      <c r="D9964" s="2" t="str">
        <f>IFERROR(__xludf.DUMMYFUNCTION("IF(C9964&lt;&gt;"""", GOOGLETRANSLATE(C9964, ""en"", ""te""),"""")"),"")</f>
        <v/>
      </c>
      <c r="E9964" s="2"/>
      <c r="F9964" s="2" t="str">
        <f>IFERROR(__xludf.DUMMYFUNCTION("IF(E9964&lt;&gt;"""", GOOGLETRANSLATE(E9964, ""en"", ""te""),"""")"),"")</f>
        <v/>
      </c>
      <c r="G9964" s="2"/>
      <c r="H9964" s="2" t="str">
        <f>IFERROR(__xludf.DUMMYFUNCTION("IF(G9964&lt;&gt;"""", GOOGLETRANSLATE(G9964, ""en"", ""te""),"""")"),"")</f>
        <v/>
      </c>
      <c r="I9964" s="3"/>
    </row>
    <row r="9965" customHeight="1" spans="1:9">
      <c r="A9965" s="2"/>
      <c r="B9965" s="2" t="str">
        <f>IFERROR(__xludf.DUMMYFUNCTION("IF(A9965&lt;&gt;"""", GOOGLETRANSLATE(A9965, ""en"", ""te""),"""")"),"")</f>
        <v/>
      </c>
      <c r="C9965" s="2"/>
      <c r="D9965" s="2" t="str">
        <f>IFERROR(__xludf.DUMMYFUNCTION("IF(C9965&lt;&gt;"""", GOOGLETRANSLATE(C9965, ""en"", ""te""),"""")"),"")</f>
        <v/>
      </c>
      <c r="E9965" s="2"/>
      <c r="F9965" s="2" t="str">
        <f>IFERROR(__xludf.DUMMYFUNCTION("IF(E9965&lt;&gt;"""", GOOGLETRANSLATE(E9965, ""en"", ""te""),"""")"),"")</f>
        <v/>
      </c>
      <c r="G9965" s="2"/>
      <c r="H9965" s="2" t="str">
        <f>IFERROR(__xludf.DUMMYFUNCTION("IF(G9965&lt;&gt;"""", GOOGLETRANSLATE(G9965, ""en"", ""te""),"""")"),"")</f>
        <v/>
      </c>
      <c r="I9965" s="3"/>
    </row>
    <row r="9966" customHeight="1" spans="1:9">
      <c r="A9966" s="2" t="s">
        <v>5770</v>
      </c>
      <c r="B9966" s="2" t="str">
        <f>IFERROR(__xludf.DUMMYFUNCTION("IF(A9966&lt;&gt;"""", GOOGLETRANSLATE(A9966, ""en"", ""te""),"""")"),"[ 'కెప్టెన్సీ తొలి 6 వ ఓల్డెస్ట్ కాప్టెన్ (37y 278d)' '7th పిన్న క్రీడాకారులు (16y 248d)', '2 వ వరుస బాతులు (4)', 'బ్యాటింగ్ తెరవడం మరియు అదే మ్యాచ్ లో బౌలింగ్',]")</f>
        <v>[ 'కెప్టెన్సీ తొలి 6 వ ఓల్డెస్ట్ కాప్టెన్ (37y 278d)' '7th పిన్న క్రీడాకారులు (16y 248d)', '2 వ వరుస బాతులు (4)', 'బ్యాటింగ్ తెరవడం మరియు అదే మ్యాచ్ లో బౌలింగ్',]</v>
      </c>
      <c r="C9966" s="2" t="s">
        <v>5771</v>
      </c>
      <c r="D9966" s="2" t="str">
        <f>IFERROR(__xludf.DUMMYFUNCTION("IF(C9966&lt;&gt;"""", GOOGLETRANSLATE(C9966, ""en"", ""te""),"""")"),"[ '23 చెత్త కెరీర్ (75,00) (అర్హత లేకుండా) సగటు బౌలింగ్', '7 వ పిన్న క్రీడాకారులు (16y 248d)']")</f>
        <v>[ '23 చెత్త కెరీర్ (75,00) (అర్హత లేకుండా) సగటు బౌలింగ్', '7 వ పిన్న క్రీడాకారులు (16y 248d)']</v>
      </c>
      <c r="E9966" s="2" t="s">
        <v>5772</v>
      </c>
      <c r="F9966" s="2" t="str">
        <f>IFERROR(__xludf.DUMMYFUNCTION("IF(E9966&lt;&gt;"""", GOOGLETRANSLATE(E9966, ""en"", ""te""),"""")"),"[ '2 వ వరుస బాతులు (4)', '44th పిన్న క్రీడాకారులు (16y 242d)']")</f>
        <v>[ '2 వ వరుస బాతులు (4)', '44th పిన్న క్రీడాకారులు (16y 242d)']</v>
      </c>
      <c r="G9966" s="2" t="s">
        <v>5773</v>
      </c>
      <c r="H9966" s="2" t="str">
        <f>IFERROR(__xludf.DUMMYFUNCTION("IF(G9966&lt;&gt;"""", GOOGLETRANSLATE(G9966, ""en"", ""te""),"""")"),"[ 'తొలి 43 వ ఓల్డెస్ట్ క్రీడాకారులు (37y 278d)', '9 వ ఓల్డెస్ట్ కాప్టెన్ (37y 280d)', 'కెప్టెన్సీ తొలి 6 వ ఓల్డెస్ట్ కాప్టెన్ (37y 278d)']")</f>
        <v>[ 'తొలి 43 వ ఓల్డెస్ట్ క్రీడాకారులు (37y 278d)', '9 వ ఓల్డెస్ట్ కాప్టెన్ (37y 280d)', 'కెప్టెన్సీ తొలి 6 వ ఓల్డెస్ట్ కాప్టెన్ (37y 278d)']</v>
      </c>
      <c r="I9966" s="3"/>
    </row>
    <row r="9967" customHeight="1" spans="1:9">
      <c r="A9967" s="2"/>
      <c r="B9967" s="2" t="str">
        <f>IFERROR(__xludf.DUMMYFUNCTION("IF(A9967&lt;&gt;"""", GOOGLETRANSLATE(A9967, ""en"", ""te""),"""")"),"")</f>
        <v/>
      </c>
      <c r="C9967" s="2"/>
      <c r="D9967" s="2" t="str">
        <f>IFERROR(__xludf.DUMMYFUNCTION("IF(C9967&lt;&gt;"""", GOOGLETRANSLATE(C9967, ""en"", ""te""),"""")"),"")</f>
        <v/>
      </c>
      <c r="E9967" s="2"/>
      <c r="F9967" s="2" t="str">
        <f>IFERROR(__xludf.DUMMYFUNCTION("IF(E9967&lt;&gt;"""", GOOGLETRANSLATE(E9967, ""en"", ""te""),"""")"),"")</f>
        <v/>
      </c>
      <c r="G9967" s="2"/>
      <c r="H9967" s="2" t="str">
        <f>IFERROR(__xludf.DUMMYFUNCTION("IF(G9967&lt;&gt;"""", GOOGLETRANSLATE(G9967, ""en"", ""te""),"""")"),"")</f>
        <v/>
      </c>
      <c r="I9967" s="3"/>
    </row>
    <row r="9968" customHeight="1" spans="1:9">
      <c r="A9968" s="2"/>
      <c r="B9968" s="2" t="str">
        <f>IFERROR(__xludf.DUMMYFUNCTION("IF(A9968&lt;&gt;"""", GOOGLETRANSLATE(A9968, ""en"", ""te""),"""")"),"")</f>
        <v/>
      </c>
      <c r="C9968" s="2"/>
      <c r="D9968" s="2" t="str">
        <f>IFERROR(__xludf.DUMMYFUNCTION("IF(C9968&lt;&gt;"""", GOOGLETRANSLATE(C9968, ""en"", ""te""),"""")"),"")</f>
        <v/>
      </c>
      <c r="E9968" s="2"/>
      <c r="F9968" s="2" t="str">
        <f>IFERROR(__xludf.DUMMYFUNCTION("IF(E9968&lt;&gt;"""", GOOGLETRANSLATE(E9968, ""en"", ""te""),"""")"),"")</f>
        <v/>
      </c>
      <c r="G9968" s="2"/>
      <c r="H9968" s="2" t="str">
        <f>IFERROR(__xludf.DUMMYFUNCTION("IF(G9968&lt;&gt;"""", GOOGLETRANSLATE(G9968, ""en"", ""te""),"""")"),"")</f>
        <v/>
      </c>
      <c r="I9968" s="3"/>
    </row>
    <row r="9969" customHeight="1" spans="1:9">
      <c r="A9969" s="2" t="s">
        <v>5774</v>
      </c>
      <c r="B9969" s="2" t="str">
        <f>IFERROR(__xludf.DUMMYFUNCTION("IF(A9969&lt;&gt;"""", GOOGLETRANSLATE(A9969, ""en"", ""te""),"""")"),"[ '7th అత్యంత తొలి మ్యాచ్ (88 *) లో నడుస్తుంది']")</f>
        <v>[ '7th అత్యంత తొలి మ్యాచ్ (88 *) లో నడుస్తుంది']</v>
      </c>
      <c r="C9969" s="2"/>
      <c r="D9969" s="2" t="str">
        <f>IFERROR(__xludf.DUMMYFUNCTION("IF(C9969&lt;&gt;"""", GOOGLETRANSLATE(C9969, ""en"", ""te""),"""")"),"")</f>
        <v/>
      </c>
      <c r="E9969" s="2"/>
      <c r="F9969" s="2" t="str">
        <f>IFERROR(__xludf.DUMMYFUNCTION("IF(E9969&lt;&gt;"""", GOOGLETRANSLATE(E9969, ""en"", ""te""),"""")"),"")</f>
        <v/>
      </c>
      <c r="G9969" s="2" t="s">
        <v>5775</v>
      </c>
      <c r="H9969" s="2" t="str">
        <f>IFERROR(__xludf.DUMMYFUNCTION("IF(G9969&lt;&gt;"""", GOOGLETRANSLATE(G9969, ""en"", ""te""),"""")"),"[ 'తొలి మ్యాచ్లో 7 వ అత్యధిక పరుగులు (88 *)', '44th లాంగెస్ట్ వ్యక్తిగత ఇన్నింగ్స్ (బంతులతో) (61)']")</f>
        <v>[ 'తొలి మ్యాచ్లో 7 వ అత్యధిక పరుగులు (88 *)', '44th లాంగెస్ట్ వ్యక్తిగత ఇన్నింగ్స్ (బంతులతో) (61)']</v>
      </c>
      <c r="I9969" s="3"/>
    </row>
    <row r="9970" customHeight="1" spans="1:9">
      <c r="A9970" s="2"/>
      <c r="B9970" s="2" t="str">
        <f>IFERROR(__xludf.DUMMYFUNCTION("IF(A9970&lt;&gt;"""", GOOGLETRANSLATE(A9970, ""en"", ""te""),"""")"),"")</f>
        <v/>
      </c>
      <c r="C9970" s="2"/>
      <c r="D9970" s="2" t="str">
        <f>IFERROR(__xludf.DUMMYFUNCTION("IF(C9970&lt;&gt;"""", GOOGLETRANSLATE(C9970, ""en"", ""te""),"""")"),"")</f>
        <v/>
      </c>
      <c r="E9970" s="2"/>
      <c r="F9970" s="2" t="str">
        <f>IFERROR(__xludf.DUMMYFUNCTION("IF(E9970&lt;&gt;"""", GOOGLETRANSLATE(E9970, ""en"", ""te""),"""")"),"")</f>
        <v/>
      </c>
      <c r="G9970" s="2"/>
      <c r="H9970" s="2" t="str">
        <f>IFERROR(__xludf.DUMMYFUNCTION("IF(G9970&lt;&gt;"""", GOOGLETRANSLATE(G9970, ""en"", ""te""),"""")"),"")</f>
        <v/>
      </c>
      <c r="I9970" s="3"/>
    </row>
    <row r="9971" customHeight="1" spans="1:9">
      <c r="A9971" s="2"/>
      <c r="B9971" s="2" t="str">
        <f>IFERROR(__xludf.DUMMYFUNCTION("IF(A9971&lt;&gt;"""", GOOGLETRANSLATE(A9971, ""en"", ""te""),"""")"),"")</f>
        <v/>
      </c>
      <c r="C9971" s="2"/>
      <c r="D9971" s="2" t="str">
        <f>IFERROR(__xludf.DUMMYFUNCTION("IF(C9971&lt;&gt;"""", GOOGLETRANSLATE(C9971, ""en"", ""te""),"""")"),"")</f>
        <v/>
      </c>
      <c r="E9971" s="2"/>
      <c r="F9971" s="2" t="str">
        <f>IFERROR(__xludf.DUMMYFUNCTION("IF(E9971&lt;&gt;"""", GOOGLETRANSLATE(E9971, ""en"", ""te""),"""")"),"")</f>
        <v/>
      </c>
      <c r="G9971" s="2"/>
      <c r="H9971" s="2" t="str">
        <f>IFERROR(__xludf.DUMMYFUNCTION("IF(G9971&lt;&gt;"""", GOOGLETRANSLATE(G9971, ""en"", ""te""),"""")"),"")</f>
        <v/>
      </c>
      <c r="I9971" s="3"/>
    </row>
    <row r="9972" customHeight="1" spans="1:9">
      <c r="A9972" s="2"/>
      <c r="B9972" s="2" t="str">
        <f>IFERROR(__xludf.DUMMYFUNCTION("IF(A9972&lt;&gt;"""", GOOGLETRANSLATE(A9972, ""en"", ""te""),"""")"),"")</f>
        <v/>
      </c>
      <c r="C9972" s="2"/>
      <c r="D9972" s="2" t="str">
        <f>IFERROR(__xludf.DUMMYFUNCTION("IF(C9972&lt;&gt;"""", GOOGLETRANSLATE(C9972, ""en"", ""te""),"""")"),"")</f>
        <v/>
      </c>
      <c r="E9972" s="2"/>
      <c r="F9972" s="2" t="str">
        <f>IFERROR(__xludf.DUMMYFUNCTION("IF(E9972&lt;&gt;"""", GOOGLETRANSLATE(E9972, ""en"", ""te""),"""")"),"")</f>
        <v/>
      </c>
      <c r="G9972" s="2"/>
      <c r="H9972" s="2" t="str">
        <f>IFERROR(__xludf.DUMMYFUNCTION("IF(G9972&lt;&gt;"""", GOOGLETRANSLATE(G9972, ""en"", ""te""),"""")"),"")</f>
        <v/>
      </c>
      <c r="I9972" s="3"/>
    </row>
    <row r="9973" customHeight="1" spans="1:9">
      <c r="A9973" s="2"/>
      <c r="B9973" s="2" t="str">
        <f>IFERROR(__xludf.DUMMYFUNCTION("IF(A9973&lt;&gt;"""", GOOGLETRANSLATE(A9973, ""en"", ""te""),"""")"),"")</f>
        <v/>
      </c>
      <c r="C9973" s="2"/>
      <c r="D9973" s="2" t="str">
        <f>IFERROR(__xludf.DUMMYFUNCTION("IF(C9973&lt;&gt;"""", GOOGLETRANSLATE(C9973, ""en"", ""te""),"""")"),"")</f>
        <v/>
      </c>
      <c r="E9973" s="2"/>
      <c r="F9973" s="2" t="str">
        <f>IFERROR(__xludf.DUMMYFUNCTION("IF(E9973&lt;&gt;"""", GOOGLETRANSLATE(E9973, ""en"", ""te""),"""")"),"")</f>
        <v/>
      </c>
      <c r="G9973" s="2"/>
      <c r="H9973" s="2" t="str">
        <f>IFERROR(__xludf.DUMMYFUNCTION("IF(G9973&lt;&gt;"""", GOOGLETRANSLATE(G9973, ""en"", ""te""),"""")"),"")</f>
        <v/>
      </c>
      <c r="I9973" s="3"/>
    </row>
    <row r="9974" customHeight="1" spans="1:9">
      <c r="A9974" s="2"/>
      <c r="B9974" s="2" t="str">
        <f>IFERROR(__xludf.DUMMYFUNCTION("IF(A9974&lt;&gt;"""", GOOGLETRANSLATE(A9974, ""en"", ""te""),"""")"),"")</f>
        <v/>
      </c>
      <c r="C9974" s="2"/>
      <c r="D9974" s="2" t="str">
        <f>IFERROR(__xludf.DUMMYFUNCTION("IF(C9974&lt;&gt;"""", GOOGLETRANSLATE(C9974, ""en"", ""te""),"""")"),"")</f>
        <v/>
      </c>
      <c r="E9974" s="2"/>
      <c r="F9974" s="2" t="str">
        <f>IFERROR(__xludf.DUMMYFUNCTION("IF(E9974&lt;&gt;"""", GOOGLETRANSLATE(E9974, ""en"", ""te""),"""")"),"")</f>
        <v/>
      </c>
      <c r="G9974" s="2"/>
      <c r="H9974" s="2" t="str">
        <f>IFERROR(__xludf.DUMMYFUNCTION("IF(G9974&lt;&gt;"""", GOOGLETRANSLATE(G9974, ""en"", ""te""),"""")"),"")</f>
        <v/>
      </c>
      <c r="I9974" s="3"/>
    </row>
    <row r="9975" customHeight="1" spans="1:9">
      <c r="A9975" s="2" t="s">
        <v>5776</v>
      </c>
      <c r="B9975" s="2" t="str">
        <f>IFERROR(__xludf.DUMMYFUNCTION("IF(A9975&lt;&gt;"""", GOOGLETRANSLATE(A9975, ""en"", ""te""),"""")"),"[ 'ఇన్నింగ్స్ లో 6 వ అత్యధిక పరుగులు (బ్యాటింగ్ స్థానంలో ప్రకారం) (101)', 'ఇన్నింగ్స్ లో 7 వ ఎక్కువ సిక్స్ (10)' 'తొలి మ్యాచ్లో 2nd అత్యధిక పరుగులు (101)',]")</f>
        <v>[ 'ఇన్నింగ్స్ లో 6 వ అత్యధిక పరుగులు (బ్యాటింగ్ స్థానంలో ప్రకారం) (101)', 'ఇన్నింగ్స్ లో 7 వ ఎక్కువ సిక్స్ (10)' 'తొలి మ్యాచ్లో 2nd అత్యధిక పరుగులు (101)',]</v>
      </c>
      <c r="C9975" s="2"/>
      <c r="D9975" s="2" t="str">
        <f>IFERROR(__xludf.DUMMYFUNCTION("IF(C9975&lt;&gt;"""", GOOGLETRANSLATE(C9975, ""en"", ""te""),"""")"),"")</f>
        <v/>
      </c>
      <c r="E9975" s="2"/>
      <c r="F9975" s="2" t="str">
        <f>IFERROR(__xludf.DUMMYFUNCTION("IF(E9975&lt;&gt;"""", GOOGLETRANSLATE(E9975, ""en"", ""te""),"""")"),"")</f>
        <v/>
      </c>
      <c r="G9975" s="2" t="s">
        <v>5777</v>
      </c>
      <c r="H9975" s="2" t="str">
        <f>IFERROR(__xludf.DUMMYFUNCTION("IF(G9975&lt;&gt;"""", GOOGLETRANSLATE(G9975, ""en"", ""te""),"""")"),"[ 'ఇన్నింగ్స్ లో 6 వ అత్యధిక పరుగులు (బ్యాటింగ్ స్థానంలో ప్రకారం) (101)', 'ఇన్నింగ్స్ లో 7 వ ఎక్కువ సిక్స్ (10)' 'తొలి మ్యాచ్లో 2nd అత్యధిక పరుగులు (101)', ఫోర్లు, సిక్సర్లు నుండి '19 అత్యధిక పరుగులు ఒక ఇన్నింగ్స్ లో (84) ']")</f>
        <v>[ 'ఇన్నింగ్స్ లో 6 వ అత్యధిక పరుగులు (బ్యాటింగ్ స్థానంలో ప్రకారం) (101)', 'ఇన్నింగ్స్ లో 7 వ ఎక్కువ సిక్స్ (10)' 'తొలి మ్యాచ్లో 2nd అత్యధిక పరుగులు (101)', ఫోర్లు, సిక్సర్లు నుండి '19 అత్యధిక పరుగులు ఒక ఇన్నింగ్స్ లో (84) ']</v>
      </c>
      <c r="I9975" s="3"/>
    </row>
    <row r="9976" customHeight="1" spans="1:9">
      <c r="A9976" s="2" t="s">
        <v>435</v>
      </c>
      <c r="B9976" s="2" t="str">
        <f>IFERROR(__xludf.DUMMYFUNCTION("IF(A9976&lt;&gt;"""", GOOGLETRANSLATE(A9976, ""en"", ""te""),"""")"),"[ '1st వరుస బాతులు (3)']")</f>
        <v>[ '1st వరుస బాతులు (3)']</v>
      </c>
      <c r="C9976" s="2"/>
      <c r="D9976" s="2" t="str">
        <f>IFERROR(__xludf.DUMMYFUNCTION("IF(C9976&lt;&gt;"""", GOOGLETRANSLATE(C9976, ""en"", ""te""),"""")"),"")</f>
        <v/>
      </c>
      <c r="E9976" s="2" t="s">
        <v>5778</v>
      </c>
      <c r="F9976" s="2" t="str">
        <f>IFERROR(__xludf.DUMMYFUNCTION("IF(E9976&lt;&gt;"""", GOOGLETRANSLATE(E9976, ""en"", ""te""),"""")"),"[ '11 వ అత్యధిక కెరీర్ సమ్మె రేటు (111.53)', 'కెప్టెన్సీ ప్రవేశం (34y 208d) పై 39 వ ఓల్డెస్ట్ కెప్టెన్లు']")</f>
        <v>[ '11 వ అత్యధిక కెరీర్ సమ్మె రేటు (111.53)', 'కెప్టెన్సీ ప్రవేశం (34y 208d) పై 39 వ ఓల్డెస్ట్ కెప్టెన్లు']</v>
      </c>
      <c r="G9976" s="2" t="s">
        <v>5779</v>
      </c>
      <c r="H9976" s="2" t="str">
        <f>IFERROR(__xludf.DUMMYFUNCTION("IF(G9976&lt;&gt;"""", GOOGLETRANSLATE(G9976, ""en"", ""te""),"""")"),"[ '32 వ కెరీర్ బాతులు (5)', '1 వ వరుస బాతులు (3)', '30 వ ఇన్నింగ్స్ లో వచ్చిన ఎక్కువ సిక్స్ (8)', 'ప్రదర్శనలు (5 సం 265d) మధ్య 25 లాంగెస్ట్ వ్యవధిలో']")</f>
        <v>[ '32 వ కెరీర్ బాతులు (5)', '1 వ వరుస బాతులు (3)', '30 వ ఇన్నింగ్స్ లో వచ్చిన ఎక్కువ సిక్స్ (8)', 'ప్రదర్శనలు (5 సం 265d) మధ్య 25 లాంగెస్ట్ వ్యవధిలో']</v>
      </c>
      <c r="I9976" s="3"/>
    </row>
    <row r="9977" customHeight="1" spans="1:9">
      <c r="A9977" s="2" t="s">
        <v>789</v>
      </c>
      <c r="B9977" s="2" t="str">
        <f>IFERROR(__xludf.DUMMYFUNCTION("IF(A9977&lt;&gt;"""", GOOGLETRANSLATE(A9977, ""en"", ""te""),"""")"),"[ 'ఇన్నింగ్స్ లో 2 వ అత్యధిక క్యాచ్లు (4)']")</f>
        <v>[ 'ఇన్నింగ్స్ లో 2 వ అత్యధిక క్యాచ్లు (4)']</v>
      </c>
      <c r="C9977" s="2"/>
      <c r="D9977" s="2" t="str">
        <f>IFERROR(__xludf.DUMMYFUNCTION("IF(C9977&lt;&gt;"""", GOOGLETRANSLATE(C9977, ""en"", ""te""),"""")"),"")</f>
        <v/>
      </c>
      <c r="E9977" s="2" t="s">
        <v>5780</v>
      </c>
      <c r="F9977" s="2" t="str">
        <f>IFERROR(__xludf.DUMMYFUNCTION("IF(E9977&lt;&gt;"""", GOOGLETRANSLATE(E9977, ""en"", ""te""),"""")"),"[ 'ఇన్నింగ్స్ లో 2 వ అత్యధిక క్యాచ్లు (4)' '48 వ అత్యంత తొలి మ్యాచ్లో పరుగులు (70)', '27 చెత్త కెరీర్ (అర్హత లేకుండా) సగటు బౌలింగ్ (128.00)',]")</f>
        <v>[ 'ఇన్నింగ్స్ లో 2 వ అత్యధిక క్యాచ్లు (4)' '48 వ అత్యంత తొలి మ్యాచ్లో పరుగులు (70)', '27 చెత్త కెరీర్ (అర్హత లేకుండా) సగటు బౌలింగ్ (128.00)',]</v>
      </c>
      <c r="G9977" s="2"/>
      <c r="H9977" s="2" t="str">
        <f>IFERROR(__xludf.DUMMYFUNCTION("IF(G9977&lt;&gt;"""", GOOGLETRANSLATE(G9977, ""en"", ""te""),"""")"),"")</f>
        <v/>
      </c>
      <c r="I9977" s="3"/>
    </row>
    <row r="9978" customHeight="1" spans="1:9">
      <c r="A9978" s="2"/>
      <c r="B9978" s="2" t="str">
        <f>IFERROR(__xludf.DUMMYFUNCTION("IF(A9978&lt;&gt;"""", GOOGLETRANSLATE(A9978, ""en"", ""te""),"""")"),"")</f>
        <v/>
      </c>
      <c r="C9978" s="2"/>
      <c r="D9978" s="2" t="str">
        <f>IFERROR(__xludf.DUMMYFUNCTION("IF(C9978&lt;&gt;"""", GOOGLETRANSLATE(C9978, ""en"", ""te""),"""")"),"")</f>
        <v/>
      </c>
      <c r="E9978" s="2" t="s">
        <v>5781</v>
      </c>
      <c r="F9978" s="2" t="str">
        <f>IFERROR(__xludf.DUMMYFUNCTION("IF(E9978&lt;&gt;"""", GOOGLETRANSLATE(E9978, ""en"", ""te""),"""")"),"[ 'మూడో వికెట్కు (217) 18 వ అత్యధిక భాగస్వామ్యం']")</f>
        <v>[ 'మూడో వికెట్కు (217) 18 వ అత్యధిక భాగస్వామ్యం']</v>
      </c>
      <c r="G9978" s="2"/>
      <c r="H9978" s="2" t="str">
        <f>IFERROR(__xludf.DUMMYFUNCTION("IF(G9978&lt;&gt;"""", GOOGLETRANSLATE(G9978, ""en"", ""te""),"""")"),"")</f>
        <v/>
      </c>
      <c r="I9978" s="3"/>
    </row>
    <row r="9979" customHeight="1" spans="1:9">
      <c r="A9979" s="2"/>
      <c r="B9979" s="2" t="str">
        <f>IFERROR(__xludf.DUMMYFUNCTION("IF(A9979&lt;&gt;"""", GOOGLETRANSLATE(A9979, ""en"", ""te""),"""")"),"")</f>
        <v/>
      </c>
      <c r="C9979" s="2"/>
      <c r="D9979" s="2" t="str">
        <f>IFERROR(__xludf.DUMMYFUNCTION("IF(C9979&lt;&gt;"""", GOOGLETRANSLATE(C9979, ""en"", ""te""),"""")"),"")</f>
        <v/>
      </c>
      <c r="E9979" s="2" t="s">
        <v>5380</v>
      </c>
      <c r="F9979" s="2" t="str">
        <f>IFERROR(__xludf.DUMMYFUNCTION("IF(E9979&lt;&gt;"""", GOOGLETRANSLATE(E9979, ""en"", ""te""),"""")"),"[ '23 చెత్త కెరీర్ బౌలింగ్ సరాసరి (అర్హత లేకుండా) (130,00)']")</f>
        <v>[ '23 చెత్త కెరీర్ బౌలింగ్ సరాసరి (అర్హత లేకుండా) (130,00)']</v>
      </c>
      <c r="G9979" s="2"/>
      <c r="H9979" s="2" t="str">
        <f>IFERROR(__xludf.DUMMYFUNCTION("IF(G9979&lt;&gt;"""", GOOGLETRANSLATE(G9979, ""en"", ""te""),"""")"),"")</f>
        <v/>
      </c>
      <c r="I9979" s="3"/>
    </row>
    <row r="9980" customHeight="1" spans="1:9">
      <c r="A9980" s="2" t="s">
        <v>5782</v>
      </c>
      <c r="B9980" s="2" t="str">
        <f>IFERROR(__xludf.DUMMYFUNCTION("IF(A9980&lt;&gt;"""", GOOGLETRANSLATE(A9980, ""en"", ""te""),"""")"),"[ '1st అత్యుత్తమ బౌలింగ్ ఇన్నింగ్స్ లో విశ్లేషించడం (5/2)', '6 వ ఉత్తమ కెరీర్ బౌలింగ్ సరాసరి (14.54)']")</f>
        <v>[ '1st అత్యుత్తమ బౌలింగ్ ఇన్నింగ్స్ లో విశ్లేషించడం (5/2)', '6 వ ఉత్తమ కెరీర్ బౌలింగ్ సరాసరి (14.54)']</v>
      </c>
      <c r="C9980" s="2"/>
      <c r="D9980" s="2" t="str">
        <f>IFERROR(__xludf.DUMMYFUNCTION("IF(C9980&lt;&gt;"""", GOOGLETRANSLATE(C9980, ""en"", ""te""),"""")"),"")</f>
        <v/>
      </c>
      <c r="E9980" s="2" t="s">
        <v>5783</v>
      </c>
      <c r="F9980" s="2" t="str">
        <f>IFERROR(__xludf.DUMMYFUNCTION("IF(E9980&lt;&gt;"""", GOOGLETRANSLATE(E9980, ""en"", ""te""),"""")"),"[18 వ ఉత్తమ ఇన్నింగ్స్ లో సంఖ్యలు (5/2) ',' 1 వ అత్యుత్తమ బౌలింగ్ ఇన్నింగ్స్ లో విశ్లేషించడం (5/2) ',' ఒక కెప్టెన్తో 3 వ ఒక ఇన్నింగ్స్ లోని బెస్ట్ ఫిగర్స్ (5) ',' 11 వ ఉత్తమ బొమ్మలు ఒక ఇన్నింగ్స్ ఉన్నప్పుడు పరాజయం వైపు (4) ',' 6 వ ఉత్తమ కెరీర్ సగటు (14.5"&amp;"4) ',' 27 వ ఉత్తమ కెరీర్ ఎకానమీ రేట్ బౌలింగ్ (2.69) ',' 17 వ ఉత్తమ కెరీర్ సమ్మె రేటు (32.4) ',' 12 వ ఉత్తమ ఎకానమీ రేట్ ఒక ఇన్నింగ్స్ లో (0.21) ',' 13 వ అత్యంత వృద్ధ ఆటగాడు తొలి తీసుకుని ఐదు-వికెట్ల లో-ఒక-ఇన్నింగ్స్ (28y 33d) ',' 48 వ అత్యధిక వికెట్లు వరుస"&amp;" లో తీసిన బౌల్డ్ (16) ',' 47 వ అత్యధిక క్యాచ్లు ( 6) ']")</f>
        <v>[18 వ ఉత్తమ ఇన్నింగ్స్ లో సంఖ్యలు (5/2) ',' 1 వ అత్యుత్తమ బౌలింగ్ ఇన్నింగ్స్ లో విశ్లేషించడం (5/2) ',' ఒక కెప్టెన్తో 3 వ ఒక ఇన్నింగ్స్ లోని బెస్ట్ ఫిగర్స్ (5) ',' 11 వ ఉత్తమ బొమ్మలు ఒక ఇన్నింగ్స్ ఉన్నప్పుడు పరాజయం వైపు (4) ',' 6 వ ఉత్తమ కెరీర్ సగటు (14.54) ',' 27 వ ఉత్తమ కెరీర్ ఎకానమీ రేట్ బౌలింగ్ (2.69) ',' 17 వ ఉత్తమ కెరీర్ సమ్మె రేటు (32.4) ',' 12 వ ఉత్తమ ఎకానమీ రేట్ ఒక ఇన్నింగ్స్ లో (0.21) ',' 13 వ అత్యంత వృద్ధ ఆటగాడు తొలి తీసుకుని ఐదు-వికెట్ల లో-ఒక-ఇన్నింగ్స్ (28y 33d) ',' 48 వ అత్యధిక వికెట్లు వరుస లో తీసిన బౌల్డ్ (16) ',' 47 వ అత్యధిక క్యాచ్లు ( 6) ']</v>
      </c>
      <c r="G9980" s="2"/>
      <c r="H9980" s="2" t="str">
        <f>IFERROR(__xludf.DUMMYFUNCTION("IF(G9980&lt;&gt;"""", GOOGLETRANSLATE(G9980, ""en"", ""te""),"""")"),"")</f>
        <v/>
      </c>
      <c r="I9980" s="3"/>
    </row>
    <row r="9981" customHeight="1" spans="1:9">
      <c r="A9981" s="2"/>
      <c r="B9981" s="2" t="str">
        <f>IFERROR(__xludf.DUMMYFUNCTION("IF(A9981&lt;&gt;"""", GOOGLETRANSLATE(A9981, ""en"", ""te""),"""")"),"")</f>
        <v/>
      </c>
      <c r="C9981" s="2"/>
      <c r="D9981" s="2" t="str">
        <f>IFERROR(__xludf.DUMMYFUNCTION("IF(C9981&lt;&gt;"""", GOOGLETRANSLATE(C9981, ""en"", ""te""),"""")"),"")</f>
        <v/>
      </c>
      <c r="E9981" s="2"/>
      <c r="F9981" s="2" t="str">
        <f>IFERROR(__xludf.DUMMYFUNCTION("IF(E9981&lt;&gt;"""", GOOGLETRANSLATE(E9981, ""en"", ""te""),"""")"),"")</f>
        <v/>
      </c>
      <c r="G9981" s="2"/>
      <c r="H9981" s="2" t="str">
        <f>IFERROR(__xludf.DUMMYFUNCTION("IF(G9981&lt;&gt;"""", GOOGLETRANSLATE(G9981, ""en"", ""te""),"""")"),"")</f>
        <v/>
      </c>
      <c r="I9981" s="3"/>
    </row>
    <row r="9982" customHeight="1" spans="1:9">
      <c r="A9982" s="2"/>
      <c r="B9982" s="2" t="str">
        <f>IFERROR(__xludf.DUMMYFUNCTION("IF(A9982&lt;&gt;"""", GOOGLETRANSLATE(A9982, ""en"", ""te""),"""")"),"")</f>
        <v/>
      </c>
      <c r="C9982" s="2"/>
      <c r="D9982" s="2" t="str">
        <f>IFERROR(__xludf.DUMMYFUNCTION("IF(C9982&lt;&gt;"""", GOOGLETRANSLATE(C9982, ""en"", ""te""),"""")"),"")</f>
        <v/>
      </c>
      <c r="E9982" s="2"/>
      <c r="F9982" s="2" t="str">
        <f>IFERROR(__xludf.DUMMYFUNCTION("IF(E9982&lt;&gt;"""", GOOGLETRANSLATE(E9982, ""en"", ""te""),"""")"),"")</f>
        <v/>
      </c>
      <c r="G9982" s="2"/>
      <c r="H9982" s="2" t="str">
        <f>IFERROR(__xludf.DUMMYFUNCTION("IF(G9982&lt;&gt;"""", GOOGLETRANSLATE(G9982, ""en"", ""te""),"""")"),"")</f>
        <v/>
      </c>
      <c r="I9982" s="3"/>
    </row>
    <row r="9983" customHeight="1" spans="1:9">
      <c r="A9983" s="2"/>
      <c r="B9983" s="2" t="str">
        <f>IFERROR(__xludf.DUMMYFUNCTION("IF(A9983&lt;&gt;"""", GOOGLETRANSLATE(A9983, ""en"", ""te""),"""")"),"")</f>
        <v/>
      </c>
      <c r="C9983" s="2"/>
      <c r="D9983" s="2" t="str">
        <f>IFERROR(__xludf.DUMMYFUNCTION("IF(C9983&lt;&gt;"""", GOOGLETRANSLATE(C9983, ""en"", ""te""),"""")"),"")</f>
        <v/>
      </c>
      <c r="E9983" s="2"/>
      <c r="F9983" s="2" t="str">
        <f>IFERROR(__xludf.DUMMYFUNCTION("IF(E9983&lt;&gt;"""", GOOGLETRANSLATE(E9983, ""en"", ""te""),"""")"),"")</f>
        <v/>
      </c>
      <c r="G9983" s="2"/>
      <c r="H9983" s="2" t="str">
        <f>IFERROR(__xludf.DUMMYFUNCTION("IF(G9983&lt;&gt;"""", GOOGLETRANSLATE(G9983, ""en"", ""te""),"""")"),"")</f>
        <v/>
      </c>
      <c r="I9983" s="3"/>
    </row>
    <row r="9984" customHeight="1" spans="1:9">
      <c r="A9984" s="2"/>
      <c r="B9984" s="2" t="str">
        <f>IFERROR(__xludf.DUMMYFUNCTION("IF(A9984&lt;&gt;"""", GOOGLETRANSLATE(A9984, ""en"", ""te""),"""")"),"")</f>
        <v/>
      </c>
      <c r="C9984" s="2"/>
      <c r="D9984" s="2" t="str">
        <f>IFERROR(__xludf.DUMMYFUNCTION("IF(C9984&lt;&gt;"""", GOOGLETRANSLATE(C9984, ""en"", ""te""),"""")"),"")</f>
        <v/>
      </c>
      <c r="E9984" s="2"/>
      <c r="F9984" s="2" t="str">
        <f>IFERROR(__xludf.DUMMYFUNCTION("IF(E9984&lt;&gt;"""", GOOGLETRANSLATE(E9984, ""en"", ""te""),"""")"),"")</f>
        <v/>
      </c>
      <c r="G9984" s="2" t="s">
        <v>4933</v>
      </c>
      <c r="H9984" s="2" t="str">
        <f>IFERROR(__xludf.DUMMYFUNCTION("IF(G9984&lt;&gt;"""", GOOGLETRANSLATE(G9984, ""en"", ""te""),"""")"),"[ '25 వ అత్యుత్తమ ఇన్నింగ్స్ (3/8) విశ్లేషణలలో బౌలింగ్']")</f>
        <v>[ '25 వ అత్యుత్తమ ఇన్నింగ్స్ (3/8) విశ్లేషణలలో బౌలింగ్']</v>
      </c>
      <c r="I9984" s="3"/>
    </row>
    <row r="9985" customHeight="1" spans="1:9">
      <c r="A9985" s="2"/>
      <c r="B9985" s="2" t="str">
        <f>IFERROR(__xludf.DUMMYFUNCTION("IF(A9985&lt;&gt;"""", GOOGLETRANSLATE(A9985, ""en"", ""te""),"""")"),"")</f>
        <v/>
      </c>
      <c r="C9985" s="2"/>
      <c r="D9985" s="2" t="str">
        <f>IFERROR(__xludf.DUMMYFUNCTION("IF(C9985&lt;&gt;"""", GOOGLETRANSLATE(C9985, ""en"", ""te""),"""")"),"")</f>
        <v/>
      </c>
      <c r="E9985" s="2"/>
      <c r="F9985" s="2" t="str">
        <f>IFERROR(__xludf.DUMMYFUNCTION("IF(E9985&lt;&gt;"""", GOOGLETRANSLATE(E9985, ""en"", ""te""),"""")"),"")</f>
        <v/>
      </c>
      <c r="G9985" s="2"/>
      <c r="H9985" s="2" t="str">
        <f>IFERROR(__xludf.DUMMYFUNCTION("IF(G9985&lt;&gt;"""", GOOGLETRANSLATE(G9985, ""en"", ""te""),"""")"),"")</f>
        <v/>
      </c>
      <c r="I9985" s="3"/>
    </row>
    <row r="9986" customHeight="1" spans="1:9">
      <c r="A9986" s="2"/>
      <c r="B9986" s="2" t="str">
        <f>IFERROR(__xludf.DUMMYFUNCTION("IF(A9986&lt;&gt;"""", GOOGLETRANSLATE(A9986, ""en"", ""te""),"""")"),"")</f>
        <v/>
      </c>
      <c r="C9986" s="2"/>
      <c r="D9986" s="2" t="str">
        <f>IFERROR(__xludf.DUMMYFUNCTION("IF(C9986&lt;&gt;"""", GOOGLETRANSLATE(C9986, ""en"", ""te""),"""")"),"")</f>
        <v/>
      </c>
      <c r="E9986" s="2"/>
      <c r="F9986" s="2" t="str">
        <f>IFERROR(__xludf.DUMMYFUNCTION("IF(E9986&lt;&gt;"""", GOOGLETRANSLATE(E9986, ""en"", ""te""),"""")"),"")</f>
        <v/>
      </c>
      <c r="G9986" s="2"/>
      <c r="H9986" s="2" t="str">
        <f>IFERROR(__xludf.DUMMYFUNCTION("IF(G9986&lt;&gt;"""", GOOGLETRANSLATE(G9986, ""en"", ""te""),"""")"),"")</f>
        <v/>
      </c>
      <c r="I9986" s="3"/>
    </row>
    <row r="9987" customHeight="1" spans="1:9">
      <c r="A9987" s="2"/>
      <c r="B9987" s="2" t="str">
        <f>IFERROR(__xludf.DUMMYFUNCTION("IF(A9987&lt;&gt;"""", GOOGLETRANSLATE(A9987, ""en"", ""te""),"""")"),"")</f>
        <v/>
      </c>
      <c r="C9987" s="2"/>
      <c r="D9987" s="2" t="str">
        <f>IFERROR(__xludf.DUMMYFUNCTION("IF(C9987&lt;&gt;"""", GOOGLETRANSLATE(C9987, ""en"", ""te""),"""")"),"")</f>
        <v/>
      </c>
      <c r="E9987" s="2" t="s">
        <v>5784</v>
      </c>
      <c r="F9987" s="2" t="str">
        <f>IFERROR(__xludf.DUMMYFUNCTION("IF(E9987&lt;&gt;"""", GOOGLETRANSLATE(E9987, ""en"", ""te""),"""")"),"[ 'తొలి 26 ఓల్డెస్ట్ క్రీడాకారులు (38y 363d)', '16 వ పురాతన దేశం ఆటగాళ్ళు (80y 357d)']")</f>
        <v>[ 'తొలి 26 ఓల్డెస్ట్ క్రీడాకారులు (38y 363d)', '16 వ పురాతన దేశం ఆటగాళ్ళు (80y 357d)']</v>
      </c>
      <c r="G9987" s="2"/>
      <c r="H9987" s="2" t="str">
        <f>IFERROR(__xludf.DUMMYFUNCTION("IF(G9987&lt;&gt;"""", GOOGLETRANSLATE(G9987, ""en"", ""te""),"""")"),"")</f>
        <v/>
      </c>
      <c r="I9987" s="3"/>
    </row>
    <row r="9988" customHeight="1" spans="1:9">
      <c r="A9988" s="2"/>
      <c r="B9988" s="2" t="str">
        <f>IFERROR(__xludf.DUMMYFUNCTION("IF(A9988&lt;&gt;"""", GOOGLETRANSLATE(A9988, ""en"", ""te""),"""")"),"")</f>
        <v/>
      </c>
      <c r="C9988" s="2"/>
      <c r="D9988" s="2" t="str">
        <f>IFERROR(__xludf.DUMMYFUNCTION("IF(C9988&lt;&gt;"""", GOOGLETRANSLATE(C9988, ""en"", ""te""),"""")"),"")</f>
        <v/>
      </c>
      <c r="E9988" s="2"/>
      <c r="F9988" s="2" t="str">
        <f>IFERROR(__xludf.DUMMYFUNCTION("IF(E9988&lt;&gt;"""", GOOGLETRANSLATE(E9988, ""en"", ""te""),"""")"),"")</f>
        <v/>
      </c>
      <c r="G9988" s="2"/>
      <c r="H9988" s="2" t="str">
        <f>IFERROR(__xludf.DUMMYFUNCTION("IF(G9988&lt;&gt;"""", GOOGLETRANSLATE(G9988, ""en"", ""te""),"""")"),"")</f>
        <v/>
      </c>
      <c r="I9988" s="3"/>
    </row>
    <row r="9989" customHeight="1" spans="1:9">
      <c r="A9989" s="2"/>
      <c r="B9989" s="2" t="str">
        <f>IFERROR(__xludf.DUMMYFUNCTION("IF(A9989&lt;&gt;"""", GOOGLETRANSLATE(A9989, ""en"", ""te""),"""")"),"")</f>
        <v/>
      </c>
      <c r="C9989" s="2"/>
      <c r="D9989" s="2" t="str">
        <f>IFERROR(__xludf.DUMMYFUNCTION("IF(C9989&lt;&gt;"""", GOOGLETRANSLATE(C9989, ""en"", ""te""),"""")"),"")</f>
        <v/>
      </c>
      <c r="E9989" s="2"/>
      <c r="F9989" s="2" t="str">
        <f>IFERROR(__xludf.DUMMYFUNCTION("IF(E9989&lt;&gt;"""", GOOGLETRANSLATE(E9989, ""en"", ""te""),"""")"),"")</f>
        <v/>
      </c>
      <c r="G9989" s="2"/>
      <c r="H9989" s="2" t="str">
        <f>IFERROR(__xludf.DUMMYFUNCTION("IF(G9989&lt;&gt;"""", GOOGLETRANSLATE(G9989, ""en"", ""te""),"""")"),"")</f>
        <v/>
      </c>
      <c r="I9989" s="3"/>
    </row>
    <row r="9990" customHeight="1" spans="1:9">
      <c r="A9990" s="2" t="s">
        <v>5785</v>
      </c>
      <c r="B9990" s="2" t="str">
        <f>IFERROR(__xludf.DUMMYFUNCTION("IF(A9990&lt;&gt;"""", GOOGLETRANSLATE(A9990, ""en"", ""te""),"""")"),"[ '9 వ పురాతన దేశం ఆటగాళ్ళు (51y 185d)']")</f>
        <v>[ '9 వ పురాతన దేశం ఆటగాళ్ళు (51y 185d)']</v>
      </c>
      <c r="C9990" s="2"/>
      <c r="D9990" s="2" t="str">
        <f>IFERROR(__xludf.DUMMYFUNCTION("IF(C9990&lt;&gt;"""", GOOGLETRANSLATE(C9990, ""en"", ""te""),"""")"),"")</f>
        <v/>
      </c>
      <c r="E9990" s="2"/>
      <c r="F9990" s="2" t="str">
        <f>IFERROR(__xludf.DUMMYFUNCTION("IF(E9990&lt;&gt;"""", GOOGLETRANSLATE(E9990, ""en"", ""te""),"""")"),"")</f>
        <v/>
      </c>
      <c r="G9990" s="2" t="s">
        <v>5786</v>
      </c>
      <c r="H9990" s="2" t="str">
        <f>IFERROR(__xludf.DUMMYFUNCTION("IF(G9990&lt;&gt;"""", GOOGLETRANSLATE(G9990, ""en"", ""te""),"""")"),"[ '9 వ పురాతన దేశం ఆటగాళ్ళు (51y 185d)', '23 వ ఓల్డెస్ట్ కాప్టెన్ (38y 329d)', '18 వ ఓల్డెస్ట్ కెప్టెన్లు కెప్టెన్సీ ప్రవేశం (38y 326d) న']")</f>
        <v>[ '9 వ పురాతన దేశం ఆటగాళ్ళు (51y 185d)', '23 వ ఓల్డెస్ట్ కాప్టెన్ (38y 329d)', '18 వ ఓల్డెస్ట్ కెప్టెన్లు కెప్టెన్సీ ప్రవేశం (38y 326d) న']</v>
      </c>
      <c r="I9990" s="3"/>
    </row>
    <row r="9991" customHeight="1" spans="1:9">
      <c r="A9991" s="2"/>
      <c r="B9991" s="2" t="str">
        <f>IFERROR(__xludf.DUMMYFUNCTION("IF(A9991&lt;&gt;"""", GOOGLETRANSLATE(A9991, ""en"", ""te""),"""")"),"")</f>
        <v/>
      </c>
      <c r="C9991" s="2"/>
      <c r="D9991" s="2" t="str">
        <f>IFERROR(__xludf.DUMMYFUNCTION("IF(C9991&lt;&gt;"""", GOOGLETRANSLATE(C9991, ""en"", ""te""),"""")"),"")</f>
        <v/>
      </c>
      <c r="E9991" s="2"/>
      <c r="F9991" s="2" t="str">
        <f>IFERROR(__xludf.DUMMYFUNCTION("IF(E9991&lt;&gt;"""", GOOGLETRANSLATE(E9991, ""en"", ""te""),"""")"),"")</f>
        <v/>
      </c>
      <c r="G9991" s="2"/>
      <c r="H9991" s="2" t="str">
        <f>IFERROR(__xludf.DUMMYFUNCTION("IF(G9991&lt;&gt;"""", GOOGLETRANSLATE(G9991, ""en"", ""te""),"""")"),"")</f>
        <v/>
      </c>
      <c r="I9991" s="3"/>
    </row>
    <row r="9992" customHeight="1" spans="1:9">
      <c r="A9992" s="2"/>
      <c r="B9992" s="2" t="str">
        <f>IFERROR(__xludf.DUMMYFUNCTION("IF(A9992&lt;&gt;"""", GOOGLETRANSLATE(A9992, ""en"", ""te""),"""")"),"")</f>
        <v/>
      </c>
      <c r="C9992" s="2"/>
      <c r="D9992" s="2" t="str">
        <f>IFERROR(__xludf.DUMMYFUNCTION("IF(C9992&lt;&gt;"""", GOOGLETRANSLATE(C9992, ""en"", ""te""),"""")"),"")</f>
        <v/>
      </c>
      <c r="E9992" s="2"/>
      <c r="F9992" s="2" t="str">
        <f>IFERROR(__xludf.DUMMYFUNCTION("IF(E9992&lt;&gt;"""", GOOGLETRANSLATE(E9992, ""en"", ""te""),"""")"),"")</f>
        <v/>
      </c>
      <c r="G9992" s="2"/>
      <c r="H9992" s="2" t="str">
        <f>IFERROR(__xludf.DUMMYFUNCTION("IF(G9992&lt;&gt;"""", GOOGLETRANSLATE(G9992, ""en"", ""te""),"""")"),"")</f>
        <v/>
      </c>
      <c r="I9992" s="3"/>
    </row>
    <row r="9993" customHeight="1" spans="1:9">
      <c r="A9993" s="2"/>
      <c r="B9993" s="2" t="str">
        <f>IFERROR(__xludf.DUMMYFUNCTION("IF(A9993&lt;&gt;"""", GOOGLETRANSLATE(A9993, ""en"", ""te""),"""")"),"")</f>
        <v/>
      </c>
      <c r="C9993" s="2"/>
      <c r="D9993" s="2" t="str">
        <f>IFERROR(__xludf.DUMMYFUNCTION("IF(C9993&lt;&gt;"""", GOOGLETRANSLATE(C9993, ""en"", ""te""),"""")"),"")</f>
        <v/>
      </c>
      <c r="E9993" s="2"/>
      <c r="F9993" s="2" t="str">
        <f>IFERROR(__xludf.DUMMYFUNCTION("IF(E9993&lt;&gt;"""", GOOGLETRANSLATE(E9993, ""en"", ""te""),"""")"),"")</f>
        <v/>
      </c>
      <c r="G9993" s="2"/>
      <c r="H9993" s="2" t="str">
        <f>IFERROR(__xludf.DUMMYFUNCTION("IF(G9993&lt;&gt;"""", GOOGLETRANSLATE(G9993, ""en"", ""te""),"""")"),"")</f>
        <v/>
      </c>
      <c r="I9993" s="3"/>
    </row>
    <row r="9994" customHeight="1" spans="1:9">
      <c r="A9994" s="2"/>
      <c r="B9994" s="2" t="str">
        <f>IFERROR(__xludf.DUMMYFUNCTION("IF(A9994&lt;&gt;"""", GOOGLETRANSLATE(A9994, ""en"", ""te""),"""")"),"")</f>
        <v/>
      </c>
      <c r="C9994" s="2"/>
      <c r="D9994" s="2" t="str">
        <f>IFERROR(__xludf.DUMMYFUNCTION("IF(C9994&lt;&gt;"""", GOOGLETRANSLATE(C9994, ""en"", ""te""),"""")"),"")</f>
        <v/>
      </c>
      <c r="E9994" s="2"/>
      <c r="F9994" s="2" t="str">
        <f>IFERROR(__xludf.DUMMYFUNCTION("IF(E9994&lt;&gt;"""", GOOGLETRANSLATE(E9994, ""en"", ""te""),"""")"),"")</f>
        <v/>
      </c>
      <c r="G9994" s="2" t="s">
        <v>3368</v>
      </c>
      <c r="H9994" s="2" t="str">
        <f>IFERROR(__xludf.DUMMYFUNCTION("IF(G9994&lt;&gt;"""", GOOGLETRANSLATE(G9994, ""en"", ""te""),"""")"),"[ '32 వ తొలి మ్యాచ్లో అత్యధిక పరుగులు (56)']")</f>
        <v>[ '32 వ తొలి మ్యాచ్లో అత్యధిక పరుగులు (56)']</v>
      </c>
      <c r="I9994" s="3"/>
    </row>
    <row r="9995" customHeight="1" spans="1:9">
      <c r="A9995" s="2" t="s">
        <v>5787</v>
      </c>
      <c r="B9995" s="2" t="str">
        <f>IFERROR(__xludf.DUMMYFUNCTION("IF(A9995&lt;&gt;"""", GOOGLETRANSLATE(A9995, ""en"", ""te""),"""")"),"[ '5 వ ఉత్తమ కెరీర్ బౌలింగ్ సరాసరి (అర్హత లేకుండా) (3.00)']")</f>
        <v>[ '5 వ ఉత్తమ కెరీర్ బౌలింగ్ సరాసరి (అర్హత లేకుండా) (3.00)']</v>
      </c>
      <c r="C9995" s="2"/>
      <c r="D9995" s="2" t="str">
        <f>IFERROR(__xludf.DUMMYFUNCTION("IF(C9995&lt;&gt;"""", GOOGLETRANSLATE(C9995, ""en"", ""te""),"""")"),"")</f>
        <v/>
      </c>
      <c r="E9995" s="2"/>
      <c r="F9995" s="2" t="str">
        <f>IFERROR(__xludf.DUMMYFUNCTION("IF(E9995&lt;&gt;"""", GOOGLETRANSLATE(E9995, ""en"", ""te""),"""")"),"")</f>
        <v/>
      </c>
      <c r="G9995" s="2" t="s">
        <v>5787</v>
      </c>
      <c r="H9995" s="2" t="str">
        <f>IFERROR(__xludf.DUMMYFUNCTION("IF(G9995&lt;&gt;"""", GOOGLETRANSLATE(G9995, ""en"", ""te""),"""")"),"[ '5 వ ఉత్తమ కెరీర్ బౌలింగ్ సరాసరి (అర్హత లేకుండా) (3.00)']")</f>
        <v>[ '5 వ ఉత్తమ కెరీర్ బౌలింగ్ సరాసరి (అర్హత లేకుండా) (3.00)']</v>
      </c>
      <c r="I9995" s="3"/>
    </row>
    <row r="9996" customHeight="1" spans="1:9">
      <c r="A9996" s="2"/>
      <c r="B9996" s="2" t="str">
        <f>IFERROR(__xludf.DUMMYFUNCTION("IF(A9996&lt;&gt;"""", GOOGLETRANSLATE(A9996, ""en"", ""te""),"""")"),"")</f>
        <v/>
      </c>
      <c r="C9996" s="2"/>
      <c r="D9996" s="2" t="str">
        <f>IFERROR(__xludf.DUMMYFUNCTION("IF(C9996&lt;&gt;"""", GOOGLETRANSLATE(C9996, ""en"", ""te""),"""")"),"")</f>
        <v/>
      </c>
      <c r="E9996" s="2"/>
      <c r="F9996" s="2" t="str">
        <f>IFERROR(__xludf.DUMMYFUNCTION("IF(E9996&lt;&gt;"""", GOOGLETRANSLATE(E9996, ""en"", ""te""),"""")"),"")</f>
        <v/>
      </c>
      <c r="G9996" s="2"/>
      <c r="H9996" s="2" t="str">
        <f>IFERROR(__xludf.DUMMYFUNCTION("IF(G9996&lt;&gt;"""", GOOGLETRANSLATE(G9996, ""en"", ""te""),"""")"),"")</f>
        <v/>
      </c>
      <c r="I9996" s="3"/>
    </row>
    <row r="9997" customHeight="1" spans="1:9">
      <c r="A9997" s="2"/>
      <c r="B9997" s="2" t="str">
        <f>IFERROR(__xludf.DUMMYFUNCTION("IF(A9997&lt;&gt;"""", GOOGLETRANSLATE(A9997, ""en"", ""te""),"""")"),"")</f>
        <v/>
      </c>
      <c r="C9997" s="2"/>
      <c r="D9997" s="2" t="str">
        <f>IFERROR(__xludf.DUMMYFUNCTION("IF(C9997&lt;&gt;"""", GOOGLETRANSLATE(C9997, ""en"", ""te""),"""")"),"")</f>
        <v/>
      </c>
      <c r="E9997" s="2" t="s">
        <v>5082</v>
      </c>
      <c r="F9997" s="2" t="str">
        <f>IFERROR(__xludf.DUMMYFUNCTION("IF(E9997&lt;&gt;"""", GOOGLETRANSLATE(E9997, ""en"", ""te""),"""")"),"[ 'తొలి 47 వ ఓల్డెస్ట్ క్రీడాకారులు (36y 275d)']")</f>
        <v>[ 'తొలి 47 వ ఓల్డెస్ట్ క్రీడాకారులు (36y 275d)']</v>
      </c>
      <c r="G9997" s="2"/>
      <c r="H9997" s="2" t="str">
        <f>IFERROR(__xludf.DUMMYFUNCTION("IF(G9997&lt;&gt;"""", GOOGLETRANSLATE(G9997, ""en"", ""te""),"""")"),"")</f>
        <v/>
      </c>
      <c r="I9997" s="3"/>
    </row>
    <row r="9998" customHeight="1" spans="1:9">
      <c r="A9998" s="2"/>
      <c r="B9998" s="2" t="str">
        <f>IFERROR(__xludf.DUMMYFUNCTION("IF(A9998&lt;&gt;"""", GOOGLETRANSLATE(A9998, ""en"", ""te""),"""")"),"")</f>
        <v/>
      </c>
      <c r="C9998" s="2"/>
      <c r="D9998" s="2" t="str">
        <f>IFERROR(__xludf.DUMMYFUNCTION("IF(C9998&lt;&gt;"""", GOOGLETRANSLATE(C9998, ""en"", ""te""),"""")"),"")</f>
        <v/>
      </c>
      <c r="E9998" s="2"/>
      <c r="F9998" s="2" t="str">
        <f>IFERROR(__xludf.DUMMYFUNCTION("IF(E9998&lt;&gt;"""", GOOGLETRANSLATE(E9998, ""en"", ""te""),"""")"),"")</f>
        <v/>
      </c>
      <c r="G9998" s="2"/>
      <c r="H9998" s="2" t="str">
        <f>IFERROR(__xludf.DUMMYFUNCTION("IF(G9998&lt;&gt;"""", GOOGLETRANSLATE(G9998, ""en"", ""te""),"""")"),"")</f>
        <v/>
      </c>
      <c r="I9998" s="3"/>
    </row>
    <row r="9999" customHeight="1" spans="1:9">
      <c r="A9999" s="2"/>
      <c r="B9999" s="2" t="str">
        <f>IFERROR(__xludf.DUMMYFUNCTION("IF(A9999&lt;&gt;"""", GOOGLETRANSLATE(A9999, ""en"", ""te""),"""")"),"")</f>
        <v/>
      </c>
      <c r="C9999" s="2"/>
      <c r="D9999" s="2" t="str">
        <f>IFERROR(__xludf.DUMMYFUNCTION("IF(C9999&lt;&gt;"""", GOOGLETRANSLATE(C9999, ""en"", ""te""),"""")"),"")</f>
        <v/>
      </c>
      <c r="E9999" s="2"/>
      <c r="F9999" s="2" t="str">
        <f>IFERROR(__xludf.DUMMYFUNCTION("IF(E9999&lt;&gt;"""", GOOGLETRANSLATE(E9999, ""en"", ""te""),"""")"),"")</f>
        <v/>
      </c>
      <c r="G9999" s="2"/>
      <c r="H9999" s="2" t="str">
        <f>IFERROR(__xludf.DUMMYFUNCTION("IF(G9999&lt;&gt;"""", GOOGLETRANSLATE(G9999, ""en"", ""te""),"""")"),"")</f>
        <v/>
      </c>
      <c r="I9999" s="3"/>
    </row>
    <row r="10000" customHeight="1" spans="1:9">
      <c r="A10000" s="2"/>
      <c r="B10000" s="2" t="str">
        <f>IFERROR(__xludf.DUMMYFUNCTION("IF(A10000&lt;&gt;"""", GOOGLETRANSLATE(A10000, ""en"", ""te""),"""")"),"")</f>
        <v/>
      </c>
      <c r="C10000" s="2"/>
      <c r="D10000" s="2" t="str">
        <f>IFERROR(__xludf.DUMMYFUNCTION("IF(C10000&lt;&gt;"""", GOOGLETRANSLATE(C10000, ""en"", ""te""),"""")"),"")</f>
        <v/>
      </c>
      <c r="E10000" s="2"/>
      <c r="F10000" s="2" t="str">
        <f>IFERROR(__xludf.DUMMYFUNCTION("IF(E10000&lt;&gt;"""", GOOGLETRANSLATE(E10000, ""en"", ""te""),"""")"),"")</f>
        <v/>
      </c>
      <c r="G10000" s="2"/>
      <c r="H10000" s="2" t="str">
        <f>IFERROR(__xludf.DUMMYFUNCTION("IF(G10000&lt;&gt;"""", GOOGLETRANSLATE(G10000, ""en"", ""te""),"""")"),"")</f>
        <v/>
      </c>
      <c r="I10000" s="3"/>
    </row>
    <row r="10001" customHeight="1" spans="1:9">
      <c r="A10001" s="2"/>
      <c r="B10001" s="2" t="str">
        <f>IFERROR(__xludf.DUMMYFUNCTION("IF(A10001&lt;&gt;"""", GOOGLETRANSLATE(A10001, ""en"", ""te""),"""")"),"")</f>
        <v/>
      </c>
      <c r="C10001" s="2"/>
      <c r="D10001" s="2" t="str">
        <f>IFERROR(__xludf.DUMMYFUNCTION("IF(C10001&lt;&gt;"""", GOOGLETRANSLATE(C10001, ""en"", ""te""),"""")"),"")</f>
        <v/>
      </c>
      <c r="E10001" s="2"/>
      <c r="F10001" s="2" t="str">
        <f>IFERROR(__xludf.DUMMYFUNCTION("IF(E10001&lt;&gt;"""", GOOGLETRANSLATE(E10001, ""en"", ""te""),"""")"),"")</f>
        <v/>
      </c>
      <c r="G10001" s="2"/>
      <c r="H10001" s="2" t="str">
        <f>IFERROR(__xludf.DUMMYFUNCTION("IF(G10001&lt;&gt;"""", GOOGLETRANSLATE(G10001, ""en"", ""te""),"""")"),"")</f>
        <v/>
      </c>
      <c r="I10001" s="3"/>
    </row>
    <row r="10002" customHeight="1" spans="1:9">
      <c r="A10002" s="2"/>
      <c r="B10002" s="2" t="str">
        <f>IFERROR(__xludf.DUMMYFUNCTION("IF(A10002&lt;&gt;"""", GOOGLETRANSLATE(A10002, ""en"", ""te""),"""")"),"")</f>
        <v/>
      </c>
      <c r="C10002" s="2"/>
      <c r="D10002" s="2" t="str">
        <f>IFERROR(__xludf.DUMMYFUNCTION("IF(C10002&lt;&gt;"""", GOOGLETRANSLATE(C10002, ""en"", ""te""),"""")"),"")</f>
        <v/>
      </c>
      <c r="E10002" s="2"/>
      <c r="F10002" s="2" t="str">
        <f>IFERROR(__xludf.DUMMYFUNCTION("IF(E10002&lt;&gt;"""", GOOGLETRANSLATE(E10002, ""en"", ""te""),"""")"),"")</f>
        <v/>
      </c>
      <c r="G10002" s="2"/>
      <c r="H10002" s="2" t="str">
        <f>IFERROR(__xludf.DUMMYFUNCTION("IF(G10002&lt;&gt;"""", GOOGLETRANSLATE(G10002, ""en"", ""te""),"""")"),"")</f>
        <v/>
      </c>
      <c r="I10002" s="3"/>
    </row>
    <row r="10003" customHeight="1" spans="1:9">
      <c r="A10003" s="2"/>
      <c r="B10003" s="2" t="str">
        <f>IFERROR(__xludf.DUMMYFUNCTION("IF(A10003&lt;&gt;"""", GOOGLETRANSLATE(A10003, ""en"", ""te""),"""")"),"")</f>
        <v/>
      </c>
      <c r="C10003" s="2"/>
      <c r="D10003" s="2" t="str">
        <f>IFERROR(__xludf.DUMMYFUNCTION("IF(C10003&lt;&gt;"""", GOOGLETRANSLATE(C10003, ""en"", ""te""),"""")"),"")</f>
        <v/>
      </c>
      <c r="E10003" s="2"/>
      <c r="F10003" s="2" t="str">
        <f>IFERROR(__xludf.DUMMYFUNCTION("IF(E10003&lt;&gt;"""", GOOGLETRANSLATE(E10003, ""en"", ""te""),"""")"),"")</f>
        <v/>
      </c>
      <c r="G10003" s="2"/>
      <c r="H10003" s="2" t="str">
        <f>IFERROR(__xludf.DUMMYFUNCTION("IF(G10003&lt;&gt;"""", GOOGLETRANSLATE(G10003, ""en"", ""te""),"""")"),"")</f>
        <v/>
      </c>
      <c r="I10003" s="3"/>
    </row>
    <row r="10004" customHeight="1" spans="1:9">
      <c r="A10004" s="2"/>
      <c r="B10004" s="2" t="str">
        <f>IFERROR(__xludf.DUMMYFUNCTION("IF(A10004&lt;&gt;"""", GOOGLETRANSLATE(A10004, ""en"", ""te""),"""")"),"")</f>
        <v/>
      </c>
      <c r="C10004" s="2"/>
      <c r="D10004" s="2" t="str">
        <f>IFERROR(__xludf.DUMMYFUNCTION("IF(C10004&lt;&gt;"""", GOOGLETRANSLATE(C10004, ""en"", ""te""),"""")"),"")</f>
        <v/>
      </c>
      <c r="E10004" s="2"/>
      <c r="F10004" s="2" t="str">
        <f>IFERROR(__xludf.DUMMYFUNCTION("IF(E10004&lt;&gt;"""", GOOGLETRANSLATE(E10004, ""en"", ""te""),"""")"),"")</f>
        <v/>
      </c>
      <c r="G10004" s="2" t="s">
        <v>5788</v>
      </c>
      <c r="H10004" s="2" t="str">
        <f>IFERROR(__xludf.DUMMYFUNCTION("IF(G10004&lt;&gt;"""", GOOGLETRANSLATE(G10004, ""en"", ""te""),"""")"),"[ '43 వ అత్యంత తొలి మ్యాచ్ (52) లో నడుస్తుంది']")</f>
        <v>[ '43 వ అత్యంత తొలి మ్యాచ్ (52) లో నడుస్తుంది']</v>
      </c>
      <c r="I10004" s="3"/>
    </row>
    <row r="10005" customHeight="1" spans="1:9">
      <c r="A10005" s="2" t="s">
        <v>5789</v>
      </c>
      <c r="B10005" s="2" t="str">
        <f>IFERROR(__xludf.DUMMYFUNCTION("IF(A10005&lt;&gt;"""", GOOGLETRANSLATE(A10005, ""en"", ""te""),"""")"),"[ '3 వ పిన్న కాప్టెన్ (20y 315d)']")</f>
        <v>[ '3 వ పిన్న కాప్టెన్ (20y 315d)']</v>
      </c>
      <c r="C10005" s="2"/>
      <c r="D10005" s="2" t="str">
        <f>IFERROR(__xludf.DUMMYFUNCTION("IF(C10005&lt;&gt;"""", GOOGLETRANSLATE(C10005, ""en"", ""te""),"""")"),"")</f>
        <v/>
      </c>
      <c r="E10005" s="2" t="s">
        <v>5790</v>
      </c>
      <c r="F10005" s="2" t="str">
        <f>IFERROR(__xludf.DUMMYFUNCTION("IF(E10005&lt;&gt;"""", GOOGLETRANSLATE(E10005, ""en"", ""te""),"""")"),"[ '28 అత్యధిక తొలి వంద (143 *)', నాలుగో వికెట్కు 37 వ అత్యధిక భాగస్వామ్యం, '34 వ ఉత్తమ కెరీర్ (11.92) (అర్హత లేకుండా) సగటు బౌలింగ్' '14 వ పిన్న ఆటగాడు వంద (33d 20y) స్కోర్', '( 170) ',' 24th పిన్న క్రీడాకారులు (17y 3) ',' 3 వ పిన్న కాప్టెన్ (20y 315d) ']")</f>
        <v>[ '28 అత్యధిక తొలి వంద (143 *)', నాలుగో వికెట్కు 37 వ అత్యధిక భాగస్వామ్యం, '34 వ ఉత్తమ కెరీర్ (11.92) (అర్హత లేకుండా) సగటు బౌలింగ్' '14 వ పిన్న ఆటగాడు వంద (33d 20y) స్కోర్', '( 170) ',' 24th పిన్న క్రీడాకారులు (17y 3) ',' 3 వ పిన్న కాప్టెన్ (20y 315d) ']</v>
      </c>
      <c r="G10005" s="2" t="s">
        <v>5163</v>
      </c>
      <c r="H10005" s="2" t="str">
        <f>IFERROR(__xludf.DUMMYFUNCTION("IF(G10005&lt;&gt;"""", GOOGLETRANSLATE(G10005, ""en"", ""te""),"""")"),"[ '13 వ అత్యుత్తమ ఇన్నింగ్స్ (3/6) విశ్లేషణలలో బౌలింగ్']")</f>
        <v>[ '13 వ అత్యుత్తమ ఇన్నింగ్స్ (3/6) విశ్లేషణలలో బౌలింగ్']</v>
      </c>
      <c r="I10005" s="3"/>
    </row>
    <row r="10006" customHeight="1" spans="1:9">
      <c r="A10006" s="2" t="s">
        <v>2429</v>
      </c>
      <c r="B10006" s="2" t="str">
        <f>IFERROR(__xludf.DUMMYFUNCTION("IF(A10006&lt;&gt;"""", GOOGLETRANSLATE(A10006, ""en"", ""te""),"""")"),"[ '10 వ చెత్త ఇన్నింగ్స్ లో ఆర్థిక రేటు (12.00)']")</f>
        <v>[ '10 వ చెత్త ఇన్నింగ్స్ లో ఆర్థిక రేటు (12.00)']</v>
      </c>
      <c r="C10006" s="2"/>
      <c r="D10006" s="2" t="str">
        <f>IFERROR(__xludf.DUMMYFUNCTION("IF(C10006&lt;&gt;"""", GOOGLETRANSLATE(C10006, ""en"", ""te""),"""")"),"")</f>
        <v/>
      </c>
      <c r="E10006" s="2" t="s">
        <v>2429</v>
      </c>
      <c r="F10006" s="2" t="str">
        <f>IFERROR(__xludf.DUMMYFUNCTION("IF(E10006&lt;&gt;"""", GOOGLETRANSLATE(E10006, ""en"", ""te""),"""")"),"[ '10 వ చెత్త ఇన్నింగ్స్ లో ఆర్థిక రేటు (12.00)']")</f>
        <v>[ '10 వ చెత్త ఇన్నింగ్స్ లో ఆర్థిక రేటు (12.00)']</v>
      </c>
      <c r="G10006" s="2"/>
      <c r="H10006" s="2" t="str">
        <f>IFERROR(__xludf.DUMMYFUNCTION("IF(G10006&lt;&gt;"""", GOOGLETRANSLATE(G10006, ""en"", ""te""),"""")"),"")</f>
        <v/>
      </c>
      <c r="I10006" s="3"/>
    </row>
    <row r="10007" customHeight="1" spans="1:9">
      <c r="A10007" s="2" t="s">
        <v>5791</v>
      </c>
      <c r="B10007" s="2" t="str">
        <f>IFERROR(__xludf.DUMMYFUNCTION("IF(A10007&lt;&gt;"""", GOOGLETRANSLATE(A10007, ""en"", ""te""),"""")"),"[ 'ఇన్నింగ్స్ లో 1 వ అత్యంత స్టంపింగ్లు (3)', '3 వ వరుస (3) లో అన్ని టాస్ గెలిచి']")</f>
        <v>[ 'ఇన్నింగ్స్ లో 1 వ అత్యంత స్టంపింగ్లు (3)', '3 వ వరుస (3) లో అన్ని టాస్ గెలిచి']</v>
      </c>
      <c r="C10007" s="2"/>
      <c r="D10007" s="2" t="str">
        <f>IFERROR(__xludf.DUMMYFUNCTION("IF(C10007&lt;&gt;"""", GOOGLETRANSLATE(C10007, ""en"", ""te""),"""")"),"")</f>
        <v/>
      </c>
      <c r="E10007" s="2" t="s">
        <v>5792</v>
      </c>
      <c r="F10007" s="2" t="str">
        <f>IFERROR(__xludf.DUMMYFUNCTION("IF(E10007&lt;&gt;"""", GOOGLETRANSLATE(E10007, ""en"", ""te""),"""")"),"[ '48 వ పిన్న క్రీడాకారులు (17y 306d)', '19 వ పిన్న కాప్టెన్ (23y 251d)', 'వికెట్ను కాపాడుకున్నాడు చేసిన 26 కెప్టెన్ల (4)', '1 వ ఇన్నింగ్స్ లో వచ్చిన ఎక్కువ స్టంపింగ్లు (3)']")</f>
        <v>[ '48 వ పిన్న క్రీడాకారులు (17y 306d)', '19 వ పిన్న కాప్టెన్ (23y 251d)', 'వికెట్ను కాపాడుకున్నాడు చేసిన 26 కెప్టెన్ల (4)', '1 వ ఇన్నింగ్స్ లో వచ్చిన ఎక్కువ స్టంపింగ్లు (3)']</v>
      </c>
      <c r="G10007" s="2" t="s">
        <v>5793</v>
      </c>
      <c r="H10007" s="2" t="str">
        <f>IFERROR(__xludf.DUMMYFUNCTION("IF(G10007&lt;&gt;"""", GOOGLETRANSLATE(G10007, ""en"", ""te""),"""")"),"[ '19 పిన్న కాప్టెన్ (23y 205d)', 'వికెట్ను కాపాడుకున్నాడు చేసిన 18 వ కెప్టెన్ల (4)', '3 వ వరుస అన్ని టాస్ గెలిచిన (3)', '29 వ అత్యధిక క్యాచ్లు కెరీర్లో (14)', '13 వ అత్యంత ఒక ఇన్నింగ్స్ లో క్యాచ్లు (3) ']")</f>
        <v>[ '19 పిన్న కాప్టెన్ (23y 205d)', 'వికెట్ను కాపాడుకున్నాడు చేసిన 18 వ కెప్టెన్ల (4)', '3 వ వరుస అన్ని టాస్ గెలిచిన (3)', '29 వ అత్యధిక క్యాచ్లు కెరీర్లో (14)', '13 వ అత్యంత ఒక ఇన్నింగ్స్ లో క్యాచ్లు (3) ']</v>
      </c>
      <c r="I10007" s="3"/>
    </row>
    <row r="10008" customHeight="1" spans="1:9">
      <c r="A10008" s="2" t="s">
        <v>352</v>
      </c>
      <c r="B10008" s="2" t="str">
        <f>IFERROR(__xludf.DUMMYFUNCTION("IF(A10008&lt;&gt;"""", GOOGLETRANSLATE(A10008, ""en"", ""te""),"""")"),"[ 'బ్యాటింగ్ ప్రారంభించుటకు మరియు అదే మ్యాచ్ లో బౌలింగ్']")</f>
        <v>[ 'బ్యాటింగ్ ప్రారంభించుటకు మరియు అదే మ్యాచ్ లో బౌలింగ్']</v>
      </c>
      <c r="C10008" s="2"/>
      <c r="D10008" s="2" t="str">
        <f>IFERROR(__xludf.DUMMYFUNCTION("IF(C10008&lt;&gt;"""", GOOGLETRANSLATE(C10008, ""en"", ""te""),"""")"),"")</f>
        <v/>
      </c>
      <c r="E10008" s="2"/>
      <c r="F10008" s="2" t="str">
        <f>IFERROR(__xludf.DUMMYFUNCTION("IF(E10008&lt;&gt;"""", GOOGLETRANSLATE(E10008, ""en"", ""te""),"""")"),"")</f>
        <v/>
      </c>
      <c r="G10008" s="2" t="s">
        <v>5794</v>
      </c>
      <c r="H10008" s="2" t="str">
        <f>IFERROR(__xludf.DUMMYFUNCTION("IF(G10008&lt;&gt;"""", GOOGLETRANSLATE(G10008, ""en"", ""te""),"""")"),"[ '32 వ ఇన్నింగ్స్ లో అత్యధిక పరుగులు (బ్యాటింగ్ స్థానంలో ప్రకారం) (31 *)', '46 వ కెరీర్ లో అత్యధిక వికెట్లు (46)', '20 వ అత్యుత్తమ బౌలింగ్ ఇన్నింగ్స్ లో విశ్లేషించడం (2/4)', '31 ఉత్తమ కెరీర్ బౌలింగ్ సగటు (20.28) ',' 43 వ ఉత్తమ కెరీర్ ఆర్థిక రేటు (6.99) '"&amp;",' 38 వ ఉత్తమ కెరీర్ సమ్మె రేటు (17.3) ',' 17 వ బౌలర్ / బ్యాట్స్ కలయికలు (3) ',' 48 వ అత్యధిక వికెట్లు బౌల్డ్ (10) తీసుకువెళ్లారు, '37 వ అత్యంత తీసుకోబడిన వికెట్ల ఆకర్షించింది (33)', '43 వ అత్యంత ఆకర్షించింది తీసుకోబడిన వికెట్ల ను ఫీల్డర్ (26)', '22 వ అత్"&amp;"యధిక వికెట్లు ఒక వికెట్ కీపర్ చే కాట్ తీసుకోకూడదు (7)', '50 వ అత్యధిక మ్యాచ్లు కెప్టెన్గా (16)']")</f>
        <v>[ '32 వ ఇన్నింగ్స్ లో అత్యధిక పరుగులు (బ్యాటింగ్ స్థానంలో ప్రకారం) (31 *)', '46 వ కెరీర్ లో అత్యధిక వికెట్లు (46)', '20 వ అత్యుత్తమ బౌలింగ్ ఇన్నింగ్స్ లో విశ్లేషించడం (2/4)', '31 ఉత్తమ కెరీర్ బౌలింగ్ సగటు (20.28) ',' 43 వ ఉత్తమ కెరీర్ ఆర్థిక రేటు (6.99) ',' 38 వ ఉత్తమ కెరీర్ సమ్మె రేటు (17.3) ',' 17 వ బౌలర్ / బ్యాట్స్ కలయికలు (3) ',' 48 వ అత్యధిక వికెట్లు బౌల్డ్ (10) తీసుకువెళ్లారు, '37 వ అత్యంత తీసుకోబడిన వికెట్ల ఆకర్షించింది (33)', '43 వ అత్యంత ఆకర్షించింది తీసుకోబడిన వికెట్ల ను ఫీల్డర్ (26)', '22 వ అత్యధిక వికెట్లు ఒక వికెట్ కీపర్ చే కాట్ తీసుకోకూడదు (7)', '50 వ అత్యధిక మ్యాచ్లు కెప్టెన్గా (16)']</v>
      </c>
      <c r="I10008" s="3"/>
    </row>
    <row r="10009" customHeight="1" spans="1:9">
      <c r="A10009" s="2"/>
      <c r="B10009" s="2" t="str">
        <f>IFERROR(__xludf.DUMMYFUNCTION("IF(A10009&lt;&gt;"""", GOOGLETRANSLATE(A10009, ""en"", ""te""),"""")"),"")</f>
        <v/>
      </c>
      <c r="C10009" s="2"/>
      <c r="D10009" s="2" t="str">
        <f>IFERROR(__xludf.DUMMYFUNCTION("IF(C10009&lt;&gt;"""", GOOGLETRANSLATE(C10009, ""en"", ""te""),"""")"),"")</f>
        <v/>
      </c>
      <c r="E10009" s="2"/>
      <c r="F10009" s="2" t="str">
        <f>IFERROR(__xludf.DUMMYFUNCTION("IF(E10009&lt;&gt;"""", GOOGLETRANSLATE(E10009, ""en"", ""te""),"""")"),"")</f>
        <v/>
      </c>
      <c r="G10009" s="2"/>
      <c r="H10009" s="2" t="str">
        <f>IFERROR(__xludf.DUMMYFUNCTION("IF(G10009&lt;&gt;"""", GOOGLETRANSLATE(G10009, ""en"", ""te""),"""")"),"")</f>
        <v/>
      </c>
      <c r="I10009" s="3"/>
    </row>
    <row r="10010" customHeight="1" spans="1:9">
      <c r="A10010" s="2"/>
      <c r="B10010" s="2" t="str">
        <f>IFERROR(__xludf.DUMMYFUNCTION("IF(A10010&lt;&gt;"""", GOOGLETRANSLATE(A10010, ""en"", ""te""),"""")"),"")</f>
        <v/>
      </c>
      <c r="C10010" s="2"/>
      <c r="D10010" s="2" t="str">
        <f>IFERROR(__xludf.DUMMYFUNCTION("IF(C10010&lt;&gt;"""", GOOGLETRANSLATE(C10010, ""en"", ""te""),"""")"),"")</f>
        <v/>
      </c>
      <c r="E10010" s="2"/>
      <c r="F10010" s="2" t="str">
        <f>IFERROR(__xludf.DUMMYFUNCTION("IF(E10010&lt;&gt;"""", GOOGLETRANSLATE(E10010, ""en"", ""te""),"""")"),"")</f>
        <v/>
      </c>
      <c r="G10010" s="2"/>
      <c r="H10010" s="2" t="str">
        <f>IFERROR(__xludf.DUMMYFUNCTION("IF(G10010&lt;&gt;"""", GOOGLETRANSLATE(G10010, ""en"", ""te""),"""")"),"")</f>
        <v/>
      </c>
      <c r="I10010" s="3"/>
    </row>
    <row r="10011" customHeight="1" spans="1:9">
      <c r="A10011" s="2" t="s">
        <v>5795</v>
      </c>
      <c r="B10011" s="2" t="str">
        <f>IFERROR(__xludf.DUMMYFUNCTION("IF(A10011&lt;&gt;"""", GOOGLETRANSLATE(A10011, ""en"", ""te""),"""")"),"[కోసం, 'ఇన్నింగ్స్ లో 1 వ అత్యధిక క్యాచ్లు (4)', '3 వ అత్యధిక ఇన్నింగ్స్ పూర్తి (69.71) లో పరుగులు శాతం', '9 వ అత్యధిక భాగస్వామ్యం' పరాజయం వైపు (122) ఒక మ్యాచ్లో 2nd అత్యధిక పరుగులు ' మూడో వికెట్ (127 *) ']")</f>
        <v>[కోసం, 'ఇన్నింగ్స్ లో 1 వ అత్యధిక క్యాచ్లు (4)', '3 వ అత్యధిక ఇన్నింగ్స్ పూర్తి (69.71) లో పరుగులు శాతం', '9 వ అత్యధిక భాగస్వామ్యం' పరాజయం వైపు (122) ఒక మ్యాచ్లో 2nd అత్యధిక పరుగులు ' మూడో వికెట్ (127 *) ']</v>
      </c>
      <c r="C10011" s="2"/>
      <c r="D10011" s="2" t="str">
        <f>IFERROR(__xludf.DUMMYFUNCTION("IF(C10011&lt;&gt;"""", GOOGLETRANSLATE(C10011, ""en"", ""te""),"""")"),"")</f>
        <v/>
      </c>
      <c r="E10011" s="2" t="s">
        <v>5796</v>
      </c>
      <c r="F10011" s="2" t="str">
        <f>IFERROR(__xludf.DUMMYFUNCTION("IF(E10011&lt;&gt;"""", GOOGLETRANSLATE(E10011, ""en"", ""te""),"""")"),"[ '38 వ పిన్న కాప్టెన్ (24y 247d)']")</f>
        <v>[ '38 వ పిన్న కాప్టెన్ (24y 247d)']</v>
      </c>
      <c r="G10011" s="2" t="s">
        <v>5797</v>
      </c>
      <c r="H10011" s="2" t="str">
        <f>IFERROR(__xludf.DUMMYFUNCTION("IF(G10011&lt;&gt;"""", GOOGLETRANSLATE(G10011, ""en"", ""te""),"""")"),"[ '12 వ ఇన్నింగ్స్ లో అత్యధిక పరుగులు (122)' 'ఇన్నింగ్స్ లో 2 వ అత్యధిక పరుగులు (బ్యాటింగ్ స్థానంలో ప్రకారం) (122)', '42 వ ఎక్కువ సిక్స్' పరాజయం వైపు (122) ఒక మ్యాచ్లో 2nd అత్యధిక పరుగులు ' ఒక ఇన్నింగ్స్ లో (7) ',' 29th ఇన్నింగ్స్ లో ఫోర్లు, సిక్సర్లు ను"&amp;"ండి అత్యధిక పరుగులు (78) ',' 3 వ అత్యధిక ఇన్నింగ్స్ లో ఒక ఇన్నింగ్స్ పూర్తి (69.71) ',' 1 వ అత్యధిక క్యాచ్లు పరుగులు శాతం (4) ' , 'మూడో వికెట్కు 9 వ అత్యధిక భాగస్వామ్యం (127 *)', '28th పిన్న కాప్టెన్ (24y 244d)']")</f>
        <v>[ '12 వ ఇన్నింగ్స్ లో అత్యధిక పరుగులు (122)' 'ఇన్నింగ్స్ లో 2 వ అత్యధిక పరుగులు (బ్యాటింగ్ స్థానంలో ప్రకారం) (122)', '42 వ ఎక్కువ సిక్స్' పరాజయం వైపు (122) ఒక మ్యాచ్లో 2nd అత్యధిక పరుగులు ' ఒక ఇన్నింగ్స్ లో (7) ',' 29th ఇన్నింగ్స్ లో ఫోర్లు, సిక్సర్లు నుండి అత్యధిక పరుగులు (78) ',' 3 వ అత్యధిక ఇన్నింగ్స్ లో ఒక ఇన్నింగ్స్ పూర్తి (69.71) ',' 1 వ అత్యధిక క్యాచ్లు పరుగులు శాతం (4) ' , 'మూడో వికెట్కు 9 వ అత్యధిక భాగస్వామ్యం (127 *)', '28th పిన్న కాప్టెన్ (24y 244d)']</v>
      </c>
      <c r="I10011" s="3"/>
    </row>
    <row r="10012" customHeight="1" spans="1:9">
      <c r="A10012" s="2"/>
      <c r="B10012" s="2" t="str">
        <f>IFERROR(__xludf.DUMMYFUNCTION("IF(A10012&lt;&gt;"""", GOOGLETRANSLATE(A10012, ""en"", ""te""),"""")"),"")</f>
        <v/>
      </c>
      <c r="C10012" s="2"/>
      <c r="D10012" s="2" t="str">
        <f>IFERROR(__xludf.DUMMYFUNCTION("IF(C10012&lt;&gt;"""", GOOGLETRANSLATE(C10012, ""en"", ""te""),"""")"),"")</f>
        <v/>
      </c>
      <c r="E10012" s="2"/>
      <c r="F10012" s="2" t="str">
        <f>IFERROR(__xludf.DUMMYFUNCTION("IF(E10012&lt;&gt;"""", GOOGLETRANSLATE(E10012, ""en"", ""te""),"""")"),"")</f>
        <v/>
      </c>
      <c r="G10012" s="2"/>
      <c r="H10012" s="2" t="str">
        <f>IFERROR(__xludf.DUMMYFUNCTION("IF(G10012&lt;&gt;"""", GOOGLETRANSLATE(G10012, ""en"", ""te""),"""")"),"")</f>
        <v/>
      </c>
      <c r="I10012" s="3"/>
    </row>
    <row r="10013" customHeight="1" spans="1:9">
      <c r="A10013" s="2"/>
      <c r="B10013" s="2" t="str">
        <f>IFERROR(__xludf.DUMMYFUNCTION("IF(A10013&lt;&gt;"""", GOOGLETRANSLATE(A10013, ""en"", ""te""),"""")"),"")</f>
        <v/>
      </c>
      <c r="C10013" s="2"/>
      <c r="D10013" s="2" t="str">
        <f>IFERROR(__xludf.DUMMYFUNCTION("IF(C10013&lt;&gt;"""", GOOGLETRANSLATE(C10013, ""en"", ""te""),"""")"),"")</f>
        <v/>
      </c>
      <c r="E10013" s="2"/>
      <c r="F10013" s="2" t="str">
        <f>IFERROR(__xludf.DUMMYFUNCTION("IF(E10013&lt;&gt;"""", GOOGLETRANSLATE(E10013, ""en"", ""te""),"""")"),"")</f>
        <v/>
      </c>
      <c r="G10013" s="2"/>
      <c r="H10013" s="2" t="str">
        <f>IFERROR(__xludf.DUMMYFUNCTION("IF(G10013&lt;&gt;"""", GOOGLETRANSLATE(G10013, ""en"", ""te""),"""")"),"")</f>
        <v/>
      </c>
      <c r="I10013" s="3"/>
    </row>
    <row r="10014" customHeight="1" spans="1:9">
      <c r="A10014" s="2" t="s">
        <v>4522</v>
      </c>
      <c r="B10014" s="2" t="str">
        <f>IFERROR(__xludf.DUMMYFUNCTION("IF(A10014&lt;&gt;"""", GOOGLETRANSLATE(A10014, ""en"", ""te""),"""")"),"[ 'ఒక కెప్టెన్తో ఒక ఇన్నింగ్స్ లో 1 వ బెస్ట్ ఫిగర్స్ (5)']")</f>
        <v>[ 'ఒక కెప్టెన్తో ఒక ఇన్నింగ్స్ లో 1 వ బెస్ట్ ఫిగర్స్ (5)']</v>
      </c>
      <c r="C10014" s="2"/>
      <c r="D10014" s="2" t="str">
        <f>IFERROR(__xludf.DUMMYFUNCTION("IF(C10014&lt;&gt;"""", GOOGLETRANSLATE(C10014, ""en"", ""te""),"""")"),"")</f>
        <v/>
      </c>
      <c r="E10014" s="2"/>
      <c r="F10014" s="2" t="str">
        <f>IFERROR(__xludf.DUMMYFUNCTION("IF(E10014&lt;&gt;"""", GOOGLETRANSLATE(E10014, ""en"", ""te""),"""")"),"")</f>
        <v/>
      </c>
      <c r="G10014" s="2" t="s">
        <v>5798</v>
      </c>
      <c r="H10014" s="2" t="str">
        <f>IFERROR(__xludf.DUMMYFUNCTION("IF(G10014&lt;&gt;"""", GOOGLETRANSLATE(G10014, ""en"", ""te""),"""")"),"[ '13 వ ఇన్నింగ్స్ లో బెస్ట్ ఫిగర్స్ (5/7)', '11 వ ఒక క్యాలెండర్ సంవత్సరంలో అత్యధిక వికెట్లు (23)', ఒక సింగిల్, '19 వ అత్యధిక వికెట్లు' 7th అత్యుత్తమ బౌలింగ్ ఇన్నింగ్స్ (5/7) విశ్లేషణలలో ' భూమి (10) ',' ఒక కెప్టెన్ (5) ',' 43 వ ఉత్తమ కెరీర్ బౌలింగ్ ద్వారా"&amp;" ఒక ఇన్నింగ్స్ లో 1 వ బెస్ట్ ఫిగర్స్ సగటు (అర్హత లేకుండా) (7.26) ',' ఇన్నింగ్స్ లో 41 వ ఉత్తమ ఆర్థిక రేటు (0.66) ',' నాలుగో వికెట్కు 45 వ అత్యధిక భాగస్వామ్యం (61 *) ',' 40 వ పిన్న కాప్టెన్ (22y 190d) ',' 20 వ కెరీర్ (7) అత్యంత పనికత్తెలయొద్ద ']")</f>
        <v>[ '13 వ ఇన్నింగ్స్ లో బెస్ట్ ఫిగర్స్ (5/7)', '11 వ ఒక క్యాలెండర్ సంవత్సరంలో అత్యధిక వికెట్లు (23)', ఒక సింగిల్, '19 వ అత్యధిక వికెట్లు' 7th అత్యుత్తమ బౌలింగ్ ఇన్నింగ్స్ (5/7) విశ్లేషణలలో ' భూమి (10) ',' ఒక కెప్టెన్ (5) ',' 43 వ ఉత్తమ కెరీర్ బౌలింగ్ ద్వారా ఒక ఇన్నింగ్స్ లో 1 వ బెస్ట్ ఫిగర్స్ సగటు (అర్హత లేకుండా) (7.26) ',' ఇన్నింగ్స్ లో 41 వ ఉత్తమ ఆర్థిక రేటు (0.66) ',' నాలుగో వికెట్కు 45 వ అత్యధిక భాగస్వామ్యం (61 *) ',' 40 వ పిన్న కాప్టెన్ (22y 190d) ',' 20 వ కెరీర్ (7) అత్యంత పనికత్తెలయొద్ద ']</v>
      </c>
      <c r="I10014" s="3"/>
    </row>
    <row r="10015" customHeight="1" spans="1:9">
      <c r="A10015" s="2"/>
      <c r="B10015" s="2" t="str">
        <f>IFERROR(__xludf.DUMMYFUNCTION("IF(A10015&lt;&gt;"""", GOOGLETRANSLATE(A10015, ""en"", ""te""),"""")"),"")</f>
        <v/>
      </c>
      <c r="C10015" s="2"/>
      <c r="D10015" s="2" t="str">
        <f>IFERROR(__xludf.DUMMYFUNCTION("IF(C10015&lt;&gt;"""", GOOGLETRANSLATE(C10015, ""en"", ""te""),"""")"),"")</f>
        <v/>
      </c>
      <c r="E10015" s="2"/>
      <c r="F10015" s="2" t="str">
        <f>IFERROR(__xludf.DUMMYFUNCTION("IF(E10015&lt;&gt;"""", GOOGLETRANSLATE(E10015, ""en"", ""te""),"""")"),"")</f>
        <v/>
      </c>
      <c r="G10015" s="2"/>
      <c r="H10015" s="2" t="str">
        <f>IFERROR(__xludf.DUMMYFUNCTION("IF(G10015&lt;&gt;"""", GOOGLETRANSLATE(G10015, ""en"", ""te""),"""")"),"")</f>
        <v/>
      </c>
      <c r="I10015" s="3"/>
    </row>
    <row r="10016" customHeight="1" spans="1:9">
      <c r="A10016" s="2" t="s">
        <v>153</v>
      </c>
      <c r="B10016" s="2" t="str">
        <f>IFERROR(__xludf.DUMMYFUNCTION("IF(A10016&lt;&gt;"""", GOOGLETRANSLATE(A10016, ""en"", ""te""),"""")"),"[ 'రెండు దేశాలకు ప్రాతినిధ్యం']")</f>
        <v>[ 'రెండు దేశాలకు ప్రాతినిధ్యం']</v>
      </c>
      <c r="C10016" s="2"/>
      <c r="D10016" s="2" t="str">
        <f>IFERROR(__xludf.DUMMYFUNCTION("IF(C10016&lt;&gt;"""", GOOGLETRANSLATE(C10016, ""en"", ""te""),"""")"),"")</f>
        <v/>
      </c>
      <c r="E10016" s="2"/>
      <c r="F10016" s="2" t="str">
        <f>IFERROR(__xludf.DUMMYFUNCTION("IF(E10016&lt;&gt;"""", GOOGLETRANSLATE(E10016, ""en"", ""te""),"""")"),"")</f>
        <v/>
      </c>
      <c r="G10016" s="2" t="s">
        <v>5799</v>
      </c>
      <c r="H10016" s="2" t="str">
        <f>IFERROR(__xludf.DUMMYFUNCTION("IF(G10016&lt;&gt;"""", GOOGLETRANSLATE(G10016, ""en"", ""te""),"""")"),"[ 'తొలి 17 ఓల్డెస్ట్ క్రీడాకారులు (44y 30D)', '19 వ ఓల్డెస్ట్ క్రీడాకారులు (44y 34d)', '32 వ పురాతన దేశం ఆటగాళ్ళు (49y 36d)']")</f>
        <v>[ 'తొలి 17 ఓల్డెస్ట్ క్రీడాకారులు (44y 30D)', '19 వ ఓల్డెస్ట్ క్రీడాకారులు (44y 34d)', '32 వ పురాతన దేశం ఆటగాళ్ళు (49y 36d)']</v>
      </c>
      <c r="I10016" s="3"/>
    </row>
    <row r="10017" customHeight="1" spans="1:9">
      <c r="A10017" s="2"/>
      <c r="B10017" s="2" t="str">
        <f>IFERROR(__xludf.DUMMYFUNCTION("IF(A10017&lt;&gt;"""", GOOGLETRANSLATE(A10017, ""en"", ""te""),"""")"),"")</f>
        <v/>
      </c>
      <c r="C10017" s="2"/>
      <c r="D10017" s="2" t="str">
        <f>IFERROR(__xludf.DUMMYFUNCTION("IF(C10017&lt;&gt;"""", GOOGLETRANSLATE(C10017, ""en"", ""te""),"""")"),"")</f>
        <v/>
      </c>
      <c r="E10017" s="2"/>
      <c r="F10017" s="2" t="str">
        <f>IFERROR(__xludf.DUMMYFUNCTION("IF(E10017&lt;&gt;"""", GOOGLETRANSLATE(E10017, ""en"", ""te""),"""")"),"")</f>
        <v/>
      </c>
      <c r="G10017" s="2" t="s">
        <v>5800</v>
      </c>
      <c r="H10017" s="2" t="str">
        <f>IFERROR(__xludf.DUMMYFUNCTION("IF(G10017&lt;&gt;"""", GOOGLETRANSLATE(G10017, ""en"", ""te""),"""")"),"[ '23 వ ఇన్నింగ్స్ లో సాధించిన బైస్ (5)']")</f>
        <v>[ '23 వ ఇన్నింగ్స్ లో సాధించిన బైస్ (5)']</v>
      </c>
      <c r="I10017" s="3"/>
    </row>
    <row r="10018" customHeight="1" spans="1:9">
      <c r="A10018" s="2"/>
      <c r="B10018" s="2" t="str">
        <f>IFERROR(__xludf.DUMMYFUNCTION("IF(A10018&lt;&gt;"""", GOOGLETRANSLATE(A10018, ""en"", ""te""),"""")"),"")</f>
        <v/>
      </c>
      <c r="C10018" s="2"/>
      <c r="D10018" s="2" t="str">
        <f>IFERROR(__xludf.DUMMYFUNCTION("IF(C10018&lt;&gt;"""", GOOGLETRANSLATE(C10018, ""en"", ""te""),"""")"),"")</f>
        <v/>
      </c>
      <c r="E10018" s="2"/>
      <c r="F10018" s="2" t="str">
        <f>IFERROR(__xludf.DUMMYFUNCTION("IF(E10018&lt;&gt;"""", GOOGLETRANSLATE(E10018, ""en"", ""te""),"""")"),"")</f>
        <v/>
      </c>
      <c r="G10018" s="2" t="s">
        <v>5801</v>
      </c>
      <c r="H10018" s="2" t="str">
        <f>IFERROR(__xludf.DUMMYFUNCTION("IF(G10018&lt;&gt;"""", GOOGLETRANSLATE(G10018, ""en"", ""te""),"""")"),"[ '38 వ ఇన్నింగ్స్ లో అత్యధిక పరుగులు (బ్యాటింగ్ స్థానంలో ప్రకారం) (42 *)']")</f>
        <v>[ '38 వ ఇన్నింగ్స్ లో అత్యధిక పరుగులు (బ్యాటింగ్ స్థానంలో ప్రకారం) (42 *)']</v>
      </c>
      <c r="I10018" s="3"/>
    </row>
    <row r="10019" customHeight="1" spans="1:9">
      <c r="A10019" s="2"/>
      <c r="B10019" s="2" t="str">
        <f>IFERROR(__xludf.DUMMYFUNCTION("IF(A10019&lt;&gt;"""", GOOGLETRANSLATE(A10019, ""en"", ""te""),"""")"),"")</f>
        <v/>
      </c>
      <c r="C10019" s="2"/>
      <c r="D10019" s="2" t="str">
        <f>IFERROR(__xludf.DUMMYFUNCTION("IF(C10019&lt;&gt;"""", GOOGLETRANSLATE(C10019, ""en"", ""te""),"""")"),"")</f>
        <v/>
      </c>
      <c r="E10019" s="2"/>
      <c r="F10019" s="2" t="str">
        <f>IFERROR(__xludf.DUMMYFUNCTION("IF(E10019&lt;&gt;"""", GOOGLETRANSLATE(E10019, ""en"", ""te""),"""")"),"")</f>
        <v/>
      </c>
      <c r="G10019" s="2"/>
      <c r="H10019" s="2" t="str">
        <f>IFERROR(__xludf.DUMMYFUNCTION("IF(G10019&lt;&gt;"""", GOOGLETRANSLATE(G10019, ""en"", ""te""),"""")"),"")</f>
        <v/>
      </c>
      <c r="I10019" s="3"/>
    </row>
    <row r="10020" customHeight="1" spans="1:9">
      <c r="A10020" s="2"/>
      <c r="B10020" s="2" t="str">
        <f>IFERROR(__xludf.DUMMYFUNCTION("IF(A10020&lt;&gt;"""", GOOGLETRANSLATE(A10020, ""en"", ""te""),"""")"),"")</f>
        <v/>
      </c>
      <c r="C10020" s="2"/>
      <c r="D10020" s="2" t="str">
        <f>IFERROR(__xludf.DUMMYFUNCTION("IF(C10020&lt;&gt;"""", GOOGLETRANSLATE(C10020, ""en"", ""te""),"""")"),"")</f>
        <v/>
      </c>
      <c r="E10020" s="2"/>
      <c r="F10020" s="2" t="str">
        <f>IFERROR(__xludf.DUMMYFUNCTION("IF(E10020&lt;&gt;"""", GOOGLETRANSLATE(E10020, ""en"", ""te""),"""")"),"")</f>
        <v/>
      </c>
      <c r="G10020" s="2"/>
      <c r="H10020" s="2" t="str">
        <f>IFERROR(__xludf.DUMMYFUNCTION("IF(G10020&lt;&gt;"""", GOOGLETRANSLATE(G10020, ""en"", ""te""),"""")"),"")</f>
        <v/>
      </c>
      <c r="I10020" s="3"/>
    </row>
    <row r="10021" customHeight="1" spans="1:9">
      <c r="A10021" s="2"/>
      <c r="B10021" s="2" t="str">
        <f>IFERROR(__xludf.DUMMYFUNCTION("IF(A10021&lt;&gt;"""", GOOGLETRANSLATE(A10021, ""en"", ""te""),"""")"),"")</f>
        <v/>
      </c>
      <c r="C10021" s="2"/>
      <c r="D10021" s="2" t="str">
        <f>IFERROR(__xludf.DUMMYFUNCTION("IF(C10021&lt;&gt;"""", GOOGLETRANSLATE(C10021, ""en"", ""te""),"""")"),"")</f>
        <v/>
      </c>
      <c r="E10021" s="2"/>
      <c r="F10021" s="2" t="str">
        <f>IFERROR(__xludf.DUMMYFUNCTION("IF(E10021&lt;&gt;"""", GOOGLETRANSLATE(E10021, ""en"", ""te""),"""")"),"")</f>
        <v/>
      </c>
      <c r="G10021" s="2" t="s">
        <v>4079</v>
      </c>
      <c r="H10021" s="2" t="str">
        <f>IFERROR(__xludf.DUMMYFUNCTION("IF(G10021&lt;&gt;"""", GOOGLETRANSLATE(G10021, ""en"", ""te""),"""")"),"[ '19 కెరీర్ పనికత్తెలయొద్ద (3)']")</f>
        <v>[ '19 కెరీర్ పనికత్తెలయొద్ద (3)']</v>
      </c>
      <c r="I10021" s="3"/>
    </row>
    <row r="10022" customHeight="1" spans="1:9">
      <c r="A10022" s="2" t="s">
        <v>1781</v>
      </c>
      <c r="B10022" s="2" t="str">
        <f>IFERROR(__xludf.DUMMYFUNCTION("IF(A10022&lt;&gt;"""", GOOGLETRANSLATE(A10022, ""en"", ""te""),"""")"),"[ 'ఇన్నింగ్స్ లో 3 వ అత్యధిక క్యాచ్లు (3)']")</f>
        <v>[ 'ఇన్నింగ్స్ లో 3 వ అత్యధిక క్యాచ్లు (3)']</v>
      </c>
      <c r="C10022" s="2"/>
      <c r="D10022" s="2" t="str">
        <f>IFERROR(__xludf.DUMMYFUNCTION("IF(C10022&lt;&gt;"""", GOOGLETRANSLATE(C10022, ""en"", ""te""),"""")"),"")</f>
        <v/>
      </c>
      <c r="E10022" s="2"/>
      <c r="F10022" s="2" t="str">
        <f>IFERROR(__xludf.DUMMYFUNCTION("IF(E10022&lt;&gt;"""", GOOGLETRANSLATE(E10022, ""en"", ""te""),"""")"),"")</f>
        <v/>
      </c>
      <c r="G10022" s="2" t="s">
        <v>5802</v>
      </c>
      <c r="H10022" s="2" t="str">
        <f>IFERROR(__xludf.DUMMYFUNCTION("IF(G10022&lt;&gt;"""", GOOGLETRANSLATE(G10022, ""en"", ""te""),"""")"),"[ '34 వ కెరీర్ బాతులు (5)', 'ఇన్నింగ్స్ లో 3 వ అత్యధిక క్యాచ్లు (3)', '41 వ అత్యధిక మ్యాచ్లు కెప్టెన్గా (11)', '48 వ పిన్న కాప్టెన్ (23y 53d)']")</f>
        <v>[ '34 వ కెరీర్ బాతులు (5)', 'ఇన్నింగ్స్ లో 3 వ అత్యధిక క్యాచ్లు (3)', '41 వ అత్యధిక మ్యాచ్లు కెప్టెన్గా (11)', '48 వ పిన్న కాప్టెన్ (23y 53d)']</v>
      </c>
      <c r="I10022" s="3"/>
    </row>
    <row r="10023" customHeight="1" spans="1:9">
      <c r="A10023" s="2" t="s">
        <v>5803</v>
      </c>
      <c r="B10023" s="2" t="str">
        <f>IFERROR(__xludf.DUMMYFUNCTION("IF(A10023&lt;&gt;"""", GOOGLETRANSLATE(A10023, ""en"", ""te""),"""")"),"[ 'ఒక ఇన్నింగ్స్ లో 8 వ బెస్ట్ ఫిగర్స్ ఉన్నప్పుడు పరాజయం వైపు (4)', 'ఇన్నింగ్స్ లో 6 వ ఉత్తమ సమ్మె రేటు (3.0)', '1 వ వరుస నాలుగు వికెట్లు-ఇన్-ఒక-ఇన్నింగ్స్ (2)']")</f>
        <v>[ 'ఒక ఇన్నింగ్స్ లో 8 వ బెస్ట్ ఫిగర్స్ ఉన్నప్పుడు పరాజయం వైపు (4)', 'ఇన్నింగ్స్ లో 6 వ ఉత్తమ సమ్మె రేటు (3.0)', '1 వ వరుస నాలుగు వికెట్లు-ఇన్-ఒక-ఇన్నింగ్స్ (2)']</v>
      </c>
      <c r="C10023" s="2"/>
      <c r="D10023" s="2" t="str">
        <f>IFERROR(__xludf.DUMMYFUNCTION("IF(C10023&lt;&gt;"""", GOOGLETRANSLATE(C10023, ""en"", ""te""),"""")"),"")</f>
        <v/>
      </c>
      <c r="E10023" s="2"/>
      <c r="F10023" s="2" t="str">
        <f>IFERROR(__xludf.DUMMYFUNCTION("IF(E10023&lt;&gt;"""", GOOGLETRANSLATE(E10023, ""en"", ""te""),"""")"),"")</f>
        <v/>
      </c>
      <c r="G10023" s="2" t="s">
        <v>5804</v>
      </c>
      <c r="H10023" s="2" t="str">
        <f>IFERROR(__xludf.DUMMYFUNCTION("IF(G10023&lt;&gt;"""", GOOGLETRANSLATE(G10023, ""en"", ""te""),"""")"),"[ '29 ఇన్నింగ్స్ లో అత్యధిక పరుగులు (బ్యాటింగ్ స్థానంలో ప్రకారం) (68)', '40 వ లేవు బాతులు కెరీర్ లో (15)', '23 వ ఇన్నింగ్స్ లో బెస్ట్ ఫిగర్స్ (5/16)', '8 వ ఒక ఇన్నింగ్స్ లోని బెస్ట్ ఫిగర్స్ పరాజయం వైపు ఉన్నప్పుడు (4) ',' 6 వ ఉత్తమ సమ్మె ఇన్నింగ్స్ (3.0) "&amp;"',' 16 వ అత్యంత నాలుగు వికెట్లు-ఇన్-ఒక-ఇన్నింగ్స్ కెరీర్లో (2) ',' 1 వ వరుస నాలుగు వికెట్లు లో రేటు -ఇన్-ఒక-ఇన్నింగ్స్ (2) ',' ఆరవ వికెట్కు 21 అత్యధిక భాగస్వామ్యం (72) ']")</f>
        <v>[ '29 ఇన్నింగ్స్ లో అత్యధిక పరుగులు (బ్యాటింగ్ స్థానంలో ప్రకారం) (68)', '40 వ లేవు బాతులు కెరీర్ లో (15)', '23 వ ఇన్నింగ్స్ లో బెస్ట్ ఫిగర్స్ (5/16)', '8 వ ఒక ఇన్నింగ్స్ లోని బెస్ట్ ఫిగర్స్ పరాజయం వైపు ఉన్నప్పుడు (4) ',' 6 వ ఉత్తమ సమ్మె ఇన్నింగ్స్ (3.0) ',' 16 వ అత్యంత నాలుగు వికెట్లు-ఇన్-ఒక-ఇన్నింగ్స్ కెరీర్లో (2) ',' 1 వ వరుస నాలుగు వికెట్లు లో రేటు -ఇన్-ఒక-ఇన్నింగ్స్ (2) ',' ఆరవ వికెట్కు 21 అత్యధిక భాగస్వామ్యం (72) ']</v>
      </c>
      <c r="I10023" s="3"/>
    </row>
    <row r="10024" customHeight="1" spans="1:9">
      <c r="A10024" s="2"/>
      <c r="B10024" s="2" t="str">
        <f>IFERROR(__xludf.DUMMYFUNCTION("IF(A10024&lt;&gt;"""", GOOGLETRANSLATE(A10024, ""en"", ""te""),"""")"),"")</f>
        <v/>
      </c>
      <c r="C10024" s="2"/>
      <c r="D10024" s="2" t="str">
        <f>IFERROR(__xludf.DUMMYFUNCTION("IF(C10024&lt;&gt;"""", GOOGLETRANSLATE(C10024, ""en"", ""te""),"""")"),"")</f>
        <v/>
      </c>
      <c r="E10024" s="2"/>
      <c r="F10024" s="2" t="str">
        <f>IFERROR(__xludf.DUMMYFUNCTION("IF(E10024&lt;&gt;"""", GOOGLETRANSLATE(E10024, ""en"", ""te""),"""")"),"")</f>
        <v/>
      </c>
      <c r="G10024" s="2"/>
      <c r="H10024" s="2" t="str">
        <f>IFERROR(__xludf.DUMMYFUNCTION("IF(G10024&lt;&gt;"""", GOOGLETRANSLATE(G10024, ""en"", ""te""),"""")"),"")</f>
        <v/>
      </c>
      <c r="I10024" s="3"/>
    </row>
    <row r="10025" customHeight="1" spans="1:9">
      <c r="A10025" s="2"/>
      <c r="B10025" s="2" t="str">
        <f>IFERROR(__xludf.DUMMYFUNCTION("IF(A10025&lt;&gt;"""", GOOGLETRANSLATE(A10025, ""en"", ""te""),"""")"),"")</f>
        <v/>
      </c>
      <c r="C10025" s="2"/>
      <c r="D10025" s="2" t="str">
        <f>IFERROR(__xludf.DUMMYFUNCTION("IF(C10025&lt;&gt;"""", GOOGLETRANSLATE(C10025, ""en"", ""te""),"""")"),"")</f>
        <v/>
      </c>
      <c r="E10025" s="2"/>
      <c r="F10025" s="2" t="str">
        <f>IFERROR(__xludf.DUMMYFUNCTION("IF(E10025&lt;&gt;"""", GOOGLETRANSLATE(E10025, ""en"", ""te""),"""")"),"")</f>
        <v/>
      </c>
      <c r="G10025" s="2"/>
      <c r="H10025" s="2" t="str">
        <f>IFERROR(__xludf.DUMMYFUNCTION("IF(G10025&lt;&gt;"""", GOOGLETRANSLATE(G10025, ""en"", ""te""),"""")"),"")</f>
        <v/>
      </c>
      <c r="I10025" s="3"/>
    </row>
    <row r="10026" customHeight="1" spans="1:9">
      <c r="A10026" s="2"/>
      <c r="B10026" s="2" t="str">
        <f>IFERROR(__xludf.DUMMYFUNCTION("IF(A10026&lt;&gt;"""", GOOGLETRANSLATE(A10026, ""en"", ""te""),"""")"),"")</f>
        <v/>
      </c>
      <c r="C10026" s="2"/>
      <c r="D10026" s="2" t="str">
        <f>IFERROR(__xludf.DUMMYFUNCTION("IF(C10026&lt;&gt;"""", GOOGLETRANSLATE(C10026, ""en"", ""te""),"""")"),"")</f>
        <v/>
      </c>
      <c r="E10026" s="2"/>
      <c r="F10026" s="2" t="str">
        <f>IFERROR(__xludf.DUMMYFUNCTION("IF(E10026&lt;&gt;"""", GOOGLETRANSLATE(E10026, ""en"", ""te""),"""")"),"")</f>
        <v/>
      </c>
      <c r="G10026" s="2"/>
      <c r="H10026" s="2" t="str">
        <f>IFERROR(__xludf.DUMMYFUNCTION("IF(G10026&lt;&gt;"""", GOOGLETRANSLATE(G10026, ""en"", ""te""),"""")"),"")</f>
        <v/>
      </c>
      <c r="I10026" s="3"/>
    </row>
    <row r="10027" customHeight="1" spans="1:9">
      <c r="A10027" s="2"/>
      <c r="B10027" s="2" t="str">
        <f>IFERROR(__xludf.DUMMYFUNCTION("IF(A10027&lt;&gt;"""", GOOGLETRANSLATE(A10027, ""en"", ""te""),"""")"),"")</f>
        <v/>
      </c>
      <c r="C10027" s="2"/>
      <c r="D10027" s="2" t="str">
        <f>IFERROR(__xludf.DUMMYFUNCTION("IF(C10027&lt;&gt;"""", GOOGLETRANSLATE(C10027, ""en"", ""te""),"""")"),"")</f>
        <v/>
      </c>
      <c r="E10027" s="2"/>
      <c r="F10027" s="2" t="str">
        <f>IFERROR(__xludf.DUMMYFUNCTION("IF(E10027&lt;&gt;"""", GOOGLETRANSLATE(E10027, ""en"", ""te""),"""")"),"")</f>
        <v/>
      </c>
      <c r="G10027" s="2"/>
      <c r="H10027" s="2" t="str">
        <f>IFERROR(__xludf.DUMMYFUNCTION("IF(G10027&lt;&gt;"""", GOOGLETRANSLATE(G10027, ""en"", ""te""),"""")"),"")</f>
        <v/>
      </c>
      <c r="I10027" s="3"/>
    </row>
    <row r="10028" customHeight="1" spans="1:9">
      <c r="A10028" s="2"/>
      <c r="B10028" s="2" t="str">
        <f>IFERROR(__xludf.DUMMYFUNCTION("IF(A10028&lt;&gt;"""", GOOGLETRANSLATE(A10028, ""en"", ""te""),"""")"),"")</f>
        <v/>
      </c>
      <c r="C10028" s="2"/>
      <c r="D10028" s="2" t="str">
        <f>IFERROR(__xludf.DUMMYFUNCTION("IF(C10028&lt;&gt;"""", GOOGLETRANSLATE(C10028, ""en"", ""te""),"""")"),"")</f>
        <v/>
      </c>
      <c r="E10028" s="2"/>
      <c r="F10028" s="2" t="str">
        <f>IFERROR(__xludf.DUMMYFUNCTION("IF(E10028&lt;&gt;"""", GOOGLETRANSLATE(E10028, ""en"", ""te""),"""")"),"")</f>
        <v/>
      </c>
      <c r="G10028" s="2"/>
      <c r="H10028" s="2" t="str">
        <f>IFERROR(__xludf.DUMMYFUNCTION("IF(G10028&lt;&gt;"""", GOOGLETRANSLATE(G10028, ""en"", ""te""),"""")"),"")</f>
        <v/>
      </c>
      <c r="I10028" s="3"/>
    </row>
    <row r="10029" customHeight="1" spans="1:9">
      <c r="A10029" s="2"/>
      <c r="B10029" s="2" t="str">
        <f>IFERROR(__xludf.DUMMYFUNCTION("IF(A10029&lt;&gt;"""", GOOGLETRANSLATE(A10029, ""en"", ""te""),"""")"),"")</f>
        <v/>
      </c>
      <c r="C10029" s="2"/>
      <c r="D10029" s="2" t="str">
        <f>IFERROR(__xludf.DUMMYFUNCTION("IF(C10029&lt;&gt;"""", GOOGLETRANSLATE(C10029, ""en"", ""te""),"""")"),"")</f>
        <v/>
      </c>
      <c r="E10029" s="2"/>
      <c r="F10029" s="2" t="str">
        <f>IFERROR(__xludf.DUMMYFUNCTION("IF(E10029&lt;&gt;"""", GOOGLETRANSLATE(E10029, ""en"", ""te""),"""")"),"")</f>
        <v/>
      </c>
      <c r="G10029" s="2"/>
      <c r="H10029" s="2" t="str">
        <f>IFERROR(__xludf.DUMMYFUNCTION("IF(G10029&lt;&gt;"""", GOOGLETRANSLATE(G10029, ""en"", ""te""),"""")"),"")</f>
        <v/>
      </c>
      <c r="I10029" s="3"/>
    </row>
    <row r="10030" customHeight="1" spans="1:9">
      <c r="A10030" s="2"/>
      <c r="B10030" s="2" t="str">
        <f>IFERROR(__xludf.DUMMYFUNCTION("IF(A10030&lt;&gt;"""", GOOGLETRANSLATE(A10030, ""en"", ""te""),"""")"),"")</f>
        <v/>
      </c>
      <c r="C10030" s="2"/>
      <c r="D10030" s="2" t="str">
        <f>IFERROR(__xludf.DUMMYFUNCTION("IF(C10030&lt;&gt;"""", GOOGLETRANSLATE(C10030, ""en"", ""te""),"""")"),"")</f>
        <v/>
      </c>
      <c r="E10030" s="2"/>
      <c r="F10030" s="2" t="str">
        <f>IFERROR(__xludf.DUMMYFUNCTION("IF(E10030&lt;&gt;"""", GOOGLETRANSLATE(E10030, ""en"", ""te""),"""")"),"")</f>
        <v/>
      </c>
      <c r="G10030" s="2"/>
      <c r="H10030" s="2" t="str">
        <f>IFERROR(__xludf.DUMMYFUNCTION("IF(G10030&lt;&gt;"""", GOOGLETRANSLATE(G10030, ""en"", ""te""),"""")"),"")</f>
        <v/>
      </c>
      <c r="I10030" s="3"/>
    </row>
    <row r="10031" customHeight="1" spans="1:9">
      <c r="A10031" s="2"/>
      <c r="B10031" s="2" t="str">
        <f>IFERROR(__xludf.DUMMYFUNCTION("IF(A10031&lt;&gt;"""", GOOGLETRANSLATE(A10031, ""en"", ""te""),"""")"),"")</f>
        <v/>
      </c>
      <c r="C10031" s="2"/>
      <c r="D10031" s="2" t="str">
        <f>IFERROR(__xludf.DUMMYFUNCTION("IF(C10031&lt;&gt;"""", GOOGLETRANSLATE(C10031, ""en"", ""te""),"""")"),"")</f>
        <v/>
      </c>
      <c r="E10031" s="2"/>
      <c r="F10031" s="2" t="str">
        <f>IFERROR(__xludf.DUMMYFUNCTION("IF(E10031&lt;&gt;"""", GOOGLETRANSLATE(E10031, ""en"", ""te""),"""")"),"")</f>
        <v/>
      </c>
      <c r="G10031" s="2"/>
      <c r="H10031" s="2" t="str">
        <f>IFERROR(__xludf.DUMMYFUNCTION("IF(G10031&lt;&gt;"""", GOOGLETRANSLATE(G10031, ""en"", ""te""),"""")"),"")</f>
        <v/>
      </c>
      <c r="I10031" s="3"/>
    </row>
    <row r="10032" customHeight="1" spans="1:9">
      <c r="A10032" s="2"/>
      <c r="B10032" s="2" t="str">
        <f>IFERROR(__xludf.DUMMYFUNCTION("IF(A10032&lt;&gt;"""", GOOGLETRANSLATE(A10032, ""en"", ""te""),"""")"),"")</f>
        <v/>
      </c>
      <c r="C10032" s="2"/>
      <c r="D10032" s="2" t="str">
        <f>IFERROR(__xludf.DUMMYFUNCTION("IF(C10032&lt;&gt;"""", GOOGLETRANSLATE(C10032, ""en"", ""te""),"""")"),"")</f>
        <v/>
      </c>
      <c r="E10032" s="2"/>
      <c r="F10032" s="2" t="str">
        <f>IFERROR(__xludf.DUMMYFUNCTION("IF(E10032&lt;&gt;"""", GOOGLETRANSLATE(E10032, ""en"", ""te""),"""")"),"")</f>
        <v/>
      </c>
      <c r="G10032" s="2" t="s">
        <v>5805</v>
      </c>
      <c r="H10032" s="2" t="str">
        <f>IFERROR(__xludf.DUMMYFUNCTION("IF(G10032&lt;&gt;"""", GOOGLETRANSLATE(G10032, ""en"", ""te""),"""")"),"[ '11 వ ఇన్నింగ్స్ లో అత్యధిక పరుగులు (బ్యాటింగ్ స్థానంలో ప్రకారం) (40 *)', 'తొమ్మిదవ వికెట్కు 40 వ అత్యధిక భాగస్వామ్యం (27 *)', 'కెరీర్ లో 24 వ అత్యంత స్టంపింగ్లు (5)', '32 వ అత్యంత బైలు సాధించింది ఇన్నింగ్స్ (5) ']")</f>
        <v>[ '11 వ ఇన్నింగ్స్ లో అత్యధిక పరుగులు (బ్యాటింగ్ స్థానంలో ప్రకారం) (40 *)', 'తొమ్మిదవ వికెట్కు 40 వ అత్యధిక భాగస్వామ్యం (27 *)', 'కెరీర్ లో 24 వ అత్యంత స్టంపింగ్లు (5)', '32 వ అత్యంత బైలు సాధించింది ఇన్నింగ్స్ (5) ']</v>
      </c>
      <c r="I10032" s="3"/>
    </row>
    <row r="10033" customHeight="1" spans="1:9">
      <c r="A10033" s="2"/>
      <c r="B10033" s="2" t="str">
        <f>IFERROR(__xludf.DUMMYFUNCTION("IF(A10033&lt;&gt;"""", GOOGLETRANSLATE(A10033, ""en"", ""te""),"""")"),"")</f>
        <v/>
      </c>
      <c r="C10033" s="2"/>
      <c r="D10033" s="2" t="str">
        <f>IFERROR(__xludf.DUMMYFUNCTION("IF(C10033&lt;&gt;"""", GOOGLETRANSLATE(C10033, ""en"", ""te""),"""")"),"")</f>
        <v/>
      </c>
      <c r="E10033" s="2" t="s">
        <v>5806</v>
      </c>
      <c r="F10033" s="2" t="str">
        <f>IFERROR(__xludf.DUMMYFUNCTION("IF(E10033&lt;&gt;"""", GOOGLETRANSLATE(E10033, ""en"", ""te""),"""")"),"[ '16 వ పిన్న క్రీడాకారులు (16y 294d)']")</f>
        <v>[ '16 వ పిన్న క్రీడాకారులు (16y 294d)']</v>
      </c>
      <c r="G10033" s="2" t="s">
        <v>5807</v>
      </c>
      <c r="H10033" s="2" t="str">
        <f>IFERROR(__xludf.DUMMYFUNCTION("IF(G10033&lt;&gt;"""", GOOGLETRANSLATE(G10033, ""en"", ""te""),"""")"),"[ '11 వ ఇన్నింగ్స్ లో అత్యధిక పరుగులు (బ్యాటింగ్ స్థానంలో ప్రకారం) (10)', '19 వ కెరీర్ పనికత్తెలయొద్ద (3)']")</f>
        <v>[ '11 వ ఇన్నింగ్స్ లో అత్యధిక పరుగులు (బ్యాటింగ్ స్థానంలో ప్రకారం) (10)', '19 వ కెరీర్ పనికత్తెలయొద్ద (3)']</v>
      </c>
      <c r="I10033" s="3"/>
    </row>
    <row r="10034" customHeight="1" spans="1:9">
      <c r="A10034" s="2"/>
      <c r="B10034" s="2" t="str">
        <f>IFERROR(__xludf.DUMMYFUNCTION("IF(A10034&lt;&gt;"""", GOOGLETRANSLATE(A10034, ""en"", ""te""),"""")"),"")</f>
        <v/>
      </c>
      <c r="C10034" s="2"/>
      <c r="D10034" s="2" t="str">
        <f>IFERROR(__xludf.DUMMYFUNCTION("IF(C10034&lt;&gt;"""", GOOGLETRANSLATE(C10034, ""en"", ""te""),"""")"),"")</f>
        <v/>
      </c>
      <c r="E10034" s="2" t="s">
        <v>5808</v>
      </c>
      <c r="F10034" s="2" t="str">
        <f>IFERROR(__xludf.DUMMYFUNCTION("IF(E10034&lt;&gt;"""", GOOGLETRANSLATE(E10034, ""en"", ""te""),"""")"),"[ 'కెరీర్ లో 26 వ లేవు బాతులు (20)']")</f>
        <v>[ 'కెరీర్ లో 26 వ లేవు బాతులు (20)']</v>
      </c>
      <c r="G10034" s="2" t="s">
        <v>5809</v>
      </c>
      <c r="H10034" s="2" t="str">
        <f>IFERROR(__xludf.DUMMYFUNCTION("IF(G10034&lt;&gt;"""", GOOGLETRANSLATE(G10034, ""en"", ""te""),"""")"),"[ '32 వ కెరీర్ బాతులు (5)', 'ఒక జట్టు కోసం 19 వరుస మ్యాచ్లు (40 *)']")</f>
        <v>[ '32 వ కెరీర్ బాతులు (5)', 'ఒక జట్టు కోసం 19 వరుస మ్యాచ్లు (40 *)']</v>
      </c>
      <c r="I10034" s="3"/>
    </row>
    <row r="10035" customHeight="1" spans="1:9">
      <c r="A10035" s="2"/>
      <c r="B10035" s="2" t="str">
        <f>IFERROR(__xludf.DUMMYFUNCTION("IF(A10035&lt;&gt;"""", GOOGLETRANSLATE(A10035, ""en"", ""te""),"""")"),"")</f>
        <v/>
      </c>
      <c r="C10035" s="2"/>
      <c r="D10035" s="2" t="str">
        <f>IFERROR(__xludf.DUMMYFUNCTION("IF(C10035&lt;&gt;"""", GOOGLETRANSLATE(C10035, ""en"", ""te""),"""")"),"")</f>
        <v/>
      </c>
      <c r="E10035" s="2"/>
      <c r="F10035" s="2" t="str">
        <f>IFERROR(__xludf.DUMMYFUNCTION("IF(E10035&lt;&gt;"""", GOOGLETRANSLATE(E10035, ""en"", ""te""),"""")"),"")</f>
        <v/>
      </c>
      <c r="G10035" s="2" t="s">
        <v>5810</v>
      </c>
      <c r="H10035" s="2" t="str">
        <f>IFERROR(__xludf.DUMMYFUNCTION("IF(G10035&lt;&gt;"""", GOOGLETRANSLATE(G10035, ""en"", ""te""),"""")"),"[ '36 వ పిన్న క్రీడాకారులు (17y 24d)']")</f>
        <v>[ '36 వ పిన్న క్రీడాకారులు (17y 24d)']</v>
      </c>
      <c r="I10035" s="3"/>
    </row>
    <row r="10036" customHeight="1" spans="1:9">
      <c r="A10036" s="2"/>
      <c r="B10036" s="2" t="str">
        <f>IFERROR(__xludf.DUMMYFUNCTION("IF(A10036&lt;&gt;"""", GOOGLETRANSLATE(A10036, ""en"", ""te""),"""")"),"")</f>
        <v/>
      </c>
      <c r="C10036" s="2"/>
      <c r="D10036" s="2" t="str">
        <f>IFERROR(__xludf.DUMMYFUNCTION("IF(C10036&lt;&gt;"""", GOOGLETRANSLATE(C10036, ""en"", ""te""),"""")"),"")</f>
        <v/>
      </c>
      <c r="E10036" s="2"/>
      <c r="F10036" s="2" t="str">
        <f>IFERROR(__xludf.DUMMYFUNCTION("IF(E10036&lt;&gt;"""", GOOGLETRANSLATE(E10036, ""en"", ""te""),"""")"),"")</f>
        <v/>
      </c>
      <c r="G10036" s="2" t="s">
        <v>5811</v>
      </c>
      <c r="H10036" s="2" t="str">
        <f>IFERROR(__xludf.DUMMYFUNCTION("IF(G10036&lt;&gt;"""", GOOGLETRANSLATE(G10036, ""en"", ""te""),"""")"),"[ 'తొలి 31 ఓల్డెస్ట్ క్రీడాకారులు (42y 172d)', '36 వ ఓల్డెస్ట్ క్రీడాకారులు (42y 172d)', '27th పురాతన దేశం ఆటగాళ్ళు (49y 171d)']")</f>
        <v>[ 'తొలి 31 ఓల్డెస్ట్ క్రీడాకారులు (42y 172d)', '36 వ ఓల్డెస్ట్ క్రీడాకారులు (42y 172d)', '27th పురాతన దేశం ఆటగాళ్ళు (49y 171d)']</v>
      </c>
      <c r="I10036" s="3"/>
    </row>
    <row r="10037" customHeight="1" spans="1:9">
      <c r="A10037" s="2"/>
      <c r="B10037" s="2" t="str">
        <f>IFERROR(__xludf.DUMMYFUNCTION("IF(A10037&lt;&gt;"""", GOOGLETRANSLATE(A10037, ""en"", ""te""),"""")"),"")</f>
        <v/>
      </c>
      <c r="C10037" s="2"/>
      <c r="D10037" s="2" t="str">
        <f>IFERROR(__xludf.DUMMYFUNCTION("IF(C10037&lt;&gt;"""", GOOGLETRANSLATE(C10037, ""en"", ""te""),"""")"),"")</f>
        <v/>
      </c>
      <c r="E10037" s="2"/>
      <c r="F10037" s="2" t="str">
        <f>IFERROR(__xludf.DUMMYFUNCTION("IF(E10037&lt;&gt;"""", GOOGLETRANSLATE(E10037, ""en"", ""te""),"""")"),"")</f>
        <v/>
      </c>
      <c r="G10037" s="2" t="s">
        <v>5812</v>
      </c>
      <c r="H10037" s="2" t="str">
        <f>IFERROR(__xludf.DUMMYFUNCTION("IF(G10037&lt;&gt;"""", GOOGLETRANSLATE(G10037, ""en"", ""te""),"""")"),"[ 'ఏడవ వికెట్కు 49 వ అత్యధిక భాగస్వామ్యం (30)']")</f>
        <v>[ 'ఏడవ వికెట్కు 49 వ అత్యధిక భాగస్వామ్యం (30)']</v>
      </c>
      <c r="I10037" s="3"/>
    </row>
    <row r="10038" customHeight="1" spans="1:9">
      <c r="A10038" s="2"/>
      <c r="B10038" s="2" t="str">
        <f>IFERROR(__xludf.DUMMYFUNCTION("IF(A10038&lt;&gt;"""", GOOGLETRANSLATE(A10038, ""en"", ""te""),"""")"),"")</f>
        <v/>
      </c>
      <c r="C10038" s="2"/>
      <c r="D10038" s="2" t="str">
        <f>IFERROR(__xludf.DUMMYFUNCTION("IF(C10038&lt;&gt;"""", GOOGLETRANSLATE(C10038, ""en"", ""te""),"""")"),"")</f>
        <v/>
      </c>
      <c r="E10038" s="2"/>
      <c r="F10038" s="2" t="str">
        <f>IFERROR(__xludf.DUMMYFUNCTION("IF(E10038&lt;&gt;"""", GOOGLETRANSLATE(E10038, ""en"", ""te""),"""")"),"")</f>
        <v/>
      </c>
      <c r="G10038" s="2"/>
      <c r="H10038" s="2" t="str">
        <f>IFERROR(__xludf.DUMMYFUNCTION("IF(G10038&lt;&gt;"""", GOOGLETRANSLATE(G10038, ""en"", ""te""),"""")"),"")</f>
        <v/>
      </c>
      <c r="I10038" s="3"/>
    </row>
    <row r="10039" customHeight="1" spans="1:9">
      <c r="A10039" s="2" t="s">
        <v>5147</v>
      </c>
      <c r="B10039" s="2" t="str">
        <f>IFERROR(__xludf.DUMMYFUNCTION("IF(A10039&lt;&gt;"""", GOOGLETRANSLATE(A10039, ""en"", ""te""),"""")"),"[ '6 వ అత్యంత ఇన్నింగ్స్ లో సాధించిన బైస్ (9)']")</f>
        <v>[ '6 వ అత్యంత ఇన్నింగ్స్ లో సాధించిన బైస్ (9)']</v>
      </c>
      <c r="C10039" s="2"/>
      <c r="D10039" s="2" t="str">
        <f>IFERROR(__xludf.DUMMYFUNCTION("IF(C10039&lt;&gt;"""", GOOGLETRANSLATE(C10039, ""en"", ""te""),"""")"),"")</f>
        <v/>
      </c>
      <c r="E10039" s="2"/>
      <c r="F10039" s="2" t="str">
        <f>IFERROR(__xludf.DUMMYFUNCTION("IF(E10039&lt;&gt;"""", GOOGLETRANSLATE(E10039, ""en"", ""te""),"""")"),"")</f>
        <v/>
      </c>
      <c r="G10039" s="2" t="s">
        <v>5147</v>
      </c>
      <c r="H10039" s="2" t="str">
        <f>IFERROR(__xludf.DUMMYFUNCTION("IF(G10039&lt;&gt;"""", GOOGLETRANSLATE(G10039, ""en"", ""te""),"""")"),"[ '6 వ అత్యంత ఇన్నింగ్స్ లో సాధించిన బైస్ (9)']")</f>
        <v>[ '6 వ అత్యంత ఇన్నింగ్స్ లో సాధించిన బైస్ (9)']</v>
      </c>
      <c r="I10039" s="3"/>
    </row>
    <row r="10040" customHeight="1" spans="1:9">
      <c r="A10040" s="2" t="s">
        <v>5813</v>
      </c>
      <c r="B10040" s="2" t="str">
        <f>IFERROR(__xludf.DUMMYFUNCTION("IF(A10040&lt;&gt;"""", GOOGLETRANSLATE(A10040, ""en"", ""te""),"""")"),"[ '8 వ ఉత్తమ సమ్మె ఇన్నింగ్స్ లో రేటు (5.0)']")</f>
        <v>[ '8 వ ఉత్తమ సమ్మె ఇన్నింగ్స్ లో రేటు (5.0)']</v>
      </c>
      <c r="C10040" s="2"/>
      <c r="D10040" s="2" t="str">
        <f>IFERROR(__xludf.DUMMYFUNCTION("IF(C10040&lt;&gt;"""", GOOGLETRANSLATE(C10040, ""en"", ""te""),"""")"),"")</f>
        <v/>
      </c>
      <c r="E10040" s="2" t="s">
        <v>5814</v>
      </c>
      <c r="F10040" s="2" t="str">
        <f>IFERROR(__xludf.DUMMYFUNCTION("IF(E10040&lt;&gt;"""", GOOGLETRANSLATE(E10040, ""en"", ""te""),"""")"),"[ '15 వ అత్యుత్తమ ఇన్నింగ్స్ లో బౌలింగ్ విశ్లేషణలు (4/10)', '29th ఉత్తమ కెరీర్ (అర్హత లేకుండా) సగటు బౌలింగ్ (11.28)', 'ఇన్నింగ్స్ లో 8 వ ఉత్తమ సమ్మె రేటు (5.0)']")</f>
        <v>[ '15 వ అత్యుత్తమ ఇన్నింగ్స్ లో బౌలింగ్ విశ్లేషణలు (4/10)', '29th ఉత్తమ కెరీర్ (అర్హత లేకుండా) సగటు బౌలింగ్ (11.28)', 'ఇన్నింగ్స్ లో 8 వ ఉత్తమ సమ్మె రేటు (5.0)']</v>
      </c>
      <c r="G10040" s="2" t="s">
        <v>5815</v>
      </c>
      <c r="H10040" s="2" t="str">
        <f>IFERROR(__xludf.DUMMYFUNCTION("IF(G10040&lt;&gt;"""", GOOGLETRANSLATE(G10040, ""en"", ""te""),"""")"),"[ '43 వ పరాజయం వైపు ఒక మ్యాచ్లో అత్యధిక పరుగులు (79)', '32 వ కెరీర్ బాతులు (5)', '15 వ ఇన్నింగ్స్ లో అత్యధిక క్యాచ్లు (3)' నాలుగవ వికెట్కు, '26th అత్యధిక భాగస్వామ్యం (98 ) ',' 20 వ పిన్న కాప్టెన్ (23y 300D) ']")</f>
        <v>[ '43 వ పరాజయం వైపు ఒక మ్యాచ్లో అత్యధిక పరుగులు (79)', '32 వ కెరీర్ బాతులు (5)', '15 వ ఇన్నింగ్స్ లో అత్యధిక క్యాచ్లు (3)' నాలుగవ వికెట్కు, '26th అత్యధిక భాగస్వామ్యం (98 ) ',' 20 వ పిన్న కాప్టెన్ (23y 300D) ']</v>
      </c>
      <c r="I10040" s="3"/>
    </row>
    <row r="10041" customHeight="1" spans="1:9">
      <c r="A10041" s="2"/>
      <c r="B10041" s="2" t="str">
        <f>IFERROR(__xludf.DUMMYFUNCTION("IF(A10041&lt;&gt;"""", GOOGLETRANSLATE(A10041, ""en"", ""te""),"""")"),"")</f>
        <v/>
      </c>
      <c r="C10041" s="2"/>
      <c r="D10041" s="2" t="str">
        <f>IFERROR(__xludf.DUMMYFUNCTION("IF(C10041&lt;&gt;"""", GOOGLETRANSLATE(C10041, ""en"", ""te""),"""")"),"")</f>
        <v/>
      </c>
      <c r="E10041" s="2"/>
      <c r="F10041" s="2" t="str">
        <f>IFERROR(__xludf.DUMMYFUNCTION("IF(E10041&lt;&gt;"""", GOOGLETRANSLATE(E10041, ""en"", ""te""),"""")"),"")</f>
        <v/>
      </c>
      <c r="G10041" s="2"/>
      <c r="H10041" s="2" t="str">
        <f>IFERROR(__xludf.DUMMYFUNCTION("IF(G10041&lt;&gt;"""", GOOGLETRANSLATE(G10041, ""en"", ""te""),"""")"),"")</f>
        <v/>
      </c>
      <c r="I10041" s="3"/>
    </row>
    <row r="10042" customHeight="1" spans="1:9">
      <c r="A10042" s="2"/>
      <c r="B10042" s="2" t="str">
        <f>IFERROR(__xludf.DUMMYFUNCTION("IF(A10042&lt;&gt;"""", GOOGLETRANSLATE(A10042, ""en"", ""te""),"""")"),"")</f>
        <v/>
      </c>
      <c r="C10042" s="2"/>
      <c r="D10042" s="2" t="str">
        <f>IFERROR(__xludf.DUMMYFUNCTION("IF(C10042&lt;&gt;"""", GOOGLETRANSLATE(C10042, ""en"", ""te""),"""")"),"")</f>
        <v/>
      </c>
      <c r="E10042" s="2"/>
      <c r="F10042" s="2" t="str">
        <f>IFERROR(__xludf.DUMMYFUNCTION("IF(E10042&lt;&gt;"""", GOOGLETRANSLATE(E10042, ""en"", ""te""),"""")"),"")</f>
        <v/>
      </c>
      <c r="G10042" s="2"/>
      <c r="H10042" s="2" t="str">
        <f>IFERROR(__xludf.DUMMYFUNCTION("IF(G10042&lt;&gt;"""", GOOGLETRANSLATE(G10042, ""en"", ""te""),"""")"),"")</f>
        <v/>
      </c>
      <c r="I10042" s="3"/>
    </row>
    <row r="10043" customHeight="1" spans="1:9">
      <c r="A10043" s="2"/>
      <c r="B10043" s="2" t="str">
        <f>IFERROR(__xludf.DUMMYFUNCTION("IF(A10043&lt;&gt;"""", GOOGLETRANSLATE(A10043, ""en"", ""te""),"""")"),"")</f>
        <v/>
      </c>
      <c r="C10043" s="2"/>
      <c r="D10043" s="2" t="str">
        <f>IFERROR(__xludf.DUMMYFUNCTION("IF(C10043&lt;&gt;"""", GOOGLETRANSLATE(C10043, ""en"", ""te""),"""")"),"")</f>
        <v/>
      </c>
      <c r="E10043" s="2"/>
      <c r="F10043" s="2" t="str">
        <f>IFERROR(__xludf.DUMMYFUNCTION("IF(E10043&lt;&gt;"""", GOOGLETRANSLATE(E10043, ""en"", ""te""),"""")"),"")</f>
        <v/>
      </c>
      <c r="G10043" s="2" t="s">
        <v>5816</v>
      </c>
      <c r="H10043" s="2" t="str">
        <f>IFERROR(__xludf.DUMMYFUNCTION("IF(G10043&lt;&gt;"""", GOOGLETRANSLATE(G10043, ""en"", ""te""),"""")"),"[ 'ఇన్నింగ్స్ లో 12 వ అత్యంత పనికత్తెలయొద్ద (2)' '34 వ అత్యుత్తమ ఇన్నింగ్స్ లో విశ్లేషణలు బౌలింగ్ (3/5)',]")</f>
        <v>[ 'ఇన్నింగ్స్ లో 12 వ అత్యంత పనికత్తెలయొద్ద (2)' '34 వ అత్యుత్తమ ఇన్నింగ్స్ లో విశ్లేషణలు బౌలింగ్ (3/5)',]</v>
      </c>
      <c r="I10043" s="3"/>
    </row>
    <row r="10044" customHeight="1" spans="1:9">
      <c r="A10044" s="2" t="s">
        <v>5817</v>
      </c>
      <c r="B10044" s="2" t="str">
        <f>IFERROR(__xludf.DUMMYFUNCTION("IF(A10044&lt;&gt;"""", GOOGLETRANSLATE(A10044, ""en"", ""te""),"""")"),"[ 'ఎనిమిదవ వికెట్కు 6 వ అత్యధిక భాగస్వామ్యం (101)', '9 వ (3) వరుస అన్ని టాస్ గెలిచి', '9 వ అత్యధిక పరుగులు ఇన్నింగ్స్ లో (బ్యాటింగ్ స్థానం) (56)']")</f>
        <v>[ 'ఎనిమిదవ వికెట్కు 6 వ అత్యధిక భాగస్వామ్యం (101)', '9 వ (3) వరుస అన్ని టాస్ గెలిచి', '9 వ అత్యధిక పరుగులు ఇన్నింగ్స్ లో (బ్యాటింగ్ స్థానం) (56)']</v>
      </c>
      <c r="C10044" s="2"/>
      <c r="D10044" s="2" t="str">
        <f>IFERROR(__xludf.DUMMYFUNCTION("IF(C10044&lt;&gt;"""", GOOGLETRANSLATE(C10044, ""en"", ""te""),"""")"),"")</f>
        <v/>
      </c>
      <c r="E10044" s="2" t="s">
        <v>5818</v>
      </c>
      <c r="F10044" s="2" t="str">
        <f>IFERROR(__xludf.DUMMYFUNCTION("IF(E10044&lt;&gt;"""", GOOGLETRANSLATE(E10044, ""en"", ""te""),"""")"),"[ 'ఎనిమిదవ వికెట్ (101) 6 వ అత్యధిక భాగస్వామ్యం']")</f>
        <v>[ 'ఎనిమిదవ వికెట్ (101) 6 వ అత్యధిక భాగస్వామ్యం']</v>
      </c>
      <c r="G10044" s="2" t="s">
        <v>5819</v>
      </c>
      <c r="H10044" s="2" t="str">
        <f>IFERROR(__xludf.DUMMYFUNCTION("IF(G10044&lt;&gt;"""", GOOGLETRANSLATE(G10044, ""en"", ""te""),"""")"),"[ 'ఇన్నింగ్స్ లో 9 వ అత్యధిక పరుగులు (బ్యాటింగ్ స్థానంలో ప్రకారం) (56), తొమ్మిదవ కోసం,' ఏడవ వికెట్కు 49 వ అత్యధిక భాగస్వామ్యం (45) ',' 17 వ అత్యధిక భాగస్వామ్యం '42 వ ఇన్నింగ్స్ (7) లో వచ్చిన ఎక్కువ సిక్స్' వికెట్ (37) ',' 50 వ కెప్టెన్గా అత్యధిక మ్యాచ్లు "&amp;"(16) ',' 9 వ వరుస అన్ని టాస్ గెలిచిన (3) ']")</f>
        <v>[ 'ఇన్నింగ్స్ లో 9 వ అత్యధిక పరుగులు (బ్యాటింగ్ స్థానంలో ప్రకారం) (56), తొమ్మిదవ కోసం,' ఏడవ వికెట్కు 49 వ అత్యధిక భాగస్వామ్యం (45) ',' 17 వ అత్యధిక భాగస్వామ్యం '42 వ ఇన్నింగ్స్ (7) లో వచ్చిన ఎక్కువ సిక్స్' వికెట్ (37) ',' 50 వ కెప్టెన్గా అత్యధిక మ్యాచ్లు (16) ',' 9 వ వరుస అన్ని టాస్ గెలిచిన (3) ']</v>
      </c>
      <c r="I10044" s="3"/>
    </row>
    <row r="10045" customHeight="1" spans="1:9">
      <c r="A10045" s="2"/>
      <c r="B10045" s="2" t="str">
        <f>IFERROR(__xludf.DUMMYFUNCTION("IF(A10045&lt;&gt;"""", GOOGLETRANSLATE(A10045, ""en"", ""te""),"""")"),"")</f>
        <v/>
      </c>
      <c r="C10045" s="2"/>
      <c r="D10045" s="2" t="str">
        <f>IFERROR(__xludf.DUMMYFUNCTION("IF(C10045&lt;&gt;"""", GOOGLETRANSLATE(C10045, ""en"", ""te""),"""")"),"")</f>
        <v/>
      </c>
      <c r="E10045" s="2"/>
      <c r="F10045" s="2" t="str">
        <f>IFERROR(__xludf.DUMMYFUNCTION("IF(E10045&lt;&gt;"""", GOOGLETRANSLATE(E10045, ""en"", ""te""),"""")"),"")</f>
        <v/>
      </c>
      <c r="G10045" s="2"/>
      <c r="H10045" s="2" t="str">
        <f>IFERROR(__xludf.DUMMYFUNCTION("IF(G10045&lt;&gt;"""", GOOGLETRANSLATE(G10045, ""en"", ""te""),"""")"),"")</f>
        <v/>
      </c>
      <c r="I10045" s="3"/>
    </row>
    <row r="10046" customHeight="1" spans="1:9">
      <c r="A10046" s="2"/>
      <c r="B10046" s="2" t="str">
        <f>IFERROR(__xludf.DUMMYFUNCTION("IF(A10046&lt;&gt;"""", GOOGLETRANSLATE(A10046, ""en"", ""te""),"""")"),"")</f>
        <v/>
      </c>
      <c r="C10046" s="2"/>
      <c r="D10046" s="2" t="str">
        <f>IFERROR(__xludf.DUMMYFUNCTION("IF(C10046&lt;&gt;"""", GOOGLETRANSLATE(C10046, ""en"", ""te""),"""")"),"")</f>
        <v/>
      </c>
      <c r="E10046" s="2"/>
      <c r="F10046" s="2" t="str">
        <f>IFERROR(__xludf.DUMMYFUNCTION("IF(E10046&lt;&gt;"""", GOOGLETRANSLATE(E10046, ""en"", ""te""),"""")"),"")</f>
        <v/>
      </c>
      <c r="G10046" s="2"/>
      <c r="H10046" s="2" t="str">
        <f>IFERROR(__xludf.DUMMYFUNCTION("IF(G10046&lt;&gt;"""", GOOGLETRANSLATE(G10046, ""en"", ""te""),"""")"),"")</f>
        <v/>
      </c>
      <c r="I10046" s="3"/>
    </row>
    <row r="10047" customHeight="1" spans="1:9">
      <c r="A10047" s="2"/>
      <c r="B10047" s="2" t="str">
        <f>IFERROR(__xludf.DUMMYFUNCTION("IF(A10047&lt;&gt;"""", GOOGLETRANSLATE(A10047, ""en"", ""te""),"""")"),"")</f>
        <v/>
      </c>
      <c r="C10047" s="2"/>
      <c r="D10047" s="2" t="str">
        <f>IFERROR(__xludf.DUMMYFUNCTION("IF(C10047&lt;&gt;"""", GOOGLETRANSLATE(C10047, ""en"", ""te""),"""")"),"")</f>
        <v/>
      </c>
      <c r="E10047" s="2"/>
      <c r="F10047" s="2" t="str">
        <f>IFERROR(__xludf.DUMMYFUNCTION("IF(E10047&lt;&gt;"""", GOOGLETRANSLATE(E10047, ""en"", ""te""),"""")"),"")</f>
        <v/>
      </c>
      <c r="G10047" s="2" t="s">
        <v>1427</v>
      </c>
      <c r="H10047" s="2" t="str">
        <f>IFERROR(__xludf.DUMMYFUNCTION("IF(G10047&lt;&gt;"""", GOOGLETRANSLATE(G10047, ""en"", ""te""),"""")"),"[ '49 వ అంపాయర్ (16) గా అత్యధిక మ్యాచ్లు']")</f>
        <v>[ '49 వ అంపాయర్ (16) గా అత్యధిక మ్యాచ్లు']</v>
      </c>
      <c r="I10047" s="3"/>
    </row>
    <row r="10048" customHeight="1" spans="1:9">
      <c r="A10048" s="2"/>
      <c r="B10048" s="2" t="str">
        <f>IFERROR(__xludf.DUMMYFUNCTION("IF(A10048&lt;&gt;"""", GOOGLETRANSLATE(A10048, ""en"", ""te""),"""")"),"")</f>
        <v/>
      </c>
      <c r="C10048" s="2"/>
      <c r="D10048" s="2" t="str">
        <f>IFERROR(__xludf.DUMMYFUNCTION("IF(C10048&lt;&gt;"""", GOOGLETRANSLATE(C10048, ""en"", ""te""),"""")"),"")</f>
        <v/>
      </c>
      <c r="E10048" s="2"/>
      <c r="F10048" s="2" t="str">
        <f>IFERROR(__xludf.DUMMYFUNCTION("IF(E10048&lt;&gt;"""", GOOGLETRANSLATE(E10048, ""en"", ""te""),"""")"),"")</f>
        <v/>
      </c>
      <c r="G10048" s="2" t="s">
        <v>5820</v>
      </c>
      <c r="H10048" s="2" t="str">
        <f>IFERROR(__xludf.DUMMYFUNCTION("IF(G10048&lt;&gt;"""", GOOGLETRANSLATE(G10048, ""en"", ""te""),"""")"),"[ 'ఏడవ వికెట్కు 15 అత్యధిక భాగస్వామ్యం (61)']")</f>
        <v>[ 'ఏడవ వికెట్కు 15 అత్యధిక భాగస్వామ్యం (61)']</v>
      </c>
      <c r="I10048" s="3"/>
    </row>
    <row r="10049" customHeight="1" spans="1:9">
      <c r="A10049" s="2" t="s">
        <v>5821</v>
      </c>
      <c r="B10049" s="2" t="str">
        <f>IFERROR(__xludf.DUMMYFUNCTION("IF(A10049&lt;&gt;"""", GOOGLETRANSLATE(A10049, ""en"", ""te""),"""")"),"[ '8 వ పిన్న క్రీడాకారులు (15y 259d)']")</f>
        <v>[ '8 వ పిన్న క్రీడాకారులు (15y 259d)']</v>
      </c>
      <c r="C10049" s="2"/>
      <c r="D10049" s="2" t="str">
        <f>IFERROR(__xludf.DUMMYFUNCTION("IF(C10049&lt;&gt;"""", GOOGLETRANSLATE(C10049, ""en"", ""te""),"""")"),"")</f>
        <v/>
      </c>
      <c r="E10049" s="2" t="s">
        <v>5822</v>
      </c>
      <c r="F10049" s="2" t="str">
        <f>IFERROR(__xludf.DUMMYFUNCTION("IF(E10049&lt;&gt;"""", GOOGLETRANSLATE(E10049, ""en"", ""te""),"""")"),"[ '13 వ పిన్న క్రీడాకారులు (16y 253d)']")</f>
        <v>[ '13 వ పిన్న క్రీడాకారులు (16y 253d)']</v>
      </c>
      <c r="G10049" s="2" t="s">
        <v>5823</v>
      </c>
      <c r="H10049" s="2" t="str">
        <f>IFERROR(__xludf.DUMMYFUNCTION("IF(G10049&lt;&gt;"""", GOOGLETRANSLATE(G10049, ""en"", ""te""),"""")"),"[ 'ఐదవ వికెట్కు 34 వ అత్యధిక భాగస్వామ్యం (73)', '8 వ పిన్న క్రీడాకారులు (15y 259d)']")</f>
        <v>[ 'ఐదవ వికెట్కు 34 వ అత్యధిక భాగస్వామ్యం (73)', '8 వ పిన్న క్రీడాకారులు (15y 259d)']</v>
      </c>
      <c r="I10049" s="3"/>
    </row>
    <row r="10050" customHeight="1" spans="1:9">
      <c r="A10050" s="2" t="s">
        <v>5824</v>
      </c>
      <c r="B10050" s="2" t="str">
        <f>IFERROR(__xludf.DUMMYFUNCTION("IF(A10050&lt;&gt;"""", GOOGLETRANSLATE(A10050, ""en"", ""te""),"""")"),"[ '1st వరుస బాతులు (3)', '1 వ అత్యుత్తమ బౌలింగ్ ఇన్నింగ్స్ లో విశ్లేషించడం (3/0)', ​​'ఇన్నింగ్స్ లో 2 వ ఉత్తమ సమ్మె రేటు (2.0)']")</f>
        <v>[ '1st వరుస బాతులు (3)', '1 వ అత్యుత్తమ బౌలింగ్ ఇన్నింగ్స్ లో విశ్లేషించడం (3/0)', ​​'ఇన్నింగ్స్ లో 2 వ ఉత్తమ సమ్మె రేటు (2.0)']</v>
      </c>
      <c r="C10050" s="2"/>
      <c r="D10050" s="2" t="str">
        <f>IFERROR(__xludf.DUMMYFUNCTION("IF(C10050&lt;&gt;"""", GOOGLETRANSLATE(C10050, ""en"", ""te""),"""")"),"")</f>
        <v/>
      </c>
      <c r="E10050" s="2"/>
      <c r="F10050" s="2" t="str">
        <f>IFERROR(__xludf.DUMMYFUNCTION("IF(E10050&lt;&gt;"""", GOOGLETRANSLATE(E10050, ""en"", ""te""),"""")"),"")</f>
        <v/>
      </c>
      <c r="G10050" s="2" t="s">
        <v>5824</v>
      </c>
      <c r="H10050" s="2" t="str">
        <f>IFERROR(__xludf.DUMMYFUNCTION("IF(G10050&lt;&gt;"""", GOOGLETRANSLATE(G10050, ""en"", ""te""),"""")"),"[ '1st వరుస బాతులు (3)', '1 వ అత్యుత్తమ బౌలింగ్ ఇన్నింగ్స్ లో విశ్లేషించడం (3/0)', ​​'ఇన్నింగ్స్ లో 2 వ ఉత్తమ సమ్మె రేటు (2.0)']")</f>
        <v>[ '1st వరుస బాతులు (3)', '1 వ అత్యుత్తమ బౌలింగ్ ఇన్నింగ్స్ లో విశ్లేషించడం (3/0)', ​​'ఇన్నింగ్స్ లో 2 వ ఉత్తమ సమ్మె రేటు (2.0)']</v>
      </c>
      <c r="I10050" s="3"/>
    </row>
    <row r="10051" customHeight="1" spans="1:9">
      <c r="A10051" s="2"/>
      <c r="B10051" s="2" t="str">
        <f>IFERROR(__xludf.DUMMYFUNCTION("IF(A10051&lt;&gt;"""", GOOGLETRANSLATE(A10051, ""en"", ""te""),"""")"),"")</f>
        <v/>
      </c>
      <c r="C10051" s="2"/>
      <c r="D10051" s="2" t="str">
        <f>IFERROR(__xludf.DUMMYFUNCTION("IF(C10051&lt;&gt;"""", GOOGLETRANSLATE(C10051, ""en"", ""te""),"""")"),"")</f>
        <v/>
      </c>
      <c r="E10051" s="2"/>
      <c r="F10051" s="2" t="str">
        <f>IFERROR(__xludf.DUMMYFUNCTION("IF(E10051&lt;&gt;"""", GOOGLETRANSLATE(E10051, ""en"", ""te""),"""")"),"")</f>
        <v/>
      </c>
      <c r="G10051" s="2"/>
      <c r="H10051" s="2" t="str">
        <f>IFERROR(__xludf.DUMMYFUNCTION("IF(G10051&lt;&gt;"""", GOOGLETRANSLATE(G10051, ""en"", ""te""),"""")"),"")</f>
        <v/>
      </c>
      <c r="I10051" s="3"/>
    </row>
    <row r="10052" customHeight="1" spans="1:9">
      <c r="A10052" s="2"/>
      <c r="B10052" s="2" t="str">
        <f>IFERROR(__xludf.DUMMYFUNCTION("IF(A10052&lt;&gt;"""", GOOGLETRANSLATE(A10052, ""en"", ""te""),"""")"),"")</f>
        <v/>
      </c>
      <c r="C10052" s="2"/>
      <c r="D10052" s="2" t="str">
        <f>IFERROR(__xludf.DUMMYFUNCTION("IF(C10052&lt;&gt;"""", GOOGLETRANSLATE(C10052, ""en"", ""te""),"""")"),"")</f>
        <v/>
      </c>
      <c r="E10052" s="2"/>
      <c r="F10052" s="2" t="str">
        <f>IFERROR(__xludf.DUMMYFUNCTION("IF(E10052&lt;&gt;"""", GOOGLETRANSLATE(E10052, ""en"", ""te""),"""")"),"")</f>
        <v/>
      </c>
      <c r="G10052" s="2"/>
      <c r="H10052" s="2" t="str">
        <f>IFERROR(__xludf.DUMMYFUNCTION("IF(G10052&lt;&gt;"""", GOOGLETRANSLATE(G10052, ""en"", ""te""),"""")"),"")</f>
        <v/>
      </c>
      <c r="I10052" s="3"/>
    </row>
    <row r="10053" customHeight="1" spans="1:9">
      <c r="A10053" s="2"/>
      <c r="B10053" s="2" t="str">
        <f>IFERROR(__xludf.DUMMYFUNCTION("IF(A10053&lt;&gt;"""", GOOGLETRANSLATE(A10053, ""en"", ""te""),"""")"),"")</f>
        <v/>
      </c>
      <c r="C10053" s="2"/>
      <c r="D10053" s="2" t="str">
        <f>IFERROR(__xludf.DUMMYFUNCTION("IF(C10053&lt;&gt;"""", GOOGLETRANSLATE(C10053, ""en"", ""te""),"""")"),"")</f>
        <v/>
      </c>
      <c r="E10053" s="2"/>
      <c r="F10053" s="2" t="str">
        <f>IFERROR(__xludf.DUMMYFUNCTION("IF(E10053&lt;&gt;"""", GOOGLETRANSLATE(E10053, ""en"", ""te""),"""")"),"")</f>
        <v/>
      </c>
      <c r="G10053" s="2"/>
      <c r="H10053" s="2" t="str">
        <f>IFERROR(__xludf.DUMMYFUNCTION("IF(G10053&lt;&gt;"""", GOOGLETRANSLATE(G10053, ""en"", ""te""),"""")"),"")</f>
        <v/>
      </c>
      <c r="I10053"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final_cricket_players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vasireddy komal kuma</cp:lastModifiedBy>
  <dcterms:created xsi:type="dcterms:W3CDTF">2021-06-24T05:16:48Z</dcterms:created>
  <dcterms:modified xsi:type="dcterms:W3CDTF">2021-06-24T05:26:02Z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